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drawings/drawing1.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3.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tables/table4.xml" ContentType="application/vnd.openxmlformats-officedocument.spreadsheetml.table+xml"/>
  <Override PartName="/xl/comments4.xml" ContentType="application/vnd.openxmlformats-officedocument.spreadsheetml.comments+xml"/>
  <Override PartName="/xl/threadedComments/threadedComment3.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omments5.xml" ContentType="application/vnd.openxmlformats-officedocument.spreadsheetml.comments+xml"/>
  <Override PartName="/xl/threadedComments/threadedComment4.xml" ContentType="application/vnd.ms-excel.threadedcomments+xml"/>
  <Override PartName="/xl/comments6.xml" ContentType="application/vnd.openxmlformats-officedocument.spreadsheetml.comments+xml"/>
  <Override PartName="/xl/threadedComments/threadedComment5.xml" ContentType="application/vnd.ms-excel.threadedcomments+xml"/>
  <Override PartName="/xl/drawings/drawing4.xml" ContentType="application/vnd.openxmlformats-officedocument.drawing+xml"/>
  <Override PartName="/xl/comments7.xml" ContentType="application/vnd.openxmlformats-officedocument.spreadsheetml.comments+xml"/>
  <Override PartName="/xl/threadedComments/threadedComment6.xml" ContentType="application/vnd.ms-excel.threadedcomments+xml"/>
  <Override PartName="/xl/comments8.xml" ContentType="application/vnd.openxmlformats-officedocument.spreadsheetml.comments+xml"/>
  <Override PartName="/xl/threadedComments/threadedComment7.xml" ContentType="application/vnd.ms-excel.threadedcomments+xml"/>
  <Override PartName="/xl/comments9.xml" ContentType="application/vnd.openxmlformats-officedocument.spreadsheetml.comments+xml"/>
  <Override PartName="/xl/threadedComments/threadedComment8.xml" ContentType="application/vnd.ms-excel.threadedcomments+xml"/>
  <Override PartName="/xl/comments10.xml" ContentType="application/vnd.openxmlformats-officedocument.spreadsheetml.comments+xml"/>
  <Override PartName="/xl/threadedComments/threadedComment9.xml" ContentType="application/vnd.ms-excel.threadedcomments+xml"/>
  <Override PartName="/xl/tables/table5.xml" ContentType="application/vnd.openxmlformats-officedocument.spreadsheetml.table+xml"/>
  <Override PartName="/xl/queryTables/queryTable3.xml" ContentType="application/vnd.openxmlformats-officedocument.spreadsheetml.queryTable+xml"/>
  <Override PartName="/xl/tables/table6.xml" ContentType="application/vnd.openxmlformats-officedocument.spreadsheetml.table+xml"/>
  <Override PartName="/xl/queryTables/queryTable4.xml" ContentType="application/vnd.openxmlformats-officedocument.spreadsheetml.queryTable+xml"/>
  <Override PartName="/xl/comments11.xml" ContentType="application/vnd.openxmlformats-officedocument.spreadsheetml.comments+xml"/>
  <Override PartName="/xl/threadedComments/threadedComment10.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66925"/>
  <mc:AlternateContent xmlns:mc="http://schemas.openxmlformats.org/markup-compatibility/2006">
    <mc:Choice Requires="x15">
      <x15ac:absPath xmlns:x15ac="http://schemas.microsoft.com/office/spreadsheetml/2010/11/ac" url="https://twaveo365.sharepoint.com/sites/msteams_4a9b3a/Shared Documents/【企画部】ノート企画書確認 と デスクロードマップ共有/"/>
    </mc:Choice>
  </mc:AlternateContent>
  <xr:revisionPtr revIDLastSave="3431" documentId="6_{B61100D2-B8A6-481B-A525-312DC6BAC262}" xr6:coauthVersionLast="47" xr6:coauthVersionMax="47" xr10:uidLastSave="{EDCD1CEC-9EA9-4724-9349-4887419A0B0F}"/>
  <bookViews>
    <workbookView xWindow="-120" yWindow="-120" windowWidth="29040" windowHeight="15720" tabRatio="754" firstSheet="7" activeTab="11" xr2:uid="{A0F969A1-2CB9-4CBF-BAD8-573D0DB532DB}"/>
  </bookViews>
  <sheets>
    <sheet name="表の見方と入力について" sheetId="33" r:id="rId1"/>
    <sheet name="マスタ" sheetId="135" r:id="rId2"/>
    <sheet name="基準データ" sheetId="152" r:id="rId3"/>
    <sheet name="このファイルについて" sheetId="17" r:id="rId4"/>
    <sheet name="在庫使用計画 (4ヶ月計)" sheetId="114" state="hidden" r:id="rId5"/>
    <sheet name="改善予定" sheetId="134" r:id="rId6"/>
    <sheet name="参考資料(係数 通販+店舗　台数実績)" sheetId="140" r:id="rId7"/>
    <sheet name="(全体実績+予測）の元データ" sheetId="151" r:id="rId8"/>
    <sheet name="在庫使用計画 (全体実績+予測）0701" sheetId="74" r:id="rId9"/>
    <sheet name="在庫使用計画 (計画　予測)" sheetId="77" r:id="rId10"/>
    <sheet name="在庫使用計画 (ノート全体試算)" sheetId="8" r:id="rId11"/>
    <sheet name="在庫使用計画 (一般)" sheetId="7" r:id="rId12"/>
    <sheet name="在庫使用計画 (法人)" sheetId="6" r:id="rId13"/>
    <sheet name="MOQ条件" sheetId="156" r:id="rId14"/>
    <sheet name="SAP貼り付け" sheetId="4" r:id="rId15"/>
    <sheet name="Onenote貼り付け(0106)BU" sheetId="144" state="hidden" r:id="rId16"/>
    <sheet name="Onenote貼り付け(1113確定)" sheetId="127" state="hidden" r:id="rId17"/>
    <sheet name="新規チェック" sheetId="84" state="hidden" r:id="rId18"/>
    <sheet name="43期bu" sheetId="44" state="hidden" r:id="rId19"/>
    <sheet name="Onenote貼り付け" sheetId="5" r:id="rId20"/>
    <sheet name="企画メモ（コンセプトシート）" sheetId="26" r:id="rId21"/>
    <sheet name="企画メモ（コンセプトシート） (記載例)" sheetId="27" r:id="rId22"/>
    <sheet name="数式見直し候補" sheetId="155" r:id="rId23"/>
    <sheet name="在庫確認" sheetId="3" r:id="rId24"/>
  </sheets>
  <definedNames>
    <definedName name="_xlnm._FilterDatabase" localSheetId="7" hidden="1">'(全体実績+予測）の元データ'!$A$1:$Y$122</definedName>
    <definedName name="_xlnm._FilterDatabase" localSheetId="19" hidden="1">Onenote貼り付け!$A$1:$AC$31</definedName>
    <definedName name="_xlnm._FilterDatabase" localSheetId="15" hidden="1">'Onenote貼り付け(0106)BU'!$A$1:$AH$31</definedName>
    <definedName name="_xlnm._FilterDatabase" localSheetId="16" hidden="1">'Onenote貼り付け(1113確定)'!$A$1:$AH$62</definedName>
    <definedName name="_xlnm._FilterDatabase" localSheetId="14" hidden="1">SAP貼り付け!$A$4:$AE$83</definedName>
    <definedName name="_xlnm._FilterDatabase" localSheetId="23" hidden="1">在庫確認!$A$2:$O$229</definedName>
    <definedName name="_xlnm._FilterDatabase" localSheetId="4" hidden="1">'在庫使用計画 (4ヶ月計)'!$A$1:$AP$142</definedName>
    <definedName name="_xlnm._FilterDatabase" localSheetId="10" hidden="1">'在庫使用計画 (ノート全体試算)'!$A$1:$K$180</definedName>
    <definedName name="_xlnm._FilterDatabase" localSheetId="11" hidden="1">'在庫使用計画 (一般)'!$D$1:$AI$24</definedName>
    <definedName name="_xlnm._FilterDatabase" localSheetId="9" hidden="1">'在庫使用計画 (計画　予測)'!$A$1:$BJ$192</definedName>
    <definedName name="_xlnm._FilterDatabase" localSheetId="8" hidden="1">'在庫使用計画 (全体実績+予測）0701'!$A$1:$Y$91</definedName>
    <definedName name="_xlnm._FilterDatabase" localSheetId="12" hidden="1">'在庫使用計画 (法人)'!$D$1:$W$24</definedName>
    <definedName name="_xlnm._FilterDatabase" localSheetId="17" hidden="1">新規チェック!$A$1:$D$77</definedName>
    <definedName name="_xlnm._FilterDatabase" localSheetId="0" hidden="1">表の見方と入力について!$A$7:$Y$21</definedName>
    <definedName name="ExternalData_1" localSheetId="19" hidden="1">Onenote貼り付け!$A$1:$AD$965</definedName>
    <definedName name="ExternalData_1" localSheetId="14" hidden="1">SAP貼り付け!$A$4:$AD$104</definedName>
    <definedName name="ExternalData_1" localSheetId="1" hidden="1">マスタ!$B$1:$BK$285</definedName>
    <definedName name="ExternalData_1" localSheetId="2" hidden="1">基準データ!$H$2:$I$3</definedName>
    <definedName name="クエリ___購買計画one_note_貼り付け" localSheetId="19" hidden="1">Onenote貼り付け!#REF!</definedName>
  </definedNames>
  <calcPr calcId="191028" calcMode="manual" calcCompleted="0"/>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一般＋法人_1daee332-7a9f-4d5e-a84a-e692a3fe3864" name="一般＋法人" connection="クエリ - 一般＋法人"/>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M2" i="135" l="1"/>
  <c r="BM3" i="135"/>
  <c r="BM4" i="135"/>
  <c r="BM5" i="135"/>
  <c r="BM6" i="135"/>
  <c r="BM7" i="135"/>
  <c r="BM8" i="135"/>
  <c r="BM9" i="135"/>
  <c r="BM10" i="135"/>
  <c r="BM11" i="135"/>
  <c r="BM12" i="135"/>
  <c r="BM13" i="135"/>
  <c r="BM14" i="135"/>
  <c r="BM15" i="135"/>
  <c r="BM16" i="135"/>
  <c r="BM17" i="135"/>
  <c r="BM18" i="135"/>
  <c r="BM19" i="135"/>
  <c r="BM20" i="135"/>
  <c r="BM21" i="135"/>
  <c r="BM22" i="135"/>
  <c r="BM23" i="135"/>
  <c r="BM24" i="135"/>
  <c r="BM25" i="135"/>
  <c r="BM26" i="135"/>
  <c r="BM27" i="135"/>
  <c r="BM28" i="135"/>
  <c r="BM29" i="135"/>
  <c r="BM30" i="135"/>
  <c r="BM31" i="135"/>
  <c r="BM32" i="135"/>
  <c r="BM33" i="135"/>
  <c r="BM34" i="135"/>
  <c r="BM35" i="135"/>
  <c r="BM36" i="135"/>
  <c r="BM37" i="135"/>
  <c r="BM38" i="135"/>
  <c r="BM39" i="135"/>
  <c r="BM40" i="135"/>
  <c r="BM41" i="135"/>
  <c r="BM42" i="135"/>
  <c r="BM43" i="135"/>
  <c r="BM44" i="135"/>
  <c r="BM45" i="135"/>
  <c r="BM46" i="135"/>
  <c r="BM47" i="135"/>
  <c r="BM48" i="135"/>
  <c r="BM49" i="135"/>
  <c r="BM50" i="135"/>
  <c r="BM51" i="135"/>
  <c r="BM52" i="135"/>
  <c r="BM53" i="135"/>
  <c r="BM54" i="135"/>
  <c r="BM55" i="135"/>
  <c r="BM56" i="135"/>
  <c r="BM57" i="135"/>
  <c r="BM58" i="135"/>
  <c r="BM59" i="135"/>
  <c r="BM60" i="135"/>
  <c r="BM61" i="135"/>
  <c r="BM62" i="135"/>
  <c r="BM63" i="135"/>
  <c r="BM64" i="135"/>
  <c r="BM65" i="135"/>
  <c r="BM66" i="135"/>
  <c r="BM67" i="135"/>
  <c r="BM68" i="135"/>
  <c r="BM69" i="135"/>
  <c r="BM70" i="135"/>
  <c r="BM71" i="135"/>
  <c r="BM72" i="135"/>
  <c r="BM73" i="135"/>
  <c r="BM74" i="135"/>
  <c r="BM75" i="135"/>
  <c r="BM76" i="135"/>
  <c r="BM77" i="135"/>
  <c r="BM78" i="135"/>
  <c r="BM79" i="135"/>
  <c r="BM80" i="135"/>
  <c r="BM81" i="135"/>
  <c r="BM82" i="135"/>
  <c r="BM83" i="135"/>
  <c r="BM84" i="135"/>
  <c r="BM85" i="135"/>
  <c r="BM86" i="135"/>
  <c r="BM87" i="135"/>
  <c r="BM88" i="135"/>
  <c r="BM89" i="135"/>
  <c r="BM90" i="135"/>
  <c r="BM91" i="135"/>
  <c r="BM92" i="135"/>
  <c r="BM93" i="135"/>
  <c r="BM94" i="135"/>
  <c r="BM95" i="135"/>
  <c r="BM96" i="135"/>
  <c r="BM97" i="135"/>
  <c r="BM98" i="135"/>
  <c r="BM99" i="135"/>
  <c r="BM100" i="135"/>
  <c r="BM101" i="135"/>
  <c r="BM102" i="135"/>
  <c r="BM103" i="135"/>
  <c r="BM104" i="135"/>
  <c r="BM105" i="135"/>
  <c r="BM106" i="135"/>
  <c r="BM107" i="135"/>
  <c r="BM108" i="135"/>
  <c r="BM109" i="135"/>
  <c r="BM110" i="135"/>
  <c r="BM111" i="135"/>
  <c r="BM112" i="135"/>
  <c r="BM113" i="135"/>
  <c r="BM114" i="135"/>
  <c r="BM115" i="135"/>
  <c r="BM116" i="135"/>
  <c r="BM117" i="135"/>
  <c r="BM118" i="135"/>
  <c r="BM119" i="135"/>
  <c r="BM120" i="135"/>
  <c r="BM121" i="135"/>
  <c r="BM122" i="135"/>
  <c r="BM123" i="135"/>
  <c r="BM124" i="135"/>
  <c r="BM125" i="135"/>
  <c r="BM126" i="135"/>
  <c r="BM127" i="135"/>
  <c r="BM128" i="135"/>
  <c r="BM129" i="135"/>
  <c r="BM130" i="135"/>
  <c r="BM131" i="135"/>
  <c r="BM132" i="135"/>
  <c r="BM133" i="135"/>
  <c r="BM134" i="135"/>
  <c r="BM135" i="135"/>
  <c r="BM136" i="135"/>
  <c r="BM137" i="135"/>
  <c r="BM138" i="135"/>
  <c r="BM139" i="135"/>
  <c r="BM140" i="135"/>
  <c r="BM141" i="135"/>
  <c r="BM142" i="135"/>
  <c r="BM143" i="135"/>
  <c r="BM144" i="135"/>
  <c r="BM145" i="135"/>
  <c r="BM146" i="135"/>
  <c r="BM147" i="135"/>
  <c r="BM148" i="135"/>
  <c r="BM149" i="135"/>
  <c r="BM150" i="135"/>
  <c r="BM151" i="135"/>
  <c r="BM152" i="135"/>
  <c r="BM153" i="135"/>
  <c r="BM154" i="135"/>
  <c r="BM155" i="135"/>
  <c r="BM156" i="135"/>
  <c r="BM157" i="135"/>
  <c r="BM158" i="135"/>
  <c r="BM159" i="135"/>
  <c r="BM160" i="135"/>
  <c r="BM161" i="135"/>
  <c r="BM162" i="135"/>
  <c r="BM163" i="135"/>
  <c r="BM164" i="135"/>
  <c r="BM165" i="135"/>
  <c r="BM166" i="135"/>
  <c r="BM167" i="135"/>
  <c r="BM168" i="135"/>
  <c r="BM169" i="135"/>
  <c r="BM170" i="135"/>
  <c r="BM171" i="135"/>
  <c r="BM172" i="135"/>
  <c r="BM173" i="135"/>
  <c r="BM174" i="135"/>
  <c r="BM175" i="135"/>
  <c r="BM176" i="135"/>
  <c r="BM177" i="135"/>
  <c r="BM178" i="135"/>
  <c r="BM179" i="135"/>
  <c r="BM180" i="135"/>
  <c r="BM181" i="135"/>
  <c r="BM182" i="135"/>
  <c r="BM183" i="135"/>
  <c r="BM184" i="135"/>
  <c r="BM185" i="135"/>
  <c r="BM186" i="135"/>
  <c r="BM187" i="135"/>
  <c r="BM188" i="135"/>
  <c r="BM189" i="135"/>
  <c r="BM190" i="135"/>
  <c r="BM191" i="135"/>
  <c r="BM192" i="135"/>
  <c r="BM193" i="135"/>
  <c r="BM194" i="135"/>
  <c r="BM195" i="135"/>
  <c r="BM196" i="135"/>
  <c r="BM197" i="135"/>
  <c r="BM198" i="135"/>
  <c r="BM199" i="135"/>
  <c r="BM200" i="135"/>
  <c r="BM201" i="135"/>
  <c r="BM202" i="135"/>
  <c r="BM203" i="135"/>
  <c r="BM204" i="135"/>
  <c r="BM205" i="135"/>
  <c r="BM206" i="135"/>
  <c r="BM207" i="135"/>
  <c r="BM208" i="135"/>
  <c r="BM209" i="135"/>
  <c r="BM210" i="135"/>
  <c r="BM211" i="135"/>
  <c r="BM212" i="135"/>
  <c r="BM213" i="135"/>
  <c r="BM214" i="135"/>
  <c r="BM215" i="135"/>
  <c r="BM216" i="135"/>
  <c r="BM217" i="135"/>
  <c r="BM218" i="135"/>
  <c r="BM219" i="135"/>
  <c r="BM220" i="135"/>
  <c r="BM221" i="135"/>
  <c r="BM222" i="135"/>
  <c r="BM223" i="135"/>
  <c r="BM224" i="135"/>
  <c r="BM225" i="135"/>
  <c r="BM226" i="135"/>
  <c r="BM227" i="135"/>
  <c r="BM228" i="135"/>
  <c r="BM229" i="135"/>
  <c r="BM230" i="135"/>
  <c r="BM231" i="135"/>
  <c r="BM232" i="135"/>
  <c r="BM233" i="135"/>
  <c r="BM234" i="135"/>
  <c r="BM235" i="135"/>
  <c r="BM236" i="135"/>
  <c r="BM237" i="135"/>
  <c r="BM238" i="135"/>
  <c r="BM239" i="135"/>
  <c r="BM240" i="135"/>
  <c r="BM241" i="135"/>
  <c r="BM242" i="135"/>
  <c r="BM243" i="135"/>
  <c r="BM244" i="135"/>
  <c r="BM245" i="135"/>
  <c r="BM246" i="135"/>
  <c r="BM247" i="135"/>
  <c r="BM248" i="135"/>
  <c r="BM249" i="135"/>
  <c r="BM250" i="135"/>
  <c r="BM251" i="135"/>
  <c r="BM252" i="135"/>
  <c r="BM253" i="135"/>
  <c r="BM254" i="135"/>
  <c r="BM255" i="135"/>
  <c r="BM256" i="135"/>
  <c r="BM257" i="135"/>
  <c r="BM258" i="135"/>
  <c r="BM259" i="135"/>
  <c r="BM260" i="135"/>
  <c r="BM261" i="135"/>
  <c r="BM262" i="135"/>
  <c r="BM263" i="135"/>
  <c r="BM264" i="135"/>
  <c r="BM265" i="135"/>
  <c r="BM266" i="135"/>
  <c r="BM267" i="135"/>
  <c r="BM268" i="135"/>
  <c r="BM269" i="135"/>
  <c r="BM270" i="135"/>
  <c r="BM271" i="135"/>
  <c r="BM272" i="135"/>
  <c r="BM273" i="135"/>
  <c r="BM274" i="135"/>
  <c r="BM275" i="135"/>
  <c r="BM276" i="135"/>
  <c r="BM277" i="135"/>
  <c r="BM278" i="135"/>
  <c r="BM279" i="135"/>
  <c r="BM280" i="135"/>
  <c r="BM281" i="135"/>
  <c r="BM282" i="135"/>
  <c r="BM283" i="135"/>
  <c r="BM284" i="135"/>
  <c r="BM285" i="135"/>
  <c r="BN2" i="135"/>
  <c r="BN3" i="135"/>
  <c r="BN4" i="135"/>
  <c r="BN5" i="135"/>
  <c r="BN6" i="135"/>
  <c r="BN7" i="135"/>
  <c r="BN8" i="135"/>
  <c r="BN9" i="135"/>
  <c r="BN10" i="135"/>
  <c r="BN11" i="135"/>
  <c r="BN12" i="135"/>
  <c r="BN13" i="135"/>
  <c r="BN14" i="135"/>
  <c r="BN15" i="135"/>
  <c r="BN16" i="135"/>
  <c r="BN17" i="135"/>
  <c r="BN18" i="135"/>
  <c r="BN19" i="135"/>
  <c r="BN20" i="135"/>
  <c r="BN21" i="135"/>
  <c r="BN22" i="135"/>
  <c r="BN23" i="135"/>
  <c r="BN24" i="135"/>
  <c r="BN25" i="135"/>
  <c r="BN26" i="135"/>
  <c r="BN27" i="135"/>
  <c r="BN28" i="135"/>
  <c r="BN29" i="135"/>
  <c r="BN30" i="135"/>
  <c r="BN31" i="135"/>
  <c r="BN32" i="135"/>
  <c r="BN33" i="135"/>
  <c r="BN34" i="135"/>
  <c r="BN35" i="135"/>
  <c r="BN36" i="135"/>
  <c r="BN37" i="135"/>
  <c r="BN38" i="135"/>
  <c r="BN39" i="135"/>
  <c r="BN40" i="135"/>
  <c r="BN41" i="135"/>
  <c r="BN42" i="135"/>
  <c r="BN43" i="135"/>
  <c r="BN44" i="135"/>
  <c r="BN45" i="135"/>
  <c r="BN46" i="135"/>
  <c r="BN47" i="135"/>
  <c r="BN48" i="135"/>
  <c r="BN49" i="135"/>
  <c r="BN50" i="135"/>
  <c r="BN51" i="135"/>
  <c r="BN52" i="135"/>
  <c r="BN53" i="135"/>
  <c r="BN54" i="135"/>
  <c r="BN55" i="135"/>
  <c r="BN56" i="135"/>
  <c r="BN57" i="135"/>
  <c r="BN58" i="135"/>
  <c r="BN59" i="135"/>
  <c r="BN60" i="135"/>
  <c r="BN61" i="135"/>
  <c r="BN62" i="135"/>
  <c r="BN63" i="135"/>
  <c r="BN64" i="135"/>
  <c r="BN65" i="135"/>
  <c r="BN66" i="135"/>
  <c r="BN67" i="135"/>
  <c r="BN68" i="135"/>
  <c r="BN69" i="135"/>
  <c r="BN70" i="135"/>
  <c r="BN71" i="135"/>
  <c r="BN72" i="135"/>
  <c r="BN73" i="135"/>
  <c r="BN74" i="135"/>
  <c r="BN75" i="135"/>
  <c r="BN76" i="135"/>
  <c r="BN77" i="135"/>
  <c r="BN78" i="135"/>
  <c r="BN79" i="135"/>
  <c r="BN80" i="135"/>
  <c r="BN81" i="135"/>
  <c r="BN82" i="135"/>
  <c r="BN83" i="135"/>
  <c r="BN84" i="135"/>
  <c r="BN85" i="135"/>
  <c r="BN86" i="135"/>
  <c r="BN87" i="135"/>
  <c r="BN88" i="135"/>
  <c r="BN89" i="135"/>
  <c r="BN90" i="135"/>
  <c r="BN91" i="135"/>
  <c r="BN92" i="135"/>
  <c r="BN93" i="135"/>
  <c r="BN94" i="135"/>
  <c r="BN95" i="135"/>
  <c r="BN96" i="135"/>
  <c r="BN97" i="135"/>
  <c r="BN98" i="135"/>
  <c r="BN99" i="135"/>
  <c r="BN100" i="135"/>
  <c r="BN101" i="135"/>
  <c r="BN102" i="135"/>
  <c r="BN103" i="135"/>
  <c r="BN104" i="135"/>
  <c r="BN105" i="135"/>
  <c r="BN106" i="135"/>
  <c r="BN107" i="135"/>
  <c r="BN108" i="135"/>
  <c r="BN109" i="135"/>
  <c r="BN110" i="135"/>
  <c r="BN111" i="135"/>
  <c r="BN112" i="135"/>
  <c r="BN113" i="135"/>
  <c r="BN114" i="135"/>
  <c r="BN115" i="135"/>
  <c r="BN116" i="135"/>
  <c r="BN117" i="135"/>
  <c r="BN118" i="135"/>
  <c r="BN119" i="135"/>
  <c r="BN120" i="135"/>
  <c r="BN121" i="135"/>
  <c r="BN122" i="135"/>
  <c r="BN123" i="135"/>
  <c r="BN124" i="135"/>
  <c r="BN125" i="135"/>
  <c r="BN126" i="135"/>
  <c r="BN127" i="135"/>
  <c r="BN128" i="135"/>
  <c r="BN129" i="135"/>
  <c r="BN130" i="135"/>
  <c r="BN131" i="135"/>
  <c r="BN132" i="135"/>
  <c r="BN133" i="135"/>
  <c r="BN134" i="135"/>
  <c r="BN135" i="135"/>
  <c r="BN136" i="135"/>
  <c r="BN137" i="135"/>
  <c r="BN138" i="135"/>
  <c r="BN139" i="135"/>
  <c r="BN140" i="135"/>
  <c r="BN141" i="135"/>
  <c r="BN142" i="135"/>
  <c r="BN143" i="135"/>
  <c r="BN144" i="135"/>
  <c r="BN145" i="135"/>
  <c r="BN146" i="135"/>
  <c r="BN147" i="135"/>
  <c r="BN148" i="135"/>
  <c r="BN149" i="135"/>
  <c r="BN150" i="135"/>
  <c r="BN151" i="135"/>
  <c r="BN152" i="135"/>
  <c r="BN153" i="135"/>
  <c r="BN154" i="135"/>
  <c r="BN155" i="135"/>
  <c r="BN156" i="135"/>
  <c r="BN157" i="135"/>
  <c r="BN158" i="135"/>
  <c r="BN159" i="135"/>
  <c r="BN160" i="135"/>
  <c r="BN161" i="135"/>
  <c r="BN162" i="135"/>
  <c r="BN163" i="135"/>
  <c r="BN164" i="135"/>
  <c r="BN165" i="135"/>
  <c r="BN166" i="135"/>
  <c r="BN167" i="135"/>
  <c r="BN168" i="135"/>
  <c r="BN169" i="135"/>
  <c r="BN170" i="135"/>
  <c r="BN171" i="135"/>
  <c r="BN172" i="135"/>
  <c r="BN173" i="135"/>
  <c r="BN174" i="135"/>
  <c r="BN175" i="135"/>
  <c r="BN176" i="135"/>
  <c r="BN177" i="135"/>
  <c r="BN178" i="135"/>
  <c r="BN179" i="135"/>
  <c r="BN180" i="135"/>
  <c r="BN181" i="135"/>
  <c r="BN182" i="135"/>
  <c r="BN183" i="135"/>
  <c r="BN184" i="135"/>
  <c r="BN185" i="135"/>
  <c r="BN186" i="135"/>
  <c r="BN187" i="135"/>
  <c r="BN188" i="135"/>
  <c r="BN189" i="135"/>
  <c r="BN190" i="135"/>
  <c r="BN191" i="135"/>
  <c r="BN192" i="135"/>
  <c r="BN193" i="135"/>
  <c r="BN194" i="135"/>
  <c r="BN195" i="135"/>
  <c r="BN196" i="135"/>
  <c r="BN197" i="135"/>
  <c r="BN198" i="135"/>
  <c r="BN199" i="135"/>
  <c r="BN200" i="135"/>
  <c r="BN201" i="135"/>
  <c r="BN202" i="135"/>
  <c r="BN203" i="135"/>
  <c r="BN204" i="135"/>
  <c r="BN205" i="135"/>
  <c r="BN206" i="135"/>
  <c r="BN207" i="135"/>
  <c r="BN208" i="135"/>
  <c r="BN209" i="135"/>
  <c r="BN210" i="135"/>
  <c r="BN211" i="135"/>
  <c r="BN212" i="135"/>
  <c r="BN213" i="135"/>
  <c r="BN214" i="135"/>
  <c r="BN215" i="135"/>
  <c r="BN216" i="135"/>
  <c r="BN217" i="135"/>
  <c r="BN218" i="135"/>
  <c r="BN219" i="135"/>
  <c r="BN220" i="135"/>
  <c r="BN221" i="135"/>
  <c r="BN222" i="135"/>
  <c r="BN223" i="135"/>
  <c r="BN224" i="135"/>
  <c r="BN225" i="135"/>
  <c r="BN226" i="135"/>
  <c r="BN227" i="135"/>
  <c r="BN228" i="135"/>
  <c r="BN229" i="135"/>
  <c r="BN230" i="135"/>
  <c r="BN231" i="135"/>
  <c r="BN232" i="135"/>
  <c r="BN233" i="135"/>
  <c r="BN234" i="135"/>
  <c r="BN235" i="135"/>
  <c r="BN236" i="135"/>
  <c r="BN237" i="135"/>
  <c r="BN238" i="135"/>
  <c r="BN239" i="135"/>
  <c r="BN240" i="135"/>
  <c r="BN241" i="135"/>
  <c r="BN242" i="135"/>
  <c r="BN243" i="135"/>
  <c r="BN244" i="135"/>
  <c r="BN245" i="135"/>
  <c r="BN246" i="135"/>
  <c r="BN247" i="135"/>
  <c r="BN248" i="135"/>
  <c r="BN249" i="135"/>
  <c r="BN250" i="135"/>
  <c r="BN251" i="135"/>
  <c r="BN252" i="135"/>
  <c r="BN253" i="135"/>
  <c r="BN254" i="135"/>
  <c r="BN255" i="135"/>
  <c r="BN256" i="135"/>
  <c r="BN257" i="135"/>
  <c r="BN258" i="135"/>
  <c r="BN259" i="135"/>
  <c r="BN260" i="135"/>
  <c r="BN261" i="135"/>
  <c r="BN262" i="135"/>
  <c r="BN263" i="135"/>
  <c r="BN264" i="135"/>
  <c r="BN265" i="135"/>
  <c r="BN266" i="135"/>
  <c r="BN267" i="135"/>
  <c r="BN268" i="135"/>
  <c r="BN269" i="135"/>
  <c r="BN270" i="135"/>
  <c r="BN271" i="135"/>
  <c r="BN272" i="135"/>
  <c r="BN273" i="135"/>
  <c r="BN274" i="135"/>
  <c r="BN275" i="135"/>
  <c r="BN276" i="135"/>
  <c r="BN277" i="135"/>
  <c r="BN278" i="135"/>
  <c r="BN279" i="135"/>
  <c r="BN280" i="135"/>
  <c r="BN281" i="135"/>
  <c r="BN282" i="135"/>
  <c r="BN283" i="135"/>
  <c r="BN284" i="135"/>
  <c r="BN285" i="135"/>
  <c r="BO2" i="135"/>
  <c r="BO3" i="135"/>
  <c r="BO4" i="135"/>
  <c r="BO5" i="135"/>
  <c r="BO6" i="135"/>
  <c r="BO7" i="135"/>
  <c r="BO8" i="135"/>
  <c r="BO9" i="135"/>
  <c r="BO10" i="135"/>
  <c r="BO11" i="135"/>
  <c r="BO12" i="135"/>
  <c r="BO13" i="135"/>
  <c r="BO14" i="135"/>
  <c r="BO15" i="135"/>
  <c r="BO16" i="135"/>
  <c r="BO17" i="135"/>
  <c r="BO18" i="135"/>
  <c r="BO19" i="135"/>
  <c r="BO20" i="135"/>
  <c r="BO21" i="135"/>
  <c r="BO22" i="135"/>
  <c r="BO23" i="135"/>
  <c r="BO24" i="135"/>
  <c r="BO25" i="135"/>
  <c r="BO26" i="135"/>
  <c r="BO27" i="135"/>
  <c r="BO28" i="135"/>
  <c r="BO29" i="135"/>
  <c r="BO30" i="135"/>
  <c r="BO31" i="135"/>
  <c r="BO32" i="135"/>
  <c r="BO33" i="135"/>
  <c r="BO34" i="135"/>
  <c r="BO35" i="135"/>
  <c r="BO36" i="135"/>
  <c r="BO37" i="135"/>
  <c r="BO38" i="135"/>
  <c r="BO39" i="135"/>
  <c r="BO40" i="135"/>
  <c r="BO41" i="135"/>
  <c r="BO42" i="135"/>
  <c r="BO43" i="135"/>
  <c r="BO44" i="135"/>
  <c r="BO45" i="135"/>
  <c r="BO46" i="135"/>
  <c r="BO47" i="135"/>
  <c r="BO48" i="135"/>
  <c r="BO49" i="135"/>
  <c r="BO50" i="135"/>
  <c r="BO51" i="135"/>
  <c r="BO52" i="135"/>
  <c r="BO53" i="135"/>
  <c r="BO54" i="135"/>
  <c r="BO55" i="135"/>
  <c r="BO56" i="135"/>
  <c r="BO57" i="135"/>
  <c r="BO58" i="135"/>
  <c r="BO59" i="135"/>
  <c r="BO60" i="135"/>
  <c r="BO61" i="135"/>
  <c r="BO62" i="135"/>
  <c r="BO63" i="135"/>
  <c r="BO64" i="135"/>
  <c r="BO65" i="135"/>
  <c r="BO66" i="135"/>
  <c r="BO67" i="135"/>
  <c r="BO68" i="135"/>
  <c r="BO69" i="135"/>
  <c r="BO70" i="135"/>
  <c r="BO71" i="135"/>
  <c r="BO72" i="135"/>
  <c r="BO73" i="135"/>
  <c r="BO74" i="135"/>
  <c r="BO75" i="135"/>
  <c r="BO76" i="135"/>
  <c r="BO77" i="135"/>
  <c r="BO78" i="135"/>
  <c r="BO79" i="135"/>
  <c r="BO80" i="135"/>
  <c r="BO81" i="135"/>
  <c r="BO82" i="135"/>
  <c r="BO83" i="135"/>
  <c r="BO84" i="135"/>
  <c r="BO85" i="135"/>
  <c r="BO86" i="135"/>
  <c r="BO87" i="135"/>
  <c r="BO88" i="135"/>
  <c r="BO89" i="135"/>
  <c r="BO90" i="135"/>
  <c r="BO91" i="135"/>
  <c r="BO92" i="135"/>
  <c r="BO93" i="135"/>
  <c r="BO94" i="135"/>
  <c r="BO95" i="135"/>
  <c r="BO96" i="135"/>
  <c r="BO97" i="135"/>
  <c r="BO98" i="135"/>
  <c r="BO99" i="135"/>
  <c r="BO100" i="135"/>
  <c r="BO101" i="135"/>
  <c r="BO102" i="135"/>
  <c r="BO103" i="135"/>
  <c r="BO104" i="135"/>
  <c r="BO105" i="135"/>
  <c r="BO106" i="135"/>
  <c r="BO107" i="135"/>
  <c r="BO108" i="135"/>
  <c r="BO109" i="135"/>
  <c r="BO110" i="135"/>
  <c r="BO111" i="135"/>
  <c r="BO112" i="135"/>
  <c r="BO113" i="135"/>
  <c r="BO114" i="135"/>
  <c r="BO115" i="135"/>
  <c r="BO116" i="135"/>
  <c r="BO117" i="135"/>
  <c r="BO118" i="135"/>
  <c r="BO119" i="135"/>
  <c r="BO120" i="135"/>
  <c r="BO121" i="135"/>
  <c r="BO122" i="135"/>
  <c r="BO123" i="135"/>
  <c r="BO124" i="135"/>
  <c r="BO125" i="135"/>
  <c r="BO126" i="135"/>
  <c r="BO127" i="135"/>
  <c r="BO128" i="135"/>
  <c r="BO129" i="135"/>
  <c r="BO130" i="135"/>
  <c r="BO131" i="135"/>
  <c r="BO132" i="135"/>
  <c r="BO133" i="135"/>
  <c r="BO134" i="135"/>
  <c r="BO135" i="135"/>
  <c r="BO136" i="135"/>
  <c r="BO137" i="135"/>
  <c r="BO138" i="135"/>
  <c r="BO139" i="135"/>
  <c r="BO140" i="135"/>
  <c r="BO141" i="135"/>
  <c r="BO142" i="135"/>
  <c r="BO143" i="135"/>
  <c r="BO144" i="135"/>
  <c r="BO145" i="135"/>
  <c r="BO146" i="135"/>
  <c r="BO147" i="135"/>
  <c r="BO148" i="135"/>
  <c r="BO149" i="135"/>
  <c r="BO150" i="135"/>
  <c r="BO151" i="135"/>
  <c r="BO152" i="135"/>
  <c r="BO153" i="135"/>
  <c r="BO154" i="135"/>
  <c r="BO155" i="135"/>
  <c r="BO156" i="135"/>
  <c r="BO157" i="135"/>
  <c r="BO158" i="135"/>
  <c r="BO159" i="135"/>
  <c r="BO160" i="135"/>
  <c r="BO161" i="135"/>
  <c r="BO162" i="135"/>
  <c r="BO163" i="135"/>
  <c r="BO164" i="135"/>
  <c r="BO165" i="135"/>
  <c r="BO166" i="135"/>
  <c r="BO167" i="135"/>
  <c r="BO168" i="135"/>
  <c r="BO169" i="135"/>
  <c r="BO170" i="135"/>
  <c r="BO171" i="135"/>
  <c r="BO172" i="135"/>
  <c r="BO173" i="135"/>
  <c r="BO174" i="135"/>
  <c r="BO175" i="135"/>
  <c r="BO176" i="135"/>
  <c r="BO177" i="135"/>
  <c r="BO178" i="135"/>
  <c r="BO179" i="135"/>
  <c r="BO180" i="135"/>
  <c r="BO181" i="135"/>
  <c r="BO182" i="135"/>
  <c r="BO183" i="135"/>
  <c r="BO184" i="135"/>
  <c r="BO185" i="135"/>
  <c r="BO186" i="135"/>
  <c r="BO187" i="135"/>
  <c r="BO188" i="135"/>
  <c r="BO189" i="135"/>
  <c r="BO190" i="135"/>
  <c r="BO191" i="135"/>
  <c r="BO192" i="135"/>
  <c r="BO193" i="135"/>
  <c r="BO194" i="135"/>
  <c r="BO195" i="135"/>
  <c r="BO196" i="135"/>
  <c r="BO197" i="135"/>
  <c r="BO198" i="135"/>
  <c r="BO199" i="135"/>
  <c r="BO200" i="135"/>
  <c r="BO201" i="135"/>
  <c r="BO202" i="135"/>
  <c r="BO203" i="135"/>
  <c r="BO204" i="135"/>
  <c r="BO205" i="135"/>
  <c r="BO206" i="135"/>
  <c r="BO207" i="135"/>
  <c r="BO208" i="135"/>
  <c r="BO209" i="135"/>
  <c r="BO210" i="135"/>
  <c r="BO211" i="135"/>
  <c r="BO212" i="135"/>
  <c r="BO213" i="135"/>
  <c r="BO214" i="135"/>
  <c r="BO215" i="135"/>
  <c r="BO216" i="135"/>
  <c r="BO217" i="135"/>
  <c r="BO218" i="135"/>
  <c r="BO219" i="135"/>
  <c r="BO220" i="135"/>
  <c r="BO221" i="135"/>
  <c r="BO222" i="135"/>
  <c r="BO223" i="135"/>
  <c r="BO224" i="135"/>
  <c r="BO225" i="135"/>
  <c r="BO226" i="135"/>
  <c r="BO227" i="135"/>
  <c r="BO228" i="135"/>
  <c r="BO229" i="135"/>
  <c r="BO230" i="135"/>
  <c r="BO231" i="135"/>
  <c r="BO232" i="135"/>
  <c r="BO233" i="135"/>
  <c r="BO234" i="135"/>
  <c r="BO235" i="135"/>
  <c r="BO236" i="135"/>
  <c r="BO237" i="135"/>
  <c r="BO238" i="135"/>
  <c r="BO239" i="135"/>
  <c r="BO240" i="135"/>
  <c r="BO241" i="135"/>
  <c r="BO242" i="135"/>
  <c r="BO243" i="135"/>
  <c r="BO244" i="135"/>
  <c r="BO245" i="135"/>
  <c r="BO246" i="135"/>
  <c r="BO247" i="135"/>
  <c r="BO248" i="135"/>
  <c r="BO249" i="135"/>
  <c r="BO250" i="135"/>
  <c r="BO251" i="135"/>
  <c r="BO252" i="135"/>
  <c r="BO253" i="135"/>
  <c r="BO254" i="135"/>
  <c r="BO255" i="135"/>
  <c r="BO256" i="135"/>
  <c r="BO257" i="135"/>
  <c r="BO258" i="135"/>
  <c r="BO259" i="135"/>
  <c r="BO260" i="135"/>
  <c r="BO261" i="135"/>
  <c r="BO262" i="135"/>
  <c r="BO263" i="135"/>
  <c r="BO264" i="135"/>
  <c r="BO265" i="135"/>
  <c r="BO266" i="135"/>
  <c r="BO267" i="135"/>
  <c r="BO268" i="135"/>
  <c r="BO269" i="135"/>
  <c r="BO270" i="135"/>
  <c r="BO271" i="135"/>
  <c r="BO272" i="135"/>
  <c r="BO273" i="135"/>
  <c r="BO274" i="135"/>
  <c r="BO275" i="135"/>
  <c r="BO276" i="135"/>
  <c r="BO277" i="135"/>
  <c r="BO278" i="135"/>
  <c r="BO279" i="135"/>
  <c r="BO280" i="135"/>
  <c r="BO281" i="135"/>
  <c r="BO282" i="135"/>
  <c r="BO283" i="135"/>
  <c r="BO284" i="135"/>
  <c r="BO285" i="135"/>
  <c r="BP2" i="135"/>
  <c r="BP3" i="135"/>
  <c r="BP4" i="135"/>
  <c r="BP5" i="135"/>
  <c r="BP6" i="135"/>
  <c r="BP7" i="135"/>
  <c r="BP8" i="135"/>
  <c r="BP9" i="135"/>
  <c r="BP10" i="135"/>
  <c r="BP11" i="135"/>
  <c r="BP12" i="135"/>
  <c r="BP13" i="135"/>
  <c r="BP14" i="135"/>
  <c r="BP15" i="135"/>
  <c r="BP16" i="135"/>
  <c r="BP17" i="135"/>
  <c r="BP18" i="135"/>
  <c r="BP19" i="135"/>
  <c r="BP20" i="135"/>
  <c r="BP21" i="135"/>
  <c r="BP22" i="135"/>
  <c r="BP23" i="135"/>
  <c r="BP24" i="135"/>
  <c r="BP25" i="135"/>
  <c r="BP26" i="135"/>
  <c r="BP27" i="135"/>
  <c r="BP28" i="135"/>
  <c r="BP29" i="135"/>
  <c r="BP30" i="135"/>
  <c r="BP31" i="135"/>
  <c r="BP32" i="135"/>
  <c r="BP33" i="135"/>
  <c r="BP34" i="135"/>
  <c r="BP35" i="135"/>
  <c r="BP36" i="135"/>
  <c r="BP37" i="135"/>
  <c r="BP38" i="135"/>
  <c r="BP39" i="135"/>
  <c r="BP40" i="135"/>
  <c r="BP41" i="135"/>
  <c r="BP42" i="135"/>
  <c r="BP43" i="135"/>
  <c r="BP44" i="135"/>
  <c r="BP45" i="135"/>
  <c r="BP46" i="135"/>
  <c r="BP47" i="135"/>
  <c r="BP48" i="135"/>
  <c r="BP49" i="135"/>
  <c r="BP50" i="135"/>
  <c r="BP51" i="135"/>
  <c r="BP52" i="135"/>
  <c r="BP53" i="135"/>
  <c r="BP54" i="135"/>
  <c r="BP55" i="135"/>
  <c r="BP56" i="135"/>
  <c r="BP57" i="135"/>
  <c r="BP58" i="135"/>
  <c r="BP59" i="135"/>
  <c r="BP60" i="135"/>
  <c r="BP61" i="135"/>
  <c r="BP62" i="135"/>
  <c r="BP63" i="135"/>
  <c r="BP64" i="135"/>
  <c r="BP65" i="135"/>
  <c r="BP66" i="135"/>
  <c r="BP67" i="135"/>
  <c r="BP68" i="135"/>
  <c r="BP69" i="135"/>
  <c r="BP70" i="135"/>
  <c r="BP71" i="135"/>
  <c r="BP72" i="135"/>
  <c r="BP73" i="135"/>
  <c r="BP74" i="135"/>
  <c r="BP75" i="135"/>
  <c r="BP76" i="135"/>
  <c r="BP77" i="135"/>
  <c r="BP78" i="135"/>
  <c r="BP79" i="135"/>
  <c r="BP80" i="135"/>
  <c r="BP81" i="135"/>
  <c r="BP82" i="135"/>
  <c r="BP83" i="135"/>
  <c r="BP84" i="135"/>
  <c r="BP85" i="135"/>
  <c r="BP86" i="135"/>
  <c r="BP87" i="135"/>
  <c r="BP88" i="135"/>
  <c r="BP89" i="135"/>
  <c r="BP90" i="135"/>
  <c r="BP91" i="135"/>
  <c r="BP92" i="135"/>
  <c r="BP93" i="135"/>
  <c r="BP94" i="135"/>
  <c r="BP95" i="135"/>
  <c r="BP96" i="135"/>
  <c r="BP97" i="135"/>
  <c r="BP98" i="135"/>
  <c r="BP99" i="135"/>
  <c r="BP100" i="135"/>
  <c r="BP101" i="135"/>
  <c r="BP102" i="135"/>
  <c r="BP103" i="135"/>
  <c r="BP104" i="135"/>
  <c r="BP105" i="135"/>
  <c r="BP106" i="135"/>
  <c r="BP107" i="135"/>
  <c r="BP108" i="135"/>
  <c r="BP109" i="135"/>
  <c r="BP110" i="135"/>
  <c r="BP111" i="135"/>
  <c r="BP112" i="135"/>
  <c r="BP113" i="135"/>
  <c r="BP114" i="135"/>
  <c r="BP115" i="135"/>
  <c r="BP116" i="135"/>
  <c r="BP117" i="135"/>
  <c r="BP118" i="135"/>
  <c r="BP119" i="135"/>
  <c r="BP120" i="135"/>
  <c r="BP121" i="135"/>
  <c r="BP122" i="135"/>
  <c r="BP123" i="135"/>
  <c r="BP124" i="135"/>
  <c r="BP125" i="135"/>
  <c r="BP126" i="135"/>
  <c r="BP127" i="135"/>
  <c r="BP128" i="135"/>
  <c r="BP129" i="135"/>
  <c r="BP130" i="135"/>
  <c r="BP131" i="135"/>
  <c r="BP132" i="135"/>
  <c r="BP133" i="135"/>
  <c r="BP134" i="135"/>
  <c r="BP135" i="135"/>
  <c r="BP136" i="135"/>
  <c r="BP137" i="135"/>
  <c r="BP138" i="135"/>
  <c r="BP139" i="135"/>
  <c r="BP140" i="135"/>
  <c r="BP141" i="135"/>
  <c r="BP142" i="135"/>
  <c r="BP143" i="135"/>
  <c r="BP144" i="135"/>
  <c r="BP145" i="135"/>
  <c r="BP146" i="135"/>
  <c r="BP147" i="135"/>
  <c r="BP148" i="135"/>
  <c r="BP149" i="135"/>
  <c r="BP150" i="135"/>
  <c r="BP151" i="135"/>
  <c r="BP152" i="135"/>
  <c r="BP153" i="135"/>
  <c r="BP154" i="135"/>
  <c r="BP155" i="135"/>
  <c r="BP156" i="135"/>
  <c r="BP157" i="135"/>
  <c r="BP158" i="135"/>
  <c r="BP159" i="135"/>
  <c r="BP160" i="135"/>
  <c r="BP161" i="135"/>
  <c r="BP162" i="135"/>
  <c r="BP163" i="135"/>
  <c r="BP164" i="135"/>
  <c r="BP165" i="135"/>
  <c r="BP166" i="135"/>
  <c r="BP167" i="135"/>
  <c r="BP168" i="135"/>
  <c r="BP169" i="135"/>
  <c r="BP170" i="135"/>
  <c r="BP171" i="135"/>
  <c r="BP172" i="135"/>
  <c r="BP173" i="135"/>
  <c r="BP174" i="135"/>
  <c r="BP175" i="135"/>
  <c r="BP176" i="135"/>
  <c r="BP177" i="135"/>
  <c r="BP178" i="135"/>
  <c r="BP179" i="135"/>
  <c r="BP180" i="135"/>
  <c r="BP181" i="135"/>
  <c r="BP182" i="135"/>
  <c r="BP183" i="135"/>
  <c r="BP184" i="135"/>
  <c r="BP185" i="135"/>
  <c r="BP186" i="135"/>
  <c r="BP187" i="135"/>
  <c r="BP188" i="135"/>
  <c r="BP189" i="135"/>
  <c r="BP190" i="135"/>
  <c r="BP191" i="135"/>
  <c r="BP192" i="135"/>
  <c r="BP193" i="135"/>
  <c r="BP194" i="135"/>
  <c r="BP195" i="135"/>
  <c r="BP196" i="135"/>
  <c r="BP197" i="135"/>
  <c r="BP198" i="135"/>
  <c r="BP199" i="135"/>
  <c r="BP200" i="135"/>
  <c r="BP201" i="135"/>
  <c r="BP202" i="135"/>
  <c r="BP203" i="135"/>
  <c r="BP204" i="135"/>
  <c r="BP205" i="135"/>
  <c r="BP206" i="135"/>
  <c r="BP207" i="135"/>
  <c r="BP208" i="135"/>
  <c r="BP209" i="135"/>
  <c r="BP210" i="135"/>
  <c r="BP211" i="135"/>
  <c r="BP212" i="135"/>
  <c r="BP213" i="135"/>
  <c r="BP214" i="135"/>
  <c r="BP215" i="135"/>
  <c r="BP216" i="135"/>
  <c r="BP217" i="135"/>
  <c r="BP218" i="135"/>
  <c r="BP219" i="135"/>
  <c r="BP220" i="135"/>
  <c r="BP221" i="135"/>
  <c r="BP222" i="135"/>
  <c r="BP223" i="135"/>
  <c r="BP224" i="135"/>
  <c r="BP225" i="135"/>
  <c r="BP226" i="135"/>
  <c r="BP227" i="135"/>
  <c r="BP228" i="135"/>
  <c r="BP229" i="135"/>
  <c r="BP230" i="135"/>
  <c r="BP231" i="135"/>
  <c r="BP232" i="135"/>
  <c r="BP233" i="135"/>
  <c r="BP234" i="135"/>
  <c r="BP235" i="135"/>
  <c r="BP236" i="135"/>
  <c r="BP237" i="135"/>
  <c r="BP238" i="135"/>
  <c r="BP239" i="135"/>
  <c r="BP240" i="135"/>
  <c r="BP241" i="135"/>
  <c r="BP242" i="135"/>
  <c r="BP243" i="135"/>
  <c r="BP244" i="135"/>
  <c r="BP245" i="135"/>
  <c r="BP246" i="135"/>
  <c r="BP247" i="135"/>
  <c r="BP248" i="135"/>
  <c r="BP249" i="135"/>
  <c r="BP250" i="135"/>
  <c r="BP251" i="135"/>
  <c r="BP252" i="135"/>
  <c r="BP253" i="135"/>
  <c r="BP254" i="135"/>
  <c r="BP255" i="135"/>
  <c r="BP256" i="135"/>
  <c r="BP257" i="135"/>
  <c r="BP258" i="135"/>
  <c r="BP259" i="135"/>
  <c r="BP260" i="135"/>
  <c r="BP261" i="135"/>
  <c r="BP262" i="135"/>
  <c r="BP263" i="135"/>
  <c r="BP264" i="135"/>
  <c r="BP265" i="135"/>
  <c r="BP266" i="135"/>
  <c r="BP267" i="135"/>
  <c r="BP268" i="135"/>
  <c r="BP269" i="135"/>
  <c r="BP270" i="135"/>
  <c r="BP271" i="135"/>
  <c r="BP272" i="135"/>
  <c r="BP273" i="135"/>
  <c r="BP274" i="135"/>
  <c r="BP275" i="135"/>
  <c r="BP276" i="135"/>
  <c r="BP277" i="135"/>
  <c r="BP278" i="135"/>
  <c r="BP279" i="135"/>
  <c r="BP280" i="135"/>
  <c r="BP281" i="135"/>
  <c r="BP282" i="135"/>
  <c r="BP283" i="135"/>
  <c r="BP284" i="135"/>
  <c r="BP285" i="135"/>
  <c r="BR2" i="135"/>
  <c r="BR3" i="135"/>
  <c r="BR4" i="135"/>
  <c r="BR5" i="135"/>
  <c r="BR6" i="135"/>
  <c r="BR7" i="135"/>
  <c r="BR8" i="135"/>
  <c r="BR9" i="135"/>
  <c r="BR10" i="135"/>
  <c r="BR11" i="135"/>
  <c r="BR12" i="135"/>
  <c r="BR13" i="135"/>
  <c r="BR14" i="135"/>
  <c r="BR15" i="135"/>
  <c r="BR16" i="135"/>
  <c r="BR17" i="135"/>
  <c r="BR18" i="135"/>
  <c r="BR19" i="135"/>
  <c r="BR20" i="135"/>
  <c r="BR21" i="135"/>
  <c r="BR22" i="135"/>
  <c r="BR23" i="135"/>
  <c r="BR24" i="135"/>
  <c r="BR25" i="135"/>
  <c r="BR26" i="135"/>
  <c r="BR27" i="135"/>
  <c r="BR28" i="135"/>
  <c r="BR29" i="135"/>
  <c r="BR30" i="135"/>
  <c r="BR31" i="135"/>
  <c r="BR32" i="135"/>
  <c r="BR33" i="135"/>
  <c r="BR34" i="135"/>
  <c r="BR35" i="135"/>
  <c r="BR36" i="135"/>
  <c r="BR37" i="135"/>
  <c r="BR38" i="135"/>
  <c r="BR39" i="135"/>
  <c r="BR40" i="135"/>
  <c r="BR41" i="135"/>
  <c r="BR42" i="135"/>
  <c r="BR43" i="135"/>
  <c r="BR44" i="135"/>
  <c r="BR45" i="135"/>
  <c r="BR46" i="135"/>
  <c r="BR47" i="135"/>
  <c r="BR48" i="135"/>
  <c r="BR49" i="135"/>
  <c r="BR50" i="135"/>
  <c r="BR51" i="135"/>
  <c r="BR52" i="135"/>
  <c r="BR53" i="135"/>
  <c r="BR54" i="135"/>
  <c r="BR55" i="135"/>
  <c r="BR56" i="135"/>
  <c r="BR57" i="135"/>
  <c r="BR58" i="135"/>
  <c r="BR59" i="135"/>
  <c r="BR60" i="135"/>
  <c r="BR61" i="135"/>
  <c r="BR62" i="135"/>
  <c r="BR63" i="135"/>
  <c r="BR64" i="135"/>
  <c r="BR65" i="135"/>
  <c r="BR66" i="135"/>
  <c r="BR67" i="135"/>
  <c r="BR68" i="135"/>
  <c r="BR69" i="135"/>
  <c r="BR70" i="135"/>
  <c r="BR71" i="135"/>
  <c r="BR72" i="135"/>
  <c r="BR73" i="135"/>
  <c r="BR74" i="135"/>
  <c r="BR75" i="135"/>
  <c r="BR76" i="135"/>
  <c r="BR77" i="135"/>
  <c r="BR78" i="135"/>
  <c r="BR79" i="135"/>
  <c r="BR80" i="135"/>
  <c r="BR81" i="135"/>
  <c r="BR82" i="135"/>
  <c r="BR83" i="135"/>
  <c r="BR84" i="135"/>
  <c r="BR85" i="135"/>
  <c r="BR86" i="135"/>
  <c r="BR87" i="135"/>
  <c r="BR88" i="135"/>
  <c r="BR89" i="135"/>
  <c r="BR90" i="135"/>
  <c r="BR91" i="135"/>
  <c r="BR92" i="135"/>
  <c r="BR93" i="135"/>
  <c r="BR94" i="135"/>
  <c r="BR95" i="135"/>
  <c r="BR96" i="135"/>
  <c r="BR97" i="135"/>
  <c r="BR98" i="135"/>
  <c r="BR99" i="135"/>
  <c r="BR100" i="135"/>
  <c r="BR101" i="135"/>
  <c r="BR102" i="135"/>
  <c r="BR103" i="135"/>
  <c r="BR104" i="135"/>
  <c r="BR105" i="135"/>
  <c r="BR106" i="135"/>
  <c r="BR107" i="135"/>
  <c r="BR108" i="135"/>
  <c r="BR109" i="135"/>
  <c r="BR110" i="135"/>
  <c r="BR111" i="135"/>
  <c r="BR112" i="135"/>
  <c r="BR113" i="135"/>
  <c r="BR114" i="135"/>
  <c r="BR115" i="135"/>
  <c r="BR116" i="135"/>
  <c r="BR117" i="135"/>
  <c r="BR118" i="135"/>
  <c r="BR119" i="135"/>
  <c r="BR120" i="135"/>
  <c r="BR121" i="135"/>
  <c r="BR122" i="135"/>
  <c r="BR123" i="135"/>
  <c r="BR124" i="135"/>
  <c r="BR125" i="135"/>
  <c r="BR126" i="135"/>
  <c r="BR127" i="135"/>
  <c r="BR128" i="135"/>
  <c r="BR129" i="135"/>
  <c r="BR130" i="135"/>
  <c r="BR131" i="135"/>
  <c r="BR132" i="135"/>
  <c r="BR133" i="135"/>
  <c r="BR134" i="135"/>
  <c r="BR135" i="135"/>
  <c r="BR136" i="135"/>
  <c r="BR137" i="135"/>
  <c r="BR138" i="135"/>
  <c r="BR139" i="135"/>
  <c r="BR140" i="135"/>
  <c r="BR141" i="135"/>
  <c r="BR142" i="135"/>
  <c r="BR143" i="135"/>
  <c r="BR144" i="135"/>
  <c r="BR145" i="135"/>
  <c r="BR146" i="135"/>
  <c r="BR147" i="135"/>
  <c r="BR148" i="135"/>
  <c r="BR149" i="135"/>
  <c r="BR150" i="135"/>
  <c r="BR151" i="135"/>
  <c r="BR152" i="135"/>
  <c r="BR153" i="135"/>
  <c r="BR154" i="135"/>
  <c r="BR155" i="135"/>
  <c r="BR156" i="135"/>
  <c r="BR157" i="135"/>
  <c r="BR158" i="135"/>
  <c r="BR159" i="135"/>
  <c r="BR160" i="135"/>
  <c r="BR161" i="135"/>
  <c r="BR162" i="135"/>
  <c r="BR163" i="135"/>
  <c r="BR164" i="135"/>
  <c r="BR165" i="135"/>
  <c r="BR166" i="135"/>
  <c r="BR167" i="135"/>
  <c r="BR168" i="135"/>
  <c r="BR169" i="135"/>
  <c r="BR170" i="135"/>
  <c r="BR171" i="135"/>
  <c r="BR172" i="135"/>
  <c r="BR173" i="135"/>
  <c r="BR174" i="135"/>
  <c r="BR175" i="135"/>
  <c r="BR176" i="135"/>
  <c r="BR177" i="135"/>
  <c r="BR178" i="135"/>
  <c r="BR179" i="135"/>
  <c r="BR180" i="135"/>
  <c r="BR181" i="135"/>
  <c r="BR182" i="135"/>
  <c r="BR183" i="135"/>
  <c r="BR184" i="135"/>
  <c r="BR185" i="135"/>
  <c r="BR186" i="135"/>
  <c r="BR187" i="135"/>
  <c r="BR188" i="135"/>
  <c r="BR189" i="135"/>
  <c r="BR190" i="135"/>
  <c r="BR191" i="135"/>
  <c r="BR192" i="135"/>
  <c r="BR193" i="135"/>
  <c r="BR194" i="135"/>
  <c r="BR195" i="135"/>
  <c r="BR196" i="135"/>
  <c r="BR197" i="135"/>
  <c r="BR198" i="135"/>
  <c r="BR199" i="135"/>
  <c r="BR200" i="135"/>
  <c r="BR201" i="135"/>
  <c r="BR202" i="135"/>
  <c r="BR203" i="135"/>
  <c r="BR204" i="135"/>
  <c r="BR205" i="135"/>
  <c r="BR206" i="135"/>
  <c r="BR207" i="135"/>
  <c r="BR208" i="135"/>
  <c r="BR209" i="135"/>
  <c r="BR210" i="135"/>
  <c r="BR211" i="135"/>
  <c r="BR212" i="135"/>
  <c r="BR213" i="135"/>
  <c r="BR214" i="135"/>
  <c r="BR215" i="135"/>
  <c r="BR216" i="135"/>
  <c r="BR217" i="135"/>
  <c r="BR218" i="135"/>
  <c r="BR219" i="135"/>
  <c r="BR220" i="135"/>
  <c r="BR221" i="135"/>
  <c r="BR222" i="135"/>
  <c r="BR223" i="135"/>
  <c r="BR224" i="135"/>
  <c r="BR225" i="135"/>
  <c r="BR226" i="135"/>
  <c r="BR227" i="135"/>
  <c r="BR228" i="135"/>
  <c r="BR229" i="135"/>
  <c r="BR230" i="135"/>
  <c r="BR231" i="135"/>
  <c r="BR232" i="135"/>
  <c r="BR233" i="135"/>
  <c r="BR234" i="135"/>
  <c r="BR235" i="135"/>
  <c r="BR236" i="135"/>
  <c r="BR237" i="135"/>
  <c r="BR238" i="135"/>
  <c r="BR239" i="135"/>
  <c r="BR240" i="135"/>
  <c r="BR241" i="135"/>
  <c r="BR242" i="135"/>
  <c r="BR243" i="135"/>
  <c r="BR244" i="135"/>
  <c r="BR245" i="135"/>
  <c r="BR246" i="135"/>
  <c r="BR247" i="135"/>
  <c r="BR248" i="135"/>
  <c r="BR249" i="135"/>
  <c r="BR250" i="135"/>
  <c r="BR251" i="135"/>
  <c r="BR252" i="135"/>
  <c r="BR253" i="135"/>
  <c r="BR254" i="135"/>
  <c r="BR255" i="135"/>
  <c r="BR256" i="135"/>
  <c r="BR257" i="135"/>
  <c r="BR258" i="135"/>
  <c r="BR259" i="135"/>
  <c r="BR260" i="135"/>
  <c r="BR261" i="135"/>
  <c r="BR262" i="135"/>
  <c r="BR263" i="135"/>
  <c r="BR264" i="135"/>
  <c r="BR265" i="135"/>
  <c r="BR266" i="135"/>
  <c r="BR267" i="135"/>
  <c r="BR268" i="135"/>
  <c r="BR269" i="135"/>
  <c r="BR270" i="135"/>
  <c r="BR271" i="135"/>
  <c r="BR272" i="135"/>
  <c r="BR273" i="135"/>
  <c r="BR274" i="135"/>
  <c r="BR275" i="135"/>
  <c r="BR276" i="135"/>
  <c r="BR277" i="135"/>
  <c r="BR278" i="135"/>
  <c r="BR279" i="135"/>
  <c r="BR280" i="135"/>
  <c r="BR281" i="135"/>
  <c r="BR282" i="135"/>
  <c r="BR283" i="135"/>
  <c r="BR284" i="135"/>
  <c r="BR285" i="135"/>
  <c r="BS2" i="135"/>
  <c r="BS3" i="135"/>
  <c r="BS4" i="135"/>
  <c r="BS5" i="135"/>
  <c r="BS6" i="135"/>
  <c r="BS7" i="135"/>
  <c r="BS8" i="135"/>
  <c r="BS9" i="135"/>
  <c r="BS10" i="135"/>
  <c r="BS11" i="135"/>
  <c r="BS12" i="135"/>
  <c r="BS13" i="135"/>
  <c r="BS14" i="135"/>
  <c r="BS15" i="135"/>
  <c r="BS16" i="135"/>
  <c r="BS17" i="135"/>
  <c r="BS18" i="135"/>
  <c r="BS19" i="135"/>
  <c r="BS20" i="135"/>
  <c r="BS21" i="135"/>
  <c r="BS22" i="135"/>
  <c r="BS23" i="135"/>
  <c r="BS24" i="135"/>
  <c r="BS25" i="135"/>
  <c r="BS26" i="135"/>
  <c r="BS27" i="135"/>
  <c r="BS28" i="135"/>
  <c r="BS29" i="135"/>
  <c r="BS30" i="135"/>
  <c r="BS31" i="135"/>
  <c r="BS32" i="135"/>
  <c r="BS33" i="135"/>
  <c r="BS34" i="135"/>
  <c r="BS35" i="135"/>
  <c r="BS36" i="135"/>
  <c r="BS37" i="135"/>
  <c r="BS38" i="135"/>
  <c r="BS39" i="135"/>
  <c r="BS40" i="135"/>
  <c r="BS41" i="135"/>
  <c r="BS42" i="135"/>
  <c r="BS43" i="135"/>
  <c r="BS44" i="135"/>
  <c r="BS45" i="135"/>
  <c r="BS46" i="135"/>
  <c r="BS47" i="135"/>
  <c r="BS48" i="135"/>
  <c r="BS49" i="135"/>
  <c r="BS50" i="135"/>
  <c r="BS51" i="135"/>
  <c r="BS52" i="135"/>
  <c r="BS53" i="135"/>
  <c r="BS54" i="135"/>
  <c r="BS55" i="135"/>
  <c r="BS56" i="135"/>
  <c r="BS57" i="135"/>
  <c r="BS58" i="135"/>
  <c r="BS59" i="135"/>
  <c r="BS60" i="135"/>
  <c r="BS61" i="135"/>
  <c r="BS62" i="135"/>
  <c r="BS63" i="135"/>
  <c r="BS64" i="135"/>
  <c r="BS65" i="135"/>
  <c r="BS66" i="135"/>
  <c r="BS67" i="135"/>
  <c r="BS68" i="135"/>
  <c r="BS69" i="135"/>
  <c r="BS70" i="135"/>
  <c r="BS71" i="135"/>
  <c r="BS72" i="135"/>
  <c r="BS73" i="135"/>
  <c r="BS74" i="135"/>
  <c r="BS75" i="135"/>
  <c r="BS76" i="135"/>
  <c r="BS77" i="135"/>
  <c r="BS78" i="135"/>
  <c r="BS79" i="135"/>
  <c r="BS80" i="135"/>
  <c r="BS81" i="135"/>
  <c r="BS82" i="135"/>
  <c r="BS83" i="135"/>
  <c r="BS84" i="135"/>
  <c r="BS85" i="135"/>
  <c r="BS86" i="135"/>
  <c r="BS87" i="135"/>
  <c r="BS88" i="135"/>
  <c r="BS89" i="135"/>
  <c r="BS90" i="135"/>
  <c r="BS91" i="135"/>
  <c r="BS92" i="135"/>
  <c r="BS93" i="135"/>
  <c r="BS94" i="135"/>
  <c r="BS95" i="135"/>
  <c r="BS96" i="135"/>
  <c r="BS97" i="135"/>
  <c r="BS98" i="135"/>
  <c r="BS99" i="135"/>
  <c r="BS100" i="135"/>
  <c r="BS101" i="135"/>
  <c r="BS102" i="135"/>
  <c r="BS103" i="135"/>
  <c r="BS104" i="135"/>
  <c r="BS105" i="135"/>
  <c r="BS106" i="135"/>
  <c r="BS107" i="135"/>
  <c r="BS108" i="135"/>
  <c r="BS109" i="135"/>
  <c r="BS110" i="135"/>
  <c r="BS111" i="135"/>
  <c r="BS112" i="135"/>
  <c r="BS113" i="135"/>
  <c r="BS114" i="135"/>
  <c r="BS115" i="135"/>
  <c r="BS116" i="135"/>
  <c r="BS117" i="135"/>
  <c r="BS118" i="135"/>
  <c r="BS119" i="135"/>
  <c r="BS120" i="135"/>
  <c r="BS121" i="135"/>
  <c r="BS122" i="135"/>
  <c r="BS123" i="135"/>
  <c r="BS124" i="135"/>
  <c r="BS125" i="135"/>
  <c r="BS126" i="135"/>
  <c r="BS127" i="135"/>
  <c r="BS128" i="135"/>
  <c r="BS129" i="135"/>
  <c r="BS130" i="135"/>
  <c r="BS131" i="135"/>
  <c r="BS132" i="135"/>
  <c r="BS133" i="135"/>
  <c r="BS134" i="135"/>
  <c r="BS135" i="135"/>
  <c r="BS136" i="135"/>
  <c r="BS137" i="135"/>
  <c r="BS138" i="135"/>
  <c r="BS139" i="135"/>
  <c r="BS140" i="135"/>
  <c r="BS141" i="135"/>
  <c r="BS142" i="135"/>
  <c r="BS143" i="135"/>
  <c r="BS144" i="135"/>
  <c r="BS145" i="135"/>
  <c r="BS146" i="135"/>
  <c r="BS147" i="135"/>
  <c r="BS148" i="135"/>
  <c r="BS149" i="135"/>
  <c r="BS150" i="135"/>
  <c r="BS151" i="135"/>
  <c r="BS152" i="135"/>
  <c r="BS153" i="135"/>
  <c r="BS154" i="135"/>
  <c r="BS155" i="135"/>
  <c r="BS156" i="135"/>
  <c r="BS157" i="135"/>
  <c r="BS158" i="135"/>
  <c r="BS159" i="135"/>
  <c r="BS160" i="135"/>
  <c r="BS161" i="135"/>
  <c r="BS162" i="135"/>
  <c r="BS163" i="135"/>
  <c r="BS164" i="135"/>
  <c r="BS165" i="135"/>
  <c r="BS166" i="135"/>
  <c r="BS167" i="135"/>
  <c r="BS168" i="135"/>
  <c r="BS169" i="135"/>
  <c r="BS170" i="135"/>
  <c r="BS171" i="135"/>
  <c r="BS172" i="135"/>
  <c r="BS173" i="135"/>
  <c r="BS174" i="135"/>
  <c r="BS175" i="135"/>
  <c r="BS176" i="135"/>
  <c r="BS177" i="135"/>
  <c r="BS178" i="135"/>
  <c r="BS179" i="135"/>
  <c r="BS180" i="135"/>
  <c r="BS181" i="135"/>
  <c r="BS182" i="135"/>
  <c r="BS183" i="135"/>
  <c r="BS184" i="135"/>
  <c r="BS185" i="135"/>
  <c r="BS186" i="135"/>
  <c r="BS187" i="135"/>
  <c r="BS188" i="135"/>
  <c r="BS189" i="135"/>
  <c r="BS190" i="135"/>
  <c r="BS191" i="135"/>
  <c r="BS192" i="135"/>
  <c r="BS193" i="135"/>
  <c r="BS194" i="135"/>
  <c r="BS195" i="135"/>
  <c r="BS196" i="135"/>
  <c r="BS197" i="135"/>
  <c r="BS198" i="135"/>
  <c r="BS199" i="135"/>
  <c r="BS200" i="135"/>
  <c r="BS201" i="135"/>
  <c r="BS202" i="135"/>
  <c r="BS203" i="135"/>
  <c r="BS204" i="135"/>
  <c r="BS205" i="135"/>
  <c r="BS206" i="135"/>
  <c r="BS207" i="135"/>
  <c r="BS208" i="135"/>
  <c r="BS209" i="135"/>
  <c r="BS210" i="135"/>
  <c r="BS211" i="135"/>
  <c r="BS212" i="135"/>
  <c r="BS213" i="135"/>
  <c r="BS214" i="135"/>
  <c r="BS215" i="135"/>
  <c r="BS216" i="135"/>
  <c r="BS217" i="135"/>
  <c r="BS218" i="135"/>
  <c r="BS219" i="135"/>
  <c r="BS220" i="135"/>
  <c r="BS221" i="135"/>
  <c r="BS222" i="135"/>
  <c r="BS223" i="135"/>
  <c r="BS224" i="135"/>
  <c r="BS225" i="135"/>
  <c r="BS226" i="135"/>
  <c r="BS227" i="135"/>
  <c r="BS228" i="135"/>
  <c r="BS229" i="135"/>
  <c r="BS230" i="135"/>
  <c r="BS231" i="135"/>
  <c r="BS232" i="135"/>
  <c r="BS233" i="135"/>
  <c r="BS234" i="135"/>
  <c r="BS235" i="135"/>
  <c r="BS236" i="135"/>
  <c r="BS237" i="135"/>
  <c r="BS238" i="135"/>
  <c r="BS239" i="135"/>
  <c r="BS240" i="135"/>
  <c r="BS241" i="135"/>
  <c r="BS242" i="135"/>
  <c r="BS243" i="135"/>
  <c r="BS244" i="135"/>
  <c r="BS245" i="135"/>
  <c r="BS246" i="135"/>
  <c r="BS247" i="135"/>
  <c r="BS248" i="135"/>
  <c r="BS249" i="135"/>
  <c r="BS250" i="135"/>
  <c r="BS251" i="135"/>
  <c r="BS252" i="135"/>
  <c r="BS253" i="135"/>
  <c r="BS254" i="135"/>
  <c r="BS255" i="135"/>
  <c r="BS256" i="135"/>
  <c r="BS257" i="135"/>
  <c r="BS258" i="135"/>
  <c r="BS259" i="135"/>
  <c r="BS260" i="135"/>
  <c r="BS261" i="135"/>
  <c r="BS262" i="135"/>
  <c r="BS263" i="135"/>
  <c r="BS264" i="135"/>
  <c r="BS265" i="135"/>
  <c r="BS266" i="135"/>
  <c r="BS267" i="135"/>
  <c r="BS268" i="135"/>
  <c r="BS269" i="135"/>
  <c r="BS270" i="135"/>
  <c r="BS271" i="135"/>
  <c r="BS272" i="135"/>
  <c r="BS273" i="135"/>
  <c r="BS274" i="135"/>
  <c r="BS275" i="135"/>
  <c r="BS276" i="135"/>
  <c r="BS277" i="135"/>
  <c r="BS278" i="135"/>
  <c r="BS279" i="135"/>
  <c r="BS280" i="135"/>
  <c r="BS281" i="135"/>
  <c r="BS282" i="135"/>
  <c r="BS283" i="135"/>
  <c r="BS284" i="135"/>
  <c r="BS285" i="135"/>
  <c r="AO73" i="6" l="1"/>
  <c r="I149" i="77"/>
  <c r="I150" i="77" s="1"/>
  <c r="AM150" i="77"/>
  <c r="AN150" i="77"/>
  <c r="AO150" i="77"/>
  <c r="AP150" i="77"/>
  <c r="AQ150" i="77"/>
  <c r="AR150" i="77"/>
  <c r="AS150" i="77"/>
  <c r="AT150" i="77"/>
  <c r="AU150" i="77"/>
  <c r="AV150" i="77"/>
  <c r="AW150" i="77"/>
  <c r="AX150" i="77"/>
  <c r="AY150" i="77"/>
  <c r="AZ150" i="77"/>
  <c r="BA150" i="77"/>
  <c r="BB150" i="77"/>
  <c r="BC150" i="77"/>
  <c r="BD150" i="77"/>
  <c r="BE150" i="77"/>
  <c r="BF150" i="77"/>
  <c r="AM55" i="151" l="1" a="1"/>
  <c r="AN55" i="151" a="1"/>
  <c r="AO55" i="151" a="1"/>
  <c r="AP55" i="151" a="1"/>
  <c r="AQ55" i="151" a="1"/>
  <c r="AR55" i="151" a="1"/>
  <c r="AS55" i="151" a="1"/>
  <c r="AT55" i="151" a="1"/>
  <c r="AU55" i="151" a="1"/>
  <c r="AV55" i="151" a="1"/>
  <c r="AW55" i="151" a="1"/>
  <c r="AX55" i="151" a="1"/>
  <c r="AY55" i="151" a="1"/>
  <c r="AZ55" i="151" a="1"/>
  <c r="BA55" i="151" a="1"/>
  <c r="BB55" i="151" a="1"/>
  <c r="BC55" i="151" a="1"/>
  <c r="BD55" i="151" a="1"/>
  <c r="AM57" i="151" a="1"/>
  <c r="AN57" i="151" a="1"/>
  <c r="AO57" i="151" a="1"/>
  <c r="AP57" i="151" a="1"/>
  <c r="AQ57" i="151" a="1"/>
  <c r="AR57" i="151" a="1"/>
  <c r="AS57" i="151" a="1"/>
  <c r="AT57" i="151" a="1"/>
  <c r="AU57" i="151" a="1"/>
  <c r="AV57" i="151" a="1"/>
  <c r="AW57" i="151" a="1"/>
  <c r="AX57" i="151" a="1"/>
  <c r="AY57" i="151" a="1"/>
  <c r="AZ57" i="151" a="1"/>
  <c r="BA57" i="151" a="1"/>
  <c r="BB57" i="151" a="1"/>
  <c r="BC57" i="151" a="1"/>
  <c r="BD57" i="151" a="1"/>
  <c r="AM62" i="151" a="1"/>
  <c r="AN62" i="151" a="1"/>
  <c r="AO62" i="151" a="1"/>
  <c r="AP62" i="151" a="1"/>
  <c r="AQ62" i="151" a="1"/>
  <c r="AR62" i="151" a="1"/>
  <c r="AS62" i="151" a="1"/>
  <c r="AT62" i="151" a="1"/>
  <c r="AU62" i="151" a="1"/>
  <c r="AV62" i="151" a="1"/>
  <c r="AW62" i="151" a="1"/>
  <c r="AX62" i="151" a="1"/>
  <c r="AY62" i="151" a="1"/>
  <c r="AZ62" i="151" a="1"/>
  <c r="BA62" i="151" a="1"/>
  <c r="BB62" i="151" a="1"/>
  <c r="BC62" i="151" a="1"/>
  <c r="BD62" i="151" a="1"/>
  <c r="AM77" i="151" a="1"/>
  <c r="AN77" i="151" a="1"/>
  <c r="AO77" i="151" a="1"/>
  <c r="AP77" i="151" a="1"/>
  <c r="AQ77" i="151" a="1"/>
  <c r="AR77" i="151" a="1"/>
  <c r="AS77" i="151" a="1"/>
  <c r="AT77" i="151" a="1"/>
  <c r="AU77" i="151" a="1"/>
  <c r="AV77" i="151" a="1"/>
  <c r="AW77" i="151" a="1"/>
  <c r="AX77" i="151" a="1"/>
  <c r="AY77" i="151" a="1"/>
  <c r="AZ77" i="151" a="1"/>
  <c r="BA77" i="151" a="1"/>
  <c r="BB77" i="151" a="1"/>
  <c r="BC77" i="151" a="1"/>
  <c r="BD77" i="151" a="1"/>
  <c r="AM83" i="151" a="1"/>
  <c r="AN83" i="151" a="1"/>
  <c r="AO83" i="151" a="1"/>
  <c r="AP83" i="151" a="1"/>
  <c r="AQ83" i="151" a="1"/>
  <c r="AR83" i="151" a="1"/>
  <c r="AS83" i="151" a="1"/>
  <c r="AT83" i="151" a="1"/>
  <c r="AU83" i="151" a="1"/>
  <c r="AV83" i="151" a="1"/>
  <c r="AW83" i="151" a="1"/>
  <c r="AX83" i="151" a="1"/>
  <c r="AY83" i="151" a="1"/>
  <c r="AZ83" i="151" a="1"/>
  <c r="BA83" i="151" a="1"/>
  <c r="BB83" i="151" a="1"/>
  <c r="BC83" i="151" a="1"/>
  <c r="BD83" i="151" a="1"/>
  <c r="AM91" i="151" a="1"/>
  <c r="AN91" i="151" a="1"/>
  <c r="AO91" i="151" a="1"/>
  <c r="AP91" i="151" a="1"/>
  <c r="AQ91" i="151" a="1"/>
  <c r="AR91" i="151" a="1"/>
  <c r="AS91" i="151" a="1"/>
  <c r="AT91" i="151" a="1"/>
  <c r="AU91" i="151" a="1"/>
  <c r="AV91" i="151" a="1"/>
  <c r="AW91" i="151" a="1"/>
  <c r="AX91" i="151" a="1"/>
  <c r="AY91" i="151" a="1"/>
  <c r="AZ91" i="151" a="1"/>
  <c r="BA91" i="151" a="1"/>
  <c r="BB91" i="151" a="1"/>
  <c r="BC91" i="151" a="1"/>
  <c r="BD91" i="151" a="1"/>
  <c r="AM96" i="151" a="1"/>
  <c r="AN96" i="151" a="1"/>
  <c r="AO96" i="151" a="1"/>
  <c r="AP96" i="151" a="1"/>
  <c r="AQ96" i="151" a="1"/>
  <c r="AR96" i="151" a="1"/>
  <c r="AS96" i="151" a="1"/>
  <c r="AT96" i="151" a="1"/>
  <c r="AU96" i="151" a="1"/>
  <c r="AV96" i="151" a="1"/>
  <c r="AW96" i="151" a="1"/>
  <c r="AX96" i="151" a="1"/>
  <c r="AY96" i="151" a="1"/>
  <c r="AZ96" i="151" a="1"/>
  <c r="BA96" i="151" a="1"/>
  <c r="BB96" i="151" a="1"/>
  <c r="BC96" i="151" a="1"/>
  <c r="BD96" i="151" a="1"/>
  <c r="AM106" i="151" a="1"/>
  <c r="AN106" i="151" a="1"/>
  <c r="AO106" i="151" a="1"/>
  <c r="AP106" i="151" a="1"/>
  <c r="AQ106" i="151" a="1"/>
  <c r="AR106" i="151" a="1"/>
  <c r="AS106" i="151" a="1"/>
  <c r="AT106" i="151" a="1"/>
  <c r="AU106" i="151" a="1"/>
  <c r="AV106" i="151" a="1"/>
  <c r="AW106" i="151" a="1"/>
  <c r="AX106" i="151" a="1"/>
  <c r="AY106" i="151" a="1"/>
  <c r="AZ106" i="151" a="1"/>
  <c r="BA106" i="151" a="1"/>
  <c r="BB106" i="151" a="1"/>
  <c r="BC106" i="151" a="1"/>
  <c r="BD106" i="151" a="1"/>
  <c r="AL55" i="151" a="1"/>
  <c r="AL57" i="151" a="1"/>
  <c r="AL62" i="151" a="1"/>
  <c r="AL77" i="151" a="1"/>
  <c r="AL83" i="151" a="1"/>
  <c r="AL91" i="151" a="1"/>
  <c r="AL96" i="151" a="1"/>
  <c r="AL106" i="151" a="1"/>
  <c r="AM29" i="151" a="1"/>
  <c r="AN29" i="151" a="1"/>
  <c r="AO29" i="151" a="1"/>
  <c r="AP29" i="151" a="1"/>
  <c r="AQ29" i="151" a="1"/>
  <c r="AR29" i="151" a="1"/>
  <c r="AS29" i="151" a="1"/>
  <c r="AT29" i="151" a="1"/>
  <c r="AU29" i="151" a="1"/>
  <c r="AV29" i="151" a="1"/>
  <c r="AW29" i="151" a="1"/>
  <c r="AX29" i="151" a="1"/>
  <c r="AY29" i="151" a="1"/>
  <c r="AZ29" i="151" a="1"/>
  <c r="BA29" i="151" a="1"/>
  <c r="BB29" i="151" a="1"/>
  <c r="BC29" i="151" a="1"/>
  <c r="BD29" i="151" a="1"/>
  <c r="AM36" i="151" a="1"/>
  <c r="AN36" i="151" a="1"/>
  <c r="AO36" i="151" a="1"/>
  <c r="AP36" i="151" a="1"/>
  <c r="AQ36" i="151" a="1"/>
  <c r="AR36" i="151" a="1"/>
  <c r="AS36" i="151" a="1"/>
  <c r="AT36" i="151" a="1"/>
  <c r="AU36" i="151" a="1"/>
  <c r="AV36" i="151" a="1"/>
  <c r="AW36" i="151" a="1"/>
  <c r="AX36" i="151" a="1"/>
  <c r="AY36" i="151" a="1"/>
  <c r="AZ36" i="151" a="1"/>
  <c r="BA36" i="151" a="1"/>
  <c r="BB36" i="151" a="1"/>
  <c r="BC36" i="151" a="1"/>
  <c r="BD36" i="151" a="1"/>
  <c r="AM45" i="151" a="1"/>
  <c r="AN45" i="151" a="1"/>
  <c r="AO45" i="151" a="1"/>
  <c r="AP45" i="151" a="1"/>
  <c r="AQ45" i="151" a="1"/>
  <c r="AR45" i="151" a="1"/>
  <c r="AS45" i="151" a="1"/>
  <c r="AT45" i="151" a="1"/>
  <c r="AU45" i="151" a="1"/>
  <c r="AV45" i="151" a="1"/>
  <c r="AW45" i="151" a="1"/>
  <c r="AX45" i="151" a="1"/>
  <c r="AY45" i="151" a="1"/>
  <c r="AZ45" i="151" a="1"/>
  <c r="BA45" i="151" a="1"/>
  <c r="BB45" i="151" a="1"/>
  <c r="BC45" i="151" a="1"/>
  <c r="BD45" i="151" a="1"/>
  <c r="AL36" i="151" a="1"/>
  <c r="AL45" i="151" a="1"/>
  <c r="AL29" i="151" a="1"/>
  <c r="AM2" i="151" l="1" a="1"/>
  <c r="AN2" i="151" a="1"/>
  <c r="AO2" i="151" a="1"/>
  <c r="AP2" i="151" a="1"/>
  <c r="AQ2" i="151" a="1"/>
  <c r="AR2" i="151" a="1"/>
  <c r="AS2" i="151" a="1"/>
  <c r="AT2" i="151" a="1"/>
  <c r="AU2" i="151" a="1"/>
  <c r="AV2" i="151" a="1"/>
  <c r="AW2" i="151" a="1"/>
  <c r="AX2" i="151" a="1"/>
  <c r="AY2" i="151" a="1"/>
  <c r="AZ2" i="151" a="1"/>
  <c r="BA2" i="151" a="1"/>
  <c r="BB2" i="151" a="1"/>
  <c r="BC2" i="151" a="1"/>
  <c r="BD2" i="151" a="1"/>
  <c r="AM6" i="151" a="1"/>
  <c r="AN6" i="151" a="1"/>
  <c r="AO6" i="151" a="1"/>
  <c r="AP6" i="151" a="1"/>
  <c r="AQ6" i="151" a="1"/>
  <c r="AR6" i="151" a="1"/>
  <c r="AS6" i="151" a="1"/>
  <c r="AT6" i="151" a="1"/>
  <c r="AU6" i="151" a="1"/>
  <c r="AV6" i="151" a="1"/>
  <c r="AW6" i="151" a="1"/>
  <c r="AX6" i="151" a="1"/>
  <c r="AY6" i="151" a="1"/>
  <c r="AZ6" i="151" a="1"/>
  <c r="BA6" i="151" a="1"/>
  <c r="BB6" i="151" a="1"/>
  <c r="BC6" i="151" a="1"/>
  <c r="BD6" i="151" a="1"/>
  <c r="AM12" i="151" a="1"/>
  <c r="AN12" i="151" a="1"/>
  <c r="AO12" i="151" a="1"/>
  <c r="AP12" i="151" a="1"/>
  <c r="AQ12" i="151" a="1"/>
  <c r="AR12" i="151" a="1"/>
  <c r="AS12" i="151" a="1"/>
  <c r="AT12" i="151" a="1"/>
  <c r="AU12" i="151" a="1"/>
  <c r="AV12" i="151" a="1"/>
  <c r="AW12" i="151" a="1"/>
  <c r="AX12" i="151" a="1"/>
  <c r="AY12" i="151" a="1"/>
  <c r="AZ12" i="151" a="1"/>
  <c r="BA12" i="151" a="1"/>
  <c r="BB12" i="151" a="1"/>
  <c r="BC12" i="151" a="1"/>
  <c r="BD12" i="151" a="1"/>
  <c r="AM23" i="151" a="1"/>
  <c r="AN23" i="151" a="1"/>
  <c r="AO23" i="151" a="1"/>
  <c r="AP23" i="151" a="1"/>
  <c r="AQ23" i="151" a="1"/>
  <c r="AR23" i="151" a="1"/>
  <c r="AS23" i="151" a="1"/>
  <c r="AT23" i="151" a="1"/>
  <c r="AU23" i="151" a="1"/>
  <c r="AV23" i="151" a="1"/>
  <c r="AW23" i="151" a="1"/>
  <c r="AX23" i="151" a="1"/>
  <c r="AY23" i="151" a="1"/>
  <c r="AZ23" i="151" a="1"/>
  <c r="BA23" i="151" a="1"/>
  <c r="BB23" i="151" a="1"/>
  <c r="BC23" i="151" a="1"/>
  <c r="BD23" i="151" a="1"/>
  <c r="AM25" i="151" a="1"/>
  <c r="AN25" i="151" a="1"/>
  <c r="AO25" i="151" a="1"/>
  <c r="AP25" i="151" a="1"/>
  <c r="AQ25" i="151" a="1"/>
  <c r="AR25" i="151" a="1"/>
  <c r="AS25" i="151" a="1"/>
  <c r="AT25" i="151" a="1"/>
  <c r="AU25" i="151" a="1"/>
  <c r="AV25" i="151" a="1"/>
  <c r="AW25" i="151" a="1"/>
  <c r="AX25" i="151" a="1"/>
  <c r="AY25" i="151" a="1"/>
  <c r="AZ25" i="151" a="1"/>
  <c r="BA25" i="151" a="1"/>
  <c r="BB25" i="151" a="1"/>
  <c r="BC25" i="151" a="1"/>
  <c r="BD25" i="151" a="1"/>
  <c r="AL6" i="151" a="1"/>
  <c r="AL12" i="151" a="1"/>
  <c r="AL23" i="151" a="1"/>
  <c r="AL25" i="151" a="1"/>
  <c r="AL2" i="151" a="1"/>
  <c r="AQ35" i="7" l="1"/>
  <c r="AR35" i="7" s="1"/>
  <c r="AT35" i="7"/>
  <c r="AU35" i="7" s="1"/>
  <c r="AN6" i="8" l="1"/>
  <c r="AO6" i="8"/>
  <c r="AP6" i="8"/>
  <c r="AQ6" i="8"/>
  <c r="AR6" i="8"/>
  <c r="AS6" i="8"/>
  <c r="AT6" i="8"/>
  <c r="AU6" i="8"/>
  <c r="AV6" i="8"/>
  <c r="AW6" i="8"/>
  <c r="AX6" i="8"/>
  <c r="AY6" i="8"/>
  <c r="AZ6" i="8"/>
  <c r="BA6" i="8"/>
  <c r="BB6" i="8"/>
  <c r="BC6" i="8"/>
  <c r="BD6" i="8"/>
  <c r="BE6" i="8"/>
  <c r="BF6" i="8"/>
  <c r="BG6" i="8"/>
  <c r="BH6" i="8"/>
  <c r="BI6" i="8"/>
  <c r="BJ6" i="8"/>
  <c r="BK6" i="8"/>
  <c r="BL6" i="8"/>
  <c r="BM6" i="8"/>
  <c r="BN6" i="8"/>
  <c r="BO6" i="8"/>
  <c r="BP6" i="8"/>
  <c r="BQ6" i="8"/>
  <c r="BR6" i="8"/>
  <c r="BS6" i="8"/>
  <c r="AO2" i="8"/>
  <c r="AP2" i="8"/>
  <c r="AQ2" i="8"/>
  <c r="AR2" i="8"/>
  <c r="AS2" i="8"/>
  <c r="AT2" i="8"/>
  <c r="AU2" i="8"/>
  <c r="AV2" i="8"/>
  <c r="AW2" i="8"/>
  <c r="AX2" i="8"/>
  <c r="AY2" i="8"/>
  <c r="AZ2" i="8"/>
  <c r="BA2" i="8"/>
  <c r="BB2" i="8"/>
  <c r="BC2" i="8"/>
  <c r="BD2" i="8"/>
  <c r="BE2" i="8"/>
  <c r="BF2" i="8"/>
  <c r="BG2" i="8"/>
  <c r="BH2" i="8"/>
  <c r="BI2" i="8"/>
  <c r="BJ2" i="8"/>
  <c r="BK2" i="8"/>
  <c r="BL2" i="8"/>
  <c r="BM2" i="8"/>
  <c r="BN2" i="8"/>
  <c r="BO2" i="8"/>
  <c r="BP2" i="8"/>
  <c r="BQ2" i="8"/>
  <c r="BR2" i="8"/>
  <c r="BS2" i="8"/>
  <c r="AN2" i="8"/>
  <c r="C5" i="152" a="1"/>
  <c r="I6" i="8" a="1"/>
  <c r="I12" i="8" a="1"/>
  <c r="I23" i="8" a="1"/>
  <c r="I25" i="8" a="1"/>
  <c r="AU4" i="7" l="1"/>
  <c r="AV4" i="7" s="1"/>
  <c r="AQ5" i="7"/>
  <c r="AR5" i="7" s="1"/>
  <c r="AV8" i="7"/>
  <c r="AW8" i="7" s="1"/>
  <c r="AV9" i="7"/>
  <c r="AW9" i="7" s="1"/>
  <c r="AW15" i="7"/>
  <c r="AS19" i="7"/>
  <c r="AT19" i="7" s="1"/>
  <c r="AU19" i="7" s="1"/>
  <c r="AV19" i="7" s="1"/>
  <c r="AW19" i="7" s="1"/>
  <c r="AN27" i="7"/>
  <c r="AO27" i="7"/>
  <c r="AP27" i="7"/>
  <c r="AQ27" i="7"/>
  <c r="AY27" i="7"/>
  <c r="AZ27" i="7"/>
  <c r="BA27" i="7"/>
  <c r="BB27" i="7"/>
  <c r="BC27" i="7"/>
  <c r="BD27" i="7"/>
  <c r="BE27" i="7"/>
  <c r="BF27" i="7"/>
  <c r="AS30" i="7"/>
  <c r="AT30" i="7" s="1"/>
  <c r="AP33" i="7"/>
  <c r="AQ33" i="7" s="1"/>
  <c r="AU38" i="7"/>
  <c r="AV38" i="7" s="1"/>
  <c r="AW38" i="7" s="1"/>
  <c r="AS40" i="7"/>
  <c r="AP41" i="7"/>
  <c r="AN47" i="7"/>
  <c r="AN49" i="7" s="1"/>
  <c r="AO47" i="7"/>
  <c r="BE47" i="7"/>
  <c r="BE49" i="7" s="1"/>
  <c r="BF47" i="7"/>
  <c r="BF49" i="7" s="1"/>
  <c r="AN106" i="7"/>
  <c r="AO106" i="7"/>
  <c r="AP106" i="7"/>
  <c r="AQ106" i="7"/>
  <c r="AR106" i="7"/>
  <c r="AS106" i="7"/>
  <c r="AT106" i="7"/>
  <c r="AU106" i="7"/>
  <c r="AV106" i="7"/>
  <c r="AW106" i="7"/>
  <c r="AX106" i="7"/>
  <c r="AY106" i="7"/>
  <c r="AZ106" i="7"/>
  <c r="BA106" i="7"/>
  <c r="BB106" i="7"/>
  <c r="BC106" i="7"/>
  <c r="BD106" i="7"/>
  <c r="BE106" i="7"/>
  <c r="BF106" i="7"/>
  <c r="AN107" i="7"/>
  <c r="AO107" i="7"/>
  <c r="AP107" i="7"/>
  <c r="AQ107" i="7"/>
  <c r="AR107" i="7"/>
  <c r="AS107" i="7"/>
  <c r="AT107" i="7"/>
  <c r="AU107" i="7"/>
  <c r="AV107" i="7"/>
  <c r="AW107" i="7"/>
  <c r="AX107" i="7"/>
  <c r="AY107" i="7"/>
  <c r="AZ107" i="7"/>
  <c r="BA107" i="7"/>
  <c r="BB107" i="7"/>
  <c r="BC107" i="7"/>
  <c r="BD107" i="7"/>
  <c r="BE107" i="7"/>
  <c r="BF107" i="7"/>
  <c r="AN108" i="7"/>
  <c r="AO108" i="7"/>
  <c r="AP108" i="7"/>
  <c r="AQ108" i="7"/>
  <c r="AR108" i="7"/>
  <c r="AS108" i="7"/>
  <c r="AT108" i="7"/>
  <c r="AU108" i="7"/>
  <c r="AV108" i="7"/>
  <c r="AW108" i="7"/>
  <c r="AX108" i="7"/>
  <c r="AY108" i="7"/>
  <c r="AZ108" i="7"/>
  <c r="BA108" i="7"/>
  <c r="BB108" i="7"/>
  <c r="BC108" i="7"/>
  <c r="BD108" i="7"/>
  <c r="BE108" i="7"/>
  <c r="BF108" i="7"/>
  <c r="AP47" i="7" l="1"/>
  <c r="AO49" i="7"/>
  <c r="AP49" i="7"/>
  <c r="AV35" i="7"/>
  <c r="AW35" i="7" s="1"/>
  <c r="AT40" i="7"/>
  <c r="AU40" i="7" s="1"/>
  <c r="AV40" i="7" s="1"/>
  <c r="AW40" i="7" s="1"/>
  <c r="AW4" i="7"/>
  <c r="AS5" i="7"/>
  <c r="AR27" i="7"/>
  <c r="AQ47" i="7"/>
  <c r="AQ49" i="7" s="1"/>
  <c r="AR33" i="7"/>
  <c r="AU30" i="7"/>
  <c r="AM47" i="6"/>
  <c r="AN47" i="6"/>
  <c r="AO47" i="6"/>
  <c r="AP47" i="6"/>
  <c r="AQ47" i="6"/>
  <c r="AR47" i="6"/>
  <c r="AS47" i="6"/>
  <c r="AT47" i="6"/>
  <c r="AU47" i="6"/>
  <c r="AV47" i="6"/>
  <c r="AW47" i="6"/>
  <c r="AX47" i="6"/>
  <c r="AY47" i="6"/>
  <c r="AZ47" i="6"/>
  <c r="BA47" i="6"/>
  <c r="BB47" i="6"/>
  <c r="BC47" i="6"/>
  <c r="BD47" i="6"/>
  <c r="BE47" i="6"/>
  <c r="BF47" i="6"/>
  <c r="AN106" i="6"/>
  <c r="AO106" i="6"/>
  <c r="AP106" i="6"/>
  <c r="AQ106" i="6"/>
  <c r="AR106" i="6"/>
  <c r="AS106" i="6"/>
  <c r="AT106" i="6"/>
  <c r="AU106" i="6"/>
  <c r="AV106" i="6"/>
  <c r="AW106" i="6"/>
  <c r="AX106" i="6"/>
  <c r="AY106" i="6"/>
  <c r="AZ106" i="6"/>
  <c r="BA106" i="6"/>
  <c r="BB106" i="6"/>
  <c r="BC106" i="6"/>
  <c r="BD106" i="6"/>
  <c r="BE106" i="6"/>
  <c r="BF106" i="6"/>
  <c r="AN107" i="6"/>
  <c r="AO107" i="6"/>
  <c r="AP107" i="6"/>
  <c r="AQ107" i="6"/>
  <c r="AR107" i="6"/>
  <c r="AS107" i="6"/>
  <c r="AT107" i="6"/>
  <c r="AU107" i="6"/>
  <c r="AV107" i="6"/>
  <c r="AW107" i="6"/>
  <c r="AX107" i="6"/>
  <c r="AY107" i="6"/>
  <c r="AZ107" i="6"/>
  <c r="BA107" i="6"/>
  <c r="BB107" i="6"/>
  <c r="BC107" i="6"/>
  <c r="BD107" i="6"/>
  <c r="BE107" i="6"/>
  <c r="BF107" i="6"/>
  <c r="AL106" i="6"/>
  <c r="AL107" i="6"/>
  <c r="AF48" i="8"/>
  <c r="AG48" i="8"/>
  <c r="AH48" i="8"/>
  <c r="AI48" i="8"/>
  <c r="AJ48" i="8"/>
  <c r="AK48" i="8"/>
  <c r="AL48" i="8"/>
  <c r="AM48" i="8"/>
  <c r="AN48" i="8"/>
  <c r="AO48" i="8"/>
  <c r="AP48" i="8"/>
  <c r="AE48" i="8"/>
  <c r="AF28" i="8"/>
  <c r="AG28" i="8"/>
  <c r="AH28" i="8"/>
  <c r="AI28" i="8"/>
  <c r="AJ28" i="8"/>
  <c r="AK28" i="8"/>
  <c r="AL28" i="8"/>
  <c r="AM28" i="8"/>
  <c r="AN28" i="8"/>
  <c r="AO28" i="8"/>
  <c r="AP28" i="8"/>
  <c r="AE28" i="8"/>
  <c r="AM27" i="6"/>
  <c r="AN27" i="6"/>
  <c r="AO27" i="6"/>
  <c r="AP27" i="6"/>
  <c r="AQ27" i="6"/>
  <c r="AR27" i="6"/>
  <c r="AS27" i="6"/>
  <c r="AT27" i="6"/>
  <c r="AU27" i="6"/>
  <c r="AV27" i="6"/>
  <c r="AW27" i="6"/>
  <c r="AX27" i="6"/>
  <c r="AY27" i="6"/>
  <c r="AZ27" i="6"/>
  <c r="BA27" i="6"/>
  <c r="BB27" i="6"/>
  <c r="BC27" i="6"/>
  <c r="BD27" i="6"/>
  <c r="BE27" i="6"/>
  <c r="BF27" i="6"/>
  <c r="AX47" i="7" l="1"/>
  <c r="AV30" i="7"/>
  <c r="AR47" i="7"/>
  <c r="AR49" i="7" s="1"/>
  <c r="AS33" i="7"/>
  <c r="AT5" i="7"/>
  <c r="AS27" i="7"/>
  <c r="AH49" i="7"/>
  <c r="AI49" i="7"/>
  <c r="AJ49" i="7"/>
  <c r="AK49" i="7"/>
  <c r="AL49" i="7"/>
  <c r="AG27" i="7"/>
  <c r="AG49" i="7" s="1"/>
  <c r="AH27" i="7"/>
  <c r="AI27" i="7"/>
  <c r="AJ27" i="7"/>
  <c r="AK27" i="7"/>
  <c r="AL27" i="7"/>
  <c r="AM27" i="7"/>
  <c r="AM49" i="7" s="1"/>
  <c r="AN46" i="77"/>
  <c r="AF27" i="7"/>
  <c r="AF47" i="7"/>
  <c r="AH47" i="7"/>
  <c r="AI47" i="7"/>
  <c r="AJ47" i="7"/>
  <c r="AK47" i="7"/>
  <c r="AL47" i="7"/>
  <c r="AM47" i="7"/>
  <c r="AG47" i="7"/>
  <c r="AY47" i="7" l="1"/>
  <c r="AY49" i="7" s="1"/>
  <c r="AT27" i="7"/>
  <c r="AU5" i="7"/>
  <c r="AT33" i="7"/>
  <c r="AS47" i="7"/>
  <c r="AS49" i="7" s="1"/>
  <c r="AW30" i="7"/>
  <c r="AO81" i="77"/>
  <c r="AN81" i="77"/>
  <c r="AM81" i="77"/>
  <c r="I80" i="77"/>
  <c r="I81" i="77" s="1"/>
  <c r="AZ47" i="7" l="1"/>
  <c r="AZ49" i="7" s="1"/>
  <c r="AU27" i="7"/>
  <c r="AV5" i="7"/>
  <c r="AU33" i="7"/>
  <c r="AT47" i="7"/>
  <c r="AT49" i="7" s="1"/>
  <c r="BF81" i="77"/>
  <c r="BE81" i="77"/>
  <c r="BD81" i="77"/>
  <c r="BC81" i="77"/>
  <c r="BB81" i="77"/>
  <c r="BA81" i="77"/>
  <c r="AZ81" i="77"/>
  <c r="AY81" i="77"/>
  <c r="AX81" i="77"/>
  <c r="AW81" i="77"/>
  <c r="AV81" i="77"/>
  <c r="AU81" i="77"/>
  <c r="AT81" i="77"/>
  <c r="AS81" i="77"/>
  <c r="AR81" i="77"/>
  <c r="AQ81" i="77"/>
  <c r="AP81" i="77"/>
  <c r="BS44" i="8"/>
  <c r="BR44" i="8"/>
  <c r="BQ44" i="8"/>
  <c r="BP44" i="8"/>
  <c r="BO44" i="8"/>
  <c r="BN44" i="8"/>
  <c r="BM44" i="8"/>
  <c r="BL44" i="8"/>
  <c r="BK44" i="8"/>
  <c r="BJ44" i="8"/>
  <c r="BI44" i="8"/>
  <c r="BH44" i="8"/>
  <c r="BG44" i="8"/>
  <c r="BF80" i="77" s="1"/>
  <c r="BF44" i="8"/>
  <c r="BE80" i="77" s="1"/>
  <c r="BE44" i="8"/>
  <c r="BD80" i="77" s="1"/>
  <c r="BD44" i="8"/>
  <c r="BC80" i="77" s="1"/>
  <c r="BC44" i="8"/>
  <c r="BB80" i="77" s="1"/>
  <c r="BB44" i="8"/>
  <c r="BA80" i="77" s="1"/>
  <c r="BA44" i="8"/>
  <c r="AZ80" i="77" s="1"/>
  <c r="AZ44" i="8"/>
  <c r="AY80" i="77" s="1"/>
  <c r="AY44" i="8"/>
  <c r="AX80" i="77" s="1"/>
  <c r="AX44" i="8"/>
  <c r="AW80" i="77" s="1"/>
  <c r="AW44" i="8"/>
  <c r="AV80" i="77" s="1"/>
  <c r="AV44" i="8"/>
  <c r="AU80" i="77" s="1"/>
  <c r="AU44" i="8"/>
  <c r="AT80" i="77" s="1"/>
  <c r="AT44" i="8"/>
  <c r="AS80" i="77" s="1"/>
  <c r="AS44" i="8"/>
  <c r="AR80" i="77" s="1"/>
  <c r="AR44" i="8"/>
  <c r="AQ80" i="77" s="1"/>
  <c r="AQ44" i="8"/>
  <c r="AP80" i="77" s="1"/>
  <c r="AP44" i="8"/>
  <c r="AO80" i="77" s="1"/>
  <c r="AO44" i="8"/>
  <c r="AN44" i="8"/>
  <c r="AM80" i="77" s="1"/>
  <c r="BA47" i="7" l="1"/>
  <c r="BA49" i="7" s="1"/>
  <c r="AN80" i="77"/>
  <c r="AV33" i="7"/>
  <c r="AU47" i="7"/>
  <c r="AU49" i="7" s="1"/>
  <c r="AW5" i="7"/>
  <c r="AV27" i="7"/>
  <c r="B2" i="8" a="1"/>
  <c r="G2" i="8" a="1"/>
  <c r="H2" i="8" a="1"/>
  <c r="BB47" i="7" l="1"/>
  <c r="BB49" i="7" s="1"/>
  <c r="AX5" i="7"/>
  <c r="AX27" i="7" s="1"/>
  <c r="AX49" i="7" s="1"/>
  <c r="AW27" i="7"/>
  <c r="AW33" i="7"/>
  <c r="AW47" i="7" s="1"/>
  <c r="AV47" i="7"/>
  <c r="AV49" i="7" s="1"/>
  <c r="I25" i="7"/>
  <c r="BC47" i="7" l="1"/>
  <c r="BC49" i="7" s="1"/>
  <c r="BD47" i="7"/>
  <c r="BD49" i="7" s="1"/>
  <c r="AW49" i="7"/>
  <c r="I55" i="7"/>
  <c r="J55" i="7"/>
  <c r="I57" i="7"/>
  <c r="J57" i="7"/>
  <c r="I59" i="7"/>
  <c r="J59" i="7"/>
  <c r="I75" i="7"/>
  <c r="J75" i="7"/>
  <c r="I81" i="7"/>
  <c r="J81" i="7"/>
  <c r="I89" i="7"/>
  <c r="J89" i="7"/>
  <c r="I94" i="7"/>
  <c r="J94" i="7"/>
  <c r="I104" i="7"/>
  <c r="J104" i="7"/>
  <c r="I36" i="7"/>
  <c r="J36" i="7"/>
  <c r="I45" i="7"/>
  <c r="J45" i="7"/>
  <c r="I29" i="7"/>
  <c r="J29" i="7"/>
  <c r="J6" i="7"/>
  <c r="J12" i="7"/>
  <c r="J23" i="7"/>
  <c r="J2" i="7"/>
  <c r="I6" i="7"/>
  <c r="I12" i="7"/>
  <c r="I23" i="7"/>
  <c r="I2" i="7"/>
  <c r="I55" i="8" a="1"/>
  <c r="I57" i="8" a="1"/>
  <c r="I59" i="8" a="1"/>
  <c r="I75" i="8" a="1"/>
  <c r="I81" i="8" a="1"/>
  <c r="I89" i="8" a="1"/>
  <c r="I94" i="8" a="1"/>
  <c r="I104" i="8" a="1"/>
  <c r="I36" i="8" a="1"/>
  <c r="I45" i="8" a="1"/>
  <c r="I29" i="8" a="1"/>
  <c r="G111" i="6" a="1"/>
  <c r="G52" i="6" a="1"/>
  <c r="G29" i="6" a="1"/>
  <c r="G2" i="6" a="1"/>
  <c r="G52" i="7" a="1"/>
  <c r="G29" i="7" a="1"/>
  <c r="G2" i="7" a="1"/>
  <c r="H111" i="8" a="1"/>
  <c r="G111" i="8" a="1"/>
  <c r="H52" i="8" a="1"/>
  <c r="G52" i="8" a="1"/>
  <c r="H29" i="8" a="1"/>
  <c r="H47" i="8" s="1"/>
  <c r="G29" i="8" a="1"/>
  <c r="AP3" i="8"/>
  <c r="AQ3" i="8"/>
  <c r="AR3" i="8"/>
  <c r="B52" i="8" a="1"/>
  <c r="B29" i="8" a="1"/>
  <c r="AM108" i="6"/>
  <c r="AN108" i="6"/>
  <c r="AO108" i="6"/>
  <c r="AP108" i="6"/>
  <c r="AQ108" i="6"/>
  <c r="AR108" i="6"/>
  <c r="AS108" i="6"/>
  <c r="AT108" i="6"/>
  <c r="AU108" i="6"/>
  <c r="AV108" i="6"/>
  <c r="AW108" i="6"/>
  <c r="AX108" i="6"/>
  <c r="AY108" i="6"/>
  <c r="AZ108" i="6"/>
  <c r="BA108" i="6"/>
  <c r="BB108" i="6"/>
  <c r="BC108" i="6"/>
  <c r="BD108" i="6"/>
  <c r="BE108" i="6"/>
  <c r="BF108" i="6"/>
  <c r="AM108" i="7"/>
  <c r="AL108" i="6"/>
  <c r="AL108" i="7"/>
  <c r="AL107" i="7"/>
  <c r="AL106" i="7"/>
  <c r="AM107" i="7"/>
  <c r="AM107" i="6"/>
  <c r="AM106" i="7"/>
  <c r="AM106" i="6"/>
  <c r="E5" i="152"/>
  <c r="C197" i="77" a="1"/>
  <c r="AM11" i="77"/>
  <c r="G47" i="8" l="1"/>
  <c r="AK108" i="6"/>
  <c r="AV22" i="8"/>
  <c r="AQ11" i="8"/>
  <c r="AP11" i="8"/>
  <c r="AO11" i="8"/>
  <c r="AN24" i="8"/>
  <c r="AO24" i="8"/>
  <c r="AP24" i="8"/>
  <c r="AQ24" i="8"/>
  <c r="AY126" i="77"/>
  <c r="AX126" i="77"/>
  <c r="AW126" i="77"/>
  <c r="AV126" i="77"/>
  <c r="AU126" i="77"/>
  <c r="AT126" i="77"/>
  <c r="AS126" i="77"/>
  <c r="AR126" i="77"/>
  <c r="AQ126" i="77"/>
  <c r="AP126" i="77"/>
  <c r="AO126" i="77"/>
  <c r="AN126" i="77"/>
  <c r="AM126" i="77"/>
  <c r="I125" i="77"/>
  <c r="I126" i="77" s="1"/>
  <c r="AY112" i="77"/>
  <c r="AX112" i="77"/>
  <c r="AW112" i="77"/>
  <c r="AV112" i="77"/>
  <c r="AU112" i="77"/>
  <c r="AT112" i="77"/>
  <c r="AS112" i="77"/>
  <c r="AR112" i="77"/>
  <c r="AQ112" i="77"/>
  <c r="AP112" i="77"/>
  <c r="AO112" i="77"/>
  <c r="AN112" i="77"/>
  <c r="AM112" i="77"/>
  <c r="I111" i="77"/>
  <c r="I112" i="77" s="1"/>
  <c r="BF110" i="77"/>
  <c r="BE110" i="77"/>
  <c r="BD110" i="77"/>
  <c r="BC110" i="77"/>
  <c r="BB110" i="77"/>
  <c r="BA110" i="77"/>
  <c r="AZ110" i="77"/>
  <c r="AY110" i="77"/>
  <c r="AX110" i="77"/>
  <c r="AW110" i="77"/>
  <c r="AV110" i="77"/>
  <c r="AU110" i="77"/>
  <c r="AT110" i="77"/>
  <c r="AS110" i="77"/>
  <c r="AR110" i="77"/>
  <c r="AQ110" i="77"/>
  <c r="AP110" i="77"/>
  <c r="AO110" i="77"/>
  <c r="AN110" i="77"/>
  <c r="AM110" i="77"/>
  <c r="I109" i="77"/>
  <c r="I110" i="77" s="1"/>
  <c r="AZ112" i="77" l="1"/>
  <c r="AZ126" i="77"/>
  <c r="I183" i="77"/>
  <c r="I184" i="77"/>
  <c r="I185" i="77"/>
  <c r="I187" i="77"/>
  <c r="I188" i="77"/>
  <c r="I190" i="77"/>
  <c r="I181" i="77"/>
  <c r="I105" i="77"/>
  <c r="I106" i="77" s="1"/>
  <c r="I107" i="77"/>
  <c r="I108" i="77" s="1"/>
  <c r="I113" i="77"/>
  <c r="I114" i="77" s="1"/>
  <c r="I115" i="77"/>
  <c r="I116" i="77" s="1"/>
  <c r="I117" i="77"/>
  <c r="I118" i="77" s="1"/>
  <c r="I119" i="77"/>
  <c r="I120" i="77" s="1"/>
  <c r="I121" i="77"/>
  <c r="I122" i="77" s="1"/>
  <c r="I123" i="77"/>
  <c r="I124" i="77" s="1"/>
  <c r="I127" i="77"/>
  <c r="I128" i="77" s="1"/>
  <c r="I129" i="77"/>
  <c r="I130" i="77" s="1"/>
  <c r="I131" i="77"/>
  <c r="I132" i="77" s="1"/>
  <c r="I133" i="77"/>
  <c r="I134" i="77" s="1"/>
  <c r="I135" i="77"/>
  <c r="I136" i="77" s="1"/>
  <c r="I137" i="77"/>
  <c r="I138" i="77" s="1"/>
  <c r="I139" i="77"/>
  <c r="I140" i="77" s="1"/>
  <c r="I141" i="77"/>
  <c r="I142" i="77" s="1"/>
  <c r="I143" i="77"/>
  <c r="I144" i="77" s="1"/>
  <c r="I145" i="77"/>
  <c r="I146" i="77" s="1"/>
  <c r="I147" i="77"/>
  <c r="I148" i="77" s="1"/>
  <c r="I151" i="77"/>
  <c r="I152" i="77" s="1"/>
  <c r="I153" i="77"/>
  <c r="I154" i="77" s="1"/>
  <c r="I155" i="77"/>
  <c r="I156" i="77" s="1"/>
  <c r="I157" i="77"/>
  <c r="I158" i="77" s="1"/>
  <c r="I159" i="77"/>
  <c r="I160" i="77" s="1"/>
  <c r="I161" i="77"/>
  <c r="I162" i="77" s="1"/>
  <c r="I163" i="77"/>
  <c r="I164" i="77" s="1"/>
  <c r="I165" i="77"/>
  <c r="I166" i="77" s="1"/>
  <c r="I167" i="77"/>
  <c r="I168" i="77" s="1"/>
  <c r="I169" i="77"/>
  <c r="I170" i="77" s="1"/>
  <c r="I171" i="77"/>
  <c r="I172" i="77" s="1"/>
  <c r="I100" i="77"/>
  <c r="I101" i="77" s="1"/>
  <c r="I103" i="77"/>
  <c r="I104" i="77" s="1"/>
  <c r="I98" i="77"/>
  <c r="I99" i="77" s="1"/>
  <c r="I93" i="77"/>
  <c r="I94" i="77" s="1"/>
  <c r="I95" i="77"/>
  <c r="I96" i="77" s="1"/>
  <c r="I91" i="77"/>
  <c r="I92" i="77" s="1"/>
  <c r="I39" i="77"/>
  <c r="I40" i="77" s="1"/>
  <c r="I21" i="77"/>
  <c r="I22" i="77" s="1"/>
  <c r="I67" i="77"/>
  <c r="I68" i="77" s="1"/>
  <c r="I69" i="77"/>
  <c r="I70" i="77" s="1"/>
  <c r="I71" i="77"/>
  <c r="I72" i="77" s="1"/>
  <c r="I73" i="77"/>
  <c r="I74" i="77" s="1"/>
  <c r="I75" i="77"/>
  <c r="I76" i="77" s="1"/>
  <c r="I78" i="77"/>
  <c r="I79" i="77" s="1"/>
  <c r="I65" i="77"/>
  <c r="I66" i="77" s="1"/>
  <c r="I58" i="77"/>
  <c r="I59" i="77" s="1"/>
  <c r="I60" i="77"/>
  <c r="I61" i="77" s="1"/>
  <c r="I62" i="77"/>
  <c r="I63" i="77" s="1"/>
  <c r="I56" i="77"/>
  <c r="I57" i="77" s="1"/>
  <c r="I51" i="77"/>
  <c r="I52" i="77" s="1"/>
  <c r="I42" i="77"/>
  <c r="I43" i="77" s="1"/>
  <c r="I25" i="77"/>
  <c r="I26" i="77" s="1"/>
  <c r="I27" i="77"/>
  <c r="I28" i="77" s="1"/>
  <c r="I29" i="77"/>
  <c r="I30" i="77" s="1"/>
  <c r="I31" i="77"/>
  <c r="I32" i="77" s="1"/>
  <c r="I33" i="77"/>
  <c r="I34" i="77" s="1"/>
  <c r="I35" i="77"/>
  <c r="I36" i="77" s="1"/>
  <c r="I37" i="77"/>
  <c r="I38" i="77" s="1"/>
  <c r="I23" i="77"/>
  <c r="I24" i="77" s="1"/>
  <c r="I8" i="77"/>
  <c r="I9" i="77" s="1"/>
  <c r="I10" i="77"/>
  <c r="I11" i="77" s="1"/>
  <c r="I12" i="77"/>
  <c r="I13" i="77" s="1"/>
  <c r="I14" i="77"/>
  <c r="I15" i="77" s="1"/>
  <c r="I16" i="77"/>
  <c r="I17" i="77" s="1"/>
  <c r="I18" i="77"/>
  <c r="I19" i="77" s="1"/>
  <c r="I6" i="77"/>
  <c r="I7" i="77" s="1"/>
  <c r="I3" i="77"/>
  <c r="BA112" i="77"/>
  <c r="BA126" i="77"/>
  <c r="BF54" i="77"/>
  <c r="BE54" i="77"/>
  <c r="BD54" i="77"/>
  <c r="BC54" i="77"/>
  <c r="BB54" i="77"/>
  <c r="BA54" i="77"/>
  <c r="AZ54" i="77"/>
  <c r="AY54" i="77"/>
  <c r="AX54" i="77"/>
  <c r="AW54" i="77"/>
  <c r="AV54" i="77"/>
  <c r="AU54" i="77"/>
  <c r="AT54" i="77"/>
  <c r="AS54" i="77"/>
  <c r="AR54" i="77"/>
  <c r="AQ54" i="77"/>
  <c r="AP54" i="77"/>
  <c r="AO54" i="77"/>
  <c r="AN54" i="77"/>
  <c r="AM54" i="77"/>
  <c r="BF53" i="77"/>
  <c r="BE53" i="77"/>
  <c r="BD53" i="77"/>
  <c r="BC53" i="77"/>
  <c r="BB53" i="77"/>
  <c r="BA53" i="77"/>
  <c r="AZ53" i="77"/>
  <c r="AY53" i="77"/>
  <c r="AX53" i="77"/>
  <c r="AW53" i="77"/>
  <c r="AV53" i="77"/>
  <c r="AU53" i="77"/>
  <c r="AT53" i="77"/>
  <c r="AS53" i="77"/>
  <c r="AR53" i="77"/>
  <c r="AQ53" i="77"/>
  <c r="AP53" i="77"/>
  <c r="AO53" i="77"/>
  <c r="AN53" i="77"/>
  <c r="AM53" i="77"/>
  <c r="I53" i="77"/>
  <c r="I54" i="77" s="1"/>
  <c r="BB112" i="77" l="1"/>
  <c r="BB126" i="77"/>
  <c r="BC126" i="77"/>
  <c r="BC112" i="77"/>
  <c r="BS74" i="8"/>
  <c r="BR74" i="8"/>
  <c r="BQ74" i="8"/>
  <c r="BP74" i="8"/>
  <c r="BO74" i="8"/>
  <c r="BN74" i="8"/>
  <c r="BM74" i="8"/>
  <c r="BL74" i="8"/>
  <c r="BK74" i="8"/>
  <c r="BJ74" i="8"/>
  <c r="BI74" i="8"/>
  <c r="BH74" i="8"/>
  <c r="BG74" i="8"/>
  <c r="BF74" i="8"/>
  <c r="BE74" i="8"/>
  <c r="BD74" i="8"/>
  <c r="BC74" i="8"/>
  <c r="BB74" i="8"/>
  <c r="BA74" i="8"/>
  <c r="AZ74" i="8"/>
  <c r="AY74" i="8"/>
  <c r="AX74" i="8"/>
  <c r="AW74" i="8"/>
  <c r="AV74" i="8"/>
  <c r="AU74" i="8"/>
  <c r="AT74" i="8"/>
  <c r="AS74" i="8"/>
  <c r="AR74" i="8"/>
  <c r="AQ74" i="8"/>
  <c r="AP74" i="8"/>
  <c r="AO74" i="8"/>
  <c r="AN74" i="8"/>
  <c r="BS71" i="8"/>
  <c r="BR71" i="8"/>
  <c r="BQ71" i="8"/>
  <c r="BP71" i="8"/>
  <c r="BO71" i="8"/>
  <c r="BN71" i="8"/>
  <c r="BM71" i="8"/>
  <c r="BL71" i="8"/>
  <c r="BK71" i="8"/>
  <c r="BJ71" i="8"/>
  <c r="BI71" i="8"/>
  <c r="BH71" i="8"/>
  <c r="BG71" i="8"/>
  <c r="BF71" i="8"/>
  <c r="BE71" i="8"/>
  <c r="BD71" i="8"/>
  <c r="BC71" i="8"/>
  <c r="BB71" i="8"/>
  <c r="BA71" i="8"/>
  <c r="AZ71" i="8"/>
  <c r="AY71" i="8"/>
  <c r="AX71" i="8"/>
  <c r="AW71" i="8"/>
  <c r="AV71" i="8"/>
  <c r="AU71" i="8"/>
  <c r="AT71" i="8"/>
  <c r="AS71" i="8"/>
  <c r="AR71" i="8"/>
  <c r="AQ71" i="8"/>
  <c r="AP71" i="8"/>
  <c r="AO71" i="8"/>
  <c r="AN71" i="8"/>
  <c r="BD126" i="77"/>
  <c r="BD112" i="77"/>
  <c r="BF126" i="77"/>
  <c r="BF112" i="77"/>
  <c r="BE126" i="77"/>
  <c r="BE112" i="77"/>
  <c r="B51" i="77" a="1"/>
  <c r="B91" i="77" a="1"/>
  <c r="P92" i="140" a="1"/>
  <c r="O92" i="140" a="1"/>
  <c r="N92" i="140" a="1"/>
  <c r="M92" i="140" a="1"/>
  <c r="L92" i="140" a="1"/>
  <c r="K92" i="140" a="1"/>
  <c r="J92" i="140" a="1"/>
  <c r="I92" i="140" a="1"/>
  <c r="H92" i="140" a="1"/>
  <c r="G92" i="140" a="1"/>
  <c r="F92" i="140" a="1"/>
  <c r="E92" i="140" a="1"/>
  <c r="P91" i="140" a="1"/>
  <c r="O91" i="140" a="1"/>
  <c r="N91" i="140" a="1"/>
  <c r="M91" i="140" a="1"/>
  <c r="L91" i="140" a="1"/>
  <c r="K91" i="140" a="1"/>
  <c r="J91" i="140" a="1"/>
  <c r="I91" i="140" a="1"/>
  <c r="H91" i="140" a="1"/>
  <c r="G91" i="140" a="1"/>
  <c r="F91" i="140" a="1"/>
  <c r="E91" i="140" a="1"/>
  <c r="P57" i="140" a="1"/>
  <c r="O57" i="140" a="1"/>
  <c r="N57" i="140" a="1"/>
  <c r="M57" i="140" a="1"/>
  <c r="L57" i="140" a="1"/>
  <c r="K57" i="140" a="1"/>
  <c r="J57" i="140" a="1"/>
  <c r="I57" i="140" a="1"/>
  <c r="H57" i="140" a="1"/>
  <c r="G57" i="140" a="1"/>
  <c r="F57" i="140" a="1"/>
  <c r="E57" i="140" a="1"/>
  <c r="P56" i="140" a="1"/>
  <c r="O56" i="140" a="1"/>
  <c r="N56" i="140" a="1"/>
  <c r="M56" i="140" a="1"/>
  <c r="L56" i="140" a="1"/>
  <c r="K56" i="140" a="1"/>
  <c r="J56" i="140" a="1"/>
  <c r="I56" i="140" a="1"/>
  <c r="H56" i="140" a="1"/>
  <c r="G56" i="140" a="1"/>
  <c r="F56" i="140" a="1"/>
  <c r="E56" i="140" a="1"/>
  <c r="E24" i="140" a="1"/>
  <c r="F24" i="140" a="1"/>
  <c r="G24" i="140" a="1"/>
  <c r="H24" i="140" a="1"/>
  <c r="I24" i="140" a="1"/>
  <c r="J24" i="140" a="1"/>
  <c r="K24" i="140" a="1"/>
  <c r="L24" i="140" a="1"/>
  <c r="M24" i="140" a="1"/>
  <c r="N24" i="140" a="1"/>
  <c r="O24" i="140" a="1"/>
  <c r="P24" i="140" a="1"/>
  <c r="F23" i="140" a="1"/>
  <c r="G23" i="140" a="1"/>
  <c r="H23" i="140" a="1"/>
  <c r="I23" i="140" a="1"/>
  <c r="J23" i="140" a="1"/>
  <c r="K23" i="140" a="1"/>
  <c r="L23" i="140" a="1"/>
  <c r="M23" i="140" a="1"/>
  <c r="N23" i="140" a="1"/>
  <c r="O23" i="140" a="1"/>
  <c r="P23" i="140" a="1"/>
  <c r="E23" i="140" a="1"/>
  <c r="E14" i="140" a="1"/>
  <c r="E3" i="152"/>
  <c r="C3" i="152"/>
  <c r="Q8" i="152"/>
  <c r="P5" i="152"/>
  <c r="Q5" i="152"/>
  <c r="R5" i="152"/>
  <c r="O5" i="152"/>
  <c r="Q55" i="140" l="1"/>
  <c r="V55" i="140" s="1"/>
  <c r="X55" i="140" l="1"/>
  <c r="Y55" i="140"/>
  <c r="Z55" i="140"/>
  <c r="AA55" i="140"/>
  <c r="AB55" i="140"/>
  <c r="AC55" i="140"/>
  <c r="AD55" i="140"/>
  <c r="AE55" i="140"/>
  <c r="U55" i="140"/>
  <c r="T55" i="140"/>
  <c r="W55" i="140"/>
  <c r="BS64" i="8" l="1"/>
  <c r="BR64" i="8"/>
  <c r="BQ64" i="8"/>
  <c r="BP64" i="8"/>
  <c r="BO64" i="8"/>
  <c r="BN64" i="8"/>
  <c r="BM64" i="8"/>
  <c r="BL64" i="8"/>
  <c r="BK64" i="8"/>
  <c r="BJ64" i="8"/>
  <c r="BI64" i="8"/>
  <c r="BH64" i="8"/>
  <c r="BG64" i="8"/>
  <c r="BF125" i="77" s="1"/>
  <c r="BF64" i="8"/>
  <c r="BE125" i="77" s="1"/>
  <c r="BE64" i="8"/>
  <c r="BD125" i="77" s="1"/>
  <c r="BD64" i="8"/>
  <c r="BC125" i="77" s="1"/>
  <c r="BC64" i="8"/>
  <c r="BB125" i="77" s="1"/>
  <c r="BB64" i="8"/>
  <c r="BA125" i="77" s="1"/>
  <c r="BA64" i="8"/>
  <c r="AZ125" i="77" s="1"/>
  <c r="AZ64" i="8"/>
  <c r="AY125" i="77" s="1"/>
  <c r="AY64" i="8"/>
  <c r="AX125" i="77" s="1"/>
  <c r="AX64" i="8"/>
  <c r="AW125" i="77" s="1"/>
  <c r="AW64" i="8"/>
  <c r="AV125" i="77" s="1"/>
  <c r="AV64" i="8"/>
  <c r="AU125" i="77" s="1"/>
  <c r="AU64" i="8"/>
  <c r="AT125" i="77" s="1"/>
  <c r="AT64" i="8"/>
  <c r="AS125" i="77" s="1"/>
  <c r="AS64" i="8"/>
  <c r="AR125" i="77" s="1"/>
  <c r="AR64" i="8"/>
  <c r="AQ125" i="77" s="1"/>
  <c r="AQ64" i="8"/>
  <c r="AP125" i="77" s="1"/>
  <c r="AP64" i="8"/>
  <c r="AO125" i="77" s="1"/>
  <c r="AO64" i="8"/>
  <c r="AN64" i="8"/>
  <c r="AV3" i="8"/>
  <c r="AO62" i="8"/>
  <c r="AN125" i="77" l="1"/>
  <c r="AM125" i="77"/>
  <c r="AW111" i="77"/>
  <c r="AX111" i="77"/>
  <c r="AY111" i="77"/>
  <c r="AN111" i="77"/>
  <c r="AZ111" i="77"/>
  <c r="AV111" i="77"/>
  <c r="AO111" i="77"/>
  <c r="AM111" i="77"/>
  <c r="BA111" i="77"/>
  <c r="AP111" i="77"/>
  <c r="BB111" i="77"/>
  <c r="AU111" i="77"/>
  <c r="AQ111" i="77"/>
  <c r="BC111" i="77"/>
  <c r="AR111" i="77"/>
  <c r="BD111" i="77"/>
  <c r="AS111" i="77"/>
  <c r="BE111" i="77"/>
  <c r="AT111" i="77"/>
  <c r="BF111" i="77"/>
  <c r="AR11" i="8" l="1"/>
  <c r="AN3" i="8"/>
  <c r="BF177" i="77"/>
  <c r="BE177" i="77"/>
  <c r="BD177" i="77"/>
  <c r="BC177" i="77"/>
  <c r="BB177" i="77"/>
  <c r="BA177" i="77"/>
  <c r="AZ177" i="77"/>
  <c r="AY177" i="77"/>
  <c r="AX177" i="77"/>
  <c r="AW177" i="77"/>
  <c r="AV177" i="77"/>
  <c r="AU177" i="77"/>
  <c r="AU97" i="77"/>
  <c r="AV97" i="77"/>
  <c r="AW97" i="77"/>
  <c r="AX97" i="77"/>
  <c r="AY97" i="77"/>
  <c r="AZ97" i="77"/>
  <c r="BA97" i="77"/>
  <c r="BB97" i="77"/>
  <c r="BC97" i="77"/>
  <c r="BD97" i="77"/>
  <c r="BE97" i="77"/>
  <c r="BF97" i="77"/>
  <c r="AU55" i="77"/>
  <c r="AV55" i="77"/>
  <c r="AW55" i="77"/>
  <c r="AX55" i="77"/>
  <c r="AY55" i="77"/>
  <c r="AZ55" i="77"/>
  <c r="BA55" i="77"/>
  <c r="BB55" i="77"/>
  <c r="BC55" i="77"/>
  <c r="BD55" i="77"/>
  <c r="BE55" i="77"/>
  <c r="BF55" i="77"/>
  <c r="AU64" i="77"/>
  <c r="AV64" i="77"/>
  <c r="AW64" i="77"/>
  <c r="AX64" i="77"/>
  <c r="AY64" i="77"/>
  <c r="AZ64" i="77"/>
  <c r="BA64" i="77"/>
  <c r="BB64" i="77"/>
  <c r="BC64" i="77"/>
  <c r="BD64" i="77"/>
  <c r="BE64" i="77"/>
  <c r="BF64" i="77"/>
  <c r="AU77" i="77"/>
  <c r="AV77" i="77"/>
  <c r="AW77" i="77"/>
  <c r="AX77" i="77"/>
  <c r="AY77" i="77"/>
  <c r="AZ77" i="77"/>
  <c r="BA77" i="77"/>
  <c r="BB77" i="77"/>
  <c r="BC77" i="77"/>
  <c r="BD77" i="77"/>
  <c r="BE77" i="77"/>
  <c r="BF77" i="77"/>
  <c r="AU46" i="77"/>
  <c r="AV46" i="77"/>
  <c r="AW46" i="77"/>
  <c r="AX46" i="77"/>
  <c r="AY46" i="77"/>
  <c r="AZ46" i="77"/>
  <c r="BA46" i="77"/>
  <c r="BB46" i="77"/>
  <c r="BC46" i="77"/>
  <c r="BD46" i="77"/>
  <c r="BE46" i="77"/>
  <c r="BF46" i="77"/>
  <c r="AM122" i="77" l="1"/>
  <c r="AM124" i="77"/>
  <c r="AS11" i="8"/>
  <c r="AM162" i="77" l="1"/>
  <c r="AM164" i="77"/>
  <c r="AM166" i="77"/>
  <c r="AT11" i="8"/>
  <c r="AN70" i="8"/>
  <c r="AO70" i="8"/>
  <c r="AP70" i="8"/>
  <c r="AQ70" i="8"/>
  <c r="AR70" i="8"/>
  <c r="AS70" i="8"/>
  <c r="AT70" i="8"/>
  <c r="AU70" i="8"/>
  <c r="AV70" i="8"/>
  <c r="AW70" i="8"/>
  <c r="AX70" i="8"/>
  <c r="AY70" i="8"/>
  <c r="AZ70" i="8"/>
  <c r="BA70" i="8"/>
  <c r="BB70" i="8"/>
  <c r="BC70" i="8"/>
  <c r="BD70" i="8"/>
  <c r="BE70" i="8"/>
  <c r="BF70" i="8"/>
  <c r="BG70" i="8"/>
  <c r="BH70" i="8"/>
  <c r="BI70" i="8"/>
  <c r="BJ70" i="8"/>
  <c r="BK70" i="8"/>
  <c r="BL70" i="8"/>
  <c r="BM70" i="8"/>
  <c r="BN70" i="8"/>
  <c r="BO70" i="8"/>
  <c r="BP70" i="8"/>
  <c r="BQ70" i="8"/>
  <c r="BR70" i="8"/>
  <c r="BS70" i="8"/>
  <c r="AQ123" i="77" l="1"/>
  <c r="BB123" i="77"/>
  <c r="AP123" i="77"/>
  <c r="AR123" i="77"/>
  <c r="BA123" i="77"/>
  <c r="AO123" i="77"/>
  <c r="BC123" i="77"/>
  <c r="AZ123" i="77"/>
  <c r="AN123" i="77"/>
  <c r="AY123" i="77"/>
  <c r="AM123" i="77"/>
  <c r="AX123" i="77"/>
  <c r="AW123" i="77"/>
  <c r="AU123" i="77"/>
  <c r="BD123" i="77"/>
  <c r="BF123" i="77"/>
  <c r="AT123" i="77"/>
  <c r="AV123" i="77"/>
  <c r="BE123" i="77"/>
  <c r="AS123" i="77"/>
  <c r="AN162" i="77"/>
  <c r="AN166" i="77"/>
  <c r="AN164" i="77"/>
  <c r="AN124" i="77"/>
  <c r="AN122" i="77"/>
  <c r="AU11" i="8"/>
  <c r="AO124" i="77" l="1"/>
  <c r="AO164" i="77"/>
  <c r="AO122" i="77"/>
  <c r="AO166" i="77"/>
  <c r="AO162" i="77"/>
  <c r="K125" i="6"/>
  <c r="AP178" i="77" l="1"/>
  <c r="AP164" i="77"/>
  <c r="AP166" i="77"/>
  <c r="AP124" i="77"/>
  <c r="AP122" i="77"/>
  <c r="AP162" i="77"/>
  <c r="AQ166" i="77" l="1"/>
  <c r="AQ178" i="77"/>
  <c r="AQ124" i="77"/>
  <c r="AQ162" i="77"/>
  <c r="AQ122" i="77"/>
  <c r="AQ164" i="77"/>
  <c r="AO3" i="8"/>
  <c r="AR122" i="77" l="1"/>
  <c r="AR164" i="77"/>
  <c r="AR124" i="77"/>
  <c r="AR162" i="77"/>
  <c r="AR178" i="77"/>
  <c r="AR166" i="77"/>
  <c r="B29" i="151" a="1"/>
  <c r="I29" i="151"/>
  <c r="J29" i="151"/>
  <c r="K29" i="151"/>
  <c r="L29" i="151"/>
  <c r="M29" i="151"/>
  <c r="N29" i="151"/>
  <c r="O29" i="151"/>
  <c r="P29" i="151"/>
  <c r="Q29" i="151"/>
  <c r="R29" i="151"/>
  <c r="S29" i="151"/>
  <c r="T29" i="151"/>
  <c r="U29" i="151"/>
  <c r="V29" i="151"/>
  <c r="W29" i="151"/>
  <c r="X29" i="151"/>
  <c r="Y29" i="151"/>
  <c r="Z29" i="151"/>
  <c r="AA29" i="151"/>
  <c r="AS178" i="77" l="1"/>
  <c r="AS162" i="77"/>
  <c r="AS124" i="77"/>
  <c r="AS164" i="77"/>
  <c r="AS166" i="77"/>
  <c r="AS122" i="77"/>
  <c r="AT122" i="77" l="1"/>
  <c r="AT164" i="77"/>
  <c r="AT166" i="77"/>
  <c r="AT178" i="77"/>
  <c r="AT124" i="77"/>
  <c r="AT162" i="77"/>
  <c r="AN30" i="8"/>
  <c r="AO30" i="8"/>
  <c r="AT30" i="8"/>
  <c r="AU30" i="8"/>
  <c r="AV30" i="8"/>
  <c r="AW30" i="8"/>
  <c r="AX30" i="8"/>
  <c r="AY30" i="8"/>
  <c r="AZ30" i="8"/>
  <c r="BA30" i="8"/>
  <c r="BB30" i="8"/>
  <c r="BC30" i="8"/>
  <c r="BD30" i="8"/>
  <c r="BE30" i="8"/>
  <c r="BF30" i="8"/>
  <c r="BG30" i="8"/>
  <c r="BH30" i="8"/>
  <c r="BI30" i="8"/>
  <c r="BJ30" i="8"/>
  <c r="BK30" i="8"/>
  <c r="BL30" i="8"/>
  <c r="BM30" i="8"/>
  <c r="BN30" i="8"/>
  <c r="BO30" i="8"/>
  <c r="BP30" i="8"/>
  <c r="BQ30" i="8"/>
  <c r="BR30" i="8"/>
  <c r="BS30" i="8"/>
  <c r="AN31" i="8"/>
  <c r="AO31" i="8"/>
  <c r="AP31" i="8"/>
  <c r="AQ31" i="8"/>
  <c r="AR31" i="8"/>
  <c r="AS31" i="8"/>
  <c r="AT31" i="8"/>
  <c r="AU31" i="8"/>
  <c r="AV31" i="8"/>
  <c r="AW31" i="8"/>
  <c r="AX31" i="8"/>
  <c r="AY31" i="8"/>
  <c r="AZ31" i="8"/>
  <c r="BA31" i="8"/>
  <c r="BB31" i="8"/>
  <c r="BC31" i="8"/>
  <c r="BD31" i="8"/>
  <c r="BE31" i="8"/>
  <c r="BF31" i="8"/>
  <c r="BG31" i="8"/>
  <c r="BH31" i="8"/>
  <c r="BI31" i="8"/>
  <c r="BJ31" i="8"/>
  <c r="BK31" i="8"/>
  <c r="BL31" i="8"/>
  <c r="BM31" i="8"/>
  <c r="BN31" i="8"/>
  <c r="BO31" i="8"/>
  <c r="BP31" i="8"/>
  <c r="BQ31" i="8"/>
  <c r="BR31" i="8"/>
  <c r="BS31" i="8"/>
  <c r="AR32" i="8"/>
  <c r="AS32" i="8"/>
  <c r="AT32" i="8"/>
  <c r="AU32" i="8"/>
  <c r="AV32" i="8"/>
  <c r="AW32" i="8"/>
  <c r="AX32" i="8"/>
  <c r="AY32" i="8"/>
  <c r="AZ32" i="8"/>
  <c r="BA32" i="8"/>
  <c r="BB32" i="8"/>
  <c r="BC32" i="8"/>
  <c r="BD32" i="8"/>
  <c r="BE32" i="8"/>
  <c r="BF32" i="8"/>
  <c r="BG32" i="8"/>
  <c r="BH32" i="8"/>
  <c r="BI32" i="8"/>
  <c r="BJ32" i="8"/>
  <c r="BK32" i="8"/>
  <c r="BL32" i="8"/>
  <c r="BM32" i="8"/>
  <c r="BN32" i="8"/>
  <c r="BO32" i="8"/>
  <c r="BP32" i="8"/>
  <c r="BQ32" i="8"/>
  <c r="BR32" i="8"/>
  <c r="BS32" i="8"/>
  <c r="AN33" i="8"/>
  <c r="AO33" i="8"/>
  <c r="AP33" i="8"/>
  <c r="AQ33" i="8"/>
  <c r="AR33" i="8"/>
  <c r="AS33" i="8"/>
  <c r="AT33" i="8"/>
  <c r="AU33" i="8"/>
  <c r="AV33" i="8"/>
  <c r="AW33" i="8"/>
  <c r="AX33" i="8"/>
  <c r="AY33" i="8"/>
  <c r="AZ33" i="8"/>
  <c r="BA33" i="8"/>
  <c r="BB33" i="8"/>
  <c r="BC33" i="8"/>
  <c r="BD33" i="8"/>
  <c r="BE33" i="8"/>
  <c r="BF33" i="8"/>
  <c r="BG33" i="8"/>
  <c r="BH33" i="8"/>
  <c r="BI33" i="8"/>
  <c r="BJ33" i="8"/>
  <c r="BK33" i="8"/>
  <c r="BL33" i="8"/>
  <c r="BM33" i="8"/>
  <c r="BN33" i="8"/>
  <c r="BO33" i="8"/>
  <c r="BP33" i="8"/>
  <c r="BQ33" i="8"/>
  <c r="BR33" i="8"/>
  <c r="BS33" i="8"/>
  <c r="AN34" i="8"/>
  <c r="AO34" i="8"/>
  <c r="AQ34" i="8"/>
  <c r="AR34" i="8"/>
  <c r="AS34" i="8"/>
  <c r="AT34" i="8"/>
  <c r="AU34" i="8"/>
  <c r="AV34" i="8"/>
  <c r="AW34" i="8"/>
  <c r="AX34" i="8"/>
  <c r="AY34" i="8"/>
  <c r="AZ34" i="8"/>
  <c r="BA34" i="8"/>
  <c r="BB34" i="8"/>
  <c r="BC34" i="8"/>
  <c r="BD34" i="8"/>
  <c r="BE34" i="8"/>
  <c r="BF34" i="8"/>
  <c r="BG34" i="8"/>
  <c r="BH34" i="8"/>
  <c r="BI34" i="8"/>
  <c r="BJ34" i="8"/>
  <c r="BK34" i="8"/>
  <c r="BL34" i="8"/>
  <c r="BM34" i="8"/>
  <c r="BN34" i="8"/>
  <c r="BO34" i="8"/>
  <c r="BP34" i="8"/>
  <c r="BQ34" i="8"/>
  <c r="BR34" i="8"/>
  <c r="BS34" i="8"/>
  <c r="AN35" i="8"/>
  <c r="AO35" i="8"/>
  <c r="AP35" i="8"/>
  <c r="AQ35" i="8"/>
  <c r="AR35" i="8"/>
  <c r="AS35" i="8"/>
  <c r="AT35" i="8"/>
  <c r="AU35" i="8"/>
  <c r="AV35" i="8"/>
  <c r="AW35" i="8"/>
  <c r="AX35" i="8"/>
  <c r="AY35" i="8"/>
  <c r="AZ35" i="8"/>
  <c r="BA35" i="8"/>
  <c r="BB35" i="8"/>
  <c r="BC35" i="8"/>
  <c r="BD35" i="8"/>
  <c r="BE35" i="8"/>
  <c r="BF35" i="8"/>
  <c r="BG35" i="8"/>
  <c r="BH35" i="8"/>
  <c r="BI35" i="8"/>
  <c r="BJ35" i="8"/>
  <c r="BK35" i="8"/>
  <c r="BL35" i="8"/>
  <c r="BM35" i="8"/>
  <c r="BN35" i="8"/>
  <c r="BO35" i="8"/>
  <c r="BP35" i="8"/>
  <c r="BQ35" i="8"/>
  <c r="BR35" i="8"/>
  <c r="BS35" i="8"/>
  <c r="AN36" i="8"/>
  <c r="AO36" i="8"/>
  <c r="AP36" i="8"/>
  <c r="AQ36" i="8"/>
  <c r="AR36" i="8"/>
  <c r="AS36" i="8"/>
  <c r="AT36" i="8"/>
  <c r="AU36" i="8"/>
  <c r="AV36" i="8"/>
  <c r="AW36" i="8"/>
  <c r="AX36" i="8"/>
  <c r="AY36" i="8"/>
  <c r="AZ36" i="8"/>
  <c r="BA36" i="8"/>
  <c r="BB36" i="8"/>
  <c r="BC36" i="8"/>
  <c r="BD36" i="8"/>
  <c r="BE36" i="8"/>
  <c r="BF36" i="8"/>
  <c r="BG36" i="8"/>
  <c r="BH36" i="8"/>
  <c r="BI36" i="8"/>
  <c r="BJ36" i="8"/>
  <c r="BK36" i="8"/>
  <c r="BL36" i="8"/>
  <c r="BM36" i="8"/>
  <c r="BN36" i="8"/>
  <c r="BO36" i="8"/>
  <c r="BP36" i="8"/>
  <c r="BQ36" i="8"/>
  <c r="BR36" i="8"/>
  <c r="BS36" i="8"/>
  <c r="AN37" i="8"/>
  <c r="AR37" i="8"/>
  <c r="AS37" i="8"/>
  <c r="AT37" i="8"/>
  <c r="AU37" i="8"/>
  <c r="AV37" i="8"/>
  <c r="AW37" i="8"/>
  <c r="AX37" i="8"/>
  <c r="AY37" i="8"/>
  <c r="AZ37" i="8"/>
  <c r="BA37" i="8"/>
  <c r="BB37" i="8"/>
  <c r="BC37" i="8"/>
  <c r="BD37" i="8"/>
  <c r="BE37" i="8"/>
  <c r="BF37" i="8"/>
  <c r="BG37" i="8"/>
  <c r="BH37" i="8"/>
  <c r="BI37" i="8"/>
  <c r="BJ37" i="8"/>
  <c r="BK37" i="8"/>
  <c r="BL37" i="8"/>
  <c r="BM37" i="8"/>
  <c r="BN37" i="8"/>
  <c r="BO37" i="8"/>
  <c r="BP37" i="8"/>
  <c r="BQ37" i="8"/>
  <c r="BR37" i="8"/>
  <c r="BS37" i="8"/>
  <c r="AN38" i="8"/>
  <c r="AO38" i="8"/>
  <c r="AP38" i="8"/>
  <c r="AQ38" i="8"/>
  <c r="AR38" i="8"/>
  <c r="AS38" i="8"/>
  <c r="AT38" i="8"/>
  <c r="AU38" i="8"/>
  <c r="AV38" i="8"/>
  <c r="AW38" i="8"/>
  <c r="AX38" i="8"/>
  <c r="AY38" i="8"/>
  <c r="AZ38" i="8"/>
  <c r="BA38" i="8"/>
  <c r="BB38" i="8"/>
  <c r="BC38" i="8"/>
  <c r="BD38" i="8"/>
  <c r="BE38" i="8"/>
  <c r="BF38" i="8"/>
  <c r="BG38" i="8"/>
  <c r="BH38" i="8"/>
  <c r="BI38" i="8"/>
  <c r="BJ38" i="8"/>
  <c r="BK38" i="8"/>
  <c r="BL38" i="8"/>
  <c r="BM38" i="8"/>
  <c r="BN38" i="8"/>
  <c r="BO38" i="8"/>
  <c r="BP38" i="8"/>
  <c r="BQ38" i="8"/>
  <c r="BR38" i="8"/>
  <c r="BS38" i="8"/>
  <c r="AN39" i="8"/>
  <c r="AQ39" i="8"/>
  <c r="AR39" i="8"/>
  <c r="AS39" i="8"/>
  <c r="AT39" i="8"/>
  <c r="AU39" i="8"/>
  <c r="AV39" i="8"/>
  <c r="AW39" i="8"/>
  <c r="AX39" i="8"/>
  <c r="AY39" i="8"/>
  <c r="AZ39" i="8"/>
  <c r="BA39" i="8"/>
  <c r="BB39" i="8"/>
  <c r="BC39" i="8"/>
  <c r="BD39" i="8"/>
  <c r="BE39" i="8"/>
  <c r="BF39" i="8"/>
  <c r="BG39" i="8"/>
  <c r="BH39" i="8"/>
  <c r="BI39" i="8"/>
  <c r="BJ39" i="8"/>
  <c r="BK39" i="8"/>
  <c r="BL39" i="8"/>
  <c r="BM39" i="8"/>
  <c r="BN39" i="8"/>
  <c r="BO39" i="8"/>
  <c r="BP39" i="8"/>
  <c r="BQ39" i="8"/>
  <c r="BR39" i="8"/>
  <c r="BS39" i="8"/>
  <c r="AN40" i="8"/>
  <c r="AO40" i="8"/>
  <c r="AP40" i="8"/>
  <c r="AQ40" i="8"/>
  <c r="AR40" i="8"/>
  <c r="AS40" i="8"/>
  <c r="AT40" i="8"/>
  <c r="AU40" i="8"/>
  <c r="AV40" i="8"/>
  <c r="AW40" i="8"/>
  <c r="AX40" i="8"/>
  <c r="AY40" i="8"/>
  <c r="AZ40" i="8"/>
  <c r="BA40" i="8"/>
  <c r="BB40" i="8"/>
  <c r="BC40" i="8"/>
  <c r="BD40" i="8"/>
  <c r="BE40" i="8"/>
  <c r="BF40" i="8"/>
  <c r="BG40" i="8"/>
  <c r="BH40" i="8"/>
  <c r="BI40" i="8"/>
  <c r="BJ40" i="8"/>
  <c r="BK40" i="8"/>
  <c r="BL40" i="8"/>
  <c r="BM40" i="8"/>
  <c r="BN40" i="8"/>
  <c r="BO40" i="8"/>
  <c r="BP40" i="8"/>
  <c r="BQ40" i="8"/>
  <c r="BR40" i="8"/>
  <c r="BS40" i="8"/>
  <c r="AS41" i="8"/>
  <c r="AT41" i="8"/>
  <c r="AU41" i="8"/>
  <c r="AV41" i="8"/>
  <c r="AW41" i="8"/>
  <c r="AX41" i="8"/>
  <c r="AY41" i="8"/>
  <c r="AZ41" i="8"/>
  <c r="BA41" i="8"/>
  <c r="BB41" i="8"/>
  <c r="BC41" i="8"/>
  <c r="BD41" i="8"/>
  <c r="BE41" i="8"/>
  <c r="BF41" i="8"/>
  <c r="BG41" i="8"/>
  <c r="BH41" i="8"/>
  <c r="BI41" i="8"/>
  <c r="BJ41" i="8"/>
  <c r="BK41" i="8"/>
  <c r="BL41" i="8"/>
  <c r="BM41" i="8"/>
  <c r="BN41" i="8"/>
  <c r="BO41" i="8"/>
  <c r="BP41" i="8"/>
  <c r="BQ41" i="8"/>
  <c r="BR41" i="8"/>
  <c r="BS41" i="8"/>
  <c r="AN42" i="8"/>
  <c r="AO42" i="8"/>
  <c r="AP42" i="8"/>
  <c r="AQ42" i="8"/>
  <c r="AR42" i="8"/>
  <c r="AS42" i="8"/>
  <c r="AT42" i="8"/>
  <c r="AU42" i="8"/>
  <c r="AV42" i="8"/>
  <c r="AW42" i="8"/>
  <c r="AX42" i="8"/>
  <c r="AY42" i="8"/>
  <c r="AZ42" i="8"/>
  <c r="BA42" i="8"/>
  <c r="BB42" i="8"/>
  <c r="BC42" i="8"/>
  <c r="BD42" i="8"/>
  <c r="BE42" i="8"/>
  <c r="BF42" i="8"/>
  <c r="BG42" i="8"/>
  <c r="BH42" i="8"/>
  <c r="BI42" i="8"/>
  <c r="BJ42" i="8"/>
  <c r="BK42" i="8"/>
  <c r="BL42" i="8"/>
  <c r="BM42" i="8"/>
  <c r="BN42" i="8"/>
  <c r="BO42" i="8"/>
  <c r="BP42" i="8"/>
  <c r="BQ42" i="8"/>
  <c r="BR42" i="8"/>
  <c r="BS42" i="8"/>
  <c r="AN43" i="8"/>
  <c r="AO43" i="8"/>
  <c r="AP43" i="8"/>
  <c r="AQ43" i="8"/>
  <c r="AR43" i="8"/>
  <c r="AS43" i="8"/>
  <c r="AT43" i="8"/>
  <c r="AU43" i="8"/>
  <c r="AV43" i="8"/>
  <c r="AW43" i="8"/>
  <c r="AX43" i="8"/>
  <c r="AY43" i="8"/>
  <c r="AZ43" i="8"/>
  <c r="BA43" i="8"/>
  <c r="BB43" i="8"/>
  <c r="BC43" i="8"/>
  <c r="BD43" i="8"/>
  <c r="BE43" i="8"/>
  <c r="BF43" i="8"/>
  <c r="BG43" i="8"/>
  <c r="BH43" i="8"/>
  <c r="BI43" i="8"/>
  <c r="BJ43" i="8"/>
  <c r="BK43" i="8"/>
  <c r="BL43" i="8"/>
  <c r="BM43" i="8"/>
  <c r="BN43" i="8"/>
  <c r="BO43" i="8"/>
  <c r="BP43" i="8"/>
  <c r="BQ43" i="8"/>
  <c r="BR43" i="8"/>
  <c r="BS43" i="8"/>
  <c r="AN45" i="8"/>
  <c r="AO45" i="8"/>
  <c r="AP45" i="8"/>
  <c r="AQ45" i="8"/>
  <c r="AR45" i="8"/>
  <c r="AS45" i="8"/>
  <c r="AT45" i="8"/>
  <c r="AU45" i="8"/>
  <c r="AV45" i="8"/>
  <c r="AW45" i="8"/>
  <c r="AX45" i="8"/>
  <c r="AY45" i="8"/>
  <c r="AZ45" i="8"/>
  <c r="BA45" i="8"/>
  <c r="BB45" i="8"/>
  <c r="BC45" i="8"/>
  <c r="BD45" i="8"/>
  <c r="BE45" i="8"/>
  <c r="BF45" i="8"/>
  <c r="BG45" i="8"/>
  <c r="BH45" i="8"/>
  <c r="BI45" i="8"/>
  <c r="BJ45" i="8"/>
  <c r="BK45" i="8"/>
  <c r="BL45" i="8"/>
  <c r="BM45" i="8"/>
  <c r="BN45" i="8"/>
  <c r="BO45" i="8"/>
  <c r="BP45" i="8"/>
  <c r="BQ45" i="8"/>
  <c r="BR45" i="8"/>
  <c r="BS45" i="8"/>
  <c r="AN29" i="8"/>
  <c r="AO29" i="8"/>
  <c r="AP29" i="8"/>
  <c r="AQ29" i="8"/>
  <c r="AR29" i="8"/>
  <c r="AS29" i="8"/>
  <c r="AT29" i="8"/>
  <c r="AU29" i="8"/>
  <c r="AV29" i="8"/>
  <c r="AW29" i="8"/>
  <c r="AX29" i="8"/>
  <c r="AY29" i="8"/>
  <c r="AZ29" i="8"/>
  <c r="BA29" i="8"/>
  <c r="BB29" i="8"/>
  <c r="BC29" i="8"/>
  <c r="BD29" i="8"/>
  <c r="BE29" i="8"/>
  <c r="BF29" i="8"/>
  <c r="BG29" i="8"/>
  <c r="BH29" i="8"/>
  <c r="BI29" i="8"/>
  <c r="BJ29" i="8"/>
  <c r="BK29" i="8"/>
  <c r="BL29" i="8"/>
  <c r="BM29" i="8"/>
  <c r="BN29" i="8"/>
  <c r="BO29" i="8"/>
  <c r="BP29" i="8"/>
  <c r="BQ29" i="8"/>
  <c r="BR29" i="8"/>
  <c r="BS29" i="8"/>
  <c r="AN4" i="8"/>
  <c r="AO4" i="8"/>
  <c r="AP4" i="8"/>
  <c r="AQ4" i="8"/>
  <c r="AR4" i="8"/>
  <c r="AS4" i="8"/>
  <c r="AT4" i="8"/>
  <c r="AU4" i="8"/>
  <c r="AV4" i="8"/>
  <c r="AW4" i="8"/>
  <c r="AX4" i="8"/>
  <c r="AY4" i="8"/>
  <c r="AZ4" i="8"/>
  <c r="BA4" i="8"/>
  <c r="BB4" i="8"/>
  <c r="BC4" i="8"/>
  <c r="BD4" i="8"/>
  <c r="BE4" i="8"/>
  <c r="BF4" i="8"/>
  <c r="BG4" i="8"/>
  <c r="BH4" i="8"/>
  <c r="BI4" i="8"/>
  <c r="BJ4" i="8"/>
  <c r="BK4" i="8"/>
  <c r="BL4" i="8"/>
  <c r="BM4" i="8"/>
  <c r="BN4" i="8"/>
  <c r="BO4" i="8"/>
  <c r="BP4" i="8"/>
  <c r="BQ4" i="8"/>
  <c r="BR4" i="8"/>
  <c r="BS4" i="8"/>
  <c r="AN5" i="8"/>
  <c r="AO5" i="8"/>
  <c r="AP5" i="8"/>
  <c r="AQ5" i="8"/>
  <c r="AR5" i="8"/>
  <c r="AS5" i="8"/>
  <c r="AT5" i="8"/>
  <c r="AU5" i="8"/>
  <c r="AV5" i="8"/>
  <c r="AW5" i="8"/>
  <c r="AX5" i="8"/>
  <c r="AY5" i="8"/>
  <c r="AZ5" i="8"/>
  <c r="BA5" i="8"/>
  <c r="BB5" i="8"/>
  <c r="BC5" i="8"/>
  <c r="BD5" i="8"/>
  <c r="BE5" i="8"/>
  <c r="BF5" i="8"/>
  <c r="BG5" i="8"/>
  <c r="BH5" i="8"/>
  <c r="BI5" i="8"/>
  <c r="BJ5" i="8"/>
  <c r="BK5" i="8"/>
  <c r="BL5" i="8"/>
  <c r="BM5" i="8"/>
  <c r="BN5" i="8"/>
  <c r="BO5" i="8"/>
  <c r="BP5" i="8"/>
  <c r="BQ5" i="8"/>
  <c r="BR5" i="8"/>
  <c r="BS5" i="8"/>
  <c r="AN7" i="8"/>
  <c r="AO7" i="8"/>
  <c r="AW7" i="8"/>
  <c r="AX7" i="8"/>
  <c r="AY7" i="8"/>
  <c r="AZ7" i="8"/>
  <c r="BA7" i="8"/>
  <c r="BB7" i="8"/>
  <c r="BC7" i="8"/>
  <c r="BD7" i="8"/>
  <c r="BE7" i="8"/>
  <c r="BF7" i="8"/>
  <c r="BG7" i="8"/>
  <c r="BH7" i="8"/>
  <c r="BI7" i="8"/>
  <c r="BJ7" i="8"/>
  <c r="BK7" i="8"/>
  <c r="BL7" i="8"/>
  <c r="BM7" i="8"/>
  <c r="BN7" i="8"/>
  <c r="BO7" i="8"/>
  <c r="BP7" i="8"/>
  <c r="BQ7" i="8"/>
  <c r="BR7" i="8"/>
  <c r="BS7" i="8"/>
  <c r="AN8" i="8"/>
  <c r="AO8" i="8"/>
  <c r="AP8" i="8"/>
  <c r="AQ8" i="8"/>
  <c r="AR8" i="8"/>
  <c r="AS8" i="8"/>
  <c r="AT8" i="8"/>
  <c r="AU8" i="8"/>
  <c r="AV8" i="8"/>
  <c r="AW8" i="8"/>
  <c r="AX8" i="8"/>
  <c r="AY8" i="8"/>
  <c r="AZ8" i="8"/>
  <c r="BA8" i="8"/>
  <c r="BB8" i="8"/>
  <c r="BC8" i="8"/>
  <c r="BD8" i="8"/>
  <c r="BE8" i="8"/>
  <c r="BF8" i="8"/>
  <c r="BG8" i="8"/>
  <c r="BH8" i="8"/>
  <c r="BI8" i="8"/>
  <c r="BJ8" i="8"/>
  <c r="BK8" i="8"/>
  <c r="BL8" i="8"/>
  <c r="BM8" i="8"/>
  <c r="BN8" i="8"/>
  <c r="BO8" i="8"/>
  <c r="BP8" i="8"/>
  <c r="BQ8" i="8"/>
  <c r="BR8" i="8"/>
  <c r="BS8" i="8"/>
  <c r="AN9" i="8"/>
  <c r="AO9" i="8"/>
  <c r="AP9" i="8"/>
  <c r="AQ9" i="8"/>
  <c r="AR9" i="8"/>
  <c r="AS9" i="8"/>
  <c r="AT9" i="8"/>
  <c r="AU9" i="8"/>
  <c r="AV9" i="8"/>
  <c r="AW9" i="8"/>
  <c r="AX9" i="8"/>
  <c r="AY9" i="8"/>
  <c r="AZ9" i="8"/>
  <c r="BA9" i="8"/>
  <c r="BB9" i="8"/>
  <c r="BC9" i="8"/>
  <c r="BD9" i="8"/>
  <c r="BE9" i="8"/>
  <c r="BF9" i="8"/>
  <c r="BG9" i="8"/>
  <c r="BH9" i="8"/>
  <c r="BI9" i="8"/>
  <c r="BJ9" i="8"/>
  <c r="BK9" i="8"/>
  <c r="BL9" i="8"/>
  <c r="BM9" i="8"/>
  <c r="BN9" i="8"/>
  <c r="BO9" i="8"/>
  <c r="BP9" i="8"/>
  <c r="BQ9" i="8"/>
  <c r="BR9" i="8"/>
  <c r="BS9" i="8"/>
  <c r="AN10" i="8"/>
  <c r="AO10" i="8"/>
  <c r="AP10" i="8"/>
  <c r="AQ10" i="8"/>
  <c r="AR10" i="8"/>
  <c r="AS10" i="8"/>
  <c r="AT10" i="8"/>
  <c r="AU10" i="8"/>
  <c r="AV10" i="8"/>
  <c r="AW10" i="8"/>
  <c r="AX10" i="8"/>
  <c r="AY10" i="8"/>
  <c r="AZ10" i="8"/>
  <c r="BA10" i="8"/>
  <c r="BB10" i="8"/>
  <c r="BC10" i="8"/>
  <c r="BD10" i="8"/>
  <c r="BE10" i="8"/>
  <c r="BF10" i="8"/>
  <c r="BG10" i="8"/>
  <c r="BH10" i="8"/>
  <c r="BI10" i="8"/>
  <c r="BJ10" i="8"/>
  <c r="BK10" i="8"/>
  <c r="BL10" i="8"/>
  <c r="BM10" i="8"/>
  <c r="BN10" i="8"/>
  <c r="BO10" i="8"/>
  <c r="BP10" i="8"/>
  <c r="BQ10" i="8"/>
  <c r="BR10" i="8"/>
  <c r="BS10" i="8"/>
  <c r="AN11" i="8"/>
  <c r="AV11" i="8"/>
  <c r="AW11" i="8"/>
  <c r="AX11" i="8"/>
  <c r="AY11" i="8"/>
  <c r="AZ11" i="8"/>
  <c r="BA11" i="8"/>
  <c r="BB11" i="8"/>
  <c r="BC11" i="8"/>
  <c r="BD11" i="8"/>
  <c r="BE11" i="8"/>
  <c r="BF11" i="8"/>
  <c r="BG11" i="8"/>
  <c r="BH11" i="8"/>
  <c r="BI11" i="8"/>
  <c r="BJ11" i="8"/>
  <c r="BK11" i="8"/>
  <c r="BL11" i="8"/>
  <c r="BM11" i="8"/>
  <c r="BN11" i="8"/>
  <c r="BO11" i="8"/>
  <c r="BP11" i="8"/>
  <c r="BQ11" i="8"/>
  <c r="BR11" i="8"/>
  <c r="BS11" i="8"/>
  <c r="AN12" i="8"/>
  <c r="AO12" i="8"/>
  <c r="AP12" i="8"/>
  <c r="AQ12" i="8"/>
  <c r="AR12" i="8"/>
  <c r="AS12" i="8"/>
  <c r="AT12" i="8"/>
  <c r="AU12" i="8"/>
  <c r="AV12" i="8"/>
  <c r="AW12" i="8"/>
  <c r="AX12" i="8"/>
  <c r="AY12" i="8"/>
  <c r="AZ12" i="8"/>
  <c r="BA12" i="8"/>
  <c r="BB12" i="8"/>
  <c r="BC12" i="8"/>
  <c r="BD12" i="8"/>
  <c r="BE12" i="8"/>
  <c r="BF12" i="8"/>
  <c r="BG12" i="8"/>
  <c r="BH12" i="8"/>
  <c r="BI12" i="8"/>
  <c r="BJ12" i="8"/>
  <c r="BK12" i="8"/>
  <c r="BL12" i="8"/>
  <c r="BM12" i="8"/>
  <c r="BN12" i="8"/>
  <c r="BO12" i="8"/>
  <c r="BP12" i="8"/>
  <c r="BQ12" i="8"/>
  <c r="BR12" i="8"/>
  <c r="BS12" i="8"/>
  <c r="AN13" i="8"/>
  <c r="AO13" i="8"/>
  <c r="AP13" i="8"/>
  <c r="AQ13" i="8"/>
  <c r="AR13" i="8"/>
  <c r="AS13" i="8"/>
  <c r="AT13" i="8"/>
  <c r="AU13" i="8"/>
  <c r="AV13" i="8"/>
  <c r="AW13" i="8"/>
  <c r="AX13" i="8"/>
  <c r="AY13" i="8"/>
  <c r="AZ13" i="8"/>
  <c r="BA13" i="8"/>
  <c r="BB13" i="8"/>
  <c r="BC13" i="8"/>
  <c r="BD13" i="8"/>
  <c r="BE13" i="8"/>
  <c r="BF13" i="8"/>
  <c r="BG13" i="8"/>
  <c r="BH13" i="8"/>
  <c r="BI13" i="8"/>
  <c r="BJ13" i="8"/>
  <c r="BK13" i="8"/>
  <c r="BL13" i="8"/>
  <c r="BM13" i="8"/>
  <c r="BN13" i="8"/>
  <c r="BO13" i="8"/>
  <c r="BP13" i="8"/>
  <c r="BQ13" i="8"/>
  <c r="BR13" i="8"/>
  <c r="BS13" i="8"/>
  <c r="AN14" i="8"/>
  <c r="AO14" i="8"/>
  <c r="AP14" i="8"/>
  <c r="AQ14" i="8"/>
  <c r="AR14" i="8"/>
  <c r="AS14" i="8"/>
  <c r="AT14" i="8"/>
  <c r="AU14" i="8"/>
  <c r="AV14" i="8"/>
  <c r="AW14" i="8"/>
  <c r="AX14" i="8"/>
  <c r="AY14" i="8"/>
  <c r="AZ14" i="8"/>
  <c r="BA14" i="8"/>
  <c r="BB14" i="8"/>
  <c r="BC14" i="8"/>
  <c r="BD14" i="8"/>
  <c r="BE14" i="8"/>
  <c r="BF14" i="8"/>
  <c r="BG14" i="8"/>
  <c r="BH14" i="8"/>
  <c r="BI14" i="8"/>
  <c r="BJ14" i="8"/>
  <c r="BK14" i="8"/>
  <c r="BL14" i="8"/>
  <c r="BM14" i="8"/>
  <c r="BN14" i="8"/>
  <c r="BO14" i="8"/>
  <c r="BP14" i="8"/>
  <c r="BQ14" i="8"/>
  <c r="BR14" i="8"/>
  <c r="BS14" i="8"/>
  <c r="AN15" i="8"/>
  <c r="AO15" i="8"/>
  <c r="AP15" i="8"/>
  <c r="AQ15" i="8"/>
  <c r="AR15" i="8"/>
  <c r="AS15" i="8"/>
  <c r="AT15" i="8"/>
  <c r="AU15" i="8"/>
  <c r="AV15" i="8"/>
  <c r="AW15" i="8"/>
  <c r="AX15" i="8"/>
  <c r="AY15" i="8"/>
  <c r="AZ15" i="8"/>
  <c r="BA15" i="8"/>
  <c r="BB15" i="8"/>
  <c r="BC15" i="8"/>
  <c r="BD15" i="8"/>
  <c r="BE15" i="8"/>
  <c r="BF15" i="8"/>
  <c r="BG15" i="8"/>
  <c r="BH15" i="8"/>
  <c r="BI15" i="8"/>
  <c r="BJ15" i="8"/>
  <c r="BK15" i="8"/>
  <c r="BL15" i="8"/>
  <c r="BM15" i="8"/>
  <c r="BN15" i="8"/>
  <c r="BO15" i="8"/>
  <c r="BP15" i="8"/>
  <c r="BQ15" i="8"/>
  <c r="BR15" i="8"/>
  <c r="BS15" i="8"/>
  <c r="AN16" i="8"/>
  <c r="AO16" i="8"/>
  <c r="AP16" i="8"/>
  <c r="AQ16" i="8"/>
  <c r="AR16" i="8"/>
  <c r="AS16" i="8"/>
  <c r="AT16" i="8"/>
  <c r="AU16" i="8"/>
  <c r="AV16" i="8"/>
  <c r="AW16" i="8"/>
  <c r="AX16" i="8"/>
  <c r="AY16" i="8"/>
  <c r="AZ16" i="8"/>
  <c r="BA16" i="8"/>
  <c r="BB16" i="8"/>
  <c r="BC16" i="8"/>
  <c r="BD16" i="8"/>
  <c r="BE16" i="8"/>
  <c r="BF16" i="8"/>
  <c r="BG16" i="8"/>
  <c r="BH16" i="8"/>
  <c r="BI16" i="8"/>
  <c r="BJ16" i="8"/>
  <c r="BK16" i="8"/>
  <c r="BL16" i="8"/>
  <c r="BM16" i="8"/>
  <c r="BN16" i="8"/>
  <c r="BO16" i="8"/>
  <c r="BP16" i="8"/>
  <c r="BQ16" i="8"/>
  <c r="BR16" i="8"/>
  <c r="BS16" i="8"/>
  <c r="AN17" i="8"/>
  <c r="AO17" i="8"/>
  <c r="AP17" i="8"/>
  <c r="AR17" i="8"/>
  <c r="AS17" i="8"/>
  <c r="AT17" i="8"/>
  <c r="AU17" i="8"/>
  <c r="AV17" i="8"/>
  <c r="AW17" i="8"/>
  <c r="AX17" i="8"/>
  <c r="AY17" i="8"/>
  <c r="AZ17" i="8"/>
  <c r="BA17" i="8"/>
  <c r="BB17" i="8"/>
  <c r="BC17" i="8"/>
  <c r="BD17" i="8"/>
  <c r="BE17" i="8"/>
  <c r="BF17" i="8"/>
  <c r="BG17" i="8"/>
  <c r="BH17" i="8"/>
  <c r="BI17" i="8"/>
  <c r="BJ17" i="8"/>
  <c r="BK17" i="8"/>
  <c r="BL17" i="8"/>
  <c r="BM17" i="8"/>
  <c r="BN17" i="8"/>
  <c r="BO17" i="8"/>
  <c r="BP17" i="8"/>
  <c r="BQ17" i="8"/>
  <c r="BR17" i="8"/>
  <c r="BS17" i="8"/>
  <c r="AN18" i="8"/>
  <c r="AO18" i="8"/>
  <c r="AP18" i="8"/>
  <c r="AQ18" i="8"/>
  <c r="AR18" i="8"/>
  <c r="AS18" i="8"/>
  <c r="AT18" i="8"/>
  <c r="AU18" i="8"/>
  <c r="AV18" i="8"/>
  <c r="AW18" i="8"/>
  <c r="AX18" i="8"/>
  <c r="AY18" i="8"/>
  <c r="AZ18" i="8"/>
  <c r="BA18" i="8"/>
  <c r="BB18" i="8"/>
  <c r="BC18" i="8"/>
  <c r="BD18" i="8"/>
  <c r="BE18" i="8"/>
  <c r="BF18" i="8"/>
  <c r="BG18" i="8"/>
  <c r="BH18" i="8"/>
  <c r="BI18" i="8"/>
  <c r="BJ18" i="8"/>
  <c r="BK18" i="8"/>
  <c r="BL18" i="8"/>
  <c r="BM18" i="8"/>
  <c r="BN18" i="8"/>
  <c r="BO18" i="8"/>
  <c r="BP18" i="8"/>
  <c r="BQ18" i="8"/>
  <c r="BR18" i="8"/>
  <c r="BS18" i="8"/>
  <c r="AN19" i="8"/>
  <c r="AO19" i="8"/>
  <c r="AP19" i="8"/>
  <c r="AR19" i="8"/>
  <c r="AS19" i="8"/>
  <c r="AT19" i="8"/>
  <c r="AU19" i="8"/>
  <c r="AV19" i="8"/>
  <c r="AW19" i="8"/>
  <c r="AX19" i="8"/>
  <c r="AY19" i="8"/>
  <c r="AZ19" i="8"/>
  <c r="BA19" i="8"/>
  <c r="BB19" i="8"/>
  <c r="BC19" i="8"/>
  <c r="BD19" i="8"/>
  <c r="BE19" i="8"/>
  <c r="BF19" i="8"/>
  <c r="BG19" i="8"/>
  <c r="BH19" i="8"/>
  <c r="BI19" i="8"/>
  <c r="BJ19" i="8"/>
  <c r="BK19" i="8"/>
  <c r="BL19" i="8"/>
  <c r="BM19" i="8"/>
  <c r="BN19" i="8"/>
  <c r="BO19" i="8"/>
  <c r="BP19" i="8"/>
  <c r="BQ19" i="8"/>
  <c r="BR19" i="8"/>
  <c r="BS19" i="8"/>
  <c r="AN20" i="8"/>
  <c r="AO20" i="8"/>
  <c r="AP20" i="8"/>
  <c r="AQ20" i="8"/>
  <c r="AR20" i="8"/>
  <c r="AS20" i="8"/>
  <c r="AT20" i="8"/>
  <c r="AU20" i="8"/>
  <c r="AV20" i="8"/>
  <c r="AW20" i="8"/>
  <c r="AX20" i="8"/>
  <c r="AY20" i="8"/>
  <c r="AZ20" i="8"/>
  <c r="BA20" i="8"/>
  <c r="BB20" i="8"/>
  <c r="BC20" i="8"/>
  <c r="BD20" i="8"/>
  <c r="BE20" i="8"/>
  <c r="BF20" i="8"/>
  <c r="BG20" i="8"/>
  <c r="BH20" i="8"/>
  <c r="BI20" i="8"/>
  <c r="BJ20" i="8"/>
  <c r="BK20" i="8"/>
  <c r="BL20" i="8"/>
  <c r="BM20" i="8"/>
  <c r="BN20" i="8"/>
  <c r="BO20" i="8"/>
  <c r="BP20" i="8"/>
  <c r="BQ20" i="8"/>
  <c r="BR20" i="8"/>
  <c r="BS20" i="8"/>
  <c r="AO21" i="8"/>
  <c r="AP21" i="8"/>
  <c r="AQ21" i="8"/>
  <c r="AR21" i="8"/>
  <c r="AS21" i="8"/>
  <c r="AT21" i="8"/>
  <c r="AU21" i="8"/>
  <c r="AV21" i="8"/>
  <c r="AW21" i="8"/>
  <c r="AX21" i="8"/>
  <c r="AY21" i="8"/>
  <c r="AZ21" i="8"/>
  <c r="BA21" i="8"/>
  <c r="BB21" i="8"/>
  <c r="BC21" i="8"/>
  <c r="BD21" i="8"/>
  <c r="BE21" i="8"/>
  <c r="BF21" i="8"/>
  <c r="BG21" i="8"/>
  <c r="BH21" i="8"/>
  <c r="BI21" i="8"/>
  <c r="BJ21" i="8"/>
  <c r="BK21" i="8"/>
  <c r="BL21" i="8"/>
  <c r="BM21" i="8"/>
  <c r="BN21" i="8"/>
  <c r="BO21" i="8"/>
  <c r="BP21" i="8"/>
  <c r="BQ21" i="8"/>
  <c r="BR21" i="8"/>
  <c r="BS21" i="8"/>
  <c r="AN22" i="8"/>
  <c r="AO22" i="8"/>
  <c r="AP22" i="8"/>
  <c r="AQ22" i="8"/>
  <c r="AR22" i="8"/>
  <c r="AS22" i="8"/>
  <c r="AT22" i="8"/>
  <c r="AU22" i="8"/>
  <c r="AW22" i="8"/>
  <c r="AX22" i="8"/>
  <c r="AY22" i="8"/>
  <c r="AZ22" i="8"/>
  <c r="BA22" i="8"/>
  <c r="BB22" i="8"/>
  <c r="BC22" i="8"/>
  <c r="BD22" i="8"/>
  <c r="BE22" i="8"/>
  <c r="BF22" i="8"/>
  <c r="BG22" i="8"/>
  <c r="BH22" i="8"/>
  <c r="BI22" i="8"/>
  <c r="BJ22" i="8"/>
  <c r="BK22" i="8"/>
  <c r="BL22" i="8"/>
  <c r="BM22" i="8"/>
  <c r="BN22" i="8"/>
  <c r="BO22" i="8"/>
  <c r="BP22" i="8"/>
  <c r="BQ22" i="8"/>
  <c r="BR22" i="8"/>
  <c r="BS22" i="8"/>
  <c r="AN23" i="8"/>
  <c r="AO23" i="8"/>
  <c r="AP23" i="8"/>
  <c r="AQ23" i="8"/>
  <c r="AR23" i="8"/>
  <c r="AS23" i="8"/>
  <c r="AT23" i="8"/>
  <c r="AU23" i="8"/>
  <c r="AV23" i="8"/>
  <c r="AW23" i="8"/>
  <c r="AX23" i="8"/>
  <c r="AY23" i="8"/>
  <c r="AZ23" i="8"/>
  <c r="BA23" i="8"/>
  <c r="BB23" i="8"/>
  <c r="BC23" i="8"/>
  <c r="BD23" i="8"/>
  <c r="BE23" i="8"/>
  <c r="BF23" i="8"/>
  <c r="BG23" i="8"/>
  <c r="BH23" i="8"/>
  <c r="BI23" i="8"/>
  <c r="BJ23" i="8"/>
  <c r="BK23" i="8"/>
  <c r="BL23" i="8"/>
  <c r="BM23" i="8"/>
  <c r="BN23" i="8"/>
  <c r="BO23" i="8"/>
  <c r="BP23" i="8"/>
  <c r="BQ23" i="8"/>
  <c r="BR23" i="8"/>
  <c r="BS23" i="8"/>
  <c r="AR24" i="8"/>
  <c r="AS24" i="8"/>
  <c r="AT24" i="8"/>
  <c r="AU24" i="8"/>
  <c r="AV24" i="8"/>
  <c r="AW24" i="8"/>
  <c r="AX24" i="8"/>
  <c r="AY24" i="8"/>
  <c r="AZ24" i="8"/>
  <c r="BA24" i="8"/>
  <c r="BB24" i="8"/>
  <c r="BC24" i="8"/>
  <c r="BD24" i="8"/>
  <c r="BE24" i="8"/>
  <c r="BF24" i="8"/>
  <c r="BG24" i="8"/>
  <c r="BH24" i="8"/>
  <c r="BI24" i="8"/>
  <c r="BJ24" i="8"/>
  <c r="BK24" i="8"/>
  <c r="BL24" i="8"/>
  <c r="BM24" i="8"/>
  <c r="BN24" i="8"/>
  <c r="BO24" i="8"/>
  <c r="BP24" i="8"/>
  <c r="BQ24" i="8"/>
  <c r="BR24" i="8"/>
  <c r="BS24" i="8"/>
  <c r="AN25" i="8"/>
  <c r="AO25" i="8"/>
  <c r="AP25" i="8"/>
  <c r="AQ25" i="8"/>
  <c r="AR25" i="8"/>
  <c r="AS25" i="8"/>
  <c r="AT25" i="8"/>
  <c r="AU25" i="8"/>
  <c r="AV25" i="8"/>
  <c r="AW25" i="8"/>
  <c r="AX25" i="8"/>
  <c r="AY25" i="8"/>
  <c r="AZ25" i="8"/>
  <c r="BA25" i="8"/>
  <c r="BB25" i="8"/>
  <c r="BC25" i="8"/>
  <c r="BD25" i="8"/>
  <c r="BE25" i="8"/>
  <c r="BF25" i="8"/>
  <c r="BG25" i="8"/>
  <c r="BH25" i="8"/>
  <c r="BI25" i="8"/>
  <c r="BJ25" i="8"/>
  <c r="BK25" i="8"/>
  <c r="BL25" i="8"/>
  <c r="BM25" i="8"/>
  <c r="BN25" i="8"/>
  <c r="BO25" i="8"/>
  <c r="BP25" i="8"/>
  <c r="BQ25" i="8"/>
  <c r="BR25" i="8"/>
  <c r="BS25" i="8"/>
  <c r="AS3" i="8"/>
  <c r="AT3" i="8"/>
  <c r="AU3" i="8"/>
  <c r="AW3" i="8"/>
  <c r="AX3" i="8"/>
  <c r="AY3" i="8"/>
  <c r="AZ3" i="8"/>
  <c r="BA3" i="8"/>
  <c r="BB3" i="8"/>
  <c r="BC3" i="8"/>
  <c r="BD3" i="8"/>
  <c r="BE3" i="8"/>
  <c r="BF3" i="8"/>
  <c r="BG3" i="8"/>
  <c r="BH3" i="8"/>
  <c r="BI3" i="8"/>
  <c r="BJ3" i="8"/>
  <c r="BK3" i="8"/>
  <c r="BL3" i="8"/>
  <c r="BM3" i="8"/>
  <c r="BN3" i="8"/>
  <c r="BO3" i="8"/>
  <c r="BP3" i="8"/>
  <c r="BQ3" i="8"/>
  <c r="BR3" i="8"/>
  <c r="BS3" i="8"/>
  <c r="AN52" i="8"/>
  <c r="AO52" i="8"/>
  <c r="AP52" i="8"/>
  <c r="AQ52" i="8"/>
  <c r="AR52" i="8"/>
  <c r="AS52" i="8"/>
  <c r="AT52" i="8"/>
  <c r="AU52" i="8"/>
  <c r="AV52" i="8"/>
  <c r="AW52" i="8"/>
  <c r="AX52" i="8"/>
  <c r="AY52" i="8"/>
  <c r="AZ52" i="8"/>
  <c r="BA52" i="8"/>
  <c r="BB52" i="8"/>
  <c r="BC52" i="8"/>
  <c r="BD52" i="8"/>
  <c r="BE52" i="8"/>
  <c r="BF52" i="8"/>
  <c r="BG52" i="8"/>
  <c r="BH52" i="8"/>
  <c r="BI52" i="8"/>
  <c r="BJ52" i="8"/>
  <c r="BK52" i="8"/>
  <c r="BL52" i="8"/>
  <c r="BM52" i="8"/>
  <c r="BN52" i="8"/>
  <c r="BO52" i="8"/>
  <c r="BP52" i="8"/>
  <c r="BQ52" i="8"/>
  <c r="BR52" i="8"/>
  <c r="BS52" i="8"/>
  <c r="AN53" i="8"/>
  <c r="AO53" i="8"/>
  <c r="AP53" i="8"/>
  <c r="AQ53" i="8"/>
  <c r="AR53" i="8"/>
  <c r="AS53" i="8"/>
  <c r="AT53" i="8"/>
  <c r="AU53" i="8"/>
  <c r="AV53" i="8"/>
  <c r="AW53" i="8"/>
  <c r="AX53" i="8"/>
  <c r="AY53" i="8"/>
  <c r="AZ53" i="8"/>
  <c r="BA53" i="8"/>
  <c r="BB53" i="8"/>
  <c r="BC53" i="8"/>
  <c r="BD53" i="8"/>
  <c r="BE53" i="8"/>
  <c r="BF53" i="8"/>
  <c r="BG53" i="8"/>
  <c r="BH53" i="8"/>
  <c r="BI53" i="8"/>
  <c r="BJ53" i="8"/>
  <c r="BK53" i="8"/>
  <c r="BL53" i="8"/>
  <c r="BM53" i="8"/>
  <c r="BN53" i="8"/>
  <c r="BO53" i="8"/>
  <c r="BP53" i="8"/>
  <c r="BQ53" i="8"/>
  <c r="BR53" i="8"/>
  <c r="BS53" i="8"/>
  <c r="AN54" i="8"/>
  <c r="AO54" i="8"/>
  <c r="AP54" i="8"/>
  <c r="AQ54" i="8"/>
  <c r="AR54" i="8"/>
  <c r="AS54" i="8"/>
  <c r="AT54" i="8"/>
  <c r="AU54" i="8"/>
  <c r="AV54" i="8"/>
  <c r="AW54" i="8"/>
  <c r="AX54" i="8"/>
  <c r="AY54" i="8"/>
  <c r="AZ54" i="8"/>
  <c r="BA54" i="8"/>
  <c r="BB54" i="8"/>
  <c r="BC54" i="8"/>
  <c r="BD54" i="8"/>
  <c r="BE54" i="8"/>
  <c r="BF54" i="8"/>
  <c r="BG54" i="8"/>
  <c r="BH54" i="8"/>
  <c r="BI54" i="8"/>
  <c r="BJ54" i="8"/>
  <c r="BK54" i="8"/>
  <c r="BL54" i="8"/>
  <c r="BM54" i="8"/>
  <c r="BN54" i="8"/>
  <c r="BO54" i="8"/>
  <c r="BP54" i="8"/>
  <c r="BQ54" i="8"/>
  <c r="BR54" i="8"/>
  <c r="BS54" i="8"/>
  <c r="AN55" i="8"/>
  <c r="AO55" i="8"/>
  <c r="AP55" i="8"/>
  <c r="AQ55" i="8"/>
  <c r="AR55" i="8"/>
  <c r="AS55" i="8"/>
  <c r="AT55" i="8"/>
  <c r="AU55" i="8"/>
  <c r="AV55" i="8"/>
  <c r="AW55" i="8"/>
  <c r="AX55" i="8"/>
  <c r="AY55" i="8"/>
  <c r="AZ55" i="8"/>
  <c r="BA55" i="8"/>
  <c r="BB55" i="8"/>
  <c r="BC55" i="8"/>
  <c r="BD55" i="8"/>
  <c r="BE55" i="8"/>
  <c r="BF55" i="8"/>
  <c r="BG55" i="8"/>
  <c r="BH55" i="8"/>
  <c r="BI55" i="8"/>
  <c r="BJ55" i="8"/>
  <c r="BK55" i="8"/>
  <c r="BL55" i="8"/>
  <c r="BM55" i="8"/>
  <c r="BN55" i="8"/>
  <c r="BO55" i="8"/>
  <c r="BP55" i="8"/>
  <c r="BQ55" i="8"/>
  <c r="BR55" i="8"/>
  <c r="BS55" i="8"/>
  <c r="AN56" i="8"/>
  <c r="AO56" i="8"/>
  <c r="AP56" i="8"/>
  <c r="AQ56" i="8"/>
  <c r="AR56" i="8"/>
  <c r="AS56" i="8"/>
  <c r="AT56" i="8"/>
  <c r="AU56" i="8"/>
  <c r="AV56" i="8"/>
  <c r="AW56" i="8"/>
  <c r="AX56" i="8"/>
  <c r="AY56" i="8"/>
  <c r="AZ56" i="8"/>
  <c r="BA56" i="8"/>
  <c r="BB56" i="8"/>
  <c r="BC56" i="8"/>
  <c r="BD56" i="8"/>
  <c r="BE56" i="8"/>
  <c r="BF56" i="8"/>
  <c r="BG56" i="8"/>
  <c r="BH56" i="8"/>
  <c r="BI56" i="8"/>
  <c r="BJ56" i="8"/>
  <c r="BK56" i="8"/>
  <c r="BL56" i="8"/>
  <c r="BM56" i="8"/>
  <c r="BN56" i="8"/>
  <c r="BO56" i="8"/>
  <c r="BP56" i="8"/>
  <c r="BQ56" i="8"/>
  <c r="BR56" i="8"/>
  <c r="BS56" i="8"/>
  <c r="AN57" i="8"/>
  <c r="AO57" i="8"/>
  <c r="AP57" i="8"/>
  <c r="AQ57" i="8"/>
  <c r="AR57" i="8"/>
  <c r="AS57" i="8"/>
  <c r="AT57" i="8"/>
  <c r="AU57" i="8"/>
  <c r="AV57" i="8"/>
  <c r="AW57" i="8"/>
  <c r="AX57" i="8"/>
  <c r="AY57" i="8"/>
  <c r="AZ57" i="8"/>
  <c r="BA57" i="8"/>
  <c r="BB57" i="8"/>
  <c r="BC57" i="8"/>
  <c r="BD57" i="8"/>
  <c r="BE57" i="8"/>
  <c r="BF57" i="8"/>
  <c r="BG57" i="8"/>
  <c r="BH57" i="8"/>
  <c r="BI57" i="8"/>
  <c r="BJ57" i="8"/>
  <c r="BK57" i="8"/>
  <c r="BL57" i="8"/>
  <c r="BM57" i="8"/>
  <c r="BN57" i="8"/>
  <c r="BO57" i="8"/>
  <c r="BP57" i="8"/>
  <c r="BQ57" i="8"/>
  <c r="BR57" i="8"/>
  <c r="BS57" i="8"/>
  <c r="AN58" i="8"/>
  <c r="AO58" i="8"/>
  <c r="AP58" i="8"/>
  <c r="AQ58" i="8"/>
  <c r="AR58" i="8"/>
  <c r="AS58" i="8"/>
  <c r="AT58" i="8"/>
  <c r="AU58" i="8"/>
  <c r="AV58" i="8"/>
  <c r="AW58" i="8"/>
  <c r="AX58" i="8"/>
  <c r="AY58" i="8"/>
  <c r="AZ58" i="8"/>
  <c r="BA58" i="8"/>
  <c r="BB58" i="8"/>
  <c r="BC58" i="8"/>
  <c r="BD58" i="8"/>
  <c r="BE58" i="8"/>
  <c r="BF58" i="8"/>
  <c r="BG58" i="8"/>
  <c r="BH58" i="8"/>
  <c r="BI58" i="8"/>
  <c r="BJ58" i="8"/>
  <c r="BK58" i="8"/>
  <c r="BL58" i="8"/>
  <c r="BM58" i="8"/>
  <c r="BN58" i="8"/>
  <c r="BO58" i="8"/>
  <c r="BP58" i="8"/>
  <c r="BQ58" i="8"/>
  <c r="BR58" i="8"/>
  <c r="BS58" i="8"/>
  <c r="AN59" i="8"/>
  <c r="AO59" i="8"/>
  <c r="AP59" i="8"/>
  <c r="AQ59" i="8"/>
  <c r="AR59" i="8"/>
  <c r="AS59" i="8"/>
  <c r="AT59" i="8"/>
  <c r="AU59" i="8"/>
  <c r="AV59" i="8"/>
  <c r="AW59" i="8"/>
  <c r="AX59" i="8"/>
  <c r="AY59" i="8"/>
  <c r="AZ59" i="8"/>
  <c r="BA59" i="8"/>
  <c r="BB59" i="8"/>
  <c r="BC59" i="8"/>
  <c r="BD59" i="8"/>
  <c r="BE59" i="8"/>
  <c r="BF59" i="8"/>
  <c r="BG59" i="8"/>
  <c r="BH59" i="8"/>
  <c r="BI59" i="8"/>
  <c r="BJ59" i="8"/>
  <c r="BK59" i="8"/>
  <c r="BL59" i="8"/>
  <c r="BM59" i="8"/>
  <c r="BN59" i="8"/>
  <c r="BO59" i="8"/>
  <c r="BP59" i="8"/>
  <c r="BQ59" i="8"/>
  <c r="BR59" i="8"/>
  <c r="BS59" i="8"/>
  <c r="AN60" i="8"/>
  <c r="AO60" i="8"/>
  <c r="AP60" i="8"/>
  <c r="AQ60" i="8"/>
  <c r="AR60" i="8"/>
  <c r="AS60" i="8"/>
  <c r="AT60" i="8"/>
  <c r="AU60" i="8"/>
  <c r="AV60" i="8"/>
  <c r="AW60" i="8"/>
  <c r="AX60" i="8"/>
  <c r="AY60" i="8"/>
  <c r="AZ60" i="8"/>
  <c r="BA60" i="8"/>
  <c r="BB60" i="8"/>
  <c r="BC60" i="8"/>
  <c r="BD60" i="8"/>
  <c r="BE60" i="8"/>
  <c r="BF60" i="8"/>
  <c r="BG60" i="8"/>
  <c r="BH60" i="8"/>
  <c r="BI60" i="8"/>
  <c r="BJ60" i="8"/>
  <c r="BK60" i="8"/>
  <c r="BL60" i="8"/>
  <c r="BM60" i="8"/>
  <c r="BN60" i="8"/>
  <c r="BO60" i="8"/>
  <c r="BP60" i="8"/>
  <c r="BQ60" i="8"/>
  <c r="BR60" i="8"/>
  <c r="BS60" i="8"/>
  <c r="AN61" i="8"/>
  <c r="AO61" i="8"/>
  <c r="AP61" i="8"/>
  <c r="AQ61" i="8"/>
  <c r="AR61" i="8"/>
  <c r="AS61" i="8"/>
  <c r="AT61" i="8"/>
  <c r="AU61" i="8"/>
  <c r="AV61" i="8"/>
  <c r="AW61" i="8"/>
  <c r="AX61" i="8"/>
  <c r="AY61" i="8"/>
  <c r="AZ61" i="8"/>
  <c r="BA61" i="8"/>
  <c r="BB61" i="8"/>
  <c r="BC61" i="8"/>
  <c r="BD61" i="8"/>
  <c r="BE61" i="8"/>
  <c r="BF61" i="8"/>
  <c r="BG61" i="8"/>
  <c r="BH61" i="8"/>
  <c r="BI61" i="8"/>
  <c r="BJ61" i="8"/>
  <c r="BK61" i="8"/>
  <c r="BL61" i="8"/>
  <c r="BM61" i="8"/>
  <c r="BN61" i="8"/>
  <c r="BO61" i="8"/>
  <c r="BP61" i="8"/>
  <c r="BQ61" i="8"/>
  <c r="BR61" i="8"/>
  <c r="BS61" i="8"/>
  <c r="AN62" i="8"/>
  <c r="AP62" i="8"/>
  <c r="AQ62" i="8"/>
  <c r="AR62" i="8"/>
  <c r="AS62" i="8"/>
  <c r="AT62" i="8"/>
  <c r="AU62" i="8"/>
  <c r="AV62" i="8"/>
  <c r="AW62" i="8"/>
  <c r="AX62" i="8"/>
  <c r="AY62" i="8"/>
  <c r="AZ62" i="8"/>
  <c r="BA62" i="8"/>
  <c r="BB62" i="8"/>
  <c r="BC62" i="8"/>
  <c r="BD62" i="8"/>
  <c r="BE62" i="8"/>
  <c r="BF62" i="8"/>
  <c r="BG62" i="8"/>
  <c r="BH62" i="8"/>
  <c r="BI62" i="8"/>
  <c r="BJ62" i="8"/>
  <c r="BK62" i="8"/>
  <c r="BL62" i="8"/>
  <c r="BM62" i="8"/>
  <c r="BN62" i="8"/>
  <c r="BO62" i="8"/>
  <c r="BP62" i="8"/>
  <c r="BQ62" i="8"/>
  <c r="BR62" i="8"/>
  <c r="BS62" i="8"/>
  <c r="AN63" i="8"/>
  <c r="AO63" i="8"/>
  <c r="AP63" i="8"/>
  <c r="AQ63" i="8"/>
  <c r="AR63" i="8"/>
  <c r="AS63" i="8"/>
  <c r="AT63" i="8"/>
  <c r="AU63" i="8"/>
  <c r="AV63" i="8"/>
  <c r="AW63" i="8"/>
  <c r="AX63" i="8"/>
  <c r="AY63" i="8"/>
  <c r="AZ63" i="8"/>
  <c r="BA63" i="8"/>
  <c r="BB63" i="8"/>
  <c r="BC63" i="8"/>
  <c r="BD63" i="8"/>
  <c r="BE63" i="8"/>
  <c r="BF63" i="8"/>
  <c r="BG63" i="8"/>
  <c r="BH63" i="8"/>
  <c r="BI63" i="8"/>
  <c r="BJ63" i="8"/>
  <c r="BK63" i="8"/>
  <c r="BL63" i="8"/>
  <c r="BM63" i="8"/>
  <c r="BN63" i="8"/>
  <c r="BO63" i="8"/>
  <c r="BP63" i="8"/>
  <c r="BQ63" i="8"/>
  <c r="BR63" i="8"/>
  <c r="BS63" i="8"/>
  <c r="AN65" i="8"/>
  <c r="AO65" i="8"/>
  <c r="AP65" i="8"/>
  <c r="AQ65" i="8"/>
  <c r="AR65" i="8"/>
  <c r="AS65" i="8"/>
  <c r="AT65" i="8"/>
  <c r="AU65" i="8"/>
  <c r="AV65" i="8"/>
  <c r="AW65" i="8"/>
  <c r="AX65" i="8"/>
  <c r="AY65" i="8"/>
  <c r="AZ65" i="8"/>
  <c r="BA65" i="8"/>
  <c r="BB65" i="8"/>
  <c r="BC65" i="8"/>
  <c r="BD65" i="8"/>
  <c r="BE65" i="8"/>
  <c r="BF65" i="8"/>
  <c r="BG65" i="8"/>
  <c r="BH65" i="8"/>
  <c r="BI65" i="8"/>
  <c r="BJ65" i="8"/>
  <c r="BK65" i="8"/>
  <c r="BL65" i="8"/>
  <c r="BM65" i="8"/>
  <c r="BN65" i="8"/>
  <c r="BO65" i="8"/>
  <c r="BP65" i="8"/>
  <c r="BQ65" i="8"/>
  <c r="BR65" i="8"/>
  <c r="BS65" i="8"/>
  <c r="AN66" i="8"/>
  <c r="AO66" i="8"/>
  <c r="AP66" i="8"/>
  <c r="AQ66" i="8"/>
  <c r="AR66" i="8"/>
  <c r="AS66" i="8"/>
  <c r="AT66" i="8"/>
  <c r="AU66" i="8"/>
  <c r="AV66" i="8"/>
  <c r="AW66" i="8"/>
  <c r="AX66" i="8"/>
  <c r="AY66" i="8"/>
  <c r="AZ66" i="8"/>
  <c r="BA66" i="8"/>
  <c r="BB66" i="8"/>
  <c r="BC66" i="8"/>
  <c r="BD66" i="8"/>
  <c r="BE66" i="8"/>
  <c r="BF66" i="8"/>
  <c r="BG66" i="8"/>
  <c r="BH66" i="8"/>
  <c r="BI66" i="8"/>
  <c r="BJ66" i="8"/>
  <c r="BK66" i="8"/>
  <c r="BL66" i="8"/>
  <c r="BM66" i="8"/>
  <c r="BN66" i="8"/>
  <c r="BO66" i="8"/>
  <c r="BP66" i="8"/>
  <c r="BQ66" i="8"/>
  <c r="BR66" i="8"/>
  <c r="BS66" i="8"/>
  <c r="AN67" i="8"/>
  <c r="AO67" i="8"/>
  <c r="AP67" i="8"/>
  <c r="AQ67" i="8"/>
  <c r="AR67" i="8"/>
  <c r="AS67" i="8"/>
  <c r="AT67" i="8"/>
  <c r="AU67" i="8"/>
  <c r="AV67" i="8"/>
  <c r="AW67" i="8"/>
  <c r="AX67" i="8"/>
  <c r="AY67" i="8"/>
  <c r="AZ67" i="8"/>
  <c r="BA67" i="8"/>
  <c r="BB67" i="8"/>
  <c r="BC67" i="8"/>
  <c r="BD67" i="8"/>
  <c r="BE67" i="8"/>
  <c r="BF67" i="8"/>
  <c r="BG67" i="8"/>
  <c r="BH67" i="8"/>
  <c r="BI67" i="8"/>
  <c r="BJ67" i="8"/>
  <c r="BK67" i="8"/>
  <c r="BL67" i="8"/>
  <c r="BM67" i="8"/>
  <c r="BN67" i="8"/>
  <c r="BO67" i="8"/>
  <c r="BP67" i="8"/>
  <c r="BQ67" i="8"/>
  <c r="BR67" i="8"/>
  <c r="BS67" i="8"/>
  <c r="AN68" i="8"/>
  <c r="AO68" i="8"/>
  <c r="AP68" i="8"/>
  <c r="AQ68" i="8"/>
  <c r="AR68" i="8"/>
  <c r="AS68" i="8"/>
  <c r="AT68" i="8"/>
  <c r="AU68" i="8"/>
  <c r="AV68" i="8"/>
  <c r="AW68" i="8"/>
  <c r="AX68" i="8"/>
  <c r="AY68" i="8"/>
  <c r="AZ68" i="8"/>
  <c r="BA68" i="8"/>
  <c r="BB68" i="8"/>
  <c r="BC68" i="8"/>
  <c r="BD68" i="8"/>
  <c r="BE68" i="8"/>
  <c r="BF68" i="8"/>
  <c r="BG68" i="8"/>
  <c r="BH68" i="8"/>
  <c r="BI68" i="8"/>
  <c r="BJ68" i="8"/>
  <c r="BK68" i="8"/>
  <c r="BL68" i="8"/>
  <c r="BM68" i="8"/>
  <c r="BN68" i="8"/>
  <c r="BO68" i="8"/>
  <c r="BP68" i="8"/>
  <c r="BQ68" i="8"/>
  <c r="BR68" i="8"/>
  <c r="BS68" i="8"/>
  <c r="AN69" i="8"/>
  <c r="AO69" i="8"/>
  <c r="AP69" i="8"/>
  <c r="AQ69" i="8"/>
  <c r="AR69" i="8"/>
  <c r="AS69" i="8"/>
  <c r="AT69" i="8"/>
  <c r="AU69" i="8"/>
  <c r="AV69" i="8"/>
  <c r="AW69" i="8"/>
  <c r="AX69" i="8"/>
  <c r="AY69" i="8"/>
  <c r="AZ69" i="8"/>
  <c r="BA69" i="8"/>
  <c r="BB69" i="8"/>
  <c r="BC69" i="8"/>
  <c r="BD69" i="8"/>
  <c r="BE69" i="8"/>
  <c r="BF69" i="8"/>
  <c r="BG69" i="8"/>
  <c r="BH69" i="8"/>
  <c r="BI69" i="8"/>
  <c r="BJ69" i="8"/>
  <c r="BK69" i="8"/>
  <c r="BL69" i="8"/>
  <c r="BM69" i="8"/>
  <c r="BN69" i="8"/>
  <c r="BO69" i="8"/>
  <c r="BP69" i="8"/>
  <c r="BQ69" i="8"/>
  <c r="BR69" i="8"/>
  <c r="BS69" i="8"/>
  <c r="AN72" i="8"/>
  <c r="AO72" i="8"/>
  <c r="AP72" i="8"/>
  <c r="AQ72" i="8"/>
  <c r="AR72" i="8"/>
  <c r="AS72" i="8"/>
  <c r="AT72" i="8"/>
  <c r="AU72" i="8"/>
  <c r="AV72" i="8"/>
  <c r="AW72" i="8"/>
  <c r="AX72" i="8"/>
  <c r="AY72" i="8"/>
  <c r="AZ72" i="8"/>
  <c r="BA72" i="8"/>
  <c r="BB72" i="8"/>
  <c r="BC72" i="8"/>
  <c r="BD72" i="8"/>
  <c r="BE72" i="8"/>
  <c r="BF72" i="8"/>
  <c r="BG72" i="8"/>
  <c r="BH72" i="8"/>
  <c r="BI72" i="8"/>
  <c r="BJ72" i="8"/>
  <c r="BK72" i="8"/>
  <c r="BL72" i="8"/>
  <c r="BM72" i="8"/>
  <c r="BN72" i="8"/>
  <c r="BO72" i="8"/>
  <c r="BP72" i="8"/>
  <c r="BQ72" i="8"/>
  <c r="BR72" i="8"/>
  <c r="BS72" i="8"/>
  <c r="AN73" i="8"/>
  <c r="AO73" i="8"/>
  <c r="AP73" i="8"/>
  <c r="AQ73" i="8"/>
  <c r="AR73" i="8"/>
  <c r="AS73" i="8"/>
  <c r="AT73" i="8"/>
  <c r="AU73" i="8"/>
  <c r="AV73" i="8"/>
  <c r="AW73" i="8"/>
  <c r="AX73" i="8"/>
  <c r="AY73" i="8"/>
  <c r="AZ73" i="8"/>
  <c r="BA73" i="8"/>
  <c r="BB73" i="8"/>
  <c r="BC73" i="8"/>
  <c r="BD73" i="8"/>
  <c r="BE73" i="8"/>
  <c r="BF73" i="8"/>
  <c r="BG73" i="8"/>
  <c r="BH73" i="8"/>
  <c r="BI73" i="8"/>
  <c r="BJ73" i="8"/>
  <c r="BK73" i="8"/>
  <c r="BL73" i="8"/>
  <c r="BM73" i="8"/>
  <c r="BN73" i="8"/>
  <c r="BO73" i="8"/>
  <c r="BP73" i="8"/>
  <c r="BQ73" i="8"/>
  <c r="BR73" i="8"/>
  <c r="BS73" i="8"/>
  <c r="AN75" i="8"/>
  <c r="AO75" i="8"/>
  <c r="AP75" i="8"/>
  <c r="AQ75" i="8"/>
  <c r="AR75" i="8"/>
  <c r="AS75" i="8"/>
  <c r="AT75" i="8"/>
  <c r="AU75" i="8"/>
  <c r="AV75" i="8"/>
  <c r="AW75" i="8"/>
  <c r="AX75" i="8"/>
  <c r="AY75" i="8"/>
  <c r="AZ75" i="8"/>
  <c r="BA75" i="8"/>
  <c r="BB75" i="8"/>
  <c r="BC75" i="8"/>
  <c r="BD75" i="8"/>
  <c r="BE75" i="8"/>
  <c r="BF75" i="8"/>
  <c r="BG75" i="8"/>
  <c r="BH75" i="8"/>
  <c r="BI75" i="8"/>
  <c r="BJ75" i="8"/>
  <c r="BK75" i="8"/>
  <c r="BL75" i="8"/>
  <c r="BM75" i="8"/>
  <c r="BN75" i="8"/>
  <c r="BO75" i="8"/>
  <c r="BP75" i="8"/>
  <c r="BQ75" i="8"/>
  <c r="BR75" i="8"/>
  <c r="BS75" i="8"/>
  <c r="AN76" i="8"/>
  <c r="AO76" i="8"/>
  <c r="AP76" i="8"/>
  <c r="AQ76" i="8"/>
  <c r="AR76" i="8"/>
  <c r="AS76" i="8"/>
  <c r="AT76" i="8"/>
  <c r="AU76" i="8"/>
  <c r="AV76" i="8"/>
  <c r="AW76" i="8"/>
  <c r="AX76" i="8"/>
  <c r="AY76" i="8"/>
  <c r="AZ76" i="8"/>
  <c r="BA76" i="8"/>
  <c r="BB76" i="8"/>
  <c r="BC76" i="8"/>
  <c r="BD76" i="8"/>
  <c r="BE76" i="8"/>
  <c r="BF76" i="8"/>
  <c r="BG76" i="8"/>
  <c r="BH76" i="8"/>
  <c r="BI76" i="8"/>
  <c r="BJ76" i="8"/>
  <c r="BK76" i="8"/>
  <c r="BL76" i="8"/>
  <c r="BM76" i="8"/>
  <c r="BN76" i="8"/>
  <c r="BO76" i="8"/>
  <c r="BP76" i="8"/>
  <c r="BQ76" i="8"/>
  <c r="BR76" i="8"/>
  <c r="BS76" i="8"/>
  <c r="AN77" i="8"/>
  <c r="AO77" i="8"/>
  <c r="AP77" i="8"/>
  <c r="AQ77" i="8"/>
  <c r="AR77" i="8"/>
  <c r="AS77" i="8"/>
  <c r="AT77" i="8"/>
  <c r="AU77" i="8"/>
  <c r="AV77" i="8"/>
  <c r="AW77" i="8"/>
  <c r="AX77" i="8"/>
  <c r="AY77" i="8"/>
  <c r="AZ77" i="8"/>
  <c r="BA77" i="8"/>
  <c r="BB77" i="8"/>
  <c r="BC77" i="8"/>
  <c r="BD77" i="8"/>
  <c r="BE77" i="8"/>
  <c r="BF77" i="8"/>
  <c r="BG77" i="8"/>
  <c r="BH77" i="8"/>
  <c r="BI77" i="8"/>
  <c r="BJ77" i="8"/>
  <c r="BK77" i="8"/>
  <c r="BL77" i="8"/>
  <c r="BM77" i="8"/>
  <c r="BN77" i="8"/>
  <c r="BO77" i="8"/>
  <c r="BP77" i="8"/>
  <c r="BQ77" i="8"/>
  <c r="BR77" i="8"/>
  <c r="BS77" i="8"/>
  <c r="AN78" i="8"/>
  <c r="AO78" i="8"/>
  <c r="AP78" i="8"/>
  <c r="AQ78" i="8"/>
  <c r="AR78" i="8"/>
  <c r="AS78" i="8"/>
  <c r="AT78" i="8"/>
  <c r="AU78" i="8"/>
  <c r="AV78" i="8"/>
  <c r="AW78" i="8"/>
  <c r="AX78" i="8"/>
  <c r="AY78" i="8"/>
  <c r="AZ78" i="8"/>
  <c r="BA78" i="8"/>
  <c r="BB78" i="8"/>
  <c r="BC78" i="8"/>
  <c r="BD78" i="8"/>
  <c r="BE78" i="8"/>
  <c r="BF78" i="8"/>
  <c r="BG78" i="8"/>
  <c r="BH78" i="8"/>
  <c r="BI78" i="8"/>
  <c r="BJ78" i="8"/>
  <c r="BK78" i="8"/>
  <c r="BL78" i="8"/>
  <c r="BM78" i="8"/>
  <c r="BN78" i="8"/>
  <c r="BO78" i="8"/>
  <c r="BP78" i="8"/>
  <c r="BQ78" i="8"/>
  <c r="BR78" i="8"/>
  <c r="BS78" i="8"/>
  <c r="AN79" i="8"/>
  <c r="AO79" i="8"/>
  <c r="AP79" i="8"/>
  <c r="AQ79" i="8"/>
  <c r="AR79" i="8"/>
  <c r="AS79" i="8"/>
  <c r="AT79" i="8"/>
  <c r="AU79" i="8"/>
  <c r="AV79" i="8"/>
  <c r="AW79" i="8"/>
  <c r="AX79" i="8"/>
  <c r="AY79" i="8"/>
  <c r="AZ79" i="8"/>
  <c r="BA79" i="8"/>
  <c r="BB79" i="8"/>
  <c r="BC79" i="8"/>
  <c r="BD79" i="8"/>
  <c r="BE79" i="8"/>
  <c r="BF79" i="8"/>
  <c r="BG79" i="8"/>
  <c r="BH79" i="8"/>
  <c r="BI79" i="8"/>
  <c r="BJ79" i="8"/>
  <c r="BK79" i="8"/>
  <c r="BL79" i="8"/>
  <c r="BM79" i="8"/>
  <c r="BN79" i="8"/>
  <c r="BO79" i="8"/>
  <c r="BP79" i="8"/>
  <c r="BQ79" i="8"/>
  <c r="BR79" i="8"/>
  <c r="BS79" i="8"/>
  <c r="AN80" i="8"/>
  <c r="AO80" i="8"/>
  <c r="AP80" i="8"/>
  <c r="AQ80" i="8"/>
  <c r="AR80" i="8"/>
  <c r="AS80" i="8"/>
  <c r="AT80" i="8"/>
  <c r="AU80" i="8"/>
  <c r="AV80" i="8"/>
  <c r="AW80" i="8"/>
  <c r="AX80" i="8"/>
  <c r="AY80" i="8"/>
  <c r="AZ80" i="8"/>
  <c r="BA80" i="8"/>
  <c r="BB80" i="8"/>
  <c r="BC80" i="8"/>
  <c r="BD80" i="8"/>
  <c r="BE80" i="8"/>
  <c r="BF80" i="8"/>
  <c r="BG80" i="8"/>
  <c r="BH80" i="8"/>
  <c r="BI80" i="8"/>
  <c r="BJ80" i="8"/>
  <c r="BK80" i="8"/>
  <c r="BL80" i="8"/>
  <c r="BM80" i="8"/>
  <c r="BN80" i="8"/>
  <c r="BO80" i="8"/>
  <c r="BP80" i="8"/>
  <c r="BQ80" i="8"/>
  <c r="BR80" i="8"/>
  <c r="BS80" i="8"/>
  <c r="AN81" i="8"/>
  <c r="AO81" i="8"/>
  <c r="AP81" i="8"/>
  <c r="AQ81" i="8"/>
  <c r="AR81" i="8"/>
  <c r="AS81" i="8"/>
  <c r="AT81" i="8"/>
  <c r="AU81" i="8"/>
  <c r="AV81" i="8"/>
  <c r="AW81" i="8"/>
  <c r="AX81" i="8"/>
  <c r="AY81" i="8"/>
  <c r="AZ81" i="8"/>
  <c r="BA81" i="8"/>
  <c r="BB81" i="8"/>
  <c r="BC81" i="8"/>
  <c r="BD81" i="8"/>
  <c r="BE81" i="8"/>
  <c r="BF81" i="8"/>
  <c r="BG81" i="8"/>
  <c r="BH81" i="8"/>
  <c r="BI81" i="8"/>
  <c r="BJ81" i="8"/>
  <c r="BK81" i="8"/>
  <c r="BL81" i="8"/>
  <c r="BM81" i="8"/>
  <c r="BN81" i="8"/>
  <c r="BO81" i="8"/>
  <c r="BP81" i="8"/>
  <c r="BQ81" i="8"/>
  <c r="BR81" i="8"/>
  <c r="BS81" i="8"/>
  <c r="AN82" i="8"/>
  <c r="AO82" i="8"/>
  <c r="AP82" i="8"/>
  <c r="AQ82" i="8"/>
  <c r="AR82" i="8"/>
  <c r="AS82" i="8"/>
  <c r="AT82" i="8"/>
  <c r="AU82" i="8"/>
  <c r="AV82" i="8"/>
  <c r="AW82" i="8"/>
  <c r="AX82" i="8"/>
  <c r="AY82" i="8"/>
  <c r="AZ82" i="8"/>
  <c r="BA82" i="8"/>
  <c r="BB82" i="8"/>
  <c r="BC82" i="8"/>
  <c r="BD82" i="8"/>
  <c r="BE82" i="8"/>
  <c r="BF82" i="8"/>
  <c r="BG82" i="8"/>
  <c r="BH82" i="8"/>
  <c r="BI82" i="8"/>
  <c r="BJ82" i="8"/>
  <c r="BK82" i="8"/>
  <c r="BL82" i="8"/>
  <c r="BM82" i="8"/>
  <c r="BN82" i="8"/>
  <c r="BO82" i="8"/>
  <c r="BP82" i="8"/>
  <c r="BQ82" i="8"/>
  <c r="BR82" i="8"/>
  <c r="BS82" i="8"/>
  <c r="AN83" i="8"/>
  <c r="AO83" i="8"/>
  <c r="AP83" i="8"/>
  <c r="AQ83" i="8"/>
  <c r="AR83" i="8"/>
  <c r="AS83" i="8"/>
  <c r="AT83" i="8"/>
  <c r="AU83" i="8"/>
  <c r="AV83" i="8"/>
  <c r="AW83" i="8"/>
  <c r="AX83" i="8"/>
  <c r="AY83" i="8"/>
  <c r="AZ83" i="8"/>
  <c r="BA83" i="8"/>
  <c r="BB83" i="8"/>
  <c r="BC83" i="8"/>
  <c r="BD83" i="8"/>
  <c r="BE83" i="8"/>
  <c r="BF83" i="8"/>
  <c r="BG83" i="8"/>
  <c r="BH83" i="8"/>
  <c r="BI83" i="8"/>
  <c r="BJ83" i="8"/>
  <c r="BK83" i="8"/>
  <c r="BL83" i="8"/>
  <c r="BM83" i="8"/>
  <c r="BN83" i="8"/>
  <c r="BO83" i="8"/>
  <c r="BP83" i="8"/>
  <c r="BQ83" i="8"/>
  <c r="BR83" i="8"/>
  <c r="BS83" i="8"/>
  <c r="AN84" i="8"/>
  <c r="AO84" i="8"/>
  <c r="AP84" i="8"/>
  <c r="AQ84" i="8"/>
  <c r="AR84" i="8"/>
  <c r="AS84" i="8"/>
  <c r="AT84" i="8"/>
  <c r="AU84" i="8"/>
  <c r="AV84" i="8"/>
  <c r="AW84" i="8"/>
  <c r="AX84" i="8"/>
  <c r="AY84" i="8"/>
  <c r="AZ84" i="8"/>
  <c r="BA84" i="8"/>
  <c r="BB84" i="8"/>
  <c r="BC84" i="8"/>
  <c r="BD84" i="8"/>
  <c r="BE84" i="8"/>
  <c r="BF84" i="8"/>
  <c r="BG84" i="8"/>
  <c r="BH84" i="8"/>
  <c r="BI84" i="8"/>
  <c r="BJ84" i="8"/>
  <c r="BK84" i="8"/>
  <c r="BL84" i="8"/>
  <c r="BM84" i="8"/>
  <c r="BN84" i="8"/>
  <c r="BO84" i="8"/>
  <c r="BP84" i="8"/>
  <c r="BQ84" i="8"/>
  <c r="BR84" i="8"/>
  <c r="BS84" i="8"/>
  <c r="AN85" i="8"/>
  <c r="AO85" i="8"/>
  <c r="AP85" i="8"/>
  <c r="AQ85" i="8"/>
  <c r="AR85" i="8"/>
  <c r="AS85" i="8"/>
  <c r="AT85" i="8"/>
  <c r="AU85" i="8"/>
  <c r="AV85" i="8"/>
  <c r="AW85" i="8"/>
  <c r="AX85" i="8"/>
  <c r="AY85" i="8"/>
  <c r="AZ85" i="8"/>
  <c r="BA85" i="8"/>
  <c r="BB85" i="8"/>
  <c r="BC85" i="8"/>
  <c r="BD85" i="8"/>
  <c r="BE85" i="8"/>
  <c r="BF85" i="8"/>
  <c r="BG85" i="8"/>
  <c r="BH85" i="8"/>
  <c r="BI85" i="8"/>
  <c r="BJ85" i="8"/>
  <c r="BK85" i="8"/>
  <c r="BL85" i="8"/>
  <c r="BM85" i="8"/>
  <c r="BN85" i="8"/>
  <c r="BO85" i="8"/>
  <c r="BP85" i="8"/>
  <c r="BQ85" i="8"/>
  <c r="BR85" i="8"/>
  <c r="BS85" i="8"/>
  <c r="AN86" i="8"/>
  <c r="AO86" i="8"/>
  <c r="AP86" i="8"/>
  <c r="AQ86" i="8"/>
  <c r="AR86" i="8"/>
  <c r="AS86" i="8"/>
  <c r="AT86" i="8"/>
  <c r="AU86" i="8"/>
  <c r="AV86" i="8"/>
  <c r="AW86" i="8"/>
  <c r="AX86" i="8"/>
  <c r="AY86" i="8"/>
  <c r="AZ86" i="8"/>
  <c r="BA86" i="8"/>
  <c r="BB86" i="8"/>
  <c r="BC86" i="8"/>
  <c r="BD86" i="8"/>
  <c r="BE86" i="8"/>
  <c r="BF86" i="8"/>
  <c r="BG86" i="8"/>
  <c r="BH86" i="8"/>
  <c r="BI86" i="8"/>
  <c r="BJ86" i="8"/>
  <c r="BK86" i="8"/>
  <c r="BL86" i="8"/>
  <c r="BM86" i="8"/>
  <c r="BN86" i="8"/>
  <c r="BO86" i="8"/>
  <c r="BP86" i="8"/>
  <c r="BQ86" i="8"/>
  <c r="BR86" i="8"/>
  <c r="BS86" i="8"/>
  <c r="AN87" i="8"/>
  <c r="AO87" i="8"/>
  <c r="AP87" i="8"/>
  <c r="AQ87" i="8"/>
  <c r="AR87" i="8"/>
  <c r="AS87" i="8"/>
  <c r="AT87" i="8"/>
  <c r="AU87" i="8"/>
  <c r="AV87" i="8"/>
  <c r="AW87" i="8"/>
  <c r="AX87" i="8"/>
  <c r="AY87" i="8"/>
  <c r="AZ87" i="8"/>
  <c r="BA87" i="8"/>
  <c r="BB87" i="8"/>
  <c r="BC87" i="8"/>
  <c r="BD87" i="8"/>
  <c r="BE87" i="8"/>
  <c r="BF87" i="8"/>
  <c r="BG87" i="8"/>
  <c r="BH87" i="8"/>
  <c r="BI87" i="8"/>
  <c r="BJ87" i="8"/>
  <c r="BK87" i="8"/>
  <c r="BL87" i="8"/>
  <c r="BM87" i="8"/>
  <c r="BN87" i="8"/>
  <c r="BO87" i="8"/>
  <c r="BP87" i="8"/>
  <c r="BQ87" i="8"/>
  <c r="BR87" i="8"/>
  <c r="BS87" i="8"/>
  <c r="AN88" i="8"/>
  <c r="AO88" i="8"/>
  <c r="AP88" i="8"/>
  <c r="AQ88" i="8"/>
  <c r="AR88" i="8"/>
  <c r="AS88" i="8"/>
  <c r="AT88" i="8"/>
  <c r="AU88" i="8"/>
  <c r="AV88" i="8"/>
  <c r="AW88" i="8"/>
  <c r="AX88" i="8"/>
  <c r="AY88" i="8"/>
  <c r="AZ88" i="8"/>
  <c r="BA88" i="8"/>
  <c r="BB88" i="8"/>
  <c r="BC88" i="8"/>
  <c r="BD88" i="8"/>
  <c r="BE88" i="8"/>
  <c r="BF88" i="8"/>
  <c r="BG88" i="8"/>
  <c r="BH88" i="8"/>
  <c r="BI88" i="8"/>
  <c r="BJ88" i="8"/>
  <c r="BK88" i="8"/>
  <c r="BL88" i="8"/>
  <c r="BM88" i="8"/>
  <c r="BN88" i="8"/>
  <c r="BO88" i="8"/>
  <c r="BP88" i="8"/>
  <c r="BQ88" i="8"/>
  <c r="BR88" i="8"/>
  <c r="BS88" i="8"/>
  <c r="AN89" i="8"/>
  <c r="AO89" i="8"/>
  <c r="AP89" i="8"/>
  <c r="AQ89" i="8"/>
  <c r="AR89" i="8"/>
  <c r="AS89" i="8"/>
  <c r="AT89" i="8"/>
  <c r="AU89" i="8"/>
  <c r="AV89" i="8"/>
  <c r="AW89" i="8"/>
  <c r="AX89" i="8"/>
  <c r="AY89" i="8"/>
  <c r="AZ89" i="8"/>
  <c r="BA89" i="8"/>
  <c r="BB89" i="8"/>
  <c r="BC89" i="8"/>
  <c r="BD89" i="8"/>
  <c r="BE89" i="8"/>
  <c r="BF89" i="8"/>
  <c r="BG89" i="8"/>
  <c r="BH89" i="8"/>
  <c r="BI89" i="8"/>
  <c r="BJ89" i="8"/>
  <c r="BK89" i="8"/>
  <c r="BL89" i="8"/>
  <c r="BM89" i="8"/>
  <c r="BN89" i="8"/>
  <c r="BO89" i="8"/>
  <c r="BP89" i="8"/>
  <c r="BQ89" i="8"/>
  <c r="BR89" i="8"/>
  <c r="BS89" i="8"/>
  <c r="AN90" i="8"/>
  <c r="AM149" i="77" s="1"/>
  <c r="AO90" i="8"/>
  <c r="AN149" i="77" s="1"/>
  <c r="AP90" i="8"/>
  <c r="AO149" i="77" s="1"/>
  <c r="AQ90" i="8"/>
  <c r="AP149" i="77" s="1"/>
  <c r="AR90" i="8"/>
  <c r="AQ149" i="77" s="1"/>
  <c r="AS90" i="8"/>
  <c r="AR149" i="77" s="1"/>
  <c r="AT90" i="8"/>
  <c r="AS149" i="77" s="1"/>
  <c r="AU90" i="8"/>
  <c r="AT149" i="77" s="1"/>
  <c r="AV90" i="8"/>
  <c r="AU149" i="77" s="1"/>
  <c r="AW90" i="8"/>
  <c r="AV149" i="77" s="1"/>
  <c r="AX90" i="8"/>
  <c r="AW149" i="77" s="1"/>
  <c r="AY90" i="8"/>
  <c r="AX149" i="77" s="1"/>
  <c r="AZ90" i="8"/>
  <c r="AY149" i="77" s="1"/>
  <c r="BA90" i="8"/>
  <c r="AZ149" i="77" s="1"/>
  <c r="BB90" i="8"/>
  <c r="BA149" i="77" s="1"/>
  <c r="BC90" i="8"/>
  <c r="BB149" i="77" s="1"/>
  <c r="BD90" i="8"/>
  <c r="BC149" i="77" s="1"/>
  <c r="BE90" i="8"/>
  <c r="BD149" i="77" s="1"/>
  <c r="BF90" i="8"/>
  <c r="BE149" i="77" s="1"/>
  <c r="BG90" i="8"/>
  <c r="BF149" i="77" s="1"/>
  <c r="BH90" i="8"/>
  <c r="BI90" i="8"/>
  <c r="BJ90" i="8"/>
  <c r="BK90" i="8"/>
  <c r="BL90" i="8"/>
  <c r="BM90" i="8"/>
  <c r="BN90" i="8"/>
  <c r="BO90" i="8"/>
  <c r="BP90" i="8"/>
  <c r="BQ90" i="8"/>
  <c r="BR90" i="8"/>
  <c r="BS90" i="8"/>
  <c r="AN91" i="8"/>
  <c r="AO91" i="8"/>
  <c r="AP91" i="8"/>
  <c r="AQ91" i="8"/>
  <c r="AR91" i="8"/>
  <c r="AS91" i="8"/>
  <c r="AT91" i="8"/>
  <c r="AU91" i="8"/>
  <c r="AV91" i="8"/>
  <c r="AW91" i="8"/>
  <c r="AX91" i="8"/>
  <c r="AY91" i="8"/>
  <c r="AZ91" i="8"/>
  <c r="BA91" i="8"/>
  <c r="BB91" i="8"/>
  <c r="BC91" i="8"/>
  <c r="BD91" i="8"/>
  <c r="BE91" i="8"/>
  <c r="BF91" i="8"/>
  <c r="BG91" i="8"/>
  <c r="BH91" i="8"/>
  <c r="BI91" i="8"/>
  <c r="BJ91" i="8"/>
  <c r="BK91" i="8"/>
  <c r="BL91" i="8"/>
  <c r="BM91" i="8"/>
  <c r="BN91" i="8"/>
  <c r="BO91" i="8"/>
  <c r="BP91" i="8"/>
  <c r="BQ91" i="8"/>
  <c r="BR91" i="8"/>
  <c r="BS91" i="8"/>
  <c r="AN92" i="8"/>
  <c r="AO92" i="8"/>
  <c r="AP92" i="8"/>
  <c r="AQ92" i="8"/>
  <c r="AR92" i="8"/>
  <c r="AS92" i="8"/>
  <c r="AT92" i="8"/>
  <c r="AU92" i="8"/>
  <c r="AV92" i="8"/>
  <c r="AW92" i="8"/>
  <c r="AX92" i="8"/>
  <c r="AY92" i="8"/>
  <c r="AZ92" i="8"/>
  <c r="BA92" i="8"/>
  <c r="BB92" i="8"/>
  <c r="BC92" i="8"/>
  <c r="BD92" i="8"/>
  <c r="BE92" i="8"/>
  <c r="BF92" i="8"/>
  <c r="BG92" i="8"/>
  <c r="BH92" i="8"/>
  <c r="BI92" i="8"/>
  <c r="BJ92" i="8"/>
  <c r="BK92" i="8"/>
  <c r="BL92" i="8"/>
  <c r="BM92" i="8"/>
  <c r="BN92" i="8"/>
  <c r="BO92" i="8"/>
  <c r="BP92" i="8"/>
  <c r="BQ92" i="8"/>
  <c r="BR92" i="8"/>
  <c r="BS92" i="8"/>
  <c r="AN93" i="8"/>
  <c r="AO93" i="8"/>
  <c r="AP93" i="8"/>
  <c r="AQ93" i="8"/>
  <c r="AR93" i="8"/>
  <c r="AS93" i="8"/>
  <c r="AT93" i="8"/>
  <c r="AU93" i="8"/>
  <c r="AV93" i="8"/>
  <c r="AW93" i="8"/>
  <c r="AX93" i="8"/>
  <c r="AY93" i="8"/>
  <c r="AZ93" i="8"/>
  <c r="BA93" i="8"/>
  <c r="BB93" i="8"/>
  <c r="BC93" i="8"/>
  <c r="BD93" i="8"/>
  <c r="BE93" i="8"/>
  <c r="BF93" i="8"/>
  <c r="BG93" i="8"/>
  <c r="BH93" i="8"/>
  <c r="BI93" i="8"/>
  <c r="BJ93" i="8"/>
  <c r="BK93" i="8"/>
  <c r="BL93" i="8"/>
  <c r="BM93" i="8"/>
  <c r="BN93" i="8"/>
  <c r="BO93" i="8"/>
  <c r="BP93" i="8"/>
  <c r="BQ93" i="8"/>
  <c r="BR93" i="8"/>
  <c r="BS93" i="8"/>
  <c r="AN94" i="8"/>
  <c r="AO94" i="8"/>
  <c r="AP94" i="8"/>
  <c r="AQ94" i="8"/>
  <c r="AR94" i="8"/>
  <c r="AS94" i="8"/>
  <c r="AT94" i="8"/>
  <c r="AU94" i="8"/>
  <c r="AV94" i="8"/>
  <c r="AW94" i="8"/>
  <c r="AX94" i="8"/>
  <c r="AY94" i="8"/>
  <c r="AZ94" i="8"/>
  <c r="BA94" i="8"/>
  <c r="BB94" i="8"/>
  <c r="BC94" i="8"/>
  <c r="BD94" i="8"/>
  <c r="BE94" i="8"/>
  <c r="BF94" i="8"/>
  <c r="BG94" i="8"/>
  <c r="BH94" i="8"/>
  <c r="BI94" i="8"/>
  <c r="BJ94" i="8"/>
  <c r="BK94" i="8"/>
  <c r="BL94" i="8"/>
  <c r="BM94" i="8"/>
  <c r="BN94" i="8"/>
  <c r="BO94" i="8"/>
  <c r="BP94" i="8"/>
  <c r="BQ94" i="8"/>
  <c r="BR94" i="8"/>
  <c r="BS94" i="8"/>
  <c r="AN95" i="8"/>
  <c r="AO95" i="8"/>
  <c r="AP95" i="8"/>
  <c r="AQ95" i="8"/>
  <c r="AR95" i="8"/>
  <c r="AS95" i="8"/>
  <c r="AT95" i="8"/>
  <c r="AU95" i="8"/>
  <c r="AN96" i="8"/>
  <c r="AO96" i="8"/>
  <c r="AP96" i="8"/>
  <c r="AQ96" i="8"/>
  <c r="AR96" i="8"/>
  <c r="AS96" i="8"/>
  <c r="AT96" i="8"/>
  <c r="AU96" i="8"/>
  <c r="AN97" i="8"/>
  <c r="AO97" i="8"/>
  <c r="AP97" i="8"/>
  <c r="AQ97" i="8"/>
  <c r="AR97" i="8"/>
  <c r="AS97" i="8"/>
  <c r="AT97" i="8"/>
  <c r="AU97" i="8"/>
  <c r="AN98" i="8"/>
  <c r="AO98" i="8"/>
  <c r="AP98" i="8"/>
  <c r="AQ98" i="8"/>
  <c r="AR98" i="8"/>
  <c r="AS98" i="8"/>
  <c r="AT98" i="8"/>
  <c r="AU98" i="8"/>
  <c r="AN99" i="8"/>
  <c r="AO99" i="8"/>
  <c r="AP99" i="8"/>
  <c r="AQ99" i="8"/>
  <c r="AR99" i="8"/>
  <c r="AS99" i="8"/>
  <c r="AT99" i="8"/>
  <c r="AU99" i="8"/>
  <c r="AN100" i="8"/>
  <c r="AO100" i="8"/>
  <c r="AP100" i="8"/>
  <c r="AQ100" i="8"/>
  <c r="AR100" i="8"/>
  <c r="AS100" i="8"/>
  <c r="AT100" i="8"/>
  <c r="AU100" i="8"/>
  <c r="AN101" i="8"/>
  <c r="AO101" i="8"/>
  <c r="AP101" i="8"/>
  <c r="AQ101" i="8"/>
  <c r="AR101" i="8"/>
  <c r="AS101" i="8"/>
  <c r="AT101" i="8"/>
  <c r="AU101" i="8"/>
  <c r="AN102" i="8"/>
  <c r="AO102" i="8"/>
  <c r="AP102" i="8"/>
  <c r="AQ102" i="8"/>
  <c r="AR102" i="8"/>
  <c r="AS102" i="8"/>
  <c r="AT102" i="8"/>
  <c r="AU102" i="8"/>
  <c r="AN103" i="8"/>
  <c r="AO103" i="8"/>
  <c r="AP103" i="8"/>
  <c r="AQ103" i="8"/>
  <c r="AR103" i="8"/>
  <c r="AS103" i="8"/>
  <c r="AT103" i="8"/>
  <c r="AU103" i="8"/>
  <c r="AN104" i="8"/>
  <c r="AO104" i="8"/>
  <c r="AP104" i="8"/>
  <c r="AQ104" i="8"/>
  <c r="AR104" i="8"/>
  <c r="AS104" i="8"/>
  <c r="AT104" i="8"/>
  <c r="AU104" i="8"/>
  <c r="AW95" i="8"/>
  <c r="AX95" i="8"/>
  <c r="AY95" i="8"/>
  <c r="AZ95" i="8"/>
  <c r="BA95" i="8"/>
  <c r="BB95" i="8"/>
  <c r="BC95" i="8"/>
  <c r="BD95" i="8"/>
  <c r="BE95" i="8"/>
  <c r="BF95" i="8"/>
  <c r="BG95" i="8"/>
  <c r="BH95" i="8"/>
  <c r="BI95" i="8"/>
  <c r="BJ95" i="8"/>
  <c r="BK95" i="8"/>
  <c r="BL95" i="8"/>
  <c r="BM95" i="8"/>
  <c r="BN95" i="8"/>
  <c r="BO95" i="8"/>
  <c r="BP95" i="8"/>
  <c r="BQ95" i="8"/>
  <c r="BR95" i="8"/>
  <c r="BS95" i="8"/>
  <c r="AW96" i="8"/>
  <c r="AX96" i="8"/>
  <c r="AY96" i="8"/>
  <c r="AZ96" i="8"/>
  <c r="BA96" i="8"/>
  <c r="BB96" i="8"/>
  <c r="BC96" i="8"/>
  <c r="BD96" i="8"/>
  <c r="BE96" i="8"/>
  <c r="BF96" i="8"/>
  <c r="BG96" i="8"/>
  <c r="BH96" i="8"/>
  <c r="BI96" i="8"/>
  <c r="BJ96" i="8"/>
  <c r="BK96" i="8"/>
  <c r="BL96" i="8"/>
  <c r="BM96" i="8"/>
  <c r="BN96" i="8"/>
  <c r="BO96" i="8"/>
  <c r="BP96" i="8"/>
  <c r="BQ96" i="8"/>
  <c r="BR96" i="8"/>
  <c r="BS96" i="8"/>
  <c r="AW97" i="8"/>
  <c r="AX97" i="8"/>
  <c r="AY97" i="8"/>
  <c r="AZ97" i="8"/>
  <c r="BA97" i="8"/>
  <c r="BB97" i="8"/>
  <c r="BC97" i="8"/>
  <c r="BD97" i="8"/>
  <c r="BE97" i="8"/>
  <c r="BF97" i="8"/>
  <c r="BG97" i="8"/>
  <c r="BH97" i="8"/>
  <c r="BI97" i="8"/>
  <c r="BJ97" i="8"/>
  <c r="BK97" i="8"/>
  <c r="BL97" i="8"/>
  <c r="BM97" i="8"/>
  <c r="BN97" i="8"/>
  <c r="BO97" i="8"/>
  <c r="BP97" i="8"/>
  <c r="BQ97" i="8"/>
  <c r="BR97" i="8"/>
  <c r="BS97" i="8"/>
  <c r="AW98" i="8"/>
  <c r="AX98" i="8"/>
  <c r="AY98" i="8"/>
  <c r="AZ98" i="8"/>
  <c r="BA98" i="8"/>
  <c r="BB98" i="8"/>
  <c r="BC98" i="8"/>
  <c r="BD98" i="8"/>
  <c r="BE98" i="8"/>
  <c r="BF98" i="8"/>
  <c r="BG98" i="8"/>
  <c r="BH98" i="8"/>
  <c r="BI98" i="8"/>
  <c r="BJ98" i="8"/>
  <c r="BK98" i="8"/>
  <c r="BL98" i="8"/>
  <c r="BM98" i="8"/>
  <c r="BN98" i="8"/>
  <c r="BO98" i="8"/>
  <c r="BP98" i="8"/>
  <c r="BQ98" i="8"/>
  <c r="BR98" i="8"/>
  <c r="BS98" i="8"/>
  <c r="AW99" i="8"/>
  <c r="AX99" i="8"/>
  <c r="AY99" i="8"/>
  <c r="AZ99" i="8"/>
  <c r="BA99" i="8"/>
  <c r="BB99" i="8"/>
  <c r="BC99" i="8"/>
  <c r="BD99" i="8"/>
  <c r="BE99" i="8"/>
  <c r="BF99" i="8"/>
  <c r="BG99" i="8"/>
  <c r="BH99" i="8"/>
  <c r="BI99" i="8"/>
  <c r="BJ99" i="8"/>
  <c r="BK99" i="8"/>
  <c r="BL99" i="8"/>
  <c r="BM99" i="8"/>
  <c r="BN99" i="8"/>
  <c r="BO99" i="8"/>
  <c r="BP99" i="8"/>
  <c r="BQ99" i="8"/>
  <c r="BR99" i="8"/>
  <c r="BS99" i="8"/>
  <c r="AW100" i="8"/>
  <c r="AX100" i="8"/>
  <c r="AY100" i="8"/>
  <c r="AZ100" i="8"/>
  <c r="BA100" i="8"/>
  <c r="BB100" i="8"/>
  <c r="BC100" i="8"/>
  <c r="BD100" i="8"/>
  <c r="BE100" i="8"/>
  <c r="BF100" i="8"/>
  <c r="BG100" i="8"/>
  <c r="BH100" i="8"/>
  <c r="BI100" i="8"/>
  <c r="BJ100" i="8"/>
  <c r="BK100" i="8"/>
  <c r="BL100" i="8"/>
  <c r="BM100" i="8"/>
  <c r="BN100" i="8"/>
  <c r="BO100" i="8"/>
  <c r="BP100" i="8"/>
  <c r="BQ100" i="8"/>
  <c r="BR100" i="8"/>
  <c r="BS100" i="8"/>
  <c r="AW101" i="8"/>
  <c r="AX101" i="8"/>
  <c r="AY101" i="8"/>
  <c r="AZ101" i="8"/>
  <c r="BA101" i="8"/>
  <c r="BB101" i="8"/>
  <c r="BC101" i="8"/>
  <c r="BD101" i="8"/>
  <c r="BE101" i="8"/>
  <c r="BF101" i="8"/>
  <c r="BG101" i="8"/>
  <c r="BH101" i="8"/>
  <c r="BI101" i="8"/>
  <c r="BJ101" i="8"/>
  <c r="BK101" i="8"/>
  <c r="BL101" i="8"/>
  <c r="BM101" i="8"/>
  <c r="BN101" i="8"/>
  <c r="BO101" i="8"/>
  <c r="BP101" i="8"/>
  <c r="BQ101" i="8"/>
  <c r="BR101" i="8"/>
  <c r="BS101" i="8"/>
  <c r="AW102" i="8"/>
  <c r="AX102" i="8"/>
  <c r="AY102" i="8"/>
  <c r="AZ102" i="8"/>
  <c r="BA102" i="8"/>
  <c r="BB102" i="8"/>
  <c r="BC102" i="8"/>
  <c r="BD102" i="8"/>
  <c r="BE102" i="8"/>
  <c r="BF102" i="8"/>
  <c r="BG102" i="8"/>
  <c r="BH102" i="8"/>
  <c r="BI102" i="8"/>
  <c r="BJ102" i="8"/>
  <c r="BK102" i="8"/>
  <c r="BL102" i="8"/>
  <c r="BM102" i="8"/>
  <c r="BN102" i="8"/>
  <c r="BO102" i="8"/>
  <c r="BP102" i="8"/>
  <c r="BQ102" i="8"/>
  <c r="BR102" i="8"/>
  <c r="BS102" i="8"/>
  <c r="AW103" i="8"/>
  <c r="AX103" i="8"/>
  <c r="AY103" i="8"/>
  <c r="AZ103" i="8"/>
  <c r="BA103" i="8"/>
  <c r="BB103" i="8"/>
  <c r="BC103" i="8"/>
  <c r="BD103" i="8"/>
  <c r="BE103" i="8"/>
  <c r="BF103" i="8"/>
  <c r="BG103" i="8"/>
  <c r="BH103" i="8"/>
  <c r="BI103" i="8"/>
  <c r="BJ103" i="8"/>
  <c r="BK103" i="8"/>
  <c r="BL103" i="8"/>
  <c r="BM103" i="8"/>
  <c r="BN103" i="8"/>
  <c r="BO103" i="8"/>
  <c r="BP103" i="8"/>
  <c r="BQ103" i="8"/>
  <c r="BR103" i="8"/>
  <c r="BS103" i="8"/>
  <c r="AW104" i="8"/>
  <c r="AX104" i="8"/>
  <c r="AY104" i="8"/>
  <c r="AZ104" i="8"/>
  <c r="BA104" i="8"/>
  <c r="BB104" i="8"/>
  <c r="BC104" i="8"/>
  <c r="BD104" i="8"/>
  <c r="BE104" i="8"/>
  <c r="BF104" i="8"/>
  <c r="BG104" i="8"/>
  <c r="BH104" i="8"/>
  <c r="BI104" i="8"/>
  <c r="BJ104" i="8"/>
  <c r="BK104" i="8"/>
  <c r="BL104" i="8"/>
  <c r="BM104" i="8"/>
  <c r="BN104" i="8"/>
  <c r="BO104" i="8"/>
  <c r="BP104" i="8"/>
  <c r="BQ104" i="8"/>
  <c r="BR104" i="8"/>
  <c r="BS104" i="8"/>
  <c r="AV104" i="8"/>
  <c r="AV96" i="8"/>
  <c r="AV97" i="8"/>
  <c r="AV98" i="8"/>
  <c r="AV99" i="8"/>
  <c r="AV100" i="8"/>
  <c r="AV101" i="8"/>
  <c r="AV102" i="8"/>
  <c r="AV103" i="8"/>
  <c r="AV95" i="8"/>
  <c r="AN139" i="77" l="1"/>
  <c r="AW27" i="8"/>
  <c r="AX27" i="8"/>
  <c r="AY27" i="8"/>
  <c r="AZ27" i="8"/>
  <c r="BA27" i="8"/>
  <c r="BB27" i="8"/>
  <c r="BC27" i="8"/>
  <c r="BD27" i="8"/>
  <c r="BE27" i="8"/>
  <c r="BF27" i="8"/>
  <c r="BG27" i="8"/>
  <c r="BH27" i="8"/>
  <c r="BI27" i="8"/>
  <c r="BJ27" i="8"/>
  <c r="BK27" i="8"/>
  <c r="BL27" i="8"/>
  <c r="BM27" i="8"/>
  <c r="BN27" i="8"/>
  <c r="BO27" i="8"/>
  <c r="BP27" i="8"/>
  <c r="BQ27" i="8"/>
  <c r="BR27" i="8"/>
  <c r="BS27" i="8"/>
  <c r="AM139" i="77"/>
  <c r="AN107" i="8"/>
  <c r="AO107" i="8"/>
  <c r="AP107" i="8"/>
  <c r="AQ107" i="8"/>
  <c r="AR107" i="8"/>
  <c r="AS107" i="8"/>
  <c r="AT107" i="8"/>
  <c r="AU107" i="8"/>
  <c r="AV107" i="8"/>
  <c r="AW107" i="8"/>
  <c r="AX107" i="8"/>
  <c r="AY107" i="8"/>
  <c r="AZ107" i="8"/>
  <c r="BA107" i="8"/>
  <c r="BB107" i="8"/>
  <c r="BC107" i="8"/>
  <c r="BD107" i="8"/>
  <c r="BE107" i="8"/>
  <c r="BF107" i="8"/>
  <c r="BG107" i="8"/>
  <c r="BH107" i="8"/>
  <c r="BI107" i="8"/>
  <c r="BJ107" i="8"/>
  <c r="BK107" i="8"/>
  <c r="BL107" i="8"/>
  <c r="BM107" i="8"/>
  <c r="BN107" i="8"/>
  <c r="BO107" i="8"/>
  <c r="BP107" i="8"/>
  <c r="BQ107" i="8"/>
  <c r="BR107" i="8"/>
  <c r="BS107" i="8"/>
  <c r="AO106" i="8"/>
  <c r="AQ106" i="8"/>
  <c r="AT106" i="8"/>
  <c r="AV106" i="8"/>
  <c r="AX106" i="8"/>
  <c r="AN106" i="8"/>
  <c r="AP106" i="8"/>
  <c r="AR106" i="8"/>
  <c r="AS106" i="8"/>
  <c r="AU106" i="8"/>
  <c r="AW106" i="8"/>
  <c r="AY106" i="8"/>
  <c r="AZ106" i="8"/>
  <c r="BA106" i="8"/>
  <c r="BB106" i="8"/>
  <c r="BC106" i="8"/>
  <c r="BD106" i="8"/>
  <c r="BE106" i="8"/>
  <c r="BF106" i="8"/>
  <c r="BG106" i="8"/>
  <c r="BH106" i="8"/>
  <c r="BI106" i="8"/>
  <c r="BJ106" i="8"/>
  <c r="BK106" i="8"/>
  <c r="BL106" i="8"/>
  <c r="BM106" i="8"/>
  <c r="BN106" i="8"/>
  <c r="BO106" i="8"/>
  <c r="BP106" i="8"/>
  <c r="BQ106" i="8"/>
  <c r="BR106" i="8"/>
  <c r="BS106" i="8"/>
  <c r="BA109" i="77"/>
  <c r="AO109" i="77"/>
  <c r="AV109" i="77"/>
  <c r="AN109" i="77"/>
  <c r="AY109" i="77"/>
  <c r="AX109" i="77"/>
  <c r="AU109" i="77"/>
  <c r="BF109" i="77"/>
  <c r="AT109" i="77"/>
  <c r="BE109" i="77"/>
  <c r="AS109" i="77"/>
  <c r="AZ109" i="77"/>
  <c r="AM109" i="77"/>
  <c r="AW109" i="77"/>
  <c r="BD109" i="77"/>
  <c r="AR109" i="77"/>
  <c r="BC109" i="77"/>
  <c r="AQ109" i="77"/>
  <c r="BB109" i="77"/>
  <c r="AP109" i="77"/>
  <c r="BE171" i="77"/>
  <c r="BA163" i="77"/>
  <c r="AW155" i="77"/>
  <c r="AU131" i="77"/>
  <c r="AU121" i="77"/>
  <c r="AU117" i="77"/>
  <c r="AU113" i="77"/>
  <c r="AU107" i="77"/>
  <c r="BF105" i="77"/>
  <c r="BF100" i="77"/>
  <c r="BF98" i="77"/>
  <c r="BF95" i="77"/>
  <c r="BF93" i="77"/>
  <c r="BF91" i="77"/>
  <c r="AW78" i="77"/>
  <c r="AW75" i="77"/>
  <c r="AW73" i="77"/>
  <c r="BD71" i="77"/>
  <c r="BD67" i="77"/>
  <c r="BB69" i="77"/>
  <c r="BB65" i="77"/>
  <c r="AY60" i="77"/>
  <c r="AY62" i="77"/>
  <c r="AX56" i="77"/>
  <c r="AX58" i="77"/>
  <c r="BD51" i="77"/>
  <c r="BC167" i="77"/>
  <c r="AU137" i="77"/>
  <c r="AU135" i="77"/>
  <c r="AU133" i="77"/>
  <c r="AU129" i="77"/>
  <c r="AU127" i="77"/>
  <c r="AU119" i="77"/>
  <c r="AU115" i="77"/>
  <c r="BF103" i="77"/>
  <c r="BD171" i="77"/>
  <c r="BC169" i="77"/>
  <c r="BB167" i="77"/>
  <c r="BA165" i="77"/>
  <c r="AU153" i="77"/>
  <c r="BF147" i="77"/>
  <c r="BF143" i="77"/>
  <c r="BF139" i="77"/>
  <c r="BF137" i="77"/>
  <c r="BF135" i="77"/>
  <c r="BF133" i="77"/>
  <c r="BF131" i="77"/>
  <c r="BF129" i="77"/>
  <c r="BF127" i="77"/>
  <c r="BF121" i="77"/>
  <c r="AT121" i="77"/>
  <c r="BF119" i="77"/>
  <c r="BF117" i="77"/>
  <c r="BF115" i="77"/>
  <c r="BF113" i="77"/>
  <c r="BF107" i="77"/>
  <c r="BE105" i="77"/>
  <c r="BE103" i="77"/>
  <c r="BE100" i="77"/>
  <c r="BE98" i="77"/>
  <c r="BE95" i="77"/>
  <c r="BE93" i="77"/>
  <c r="BE91" i="77"/>
  <c r="AV78" i="77"/>
  <c r="AV75" i="77"/>
  <c r="AV73" i="77"/>
  <c r="BC71" i="77"/>
  <c r="BC67" i="77"/>
  <c r="BA69" i="77"/>
  <c r="BA65" i="77"/>
  <c r="AX60" i="77"/>
  <c r="AX62" i="77"/>
  <c r="AW56" i="77"/>
  <c r="AW58" i="77"/>
  <c r="BC51" i="77"/>
  <c r="AZ163" i="77"/>
  <c r="AY161" i="77"/>
  <c r="AX159" i="77"/>
  <c r="AW157" i="77"/>
  <c r="AV155" i="77"/>
  <c r="AU151" i="77"/>
  <c r="BF145" i="77"/>
  <c r="BF141" i="77"/>
  <c r="AU155" i="77"/>
  <c r="BC171" i="77"/>
  <c r="BB169" i="77"/>
  <c r="BA167" i="77"/>
  <c r="AZ165" i="77"/>
  <c r="AY163" i="77"/>
  <c r="AX161" i="77"/>
  <c r="AW159" i="77"/>
  <c r="AV157" i="77"/>
  <c r="AT165" i="77"/>
  <c r="AT163" i="77"/>
  <c r="AT161" i="77"/>
  <c r="BF153" i="77"/>
  <c r="BF151" i="77"/>
  <c r="BE147" i="77"/>
  <c r="BE145" i="77"/>
  <c r="BE141" i="77"/>
  <c r="BE143" i="77"/>
  <c r="BE139" i="77"/>
  <c r="BE137" i="77"/>
  <c r="BE135" i="77"/>
  <c r="BE133" i="77"/>
  <c r="BE131" i="77"/>
  <c r="BE129" i="77"/>
  <c r="BE127" i="77"/>
  <c r="BE121" i="77"/>
  <c r="AS121" i="77"/>
  <c r="BE119" i="77"/>
  <c r="BE117" i="77"/>
  <c r="BE115" i="77"/>
  <c r="BE113" i="77"/>
  <c r="BE107" i="77"/>
  <c r="BD105" i="77"/>
  <c r="BD103" i="77"/>
  <c r="BD100" i="77"/>
  <c r="BD98" i="77"/>
  <c r="BD95" i="77"/>
  <c r="BD93" i="77"/>
  <c r="BD91" i="77"/>
  <c r="AU78" i="77"/>
  <c r="AU75" i="77"/>
  <c r="AU73" i="77"/>
  <c r="BB71" i="77"/>
  <c r="BB67" i="77"/>
  <c r="AZ69" i="77"/>
  <c r="AZ65" i="77"/>
  <c r="AW60" i="77"/>
  <c r="AW62" i="77"/>
  <c r="AV56" i="77"/>
  <c r="AV58" i="77"/>
  <c r="BB51" i="77"/>
  <c r="AU171" i="77"/>
  <c r="BB171" i="77"/>
  <c r="BA169" i="77"/>
  <c r="AZ167" i="77"/>
  <c r="AY165" i="77"/>
  <c r="AX163" i="77"/>
  <c r="AW161" i="77"/>
  <c r="AV159" i="77"/>
  <c r="BF155" i="77"/>
  <c r="AS165" i="77"/>
  <c r="AS163" i="77"/>
  <c r="AS161" i="77"/>
  <c r="BE153" i="77"/>
  <c r="BE151" i="77"/>
  <c r="BD147" i="77"/>
  <c r="BD145" i="77"/>
  <c r="BD141" i="77"/>
  <c r="BD143" i="77"/>
  <c r="BD139" i="77"/>
  <c r="BD137" i="77"/>
  <c r="BD135" i="77"/>
  <c r="BD133" i="77"/>
  <c r="BD131" i="77"/>
  <c r="BD129" i="77"/>
  <c r="BD127" i="77"/>
  <c r="BD121" i="77"/>
  <c r="AR121" i="77"/>
  <c r="BD119" i="77"/>
  <c r="BD117" i="77"/>
  <c r="BD115" i="77"/>
  <c r="BD113" i="77"/>
  <c r="BD107" i="77"/>
  <c r="BC105" i="77"/>
  <c r="BC103" i="77"/>
  <c r="BC100" i="77"/>
  <c r="BC98" i="77"/>
  <c r="BC95" i="77"/>
  <c r="BC93" i="77"/>
  <c r="BC91" i="77"/>
  <c r="BF78" i="77"/>
  <c r="BF75" i="77"/>
  <c r="BF73" i="77"/>
  <c r="BA71" i="77"/>
  <c r="BA67" i="77"/>
  <c r="AY69" i="77"/>
  <c r="AY65" i="77"/>
  <c r="AV60" i="77"/>
  <c r="AV62" i="77"/>
  <c r="AU56" i="77"/>
  <c r="AU58" i="77"/>
  <c r="BA51" i="77"/>
  <c r="BD169" i="77"/>
  <c r="AU143" i="77"/>
  <c r="AR161" i="77"/>
  <c r="BD151" i="77"/>
  <c r="BC147" i="77"/>
  <c r="BC145" i="77"/>
  <c r="BC141" i="77"/>
  <c r="BC143" i="77"/>
  <c r="BC139" i="77"/>
  <c r="BC137" i="77"/>
  <c r="BC135" i="77"/>
  <c r="BC133" i="77"/>
  <c r="BC131" i="77"/>
  <c r="BC129" i="77"/>
  <c r="BC127" i="77"/>
  <c r="BC121" i="77"/>
  <c r="AQ121" i="77"/>
  <c r="BC119" i="77"/>
  <c r="BC117" i="77"/>
  <c r="BC115" i="77"/>
  <c r="BC113" i="77"/>
  <c r="BC107" i="77"/>
  <c r="BB105" i="77"/>
  <c r="BB103" i="77"/>
  <c r="BB100" i="77"/>
  <c r="BB98" i="77"/>
  <c r="BB95" i="77"/>
  <c r="BB93" i="77"/>
  <c r="BB91" i="77"/>
  <c r="BE78" i="77"/>
  <c r="BE75" i="77"/>
  <c r="BE73" i="77"/>
  <c r="AZ71" i="77"/>
  <c r="AZ67" i="77"/>
  <c r="AX69" i="77"/>
  <c r="AX65" i="77"/>
  <c r="AU60" i="77"/>
  <c r="AU62" i="77"/>
  <c r="BF56" i="77"/>
  <c r="BF58" i="77"/>
  <c r="AZ51" i="77"/>
  <c r="AZ161" i="77"/>
  <c r="AU141" i="77"/>
  <c r="AX165" i="77"/>
  <c r="AV163" i="77"/>
  <c r="BD155" i="77"/>
  <c r="BB133" i="77"/>
  <c r="BB131" i="77"/>
  <c r="BB129" i="77"/>
  <c r="BB127" i="77"/>
  <c r="BB121" i="77"/>
  <c r="AP121" i="77"/>
  <c r="BB119" i="77"/>
  <c r="BB117" i="77"/>
  <c r="BB115" i="77"/>
  <c r="BB113" i="77"/>
  <c r="BB107" i="77"/>
  <c r="BA105" i="77"/>
  <c r="BA103" i="77"/>
  <c r="BA100" i="77"/>
  <c r="BA98" i="77"/>
  <c r="BA95" i="77"/>
  <c r="BA93" i="77"/>
  <c r="BA91" i="77"/>
  <c r="BD78" i="77"/>
  <c r="BD75" i="77"/>
  <c r="BD73" i="77"/>
  <c r="AY71" i="77"/>
  <c r="AY67" i="77"/>
  <c r="AW69" i="77"/>
  <c r="AW65" i="77"/>
  <c r="BF60" i="77"/>
  <c r="BF62" i="77"/>
  <c r="BE56" i="77"/>
  <c r="BE58" i="77"/>
  <c r="AY51" i="77"/>
  <c r="AY159" i="77"/>
  <c r="BA171" i="77"/>
  <c r="BF159" i="77"/>
  <c r="AU165" i="77"/>
  <c r="AX169" i="77"/>
  <c r="BF161" i="77"/>
  <c r="BE159" i="77"/>
  <c r="BD157" i="77"/>
  <c r="BC155" i="77"/>
  <c r="AP165" i="77"/>
  <c r="AP163" i="77"/>
  <c r="AP161" i="77"/>
  <c r="BB153" i="77"/>
  <c r="BB151" i="77"/>
  <c r="BA147" i="77"/>
  <c r="BA145" i="77"/>
  <c r="BA141" i="77"/>
  <c r="BA143" i="77"/>
  <c r="BA139" i="77"/>
  <c r="BA137" i="77"/>
  <c r="BA135" i="77"/>
  <c r="BA133" i="77"/>
  <c r="BA131" i="77"/>
  <c r="BA129" i="77"/>
  <c r="BA127" i="77"/>
  <c r="BA121" i="77"/>
  <c r="AO121" i="77"/>
  <c r="BA119" i="77"/>
  <c r="BA117" i="77"/>
  <c r="BA115" i="77"/>
  <c r="BA113" i="77"/>
  <c r="BA107" i="77"/>
  <c r="AZ105" i="77"/>
  <c r="AZ103" i="77"/>
  <c r="AZ100" i="77"/>
  <c r="AZ98" i="77"/>
  <c r="AZ95" i="77"/>
  <c r="AZ93" i="77"/>
  <c r="AZ91" i="77"/>
  <c r="BC78" i="77"/>
  <c r="BC75" i="77"/>
  <c r="BC73" i="77"/>
  <c r="AX71" i="77"/>
  <c r="AX67" i="77"/>
  <c r="AV69" i="77"/>
  <c r="AV65" i="77"/>
  <c r="BE60" i="77"/>
  <c r="BE62" i="77"/>
  <c r="BD56" i="77"/>
  <c r="BD58" i="77"/>
  <c r="AX51" i="77"/>
  <c r="BE155" i="77"/>
  <c r="AZ171" i="77"/>
  <c r="AW165" i="77"/>
  <c r="AQ163" i="77"/>
  <c r="BB141" i="77"/>
  <c r="BB139" i="77"/>
  <c r="BB137" i="77"/>
  <c r="AY171" i="77"/>
  <c r="AU163" i="77"/>
  <c r="BD159" i="77"/>
  <c r="BB155" i="77"/>
  <c r="AO165" i="77"/>
  <c r="AO163" i="77"/>
  <c r="AO161" i="77"/>
  <c r="BA153" i="77"/>
  <c r="BA151" i="77"/>
  <c r="AZ147" i="77"/>
  <c r="AZ145" i="77"/>
  <c r="AZ141" i="77"/>
  <c r="AZ143" i="77"/>
  <c r="AZ139" i="77"/>
  <c r="AZ137" i="77"/>
  <c r="AZ135" i="77"/>
  <c r="AZ133" i="77"/>
  <c r="AZ131" i="77"/>
  <c r="AZ129" i="77"/>
  <c r="AZ127" i="77"/>
  <c r="AZ121" i="77"/>
  <c r="AN121" i="77"/>
  <c r="AZ119" i="77"/>
  <c r="AZ117" i="77"/>
  <c r="AZ115" i="77"/>
  <c r="AZ113" i="77"/>
  <c r="AZ107" i="77"/>
  <c r="AY105" i="77"/>
  <c r="AY103" i="77"/>
  <c r="AY100" i="77"/>
  <c r="AY98" i="77"/>
  <c r="AY95" i="77"/>
  <c r="AY93" i="77"/>
  <c r="AY91" i="77"/>
  <c r="BB78" i="77"/>
  <c r="BB75" i="77"/>
  <c r="BB73" i="77"/>
  <c r="AW71" i="77"/>
  <c r="AW67" i="77"/>
  <c r="AU69" i="77"/>
  <c r="AU65" i="77"/>
  <c r="BD60" i="77"/>
  <c r="BD62" i="77"/>
  <c r="BC56" i="77"/>
  <c r="BC58" i="77"/>
  <c r="AW51" i="77"/>
  <c r="AV153" i="77"/>
  <c r="AU169" i="77"/>
  <c r="AY167" i="77"/>
  <c r="BF157" i="77"/>
  <c r="AR163" i="77"/>
  <c r="BE157" i="77"/>
  <c r="AQ165" i="77"/>
  <c r="BC153" i="77"/>
  <c r="BB135" i="77"/>
  <c r="AX171" i="77"/>
  <c r="BF165" i="77"/>
  <c r="BD161" i="77"/>
  <c r="BC159" i="77"/>
  <c r="BB157" i="77"/>
  <c r="BA155" i="77"/>
  <c r="AN165" i="77"/>
  <c r="AN163" i="77"/>
  <c r="AN161" i="77"/>
  <c r="AZ153" i="77"/>
  <c r="AZ151" i="77"/>
  <c r="AY147" i="77"/>
  <c r="AY145" i="77"/>
  <c r="AY141" i="77"/>
  <c r="AY143" i="77"/>
  <c r="AY139" i="77"/>
  <c r="AY137" i="77"/>
  <c r="AY135" i="77"/>
  <c r="AY133" i="77"/>
  <c r="AY131" i="77"/>
  <c r="AY129" i="77"/>
  <c r="AY127" i="77"/>
  <c r="AY121" i="77"/>
  <c r="AM121" i="77"/>
  <c r="AY119" i="77"/>
  <c r="AY117" i="77"/>
  <c r="AY115" i="77"/>
  <c r="AY113" i="77"/>
  <c r="AY107" i="77"/>
  <c r="AX105" i="77"/>
  <c r="AX103" i="77"/>
  <c r="AX100" i="77"/>
  <c r="AX98" i="77"/>
  <c r="AX95" i="77"/>
  <c r="AX93" i="77"/>
  <c r="AX91" i="77"/>
  <c r="BA78" i="77"/>
  <c r="BA75" i="77"/>
  <c r="BA73" i="77"/>
  <c r="AV71" i="77"/>
  <c r="AV67" i="77"/>
  <c r="BF69" i="77"/>
  <c r="BF65" i="77"/>
  <c r="BC60" i="77"/>
  <c r="BC62" i="77"/>
  <c r="BB56" i="77"/>
  <c r="BB58" i="77"/>
  <c r="AV51" i="77"/>
  <c r="BB165" i="77"/>
  <c r="AR165" i="77"/>
  <c r="BD153" i="77"/>
  <c r="AY169" i="77"/>
  <c r="BB145" i="77"/>
  <c r="AW167" i="77"/>
  <c r="AW169" i="77"/>
  <c r="BF163" i="77"/>
  <c r="AW171" i="77"/>
  <c r="BD163" i="77"/>
  <c r="AM165" i="77"/>
  <c r="AM163" i="77"/>
  <c r="AM161" i="77"/>
  <c r="AY153" i="77"/>
  <c r="AY151" i="77"/>
  <c r="AX147" i="77"/>
  <c r="AX145" i="77"/>
  <c r="AX141" i="77"/>
  <c r="AX143" i="77"/>
  <c r="AX139" i="77"/>
  <c r="AX137" i="77"/>
  <c r="AX135" i="77"/>
  <c r="AX133" i="77"/>
  <c r="AX131" i="77"/>
  <c r="AX129" i="77"/>
  <c r="AX127" i="77"/>
  <c r="AX121" i="77"/>
  <c r="AX119" i="77"/>
  <c r="AX117" i="77"/>
  <c r="AX115" i="77"/>
  <c r="AX113" i="77"/>
  <c r="AX107" i="77"/>
  <c r="AW105" i="77"/>
  <c r="AW103" i="77"/>
  <c r="AW100" i="77"/>
  <c r="AW98" i="77"/>
  <c r="AW95" i="77"/>
  <c r="AW93" i="77"/>
  <c r="AW91" i="77"/>
  <c r="AZ78" i="77"/>
  <c r="AZ75" i="77"/>
  <c r="AZ73" i="77"/>
  <c r="AU71" i="77"/>
  <c r="AU67" i="77"/>
  <c r="BE69" i="77"/>
  <c r="BE65" i="77"/>
  <c r="BB60" i="77"/>
  <c r="BB62" i="77"/>
  <c r="BA56" i="77"/>
  <c r="BA58" i="77"/>
  <c r="AU51" i="77"/>
  <c r="AV151" i="77"/>
  <c r="AU147" i="77"/>
  <c r="AZ169" i="77"/>
  <c r="AV161" i="77"/>
  <c r="AX167" i="77"/>
  <c r="AU161" i="77"/>
  <c r="AV169" i="77"/>
  <c r="BE163" i="77"/>
  <c r="BE165" i="77"/>
  <c r="BC161" i="77"/>
  <c r="AZ155" i="77"/>
  <c r="BF169" i="77"/>
  <c r="BE167" i="77"/>
  <c r="BD165" i="77"/>
  <c r="AX153" i="77"/>
  <c r="AX151" i="77"/>
  <c r="AW147" i="77"/>
  <c r="AW145" i="77"/>
  <c r="AW141" i="77"/>
  <c r="AW143" i="77"/>
  <c r="AW139" i="77"/>
  <c r="AW137" i="77"/>
  <c r="AW135" i="77"/>
  <c r="AW133" i="77"/>
  <c r="AW131" i="77"/>
  <c r="AW129" i="77"/>
  <c r="AW127" i="77"/>
  <c r="AW121" i="77"/>
  <c r="AW119" i="77"/>
  <c r="AW117" i="77"/>
  <c r="AW115" i="77"/>
  <c r="AW113" i="77"/>
  <c r="AW107" i="77"/>
  <c r="AV105" i="77"/>
  <c r="AV103" i="77"/>
  <c r="AV100" i="77"/>
  <c r="AV98" i="77"/>
  <c r="AV95" i="77"/>
  <c r="AV93" i="77"/>
  <c r="AV91" i="77"/>
  <c r="AY78" i="77"/>
  <c r="AY75" i="77"/>
  <c r="AY73" i="77"/>
  <c r="BF71" i="77"/>
  <c r="BF67" i="77"/>
  <c r="BD69" i="77"/>
  <c r="BD65" i="77"/>
  <c r="BA60" i="77"/>
  <c r="BA62" i="77"/>
  <c r="AZ56" i="77"/>
  <c r="AZ58" i="77"/>
  <c r="BF51" i="77"/>
  <c r="AX157" i="77"/>
  <c r="AU145" i="77"/>
  <c r="AU139" i="77"/>
  <c r="AW163" i="77"/>
  <c r="AU167" i="77"/>
  <c r="AQ161" i="77"/>
  <c r="BC151" i="77"/>
  <c r="BB147" i="77"/>
  <c r="BB143" i="77"/>
  <c r="AV165" i="77"/>
  <c r="AV167" i="77"/>
  <c r="BE161" i="77"/>
  <c r="BC157" i="77"/>
  <c r="AU159" i="77"/>
  <c r="AV171" i="77"/>
  <c r="BF167" i="77"/>
  <c r="BB159" i="77"/>
  <c r="BA157" i="77"/>
  <c r="AU157" i="77"/>
  <c r="BC163" i="77"/>
  <c r="BB161" i="77"/>
  <c r="BA159" i="77"/>
  <c r="AZ157" i="77"/>
  <c r="AY155" i="77"/>
  <c r="BF171" i="77"/>
  <c r="BE169" i="77"/>
  <c r="BD167" i="77"/>
  <c r="BC165" i="77"/>
  <c r="BB163" i="77"/>
  <c r="BA161" i="77"/>
  <c r="AZ159" i="77"/>
  <c r="AY157" i="77"/>
  <c r="AX155" i="77"/>
  <c r="AW153" i="77"/>
  <c r="AW151" i="77"/>
  <c r="AV147" i="77"/>
  <c r="AV145" i="77"/>
  <c r="AV141" i="77"/>
  <c r="AV143" i="77"/>
  <c r="AV139" i="77"/>
  <c r="AV137" i="77"/>
  <c r="AV135" i="77"/>
  <c r="AV133" i="77"/>
  <c r="AV131" i="77"/>
  <c r="AV129" i="77"/>
  <c r="AV127" i="77"/>
  <c r="AV121" i="77"/>
  <c r="AV119" i="77"/>
  <c r="AV117" i="77"/>
  <c r="AV115" i="77"/>
  <c r="AV113" i="77"/>
  <c r="AV107" i="77"/>
  <c r="AU105" i="77"/>
  <c r="AU103" i="77"/>
  <c r="AU100" i="77"/>
  <c r="AU98" i="77"/>
  <c r="AU95" i="77"/>
  <c r="AU93" i="77"/>
  <c r="AU91" i="77"/>
  <c r="AX78" i="77"/>
  <c r="AX75" i="77"/>
  <c r="AX73" i="77"/>
  <c r="BE71" i="77"/>
  <c r="BE67" i="77"/>
  <c r="BC69" i="77"/>
  <c r="BC65" i="77"/>
  <c r="AZ60" i="77"/>
  <c r="AZ62" i="77"/>
  <c r="AY56" i="77"/>
  <c r="AY58" i="77"/>
  <c r="BE51" i="77"/>
  <c r="AU162" i="77"/>
  <c r="AU154" i="77"/>
  <c r="AU79" i="77"/>
  <c r="AU142" i="77"/>
  <c r="AU160" i="77"/>
  <c r="AU70" i="77"/>
  <c r="AU122" i="77"/>
  <c r="AU178" i="77"/>
  <c r="AU92" i="77"/>
  <c r="AU170" i="77"/>
  <c r="AU158" i="77"/>
  <c r="AU138" i="77"/>
  <c r="AU85" i="77"/>
  <c r="AU52" i="77"/>
  <c r="AU57" i="77"/>
  <c r="AU146" i="77"/>
  <c r="AU61" i="77"/>
  <c r="AU144" i="77"/>
  <c r="AU68" i="77"/>
  <c r="AU59" i="77"/>
  <c r="AU166" i="77"/>
  <c r="AU156" i="77"/>
  <c r="AU104" i="77"/>
  <c r="AU114" i="77"/>
  <c r="AU128" i="77"/>
  <c r="AU63" i="77"/>
  <c r="AU168" i="77"/>
  <c r="AU134" i="77"/>
  <c r="AU116" i="77"/>
  <c r="AU124" i="77"/>
  <c r="AU76" i="77"/>
  <c r="AU132" i="77"/>
  <c r="AU136" i="77"/>
  <c r="AU101" i="77"/>
  <c r="AU94" i="77"/>
  <c r="AU148" i="77"/>
  <c r="AU72" i="77"/>
  <c r="AU172" i="77"/>
  <c r="AU152" i="77"/>
  <c r="AU118" i="77"/>
  <c r="AU130" i="77"/>
  <c r="AU96" i="77"/>
  <c r="AU74" i="77"/>
  <c r="AU99" i="77"/>
  <c r="AU106" i="77"/>
  <c r="AU140" i="77"/>
  <c r="AU120" i="77"/>
  <c r="AU66" i="77"/>
  <c r="AU108" i="77"/>
  <c r="AU164" i="77"/>
  <c r="AV74" i="77" l="1"/>
  <c r="AV132" i="77"/>
  <c r="AV136" i="77"/>
  <c r="AV178" i="77"/>
  <c r="AV92" i="77"/>
  <c r="AV66" i="77"/>
  <c r="AV96" i="77"/>
  <c r="AV124" i="77"/>
  <c r="AV59" i="77"/>
  <c r="AV130" i="77"/>
  <c r="AV68" i="77"/>
  <c r="AV120" i="77"/>
  <c r="AV144" i="77"/>
  <c r="AV166" i="77"/>
  <c r="AV140" i="77"/>
  <c r="AV118" i="77"/>
  <c r="AV104" i="77"/>
  <c r="AV170" i="77"/>
  <c r="AV106" i="77"/>
  <c r="AV152" i="77"/>
  <c r="AV61" i="77"/>
  <c r="AV160" i="77"/>
  <c r="AV164" i="77"/>
  <c r="AV76" i="77"/>
  <c r="AV156" i="77"/>
  <c r="AV70" i="77"/>
  <c r="AV146" i="77"/>
  <c r="AV142" i="77"/>
  <c r="AV108" i="77"/>
  <c r="AV122" i="77"/>
  <c r="AV116" i="77"/>
  <c r="AV57" i="77"/>
  <c r="AV134" i="77"/>
  <c r="AV79" i="77"/>
  <c r="AV172" i="77"/>
  <c r="AV168" i="77"/>
  <c r="AV72" i="77"/>
  <c r="AV63" i="77"/>
  <c r="AV148" i="77"/>
  <c r="AV128" i="77"/>
  <c r="AV85" i="77"/>
  <c r="AV52" i="77"/>
  <c r="AV154" i="77"/>
  <c r="AV99" i="77"/>
  <c r="AV94" i="77"/>
  <c r="AV114" i="77"/>
  <c r="AV138" i="77"/>
  <c r="AV101" i="77"/>
  <c r="AV158" i="77"/>
  <c r="AV162" i="77"/>
  <c r="AA105" i="151"/>
  <c r="Y105" i="151"/>
  <c r="AA97" i="151"/>
  <c r="Y97" i="151"/>
  <c r="AA95" i="151"/>
  <c r="Y95" i="151"/>
  <c r="Z40" i="151"/>
  <c r="Z38" i="151"/>
  <c r="Z34" i="151"/>
  <c r="AW72" i="77"/>
  <c r="AW142" i="77"/>
  <c r="AW170" i="77"/>
  <c r="AW162" i="77"/>
  <c r="AW146" i="77"/>
  <c r="AW104" i="77"/>
  <c r="AW59" i="77"/>
  <c r="AW158" i="77"/>
  <c r="AW124" i="77"/>
  <c r="AW168" i="77"/>
  <c r="AW96" i="77"/>
  <c r="AW101" i="77"/>
  <c r="AW172" i="77"/>
  <c r="AW66" i="77"/>
  <c r="AW70" i="77"/>
  <c r="AW178" i="77"/>
  <c r="AW92" i="77"/>
  <c r="AW79" i="77"/>
  <c r="AW138" i="77"/>
  <c r="AW118" i="77"/>
  <c r="AW136" i="77"/>
  <c r="AW63" i="77"/>
  <c r="AW106" i="77"/>
  <c r="AW130" i="77"/>
  <c r="AW114" i="77"/>
  <c r="AW134" i="77"/>
  <c r="AW140" i="77"/>
  <c r="AW94" i="77"/>
  <c r="AW166" i="77"/>
  <c r="AW99" i="77"/>
  <c r="AW156" i="77"/>
  <c r="AW154" i="77"/>
  <c r="AW76" i="77"/>
  <c r="AW144" i="77"/>
  <c r="AW132" i="77"/>
  <c r="AW85" i="77"/>
  <c r="AW52" i="77"/>
  <c r="AW57" i="77"/>
  <c r="AW74" i="77"/>
  <c r="AW128" i="77"/>
  <c r="AW116" i="77"/>
  <c r="AW164" i="77"/>
  <c r="AW108" i="77"/>
  <c r="AW148" i="77"/>
  <c r="AW160" i="77"/>
  <c r="AW120" i="77"/>
  <c r="AW61" i="77"/>
  <c r="AW68" i="77"/>
  <c r="AW122" i="77"/>
  <c r="AW152" i="77"/>
  <c r="AX160" i="77" l="1"/>
  <c r="AX124" i="77"/>
  <c r="AX152" i="77"/>
  <c r="AX164" i="77"/>
  <c r="AX166" i="77"/>
  <c r="AX122" i="77"/>
  <c r="AX116" i="77"/>
  <c r="AX128" i="77"/>
  <c r="AX79" i="77"/>
  <c r="AX94" i="77"/>
  <c r="AX158" i="77"/>
  <c r="AX68" i="77"/>
  <c r="AX74" i="77"/>
  <c r="AX178" i="77"/>
  <c r="AX92" i="77"/>
  <c r="AX59" i="77"/>
  <c r="AX156" i="77"/>
  <c r="AX148" i="77"/>
  <c r="AX168" i="77"/>
  <c r="AX108" i="77"/>
  <c r="AX99" i="77"/>
  <c r="AX138" i="77"/>
  <c r="AX140" i="77"/>
  <c r="AX104" i="77"/>
  <c r="AX70" i="77"/>
  <c r="AX146" i="77"/>
  <c r="AX57" i="77"/>
  <c r="AX134" i="77"/>
  <c r="AX85" i="77"/>
  <c r="AX52" i="77"/>
  <c r="AX114" i="77"/>
  <c r="AX162" i="77"/>
  <c r="AX118" i="77"/>
  <c r="AX132" i="77"/>
  <c r="AX66" i="77"/>
  <c r="AX61" i="77"/>
  <c r="AX144" i="77"/>
  <c r="AX130" i="77"/>
  <c r="AX170" i="77"/>
  <c r="AX76" i="77"/>
  <c r="AX106" i="77"/>
  <c r="AX142" i="77"/>
  <c r="AX172" i="77"/>
  <c r="AX154" i="77"/>
  <c r="AX63" i="77"/>
  <c r="AX101" i="77"/>
  <c r="AX120" i="77"/>
  <c r="AX136" i="77"/>
  <c r="AX96" i="77"/>
  <c r="AX72" i="77"/>
  <c r="AP34" i="8"/>
  <c r="AP30" i="8"/>
  <c r="AO39" i="8"/>
  <c r="AO37" i="8"/>
  <c r="AN41" i="8"/>
  <c r="AM8" i="77"/>
  <c r="AN8" i="77"/>
  <c r="AO8" i="77"/>
  <c r="AP8" i="77"/>
  <c r="AQ8" i="77"/>
  <c r="AR8" i="77"/>
  <c r="AS8" i="77"/>
  <c r="AT8" i="77"/>
  <c r="AM21" i="77"/>
  <c r="AN21" i="77"/>
  <c r="AO21" i="77"/>
  <c r="AP21" i="77"/>
  <c r="AQ21" i="77"/>
  <c r="AR21" i="77"/>
  <c r="AS21" i="77"/>
  <c r="AT21" i="77"/>
  <c r="AM25" i="77"/>
  <c r="AN25" i="77"/>
  <c r="AO25" i="77"/>
  <c r="AP25" i="77"/>
  <c r="AQ25" i="77"/>
  <c r="AR25" i="77"/>
  <c r="AS25" i="77"/>
  <c r="AT25" i="77"/>
  <c r="AP39" i="8" l="1"/>
  <c r="AQ7" i="8"/>
  <c r="AY134" i="77"/>
  <c r="AY148" i="77"/>
  <c r="AY72" i="77"/>
  <c r="AY156" i="77"/>
  <c r="AY96" i="77"/>
  <c r="AY146" i="77"/>
  <c r="AY136" i="77"/>
  <c r="AY70" i="77"/>
  <c r="AY116" i="77"/>
  <c r="AY66" i="77"/>
  <c r="AY178" i="77"/>
  <c r="AY92" i="77"/>
  <c r="AY74" i="77"/>
  <c r="AY76" i="77"/>
  <c r="AY128" i="77"/>
  <c r="AY170" i="77"/>
  <c r="AY57" i="77"/>
  <c r="AY130" i="77"/>
  <c r="AY144" i="77"/>
  <c r="AY61" i="77"/>
  <c r="AY122" i="77"/>
  <c r="AY120" i="77"/>
  <c r="AY59" i="77"/>
  <c r="AY101" i="77"/>
  <c r="AY104" i="77"/>
  <c r="AY166" i="77"/>
  <c r="AY154" i="77"/>
  <c r="AY63" i="77"/>
  <c r="AY132" i="77"/>
  <c r="AY164" i="77"/>
  <c r="AY140" i="77"/>
  <c r="AY68" i="77"/>
  <c r="AY152" i="77"/>
  <c r="AY118" i="77"/>
  <c r="AY124" i="77"/>
  <c r="AY172" i="77"/>
  <c r="AY162" i="77"/>
  <c r="AY94" i="77"/>
  <c r="AY138" i="77"/>
  <c r="AY158" i="77"/>
  <c r="AY114" i="77"/>
  <c r="AY99" i="77"/>
  <c r="AY85" i="77"/>
  <c r="AY52" i="77"/>
  <c r="AY108" i="77"/>
  <c r="AY142" i="77"/>
  <c r="AY79" i="77"/>
  <c r="AY106" i="77"/>
  <c r="AY168" i="77"/>
  <c r="AY160" i="77"/>
  <c r="AQ19" i="8"/>
  <c r="AQ17" i="8"/>
  <c r="AP7" i="8"/>
  <c r="AQ30" i="8"/>
  <c r="AO41" i="8"/>
  <c r="AP37" i="8"/>
  <c r="AT33" i="77"/>
  <c r="AT29" i="77"/>
  <c r="AS33" i="77"/>
  <c r="AS29" i="77"/>
  <c r="AR33" i="77"/>
  <c r="AR29" i="77"/>
  <c r="AQ33" i="77"/>
  <c r="AQ29" i="77"/>
  <c r="AO33" i="77"/>
  <c r="AO29" i="77"/>
  <c r="AN33" i="77"/>
  <c r="AN29" i="77"/>
  <c r="AM29" i="77"/>
  <c r="AM33" i="77"/>
  <c r="AU25" i="77"/>
  <c r="AV25" i="77"/>
  <c r="AW25" i="77"/>
  <c r="AX25" i="77"/>
  <c r="AY25" i="77"/>
  <c r="AZ25" i="77"/>
  <c r="BA25" i="77"/>
  <c r="BB25" i="77"/>
  <c r="BC25" i="77"/>
  <c r="BD25" i="77"/>
  <c r="BE25" i="77"/>
  <c r="BF25" i="77"/>
  <c r="AO27" i="8" l="1"/>
  <c r="AP27" i="8"/>
  <c r="AQ27" i="8"/>
  <c r="AR7" i="8"/>
  <c r="AR27" i="8" s="1"/>
  <c r="AZ160" i="77"/>
  <c r="AZ158" i="77"/>
  <c r="AZ152" i="77"/>
  <c r="AZ122" i="77"/>
  <c r="AZ116" i="77"/>
  <c r="AZ68" i="77"/>
  <c r="AZ70" i="77"/>
  <c r="AZ168" i="77"/>
  <c r="AZ140" i="77"/>
  <c r="AZ136" i="77"/>
  <c r="AZ61" i="77"/>
  <c r="AZ106" i="77"/>
  <c r="AZ164" i="77"/>
  <c r="AZ79" i="77"/>
  <c r="AZ138" i="77"/>
  <c r="AZ132" i="77"/>
  <c r="AZ146" i="77"/>
  <c r="AZ63" i="77"/>
  <c r="AZ144" i="77"/>
  <c r="AZ96" i="77"/>
  <c r="AZ142" i="77"/>
  <c r="AZ154" i="77"/>
  <c r="AZ156" i="77"/>
  <c r="AZ94" i="77"/>
  <c r="AZ166" i="77"/>
  <c r="AZ57" i="77"/>
  <c r="AZ120" i="77"/>
  <c r="AZ66" i="77"/>
  <c r="AZ170" i="77"/>
  <c r="AZ162" i="77"/>
  <c r="AZ104" i="77"/>
  <c r="AZ72" i="77"/>
  <c r="AZ108" i="77"/>
  <c r="AZ172" i="77"/>
  <c r="AZ128" i="77"/>
  <c r="AZ148" i="77"/>
  <c r="AZ114" i="77"/>
  <c r="AZ118" i="77"/>
  <c r="AZ85" i="77"/>
  <c r="AZ52" i="77"/>
  <c r="AZ124" i="77"/>
  <c r="AZ101" i="77"/>
  <c r="AZ130" i="77"/>
  <c r="AZ76" i="77"/>
  <c r="AZ134" i="77"/>
  <c r="AZ74" i="77"/>
  <c r="AZ99" i="77"/>
  <c r="AZ178" i="77"/>
  <c r="AZ92" i="77"/>
  <c r="AZ59" i="77"/>
  <c r="AP29" i="77"/>
  <c r="AP33" i="77"/>
  <c r="AQ37" i="8"/>
  <c r="AR30" i="8"/>
  <c r="AN32" i="8"/>
  <c r="AP41" i="8"/>
  <c r="AS7" i="8" l="1"/>
  <c r="BA104" i="77"/>
  <c r="BA154" i="77"/>
  <c r="BA61" i="77"/>
  <c r="BA162" i="77"/>
  <c r="BA142" i="77"/>
  <c r="BA130" i="77"/>
  <c r="BA59" i="77"/>
  <c r="BA170" i="77"/>
  <c r="BA96" i="77"/>
  <c r="BA136" i="77"/>
  <c r="BA144" i="77"/>
  <c r="BA101" i="77"/>
  <c r="BA63" i="77"/>
  <c r="BA140" i="77"/>
  <c r="BA124" i="77"/>
  <c r="BA85" i="77"/>
  <c r="BA52" i="77"/>
  <c r="BA168" i="77"/>
  <c r="BA66" i="77"/>
  <c r="BA120" i="77"/>
  <c r="BA146" i="77"/>
  <c r="BA76" i="77"/>
  <c r="BA178" i="77"/>
  <c r="BA92" i="77"/>
  <c r="BA70" i="77"/>
  <c r="BA118" i="77"/>
  <c r="BA132" i="77"/>
  <c r="BA68" i="77"/>
  <c r="BA99" i="77"/>
  <c r="BA114" i="77"/>
  <c r="BA138" i="77"/>
  <c r="BA148" i="77"/>
  <c r="BA57" i="77"/>
  <c r="BA79" i="77"/>
  <c r="BA74" i="77"/>
  <c r="BA128" i="77"/>
  <c r="BA166" i="77"/>
  <c r="BA116" i="77"/>
  <c r="BA94" i="77"/>
  <c r="BA172" i="77"/>
  <c r="BA164" i="77"/>
  <c r="BA152" i="77"/>
  <c r="BA122" i="77"/>
  <c r="BA108" i="77"/>
  <c r="BA158" i="77"/>
  <c r="BA134" i="77"/>
  <c r="BA72" i="77"/>
  <c r="BA156" i="77"/>
  <c r="BA106" i="77"/>
  <c r="BA160" i="77"/>
  <c r="AS30" i="8"/>
  <c r="AQ41" i="8"/>
  <c r="AO32" i="8"/>
  <c r="AS27" i="8" l="1"/>
  <c r="AT7" i="8"/>
  <c r="AT27" i="8" s="1"/>
  <c r="BB118" i="77"/>
  <c r="BB59" i="77"/>
  <c r="BB160" i="77"/>
  <c r="BB116" i="77"/>
  <c r="BB70" i="77"/>
  <c r="BB106" i="77"/>
  <c r="BB156" i="77"/>
  <c r="BB166" i="77"/>
  <c r="BB178" i="77"/>
  <c r="BB92" i="77"/>
  <c r="BB124" i="77"/>
  <c r="BB130" i="77"/>
  <c r="BB72" i="77"/>
  <c r="BB128" i="77"/>
  <c r="BB134" i="77"/>
  <c r="BB74" i="77"/>
  <c r="BB140" i="77"/>
  <c r="BB158" i="77"/>
  <c r="BB76" i="77"/>
  <c r="BB63" i="77"/>
  <c r="BB142" i="77"/>
  <c r="BB79" i="77"/>
  <c r="BB146" i="77"/>
  <c r="BB85" i="77"/>
  <c r="BB52" i="77"/>
  <c r="BB57" i="77"/>
  <c r="BB101" i="77"/>
  <c r="BB108" i="77"/>
  <c r="BB148" i="77"/>
  <c r="BB122" i="77"/>
  <c r="BB120" i="77"/>
  <c r="BB144" i="77"/>
  <c r="BB152" i="77"/>
  <c r="BB138" i="77"/>
  <c r="BB162" i="77"/>
  <c r="BB164" i="77"/>
  <c r="BB114" i="77"/>
  <c r="BB66" i="77"/>
  <c r="BB61" i="77"/>
  <c r="BB172" i="77"/>
  <c r="BB99" i="77"/>
  <c r="BB168" i="77"/>
  <c r="BB136" i="77"/>
  <c r="BB154" i="77"/>
  <c r="BB68" i="77"/>
  <c r="BB96" i="77"/>
  <c r="BB104" i="77"/>
  <c r="BB94" i="77"/>
  <c r="BB132" i="77"/>
  <c r="BB170" i="77"/>
  <c r="AR41" i="8"/>
  <c r="AQ32" i="8"/>
  <c r="AP32" i="8"/>
  <c r="AW3" i="140" a="1"/>
  <c r="AW5" i="140" a="1"/>
  <c r="AW4" i="140" a="1"/>
  <c r="AT82" i="77"/>
  <c r="AS82" i="77"/>
  <c r="AR82" i="77"/>
  <c r="AQ82" i="77"/>
  <c r="AP82" i="77"/>
  <c r="AO82" i="77"/>
  <c r="AN82" i="77"/>
  <c r="AM82" i="77"/>
  <c r="AR179" i="151"/>
  <c r="AQ179" i="151"/>
  <c r="AP179" i="151"/>
  <c r="AO179" i="151"/>
  <c r="AN179" i="151"/>
  <c r="AM179" i="151"/>
  <c r="AL179" i="151"/>
  <c r="AA179" i="151"/>
  <c r="Y179" i="151"/>
  <c r="W179" i="151"/>
  <c r="AR178" i="151"/>
  <c r="AQ178" i="151"/>
  <c r="AP178" i="151"/>
  <c r="AO178" i="151"/>
  <c r="AN178" i="151"/>
  <c r="AM178" i="151"/>
  <c r="AL178" i="151"/>
  <c r="AC178" i="151"/>
  <c r="Y178" i="151"/>
  <c r="G178" i="151"/>
  <c r="AR177" i="151"/>
  <c r="AQ177" i="151"/>
  <c r="AP177" i="151"/>
  <c r="AO177" i="151"/>
  <c r="AN177" i="151"/>
  <c r="AM177" i="151"/>
  <c r="AL177" i="151"/>
  <c r="AC177" i="151"/>
  <c r="Y177" i="151"/>
  <c r="G177" i="151"/>
  <c r="AC176" i="151"/>
  <c r="AB176" i="151"/>
  <c r="AA176" i="151"/>
  <c r="Z176" i="151"/>
  <c r="Y176" i="151"/>
  <c r="X176" i="151"/>
  <c r="W176" i="151"/>
  <c r="V176" i="151"/>
  <c r="AC175" i="151"/>
  <c r="AB175" i="151"/>
  <c r="AA175" i="151"/>
  <c r="Z175" i="151"/>
  <c r="Y175" i="151"/>
  <c r="X175" i="151"/>
  <c r="W175" i="151"/>
  <c r="V175" i="151"/>
  <c r="AC174" i="151"/>
  <c r="AB174" i="151"/>
  <c r="AA174" i="151"/>
  <c r="Z174" i="151"/>
  <c r="Y174" i="151"/>
  <c r="X174" i="151"/>
  <c r="W174" i="151"/>
  <c r="V174" i="151"/>
  <c r="AC173" i="151"/>
  <c r="AB173" i="151"/>
  <c r="AA173" i="151"/>
  <c r="Z173" i="151"/>
  <c r="Y173" i="151"/>
  <c r="X173" i="151"/>
  <c r="W173" i="151"/>
  <c r="V173" i="151"/>
  <c r="AC172" i="151"/>
  <c r="AB172" i="151"/>
  <c r="AA172" i="151"/>
  <c r="Z172" i="151"/>
  <c r="Y172" i="151"/>
  <c r="X172" i="151"/>
  <c r="W172" i="151"/>
  <c r="V172" i="151"/>
  <c r="AR171" i="151"/>
  <c r="AQ171" i="151"/>
  <c r="AP171" i="151"/>
  <c r="AO171" i="151"/>
  <c r="AN171" i="151"/>
  <c r="AM171" i="151"/>
  <c r="AL171" i="151"/>
  <c r="AB171" i="151"/>
  <c r="AC171" i="151" s="1"/>
  <c r="H171" i="151"/>
  <c r="Y170" i="151"/>
  <c r="X170" i="151"/>
  <c r="W170" i="151"/>
  <c r="V170" i="151"/>
  <c r="AC169" i="151"/>
  <c r="AB169" i="151"/>
  <c r="AA169" i="151"/>
  <c r="Z169" i="151"/>
  <c r="Y169" i="151"/>
  <c r="X169" i="151"/>
  <c r="W169" i="151"/>
  <c r="V169" i="151"/>
  <c r="H168" i="151"/>
  <c r="AR166" i="151"/>
  <c r="AQ166" i="151"/>
  <c r="AP166" i="151"/>
  <c r="AO166" i="151"/>
  <c r="AN166" i="151"/>
  <c r="AB166" i="151"/>
  <c r="H166" i="151"/>
  <c r="AR165" i="151"/>
  <c r="AQ165" i="151"/>
  <c r="AP165" i="151"/>
  <c r="AO165" i="151"/>
  <c r="AN165" i="151"/>
  <c r="AB165" i="151"/>
  <c r="H165" i="151"/>
  <c r="AR164" i="151"/>
  <c r="AQ164" i="151"/>
  <c r="AP164" i="151"/>
  <c r="AO164" i="151"/>
  <c r="AN164" i="151"/>
  <c r="H164" i="151"/>
  <c r="AC163" i="151"/>
  <c r="AB163" i="151"/>
  <c r="AA163" i="151"/>
  <c r="Z163" i="151"/>
  <c r="Y163" i="151"/>
  <c r="X163" i="151"/>
  <c r="W163" i="151"/>
  <c r="V163" i="151"/>
  <c r="AR162" i="151"/>
  <c r="AQ162" i="151"/>
  <c r="AP162" i="151"/>
  <c r="AR161" i="151"/>
  <c r="AQ161" i="151"/>
  <c r="AP161" i="151"/>
  <c r="AO161" i="151"/>
  <c r="AN161" i="151"/>
  <c r="AM161" i="151"/>
  <c r="AL161" i="151"/>
  <c r="AC161" i="151"/>
  <c r="AB161" i="151"/>
  <c r="AA161" i="151"/>
  <c r="Z161" i="151"/>
  <c r="Y161" i="151"/>
  <c r="X161" i="151"/>
  <c r="W161" i="151"/>
  <c r="V161" i="151"/>
  <c r="AC160" i="151"/>
  <c r="AB160" i="151"/>
  <c r="AA160" i="151"/>
  <c r="Z160" i="151"/>
  <c r="Y160" i="151"/>
  <c r="X160" i="151"/>
  <c r="W160" i="151"/>
  <c r="V160" i="151"/>
  <c r="G160" i="151"/>
  <c r="AC159" i="151"/>
  <c r="AB159" i="151"/>
  <c r="AA159" i="151"/>
  <c r="Z159" i="151"/>
  <c r="Y159" i="151"/>
  <c r="X159" i="151"/>
  <c r="W159" i="151"/>
  <c r="V159" i="151"/>
  <c r="AC158" i="151"/>
  <c r="AB158" i="151"/>
  <c r="AA158" i="151"/>
  <c r="Z158" i="151"/>
  <c r="Y158" i="151"/>
  <c r="X158" i="151"/>
  <c r="W158" i="151"/>
  <c r="V158" i="151"/>
  <c r="AC157" i="151"/>
  <c r="AB157" i="151"/>
  <c r="AA157" i="151"/>
  <c r="Z157" i="151"/>
  <c r="H157" i="151"/>
  <c r="AC156" i="151"/>
  <c r="AB156" i="151"/>
  <c r="AA156" i="151"/>
  <c r="Z156" i="151"/>
  <c r="Y156" i="151"/>
  <c r="X156" i="151"/>
  <c r="W156" i="151"/>
  <c r="V156" i="151"/>
  <c r="AC155" i="151"/>
  <c r="AB155" i="151"/>
  <c r="AA155" i="151"/>
  <c r="Z155" i="151"/>
  <c r="Y155" i="151"/>
  <c r="X155" i="151"/>
  <c r="W155" i="151"/>
  <c r="V155" i="151"/>
  <c r="AC154" i="151"/>
  <c r="AB154" i="151"/>
  <c r="AA154" i="151"/>
  <c r="Z154" i="151"/>
  <c r="Y154" i="151"/>
  <c r="X154" i="151"/>
  <c r="W154" i="151"/>
  <c r="V154" i="151"/>
  <c r="AR153" i="151"/>
  <c r="AQ153" i="151"/>
  <c r="AP153" i="151"/>
  <c r="H153" i="151"/>
  <c r="AR152" i="151"/>
  <c r="AQ152" i="151"/>
  <c r="AP152" i="151"/>
  <c r="AR151" i="151"/>
  <c r="AQ151" i="151"/>
  <c r="AP151" i="151"/>
  <c r="Z151" i="151"/>
  <c r="H150" i="151"/>
  <c r="Y149" i="151"/>
  <c r="X149" i="151"/>
  <c r="W149" i="151"/>
  <c r="V149" i="151"/>
  <c r="Y148" i="151"/>
  <c r="X148" i="151"/>
  <c r="W148" i="151"/>
  <c r="V148" i="151"/>
  <c r="AC147" i="151"/>
  <c r="AB147" i="151"/>
  <c r="AA147" i="151"/>
  <c r="Z147" i="151"/>
  <c r="Y147" i="151"/>
  <c r="X147" i="151"/>
  <c r="W147" i="151"/>
  <c r="V147" i="151"/>
  <c r="AR146" i="151"/>
  <c r="AQ146" i="151"/>
  <c r="AP146" i="151"/>
  <c r="H146" i="151"/>
  <c r="AB121" i="151"/>
  <c r="U121" i="151"/>
  <c r="G121" i="151"/>
  <c r="T120" i="151"/>
  <c r="S120" i="151"/>
  <c r="R120" i="151"/>
  <c r="Q120" i="151"/>
  <c r="P120" i="151"/>
  <c r="O120" i="151"/>
  <c r="N120" i="151"/>
  <c r="M120" i="151"/>
  <c r="L120" i="151"/>
  <c r="K120" i="151"/>
  <c r="J120" i="151"/>
  <c r="I120" i="151"/>
  <c r="T118" i="151"/>
  <c r="S118" i="151"/>
  <c r="R118" i="151"/>
  <c r="Q118" i="151"/>
  <c r="P118" i="151"/>
  <c r="O118" i="151"/>
  <c r="N118" i="151"/>
  <c r="M118" i="151"/>
  <c r="L118" i="151"/>
  <c r="K118" i="151"/>
  <c r="J118" i="151"/>
  <c r="I118" i="151"/>
  <c r="T117" i="151"/>
  <c r="S117" i="151"/>
  <c r="R117" i="151"/>
  <c r="Q117" i="151"/>
  <c r="P117" i="151"/>
  <c r="O117" i="151"/>
  <c r="N117" i="151"/>
  <c r="M117" i="151"/>
  <c r="L117" i="151"/>
  <c r="K117" i="151"/>
  <c r="J117" i="151"/>
  <c r="I117" i="151"/>
  <c r="T115" i="151"/>
  <c r="S115" i="151"/>
  <c r="R115" i="151"/>
  <c r="Q115" i="151"/>
  <c r="P115" i="151"/>
  <c r="O115" i="151"/>
  <c r="N115" i="151"/>
  <c r="M115" i="151"/>
  <c r="L115" i="151"/>
  <c r="K115" i="151"/>
  <c r="J115" i="151"/>
  <c r="I115" i="151"/>
  <c r="T114" i="151"/>
  <c r="S114" i="151"/>
  <c r="R114" i="151"/>
  <c r="Q114" i="151"/>
  <c r="T113" i="151"/>
  <c r="S113" i="151"/>
  <c r="R113" i="151"/>
  <c r="Q113" i="151"/>
  <c r="AC111" i="151"/>
  <c r="AC121" i="151" s="1"/>
  <c r="AA111" i="151"/>
  <c r="AA121" i="151" s="1"/>
  <c r="Z111" i="151"/>
  <c r="Z121" i="151" s="1"/>
  <c r="Y111" i="151"/>
  <c r="Y121" i="151" s="1"/>
  <c r="X111" i="151"/>
  <c r="X121" i="151" s="1"/>
  <c r="W111" i="151"/>
  <c r="W121" i="151" s="1"/>
  <c r="V111" i="151"/>
  <c r="V121" i="151" s="1"/>
  <c r="T111" i="151"/>
  <c r="S111" i="151"/>
  <c r="R111" i="151"/>
  <c r="Q111" i="151"/>
  <c r="P111" i="151"/>
  <c r="O111" i="151"/>
  <c r="N111" i="151"/>
  <c r="M111" i="151"/>
  <c r="L111" i="151"/>
  <c r="K111" i="151"/>
  <c r="J111" i="151"/>
  <c r="I111" i="151"/>
  <c r="AB108" i="151"/>
  <c r="Z108" i="151"/>
  <c r="X108" i="151"/>
  <c r="W108" i="151"/>
  <c r="V108" i="151"/>
  <c r="U108" i="151"/>
  <c r="T108" i="151"/>
  <c r="S108" i="151"/>
  <c r="R108" i="151"/>
  <c r="Q108" i="151"/>
  <c r="P108" i="151"/>
  <c r="O108" i="151"/>
  <c r="N108" i="151"/>
  <c r="M108" i="151"/>
  <c r="L108" i="151"/>
  <c r="K108" i="151"/>
  <c r="J108" i="151"/>
  <c r="I108" i="151"/>
  <c r="G108" i="151"/>
  <c r="AA87" i="151"/>
  <c r="AA108" i="151" s="1"/>
  <c r="Y87" i="151"/>
  <c r="AC71" i="151"/>
  <c r="Y71" i="151"/>
  <c r="AC70" i="151"/>
  <c r="Y70" i="151"/>
  <c r="B52" i="151" a="1"/>
  <c r="G49" i="151"/>
  <c r="AC47" i="151"/>
  <c r="AB47" i="151"/>
  <c r="T47" i="151"/>
  <c r="S47" i="151"/>
  <c r="R47" i="151"/>
  <c r="Q47" i="151"/>
  <c r="P47" i="151"/>
  <c r="O47" i="151"/>
  <c r="N47" i="151"/>
  <c r="M47" i="151"/>
  <c r="L47" i="151"/>
  <c r="K47" i="151"/>
  <c r="J47" i="151"/>
  <c r="I47" i="151"/>
  <c r="G47" i="151"/>
  <c r="Z43" i="151"/>
  <c r="Z36" i="151"/>
  <c r="AA47" i="151"/>
  <c r="Y47" i="151"/>
  <c r="X47" i="151"/>
  <c r="W47" i="151"/>
  <c r="V47" i="151"/>
  <c r="U47" i="151"/>
  <c r="AC27" i="151"/>
  <c r="AB27" i="151"/>
  <c r="AA27" i="151"/>
  <c r="Y27" i="151"/>
  <c r="X27" i="151"/>
  <c r="W27" i="151"/>
  <c r="V27" i="151"/>
  <c r="U27" i="151"/>
  <c r="T27" i="151"/>
  <c r="S27" i="151"/>
  <c r="R27" i="151"/>
  <c r="Q27" i="151"/>
  <c r="P27" i="151"/>
  <c r="O27" i="151"/>
  <c r="N27" i="151"/>
  <c r="M27" i="151"/>
  <c r="L27" i="151"/>
  <c r="K27" i="151"/>
  <c r="J27" i="151"/>
  <c r="I27" i="151"/>
  <c r="Z25" i="151"/>
  <c r="Z24" i="151"/>
  <c r="Z23" i="151"/>
  <c r="Z12" i="151"/>
  <c r="Z9" i="151"/>
  <c r="Z8" i="151"/>
  <c r="Z6" i="151"/>
  <c r="B2" i="151" a="1"/>
  <c r="AU7" i="8" l="1"/>
  <c r="BC146" i="77"/>
  <c r="BC166" i="77"/>
  <c r="BC170" i="77"/>
  <c r="BC63" i="77"/>
  <c r="BC76" i="77"/>
  <c r="BC132" i="77"/>
  <c r="BC94" i="77"/>
  <c r="BC164" i="77"/>
  <c r="BC148" i="77"/>
  <c r="BC158" i="77"/>
  <c r="BC106" i="77"/>
  <c r="BC104" i="77"/>
  <c r="BC162" i="77"/>
  <c r="BC108" i="77"/>
  <c r="BC96" i="77"/>
  <c r="BC101" i="77"/>
  <c r="BC140" i="77"/>
  <c r="BC74" i="77"/>
  <c r="BC134" i="77"/>
  <c r="BC79" i="77"/>
  <c r="BC154" i="77"/>
  <c r="BC136" i="77"/>
  <c r="BC168" i="77"/>
  <c r="BC144" i="77"/>
  <c r="BC85" i="77"/>
  <c r="BC52" i="77"/>
  <c r="BC142" i="77"/>
  <c r="BC99" i="77"/>
  <c r="BC120" i="77"/>
  <c r="BC128" i="77"/>
  <c r="BC66" i="77"/>
  <c r="BC156" i="77"/>
  <c r="BC57" i="77"/>
  <c r="BC152" i="77"/>
  <c r="BC72" i="77"/>
  <c r="BC61" i="77"/>
  <c r="BC122" i="77"/>
  <c r="BC130" i="77"/>
  <c r="BC118" i="77"/>
  <c r="BC178" i="77"/>
  <c r="BC92" i="77"/>
  <c r="BC114" i="77"/>
  <c r="BC70" i="77"/>
  <c r="BC68" i="77"/>
  <c r="BC138" i="77"/>
  <c r="BC116" i="77"/>
  <c r="BC160" i="77"/>
  <c r="BC172" i="77"/>
  <c r="BC59" i="77"/>
  <c r="BC124" i="77"/>
  <c r="AB49" i="151"/>
  <c r="K49" i="151"/>
  <c r="L49" i="151"/>
  <c r="AC49" i="151"/>
  <c r="AC108" i="151"/>
  <c r="Z47" i="151"/>
  <c r="O49" i="151"/>
  <c r="M49" i="151"/>
  <c r="N49" i="151"/>
  <c r="Y108" i="151"/>
  <c r="R49" i="151"/>
  <c r="P49" i="151"/>
  <c r="Q49" i="151"/>
  <c r="S49" i="151"/>
  <c r="T49" i="151"/>
  <c r="I49" i="151"/>
  <c r="J49" i="151"/>
  <c r="H179" i="151"/>
  <c r="AX8" i="140" a="1"/>
  <c r="AW8" i="140" a="1"/>
  <c r="H160" i="151"/>
  <c r="H149" i="151"/>
  <c r="H169" i="151"/>
  <c r="H173" i="151"/>
  <c r="H156" i="151"/>
  <c r="H175" i="151"/>
  <c r="H174" i="151"/>
  <c r="H176" i="151"/>
  <c r="H163" i="151"/>
  <c r="Z27" i="151"/>
  <c r="AA49" i="151"/>
  <c r="Q121" i="151"/>
  <c r="S121" i="151"/>
  <c r="U49" i="151"/>
  <c r="H155" i="151"/>
  <c r="H147" i="151"/>
  <c r="V49" i="151"/>
  <c r="T121" i="151"/>
  <c r="I121" i="151"/>
  <c r="M121" i="151"/>
  <c r="H170" i="151"/>
  <c r="H154" i="151"/>
  <c r="H148" i="151"/>
  <c r="H159" i="151"/>
  <c r="R121" i="151"/>
  <c r="L121" i="151"/>
  <c r="X49" i="151"/>
  <c r="Y49" i="151"/>
  <c r="P121" i="151"/>
  <c r="H158" i="151"/>
  <c r="H172" i="151"/>
  <c r="W49" i="151"/>
  <c r="J121" i="151"/>
  <c r="K121" i="151"/>
  <c r="N121" i="151"/>
  <c r="O121" i="151"/>
  <c r="AV58" i="114" a="1"/>
  <c r="AW88" i="114" a="1"/>
  <c r="AV38" i="114" a="1"/>
  <c r="AW72" i="114" a="1"/>
  <c r="AX84" i="114" a="1"/>
  <c r="AX71" i="114" a="1"/>
  <c r="AU27" i="8" l="1"/>
  <c r="AV7" i="8"/>
  <c r="BD130" i="77"/>
  <c r="BD142" i="77"/>
  <c r="BD61" i="77"/>
  <c r="BD85" i="77"/>
  <c r="BD52" i="77"/>
  <c r="BD72" i="77"/>
  <c r="BD144" i="77"/>
  <c r="BD132" i="77"/>
  <c r="BD152" i="77"/>
  <c r="BD168" i="77"/>
  <c r="BD59" i="77"/>
  <c r="BD140" i="77"/>
  <c r="BD76" i="77"/>
  <c r="BD57" i="77"/>
  <c r="BD101" i="77"/>
  <c r="BD178" i="77"/>
  <c r="BD92" i="77"/>
  <c r="BD99" i="77"/>
  <c r="BD164" i="77"/>
  <c r="BD74" i="77"/>
  <c r="BD124" i="77"/>
  <c r="BD122" i="77"/>
  <c r="BD172" i="77"/>
  <c r="BD96" i="77"/>
  <c r="BD160" i="77"/>
  <c r="BD156" i="77"/>
  <c r="BD136" i="77"/>
  <c r="BD116" i="77"/>
  <c r="BD63" i="77"/>
  <c r="BD138" i="77"/>
  <c r="BD108" i="77"/>
  <c r="BD68" i="77"/>
  <c r="BD66" i="77"/>
  <c r="BD162" i="77"/>
  <c r="BD134" i="77"/>
  <c r="BD70" i="77"/>
  <c r="BD104" i="77"/>
  <c r="BD170" i="77"/>
  <c r="BD118" i="77"/>
  <c r="BD94" i="77"/>
  <c r="BD158" i="77"/>
  <c r="BD166" i="77"/>
  <c r="BD79" i="77"/>
  <c r="BD128" i="77"/>
  <c r="BD154" i="77"/>
  <c r="BD106" i="77"/>
  <c r="BD114" i="77"/>
  <c r="BD120" i="77"/>
  <c r="BD148" i="77"/>
  <c r="BD146" i="77"/>
  <c r="AM30" i="77"/>
  <c r="AM9" i="77"/>
  <c r="AM22" i="77"/>
  <c r="AM26" i="77"/>
  <c r="AM34" i="77"/>
  <c r="Z49" i="151"/>
  <c r="AV27" i="8" l="1"/>
  <c r="BF154" i="77"/>
  <c r="BF94" i="77"/>
  <c r="BF122" i="77"/>
  <c r="BF120" i="77"/>
  <c r="BF70" i="77"/>
  <c r="BF156" i="77"/>
  <c r="BF164" i="77"/>
  <c r="BF144" i="77"/>
  <c r="BF134" i="77"/>
  <c r="BF160" i="77"/>
  <c r="BF99" i="77"/>
  <c r="BF101" i="77"/>
  <c r="BF118" i="77"/>
  <c r="BF124" i="77"/>
  <c r="BF168" i="77"/>
  <c r="BF170" i="77"/>
  <c r="BF116" i="77"/>
  <c r="BF152" i="77"/>
  <c r="BF146" i="77"/>
  <c r="BF104" i="77"/>
  <c r="BF74" i="77"/>
  <c r="BF148" i="77"/>
  <c r="BF132" i="77"/>
  <c r="BF136" i="77"/>
  <c r="BF114" i="77"/>
  <c r="BF72" i="77"/>
  <c r="BF106" i="77"/>
  <c r="BF162" i="77"/>
  <c r="BF96" i="77"/>
  <c r="BF79" i="77"/>
  <c r="BF158" i="77"/>
  <c r="BF140" i="77"/>
  <c r="BF128" i="77"/>
  <c r="BF66" i="77"/>
  <c r="BF68" i="77"/>
  <c r="BF172" i="77"/>
  <c r="BF57" i="77"/>
  <c r="BF61" i="77"/>
  <c r="BF166" i="77"/>
  <c r="BF108" i="77"/>
  <c r="BF76" i="77"/>
  <c r="BF138" i="77"/>
  <c r="BF142" i="77"/>
  <c r="BF63" i="77"/>
  <c r="BF59" i="77"/>
  <c r="BF130" i="77"/>
  <c r="BE154" i="77"/>
  <c r="BE94" i="77"/>
  <c r="BE122" i="77"/>
  <c r="BE120" i="77"/>
  <c r="BE70" i="77"/>
  <c r="BE156" i="77"/>
  <c r="BE164" i="77"/>
  <c r="BE144" i="77"/>
  <c r="BE134" i="77"/>
  <c r="BE160" i="77"/>
  <c r="BE99" i="77"/>
  <c r="BE178" i="77"/>
  <c r="BE92" i="77"/>
  <c r="BE101" i="77"/>
  <c r="BE118" i="77"/>
  <c r="BE124" i="77"/>
  <c r="BE168" i="77"/>
  <c r="BE170" i="77"/>
  <c r="BE116" i="77"/>
  <c r="BE152" i="77"/>
  <c r="BE146" i="77"/>
  <c r="BE104" i="77"/>
  <c r="BE74" i="77"/>
  <c r="BE148" i="77"/>
  <c r="BE132" i="77"/>
  <c r="BE136" i="77"/>
  <c r="BE114" i="77"/>
  <c r="BE72" i="77"/>
  <c r="BE106" i="77"/>
  <c r="BE162" i="77"/>
  <c r="BE96" i="77"/>
  <c r="BE79" i="77"/>
  <c r="BE158" i="77"/>
  <c r="BE140" i="77"/>
  <c r="BE128" i="77"/>
  <c r="BE66" i="77"/>
  <c r="BE85" i="77"/>
  <c r="BE52" i="77"/>
  <c r="BE68" i="77"/>
  <c r="BE172" i="77"/>
  <c r="BE57" i="77"/>
  <c r="BE61" i="77"/>
  <c r="BE166" i="77"/>
  <c r="BE108" i="77"/>
  <c r="BE76" i="77"/>
  <c r="BE138" i="77"/>
  <c r="BE142" i="77"/>
  <c r="BE63" i="77"/>
  <c r="BE59" i="77"/>
  <c r="BE130" i="77"/>
  <c r="AN26" i="77"/>
  <c r="AN22" i="77"/>
  <c r="AN9" i="77"/>
  <c r="AN34" i="77"/>
  <c r="AN30" i="77"/>
  <c r="BF85" i="77" l="1"/>
  <c r="BF52" i="77"/>
  <c r="BF178" i="77"/>
  <c r="BF92" i="77"/>
  <c r="AO26" i="77"/>
  <c r="AO34" i="77"/>
  <c r="AO30" i="77"/>
  <c r="AO22" i="77"/>
  <c r="AO9" i="77"/>
  <c r="BO46" i="8"/>
  <c r="BP46" i="8"/>
  <c r="BQ46" i="8"/>
  <c r="BR46" i="8"/>
  <c r="BS46" i="8"/>
  <c r="AU6" i="77"/>
  <c r="AV6" i="77"/>
  <c r="AW6" i="77"/>
  <c r="AX6" i="77"/>
  <c r="AY6" i="77"/>
  <c r="AZ6" i="77"/>
  <c r="BA6" i="77"/>
  <c r="BB6" i="77"/>
  <c r="BC6" i="77"/>
  <c r="BD6" i="77"/>
  <c r="BE6" i="77"/>
  <c r="BF6" i="77"/>
  <c r="AU8" i="77"/>
  <c r="AV8" i="77"/>
  <c r="AW8" i="77"/>
  <c r="AX8" i="77"/>
  <c r="AY8" i="77"/>
  <c r="AZ8" i="77"/>
  <c r="BA8" i="77"/>
  <c r="BB8" i="77"/>
  <c r="BC8" i="77"/>
  <c r="BD8" i="77"/>
  <c r="BE8" i="77"/>
  <c r="BF8" i="77"/>
  <c r="AU10" i="77"/>
  <c r="AV10" i="77"/>
  <c r="AW10" i="77"/>
  <c r="AX10" i="77"/>
  <c r="AY10" i="77"/>
  <c r="AZ10" i="77"/>
  <c r="BA10" i="77"/>
  <c r="BB10" i="77"/>
  <c r="BC10" i="77"/>
  <c r="BD10" i="77"/>
  <c r="BE10" i="77"/>
  <c r="BF10" i="77"/>
  <c r="AU12" i="77"/>
  <c r="AV12" i="77"/>
  <c r="AW12" i="77"/>
  <c r="AX12" i="77"/>
  <c r="AY12" i="77"/>
  <c r="AZ12" i="77"/>
  <c r="BA12" i="77"/>
  <c r="BB12" i="77"/>
  <c r="BC12" i="77"/>
  <c r="BD12" i="77"/>
  <c r="BE12" i="77"/>
  <c r="BF12" i="77"/>
  <c r="AU14" i="77"/>
  <c r="AV14" i="77"/>
  <c r="AW14" i="77"/>
  <c r="AX14" i="77"/>
  <c r="AY14" i="77"/>
  <c r="AZ14" i="77"/>
  <c r="BA14" i="77"/>
  <c r="BB14" i="77"/>
  <c r="BC14" i="77"/>
  <c r="BD14" i="77"/>
  <c r="BE14" i="77"/>
  <c r="BF14" i="77"/>
  <c r="AU16" i="77"/>
  <c r="AV16" i="77"/>
  <c r="AW16" i="77"/>
  <c r="AX16" i="77"/>
  <c r="AY16" i="77"/>
  <c r="AZ16" i="77"/>
  <c r="BA16" i="77"/>
  <c r="BB16" i="77"/>
  <c r="BC16" i="77"/>
  <c r="BD16" i="77"/>
  <c r="BE16" i="77"/>
  <c r="BF16" i="77"/>
  <c r="AU18" i="77"/>
  <c r="AV18" i="77"/>
  <c r="AW18" i="77"/>
  <c r="AX18" i="77"/>
  <c r="AY18" i="77"/>
  <c r="AZ18" i="77"/>
  <c r="BA18" i="77"/>
  <c r="BB18" i="77"/>
  <c r="BC18" i="77"/>
  <c r="BD18" i="77"/>
  <c r="BE18" i="77"/>
  <c r="BF18" i="77"/>
  <c r="AU21" i="77"/>
  <c r="AV21" i="77"/>
  <c r="AW21" i="77"/>
  <c r="AX21" i="77"/>
  <c r="AY21" i="77"/>
  <c r="AZ21" i="77"/>
  <c r="BA21" i="77"/>
  <c r="BB21" i="77"/>
  <c r="BC21" i="77"/>
  <c r="BD21" i="77"/>
  <c r="BE21" i="77"/>
  <c r="BF21" i="77"/>
  <c r="AU23" i="77"/>
  <c r="AV23" i="77"/>
  <c r="AW23" i="77"/>
  <c r="AX23" i="77"/>
  <c r="AY23" i="77"/>
  <c r="AZ23" i="77"/>
  <c r="BA23" i="77"/>
  <c r="BB23" i="77"/>
  <c r="BC23" i="77"/>
  <c r="BD23" i="77"/>
  <c r="BE23" i="77"/>
  <c r="BF23" i="77"/>
  <c r="AU27" i="77"/>
  <c r="AV27" i="77"/>
  <c r="AW27" i="77"/>
  <c r="AX27" i="77"/>
  <c r="AY27" i="77"/>
  <c r="AZ27" i="77"/>
  <c r="BA27" i="77"/>
  <c r="BB27" i="77"/>
  <c r="BC27" i="77"/>
  <c r="BD27" i="77"/>
  <c r="BE27" i="77"/>
  <c r="BF27" i="77"/>
  <c r="AU31" i="77"/>
  <c r="AV31" i="77"/>
  <c r="AW31" i="77"/>
  <c r="AX31" i="77"/>
  <c r="AY31" i="77"/>
  <c r="AZ31" i="77"/>
  <c r="BA31" i="77"/>
  <c r="BB31" i="77"/>
  <c r="BC31" i="77"/>
  <c r="BD31" i="77"/>
  <c r="BE31" i="77"/>
  <c r="BF31" i="77"/>
  <c r="AU35" i="77"/>
  <c r="AV35" i="77"/>
  <c r="AW35" i="77"/>
  <c r="AX35" i="77"/>
  <c r="AY35" i="77"/>
  <c r="AZ35" i="77"/>
  <c r="BA35" i="77"/>
  <c r="BB35" i="77"/>
  <c r="BC35" i="77"/>
  <c r="BD35" i="77"/>
  <c r="BE35" i="77"/>
  <c r="BF35" i="77"/>
  <c r="AU37" i="77"/>
  <c r="AV37" i="77"/>
  <c r="AW37" i="77"/>
  <c r="AX37" i="77"/>
  <c r="AY37" i="77"/>
  <c r="AZ37" i="77"/>
  <c r="BA37" i="77"/>
  <c r="BB37" i="77"/>
  <c r="BC37" i="77"/>
  <c r="BD37" i="77"/>
  <c r="BE37" i="77"/>
  <c r="BF37" i="77"/>
  <c r="AU39" i="77"/>
  <c r="AV39" i="77"/>
  <c r="AW39" i="77"/>
  <c r="AX39" i="77"/>
  <c r="AY39" i="77"/>
  <c r="AZ39" i="77"/>
  <c r="BA39" i="77"/>
  <c r="BB39" i="77"/>
  <c r="BC39" i="77"/>
  <c r="BD39" i="77"/>
  <c r="BE39" i="77"/>
  <c r="BF39" i="77"/>
  <c r="AU42" i="77"/>
  <c r="AV42" i="77"/>
  <c r="AW42" i="77"/>
  <c r="AX42" i="77"/>
  <c r="AY42" i="77"/>
  <c r="AZ42" i="77"/>
  <c r="BA42" i="77"/>
  <c r="BB42" i="77"/>
  <c r="BC42" i="77"/>
  <c r="BD42" i="77"/>
  <c r="BE42" i="77"/>
  <c r="BF42" i="77"/>
  <c r="BO26" i="8"/>
  <c r="BP26" i="8"/>
  <c r="BQ26" i="8"/>
  <c r="BR26" i="8"/>
  <c r="BS26" i="8"/>
  <c r="AU20" i="77"/>
  <c r="AV20" i="77"/>
  <c r="AW20" i="77"/>
  <c r="AX20" i="77"/>
  <c r="AY20" i="77"/>
  <c r="AZ20" i="77"/>
  <c r="BA20" i="77"/>
  <c r="BB20" i="77"/>
  <c r="BC20" i="77"/>
  <c r="BD20" i="77"/>
  <c r="BE20" i="77"/>
  <c r="BF20" i="77"/>
  <c r="AP30" i="77" l="1"/>
  <c r="AP9" i="77"/>
  <c r="AP34" i="77"/>
  <c r="AP22" i="77"/>
  <c r="AP26" i="77"/>
  <c r="BF33" i="77"/>
  <c r="BF29" i="77"/>
  <c r="BE33" i="77"/>
  <c r="BE29" i="77"/>
  <c r="BD33" i="77"/>
  <c r="BD29" i="77"/>
  <c r="BC33" i="77"/>
  <c r="BC29" i="77"/>
  <c r="BB33" i="77"/>
  <c r="BB29" i="77"/>
  <c r="BA33" i="77"/>
  <c r="BA29" i="77"/>
  <c r="AZ33" i="77"/>
  <c r="AZ29" i="77"/>
  <c r="AY33" i="77"/>
  <c r="AY29" i="77"/>
  <c r="AX29" i="77"/>
  <c r="AX33" i="77"/>
  <c r="AW29" i="77"/>
  <c r="AW33" i="77"/>
  <c r="AV29" i="77"/>
  <c r="AV33" i="77"/>
  <c r="AU33" i="77"/>
  <c r="AU29" i="77"/>
  <c r="AQ9" i="77" l="1"/>
  <c r="AQ26" i="77"/>
  <c r="AQ22" i="77"/>
  <c r="AQ34" i="77"/>
  <c r="AQ30" i="77"/>
  <c r="L47" i="8"/>
  <c r="M47" i="8"/>
  <c r="N47" i="8"/>
  <c r="O47" i="8"/>
  <c r="P47" i="8"/>
  <c r="Q47" i="8"/>
  <c r="R47" i="8"/>
  <c r="S47" i="8"/>
  <c r="T47" i="8"/>
  <c r="U47" i="8"/>
  <c r="V47" i="8"/>
  <c r="W47" i="8"/>
  <c r="X47" i="8"/>
  <c r="Y47" i="8"/>
  <c r="Z47" i="8"/>
  <c r="AA47" i="8"/>
  <c r="AB47" i="8"/>
  <c r="AC47" i="8"/>
  <c r="AD47" i="8"/>
  <c r="AE47" i="8"/>
  <c r="AR22" i="77"/>
  <c r="AR26" i="77"/>
  <c r="AR30" i="77"/>
  <c r="AR34" i="77"/>
  <c r="AR9" i="77"/>
  <c r="AV55" i="114" a="1"/>
  <c r="AX89" i="114" a="1"/>
  <c r="AW21" i="114" a="1"/>
  <c r="AW64" i="114" a="1"/>
  <c r="AV124" i="114" a="1"/>
  <c r="AX103" i="114" a="1"/>
  <c r="AX20" i="114" a="1"/>
  <c r="AX35" i="114" a="1"/>
  <c r="AX31" i="114" a="1"/>
  <c r="AV33" i="114" a="1"/>
  <c r="AW89" i="114" a="1"/>
  <c r="AV90" i="114" a="1"/>
  <c r="AV89" i="114" a="1"/>
  <c r="AW133" i="114" a="1"/>
  <c r="AX134" i="114" a="1"/>
  <c r="AW68" i="114" a="1"/>
  <c r="AV21" i="114" a="1"/>
  <c r="AX115" i="114" a="1"/>
  <c r="AW82" i="114" a="1"/>
  <c r="AW19" i="114" a="1"/>
  <c r="AW29" i="114" a="1"/>
  <c r="AW36" i="114" a="1"/>
  <c r="AX45" i="114" a="1"/>
  <c r="AV142" i="114" a="1"/>
  <c r="AV95" i="114" a="1"/>
  <c r="AW5" i="114" a="1"/>
  <c r="AX11" i="114" a="1"/>
  <c r="AV93" i="114" a="1"/>
  <c r="AV20" i="114" a="1"/>
  <c r="AW100" i="114" a="1"/>
  <c r="AW46" i="114" a="1"/>
  <c r="AV36" i="114" a="1"/>
  <c r="AV34" i="114" a="1"/>
  <c r="AW79" i="114" a="1"/>
  <c r="AX53" i="114" a="1"/>
  <c r="AW69" i="114" a="1"/>
  <c r="AV125" i="114" a="1"/>
  <c r="AX140" i="114" a="1"/>
  <c r="AX132" i="114" a="1"/>
  <c r="AW127" i="114" a="1"/>
  <c r="AV101" i="114" a="1"/>
  <c r="AX83" i="114" a="1"/>
  <c r="AV81" i="114" a="1"/>
  <c r="AV51" i="114" a="1"/>
  <c r="AX79" i="114" a="1"/>
  <c r="AX12" i="114" a="1"/>
  <c r="AX48" i="114" a="1"/>
  <c r="AX51" i="114" a="1"/>
  <c r="AW34" i="114" a="1"/>
  <c r="AW30" i="114" a="1"/>
  <c r="AV137" i="114" a="1"/>
  <c r="AX61" i="114" a="1"/>
  <c r="AX102" i="114" a="1"/>
  <c r="AV46" i="114" a="1"/>
  <c r="AW38" i="114" a="1"/>
  <c r="AX34" i="114" a="1"/>
  <c r="AW132" i="114" a="1"/>
  <c r="AX98" i="114" a="1"/>
  <c r="AV43" i="114" a="1"/>
  <c r="AW101" i="114" a="1"/>
  <c r="AW56" i="114" a="1"/>
  <c r="AV76" i="114" a="1"/>
  <c r="AX104" i="114" a="1"/>
  <c r="AX142" i="114" a="1"/>
  <c r="AW54" i="114" a="1"/>
  <c r="AW85" i="114" a="1"/>
  <c r="AV10" i="114" a="1"/>
  <c r="AV12" i="114" a="1"/>
  <c r="AV133" i="114" a="1"/>
  <c r="AV60" i="114" a="1"/>
  <c r="AW76" i="114" a="1"/>
  <c r="AW9" i="114" a="1"/>
  <c r="AW83" i="114" a="1"/>
  <c r="AV47" i="114" a="1"/>
  <c r="AX7" i="114" a="1"/>
  <c r="AX30" i="114" a="1"/>
  <c r="AV8" i="114" a="1"/>
  <c r="AX47" i="114" a="1"/>
  <c r="AX82" i="114" a="1"/>
  <c r="AX25" i="114" a="1"/>
  <c r="AV77" i="114" a="1"/>
  <c r="AW78" i="114" a="1"/>
  <c r="AW12" i="114" a="1"/>
  <c r="AV2" i="114" a="1"/>
  <c r="AW53" i="114" a="1"/>
  <c r="AX135" i="114" a="1"/>
  <c r="AV86" i="114" a="1"/>
  <c r="AW20" i="114" a="1"/>
  <c r="AW129" i="114" a="1"/>
  <c r="AW17" i="114" a="1"/>
  <c r="AV121" i="114" a="1"/>
  <c r="AW50" i="114" a="1"/>
  <c r="AW121" i="114" a="1"/>
  <c r="AX77" i="114" a="1"/>
  <c r="AX127" i="114" a="1"/>
  <c r="AX131" i="114" a="1"/>
  <c r="AX21" i="114" a="1"/>
  <c r="AX66" i="114" a="1"/>
  <c r="AX54" i="114" a="1"/>
  <c r="AX85" i="114" a="1"/>
  <c r="AX74" i="114" a="1"/>
  <c r="AV50" i="114" a="1"/>
  <c r="AX63" i="114" a="1"/>
  <c r="AV53" i="114" a="1"/>
  <c r="AW135" i="114" a="1"/>
  <c r="AX16" i="114" a="1"/>
  <c r="AX40" i="114" a="1"/>
  <c r="AX96" i="114" a="1"/>
  <c r="AV24" i="114" a="1"/>
  <c r="AV97" i="114" a="1"/>
  <c r="AX136" i="114" a="1"/>
  <c r="AW52" i="114" a="1"/>
  <c r="AV49" i="114" a="1"/>
  <c r="AV140" i="114" a="1"/>
  <c r="AX5" i="114" a="1"/>
  <c r="AX72" i="114" a="1"/>
  <c r="AW130" i="114" a="1"/>
  <c r="AV30" i="114" a="1"/>
  <c r="AV88" i="114" a="1"/>
  <c r="AX100" i="114" a="1"/>
  <c r="AW138" i="114" a="1"/>
  <c r="AW22" i="114" a="1"/>
  <c r="AW70" i="114" a="1"/>
  <c r="AX75" i="114" a="1"/>
  <c r="AV103" i="114" a="1"/>
  <c r="AV128" i="114" a="1"/>
  <c r="AX52" i="114" a="1"/>
  <c r="AV19" i="114" a="1"/>
  <c r="AW67" i="114" a="1"/>
  <c r="AX33" i="114" a="1"/>
  <c r="AX56" i="114" a="1"/>
  <c r="AX13" i="114" a="1"/>
  <c r="AX99" i="114" a="1"/>
  <c r="AW80" i="114" a="1"/>
  <c r="AX2" i="114" a="1"/>
  <c r="AV25" i="114" a="1"/>
  <c r="AW93" i="114" a="1"/>
  <c r="AX69" i="114" a="1"/>
  <c r="AV18" i="114" a="1"/>
  <c r="AV63" i="114" a="1"/>
  <c r="AX14" i="114" a="1"/>
  <c r="AW49" i="114" a="1"/>
  <c r="AV73" i="114" a="1"/>
  <c r="AV99" i="114" a="1"/>
  <c r="AW125" i="114" a="1"/>
  <c r="AX17" i="114" a="1"/>
  <c r="AX38" i="114" a="1"/>
  <c r="AX124" i="114" a="1"/>
  <c r="AW47" i="114" a="1"/>
  <c r="AW97" i="114" a="1"/>
  <c r="AV5" i="114" a="1"/>
  <c r="AW41" i="114" a="1"/>
  <c r="AW2" i="114" a="1"/>
  <c r="AV15" i="114" a="1"/>
  <c r="AV52" i="114" a="1"/>
  <c r="AX90" i="114" a="1"/>
  <c r="AW77" i="114" a="1"/>
  <c r="AW142" i="114" a="1"/>
  <c r="AW23" i="114" a="1"/>
  <c r="AV65" i="114" a="1"/>
  <c r="AX138" i="114" a="1"/>
  <c r="AW87" i="114" a="1"/>
  <c r="AW27" i="114" a="1"/>
  <c r="AV104" i="114" a="1"/>
  <c r="AW90" i="114" a="1"/>
  <c r="AV31" i="114" a="1"/>
  <c r="AW11" i="114" a="1"/>
  <c r="AX41" i="114" a="1"/>
  <c r="AX73" i="114" a="1"/>
  <c r="AV82" i="114" a="1"/>
  <c r="AV75" i="114" a="1"/>
  <c r="AW102" i="114" a="1"/>
  <c r="AX6" i="114" a="1"/>
  <c r="AX9" i="114" a="1"/>
  <c r="AX130" i="114" a="1"/>
  <c r="AX49" i="114" a="1"/>
  <c r="AX95" i="114" a="1"/>
  <c r="AW63" i="114" a="1"/>
  <c r="AX29" i="114" a="1"/>
  <c r="AV13" i="114" a="1"/>
  <c r="AW44" i="114" a="1"/>
  <c r="AX139" i="114" a="1"/>
  <c r="AV16" i="114" a="1"/>
  <c r="AX58" i="114" a="1"/>
  <c r="AX93" i="114" a="1"/>
  <c r="AX60" i="114" a="1"/>
  <c r="AW40" i="114" a="1"/>
  <c r="AX94" i="114" a="1"/>
  <c r="AV70" i="114" a="1"/>
  <c r="AX68" i="114" a="1"/>
  <c r="AW136" i="114" a="1"/>
  <c r="AV23" i="114" a="1"/>
  <c r="AW74" i="114" a="1"/>
  <c r="AW7" i="114" a="1"/>
  <c r="AW55" i="114" a="1"/>
  <c r="AV127" i="114" a="1"/>
  <c r="AW35" i="114" a="1"/>
  <c r="AV83" i="114" a="1"/>
  <c r="AX91" i="114" a="1"/>
  <c r="AW75" i="114" a="1"/>
  <c r="AX27" i="114" a="1"/>
  <c r="AW62" i="114" a="1"/>
  <c r="AX43" i="114" a="1"/>
  <c r="AW115" i="114" a="1"/>
  <c r="AW24" i="114" a="1"/>
  <c r="AV132" i="114" a="1"/>
  <c r="AW33" i="114" a="1"/>
  <c r="AW51" i="114" a="1"/>
  <c r="AV131" i="114" a="1"/>
  <c r="AW84" i="114" a="1"/>
  <c r="AX88" i="114" a="1"/>
  <c r="AW128" i="114" a="1"/>
  <c r="AV35" i="114" a="1"/>
  <c r="AW104" i="114" a="1"/>
  <c r="AW32" i="114" a="1"/>
  <c r="AW6" i="114" a="1"/>
  <c r="AX18" i="114" a="1"/>
  <c r="AX39" i="114" a="1"/>
  <c r="AV80" i="114" a="1"/>
  <c r="AW140" i="114" a="1"/>
  <c r="AV74" i="114" a="1"/>
  <c r="AX81" i="114" a="1"/>
  <c r="AV11" i="114" a="1"/>
  <c r="AX92" i="114" a="1"/>
  <c r="AW16" i="114" a="1"/>
  <c r="AX101" i="114" a="1"/>
  <c r="AV78" i="114" a="1"/>
  <c r="AW61" i="114" a="1"/>
  <c r="AX128" i="114" a="1"/>
  <c r="AV22" i="114" a="1"/>
  <c r="AX137" i="114" a="1"/>
  <c r="AX22" i="114" a="1"/>
  <c r="AX78" i="114" a="1"/>
  <c r="AX67" i="114" a="1"/>
  <c r="AX129" i="114" a="1"/>
  <c r="AX44" i="114" a="1"/>
  <c r="AV135" i="114" a="1"/>
  <c r="AX36" i="114" a="1"/>
  <c r="AV9" i="114" a="1"/>
  <c r="AV27" i="114" a="1"/>
  <c r="AW48" i="114" a="1"/>
  <c r="AX37" i="114" a="1"/>
  <c r="AV96" i="114" a="1"/>
  <c r="AW95" i="114" a="1"/>
  <c r="AV69" i="114" a="1"/>
  <c r="AX80" i="114" a="1"/>
  <c r="AV85" i="114" a="1"/>
  <c r="AV32" i="114" a="1"/>
  <c r="AW73" i="114" a="1"/>
  <c r="AX24" i="114" a="1"/>
  <c r="AV92" i="114" a="1"/>
  <c r="AV45" i="114" a="1"/>
  <c r="AX121" i="114" a="1"/>
  <c r="AV129" i="114" a="1"/>
  <c r="AV84" i="114" a="1"/>
  <c r="AW103" i="114" a="1"/>
  <c r="AW81" i="114" a="1"/>
  <c r="AX15" i="114" a="1"/>
  <c r="AX8" i="114" a="1"/>
  <c r="AW60" i="114" a="1"/>
  <c r="AW58" i="114" a="1"/>
  <c r="AW37" i="114" a="1"/>
  <c r="AW18" i="114" a="1"/>
  <c r="AX87" i="114" a="1"/>
  <c r="AW10" i="114" a="1"/>
  <c r="AW86" i="114" a="1"/>
  <c r="AV87" i="114" a="1"/>
  <c r="AW94" i="114" a="1"/>
  <c r="AX86" i="114" a="1"/>
  <c r="AV66" i="114" a="1"/>
  <c r="AV91" i="114" a="1"/>
  <c r="AV7" i="114" a="1"/>
  <c r="AV100" i="114" a="1"/>
  <c r="AV79" i="114" a="1"/>
  <c r="AW91" i="114" a="1"/>
  <c r="AW131" i="114" a="1"/>
  <c r="AV14" i="114" a="1"/>
  <c r="AW137" i="114" a="1"/>
  <c r="AV102" i="114" a="1"/>
  <c r="AW65" i="114" a="1"/>
  <c r="AW71" i="114" a="1"/>
  <c r="AW39" i="114" a="1"/>
  <c r="AV6" i="114" a="1"/>
  <c r="AX32" i="114" a="1"/>
  <c r="AV54" i="114" a="1"/>
  <c r="AW92" i="114" a="1"/>
  <c r="AV98" i="114" a="1"/>
  <c r="AV68" i="114" a="1"/>
  <c r="AX133" i="114" a="1"/>
  <c r="AV61" i="114" a="1"/>
  <c r="AV56" i="114" a="1"/>
  <c r="AV40" i="114" a="1"/>
  <c r="AX125" i="114" a="1"/>
  <c r="AW15" i="114" a="1"/>
  <c r="AV39" i="114" a="1"/>
  <c r="AX97" i="114" a="1"/>
  <c r="AX23" i="114" a="1"/>
  <c r="AW8" i="114" a="1"/>
  <c r="AV17" i="114" a="1"/>
  <c r="AW31" i="114" a="1"/>
  <c r="AV41" i="114" a="1"/>
  <c r="AV138" i="114" a="1"/>
  <c r="AX50" i="114" a="1"/>
  <c r="AV134" i="114" a="1"/>
  <c r="AX62" i="114" a="1"/>
  <c r="AW43" i="114" a="1"/>
  <c r="AX42" i="114" a="1"/>
  <c r="AX70" i="114" a="1"/>
  <c r="AV29" i="114" a="1"/>
  <c r="AV139" i="114" a="1"/>
  <c r="AW14" i="114" a="1"/>
  <c r="AW45" i="114" a="1"/>
  <c r="AX10" i="114" a="1"/>
  <c r="AV42" i="114" a="1"/>
  <c r="AX76" i="114" a="1"/>
  <c r="AV37" i="114" a="1"/>
  <c r="AW66" i="114" a="1"/>
  <c r="AX19" i="114" a="1"/>
  <c r="AV62" i="114" a="1"/>
  <c r="AW124" i="114" a="1"/>
  <c r="AV72" i="114" a="1"/>
  <c r="AV64" i="114" a="1"/>
  <c r="AV48" i="114" a="1"/>
  <c r="AW139" i="114" a="1"/>
  <c r="AV115" i="114" a="1"/>
  <c r="AV130" i="114" a="1"/>
  <c r="AW96" i="114" a="1"/>
  <c r="AV67" i="114" a="1"/>
  <c r="AW25" i="114" a="1"/>
  <c r="AW98" i="114" a="1"/>
  <c r="AV136" i="114" a="1"/>
  <c r="AV44" i="114" a="1"/>
  <c r="AW134" i="114" a="1"/>
  <c r="AX46" i="114" a="1"/>
  <c r="AW42" i="114" a="1"/>
  <c r="AW99" i="114" a="1"/>
  <c r="AX64" i="114" a="1"/>
  <c r="AX65" i="114" a="1"/>
  <c r="AV94" i="114" a="1"/>
  <c r="AW13" i="114" a="1"/>
  <c r="AV71" i="114" a="1"/>
  <c r="AX55" i="114" a="1"/>
  <c r="AS22" i="77" l="1"/>
  <c r="AS34" i="77"/>
  <c r="AS30" i="77"/>
  <c r="AS26" i="77"/>
  <c r="AS9" i="77"/>
  <c r="AT9" i="77" l="1"/>
  <c r="AT30" i="77"/>
  <c r="AT26" i="77"/>
  <c r="AT34" i="77"/>
  <c r="AT22" i="77"/>
  <c r="AU26" i="77" l="1"/>
  <c r="AU30" i="77"/>
  <c r="AU9" i="77"/>
  <c r="AU22" i="77"/>
  <c r="AU34" i="77"/>
  <c r="AV26" i="77" l="1"/>
  <c r="AV22" i="77"/>
  <c r="AV9" i="77"/>
  <c r="AV30" i="77"/>
  <c r="AV34" i="77"/>
  <c r="AW34" i="77" l="1"/>
  <c r="AW30" i="77"/>
  <c r="AW9" i="77"/>
  <c r="AW22" i="77"/>
  <c r="AW26" i="77"/>
  <c r="AT172" i="77"/>
  <c r="AS172" i="77"/>
  <c r="AR172" i="77"/>
  <c r="AQ172" i="77"/>
  <c r="AP172" i="77"/>
  <c r="AO172" i="77"/>
  <c r="AN172" i="77"/>
  <c r="AM172" i="77"/>
  <c r="AT171" i="77"/>
  <c r="AS171" i="77"/>
  <c r="AR171" i="77"/>
  <c r="AQ171" i="77"/>
  <c r="AP171" i="77"/>
  <c r="AO171" i="77"/>
  <c r="AN171" i="77"/>
  <c r="AM171" i="77"/>
  <c r="AT170" i="77"/>
  <c r="AS170" i="77"/>
  <c r="AR170" i="77"/>
  <c r="AQ170" i="77"/>
  <c r="AP170" i="77"/>
  <c r="AO170" i="77"/>
  <c r="AN170" i="77"/>
  <c r="AM170" i="77"/>
  <c r="AT169" i="77"/>
  <c r="AS169" i="77"/>
  <c r="AR169" i="77"/>
  <c r="AQ169" i="77"/>
  <c r="AP169" i="77"/>
  <c r="AO169" i="77"/>
  <c r="AN169" i="77"/>
  <c r="AM169" i="77"/>
  <c r="AT168" i="77"/>
  <c r="AS168" i="77"/>
  <c r="AR168" i="77"/>
  <c r="AQ168" i="77"/>
  <c r="AP168" i="77"/>
  <c r="AO168" i="77"/>
  <c r="AN168" i="77"/>
  <c r="AM168" i="77"/>
  <c r="AT167" i="77"/>
  <c r="AS167" i="77"/>
  <c r="AR167" i="77"/>
  <c r="AQ167" i="77"/>
  <c r="AP167" i="77"/>
  <c r="AO167" i="77"/>
  <c r="AN167" i="77"/>
  <c r="AM167" i="77"/>
  <c r="AT160" i="77"/>
  <c r="AS160" i="77"/>
  <c r="AR160" i="77"/>
  <c r="AQ160" i="77"/>
  <c r="AP160" i="77"/>
  <c r="AO160" i="77"/>
  <c r="AN160" i="77"/>
  <c r="AM160" i="77"/>
  <c r="AT159" i="77"/>
  <c r="AS159" i="77"/>
  <c r="AR159" i="77"/>
  <c r="AQ159" i="77"/>
  <c r="AP159" i="77"/>
  <c r="AO159" i="77"/>
  <c r="AN159" i="77"/>
  <c r="AM159" i="77"/>
  <c r="AT158" i="77"/>
  <c r="AS158" i="77"/>
  <c r="AR158" i="77"/>
  <c r="AQ158" i="77"/>
  <c r="AP158" i="77"/>
  <c r="AO158" i="77"/>
  <c r="AN158" i="77"/>
  <c r="AM158" i="77"/>
  <c r="AT157" i="77"/>
  <c r="AS157" i="77"/>
  <c r="AR157" i="77"/>
  <c r="AQ157" i="77"/>
  <c r="AP157" i="77"/>
  <c r="AO157" i="77"/>
  <c r="AN157" i="77"/>
  <c r="AM157" i="77"/>
  <c r="AX26" i="77" l="1"/>
  <c r="AX9" i="77"/>
  <c r="AX30" i="77"/>
  <c r="AX34" i="77"/>
  <c r="AX22" i="77"/>
  <c r="AY30" i="77" l="1"/>
  <c r="AY34" i="77"/>
  <c r="AY22" i="77"/>
  <c r="AY9" i="77"/>
  <c r="AY26" i="77"/>
  <c r="AM155" i="77"/>
  <c r="AN155" i="77"/>
  <c r="AO155" i="77"/>
  <c r="AP155" i="77"/>
  <c r="AQ155" i="77"/>
  <c r="AR155" i="77"/>
  <c r="AS155" i="77"/>
  <c r="AT155" i="77"/>
  <c r="AM156" i="77"/>
  <c r="AN156" i="77"/>
  <c r="AO156" i="77"/>
  <c r="AP156" i="77"/>
  <c r="AQ156" i="77"/>
  <c r="AR156" i="77"/>
  <c r="AS156" i="77"/>
  <c r="AT156" i="77"/>
  <c r="D129" i="114" a="1"/>
  <c r="D62" i="114" a="1"/>
  <c r="D30" i="114" a="1"/>
  <c r="AZ9" i="77" l="1"/>
  <c r="AZ22" i="77"/>
  <c r="AZ34" i="77"/>
  <c r="AZ30" i="77"/>
  <c r="AZ26" i="77"/>
  <c r="D2" i="114" a="1"/>
  <c r="BA9" i="77" l="1"/>
  <c r="BA30" i="77"/>
  <c r="BA26" i="77"/>
  <c r="BA22" i="77"/>
  <c r="BA34" i="77"/>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3" i="3"/>
  <c r="I3" i="3"/>
  <c r="H3"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96" i="3"/>
  <c r="H94" i="3"/>
  <c r="H93" i="3"/>
  <c r="H92" i="3"/>
  <c r="H91" i="3"/>
  <c r="H90" i="3"/>
  <c r="H89" i="3"/>
  <c r="H88" i="3"/>
  <c r="H87" i="3"/>
  <c r="H86" i="3"/>
  <c r="H85" i="3"/>
  <c r="H84" i="3"/>
  <c r="H83" i="3"/>
  <c r="H82" i="3"/>
  <c r="H81" i="3"/>
  <c r="H80" i="3"/>
  <c r="H79" i="3"/>
  <c r="H78" i="3"/>
  <c r="H77" i="3"/>
  <c r="H76" i="3"/>
  <c r="H75" i="3"/>
  <c r="H74" i="3"/>
  <c r="H73" i="3"/>
  <c r="H72" i="3"/>
  <c r="H71" i="3"/>
  <c r="H70" i="3"/>
  <c r="H69" i="3"/>
  <c r="H68" i="3"/>
  <c r="H67" i="3"/>
  <c r="H66" i="3"/>
  <c r="H65" i="3"/>
  <c r="H64" i="3"/>
  <c r="H63" i="3"/>
  <c r="H62" i="3"/>
  <c r="H61" i="3"/>
  <c r="H60" i="3"/>
  <c r="H59" i="3"/>
  <c r="H58" i="3"/>
  <c r="H57" i="3"/>
  <c r="H56" i="3"/>
  <c r="H55" i="3"/>
  <c r="H54" i="3"/>
  <c r="H53" i="3"/>
  <c r="H52" i="3"/>
  <c r="H51" i="3"/>
  <c r="H50" i="3"/>
  <c r="H49" i="3"/>
  <c r="H48" i="3"/>
  <c r="H47" i="3"/>
  <c r="H46" i="3"/>
  <c r="H45" i="3"/>
  <c r="H44" i="3"/>
  <c r="H43" i="3"/>
  <c r="H42" i="3"/>
  <c r="H41" i="3"/>
  <c r="H40" i="3"/>
  <c r="H39" i="3"/>
  <c r="H38" i="3"/>
  <c r="H37" i="3"/>
  <c r="H36" i="3"/>
  <c r="H35" i="3"/>
  <c r="H34" i="3"/>
  <c r="H33" i="3"/>
  <c r="H32" i="3"/>
  <c r="H31" i="3"/>
  <c r="H30" i="3"/>
  <c r="H29" i="3"/>
  <c r="H28" i="3"/>
  <c r="H27" i="3"/>
  <c r="H26" i="3"/>
  <c r="H25" i="3"/>
  <c r="H24" i="3"/>
  <c r="H23" i="3"/>
  <c r="H22" i="3"/>
  <c r="H21" i="3"/>
  <c r="H20" i="3"/>
  <c r="H19" i="3"/>
  <c r="H18" i="3"/>
  <c r="H17" i="3"/>
  <c r="H16" i="3"/>
  <c r="H15" i="3"/>
  <c r="H14" i="3"/>
  <c r="H13" i="3"/>
  <c r="H12" i="3"/>
  <c r="H11" i="3"/>
  <c r="H10" i="3"/>
  <c r="H9" i="3"/>
  <c r="H8" i="3"/>
  <c r="H7" i="3"/>
  <c r="H6" i="3"/>
  <c r="H5" i="3"/>
  <c r="H4" i="3"/>
  <c r="BB34" i="77" l="1"/>
  <c r="BB26" i="77"/>
  <c r="BB30" i="77"/>
  <c r="BB22" i="77"/>
  <c r="BB9" i="77"/>
  <c r="BC30" i="77" l="1"/>
  <c r="BC9" i="77"/>
  <c r="BC22" i="77"/>
  <c r="BC26" i="77"/>
  <c r="BC34" i="77"/>
  <c r="M1" i="3"/>
  <c r="AO1" i="140" a="1"/>
  <c r="AO99" i="140"/>
  <c r="AO100" i="140" s="1"/>
  <c r="AO101" i="140" s="1"/>
  <c r="AO102" i="140" s="1"/>
  <c r="AO103" i="140" s="1"/>
  <c r="AO104" i="140" s="1"/>
  <c r="AO105" i="140" s="1"/>
  <c r="AO106" i="140" s="1"/>
  <c r="AO107" i="140" s="1"/>
  <c r="AO108" i="140" s="1"/>
  <c r="AO109" i="140" s="1"/>
  <c r="AO110" i="140" s="1"/>
  <c r="AO94" i="140"/>
  <c r="AS2" i="140" l="1"/>
  <c r="BD26" i="77"/>
  <c r="BD22" i="77"/>
  <c r="BD9" i="77"/>
  <c r="BD34" i="77"/>
  <c r="BD30" i="77"/>
  <c r="Q15" i="140"/>
  <c r="Q16" i="140"/>
  <c r="Q17" i="140"/>
  <c r="Q18" i="140"/>
  <c r="Q19" i="140"/>
  <c r="Q20" i="140"/>
  <c r="L21" i="140"/>
  <c r="Q21" i="140" s="1"/>
  <c r="Q22" i="140"/>
  <c r="AE22" i="140" s="1"/>
  <c r="BF9" i="77" l="1"/>
  <c r="BF30" i="77"/>
  <c r="BF34" i="77"/>
  <c r="BF22" i="77"/>
  <c r="BF26" i="77"/>
  <c r="BE9" i="77"/>
  <c r="BE30" i="77"/>
  <c r="BE34" i="77"/>
  <c r="BE22" i="77"/>
  <c r="BE26" i="77"/>
  <c r="AM6" i="77" l="1"/>
  <c r="AN6" i="77"/>
  <c r="AO6" i="77"/>
  <c r="AP6" i="77"/>
  <c r="AR6" i="77"/>
  <c r="AS6" i="77"/>
  <c r="AT6" i="77"/>
  <c r="AU3" i="77"/>
  <c r="AV3" i="77"/>
  <c r="AW3" i="77"/>
  <c r="AX3" i="77"/>
  <c r="AY3" i="77"/>
  <c r="AZ3" i="77"/>
  <c r="BA3" i="77"/>
  <c r="BB3" i="77"/>
  <c r="BC3" i="77"/>
  <c r="BD3" i="77"/>
  <c r="BE3" i="77"/>
  <c r="BF3" i="77"/>
  <c r="AM182" i="77"/>
  <c r="AN182" i="77"/>
  <c r="AO182" i="77"/>
  <c r="AP182" i="77"/>
  <c r="AQ182" i="77"/>
  <c r="AR182" i="77"/>
  <c r="AS182" i="77"/>
  <c r="AT182" i="77"/>
  <c r="AM186" i="77"/>
  <c r="AN186" i="77"/>
  <c r="AO186" i="77"/>
  <c r="AP186" i="77"/>
  <c r="AQ186" i="77"/>
  <c r="AR186" i="77"/>
  <c r="AS186" i="77"/>
  <c r="AT186" i="77"/>
  <c r="AM189" i="77"/>
  <c r="AN189" i="77"/>
  <c r="AO189" i="77"/>
  <c r="AP189" i="77"/>
  <c r="AQ189" i="77"/>
  <c r="AR189" i="77"/>
  <c r="AS189" i="77"/>
  <c r="AT189" i="77"/>
  <c r="AM97" i="77"/>
  <c r="AN97" i="77"/>
  <c r="AO97" i="77"/>
  <c r="AP97" i="77"/>
  <c r="AQ97" i="77"/>
  <c r="AR97" i="77"/>
  <c r="AS97" i="77"/>
  <c r="AT97" i="77"/>
  <c r="AM55" i="77"/>
  <c r="AN55" i="77"/>
  <c r="AO55" i="77"/>
  <c r="AP55" i="77"/>
  <c r="AQ55" i="77"/>
  <c r="AR55" i="77"/>
  <c r="AS55" i="77"/>
  <c r="AT55" i="77"/>
  <c r="AM64" i="77"/>
  <c r="AN64" i="77"/>
  <c r="AO64" i="77"/>
  <c r="AP64" i="77"/>
  <c r="AQ64" i="77"/>
  <c r="AR64" i="77"/>
  <c r="AS64" i="77"/>
  <c r="AT64" i="77"/>
  <c r="AM77" i="77"/>
  <c r="AN77" i="77"/>
  <c r="AO77" i="77"/>
  <c r="AP77" i="77"/>
  <c r="AQ77" i="77"/>
  <c r="AR77" i="77"/>
  <c r="AS77" i="77"/>
  <c r="AT77" i="77"/>
  <c r="AM78" i="77"/>
  <c r="AN78" i="77"/>
  <c r="AO78" i="77"/>
  <c r="AP78" i="77"/>
  <c r="AQ78" i="77"/>
  <c r="AR78" i="77"/>
  <c r="AS78" i="77"/>
  <c r="AT78" i="77"/>
  <c r="AM20" i="77"/>
  <c r="AN20" i="77"/>
  <c r="AO20" i="77"/>
  <c r="AP20" i="77"/>
  <c r="AQ20" i="77"/>
  <c r="AR20" i="77"/>
  <c r="AS20" i="77"/>
  <c r="AT20" i="77"/>
  <c r="AE212" i="140" l="1"/>
  <c r="AD212" i="140"/>
  <c r="AC212" i="140"/>
  <c r="AB212" i="140"/>
  <c r="AA212" i="140"/>
  <c r="Z212" i="140"/>
  <c r="Y212" i="140"/>
  <c r="X212" i="140"/>
  <c r="W212" i="140"/>
  <c r="V212" i="140"/>
  <c r="U212" i="140"/>
  <c r="T212" i="140"/>
  <c r="AE211" i="140"/>
  <c r="AD211" i="140"/>
  <c r="AC211" i="140"/>
  <c r="AB211" i="140"/>
  <c r="AA211" i="140"/>
  <c r="Z211" i="140"/>
  <c r="Y211" i="140"/>
  <c r="X211" i="140"/>
  <c r="W211" i="140"/>
  <c r="V211" i="140"/>
  <c r="U211" i="140"/>
  <c r="T211" i="140"/>
  <c r="AE210" i="140"/>
  <c r="AD210" i="140"/>
  <c r="AC210" i="140"/>
  <c r="AB210" i="140"/>
  <c r="AA210" i="140"/>
  <c r="Z210" i="140"/>
  <c r="Y210" i="140"/>
  <c r="X210" i="140"/>
  <c r="W210" i="140"/>
  <c r="V210" i="140"/>
  <c r="U210" i="140"/>
  <c r="T210" i="140"/>
  <c r="AE209" i="140"/>
  <c r="AD209" i="140"/>
  <c r="AC209" i="140"/>
  <c r="AB209" i="140"/>
  <c r="AA209" i="140"/>
  <c r="Z209" i="140"/>
  <c r="Y209" i="140"/>
  <c r="X209" i="140"/>
  <c r="W209" i="140"/>
  <c r="V209" i="140"/>
  <c r="U209" i="140"/>
  <c r="T209" i="140"/>
  <c r="AE208" i="140"/>
  <c r="AD208" i="140"/>
  <c r="AC208" i="140"/>
  <c r="AB208" i="140"/>
  <c r="AA208" i="140"/>
  <c r="Z208" i="140"/>
  <c r="Y208" i="140"/>
  <c r="X208" i="140"/>
  <c r="W208" i="140"/>
  <c r="V208" i="140"/>
  <c r="U208" i="140"/>
  <c r="T208" i="140"/>
  <c r="AE207" i="140"/>
  <c r="AD207" i="140"/>
  <c r="AC207" i="140"/>
  <c r="AB207" i="140"/>
  <c r="AA207" i="140"/>
  <c r="Z207" i="140"/>
  <c r="Y207" i="140"/>
  <c r="X207" i="140"/>
  <c r="W207" i="140"/>
  <c r="V207" i="140"/>
  <c r="U207" i="140"/>
  <c r="T207" i="140"/>
  <c r="Q201" i="140"/>
  <c r="Q200" i="140"/>
  <c r="Q199" i="140"/>
  <c r="W199" i="140" s="1"/>
  <c r="Q198" i="140"/>
  <c r="Q197" i="140"/>
  <c r="AD197" i="140" s="1"/>
  <c r="Q196" i="140"/>
  <c r="X196" i="140" s="1"/>
  <c r="Q195" i="140"/>
  <c r="AE189" i="140"/>
  <c r="AD189" i="140"/>
  <c r="AC189" i="140"/>
  <c r="AB189" i="140"/>
  <c r="AA189" i="140"/>
  <c r="Z189" i="140"/>
  <c r="Y189" i="140"/>
  <c r="X189" i="140"/>
  <c r="W189" i="140"/>
  <c r="V189" i="140"/>
  <c r="U189" i="140"/>
  <c r="T189" i="140"/>
  <c r="AE188" i="140"/>
  <c r="AD188" i="140"/>
  <c r="AC188" i="140"/>
  <c r="AB188" i="140"/>
  <c r="AA188" i="140"/>
  <c r="Z188" i="140"/>
  <c r="Y188" i="140"/>
  <c r="X188" i="140"/>
  <c r="W188" i="140"/>
  <c r="V188" i="140"/>
  <c r="U188" i="140"/>
  <c r="T188" i="140"/>
  <c r="AE187" i="140"/>
  <c r="AD187" i="140"/>
  <c r="AC187" i="140"/>
  <c r="AB187" i="140"/>
  <c r="AA187" i="140"/>
  <c r="Z187" i="140"/>
  <c r="Y187" i="140"/>
  <c r="X187" i="140"/>
  <c r="W187" i="140"/>
  <c r="V187" i="140"/>
  <c r="U187" i="140"/>
  <c r="T187" i="140"/>
  <c r="AE186" i="140"/>
  <c r="AD186" i="140"/>
  <c r="AC186" i="140"/>
  <c r="AB186" i="140"/>
  <c r="AA186" i="140"/>
  <c r="Z186" i="140"/>
  <c r="Y186" i="140"/>
  <c r="X186" i="140"/>
  <c r="W186" i="140"/>
  <c r="V186" i="140"/>
  <c r="U186" i="140"/>
  <c r="T186" i="140"/>
  <c r="AE185" i="140"/>
  <c r="AD185" i="140"/>
  <c r="AC185" i="140"/>
  <c r="AB185" i="140"/>
  <c r="AA185" i="140"/>
  <c r="Z185" i="140"/>
  <c r="Y185" i="140"/>
  <c r="X185" i="140"/>
  <c r="W185" i="140"/>
  <c r="V185" i="140"/>
  <c r="U185" i="140"/>
  <c r="T185" i="140"/>
  <c r="AE184" i="140"/>
  <c r="AD184" i="140"/>
  <c r="AC184" i="140"/>
  <c r="AC191" i="140" s="1"/>
  <c r="AB184" i="140"/>
  <c r="AB191" i="140" s="1"/>
  <c r="AA184" i="140"/>
  <c r="Z184" i="140"/>
  <c r="Y184" i="140"/>
  <c r="X184" i="140"/>
  <c r="W184" i="140"/>
  <c r="V184" i="140"/>
  <c r="U184" i="140"/>
  <c r="T184" i="140"/>
  <c r="Q178" i="140"/>
  <c r="Z178" i="140" s="1"/>
  <c r="Q177" i="140"/>
  <c r="AE177" i="140" s="1"/>
  <c r="Q176" i="140"/>
  <c r="AC176" i="140" s="1"/>
  <c r="Q175" i="140"/>
  <c r="Q174" i="140"/>
  <c r="AE174" i="140" s="1"/>
  <c r="Q173" i="140"/>
  <c r="AC173" i="140" s="1"/>
  <c r="Q172" i="140"/>
  <c r="T172" i="140" s="1"/>
  <c r="Q167" i="140"/>
  <c r="Q166" i="140"/>
  <c r="V166" i="140" s="1"/>
  <c r="Q165" i="140"/>
  <c r="T165" i="140" s="1"/>
  <c r="Q164" i="140"/>
  <c r="Q163" i="140"/>
  <c r="AE163" i="140" s="1"/>
  <c r="Q162" i="140"/>
  <c r="Q161" i="140"/>
  <c r="AE161" i="140" s="1"/>
  <c r="AE156" i="140"/>
  <c r="AD156" i="140"/>
  <c r="AC156" i="140"/>
  <c r="AB156" i="140"/>
  <c r="AA156" i="140"/>
  <c r="Z156" i="140"/>
  <c r="Y156" i="140"/>
  <c r="X156" i="140"/>
  <c r="W156" i="140"/>
  <c r="V156" i="140"/>
  <c r="U156" i="140"/>
  <c r="T156" i="140"/>
  <c r="AE155" i="140"/>
  <c r="AD155" i="140"/>
  <c r="AC155" i="140"/>
  <c r="AB155" i="140"/>
  <c r="AA155" i="140"/>
  <c r="Z155" i="140"/>
  <c r="Y155" i="140"/>
  <c r="X155" i="140"/>
  <c r="W155" i="140"/>
  <c r="V155" i="140"/>
  <c r="U155" i="140"/>
  <c r="T155" i="140"/>
  <c r="AE154" i="140"/>
  <c r="AD154" i="140"/>
  <c r="AC154" i="140"/>
  <c r="AB154" i="140"/>
  <c r="AA154" i="140"/>
  <c r="Z154" i="140"/>
  <c r="Y154" i="140"/>
  <c r="X154" i="140"/>
  <c r="W154" i="140"/>
  <c r="V154" i="140"/>
  <c r="U154" i="140"/>
  <c r="T154" i="140"/>
  <c r="AE153" i="140"/>
  <c r="AD153" i="140"/>
  <c r="AC153" i="140"/>
  <c r="AB153" i="140"/>
  <c r="AA153" i="140"/>
  <c r="Z153" i="140"/>
  <c r="Y153" i="140"/>
  <c r="X153" i="140"/>
  <c r="W153" i="140"/>
  <c r="V153" i="140"/>
  <c r="U153" i="140"/>
  <c r="T153" i="140"/>
  <c r="AE152" i="140"/>
  <c r="AD152" i="140"/>
  <c r="AC152" i="140"/>
  <c r="AB152" i="140"/>
  <c r="AA152" i="140"/>
  <c r="Z152" i="140"/>
  <c r="Y152" i="140"/>
  <c r="X152" i="140"/>
  <c r="W152" i="140"/>
  <c r="V152" i="140"/>
  <c r="U152" i="140"/>
  <c r="T152" i="140"/>
  <c r="AE151" i="140"/>
  <c r="AD151" i="140"/>
  <c r="AC151" i="140"/>
  <c r="AB151" i="140"/>
  <c r="AA151" i="140"/>
  <c r="Z151" i="140"/>
  <c r="Y151" i="140"/>
  <c r="X151" i="140"/>
  <c r="W151" i="140"/>
  <c r="V151" i="140"/>
  <c r="U151" i="140"/>
  <c r="T151" i="140"/>
  <c r="AE150" i="140"/>
  <c r="AD150" i="140"/>
  <c r="AC150" i="140"/>
  <c r="AB150" i="140"/>
  <c r="AA150" i="140"/>
  <c r="Z150" i="140"/>
  <c r="Y150" i="140"/>
  <c r="X150" i="140"/>
  <c r="W150" i="140"/>
  <c r="V150" i="140"/>
  <c r="U150" i="140"/>
  <c r="T150" i="140"/>
  <c r="Q144" i="140"/>
  <c r="Q143" i="140"/>
  <c r="U143" i="140" s="1"/>
  <c r="Q142" i="140"/>
  <c r="AE142" i="140" s="1"/>
  <c r="Q141" i="140"/>
  <c r="Z141" i="140" s="1"/>
  <c r="Q140" i="140"/>
  <c r="AE140" i="140" s="1"/>
  <c r="Q139" i="140"/>
  <c r="T139" i="140" s="1"/>
  <c r="Q138" i="140"/>
  <c r="AE134" i="140"/>
  <c r="AD134" i="140"/>
  <c r="AC134" i="140"/>
  <c r="AB134" i="140"/>
  <c r="AA134" i="140"/>
  <c r="Z134" i="140"/>
  <c r="Y134" i="140"/>
  <c r="X134" i="140"/>
  <c r="W134" i="140"/>
  <c r="V134" i="140"/>
  <c r="U134" i="140"/>
  <c r="T134" i="140"/>
  <c r="AE133" i="140"/>
  <c r="AD133" i="140"/>
  <c r="AC133" i="140"/>
  <c r="AB133" i="140"/>
  <c r="AA133" i="140"/>
  <c r="Z133" i="140"/>
  <c r="Y133" i="140"/>
  <c r="X133" i="140"/>
  <c r="W133" i="140"/>
  <c r="V133" i="140"/>
  <c r="U133" i="140"/>
  <c r="T133" i="140"/>
  <c r="AE132" i="140"/>
  <c r="AD132" i="140"/>
  <c r="AC132" i="140"/>
  <c r="AB132" i="140"/>
  <c r="AA132" i="140"/>
  <c r="Z132" i="140"/>
  <c r="Y132" i="140"/>
  <c r="X132" i="140"/>
  <c r="W132" i="140"/>
  <c r="V132" i="140"/>
  <c r="U132" i="140"/>
  <c r="T132" i="140"/>
  <c r="AE131" i="140"/>
  <c r="AD131" i="140"/>
  <c r="AC131" i="140"/>
  <c r="AB131" i="140"/>
  <c r="AA131" i="140"/>
  <c r="Z131" i="140"/>
  <c r="Y131" i="140"/>
  <c r="X131" i="140"/>
  <c r="W131" i="140"/>
  <c r="V131" i="140"/>
  <c r="U131" i="140"/>
  <c r="T131" i="140"/>
  <c r="AE130" i="140"/>
  <c r="AD130" i="140"/>
  <c r="AC130" i="140"/>
  <c r="AB130" i="140"/>
  <c r="AA130" i="140"/>
  <c r="Z130" i="140"/>
  <c r="Y130" i="140"/>
  <c r="X130" i="140"/>
  <c r="W130" i="140"/>
  <c r="V130" i="140"/>
  <c r="U130" i="140"/>
  <c r="T130" i="140"/>
  <c r="AE129" i="140"/>
  <c r="AD129" i="140"/>
  <c r="AC129" i="140"/>
  <c r="AB129" i="140"/>
  <c r="AA129" i="140"/>
  <c r="Z129" i="140"/>
  <c r="Y129" i="140"/>
  <c r="X129" i="140"/>
  <c r="W129" i="140"/>
  <c r="V129" i="140"/>
  <c r="U129" i="140"/>
  <c r="T129" i="140"/>
  <c r="AE128" i="140"/>
  <c r="AE135" i="140" s="1"/>
  <c r="AD128" i="140"/>
  <c r="AD135" i="140" s="1"/>
  <c r="AC128" i="140"/>
  <c r="AC135" i="140" s="1"/>
  <c r="AB128" i="140"/>
  <c r="AB135" i="140" s="1"/>
  <c r="AA128" i="140"/>
  <c r="AA135" i="140" s="1"/>
  <c r="Z128" i="140"/>
  <c r="Z135" i="140" s="1"/>
  <c r="Y128" i="140"/>
  <c r="Y135" i="140" s="1"/>
  <c r="X128" i="140"/>
  <c r="X135" i="140" s="1"/>
  <c r="W128" i="140"/>
  <c r="W135" i="140" s="1"/>
  <c r="V128" i="140"/>
  <c r="V135" i="140" s="1"/>
  <c r="U128" i="140"/>
  <c r="U135" i="140" s="1"/>
  <c r="T128" i="140"/>
  <c r="T135" i="140" s="1"/>
  <c r="Q124" i="140"/>
  <c r="Q123" i="140"/>
  <c r="AE123" i="140" s="1"/>
  <c r="Q122" i="140"/>
  <c r="Z122" i="140" s="1"/>
  <c r="Q121" i="140"/>
  <c r="Q120" i="140"/>
  <c r="Z120" i="140" s="1"/>
  <c r="Q119" i="140"/>
  <c r="T119" i="140" s="1"/>
  <c r="Q118" i="140"/>
  <c r="V118" i="140" s="1"/>
  <c r="Q113" i="140"/>
  <c r="Q112" i="140"/>
  <c r="V112" i="140" s="1"/>
  <c r="Q111" i="140"/>
  <c r="V111" i="140" s="1"/>
  <c r="Q110" i="140"/>
  <c r="Q109" i="140"/>
  <c r="V109" i="140" s="1"/>
  <c r="Q108" i="140"/>
  <c r="AA108" i="140" s="1"/>
  <c r="Q107" i="140"/>
  <c r="AE103" i="140"/>
  <c r="AD103" i="140"/>
  <c r="AC103" i="140"/>
  <c r="AB103" i="140"/>
  <c r="AA103" i="140"/>
  <c r="Z103" i="140"/>
  <c r="Y103" i="140"/>
  <c r="X103" i="140"/>
  <c r="W103" i="140"/>
  <c r="V103" i="140"/>
  <c r="U103" i="140"/>
  <c r="T103" i="140"/>
  <c r="AE102" i="140"/>
  <c r="AD102" i="140"/>
  <c r="AC102" i="140"/>
  <c r="AB102" i="140"/>
  <c r="AA102" i="140"/>
  <c r="Z102" i="140"/>
  <c r="Y102" i="140"/>
  <c r="X102" i="140"/>
  <c r="W102" i="140"/>
  <c r="V102" i="140"/>
  <c r="U102" i="140"/>
  <c r="T102" i="140"/>
  <c r="AE101" i="140"/>
  <c r="AD101" i="140"/>
  <c r="AC101" i="140"/>
  <c r="AB101" i="140"/>
  <c r="AA101" i="140"/>
  <c r="Z101" i="140"/>
  <c r="Y101" i="140"/>
  <c r="X101" i="140"/>
  <c r="W101" i="140"/>
  <c r="V101" i="140"/>
  <c r="U101" i="140"/>
  <c r="T101" i="140"/>
  <c r="AE100" i="140"/>
  <c r="AD100" i="140"/>
  <c r="AC100" i="140"/>
  <c r="AB100" i="140"/>
  <c r="AA100" i="140"/>
  <c r="Z100" i="140"/>
  <c r="Y100" i="140"/>
  <c r="X100" i="140"/>
  <c r="W100" i="140"/>
  <c r="V100" i="140"/>
  <c r="U100" i="140"/>
  <c r="T100" i="140"/>
  <c r="AK94" i="140"/>
  <c r="AE99" i="140"/>
  <c r="AD99" i="140"/>
  <c r="AC99" i="140"/>
  <c r="AB99" i="140"/>
  <c r="AA99" i="140"/>
  <c r="Z99" i="140"/>
  <c r="Y99" i="140"/>
  <c r="X99" i="140"/>
  <c r="W99" i="140"/>
  <c r="V99" i="140"/>
  <c r="U99" i="140"/>
  <c r="T99" i="140"/>
  <c r="AE98" i="140"/>
  <c r="AD98" i="140"/>
  <c r="AC98" i="140"/>
  <c r="AB98" i="140"/>
  <c r="AA98" i="140"/>
  <c r="Z98" i="140"/>
  <c r="Y98" i="140"/>
  <c r="X98" i="140"/>
  <c r="W98" i="140"/>
  <c r="V98" i="140"/>
  <c r="U98" i="140"/>
  <c r="T98" i="140"/>
  <c r="AE97" i="140"/>
  <c r="AD97" i="140"/>
  <c r="AC97" i="140"/>
  <c r="AB97" i="140"/>
  <c r="AA97" i="140"/>
  <c r="Z97" i="140"/>
  <c r="Y97" i="140"/>
  <c r="X97" i="140"/>
  <c r="W97" i="140"/>
  <c r="V97" i="140"/>
  <c r="U97" i="140"/>
  <c r="T97" i="140"/>
  <c r="AE96" i="140"/>
  <c r="AD96" i="140"/>
  <c r="AC96" i="140"/>
  <c r="AB96" i="140"/>
  <c r="AA96" i="140"/>
  <c r="Z96" i="140"/>
  <c r="Y96" i="140"/>
  <c r="X96" i="140"/>
  <c r="W96" i="140"/>
  <c r="V96" i="140"/>
  <c r="U96" i="140"/>
  <c r="T96" i="140"/>
  <c r="Q90" i="140"/>
  <c r="AD90" i="140" s="1"/>
  <c r="Q89" i="140"/>
  <c r="Q88" i="140"/>
  <c r="AA88" i="140" s="1"/>
  <c r="Q87" i="140"/>
  <c r="T87" i="140" s="1"/>
  <c r="Q86" i="140"/>
  <c r="AE86" i="140" s="1"/>
  <c r="Q85" i="140"/>
  <c r="U85" i="140" s="1"/>
  <c r="Q84" i="140"/>
  <c r="Q83" i="140"/>
  <c r="V83" i="140" s="1"/>
  <c r="Q82" i="140"/>
  <c r="J77" i="140"/>
  <c r="AE71" i="140"/>
  <c r="AD71" i="140"/>
  <c r="AC71" i="140"/>
  <c r="AB71" i="140"/>
  <c r="AA71" i="140"/>
  <c r="Z71" i="140"/>
  <c r="Y71" i="140"/>
  <c r="X71" i="140"/>
  <c r="W71" i="140"/>
  <c r="V71" i="140"/>
  <c r="U71" i="140"/>
  <c r="T71" i="140"/>
  <c r="AE70" i="140"/>
  <c r="AD70" i="140"/>
  <c r="AC70" i="140"/>
  <c r="AB70" i="140"/>
  <c r="AA70" i="140"/>
  <c r="Z70" i="140"/>
  <c r="Y70" i="140"/>
  <c r="X70" i="140"/>
  <c r="W70" i="140"/>
  <c r="V70" i="140"/>
  <c r="U70" i="140"/>
  <c r="T70" i="140"/>
  <c r="J66" i="140"/>
  <c r="AE69" i="140"/>
  <c r="AD69" i="140"/>
  <c r="AC69" i="140"/>
  <c r="AB69" i="140"/>
  <c r="AA69" i="140"/>
  <c r="Z69" i="140"/>
  <c r="Y69" i="140"/>
  <c r="X69" i="140"/>
  <c r="W69" i="140"/>
  <c r="V69" i="140"/>
  <c r="U69" i="140"/>
  <c r="T69" i="140"/>
  <c r="AE68" i="140"/>
  <c r="AD68" i="140"/>
  <c r="AC68" i="140"/>
  <c r="AB68" i="140"/>
  <c r="AA68" i="140"/>
  <c r="Z68" i="140"/>
  <c r="Y68" i="140"/>
  <c r="X68" i="140"/>
  <c r="W68" i="140"/>
  <c r="V68" i="140"/>
  <c r="U68" i="140"/>
  <c r="T68" i="140"/>
  <c r="AE67" i="140"/>
  <c r="AD67" i="140"/>
  <c r="AC67" i="140"/>
  <c r="AB67" i="140"/>
  <c r="AA67" i="140"/>
  <c r="Z67" i="140"/>
  <c r="Y67" i="140"/>
  <c r="X67" i="140"/>
  <c r="W67" i="140"/>
  <c r="V67" i="140"/>
  <c r="U67" i="140"/>
  <c r="T67" i="140"/>
  <c r="AE66" i="140"/>
  <c r="AD66" i="140"/>
  <c r="AC66" i="140"/>
  <c r="AB66" i="140"/>
  <c r="AA66" i="140"/>
  <c r="Z66" i="140"/>
  <c r="Y66" i="140"/>
  <c r="X66" i="140"/>
  <c r="W66" i="140"/>
  <c r="V66" i="140"/>
  <c r="U66" i="140"/>
  <c r="T66" i="140"/>
  <c r="K62" i="140"/>
  <c r="AE65" i="140"/>
  <c r="AD65" i="140"/>
  <c r="AC65" i="140"/>
  <c r="AB65" i="140"/>
  <c r="AA65" i="140"/>
  <c r="Z65" i="140"/>
  <c r="Y65" i="140"/>
  <c r="X65" i="140"/>
  <c r="W65" i="140"/>
  <c r="V65" i="140"/>
  <c r="U65" i="140"/>
  <c r="T65" i="140"/>
  <c r="AE64" i="140"/>
  <c r="AD64" i="140"/>
  <c r="AC64" i="140"/>
  <c r="AB64" i="140"/>
  <c r="AA64" i="140"/>
  <c r="Z64" i="140"/>
  <c r="Y64" i="140"/>
  <c r="X64" i="140"/>
  <c r="W64" i="140"/>
  <c r="V64" i="140"/>
  <c r="U64" i="140"/>
  <c r="T64" i="140"/>
  <c r="Q54" i="140"/>
  <c r="Q53" i="140"/>
  <c r="Q52" i="140"/>
  <c r="Q51" i="140"/>
  <c r="Q50" i="140"/>
  <c r="Q49" i="140"/>
  <c r="Q48" i="140"/>
  <c r="Q47" i="140"/>
  <c r="AE38" i="140"/>
  <c r="AD38" i="140"/>
  <c r="AC38" i="140"/>
  <c r="AB38" i="140"/>
  <c r="AA38" i="140"/>
  <c r="Z38" i="140"/>
  <c r="Y38" i="140"/>
  <c r="X38" i="140"/>
  <c r="W38" i="140"/>
  <c r="V38" i="140"/>
  <c r="U38" i="140"/>
  <c r="T38" i="140"/>
  <c r="AE37" i="140"/>
  <c r="AD37" i="140"/>
  <c r="AC37" i="140"/>
  <c r="Z37" i="140"/>
  <c r="Y37" i="140"/>
  <c r="X37" i="140"/>
  <c r="W37" i="140"/>
  <c r="V37" i="140"/>
  <c r="U37" i="140"/>
  <c r="T37" i="140"/>
  <c r="J37" i="140"/>
  <c r="AE36" i="140"/>
  <c r="AD36" i="140"/>
  <c r="AC36" i="140"/>
  <c r="AB36" i="140"/>
  <c r="AA36" i="140"/>
  <c r="Z36" i="140"/>
  <c r="Y36" i="140"/>
  <c r="X36" i="140"/>
  <c r="W36" i="140"/>
  <c r="V36" i="140"/>
  <c r="U36" i="140"/>
  <c r="T36" i="140"/>
  <c r="AE35" i="140"/>
  <c r="AD35" i="140"/>
  <c r="AC35" i="140"/>
  <c r="AB35" i="140"/>
  <c r="AA35" i="140"/>
  <c r="Z35" i="140"/>
  <c r="Y35" i="140"/>
  <c r="X35" i="140"/>
  <c r="W35" i="140"/>
  <c r="V35" i="140"/>
  <c r="U35" i="140"/>
  <c r="T35" i="140"/>
  <c r="AE34" i="140"/>
  <c r="AD34" i="140"/>
  <c r="AC34" i="140"/>
  <c r="AB34" i="140"/>
  <c r="AA34" i="140"/>
  <c r="Z34" i="140"/>
  <c r="Y34" i="140"/>
  <c r="X34" i="140"/>
  <c r="W34" i="140"/>
  <c r="V34" i="140"/>
  <c r="U34" i="140"/>
  <c r="T34" i="140"/>
  <c r="AE33" i="140"/>
  <c r="AD33" i="140"/>
  <c r="AC33" i="140"/>
  <c r="AB33" i="140"/>
  <c r="AA33" i="140"/>
  <c r="Z33" i="140"/>
  <c r="Y33" i="140"/>
  <c r="X33" i="140"/>
  <c r="W33" i="140"/>
  <c r="V33" i="140"/>
  <c r="U33" i="140"/>
  <c r="T33" i="140"/>
  <c r="K33" i="140"/>
  <c r="L33" i="140" s="1"/>
  <c r="M33" i="140" s="1"/>
  <c r="AE32" i="140"/>
  <c r="AD32" i="140"/>
  <c r="AC32" i="140"/>
  <c r="AB32" i="140"/>
  <c r="AA32" i="140"/>
  <c r="Z32" i="140"/>
  <c r="Y32" i="140"/>
  <c r="X32" i="140"/>
  <c r="W32" i="140"/>
  <c r="V32" i="140"/>
  <c r="U32" i="140"/>
  <c r="T32" i="140"/>
  <c r="AE31" i="140"/>
  <c r="AD31" i="140"/>
  <c r="AC31" i="140"/>
  <c r="AB31" i="140"/>
  <c r="AA31" i="140"/>
  <c r="Z31" i="140"/>
  <c r="Y31" i="140"/>
  <c r="X31" i="140"/>
  <c r="W31" i="140"/>
  <c r="V31" i="140"/>
  <c r="U31" i="140"/>
  <c r="T31" i="140"/>
  <c r="AG28" i="140"/>
  <c r="X22" i="140"/>
  <c r="AA37" i="140"/>
  <c r="W20" i="140"/>
  <c r="AD19" i="140"/>
  <c r="T18" i="140"/>
  <c r="U17" i="140"/>
  <c r="AD16" i="140"/>
  <c r="V15" i="140"/>
  <c r="B3" i="77" a="1"/>
  <c r="AM116" i="140"/>
  <c r="AL138" i="140"/>
  <c r="AL143" i="140"/>
  <c r="AN140" i="140"/>
  <c r="AL41" i="140"/>
  <c r="AL132" i="140"/>
  <c r="AN120" i="140"/>
  <c r="AL106" i="140"/>
  <c r="AM78" i="140"/>
  <c r="AL45" i="140"/>
  <c r="AN122" i="140"/>
  <c r="AN137" i="140"/>
  <c r="AM125" i="140"/>
  <c r="AL25" i="140"/>
  <c r="AL124" i="140"/>
  <c r="AN115" i="140"/>
  <c r="AL32" i="140"/>
  <c r="AN138" i="140"/>
  <c r="AM156" i="140"/>
  <c r="AL36" i="140"/>
  <c r="AN150" i="140"/>
  <c r="AN142" i="140"/>
  <c r="AL57" i="140"/>
  <c r="AL150" i="140"/>
  <c r="AN136" i="140"/>
  <c r="AL130" i="140"/>
  <c r="AM155" i="140"/>
  <c r="AL133" i="140"/>
  <c r="AL153" i="140"/>
  <c r="AM159" i="140"/>
  <c r="AL94" i="140"/>
  <c r="AL48" i="140"/>
  <c r="AM118" i="140"/>
  <c r="AL154" i="140"/>
  <c r="AN106" i="140"/>
  <c r="AL7" i="140"/>
  <c r="AM93" i="140"/>
  <c r="AN135" i="140"/>
  <c r="AN102" i="140"/>
  <c r="AL139" i="140"/>
  <c r="AL155" i="140"/>
  <c r="AM79" i="140"/>
  <c r="AL96" i="140"/>
  <c r="AL23" i="140"/>
  <c r="AM138" i="140"/>
  <c r="AL136" i="140"/>
  <c r="AL137" i="140"/>
  <c r="AN117" i="140"/>
  <c r="AL75" i="140"/>
  <c r="AM128" i="140"/>
  <c r="AM123" i="140"/>
  <c r="AL63" i="140"/>
  <c r="AM109" i="140"/>
  <c r="AL28" i="140"/>
  <c r="AL39" i="140"/>
  <c r="AN158" i="140"/>
  <c r="AN154" i="140"/>
  <c r="AN92" i="140"/>
  <c r="AN104" i="140"/>
  <c r="AL53" i="140"/>
  <c r="AN114" i="140"/>
  <c r="AL43" i="140"/>
  <c r="AM147" i="140"/>
  <c r="AL89" i="140"/>
  <c r="AN99" i="140"/>
  <c r="AL56" i="140"/>
  <c r="AM88" i="140"/>
  <c r="AM150" i="140"/>
  <c r="AL46" i="140"/>
  <c r="AL67" i="140"/>
  <c r="AL121" i="140"/>
  <c r="AL44" i="140"/>
  <c r="AL141" i="140"/>
  <c r="AN101" i="140"/>
  <c r="AL131" i="140"/>
  <c r="AN113" i="140"/>
  <c r="AM108" i="140"/>
  <c r="AL16" i="140"/>
  <c r="AM92" i="140"/>
  <c r="AL142" i="140"/>
  <c r="AL147" i="140"/>
  <c r="AM91" i="140"/>
  <c r="AN108" i="140"/>
  <c r="AM103" i="140"/>
  <c r="AN134" i="140"/>
  <c r="AL92" i="140"/>
  <c r="AM110" i="140"/>
  <c r="AL71" i="140"/>
  <c r="AL152" i="140"/>
  <c r="AL82" i="140"/>
  <c r="AN149" i="140"/>
  <c r="AL21" i="140"/>
  <c r="AL158" i="140"/>
  <c r="AM126" i="140"/>
  <c r="AM127" i="140"/>
  <c r="AL70" i="140"/>
  <c r="AL118" i="140"/>
  <c r="AL107" i="140"/>
  <c r="AL140" i="140"/>
  <c r="AN90" i="140"/>
  <c r="AL129" i="140"/>
  <c r="AL76" i="140"/>
  <c r="AN116" i="140"/>
  <c r="AL34" i="140"/>
  <c r="AN88" i="140"/>
  <c r="AL148" i="140"/>
  <c r="AL122" i="140"/>
  <c r="AM106" i="140"/>
  <c r="AM122" i="140"/>
  <c r="AN119" i="140"/>
  <c r="AM82" i="140"/>
  <c r="AM80" i="140"/>
  <c r="AN139" i="140"/>
  <c r="AL15" i="140"/>
  <c r="AL91" i="140"/>
  <c r="AL87" i="140"/>
  <c r="AM105" i="140"/>
  <c r="AN144" i="140"/>
  <c r="AM84" i="140"/>
  <c r="AN87" i="140"/>
  <c r="AM120" i="140"/>
  <c r="AL119" i="140"/>
  <c r="AL123" i="140"/>
  <c r="AL58" i="140"/>
  <c r="AL14" i="140"/>
  <c r="AM117" i="140"/>
  <c r="AL38" i="140"/>
  <c r="AM115" i="140"/>
  <c r="AN147" i="140"/>
  <c r="AL11" i="140"/>
  <c r="AM135" i="140"/>
  <c r="AL60" i="140"/>
  <c r="AL77" i="140"/>
  <c r="AL19" i="140"/>
  <c r="AM141" i="140"/>
  <c r="AM85" i="140"/>
  <c r="AN148" i="140"/>
  <c r="AN112" i="140"/>
  <c r="AL103" i="140"/>
  <c r="AL109" i="140"/>
  <c r="AL114" i="140"/>
  <c r="AL104" i="140"/>
  <c r="AM146" i="140"/>
  <c r="AM97" i="140"/>
  <c r="AL146" i="140"/>
  <c r="AM87" i="140"/>
  <c r="AL97" i="140"/>
  <c r="AL40" i="140"/>
  <c r="AL78" i="140"/>
  <c r="AM140" i="140"/>
  <c r="AL62" i="140"/>
  <c r="AM111" i="140"/>
  <c r="AL100" i="140"/>
  <c r="AM94" i="140"/>
  <c r="AL12" i="140"/>
  <c r="AL50" i="140"/>
  <c r="AL117" i="140"/>
  <c r="AM89" i="140"/>
  <c r="AL3" i="140"/>
  <c r="AL83" i="140"/>
  <c r="AM158" i="140"/>
  <c r="AL159" i="140"/>
  <c r="AM137" i="140"/>
  <c r="AM83" i="140"/>
  <c r="AM143" i="140"/>
  <c r="AL31" i="140"/>
  <c r="AM104" i="140"/>
  <c r="AM119" i="140"/>
  <c r="AN100" i="140"/>
  <c r="AL24" i="140"/>
  <c r="AM112" i="140"/>
  <c r="AN145" i="140"/>
  <c r="AM114" i="140"/>
  <c r="AN110" i="140"/>
  <c r="AN131" i="140"/>
  <c r="AL51" i="140"/>
  <c r="AM142" i="140"/>
  <c r="AN107" i="140"/>
  <c r="AL47" i="140"/>
  <c r="AL74" i="140"/>
  <c r="AL149" i="140"/>
  <c r="AM95" i="140"/>
  <c r="AL59" i="140"/>
  <c r="AL18" i="140"/>
  <c r="AL84" i="140"/>
  <c r="AM136" i="140"/>
  <c r="AM124" i="140"/>
  <c r="AL105" i="140"/>
  <c r="AL29" i="140"/>
  <c r="AL9" i="140"/>
  <c r="AM81" i="140"/>
  <c r="AL54" i="140"/>
  <c r="AN129" i="140"/>
  <c r="AN132" i="140"/>
  <c r="AL111" i="140"/>
  <c r="AM113" i="140"/>
  <c r="AL88" i="140"/>
  <c r="AL17" i="140"/>
  <c r="AN95" i="140"/>
  <c r="AL95" i="140"/>
  <c r="AN151" i="140"/>
  <c r="AM90" i="140"/>
  <c r="AL68" i="140"/>
  <c r="AL81" i="140"/>
  <c r="AK2" i="140"/>
  <c r="AL69" i="140"/>
  <c r="AM149" i="140"/>
  <c r="AN93" i="140"/>
  <c r="AN130" i="140"/>
  <c r="AL98" i="140"/>
  <c r="AM148" i="140"/>
  <c r="AN156" i="140"/>
  <c r="AL22" i="140"/>
  <c r="AL108" i="140"/>
  <c r="AN153" i="140"/>
  <c r="AL127" i="140"/>
  <c r="AL126" i="140"/>
  <c r="AL120" i="140"/>
  <c r="AL99" i="140"/>
  <c r="AM101" i="140"/>
  <c r="AL102" i="140"/>
  <c r="AN109" i="140"/>
  <c r="AN128" i="140"/>
  <c r="AM107" i="140"/>
  <c r="AL116" i="140"/>
  <c r="AN159" i="140"/>
  <c r="AM86" i="140"/>
  <c r="AL55" i="140"/>
  <c r="AM75" i="140"/>
  <c r="AN157" i="140"/>
  <c r="AM152" i="140"/>
  <c r="AL135" i="140"/>
  <c r="AN152" i="140"/>
  <c r="AL110" i="140"/>
  <c r="AM145" i="140"/>
  <c r="AM139" i="140"/>
  <c r="AL65" i="140"/>
  <c r="AN125" i="140"/>
  <c r="AL115" i="140"/>
  <c r="AL33" i="140"/>
  <c r="AL66" i="140"/>
  <c r="AM131" i="140"/>
  <c r="AN103" i="140"/>
  <c r="AL8" i="140"/>
  <c r="AN123" i="140"/>
  <c r="AL128" i="140"/>
  <c r="AL145" i="140"/>
  <c r="AL37" i="140"/>
  <c r="AM76" i="140"/>
  <c r="AN121" i="140"/>
  <c r="AL20" i="140"/>
  <c r="AL151" i="140"/>
  <c r="AL61" i="140"/>
  <c r="AN126" i="140"/>
  <c r="AM157" i="140"/>
  <c r="AM100" i="140"/>
  <c r="AL13" i="140"/>
  <c r="AL64" i="140"/>
  <c r="AL157" i="140"/>
  <c r="AL156" i="140"/>
  <c r="AM151" i="140"/>
  <c r="AL144" i="140"/>
  <c r="AM102" i="140"/>
  <c r="AL134" i="140"/>
  <c r="AL73" i="140"/>
  <c r="AN111" i="140"/>
  <c r="AL112" i="140"/>
  <c r="AL90" i="140"/>
  <c r="AM98" i="140"/>
  <c r="AM144" i="140"/>
  <c r="AM134" i="140"/>
  <c r="AN97" i="140"/>
  <c r="AL80" i="140"/>
  <c r="AM154" i="140"/>
  <c r="AL93" i="140"/>
  <c r="AM96" i="140"/>
  <c r="AN124" i="140"/>
  <c r="AN98" i="140"/>
  <c r="AM99" i="140"/>
  <c r="AN94" i="140"/>
  <c r="AL113" i="140"/>
  <c r="AN105" i="140"/>
  <c r="AN118" i="140"/>
  <c r="AL101" i="140"/>
  <c r="AN91" i="140"/>
  <c r="AL27" i="140"/>
  <c r="AN133" i="140"/>
  <c r="AN146" i="140"/>
  <c r="AL42" i="140"/>
  <c r="AL85" i="140"/>
  <c r="AM121" i="140"/>
  <c r="AL49" i="140"/>
  <c r="AN127" i="140"/>
  <c r="AM129" i="140"/>
  <c r="AL30" i="140"/>
  <c r="AL79" i="140"/>
  <c r="AL10" i="140"/>
  <c r="AM133" i="140"/>
  <c r="AL125" i="140"/>
  <c r="AN143" i="140"/>
  <c r="AN96" i="140"/>
  <c r="AL52" i="140"/>
  <c r="AL72" i="140"/>
  <c r="AM132" i="140"/>
  <c r="AL86" i="140"/>
  <c r="AL35" i="140"/>
  <c r="AN155" i="140"/>
  <c r="AM77" i="140"/>
  <c r="AM130" i="140"/>
  <c r="AN89" i="140"/>
  <c r="AN141" i="140"/>
  <c r="AL26" i="140"/>
  <c r="AM153" i="140"/>
  <c r="AB214" i="140" l="1"/>
  <c r="X191" i="140"/>
  <c r="AC158" i="140"/>
  <c r="V104" i="140"/>
  <c r="V105" i="140"/>
  <c r="T191" i="140"/>
  <c r="AE105" i="140"/>
  <c r="AP135" i="140"/>
  <c r="AP157" i="140"/>
  <c r="AP116" i="140"/>
  <c r="AP128" i="140"/>
  <c r="AP112" i="140"/>
  <c r="AP158" i="140"/>
  <c r="AP130" i="140"/>
  <c r="AP147" i="140"/>
  <c r="AP121" i="140"/>
  <c r="AP117" i="140"/>
  <c r="AP118" i="140"/>
  <c r="AP133" i="140"/>
  <c r="AP134" i="140"/>
  <c r="AP159" i="140"/>
  <c r="AP123" i="140"/>
  <c r="AP143" i="140"/>
  <c r="AP151" i="140"/>
  <c r="AP131" i="140"/>
  <c r="AP152" i="140"/>
  <c r="AP115" i="140"/>
  <c r="AP153" i="140"/>
  <c r="AP126" i="140"/>
  <c r="AP122" i="140"/>
  <c r="AP149" i="140"/>
  <c r="AP145" i="140"/>
  <c r="AP124" i="140"/>
  <c r="AP156" i="140"/>
  <c r="AP119" i="140"/>
  <c r="AP127" i="140"/>
  <c r="AP142" i="140"/>
  <c r="AP125" i="140"/>
  <c r="AP129" i="140"/>
  <c r="AP132" i="140"/>
  <c r="AP146" i="140"/>
  <c r="AP154" i="140"/>
  <c r="AP139" i="140"/>
  <c r="AP114" i="140"/>
  <c r="AP150" i="140"/>
  <c r="AP155" i="140"/>
  <c r="AP137" i="140"/>
  <c r="AP138" i="140"/>
  <c r="AP120" i="140"/>
  <c r="AP136" i="140"/>
  <c r="AP111" i="140"/>
  <c r="AP113" i="140"/>
  <c r="AP141" i="140"/>
  <c r="AP144" i="140"/>
  <c r="AP140" i="140"/>
  <c r="AP148" i="140"/>
  <c r="Y48" i="140"/>
  <c r="Z48" i="140"/>
  <c r="AA48" i="140"/>
  <c r="AB48" i="140"/>
  <c r="AC48" i="140"/>
  <c r="W48" i="140"/>
  <c r="X48" i="140"/>
  <c r="AD48" i="140"/>
  <c r="AE48" i="140"/>
  <c r="T48" i="140"/>
  <c r="U48" i="140"/>
  <c r="V48" i="140"/>
  <c r="Y49" i="140"/>
  <c r="Z49" i="140"/>
  <c r="AA49" i="140"/>
  <c r="AB49" i="140"/>
  <c r="AC49" i="140"/>
  <c r="V49" i="140"/>
  <c r="W49" i="140"/>
  <c r="X49" i="140"/>
  <c r="AD49" i="140"/>
  <c r="AE49" i="140"/>
  <c r="T49" i="140"/>
  <c r="U49" i="140"/>
  <c r="Y51" i="140"/>
  <c r="Z51" i="140"/>
  <c r="AA51" i="140"/>
  <c r="AB51" i="140"/>
  <c r="AC51" i="140"/>
  <c r="W51" i="140"/>
  <c r="X51" i="140"/>
  <c r="AD51" i="140"/>
  <c r="AE51" i="140"/>
  <c r="T51" i="140"/>
  <c r="U51" i="140"/>
  <c r="V51" i="140"/>
  <c r="Y53" i="140"/>
  <c r="Z53" i="140"/>
  <c r="AA53" i="140"/>
  <c r="AB53" i="140"/>
  <c r="AC53" i="140"/>
  <c r="T53" i="140"/>
  <c r="X53" i="140"/>
  <c r="AD53" i="140"/>
  <c r="AE53" i="140"/>
  <c r="U53" i="140"/>
  <c r="V53" i="140"/>
  <c r="W53" i="140"/>
  <c r="Z104" i="140"/>
  <c r="AD214" i="140"/>
  <c r="Y50" i="140"/>
  <c r="Z50" i="140"/>
  <c r="AA50" i="140"/>
  <c r="AB50" i="140"/>
  <c r="AC50" i="140"/>
  <c r="U50" i="140"/>
  <c r="V50" i="140"/>
  <c r="AD50" i="140"/>
  <c r="AE50" i="140"/>
  <c r="T50" i="140"/>
  <c r="W50" i="140"/>
  <c r="X50" i="140"/>
  <c r="Y52" i="140"/>
  <c r="Z52" i="140"/>
  <c r="AA52" i="140"/>
  <c r="AB52" i="140"/>
  <c r="AC52" i="140"/>
  <c r="T52" i="140"/>
  <c r="U52" i="140"/>
  <c r="V52" i="140"/>
  <c r="W52" i="140"/>
  <c r="AD52" i="140"/>
  <c r="AE52" i="140"/>
  <c r="X52" i="140"/>
  <c r="Y54" i="140"/>
  <c r="Z54" i="140"/>
  <c r="AA54" i="140"/>
  <c r="AB54" i="140"/>
  <c r="AC54" i="140"/>
  <c r="U54" i="140"/>
  <c r="V54" i="140"/>
  <c r="W54" i="140"/>
  <c r="AD54" i="140"/>
  <c r="AE54" i="140"/>
  <c r="T54" i="140"/>
  <c r="X54" i="140"/>
  <c r="AR2" i="140"/>
  <c r="AP2" i="140"/>
  <c r="AQ2" i="140"/>
  <c r="AO2" i="140"/>
  <c r="AD191" i="140"/>
  <c r="AE191" i="140"/>
  <c r="W73" i="140"/>
  <c r="W104" i="140"/>
  <c r="W105" i="140"/>
  <c r="AE158" i="140"/>
  <c r="T73" i="140"/>
  <c r="AD105" i="140"/>
  <c r="AA214" i="140"/>
  <c r="Z73" i="140"/>
  <c r="AC86" i="140"/>
  <c r="V73" i="140"/>
  <c r="W17" i="140"/>
  <c r="Y73" i="140"/>
  <c r="Z214" i="140"/>
  <c r="X17" i="140"/>
  <c r="Y17" i="140"/>
  <c r="Z17" i="140"/>
  <c r="AA191" i="140"/>
  <c r="AD104" i="140"/>
  <c r="AD86" i="140"/>
  <c r="Y72" i="140"/>
  <c r="X83" i="140"/>
  <c r="AB83" i="140"/>
  <c r="T104" i="140"/>
  <c r="AC83" i="140"/>
  <c r="T214" i="140"/>
  <c r="AE104" i="140"/>
  <c r="V17" i="140"/>
  <c r="X104" i="140"/>
  <c r="Y104" i="140"/>
  <c r="U191" i="140"/>
  <c r="Z105" i="140"/>
  <c r="T122" i="140"/>
  <c r="V191" i="140"/>
  <c r="U122" i="140"/>
  <c r="W191" i="140"/>
  <c r="AB105" i="140"/>
  <c r="X122" i="140"/>
  <c r="V158" i="140"/>
  <c r="Y191" i="140"/>
  <c r="T197" i="140"/>
  <c r="AE111" i="140"/>
  <c r="U178" i="140"/>
  <c r="AB86" i="140"/>
  <c r="X105" i="140"/>
  <c r="AC142" i="140"/>
  <c r="U197" i="140"/>
  <c r="T158" i="140"/>
  <c r="W122" i="140"/>
  <c r="AA122" i="140"/>
  <c r="Y178" i="140"/>
  <c r="AC197" i="140"/>
  <c r="V86" i="140"/>
  <c r="W86" i="140"/>
  <c r="AB122" i="140"/>
  <c r="U142" i="140"/>
  <c r="AA178" i="140"/>
  <c r="AC122" i="140"/>
  <c r="W142" i="140"/>
  <c r="AB178" i="140"/>
  <c r="AB111" i="140"/>
  <c r="Y122" i="140"/>
  <c r="Y86" i="140"/>
  <c r="Z86" i="140"/>
  <c r="AD122" i="140"/>
  <c r="AA142" i="140"/>
  <c r="AC178" i="140"/>
  <c r="Z196" i="140"/>
  <c r="AB196" i="140"/>
  <c r="AD88" i="140"/>
  <c r="Z191" i="140"/>
  <c r="AA86" i="140"/>
  <c r="AB142" i="140"/>
  <c r="AD178" i="140"/>
  <c r="U105" i="140"/>
  <c r="AA15" i="140"/>
  <c r="V143" i="140"/>
  <c r="Z18" i="140"/>
  <c r="X143" i="140"/>
  <c r="AD15" i="140"/>
  <c r="Z85" i="140"/>
  <c r="Y108" i="140"/>
  <c r="U118" i="140"/>
  <c r="AB143" i="140"/>
  <c r="X166" i="140"/>
  <c r="U173" i="140"/>
  <c r="X199" i="140"/>
  <c r="U104" i="140"/>
  <c r="X158" i="140"/>
  <c r="Z172" i="140"/>
  <c r="U214" i="140"/>
  <c r="W15" i="140"/>
  <c r="Y158" i="140"/>
  <c r="AA172" i="140"/>
  <c r="T176" i="140"/>
  <c r="Z15" i="140"/>
  <c r="AC172" i="140"/>
  <c r="Z176" i="140"/>
  <c r="Y105" i="140"/>
  <c r="AA158" i="140"/>
  <c r="AD176" i="140"/>
  <c r="X85" i="140"/>
  <c r="V108" i="140"/>
  <c r="T118" i="140"/>
  <c r="AB158" i="140"/>
  <c r="W166" i="140"/>
  <c r="AE176" i="140"/>
  <c r="AA85" i="140"/>
  <c r="Z108" i="140"/>
  <c r="AE143" i="140"/>
  <c r="Y166" i="140"/>
  <c r="AA173" i="140"/>
  <c r="Y199" i="140"/>
  <c r="W83" i="140"/>
  <c r="AE88" i="140"/>
  <c r="V142" i="140"/>
  <c r="Z166" i="140"/>
  <c r="AB173" i="140"/>
  <c r="T178" i="140"/>
  <c r="AA196" i="140"/>
  <c r="AA199" i="140"/>
  <c r="Y18" i="140"/>
  <c r="AD172" i="140"/>
  <c r="AC15" i="140"/>
  <c r="AB166" i="140"/>
  <c r="AC214" i="140"/>
  <c r="AC72" i="140"/>
  <c r="Y83" i="140"/>
  <c r="Y142" i="140"/>
  <c r="AC166" i="140"/>
  <c r="AD173" i="140"/>
  <c r="W178" i="140"/>
  <c r="AD196" i="140"/>
  <c r="W85" i="140"/>
  <c r="AE199" i="140"/>
  <c r="Z83" i="140"/>
  <c r="Z142" i="140"/>
  <c r="X178" i="140"/>
  <c r="AE19" i="140"/>
  <c r="U112" i="140"/>
  <c r="U73" i="140"/>
  <c r="AE107" i="140"/>
  <c r="AC107" i="140"/>
  <c r="AB107" i="140"/>
  <c r="AA107" i="140"/>
  <c r="AD177" i="140"/>
  <c r="U158" i="140"/>
  <c r="AA42" i="140"/>
  <c r="U109" i="140"/>
  <c r="W165" i="140"/>
  <c r="AD165" i="140"/>
  <c r="AC165" i="140"/>
  <c r="AA165" i="140"/>
  <c r="T200" i="140"/>
  <c r="AD200" i="140"/>
  <c r="AC200" i="140"/>
  <c r="Z200" i="140"/>
  <c r="X200" i="140"/>
  <c r="W200" i="140"/>
  <c r="AE73" i="140"/>
  <c r="AE120" i="140"/>
  <c r="V141" i="140"/>
  <c r="W158" i="140"/>
  <c r="Z162" i="140"/>
  <c r="AB162" i="140"/>
  <c r="AA162" i="140"/>
  <c r="Y162" i="140"/>
  <c r="X162" i="140"/>
  <c r="W162" i="140"/>
  <c r="Y177" i="140"/>
  <c r="U200" i="140"/>
  <c r="W141" i="140"/>
  <c r="AB177" i="140"/>
  <c r="V198" i="140"/>
  <c r="AB198" i="140"/>
  <c r="Z198" i="140"/>
  <c r="V200" i="140"/>
  <c r="X214" i="140"/>
  <c r="AD42" i="140"/>
  <c r="X141" i="140"/>
  <c r="V165" i="140"/>
  <c r="AE201" i="140"/>
  <c r="AD201" i="140"/>
  <c r="AC201" i="140"/>
  <c r="AB201" i="140"/>
  <c r="AA201" i="140"/>
  <c r="Y214" i="140"/>
  <c r="AB84" i="140"/>
  <c r="AA84" i="140"/>
  <c r="Y84" i="140"/>
  <c r="X84" i="140"/>
  <c r="V110" i="140"/>
  <c r="AC110" i="140"/>
  <c r="AB110" i="140"/>
  <c r="Z110" i="140"/>
  <c r="Z158" i="140"/>
  <c r="V162" i="140"/>
  <c r="X165" i="140"/>
  <c r="AB174" i="140"/>
  <c r="T201" i="140"/>
  <c r="V16" i="140"/>
  <c r="V72" i="140"/>
  <c r="AB104" i="140"/>
  <c r="U201" i="140"/>
  <c r="W72" i="140"/>
  <c r="AE84" i="140"/>
  <c r="Z89" i="140"/>
  <c r="W110" i="140"/>
  <c r="AD162" i="140"/>
  <c r="Z165" i="140"/>
  <c r="Y198" i="140"/>
  <c r="V201" i="140"/>
  <c r="W109" i="140"/>
  <c r="AA109" i="140"/>
  <c r="Z109" i="140"/>
  <c r="Y109" i="140"/>
  <c r="X109" i="140"/>
  <c r="T112" i="140"/>
  <c r="AD112" i="140"/>
  <c r="AA112" i="140"/>
  <c r="Z112" i="140"/>
  <c r="U165" i="140"/>
  <c r="AD109" i="140"/>
  <c r="T109" i="140"/>
  <c r="T105" i="140"/>
  <c r="AC109" i="140"/>
  <c r="AC42" i="140"/>
  <c r="W112" i="140"/>
  <c r="AE18" i="140"/>
  <c r="AD18" i="140"/>
  <c r="AC18" i="140"/>
  <c r="AB18" i="140"/>
  <c r="AA18" i="140"/>
  <c r="X112" i="140"/>
  <c r="X198" i="140"/>
  <c r="J72" i="140"/>
  <c r="J76" i="140" s="1"/>
  <c r="X110" i="140"/>
  <c r="AE144" i="140"/>
  <c r="AD144" i="140"/>
  <c r="W144" i="140"/>
  <c r="AA144" i="140"/>
  <c r="W18" i="140"/>
  <c r="Y110" i="140"/>
  <c r="T144" i="140"/>
  <c r="AC163" i="140"/>
  <c r="AE173" i="140"/>
  <c r="Z173" i="140"/>
  <c r="Y173" i="140"/>
  <c r="X173" i="140"/>
  <c r="W173" i="140"/>
  <c r="V173" i="140"/>
  <c r="Y201" i="140"/>
  <c r="X164" i="140"/>
  <c r="AD164" i="140"/>
  <c r="AB164" i="140"/>
  <c r="AA164" i="140"/>
  <c r="Z164" i="140"/>
  <c r="Y164" i="140"/>
  <c r="T141" i="140"/>
  <c r="AD141" i="140"/>
  <c r="AC141" i="140"/>
  <c r="AA141" i="140"/>
  <c r="V164" i="140"/>
  <c r="AD73" i="140"/>
  <c r="AD120" i="140"/>
  <c r="U141" i="140"/>
  <c r="V214" i="140"/>
  <c r="W214" i="140"/>
  <c r="T162" i="140"/>
  <c r="AE20" i="140"/>
  <c r="U162" i="140"/>
  <c r="AC177" i="140"/>
  <c r="T198" i="140"/>
  <c r="U16" i="140"/>
  <c r="AC16" i="140"/>
  <c r="AB16" i="140"/>
  <c r="Z16" i="140"/>
  <c r="Y16" i="140"/>
  <c r="V89" i="140"/>
  <c r="W198" i="140"/>
  <c r="V84" i="140"/>
  <c r="W89" i="140"/>
  <c r="T110" i="140"/>
  <c r="AC162" i="140"/>
  <c r="Y165" i="140"/>
  <c r="W16" i="140"/>
  <c r="U18" i="140"/>
  <c r="X16" i="140"/>
  <c r="V18" i="140"/>
  <c r="T85" i="140"/>
  <c r="AD85" i="140"/>
  <c r="V139" i="140"/>
  <c r="AC139" i="140"/>
  <c r="AB139" i="140"/>
  <c r="Z139" i="140"/>
  <c r="Y139" i="140"/>
  <c r="X139" i="140"/>
  <c r="W201" i="140"/>
  <c r="T17" i="140"/>
  <c r="AD17" i="140"/>
  <c r="AB17" i="140"/>
  <c r="AC17" i="140"/>
  <c r="AA17" i="140"/>
  <c r="X18" i="140"/>
  <c r="V85" i="140"/>
  <c r="W139" i="140"/>
  <c r="U144" i="140"/>
  <c r="T173" i="140"/>
  <c r="W197" i="140"/>
  <c r="AA197" i="140"/>
  <c r="Z197" i="140"/>
  <c r="Y197" i="140"/>
  <c r="X197" i="140"/>
  <c r="V197" i="140"/>
  <c r="Z201" i="140"/>
  <c r="Z72" i="140"/>
  <c r="AC104" i="140"/>
  <c r="AC105" i="140"/>
  <c r="AB123" i="140"/>
  <c r="AD142" i="140"/>
  <c r="U172" i="140"/>
  <c r="AA104" i="140"/>
  <c r="AC123" i="140"/>
  <c r="AD158" i="140"/>
  <c r="V172" i="140"/>
  <c r="X15" i="140"/>
  <c r="T83" i="140"/>
  <c r="T86" i="140"/>
  <c r="X88" i="140"/>
  <c r="T143" i="140"/>
  <c r="W172" i="140"/>
  <c r="V196" i="140"/>
  <c r="V199" i="140"/>
  <c r="AE214" i="140"/>
  <c r="Y15" i="140"/>
  <c r="Z42" i="140"/>
  <c r="U83" i="140"/>
  <c r="U86" i="140"/>
  <c r="V122" i="140"/>
  <c r="T142" i="140"/>
  <c r="T166" i="140"/>
  <c r="X172" i="140"/>
  <c r="V178" i="140"/>
  <c r="Y196" i="140"/>
  <c r="U119" i="140"/>
  <c r="AA121" i="140"/>
  <c r="Z121" i="140"/>
  <c r="X121" i="140"/>
  <c r="W121" i="140"/>
  <c r="V121" i="140"/>
  <c r="T121" i="140"/>
  <c r="V140" i="140"/>
  <c r="U161" i="140"/>
  <c r="AC175" i="140"/>
  <c r="AB175" i="140"/>
  <c r="Z175" i="140"/>
  <c r="Y175" i="140"/>
  <c r="X175" i="140"/>
  <c r="V175" i="140"/>
  <c r="T19" i="140"/>
  <c r="V90" i="140"/>
  <c r="U20" i="140"/>
  <c r="V22" i="140"/>
  <c r="AC41" i="140"/>
  <c r="T72" i="140"/>
  <c r="V87" i="140"/>
  <c r="Y90" i="140"/>
  <c r="W119" i="140"/>
  <c r="U121" i="140"/>
  <c r="W140" i="140"/>
  <c r="Y161" i="140"/>
  <c r="T175" i="140"/>
  <c r="U87" i="140"/>
  <c r="W19" i="140"/>
  <c r="V20" i="140"/>
  <c r="W22" i="140"/>
  <c r="AD41" i="140"/>
  <c r="U72" i="140"/>
  <c r="AC73" i="140"/>
  <c r="X87" i="140"/>
  <c r="AB89" i="140"/>
  <c r="AA89" i="140"/>
  <c r="Y89" i="140"/>
  <c r="X89" i="140"/>
  <c r="U89" i="140"/>
  <c r="AB90" i="140"/>
  <c r="AA105" i="140"/>
  <c r="X108" i="140"/>
  <c r="W108" i="140"/>
  <c r="U108" i="140"/>
  <c r="T108" i="140"/>
  <c r="AC108" i="140"/>
  <c r="AA119" i="140"/>
  <c r="Y121" i="140"/>
  <c r="X140" i="140"/>
  <c r="AD143" i="140"/>
  <c r="AC143" i="140"/>
  <c r="AA143" i="140"/>
  <c r="Z143" i="140"/>
  <c r="Y143" i="140"/>
  <c r="W143" i="140"/>
  <c r="AB161" i="140"/>
  <c r="U175" i="140"/>
  <c r="AA177" i="140"/>
  <c r="Z177" i="140"/>
  <c r="X177" i="140"/>
  <c r="W177" i="140"/>
  <c r="V177" i="140"/>
  <c r="T177" i="140"/>
  <c r="AA41" i="140"/>
  <c r="U90" i="140"/>
  <c r="V19" i="140"/>
  <c r="AB15" i="140"/>
  <c r="AA16" i="140"/>
  <c r="X19" i="140"/>
  <c r="X20" i="140"/>
  <c r="Y87" i="140"/>
  <c r="T89" i="140"/>
  <c r="AC90" i="140"/>
  <c r="AD118" i="140"/>
  <c r="AC118" i="140"/>
  <c r="AA118" i="140"/>
  <c r="Z118" i="140"/>
  <c r="Y118" i="140"/>
  <c r="W118" i="140"/>
  <c r="AD119" i="140"/>
  <c r="AB121" i="140"/>
  <c r="Y140" i="140"/>
  <c r="AC161" i="140"/>
  <c r="W175" i="140"/>
  <c r="U177" i="140"/>
  <c r="X73" i="140"/>
  <c r="X72" i="140"/>
  <c r="AB87" i="140"/>
  <c r="U111" i="140"/>
  <c r="T111" i="140"/>
  <c r="AD111" i="140"/>
  <c r="AC111" i="140"/>
  <c r="Z111" i="140"/>
  <c r="AE119" i="140"/>
  <c r="AC121" i="140"/>
  <c r="AA140" i="140"/>
  <c r="AD161" i="140"/>
  <c r="AA175" i="140"/>
  <c r="AA90" i="140"/>
  <c r="Z90" i="140"/>
  <c r="X90" i="140"/>
  <c r="W90" i="140"/>
  <c r="T90" i="140"/>
  <c r="Y19" i="140"/>
  <c r="AB37" i="140"/>
  <c r="AB41" i="140" s="1"/>
  <c r="AD121" i="140"/>
  <c r="Y163" i="140"/>
  <c r="X163" i="140"/>
  <c r="V163" i="140"/>
  <c r="U163" i="140"/>
  <c r="T163" i="140"/>
  <c r="AD163" i="140"/>
  <c r="AD174" i="140"/>
  <c r="AC174" i="140"/>
  <c r="AA174" i="140"/>
  <c r="Z174" i="140"/>
  <c r="Y174" i="140"/>
  <c r="W174" i="140"/>
  <c r="AD175" i="140"/>
  <c r="AA22" i="140"/>
  <c r="T22" i="140"/>
  <c r="U140" i="140"/>
  <c r="T140" i="140"/>
  <c r="AD140" i="140"/>
  <c r="AC140" i="140"/>
  <c r="AB140" i="140"/>
  <c r="Z140" i="140"/>
  <c r="AA161" i="140"/>
  <c r="Z161" i="140"/>
  <c r="X161" i="140"/>
  <c r="W161" i="140"/>
  <c r="V161" i="140"/>
  <c r="T161" i="140"/>
  <c r="U19" i="140"/>
  <c r="T20" i="140"/>
  <c r="Z19" i="140"/>
  <c r="Z22" i="140"/>
  <c r="AE90" i="140"/>
  <c r="AA19" i="140"/>
  <c r="AC88" i="140"/>
  <c r="AB88" i="140"/>
  <c r="Z88" i="140"/>
  <c r="Y88" i="140"/>
  <c r="V88" i="140"/>
  <c r="Y107" i="140"/>
  <c r="X107" i="140"/>
  <c r="V107" i="140"/>
  <c r="U107" i="140"/>
  <c r="AD107" i="140"/>
  <c r="W111" i="140"/>
  <c r="T120" i="140"/>
  <c r="AE121" i="140"/>
  <c r="Y123" i="140"/>
  <c r="X123" i="140"/>
  <c r="V123" i="140"/>
  <c r="U123" i="140"/>
  <c r="T123" i="140"/>
  <c r="AD123" i="140"/>
  <c r="W163" i="140"/>
  <c r="T174" i="140"/>
  <c r="AE175" i="140"/>
  <c r="AA20" i="140"/>
  <c r="AB22" i="140"/>
  <c r="T15" i="140"/>
  <c r="AE16" i="140"/>
  <c r="AB19" i="140"/>
  <c r="AB20" i="140"/>
  <c r="AC22" i="140"/>
  <c r="U84" i="140"/>
  <c r="T84" i="140"/>
  <c r="AD84" i="140"/>
  <c r="AC84" i="140"/>
  <c r="Z84" i="140"/>
  <c r="T88" i="140"/>
  <c r="AC89" i="140"/>
  <c r="T107" i="140"/>
  <c r="AB108" i="140"/>
  <c r="X111" i="140"/>
  <c r="X118" i="140"/>
  <c r="V120" i="140"/>
  <c r="W123" i="140"/>
  <c r="Z163" i="140"/>
  <c r="U174" i="140"/>
  <c r="AB176" i="140"/>
  <c r="AA176" i="140"/>
  <c r="Y176" i="140"/>
  <c r="X176" i="140"/>
  <c r="W176" i="140"/>
  <c r="U176" i="140"/>
  <c r="AD87" i="140"/>
  <c r="AC87" i="140"/>
  <c r="AA87" i="140"/>
  <c r="Z87" i="140"/>
  <c r="W87" i="140"/>
  <c r="AC119" i="140"/>
  <c r="AB119" i="140"/>
  <c r="Z119" i="140"/>
  <c r="Y119" i="140"/>
  <c r="X119" i="140"/>
  <c r="V119" i="140"/>
  <c r="Y20" i="140"/>
  <c r="Y22" i="140"/>
  <c r="AE15" i="140"/>
  <c r="W107" i="140"/>
  <c r="Y111" i="140"/>
  <c r="AB118" i="140"/>
  <c r="AA163" i="140"/>
  <c r="V174" i="140"/>
  <c r="U22" i="140"/>
  <c r="Z20" i="140"/>
  <c r="AE87" i="140"/>
  <c r="AB120" i="140"/>
  <c r="AA120" i="140"/>
  <c r="Y120" i="140"/>
  <c r="X120" i="140"/>
  <c r="W120" i="140"/>
  <c r="U120" i="140"/>
  <c r="U15" i="140"/>
  <c r="T16" i="140"/>
  <c r="AE17" i="140"/>
  <c r="AC19" i="140"/>
  <c r="AC20" i="140"/>
  <c r="AD22" i="140"/>
  <c r="AB73" i="140"/>
  <c r="AB72" i="140"/>
  <c r="AA73" i="140"/>
  <c r="AA72" i="140"/>
  <c r="U88" i="140"/>
  <c r="AD89" i="140"/>
  <c r="AD108" i="140"/>
  <c r="Z123" i="140"/>
  <c r="AD20" i="140"/>
  <c r="AE42" i="140"/>
  <c r="AE41" i="140"/>
  <c r="L62" i="140"/>
  <c r="M62" i="140" s="1"/>
  <c r="W84" i="140"/>
  <c r="W88" i="140"/>
  <c r="AE89" i="140"/>
  <c r="Z107" i="140"/>
  <c r="AE108" i="140"/>
  <c r="AA111" i="140"/>
  <c r="AE118" i="140"/>
  <c r="AC120" i="140"/>
  <c r="AA123" i="140"/>
  <c r="AC144" i="140"/>
  <c r="AB144" i="140"/>
  <c r="Z144" i="140"/>
  <c r="Y144" i="140"/>
  <c r="X144" i="140"/>
  <c r="V144" i="140"/>
  <c r="AB163" i="140"/>
  <c r="X174" i="140"/>
  <c r="V176" i="140"/>
  <c r="U199" i="140"/>
  <c r="T199" i="140"/>
  <c r="AD199" i="140"/>
  <c r="AC199" i="140"/>
  <c r="AB199" i="140"/>
  <c r="Z199" i="140"/>
  <c r="AA83" i="140"/>
  <c r="Y85" i="140"/>
  <c r="X86" i="140"/>
  <c r="AB109" i="140"/>
  <c r="AA110" i="140"/>
  <c r="Y112" i="140"/>
  <c r="AE122" i="140"/>
  <c r="AA139" i="140"/>
  <c r="Y141" i="140"/>
  <c r="X142" i="140"/>
  <c r="AE162" i="140"/>
  <c r="AC164" i="140"/>
  <c r="AB165" i="140"/>
  <c r="AA166" i="140"/>
  <c r="Y172" i="140"/>
  <c r="AE178" i="140"/>
  <c r="AC196" i="140"/>
  <c r="AB197" i="140"/>
  <c r="AA198" i="140"/>
  <c r="Y200" i="140"/>
  <c r="X201" i="140"/>
  <c r="AE164" i="140"/>
  <c r="AE196" i="140"/>
  <c r="AC198" i="140"/>
  <c r="AA200" i="140"/>
  <c r="AD83" i="140"/>
  <c r="AB85" i="140"/>
  <c r="AE109" i="140"/>
  <c r="AD110" i="140"/>
  <c r="AB112" i="140"/>
  <c r="AD139" i="140"/>
  <c r="AB141" i="140"/>
  <c r="T164" i="140"/>
  <c r="AE165" i="140"/>
  <c r="AD166" i="140"/>
  <c r="AB172" i="140"/>
  <c r="T196" i="140"/>
  <c r="AE197" i="140"/>
  <c r="AD198" i="140"/>
  <c r="AB200" i="140"/>
  <c r="AE83" i="140"/>
  <c r="AC85" i="140"/>
  <c r="AE110" i="140"/>
  <c r="AC112" i="140"/>
  <c r="AE139" i="140"/>
  <c r="U164" i="140"/>
  <c r="AE166" i="140"/>
  <c r="U196" i="140"/>
  <c r="AE198" i="140"/>
  <c r="AD72" i="140"/>
  <c r="AE85" i="140"/>
  <c r="U110" i="140"/>
  <c r="AE112" i="140"/>
  <c r="U139" i="140"/>
  <c r="AE141" i="140"/>
  <c r="W164" i="140"/>
  <c r="U166" i="140"/>
  <c r="AE172" i="140"/>
  <c r="W196" i="140"/>
  <c r="U198" i="140"/>
  <c r="AE200" i="140"/>
  <c r="Z41" i="140"/>
  <c r="AE72" i="140"/>
  <c r="AK3" i="140"/>
  <c r="W60" i="140" l="1"/>
  <c r="AA60" i="140"/>
  <c r="Y60" i="140"/>
  <c r="U60" i="140"/>
  <c r="T60" i="140"/>
  <c r="AE60" i="140"/>
  <c r="AD60" i="140"/>
  <c r="X60" i="140"/>
  <c r="AC60" i="140"/>
  <c r="AB60" i="140"/>
  <c r="Z60" i="140"/>
  <c r="V60" i="140"/>
  <c r="V93" i="140"/>
  <c r="U93" i="140"/>
  <c r="U92" i="140"/>
  <c r="AE93" i="140"/>
  <c r="AE92" i="140"/>
  <c r="T93" i="140"/>
  <c r="T92" i="140"/>
  <c r="AA93" i="140"/>
  <c r="AA92" i="140"/>
  <c r="Y147" i="140"/>
  <c r="Z180" i="140"/>
  <c r="Y93" i="140"/>
  <c r="Y92" i="140"/>
  <c r="AC93" i="140"/>
  <c r="AC92" i="140"/>
  <c r="AB93" i="140"/>
  <c r="AB92" i="140"/>
  <c r="Z92" i="140"/>
  <c r="Z93" i="140"/>
  <c r="W93" i="140"/>
  <c r="W92" i="140"/>
  <c r="V92" i="140"/>
  <c r="AB147" i="140"/>
  <c r="X93" i="140"/>
  <c r="X92" i="140"/>
  <c r="AD93" i="140"/>
  <c r="AD92" i="140"/>
  <c r="AA114" i="140"/>
  <c r="T203" i="140"/>
  <c r="U125" i="140"/>
  <c r="AC180" i="140"/>
  <c r="X203" i="140"/>
  <c r="W180" i="140"/>
  <c r="AB203" i="140"/>
  <c r="V114" i="140"/>
  <c r="AD203" i="140"/>
  <c r="X168" i="140"/>
  <c r="V180" i="140"/>
  <c r="V125" i="140"/>
  <c r="AB114" i="140"/>
  <c r="X180" i="140"/>
  <c r="AE168" i="140"/>
  <c r="AD180" i="140"/>
  <c r="X147" i="140"/>
  <c r="Z114" i="140"/>
  <c r="W203" i="140"/>
  <c r="T125" i="140"/>
  <c r="T147" i="140"/>
  <c r="U180" i="140"/>
  <c r="AC114" i="140"/>
  <c r="Y203" i="140"/>
  <c r="W147" i="140"/>
  <c r="W114" i="140"/>
  <c r="V203" i="140"/>
  <c r="AE180" i="140"/>
  <c r="AA147" i="140"/>
  <c r="Z203" i="140"/>
  <c r="AE114" i="140"/>
  <c r="AA203" i="140"/>
  <c r="T180" i="140"/>
  <c r="V168" i="140"/>
  <c r="AB168" i="140"/>
  <c r="Y168" i="140"/>
  <c r="AB21" i="140"/>
  <c r="U21" i="140"/>
  <c r="AD21" i="140"/>
  <c r="AC21" i="140"/>
  <c r="X21" i="140"/>
  <c r="Y21" i="140"/>
  <c r="Z21" i="140"/>
  <c r="AE21" i="140"/>
  <c r="W21" i="140"/>
  <c r="T21" i="140"/>
  <c r="V21" i="140"/>
  <c r="AE125" i="140"/>
  <c r="AD125" i="140"/>
  <c r="V147" i="140"/>
  <c r="AC147" i="140"/>
  <c r="AA180" i="140"/>
  <c r="AD147" i="140"/>
  <c r="AD114" i="140"/>
  <c r="T168" i="140"/>
  <c r="AE203" i="140"/>
  <c r="W125" i="140"/>
  <c r="U203" i="140"/>
  <c r="W168" i="140"/>
  <c r="AD168" i="140"/>
  <c r="Y125" i="140"/>
  <c r="AA21" i="140"/>
  <c r="Z168" i="140"/>
  <c r="Z125" i="140"/>
  <c r="U147" i="140"/>
  <c r="AE147" i="140"/>
  <c r="AB125" i="140"/>
  <c r="T114" i="140"/>
  <c r="AA168" i="140"/>
  <c r="AA125" i="140"/>
  <c r="AB42" i="140"/>
  <c r="AC168" i="140"/>
  <c r="U114" i="140"/>
  <c r="X125" i="140"/>
  <c r="X114" i="140"/>
  <c r="AC203" i="140"/>
  <c r="Y114" i="140"/>
  <c r="AB180" i="140"/>
  <c r="Y180" i="140"/>
  <c r="Z147" i="140"/>
  <c r="AC125" i="140"/>
  <c r="U168" i="140"/>
  <c r="AF92" i="140" l="1"/>
  <c r="AF93" i="140"/>
  <c r="V94" i="140" s="1"/>
  <c r="AF60" i="140"/>
  <c r="X61" i="140" s="1"/>
  <c r="Q145" i="140"/>
  <c r="H147" i="140" s="1"/>
  <c r="AN75" i="77"/>
  <c r="Y94" i="140" l="1"/>
  <c r="AE94" i="140"/>
  <c r="U94" i="140"/>
  <c r="AA94" i="140"/>
  <c r="Z94" i="140"/>
  <c r="J147" i="140"/>
  <c r="AD94" i="140"/>
  <c r="V61" i="140"/>
  <c r="X94" i="140"/>
  <c r="AC94" i="140"/>
  <c r="AB94" i="140"/>
  <c r="U61" i="140"/>
  <c r="T94" i="140"/>
  <c r="L147" i="140"/>
  <c r="W61" i="140"/>
  <c r="AD61" i="140"/>
  <c r="O147" i="140"/>
  <c r="I147" i="140"/>
  <c r="W94" i="140"/>
  <c r="AA61" i="140"/>
  <c r="Y61" i="140"/>
  <c r="T61" i="140"/>
  <c r="AC61" i="140"/>
  <c r="AE61" i="140"/>
  <c r="AB61" i="140"/>
  <c r="Z61" i="140"/>
  <c r="M147" i="140"/>
  <c r="E147" i="140"/>
  <c r="G147" i="140"/>
  <c r="K147" i="140"/>
  <c r="P147" i="140"/>
  <c r="N147" i="140"/>
  <c r="F147" i="140"/>
  <c r="T5" i="140" l="1" a="1"/>
  <c r="AF5" i="140" s="1"/>
  <c r="AF94" i="140"/>
  <c r="T4" i="140" a="1"/>
  <c r="AF4" i="140" s="1"/>
  <c r="B2" i="114" l="1" a="1"/>
  <c r="B3" i="4" l="1"/>
  <c r="A2" i="135" l="1" a="1"/>
  <c r="S108" i="6"/>
  <c r="L108" i="6"/>
  <c r="M108" i="6"/>
  <c r="N108" i="6"/>
  <c r="O108" i="6"/>
  <c r="P108" i="6"/>
  <c r="Q108" i="6"/>
  <c r="R108" i="6"/>
  <c r="T108" i="6"/>
  <c r="U108" i="6"/>
  <c r="V108" i="6"/>
  <c r="W108" i="6"/>
  <c r="X108" i="6"/>
  <c r="Y108" i="6"/>
  <c r="Z108" i="6"/>
  <c r="AA108" i="6"/>
  <c r="AB108" i="6"/>
  <c r="AC108" i="6"/>
  <c r="AD108" i="6"/>
  <c r="AE108" i="6"/>
  <c r="AF108" i="6"/>
  <c r="AG108" i="6"/>
  <c r="AH108" i="6"/>
  <c r="AI108" i="6"/>
  <c r="AJ108" i="6"/>
  <c r="B30" i="114" a="1"/>
  <c r="AU84" i="77" l="1"/>
  <c r="AU87" i="77" s="1"/>
  <c r="AV84" i="77"/>
  <c r="AV87" i="77" s="1"/>
  <c r="AW84" i="77"/>
  <c r="AW87" i="77" s="1"/>
  <c r="AX84" i="77"/>
  <c r="AX87" i="77" s="1"/>
  <c r="AY84" i="77"/>
  <c r="AY87" i="77" s="1"/>
  <c r="AZ84" i="77"/>
  <c r="AZ87" i="77" s="1"/>
  <c r="BA84" i="77"/>
  <c r="BA87" i="77" s="1"/>
  <c r="BB84" i="77"/>
  <c r="BB87" i="77" s="1"/>
  <c r="BC84" i="77"/>
  <c r="BC87" i="77" s="1"/>
  <c r="BD84" i="77"/>
  <c r="BD87" i="77" s="1"/>
  <c r="BE84" i="77"/>
  <c r="BE87" i="77" s="1"/>
  <c r="BF84" i="77"/>
  <c r="BF87" i="77" s="1"/>
  <c r="AQ6" i="77"/>
  <c r="N27" i="6"/>
  <c r="O27" i="6"/>
  <c r="P27" i="6"/>
  <c r="Q27" i="6"/>
  <c r="R27" i="6"/>
  <c r="S27" i="6"/>
  <c r="T27" i="6"/>
  <c r="U27" i="6"/>
  <c r="V27" i="6"/>
  <c r="W27" i="6"/>
  <c r="X27" i="6"/>
  <c r="Y27" i="6"/>
  <c r="Z27" i="6"/>
  <c r="AA27" i="6"/>
  <c r="AB27" i="6"/>
  <c r="AC27" i="6"/>
  <c r="AD27" i="6"/>
  <c r="AE27" i="6"/>
  <c r="AF27" i="6"/>
  <c r="AG27" i="6"/>
  <c r="AH27" i="6"/>
  <c r="AI27" i="6"/>
  <c r="AJ27" i="6"/>
  <c r="AK27" i="6"/>
  <c r="AL27" i="6"/>
  <c r="N47" i="6"/>
  <c r="O47" i="6"/>
  <c r="P47" i="6"/>
  <c r="Q47" i="6"/>
  <c r="R47" i="6"/>
  <c r="S47" i="6"/>
  <c r="T47" i="6"/>
  <c r="U47" i="6"/>
  <c r="V47" i="6"/>
  <c r="W47" i="6"/>
  <c r="X47" i="6"/>
  <c r="Y47" i="6"/>
  <c r="Z47" i="6"/>
  <c r="AA47" i="6"/>
  <c r="AB47" i="6"/>
  <c r="AC47" i="6"/>
  <c r="AD47" i="6"/>
  <c r="AE47" i="6"/>
  <c r="AF47" i="6"/>
  <c r="AG47" i="6"/>
  <c r="AH47" i="6"/>
  <c r="AI47" i="6"/>
  <c r="AJ47" i="6"/>
  <c r="AK47" i="6"/>
  <c r="AL47" i="6"/>
  <c r="L121" i="6"/>
  <c r="M121" i="6"/>
  <c r="N121" i="6"/>
  <c r="O121" i="6"/>
  <c r="P121" i="6"/>
  <c r="Q121" i="6"/>
  <c r="R121" i="6"/>
  <c r="S121" i="6"/>
  <c r="T121" i="6"/>
  <c r="U121" i="6"/>
  <c r="V121" i="6"/>
  <c r="W121" i="6"/>
  <c r="X121" i="6"/>
  <c r="Y121" i="6"/>
  <c r="Z121" i="6"/>
  <c r="AA121" i="6"/>
  <c r="AB121" i="6"/>
  <c r="AC121" i="6"/>
  <c r="AD121" i="6"/>
  <c r="AE121" i="6"/>
  <c r="AF121" i="6"/>
  <c r="AG121" i="6"/>
  <c r="AH121" i="6"/>
  <c r="AM84" i="77" l="1"/>
  <c r="AT84" i="77"/>
  <c r="AS84" i="77"/>
  <c r="AR84" i="77"/>
  <c r="AQ84" i="77"/>
  <c r="AP84" i="77"/>
  <c r="AO84" i="77"/>
  <c r="AN84" i="77"/>
  <c r="AA49" i="6"/>
  <c r="O49" i="6"/>
  <c r="AK49" i="6"/>
  <c r="Y49" i="6"/>
  <c r="AE49" i="6"/>
  <c r="S49" i="6"/>
  <c r="AC49" i="6"/>
  <c r="Q49" i="6"/>
  <c r="AJ49" i="6"/>
  <c r="X49" i="6"/>
  <c r="AH49" i="6"/>
  <c r="V49" i="6"/>
  <c r="AL49" i="6"/>
  <c r="Z49" i="6"/>
  <c r="N49" i="6"/>
  <c r="AG49" i="6"/>
  <c r="U49" i="6"/>
  <c r="AD49" i="6"/>
  <c r="R49" i="6"/>
  <c r="T49" i="6"/>
  <c r="AN130" i="6"/>
  <c r="AO130" i="6" s="1"/>
  <c r="AP130" i="6" s="1"/>
  <c r="AB49" i="6"/>
  <c r="P49" i="6"/>
  <c r="AF49" i="6"/>
  <c r="AI49" i="6"/>
  <c r="W49" i="6"/>
  <c r="BF191" i="77" l="1"/>
  <c r="BE191" i="77"/>
  <c r="BD191" i="77"/>
  <c r="BC191" i="77"/>
  <c r="BB191" i="77"/>
  <c r="BA191" i="77"/>
  <c r="AZ191" i="77"/>
  <c r="AY191" i="77"/>
  <c r="AX191" i="77"/>
  <c r="AW191" i="77"/>
  <c r="AV191" i="77"/>
  <c r="AU191" i="77"/>
  <c r="AM56" i="77" l="1"/>
  <c r="AN56" i="77"/>
  <c r="AO56" i="77"/>
  <c r="AP56" i="77"/>
  <c r="AQ56" i="77"/>
  <c r="AR56" i="77"/>
  <c r="AS56" i="77"/>
  <c r="AT56" i="77"/>
  <c r="AM3" i="77"/>
  <c r="AN3" i="77"/>
  <c r="AM10" i="77"/>
  <c r="AN10" i="77"/>
  <c r="AM12" i="77"/>
  <c r="AN12" i="77"/>
  <c r="AM14" i="77"/>
  <c r="AN14" i="77"/>
  <c r="AN148" i="8"/>
  <c r="AO148" i="8"/>
  <c r="AM16" i="77"/>
  <c r="AN16" i="77"/>
  <c r="AM18" i="77"/>
  <c r="AN18" i="77"/>
  <c r="AN149" i="8"/>
  <c r="AO149" i="8"/>
  <c r="AM23" i="77"/>
  <c r="AN23" i="77"/>
  <c r="AM27" i="77"/>
  <c r="AN27" i="77"/>
  <c r="AN147" i="8"/>
  <c r="AO147" i="8"/>
  <c r="AM31" i="77"/>
  <c r="AN31" i="77"/>
  <c r="AM35" i="77"/>
  <c r="AN35" i="77"/>
  <c r="AN37" i="77"/>
  <c r="AM39" i="77"/>
  <c r="AN39" i="77"/>
  <c r="AM42" i="77"/>
  <c r="AN42" i="77"/>
  <c r="I24" i="3" l="1"/>
  <c r="N24" i="3"/>
  <c r="J24" i="3" l="1"/>
  <c r="D24" i="3"/>
  <c r="O24" i="3"/>
  <c r="C24" i="3" l="1"/>
  <c r="D2" i="84" a="1"/>
  <c r="B2" i="84" a="1"/>
  <c r="O95" i="3" l="1"/>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O217" i="3"/>
  <c r="N217" i="3"/>
  <c r="O218" i="3"/>
  <c r="N218" i="3"/>
  <c r="O219" i="3"/>
  <c r="N219" i="3"/>
  <c r="O220" i="3"/>
  <c r="N220" i="3"/>
  <c r="O221" i="3"/>
  <c r="N221" i="3"/>
  <c r="O222" i="3"/>
  <c r="N222" i="3"/>
  <c r="O223" i="3"/>
  <c r="N223" i="3"/>
  <c r="O224" i="3"/>
  <c r="N224" i="3"/>
  <c r="O225" i="3"/>
  <c r="N225" i="3"/>
  <c r="O226" i="3"/>
  <c r="N226" i="3"/>
  <c r="O227" i="3"/>
  <c r="N227" i="3"/>
  <c r="O228" i="3"/>
  <c r="N228" i="3"/>
  <c r="O229" i="3"/>
  <c r="N229" i="3"/>
  <c r="N4" i="3"/>
  <c r="N5" i="3"/>
  <c r="N6" i="3"/>
  <c r="N7" i="3"/>
  <c r="N8" i="3"/>
  <c r="N9" i="3"/>
  <c r="N10" i="3"/>
  <c r="N11" i="3"/>
  <c r="N12" i="3"/>
  <c r="N13" i="3"/>
  <c r="N14" i="3"/>
  <c r="N15" i="3"/>
  <c r="N16" i="3"/>
  <c r="N17" i="3"/>
  <c r="N18" i="3"/>
  <c r="N19" i="3"/>
  <c r="N20" i="3"/>
  <c r="N21" i="3"/>
  <c r="N22" i="3"/>
  <c r="N23"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3" i="3"/>
  <c r="AX111" i="8" l="1"/>
  <c r="AY111" i="8"/>
  <c r="AZ111" i="8"/>
  <c r="BA111" i="8"/>
  <c r="BB111" i="8"/>
  <c r="BC111" i="8"/>
  <c r="BD111" i="8"/>
  <c r="BE111" i="8"/>
  <c r="BF111" i="8"/>
  <c r="BG111" i="8"/>
  <c r="BH111" i="8"/>
  <c r="BI111" i="8"/>
  <c r="BJ111" i="8"/>
  <c r="BK111" i="8"/>
  <c r="BL111" i="8"/>
  <c r="BM111" i="8"/>
  <c r="BN111" i="8"/>
  <c r="BO111" i="8"/>
  <c r="BP111" i="8"/>
  <c r="BQ111" i="8"/>
  <c r="BR111" i="8"/>
  <c r="BS111" i="8"/>
  <c r="AX112" i="8"/>
  <c r="AY112" i="8"/>
  <c r="AZ112" i="8"/>
  <c r="BA112" i="8"/>
  <c r="BB112" i="8"/>
  <c r="BC112" i="8"/>
  <c r="BD112" i="8"/>
  <c r="BE112" i="8"/>
  <c r="BF112" i="8"/>
  <c r="BG112" i="8"/>
  <c r="BH112" i="8"/>
  <c r="BI112" i="8"/>
  <c r="BJ112" i="8"/>
  <c r="BK112" i="8"/>
  <c r="BL112" i="8"/>
  <c r="BM112" i="8"/>
  <c r="BN112" i="8"/>
  <c r="BO112" i="8"/>
  <c r="BP112" i="8"/>
  <c r="BQ112" i="8"/>
  <c r="BR112" i="8"/>
  <c r="BS112" i="8"/>
  <c r="AX113" i="8"/>
  <c r="AY113" i="8"/>
  <c r="AZ113" i="8"/>
  <c r="BA113" i="8"/>
  <c r="BB113" i="8"/>
  <c r="BC113" i="8"/>
  <c r="BD113" i="8"/>
  <c r="BE113" i="8"/>
  <c r="BF113" i="8"/>
  <c r="BG113" i="8"/>
  <c r="BH113" i="8"/>
  <c r="BI113" i="8"/>
  <c r="BJ113" i="8"/>
  <c r="BK113" i="8"/>
  <c r="BL113" i="8"/>
  <c r="BM113" i="8"/>
  <c r="BN113" i="8"/>
  <c r="BO113" i="8"/>
  <c r="BP113" i="8"/>
  <c r="BQ113" i="8"/>
  <c r="BR113" i="8"/>
  <c r="BS113" i="8"/>
  <c r="AX114" i="8"/>
  <c r="AY114" i="8"/>
  <c r="AZ114" i="8"/>
  <c r="BA114" i="8"/>
  <c r="BB114" i="8"/>
  <c r="BC114" i="8"/>
  <c r="BD114" i="8"/>
  <c r="BE114" i="8"/>
  <c r="BF114" i="8"/>
  <c r="BG114" i="8"/>
  <c r="BH114" i="8"/>
  <c r="BI114" i="8"/>
  <c r="BJ114" i="8"/>
  <c r="BK114" i="8"/>
  <c r="BL114" i="8"/>
  <c r="BM114" i="8"/>
  <c r="BN114" i="8"/>
  <c r="BO114" i="8"/>
  <c r="BP114" i="8"/>
  <c r="BQ114" i="8"/>
  <c r="BR114" i="8"/>
  <c r="BS114" i="8"/>
  <c r="AX115" i="8"/>
  <c r="AY115" i="8"/>
  <c r="AZ115" i="8"/>
  <c r="BA115" i="8"/>
  <c r="BB115" i="8"/>
  <c r="BC115" i="8"/>
  <c r="BD115" i="8"/>
  <c r="BE115" i="8"/>
  <c r="BF115" i="8"/>
  <c r="BG115" i="8"/>
  <c r="BH115" i="8"/>
  <c r="BI115" i="8"/>
  <c r="BJ115" i="8"/>
  <c r="BK115" i="8"/>
  <c r="BL115" i="8"/>
  <c r="BM115" i="8"/>
  <c r="BN115" i="8"/>
  <c r="BO115" i="8"/>
  <c r="BP115" i="8"/>
  <c r="BQ115" i="8"/>
  <c r="BR115" i="8"/>
  <c r="BS115" i="8"/>
  <c r="AX116" i="8"/>
  <c r="AY116" i="8"/>
  <c r="AZ116" i="8"/>
  <c r="BA116" i="8"/>
  <c r="BB116" i="8"/>
  <c r="BC116" i="8"/>
  <c r="BD116" i="8"/>
  <c r="BE116" i="8"/>
  <c r="BF116" i="8"/>
  <c r="BG116" i="8"/>
  <c r="BH116" i="8"/>
  <c r="BI116" i="8"/>
  <c r="BJ116" i="8"/>
  <c r="BK116" i="8"/>
  <c r="BL116" i="8"/>
  <c r="BM116" i="8"/>
  <c r="BN116" i="8"/>
  <c r="BO116" i="8"/>
  <c r="BP116" i="8"/>
  <c r="BQ116" i="8"/>
  <c r="BR116" i="8"/>
  <c r="BS116" i="8"/>
  <c r="AX117" i="8"/>
  <c r="AY117" i="8"/>
  <c r="AZ117" i="8"/>
  <c r="BA117" i="8"/>
  <c r="BB117" i="8"/>
  <c r="BC117" i="8"/>
  <c r="BD117" i="8"/>
  <c r="BE117" i="8"/>
  <c r="BF117" i="8"/>
  <c r="BG117" i="8"/>
  <c r="BH117" i="8"/>
  <c r="BI117" i="8"/>
  <c r="BJ117" i="8"/>
  <c r="BK117" i="8"/>
  <c r="BL117" i="8"/>
  <c r="BM117" i="8"/>
  <c r="BN117" i="8"/>
  <c r="BO117" i="8"/>
  <c r="BP117" i="8"/>
  <c r="BQ117" i="8"/>
  <c r="BR117" i="8"/>
  <c r="BS117" i="8"/>
  <c r="AX118" i="8"/>
  <c r="AY118" i="8"/>
  <c r="AZ118" i="8"/>
  <c r="BA118" i="8"/>
  <c r="BB118" i="8"/>
  <c r="BC118" i="8"/>
  <c r="BD118" i="8"/>
  <c r="BE118" i="8"/>
  <c r="BF118" i="8"/>
  <c r="BG118" i="8"/>
  <c r="BH118" i="8"/>
  <c r="BI118" i="8"/>
  <c r="BJ118" i="8"/>
  <c r="BK118" i="8"/>
  <c r="BL118" i="8"/>
  <c r="BM118" i="8"/>
  <c r="BN118" i="8"/>
  <c r="BO118" i="8"/>
  <c r="BP118" i="8"/>
  <c r="BQ118" i="8"/>
  <c r="BR118" i="8"/>
  <c r="BS118" i="8"/>
  <c r="AX119" i="8"/>
  <c r="AY119" i="8"/>
  <c r="AZ119" i="8"/>
  <c r="BA119" i="8"/>
  <c r="BB119" i="8"/>
  <c r="BC119" i="8"/>
  <c r="BD119" i="8"/>
  <c r="BE119" i="8"/>
  <c r="BF119" i="8"/>
  <c r="BG119" i="8"/>
  <c r="BH119" i="8"/>
  <c r="BI119" i="8"/>
  <c r="BJ119" i="8"/>
  <c r="BK119" i="8"/>
  <c r="BL119" i="8"/>
  <c r="BM119" i="8"/>
  <c r="BN119" i="8"/>
  <c r="BO119" i="8"/>
  <c r="BP119" i="8"/>
  <c r="BQ119" i="8"/>
  <c r="BR119" i="8"/>
  <c r="BS119" i="8"/>
  <c r="AX120" i="8"/>
  <c r="AY120" i="8"/>
  <c r="AZ120" i="8"/>
  <c r="BA120" i="8"/>
  <c r="BB120" i="8"/>
  <c r="BC120" i="8"/>
  <c r="BD120" i="8"/>
  <c r="BE120" i="8"/>
  <c r="BF120" i="8"/>
  <c r="BG120" i="8"/>
  <c r="BH120" i="8"/>
  <c r="BI120" i="8"/>
  <c r="BJ120" i="8"/>
  <c r="BK120" i="8"/>
  <c r="BL120" i="8"/>
  <c r="BM120" i="8"/>
  <c r="BN120" i="8"/>
  <c r="BO120" i="8"/>
  <c r="BP120" i="8"/>
  <c r="BQ120" i="8"/>
  <c r="BR120" i="8"/>
  <c r="BS120" i="8"/>
  <c r="AX121" i="8"/>
  <c r="AY121" i="8"/>
  <c r="AZ121" i="8"/>
  <c r="BA121" i="8"/>
  <c r="BB121" i="8"/>
  <c r="BC121" i="8"/>
  <c r="BD121" i="8"/>
  <c r="BE121" i="8"/>
  <c r="BF121" i="8"/>
  <c r="BG121" i="8"/>
  <c r="BH121" i="8"/>
  <c r="BI121" i="8"/>
  <c r="BJ121" i="8"/>
  <c r="BK121" i="8"/>
  <c r="BL121" i="8"/>
  <c r="BM121" i="8"/>
  <c r="BN121" i="8"/>
  <c r="BO121" i="8"/>
  <c r="BP121" i="8"/>
  <c r="BQ121" i="8"/>
  <c r="BR121" i="8"/>
  <c r="BS121" i="8"/>
  <c r="AX122" i="8"/>
  <c r="AY122" i="8"/>
  <c r="AZ122" i="8"/>
  <c r="BA122" i="8"/>
  <c r="BB122" i="8"/>
  <c r="BC122" i="8"/>
  <c r="BD122" i="8"/>
  <c r="BE122" i="8"/>
  <c r="BF122" i="8"/>
  <c r="BG122" i="8"/>
  <c r="BH122" i="8"/>
  <c r="BI122" i="8"/>
  <c r="BJ122" i="8"/>
  <c r="BK122" i="8"/>
  <c r="BL122" i="8"/>
  <c r="BM122" i="8"/>
  <c r="BN122" i="8"/>
  <c r="BO122" i="8"/>
  <c r="BP122" i="8"/>
  <c r="BQ122" i="8"/>
  <c r="BR122" i="8"/>
  <c r="BS122" i="8"/>
  <c r="AX146" i="8"/>
  <c r="AY146" i="8"/>
  <c r="AZ146" i="8"/>
  <c r="BA146" i="8"/>
  <c r="BB146" i="8"/>
  <c r="BC146" i="8"/>
  <c r="BD146" i="8"/>
  <c r="BE146" i="8"/>
  <c r="BF146" i="8"/>
  <c r="BG146" i="8"/>
  <c r="BH146" i="8"/>
  <c r="BI146" i="8"/>
  <c r="BJ146" i="8"/>
  <c r="BK146" i="8"/>
  <c r="BL146" i="8"/>
  <c r="BM146" i="8"/>
  <c r="BN146" i="8"/>
  <c r="BO146" i="8"/>
  <c r="BP146" i="8"/>
  <c r="BQ146" i="8"/>
  <c r="BR146" i="8"/>
  <c r="BS146" i="8"/>
  <c r="AX109" i="8"/>
  <c r="AY109" i="8"/>
  <c r="AZ109" i="8"/>
  <c r="BA109" i="8"/>
  <c r="BB109" i="8"/>
  <c r="BC109" i="8"/>
  <c r="BD109" i="8"/>
  <c r="BE109" i="8"/>
  <c r="BF109" i="8"/>
  <c r="BG109" i="8"/>
  <c r="BH109" i="8"/>
  <c r="BI109" i="8"/>
  <c r="BJ109" i="8"/>
  <c r="BK109" i="8"/>
  <c r="BL109" i="8"/>
  <c r="BM109" i="8"/>
  <c r="BN109" i="8"/>
  <c r="BO109" i="8"/>
  <c r="BP109" i="8"/>
  <c r="BQ109" i="8"/>
  <c r="BR109" i="8"/>
  <c r="BS109" i="8"/>
  <c r="AX148" i="8"/>
  <c r="AY148" i="8"/>
  <c r="AZ148" i="8"/>
  <c r="BA148" i="8"/>
  <c r="BB148" i="8"/>
  <c r="BC148" i="8"/>
  <c r="BD148" i="8"/>
  <c r="BE148" i="8"/>
  <c r="BF148" i="8"/>
  <c r="BG148" i="8"/>
  <c r="BH148" i="8"/>
  <c r="BI148" i="8"/>
  <c r="BJ148" i="8"/>
  <c r="BK148" i="8"/>
  <c r="BL148" i="8"/>
  <c r="BM148" i="8"/>
  <c r="BN148" i="8"/>
  <c r="BO148" i="8"/>
  <c r="BP148" i="8"/>
  <c r="BQ148" i="8"/>
  <c r="BR148" i="8"/>
  <c r="BS148" i="8"/>
  <c r="AX149" i="8"/>
  <c r="AY149" i="8"/>
  <c r="AZ149" i="8"/>
  <c r="BA149" i="8"/>
  <c r="BB149" i="8"/>
  <c r="BC149" i="8"/>
  <c r="BD149" i="8"/>
  <c r="BE149" i="8"/>
  <c r="BF149" i="8"/>
  <c r="BG149" i="8"/>
  <c r="BH149" i="8"/>
  <c r="BI149" i="8"/>
  <c r="BJ149" i="8"/>
  <c r="BK149" i="8"/>
  <c r="BL149" i="8"/>
  <c r="BM149" i="8"/>
  <c r="BN149" i="8"/>
  <c r="BO149" i="8"/>
  <c r="BP149" i="8"/>
  <c r="BQ149" i="8"/>
  <c r="BR149" i="8"/>
  <c r="BS149" i="8"/>
  <c r="AX147" i="8"/>
  <c r="AY147" i="8"/>
  <c r="AZ147" i="8"/>
  <c r="BA147" i="8"/>
  <c r="BB147" i="8"/>
  <c r="BC147" i="8"/>
  <c r="BD147" i="8"/>
  <c r="BE147" i="8"/>
  <c r="BF147" i="8"/>
  <c r="BG147" i="8"/>
  <c r="BH147" i="8"/>
  <c r="BI147" i="8"/>
  <c r="BJ147" i="8"/>
  <c r="BK147" i="8"/>
  <c r="BL147" i="8"/>
  <c r="BM147" i="8"/>
  <c r="BN147" i="8"/>
  <c r="BO147" i="8"/>
  <c r="BP147" i="8"/>
  <c r="BQ147" i="8"/>
  <c r="BR147" i="8"/>
  <c r="BS147" i="8"/>
  <c r="AX145" i="8"/>
  <c r="AY145" i="8"/>
  <c r="AZ145" i="8"/>
  <c r="BA145" i="8"/>
  <c r="BB145" i="8"/>
  <c r="BC145" i="8"/>
  <c r="BD145" i="8"/>
  <c r="BE145" i="8"/>
  <c r="BF145" i="8"/>
  <c r="BG145" i="8"/>
  <c r="BH145" i="8"/>
  <c r="BI145" i="8"/>
  <c r="BJ145" i="8"/>
  <c r="BK145" i="8"/>
  <c r="BL145" i="8"/>
  <c r="BM145" i="8"/>
  <c r="BN145" i="8"/>
  <c r="BO145" i="8"/>
  <c r="BP145" i="8"/>
  <c r="BQ145" i="8"/>
  <c r="BR145" i="8"/>
  <c r="BS145" i="8"/>
  <c r="AX50" i="8"/>
  <c r="AY50" i="8"/>
  <c r="AZ50" i="8"/>
  <c r="BA50" i="8"/>
  <c r="BB50" i="8"/>
  <c r="BC50" i="8"/>
  <c r="BD50" i="8"/>
  <c r="BE50" i="8"/>
  <c r="BF50" i="8"/>
  <c r="BG50" i="8"/>
  <c r="BH50" i="8"/>
  <c r="BI50" i="8"/>
  <c r="BJ50" i="8"/>
  <c r="BK50" i="8"/>
  <c r="BL50" i="8"/>
  <c r="BM50" i="8"/>
  <c r="BN50" i="8"/>
  <c r="BO50" i="8"/>
  <c r="BP50" i="8"/>
  <c r="BQ50" i="8"/>
  <c r="BR50" i="8"/>
  <c r="BS50" i="8"/>
  <c r="AW111" i="8"/>
  <c r="AW112" i="8"/>
  <c r="AW113" i="8"/>
  <c r="AW114" i="8"/>
  <c r="AW115" i="8"/>
  <c r="AW116" i="8"/>
  <c r="AW117" i="8"/>
  <c r="AW118" i="8"/>
  <c r="AW119" i="8"/>
  <c r="AW120" i="8"/>
  <c r="AW121" i="8"/>
  <c r="AW122" i="8"/>
  <c r="AW146" i="8"/>
  <c r="AW109" i="8"/>
  <c r="AW148" i="8"/>
  <c r="AW149" i="8"/>
  <c r="AW147" i="8"/>
  <c r="AW145" i="8"/>
  <c r="AW50" i="8"/>
  <c r="AV112" i="8"/>
  <c r="AV113" i="8"/>
  <c r="AV114" i="8"/>
  <c r="AV115" i="8"/>
  <c r="AV116" i="8"/>
  <c r="AV117" i="8"/>
  <c r="AV118" i="8"/>
  <c r="AV119" i="8"/>
  <c r="AV120" i="8"/>
  <c r="AV111" i="8"/>
  <c r="AV145" i="8"/>
  <c r="AV148" i="8"/>
  <c r="AV149" i="8"/>
  <c r="AV147" i="8"/>
  <c r="AT135" i="77"/>
  <c r="AT137" i="77"/>
  <c r="AV146" i="8"/>
  <c r="AV121" i="8"/>
  <c r="AV122" i="8"/>
  <c r="AV109" i="8"/>
  <c r="AV50" i="8"/>
  <c r="AP148" i="8"/>
  <c r="AQ148" i="8"/>
  <c r="AR148" i="8"/>
  <c r="AS148" i="8"/>
  <c r="AT148" i="8"/>
  <c r="AU148" i="8"/>
  <c r="AX48" i="8" l="1"/>
  <c r="AX28" i="8"/>
  <c r="AY48" i="8"/>
  <c r="AY28" i="8"/>
  <c r="AZ48" i="8"/>
  <c r="AZ28" i="8"/>
  <c r="BA48" i="8"/>
  <c r="BA28" i="8"/>
  <c r="BB48" i="8"/>
  <c r="BB28" i="8"/>
  <c r="BC48" i="8"/>
  <c r="BC28" i="8"/>
  <c r="BD48" i="8"/>
  <c r="BD28" i="8"/>
  <c r="BE28" i="8"/>
  <c r="BE48" i="8"/>
  <c r="BF48" i="8"/>
  <c r="BF28" i="8"/>
  <c r="BG48" i="8"/>
  <c r="BG28" i="8"/>
  <c r="BH48" i="8"/>
  <c r="BH28" i="8"/>
  <c r="BI48" i="8"/>
  <c r="BI28" i="8"/>
  <c r="BJ48" i="8"/>
  <c r="BJ28" i="8"/>
  <c r="BK48" i="8"/>
  <c r="BK28" i="8"/>
  <c r="BL48" i="8"/>
  <c r="BL28" i="8"/>
  <c r="BM28" i="8"/>
  <c r="BM48" i="8"/>
  <c r="BN48" i="8"/>
  <c r="BN28" i="8"/>
  <c r="BO48" i="8"/>
  <c r="BO28" i="8"/>
  <c r="BP48" i="8"/>
  <c r="BP28" i="8"/>
  <c r="BQ48" i="8"/>
  <c r="BQ28" i="8"/>
  <c r="BR48" i="8"/>
  <c r="BR28" i="8"/>
  <c r="BS48" i="8"/>
  <c r="BS28" i="8"/>
  <c r="AW48" i="8"/>
  <c r="AW28" i="8"/>
  <c r="AV48" i="8"/>
  <c r="AV28" i="8"/>
  <c r="BI108" i="8"/>
  <c r="BE47" i="8"/>
  <c r="AV108" i="8"/>
  <c r="BP47" i="8"/>
  <c r="BD47" i="8"/>
  <c r="BH108" i="8"/>
  <c r="BQ47" i="8"/>
  <c r="BO47" i="8"/>
  <c r="BC47" i="8"/>
  <c r="BS108" i="8"/>
  <c r="BG108" i="8"/>
  <c r="BR108" i="8"/>
  <c r="BF108" i="8"/>
  <c r="BB47" i="8"/>
  <c r="BM47" i="8"/>
  <c r="BA47" i="8"/>
  <c r="BQ108" i="8"/>
  <c r="BE108" i="8"/>
  <c r="AV47" i="8"/>
  <c r="AW47" i="8"/>
  <c r="BL47" i="8"/>
  <c r="AZ47" i="8"/>
  <c r="BP108" i="8"/>
  <c r="BD108" i="8"/>
  <c r="BK47" i="8"/>
  <c r="AY47" i="8"/>
  <c r="BO108" i="8"/>
  <c r="BC108" i="8"/>
  <c r="AW108" i="8"/>
  <c r="BJ47" i="8"/>
  <c r="AX47" i="8"/>
  <c r="BN108" i="8"/>
  <c r="BB108" i="8"/>
  <c r="BN47" i="8"/>
  <c r="BI47" i="8"/>
  <c r="BM108" i="8"/>
  <c r="BA108" i="8"/>
  <c r="BH47" i="8"/>
  <c r="BL108" i="8"/>
  <c r="AZ108" i="8"/>
  <c r="BS47" i="8"/>
  <c r="BK108" i="8"/>
  <c r="AY108" i="8"/>
  <c r="BG47" i="8"/>
  <c r="BR47" i="8"/>
  <c r="BF47" i="8"/>
  <c r="BJ108" i="8"/>
  <c r="AX108" i="8"/>
  <c r="BM105" i="8" l="1"/>
  <c r="BP105" i="8"/>
  <c r="BR105" i="8"/>
  <c r="BI105" i="8"/>
  <c r="BJ105" i="8"/>
  <c r="BN105" i="8"/>
  <c r="BQ105" i="8"/>
  <c r="BK105" i="8"/>
  <c r="BH105" i="8"/>
  <c r="BL105" i="8"/>
  <c r="BO105" i="8"/>
  <c r="BS105" i="8"/>
  <c r="AX49" i="8"/>
  <c r="BH49" i="8"/>
  <c r="BO49" i="8"/>
  <c r="BN49" i="8"/>
  <c r="BE49" i="8"/>
  <c r="BJ49" i="8"/>
  <c r="BP49" i="8"/>
  <c r="BD49" i="8"/>
  <c r="BC49" i="8"/>
  <c r="AY49" i="8"/>
  <c r="BB49" i="8"/>
  <c r="AV49" i="8"/>
  <c r="AZ49" i="8"/>
  <c r="BQ49" i="8"/>
  <c r="BL49" i="8"/>
  <c r="BR49" i="8"/>
  <c r="BG49" i="8"/>
  <c r="BI49" i="8"/>
  <c r="BM49" i="8"/>
  <c r="BF49" i="8"/>
  <c r="BA49" i="8"/>
  <c r="AW49" i="8"/>
  <c r="BS49" i="8"/>
  <c r="BK49" i="8"/>
  <c r="I88" i="3" l="1"/>
  <c r="I89" i="3"/>
  <c r="I90" i="3"/>
  <c r="I91" i="3"/>
  <c r="I92" i="3"/>
  <c r="O93" i="3"/>
  <c r="I93" i="3"/>
  <c r="I94" i="3"/>
  <c r="O5" i="3"/>
  <c r="J88" i="3" l="1"/>
  <c r="J90" i="3"/>
  <c r="D91" i="3"/>
  <c r="O91" i="3"/>
  <c r="D90" i="3"/>
  <c r="O90" i="3"/>
  <c r="D89" i="3"/>
  <c r="O89" i="3"/>
  <c r="D88" i="3"/>
  <c r="O88" i="3"/>
  <c r="D94" i="3"/>
  <c r="O94" i="3"/>
  <c r="D92" i="3"/>
  <c r="O92" i="3"/>
  <c r="J89" i="3"/>
  <c r="J91" i="3"/>
  <c r="J92" i="3"/>
  <c r="J94" i="3"/>
  <c r="J93" i="3"/>
  <c r="D93" i="3"/>
  <c r="C88" i="3" l="1"/>
  <c r="C91" i="3"/>
  <c r="C90" i="3"/>
  <c r="C89" i="3"/>
  <c r="C92" i="3"/>
  <c r="C94" i="3"/>
  <c r="C93" i="3"/>
  <c r="G84" i="77"/>
  <c r="G87" i="77"/>
  <c r="I97" i="77"/>
  <c r="G177" i="77"/>
  <c r="G191" i="77"/>
  <c r="AM100" i="77" l="1"/>
  <c r="AN100" i="77"/>
  <c r="AO100" i="77"/>
  <c r="AP100" i="77"/>
  <c r="AQ100" i="77"/>
  <c r="AR100" i="77"/>
  <c r="AS100" i="77"/>
  <c r="AT100" i="77"/>
  <c r="AM135" i="77"/>
  <c r="AN135" i="77"/>
  <c r="AO135" i="77"/>
  <c r="AP135" i="77"/>
  <c r="AQ135" i="77"/>
  <c r="AR135" i="77"/>
  <c r="AS135" i="77"/>
  <c r="AM137" i="77"/>
  <c r="AN137" i="77"/>
  <c r="AO137" i="77"/>
  <c r="AP137" i="77"/>
  <c r="AQ137" i="77"/>
  <c r="AR137" i="77"/>
  <c r="AS137" i="77"/>
  <c r="AM141" i="77" l="1"/>
  <c r="AN141" i="77"/>
  <c r="AO141" i="77"/>
  <c r="AP141" i="77"/>
  <c r="AQ141" i="77"/>
  <c r="AR141" i="77"/>
  <c r="AS141" i="77"/>
  <c r="AT141" i="77"/>
  <c r="AM145" i="77"/>
  <c r="AN145" i="77"/>
  <c r="AO145" i="77"/>
  <c r="AP145" i="77"/>
  <c r="AQ145" i="77"/>
  <c r="AR145" i="77"/>
  <c r="AS145" i="77"/>
  <c r="AT145" i="77"/>
  <c r="AM147" i="77"/>
  <c r="AN147" i="77"/>
  <c r="AO147" i="77"/>
  <c r="AP147" i="77"/>
  <c r="AQ147" i="77"/>
  <c r="AR147" i="77"/>
  <c r="AS147" i="77"/>
  <c r="AT147" i="77"/>
  <c r="AM151" i="77"/>
  <c r="AN151" i="77"/>
  <c r="AO151" i="77"/>
  <c r="AP151" i="77"/>
  <c r="AQ151" i="77"/>
  <c r="AR151" i="77"/>
  <c r="AS151" i="77"/>
  <c r="AT151" i="77"/>
  <c r="D3" i="3" l="1"/>
  <c r="I4" i="3"/>
  <c r="D5" i="3"/>
  <c r="I5" i="3"/>
  <c r="O6" i="3"/>
  <c r="I6" i="3"/>
  <c r="I7" i="3"/>
  <c r="I8" i="3"/>
  <c r="I9" i="3"/>
  <c r="I10" i="3"/>
  <c r="O11" i="3"/>
  <c r="I11" i="3"/>
  <c r="I12" i="3"/>
  <c r="I13" i="3"/>
  <c r="I14" i="3"/>
  <c r="I15" i="3"/>
  <c r="I16" i="3"/>
  <c r="I17" i="3"/>
  <c r="I18" i="3"/>
  <c r="I19" i="3"/>
  <c r="I20" i="3"/>
  <c r="I21" i="3"/>
  <c r="O22" i="3"/>
  <c r="I22" i="3"/>
  <c r="I23" i="3"/>
  <c r="I25" i="3"/>
  <c r="O26" i="3"/>
  <c r="I26" i="3"/>
  <c r="O27" i="3"/>
  <c r="I27" i="3"/>
  <c r="I28" i="3"/>
  <c r="O29" i="3"/>
  <c r="I29" i="3"/>
  <c r="I30" i="3"/>
  <c r="I31" i="3"/>
  <c r="I32" i="3"/>
  <c r="O33" i="3"/>
  <c r="I33" i="3"/>
  <c r="O34" i="3"/>
  <c r="I34" i="3"/>
  <c r="O35" i="3"/>
  <c r="I35" i="3"/>
  <c r="I36" i="3"/>
  <c r="I37" i="3"/>
  <c r="I38" i="3"/>
  <c r="I39" i="3"/>
  <c r="O40" i="3"/>
  <c r="I40" i="3"/>
  <c r="I41" i="3"/>
  <c r="I42" i="3"/>
  <c r="I43" i="3"/>
  <c r="O44" i="3"/>
  <c r="I44" i="3"/>
  <c r="I45" i="3"/>
  <c r="O46" i="3"/>
  <c r="I46" i="3"/>
  <c r="O47" i="3"/>
  <c r="I47" i="3"/>
  <c r="I48" i="3"/>
  <c r="I49" i="3"/>
  <c r="I50" i="3"/>
  <c r="I51" i="3"/>
  <c r="I52" i="3"/>
  <c r="I53" i="3"/>
  <c r="I54" i="3"/>
  <c r="I55" i="3"/>
  <c r="O56" i="3"/>
  <c r="I56" i="3"/>
  <c r="I57" i="3"/>
  <c r="I58" i="3"/>
  <c r="O59" i="3"/>
  <c r="I59" i="3"/>
  <c r="I60" i="3"/>
  <c r="I61" i="3"/>
  <c r="O62" i="3"/>
  <c r="I62" i="3"/>
  <c r="O63" i="3"/>
  <c r="I63" i="3"/>
  <c r="I64" i="3"/>
  <c r="I65" i="3"/>
  <c r="O66" i="3"/>
  <c r="I66" i="3"/>
  <c r="I67" i="3"/>
  <c r="I68" i="3"/>
  <c r="O69" i="3"/>
  <c r="I69" i="3"/>
  <c r="I70" i="3"/>
  <c r="I71" i="3"/>
  <c r="O72" i="3"/>
  <c r="I72" i="3"/>
  <c r="I73" i="3"/>
  <c r="I74" i="3"/>
  <c r="I75" i="3"/>
  <c r="I76" i="3"/>
  <c r="O77" i="3"/>
  <c r="I77" i="3"/>
  <c r="I78" i="3"/>
  <c r="I79" i="3"/>
  <c r="I80" i="3"/>
  <c r="O81" i="3"/>
  <c r="I81" i="3"/>
  <c r="O82" i="3"/>
  <c r="I82" i="3"/>
  <c r="O83" i="3"/>
  <c r="I83" i="3"/>
  <c r="I84" i="3"/>
  <c r="O85" i="3"/>
  <c r="I85" i="3"/>
  <c r="I86" i="3"/>
  <c r="O87" i="3"/>
  <c r="I87" i="3"/>
  <c r="I96" i="3"/>
  <c r="I97" i="3"/>
  <c r="I98" i="3"/>
  <c r="I99" i="3"/>
  <c r="I100" i="3"/>
  <c r="I101" i="3"/>
  <c r="I102" i="3"/>
  <c r="I103" i="3"/>
  <c r="I104" i="3"/>
  <c r="I105" i="3"/>
  <c r="I106" i="3"/>
  <c r="O107" i="3"/>
  <c r="I107" i="3"/>
  <c r="I108" i="3"/>
  <c r="I109" i="3"/>
  <c r="O110" i="3"/>
  <c r="I110" i="3"/>
  <c r="O111" i="3"/>
  <c r="I111" i="3"/>
  <c r="O112" i="3"/>
  <c r="I112" i="3"/>
  <c r="I113" i="3"/>
  <c r="O114" i="3"/>
  <c r="I114" i="3"/>
  <c r="O115" i="3"/>
  <c r="I115" i="3"/>
  <c r="I116" i="3"/>
  <c r="O117" i="3"/>
  <c r="I117" i="3"/>
  <c r="O118" i="3"/>
  <c r="I118" i="3"/>
  <c r="O119" i="3"/>
  <c r="I119" i="3"/>
  <c r="I120" i="3"/>
  <c r="I121" i="3"/>
  <c r="O122" i="3"/>
  <c r="I122" i="3"/>
  <c r="O123" i="3"/>
  <c r="I123" i="3"/>
  <c r="I124" i="3"/>
  <c r="O125" i="3"/>
  <c r="I125" i="3"/>
  <c r="O126" i="3"/>
  <c r="I126" i="3"/>
  <c r="I127" i="3"/>
  <c r="I128" i="3"/>
  <c r="I129" i="3"/>
  <c r="I130" i="3"/>
  <c r="O131"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O157" i="3"/>
  <c r="I157" i="3"/>
  <c r="I158" i="3"/>
  <c r="I159" i="3"/>
  <c r="I160" i="3"/>
  <c r="I161" i="3"/>
  <c r="I162" i="3"/>
  <c r="I163" i="3"/>
  <c r="I164" i="3"/>
  <c r="O165" i="3"/>
  <c r="I165" i="3"/>
  <c r="I166" i="3"/>
  <c r="O167" i="3"/>
  <c r="I167" i="3"/>
  <c r="I168" i="3"/>
  <c r="O169" i="3"/>
  <c r="I169" i="3"/>
  <c r="I170" i="3"/>
  <c r="I171" i="3"/>
  <c r="I172" i="3"/>
  <c r="O173" i="3"/>
  <c r="I173" i="3"/>
  <c r="I174" i="3"/>
  <c r="I175" i="3"/>
  <c r="O176" i="3"/>
  <c r="I176" i="3"/>
  <c r="I177" i="3"/>
  <c r="I178" i="3"/>
  <c r="I179" i="3"/>
  <c r="I180" i="3"/>
  <c r="O181" i="3"/>
  <c r="I181" i="3"/>
  <c r="I182" i="3"/>
  <c r="I183" i="3"/>
  <c r="I184" i="3"/>
  <c r="I185" i="3"/>
  <c r="I186" i="3"/>
  <c r="I187" i="3"/>
  <c r="I188" i="3"/>
  <c r="I189" i="3"/>
  <c r="I190" i="3"/>
  <c r="I191" i="3"/>
  <c r="I192" i="3"/>
  <c r="I193" i="3"/>
  <c r="I194" i="3"/>
  <c r="I195" i="3"/>
  <c r="I196" i="3"/>
  <c r="O197" i="3"/>
  <c r="I197" i="3"/>
  <c r="I198" i="3"/>
  <c r="I199" i="3"/>
  <c r="I200" i="3"/>
  <c r="O201" i="3"/>
  <c r="I201" i="3"/>
  <c r="I202" i="3"/>
  <c r="I203" i="3"/>
  <c r="O204" i="3"/>
  <c r="I204" i="3"/>
  <c r="O205" i="3"/>
  <c r="I205" i="3"/>
  <c r="I206" i="3"/>
  <c r="I207" i="3"/>
  <c r="I208" i="3"/>
  <c r="O209" i="3"/>
  <c r="I209" i="3"/>
  <c r="I210" i="3"/>
  <c r="I211" i="3"/>
  <c r="I212" i="3"/>
  <c r="O213" i="3"/>
  <c r="I213" i="3"/>
  <c r="I214" i="3"/>
  <c r="O215" i="3"/>
  <c r="I215" i="3"/>
  <c r="O216" i="3"/>
  <c r="I216" i="3"/>
  <c r="J4" i="3" l="1"/>
  <c r="J159" i="3"/>
  <c r="J141" i="3"/>
  <c r="D196" i="3"/>
  <c r="C196" i="3" s="1"/>
  <c r="O196" i="3"/>
  <c r="D154" i="3"/>
  <c r="C154" i="3" s="1"/>
  <c r="O154" i="3"/>
  <c r="D7" i="3"/>
  <c r="C7" i="3" s="1"/>
  <c r="O7" i="3"/>
  <c r="D183" i="3"/>
  <c r="C183" i="3" s="1"/>
  <c r="O183" i="3"/>
  <c r="D135" i="3"/>
  <c r="C135" i="3" s="1"/>
  <c r="O135" i="3"/>
  <c r="D31" i="3"/>
  <c r="O31" i="3"/>
  <c r="D200" i="3"/>
  <c r="C200" i="3" s="1"/>
  <c r="O200" i="3"/>
  <c r="D158" i="3"/>
  <c r="C158" i="3" s="1"/>
  <c r="O158" i="3"/>
  <c r="D116" i="3"/>
  <c r="E116" i="3" s="1"/>
  <c r="O116" i="3"/>
  <c r="D48" i="3"/>
  <c r="C48" i="3" s="1"/>
  <c r="O48" i="3"/>
  <c r="D42" i="3"/>
  <c r="O42" i="3"/>
  <c r="D36" i="3"/>
  <c r="C36" i="3" s="1"/>
  <c r="O36" i="3"/>
  <c r="D30" i="3"/>
  <c r="C30" i="3" s="1"/>
  <c r="O30" i="3"/>
  <c r="D23" i="3"/>
  <c r="C23" i="3" s="1"/>
  <c r="O23" i="3"/>
  <c r="D17" i="3"/>
  <c r="C17" i="3" s="1"/>
  <c r="O17" i="3"/>
  <c r="D45" i="3"/>
  <c r="C45" i="3" s="1"/>
  <c r="O45" i="3"/>
  <c r="D8" i="3"/>
  <c r="O8" i="3"/>
  <c r="D208" i="3"/>
  <c r="O208" i="3"/>
  <c r="D184" i="3"/>
  <c r="E184" i="3" s="1"/>
  <c r="O184" i="3"/>
  <c r="D166" i="3"/>
  <c r="C166" i="3" s="1"/>
  <c r="O166" i="3"/>
  <c r="D142" i="3"/>
  <c r="E142" i="3" s="1"/>
  <c r="O142" i="3"/>
  <c r="D124" i="3"/>
  <c r="E124" i="3" s="1"/>
  <c r="O124" i="3"/>
  <c r="D100" i="3"/>
  <c r="C100" i="3" s="1"/>
  <c r="O100" i="3"/>
  <c r="O74" i="3"/>
  <c r="O19" i="3"/>
  <c r="D207" i="3"/>
  <c r="C207" i="3" s="1"/>
  <c r="O207" i="3"/>
  <c r="D189" i="3"/>
  <c r="C189" i="3" s="1"/>
  <c r="O189" i="3"/>
  <c r="D147" i="3"/>
  <c r="E147" i="3" s="1"/>
  <c r="O147" i="3"/>
  <c r="D129" i="3"/>
  <c r="E129" i="3" s="1"/>
  <c r="O129" i="3"/>
  <c r="D105" i="3"/>
  <c r="E105" i="3" s="1"/>
  <c r="O105" i="3"/>
  <c r="D79" i="3"/>
  <c r="E79" i="3" s="1"/>
  <c r="O79" i="3"/>
  <c r="D55" i="3"/>
  <c r="E55" i="3" s="1"/>
  <c r="O55" i="3"/>
  <c r="D37" i="3"/>
  <c r="C37" i="3" s="1"/>
  <c r="O37" i="3"/>
  <c r="O206" i="3"/>
  <c r="D182" i="3"/>
  <c r="C182" i="3" s="1"/>
  <c r="O182" i="3"/>
  <c r="D164" i="3"/>
  <c r="E164" i="3" s="1"/>
  <c r="O164" i="3"/>
  <c r="D140" i="3"/>
  <c r="E140" i="3" s="1"/>
  <c r="O140" i="3"/>
  <c r="D98" i="3"/>
  <c r="E98" i="3" s="1"/>
  <c r="O98" i="3"/>
  <c r="D145" i="3"/>
  <c r="E145" i="3" s="1"/>
  <c r="O145" i="3"/>
  <c r="D133" i="3"/>
  <c r="E133" i="3" s="1"/>
  <c r="O133" i="3"/>
  <c r="D103" i="3"/>
  <c r="E103" i="3" s="1"/>
  <c r="O103" i="3"/>
  <c r="D97" i="3"/>
  <c r="E97" i="3" s="1"/>
  <c r="O97" i="3"/>
  <c r="D71" i="3"/>
  <c r="C71" i="3" s="1"/>
  <c r="O71" i="3"/>
  <c r="D65" i="3"/>
  <c r="C65" i="3" s="1"/>
  <c r="O65" i="3"/>
  <c r="O53" i="3"/>
  <c r="J162" i="3"/>
  <c r="J156" i="3"/>
  <c r="J144" i="3"/>
  <c r="D53" i="3"/>
  <c r="D41" i="3"/>
  <c r="C41" i="3" s="1"/>
  <c r="O41" i="3"/>
  <c r="D16" i="3"/>
  <c r="O16" i="3"/>
  <c r="D10" i="3"/>
  <c r="O10" i="3"/>
  <c r="D4" i="3"/>
  <c r="O4" i="3"/>
  <c r="D202" i="3"/>
  <c r="E202" i="3" s="1"/>
  <c r="O202" i="3"/>
  <c r="D160" i="3"/>
  <c r="E160" i="3" s="1"/>
  <c r="O160" i="3"/>
  <c r="D68" i="3"/>
  <c r="O68" i="3"/>
  <c r="D38" i="3"/>
  <c r="C38" i="3" s="1"/>
  <c r="O38" i="3"/>
  <c r="D171" i="3"/>
  <c r="E171" i="3" s="1"/>
  <c r="O171" i="3"/>
  <c r="D73" i="3"/>
  <c r="O73" i="3"/>
  <c r="D25" i="3"/>
  <c r="O25" i="3"/>
  <c r="D194" i="3"/>
  <c r="O194" i="3"/>
  <c r="D152" i="3"/>
  <c r="E152" i="3" s="1"/>
  <c r="O152" i="3"/>
  <c r="D60" i="3"/>
  <c r="C60" i="3" s="1"/>
  <c r="O60" i="3"/>
  <c r="D199" i="3"/>
  <c r="C199" i="3" s="1"/>
  <c r="O199" i="3"/>
  <c r="D121" i="3"/>
  <c r="E121" i="3" s="1"/>
  <c r="O121" i="3"/>
  <c r="D180" i="3"/>
  <c r="E180" i="3" s="1"/>
  <c r="O180" i="3"/>
  <c r="D156" i="3"/>
  <c r="E156" i="3" s="1"/>
  <c r="O156" i="3"/>
  <c r="D144" i="3"/>
  <c r="E144" i="3" s="1"/>
  <c r="O144" i="3"/>
  <c r="D138" i="3"/>
  <c r="C138" i="3" s="1"/>
  <c r="O138" i="3"/>
  <c r="D132" i="3"/>
  <c r="E132" i="3" s="1"/>
  <c r="O132" i="3"/>
  <c r="D120" i="3"/>
  <c r="E120" i="3" s="1"/>
  <c r="O120" i="3"/>
  <c r="D108" i="3"/>
  <c r="E108" i="3" s="1"/>
  <c r="O108" i="3"/>
  <c r="D102" i="3"/>
  <c r="E102" i="3" s="1"/>
  <c r="O102" i="3"/>
  <c r="D96" i="3"/>
  <c r="C96" i="3" s="1"/>
  <c r="O96" i="3"/>
  <c r="D76" i="3"/>
  <c r="C76" i="3" s="1"/>
  <c r="O76" i="3"/>
  <c r="D70" i="3"/>
  <c r="C70" i="3" s="1"/>
  <c r="O70" i="3"/>
  <c r="D64" i="3"/>
  <c r="C64" i="3" s="1"/>
  <c r="O64" i="3"/>
  <c r="D58" i="3"/>
  <c r="O58" i="3"/>
  <c r="O51" i="3"/>
  <c r="D20" i="3"/>
  <c r="O20" i="3"/>
  <c r="D178" i="3"/>
  <c r="C178" i="3" s="1"/>
  <c r="O178" i="3"/>
  <c r="D136" i="3"/>
  <c r="E136" i="3" s="1"/>
  <c r="O136" i="3"/>
  <c r="D86" i="3"/>
  <c r="E86" i="3" s="1"/>
  <c r="O86" i="3"/>
  <c r="D159" i="3"/>
  <c r="E159" i="3" s="1"/>
  <c r="O159" i="3"/>
  <c r="D61" i="3"/>
  <c r="O61" i="3"/>
  <c r="D49" i="3"/>
  <c r="O49" i="3"/>
  <c r="O18" i="3"/>
  <c r="D134" i="3"/>
  <c r="E134" i="3" s="1"/>
  <c r="O134" i="3"/>
  <c r="D84" i="3"/>
  <c r="C84" i="3" s="1"/>
  <c r="O84" i="3"/>
  <c r="O193" i="3"/>
  <c r="D163" i="3"/>
  <c r="E163" i="3" s="1"/>
  <c r="O163" i="3"/>
  <c r="D127" i="3"/>
  <c r="C127" i="3" s="1"/>
  <c r="O127" i="3"/>
  <c r="D210" i="3"/>
  <c r="C210" i="3" s="1"/>
  <c r="O210" i="3"/>
  <c r="D186" i="3"/>
  <c r="E186" i="3" s="1"/>
  <c r="O186" i="3"/>
  <c r="D162" i="3"/>
  <c r="E162" i="3" s="1"/>
  <c r="O162" i="3"/>
  <c r="D52" i="3"/>
  <c r="C52" i="3" s="1"/>
  <c r="O52" i="3"/>
  <c r="D28" i="3"/>
  <c r="C28" i="3" s="1"/>
  <c r="O28" i="3"/>
  <c r="D21" i="3"/>
  <c r="C21" i="3" s="1"/>
  <c r="O21" i="3"/>
  <c r="O15" i="3"/>
  <c r="D9" i="3"/>
  <c r="C9" i="3" s="1"/>
  <c r="O9" i="3"/>
  <c r="D39" i="3"/>
  <c r="O39" i="3"/>
  <c r="D14" i="3"/>
  <c r="E14" i="3" s="1"/>
  <c r="O14" i="3"/>
  <c r="D214" i="3"/>
  <c r="C214" i="3" s="1"/>
  <c r="O214" i="3"/>
  <c r="D190" i="3"/>
  <c r="E190" i="3" s="1"/>
  <c r="O190" i="3"/>
  <c r="D172" i="3"/>
  <c r="E172" i="3" s="1"/>
  <c r="O172" i="3"/>
  <c r="D148" i="3"/>
  <c r="E148" i="3" s="1"/>
  <c r="O148" i="3"/>
  <c r="D130" i="3"/>
  <c r="C130" i="3" s="1"/>
  <c r="O130" i="3"/>
  <c r="D106" i="3"/>
  <c r="E106" i="3" s="1"/>
  <c r="O106" i="3"/>
  <c r="D80" i="3"/>
  <c r="E80" i="3" s="1"/>
  <c r="O80" i="3"/>
  <c r="O50" i="3"/>
  <c r="D32" i="3"/>
  <c r="C32" i="3" s="1"/>
  <c r="O32" i="3"/>
  <c r="D13" i="3"/>
  <c r="O13" i="3"/>
  <c r="D195" i="3"/>
  <c r="E195" i="3" s="1"/>
  <c r="O195" i="3"/>
  <c r="D177" i="3"/>
  <c r="C177" i="3" s="1"/>
  <c r="O177" i="3"/>
  <c r="D153" i="3"/>
  <c r="C153" i="3" s="1"/>
  <c r="O153" i="3"/>
  <c r="D141" i="3"/>
  <c r="E141" i="3" s="1"/>
  <c r="O141" i="3"/>
  <c r="D99" i="3"/>
  <c r="E99" i="3" s="1"/>
  <c r="O99" i="3"/>
  <c r="D67" i="3"/>
  <c r="C67" i="3" s="1"/>
  <c r="O67" i="3"/>
  <c r="D43" i="3"/>
  <c r="O43" i="3"/>
  <c r="D12" i="3"/>
  <c r="C12" i="3" s="1"/>
  <c r="O12" i="3"/>
  <c r="D212" i="3"/>
  <c r="C212" i="3" s="1"/>
  <c r="O212" i="3"/>
  <c r="D188" i="3"/>
  <c r="O188" i="3"/>
  <c r="D170" i="3"/>
  <c r="C170" i="3" s="1"/>
  <c r="O170" i="3"/>
  <c r="D146" i="3"/>
  <c r="C146" i="3" s="1"/>
  <c r="O146" i="3"/>
  <c r="D128" i="3"/>
  <c r="C128" i="3" s="1"/>
  <c r="O128" i="3"/>
  <c r="D104" i="3"/>
  <c r="E104" i="3" s="1"/>
  <c r="O104" i="3"/>
  <c r="D78" i="3"/>
  <c r="E78" i="3" s="1"/>
  <c r="O78" i="3"/>
  <c r="O54" i="3"/>
  <c r="D211" i="3"/>
  <c r="C211" i="3" s="1"/>
  <c r="O211" i="3"/>
  <c r="D187" i="3"/>
  <c r="C187" i="3" s="1"/>
  <c r="O187" i="3"/>
  <c r="D175" i="3"/>
  <c r="E175" i="3" s="1"/>
  <c r="O175" i="3"/>
  <c r="D151" i="3"/>
  <c r="E151" i="3" s="1"/>
  <c r="O151" i="3"/>
  <c r="D139" i="3"/>
  <c r="E139" i="3" s="1"/>
  <c r="O139" i="3"/>
  <c r="D109" i="3"/>
  <c r="E109" i="3" s="1"/>
  <c r="O109" i="3"/>
  <c r="O198" i="3"/>
  <c r="O192" i="3"/>
  <c r="D174" i="3"/>
  <c r="C174" i="3" s="1"/>
  <c r="O174" i="3"/>
  <c r="D168" i="3"/>
  <c r="C168" i="3" s="1"/>
  <c r="O168" i="3"/>
  <c r="D150" i="3"/>
  <c r="E150" i="3" s="1"/>
  <c r="O150" i="3"/>
  <c r="O203" i="3"/>
  <c r="O191" i="3"/>
  <c r="D185" i="3"/>
  <c r="E185" i="3" s="1"/>
  <c r="O185" i="3"/>
  <c r="D179" i="3"/>
  <c r="C179" i="3" s="1"/>
  <c r="O179" i="3"/>
  <c r="D161" i="3"/>
  <c r="C161" i="3" s="1"/>
  <c r="O161" i="3"/>
  <c r="D155" i="3"/>
  <c r="E155" i="3" s="1"/>
  <c r="O155" i="3"/>
  <c r="D149" i="3"/>
  <c r="E149" i="3" s="1"/>
  <c r="O149" i="3"/>
  <c r="D143" i="3"/>
  <c r="E143" i="3" s="1"/>
  <c r="O143" i="3"/>
  <c r="D137" i="3"/>
  <c r="C137" i="3" s="1"/>
  <c r="O137" i="3"/>
  <c r="D113" i="3"/>
  <c r="E113" i="3" s="1"/>
  <c r="O113" i="3"/>
  <c r="D101" i="3"/>
  <c r="E101" i="3" s="1"/>
  <c r="O101" i="3"/>
  <c r="D75" i="3"/>
  <c r="E75" i="3" s="1"/>
  <c r="O75" i="3"/>
  <c r="D57" i="3"/>
  <c r="C57" i="3" s="1"/>
  <c r="O57" i="3"/>
  <c r="J21" i="3"/>
  <c r="D191" i="3"/>
  <c r="E191" i="3" s="1"/>
  <c r="J51" i="3"/>
  <c r="J48" i="3"/>
  <c r="J45" i="3"/>
  <c r="J111" i="3"/>
  <c r="J108" i="3"/>
  <c r="J105" i="3"/>
  <c r="J209" i="3"/>
  <c r="J191" i="3"/>
  <c r="J185" i="3"/>
  <c r="J179" i="3"/>
  <c r="J164" i="3"/>
  <c r="J149" i="3"/>
  <c r="J134" i="3"/>
  <c r="J211" i="3"/>
  <c r="J196" i="3"/>
  <c r="J139" i="3"/>
  <c r="J136" i="3"/>
  <c r="J103" i="3"/>
  <c r="J97" i="3"/>
  <c r="J83" i="3"/>
  <c r="J38" i="3"/>
  <c r="J184" i="3"/>
  <c r="J176" i="3"/>
  <c r="J154" i="3"/>
  <c r="J151" i="3"/>
  <c r="J192" i="3"/>
  <c r="J142" i="3"/>
  <c r="J54" i="3"/>
  <c r="J15" i="3"/>
  <c r="J42" i="3"/>
  <c r="J180" i="3"/>
  <c r="J138" i="3"/>
  <c r="J135" i="3"/>
  <c r="J132" i="3"/>
  <c r="J140" i="3"/>
  <c r="J208" i="3"/>
  <c r="J174" i="3"/>
  <c r="J171" i="3"/>
  <c r="J40" i="3"/>
  <c r="J19" i="3"/>
  <c r="J16" i="3"/>
  <c r="J10" i="3"/>
  <c r="J212" i="3"/>
  <c r="J190" i="3"/>
  <c r="J167" i="3"/>
  <c r="J39" i="3"/>
  <c r="J207" i="3"/>
  <c r="J201" i="3"/>
  <c r="J187" i="3"/>
  <c r="J161" i="3"/>
  <c r="J107" i="3"/>
  <c r="J104" i="3"/>
  <c r="J73" i="3"/>
  <c r="J23" i="3"/>
  <c r="J12" i="3"/>
  <c r="J178" i="3"/>
  <c r="J169" i="3"/>
  <c r="J166" i="3"/>
  <c r="J143" i="3"/>
  <c r="J124" i="3"/>
  <c r="J20" i="3"/>
  <c r="J17" i="3"/>
  <c r="J160" i="3"/>
  <c r="J75" i="3"/>
  <c r="J8" i="3"/>
  <c r="D173" i="3"/>
  <c r="C173" i="3" s="1"/>
  <c r="D15" i="3"/>
  <c r="J172" i="3"/>
  <c r="J113" i="3"/>
  <c r="J80" i="3"/>
  <c r="J198" i="3"/>
  <c r="J99" i="3"/>
  <c r="J96" i="3"/>
  <c r="J53" i="3"/>
  <c r="J34" i="3"/>
  <c r="J9" i="3"/>
  <c r="J50" i="3"/>
  <c r="J25" i="3"/>
  <c r="D131" i="3"/>
  <c r="C131" i="3" s="1"/>
  <c r="D169" i="3"/>
  <c r="E169" i="3" s="1"/>
  <c r="J3" i="3"/>
  <c r="D50" i="3"/>
  <c r="C50" i="3" s="1"/>
  <c r="J6" i="3"/>
  <c r="J62" i="3"/>
  <c r="J210" i="3"/>
  <c r="J202" i="3"/>
  <c r="J181" i="3"/>
  <c r="J147" i="3"/>
  <c r="J129" i="3"/>
  <c r="J41" i="3"/>
  <c r="D19" i="3"/>
  <c r="J199" i="3"/>
  <c r="J57" i="3"/>
  <c r="J30" i="3"/>
  <c r="D181" i="3"/>
  <c r="C181" i="3" s="1"/>
  <c r="J158" i="3"/>
  <c r="J131" i="3"/>
  <c r="J146" i="3"/>
  <c r="J205" i="3"/>
  <c r="D198" i="3"/>
  <c r="C198" i="3" s="1"/>
  <c r="J193" i="3"/>
  <c r="J182" i="3"/>
  <c r="D176" i="3"/>
  <c r="C176" i="3" s="1"/>
  <c r="J165" i="3"/>
  <c r="J163" i="3"/>
  <c r="J121" i="3"/>
  <c r="J87" i="3"/>
  <c r="J49" i="3"/>
  <c r="J47" i="3"/>
  <c r="J35" i="3"/>
  <c r="J13" i="3"/>
  <c r="D87" i="3"/>
  <c r="J188" i="3"/>
  <c r="J186" i="3"/>
  <c r="J175" i="3"/>
  <c r="J173" i="3"/>
  <c r="D167" i="3"/>
  <c r="E167" i="3" s="1"/>
  <c r="J84" i="3"/>
  <c r="J70" i="3"/>
  <c r="D51" i="3"/>
  <c r="J32" i="3"/>
  <c r="D6" i="3"/>
  <c r="J177" i="3"/>
  <c r="J112" i="3"/>
  <c r="J109" i="3"/>
  <c r="J81" i="3"/>
  <c r="L3" i="3"/>
  <c r="J130" i="3"/>
  <c r="J128" i="3"/>
  <c r="J120" i="3"/>
  <c r="J67" i="3"/>
  <c r="J60" i="3"/>
  <c r="D165" i="3"/>
  <c r="C165" i="3" s="1"/>
  <c r="J106" i="3"/>
  <c r="J102" i="3"/>
  <c r="J100" i="3"/>
  <c r="J98" i="3"/>
  <c r="J74" i="3"/>
  <c r="J37" i="3"/>
  <c r="J206" i="3"/>
  <c r="J194" i="3"/>
  <c r="D192" i="3"/>
  <c r="C192" i="3" s="1"/>
  <c r="J183" i="3"/>
  <c r="J170" i="3"/>
  <c r="J168" i="3"/>
  <c r="J114" i="3"/>
  <c r="J64" i="3"/>
  <c r="D62" i="3"/>
  <c r="C62" i="3" s="1"/>
  <c r="J52" i="3"/>
  <c r="J36" i="3"/>
  <c r="J18" i="3"/>
  <c r="J14" i="3"/>
  <c r="J195" i="3"/>
  <c r="J155" i="3"/>
  <c r="J150" i="3"/>
  <c r="J148" i="3"/>
  <c r="J133" i="3"/>
  <c r="D18" i="3"/>
  <c r="J189" i="3"/>
  <c r="J127" i="3"/>
  <c r="J119" i="3"/>
  <c r="J78" i="3"/>
  <c r="D74" i="3"/>
  <c r="E74" i="3" s="1"/>
  <c r="J61" i="3"/>
  <c r="D54" i="3"/>
  <c r="J28" i="3"/>
  <c r="J22" i="3"/>
  <c r="C3" i="3"/>
  <c r="C5" i="3"/>
  <c r="J125" i="3"/>
  <c r="J123" i="3"/>
  <c r="D110" i="3"/>
  <c r="J77" i="3"/>
  <c r="J11" i="3"/>
  <c r="D11" i="3"/>
  <c r="D123" i="3"/>
  <c r="D77" i="3"/>
  <c r="C77" i="3" s="1"/>
  <c r="J71" i="3"/>
  <c r="J65" i="3"/>
  <c r="D125" i="3"/>
  <c r="J116" i="3"/>
  <c r="D114" i="3"/>
  <c r="D112" i="3"/>
  <c r="J86" i="3"/>
  <c r="J69" i="3"/>
  <c r="J63" i="3"/>
  <c r="J55" i="3"/>
  <c r="J46" i="3"/>
  <c r="J118" i="3"/>
  <c r="J82" i="3"/>
  <c r="D69" i="3"/>
  <c r="D63" i="3"/>
  <c r="J59" i="3"/>
  <c r="J44" i="3"/>
  <c r="J33" i="3"/>
  <c r="D33" i="3"/>
  <c r="J27" i="3"/>
  <c r="D22" i="3"/>
  <c r="D197" i="3"/>
  <c r="D118" i="3"/>
  <c r="D59" i="3"/>
  <c r="C59" i="3" s="1"/>
  <c r="D44" i="3"/>
  <c r="C44" i="3" s="1"/>
  <c r="J29" i="3"/>
  <c r="D27" i="3"/>
  <c r="J216" i="3"/>
  <c r="J122" i="3"/>
  <c r="D107" i="3"/>
  <c r="C107" i="3" s="1"/>
  <c r="D82" i="3"/>
  <c r="D46" i="3"/>
  <c r="C46" i="3" s="1"/>
  <c r="D35" i="3"/>
  <c r="J31" i="3"/>
  <c r="D29" i="3"/>
  <c r="J213" i="3"/>
  <c r="D213" i="3"/>
  <c r="C213" i="3" s="1"/>
  <c r="D122" i="3"/>
  <c r="D215" i="3"/>
  <c r="C215" i="3" s="1"/>
  <c r="J215" i="3"/>
  <c r="D216" i="3"/>
  <c r="J214" i="3"/>
  <c r="J152" i="3"/>
  <c r="D201" i="3"/>
  <c r="J157" i="3"/>
  <c r="J126" i="3"/>
  <c r="D111" i="3"/>
  <c r="J76" i="3"/>
  <c r="J68" i="3"/>
  <c r="D40" i="3"/>
  <c r="D203" i="3"/>
  <c r="C203" i="3" s="1"/>
  <c r="J203" i="3"/>
  <c r="D157" i="3"/>
  <c r="C157" i="3" s="1"/>
  <c r="D126" i="3"/>
  <c r="J117" i="3"/>
  <c r="J115" i="3"/>
  <c r="J85" i="3"/>
  <c r="J72" i="3"/>
  <c r="J66" i="3"/>
  <c r="J58" i="3"/>
  <c r="J43" i="3"/>
  <c r="J26" i="3"/>
  <c r="D115" i="3"/>
  <c r="D72" i="3"/>
  <c r="D66" i="3"/>
  <c r="J56" i="3"/>
  <c r="D47" i="3"/>
  <c r="D26" i="3"/>
  <c r="D204" i="3"/>
  <c r="C204" i="3" s="1"/>
  <c r="J204" i="3"/>
  <c r="J200" i="3"/>
  <c r="D117" i="3"/>
  <c r="J101" i="3"/>
  <c r="D85" i="3"/>
  <c r="D83" i="3"/>
  <c r="C83" i="3" s="1"/>
  <c r="D81" i="3"/>
  <c r="C81" i="3" s="1"/>
  <c r="J79" i="3"/>
  <c r="D56" i="3"/>
  <c r="H1" i="3"/>
  <c r="D205" i="3"/>
  <c r="C205" i="3" s="1"/>
  <c r="J197" i="3"/>
  <c r="D209" i="3"/>
  <c r="C209" i="3" s="1"/>
  <c r="J153" i="3"/>
  <c r="J145" i="3"/>
  <c r="J137" i="3"/>
  <c r="D119" i="3"/>
  <c r="J110" i="3"/>
  <c r="D34" i="3"/>
  <c r="C34" i="3" s="1"/>
  <c r="J5" i="3"/>
  <c r="O3" i="3"/>
  <c r="D206" i="3"/>
  <c r="C206" i="3" s="1"/>
  <c r="D193" i="3"/>
  <c r="C193" i="3" s="1"/>
  <c r="J7" i="3"/>
  <c r="G157" i="151" l="1"/>
  <c r="G164" i="151"/>
  <c r="G170" i="151"/>
  <c r="G172" i="151"/>
  <c r="G153" i="151"/>
  <c r="G155" i="151"/>
  <c r="G158" i="151"/>
  <c r="G165" i="151"/>
  <c r="G168" i="151"/>
  <c r="G152" i="151"/>
  <c r="G163" i="151"/>
  <c r="G166" i="151"/>
  <c r="G147" i="151"/>
  <c r="G151" i="151"/>
  <c r="E154" i="3"/>
  <c r="E178" i="3"/>
  <c r="C143" i="3"/>
  <c r="E170" i="3"/>
  <c r="C79" i="3"/>
  <c r="C16" i="3"/>
  <c r="C184" i="3"/>
  <c r="E138" i="3"/>
  <c r="E38" i="3"/>
  <c r="E146" i="3"/>
  <c r="C99" i="3"/>
  <c r="C171" i="3"/>
  <c r="E177" i="3"/>
  <c r="C186" i="3"/>
  <c r="C140" i="3"/>
  <c r="E168" i="3"/>
  <c r="C132" i="3"/>
  <c r="C156" i="3"/>
  <c r="C14" i="3"/>
  <c r="C55" i="3"/>
  <c r="E166" i="3"/>
  <c r="C191" i="3"/>
  <c r="C134" i="3"/>
  <c r="C185" i="3"/>
  <c r="C13" i="3"/>
  <c r="E100" i="3"/>
  <c r="E61" i="3"/>
  <c r="C159" i="3"/>
  <c r="C108" i="3"/>
  <c r="C58" i="3"/>
  <c r="C124" i="3"/>
  <c r="E183" i="3"/>
  <c r="C147" i="3"/>
  <c r="E182" i="3"/>
  <c r="C73" i="3"/>
  <c r="C116" i="3"/>
  <c r="E48" i="3"/>
  <c r="E174" i="3"/>
  <c r="C172" i="3"/>
  <c r="C10" i="3"/>
  <c r="C129" i="3"/>
  <c r="C148" i="3"/>
  <c r="C98" i="3"/>
  <c r="E135" i="3"/>
  <c r="C202" i="3"/>
  <c r="C188" i="3"/>
  <c r="C49" i="3"/>
  <c r="C31" i="3"/>
  <c r="E43" i="3"/>
  <c r="C25" i="3"/>
  <c r="C53" i="3"/>
  <c r="G149" i="8"/>
  <c r="C4" i="3"/>
  <c r="C106" i="3"/>
  <c r="C42" i="3"/>
  <c r="C155" i="3"/>
  <c r="C160" i="3"/>
  <c r="E137" i="3"/>
  <c r="C194" i="3"/>
  <c r="E128" i="3"/>
  <c r="E161" i="3"/>
  <c r="C142" i="3"/>
  <c r="C43" i="3"/>
  <c r="C195" i="3"/>
  <c r="C145" i="3"/>
  <c r="C151" i="3"/>
  <c r="C121" i="3"/>
  <c r="C120" i="3"/>
  <c r="E130" i="3"/>
  <c r="C162" i="3"/>
  <c r="C86" i="3"/>
  <c r="C133" i="3"/>
  <c r="C180" i="3"/>
  <c r="C136" i="3"/>
  <c r="C101" i="3"/>
  <c r="E179" i="3"/>
  <c r="E153" i="3"/>
  <c r="C113" i="3"/>
  <c r="C175" i="3"/>
  <c r="C39" i="3"/>
  <c r="C104" i="3"/>
  <c r="C75" i="3"/>
  <c r="E189" i="3"/>
  <c r="C109" i="3"/>
  <c r="C208" i="3"/>
  <c r="C141" i="3"/>
  <c r="C61" i="3"/>
  <c r="C105" i="3"/>
  <c r="C8" i="3"/>
  <c r="C20" i="3"/>
  <c r="C152" i="3"/>
  <c r="C149" i="3"/>
  <c r="C68" i="3"/>
  <c r="C78" i="3"/>
  <c r="C190" i="3"/>
  <c r="C163" i="3"/>
  <c r="C139" i="3"/>
  <c r="C80" i="3"/>
  <c r="C97" i="3"/>
  <c r="C150" i="3"/>
  <c r="C103" i="3"/>
  <c r="C102" i="3"/>
  <c r="C144" i="3"/>
  <c r="C164" i="3"/>
  <c r="C15" i="3"/>
  <c r="G162" i="151" s="1"/>
  <c r="E165" i="3"/>
  <c r="C63" i="3"/>
  <c r="C54" i="3"/>
  <c r="C22" i="3"/>
  <c r="C29" i="3"/>
  <c r="E181" i="3"/>
  <c r="C69" i="3"/>
  <c r="C66" i="3"/>
  <c r="E173" i="3"/>
  <c r="C35" i="3"/>
  <c r="C11" i="3"/>
  <c r="C51" i="3"/>
  <c r="C26" i="3"/>
  <c r="C40" i="3"/>
  <c r="C18" i="3"/>
  <c r="C6" i="3"/>
  <c r="C72" i="3"/>
  <c r="C27" i="3"/>
  <c r="C19" i="3"/>
  <c r="C87" i="3"/>
  <c r="C169" i="3"/>
  <c r="C167" i="3"/>
  <c r="E176" i="3"/>
  <c r="C74" i="3"/>
  <c r="E115" i="3"/>
  <c r="C115" i="3"/>
  <c r="E126" i="3"/>
  <c r="C126" i="3"/>
  <c r="E111" i="3"/>
  <c r="C111" i="3"/>
  <c r="E122" i="3"/>
  <c r="C122" i="3"/>
  <c r="E82" i="3"/>
  <c r="C82" i="3"/>
  <c r="E125" i="3"/>
  <c r="C125" i="3"/>
  <c r="C47" i="3"/>
  <c r="E47" i="3"/>
  <c r="C197" i="3"/>
  <c r="E197" i="3"/>
  <c r="E85" i="3"/>
  <c r="C85" i="3"/>
  <c r="E110" i="3"/>
  <c r="C110" i="3"/>
  <c r="E119" i="3"/>
  <c r="C119" i="3"/>
  <c r="E117" i="3"/>
  <c r="C117" i="3"/>
  <c r="C201" i="3"/>
  <c r="E201" i="3"/>
  <c r="E216" i="3"/>
  <c r="C216" i="3"/>
  <c r="E56" i="3"/>
  <c r="C56" i="3"/>
  <c r="C33" i="3"/>
  <c r="E33" i="3"/>
  <c r="E123" i="3"/>
  <c r="C123" i="3"/>
  <c r="E118" i="3"/>
  <c r="C118" i="3"/>
  <c r="E112" i="3"/>
  <c r="C112" i="3"/>
  <c r="E114" i="3"/>
  <c r="C114" i="3"/>
  <c r="G145" i="6" l="1"/>
  <c r="G156" i="6"/>
  <c r="G146" i="151"/>
  <c r="G161" i="151"/>
  <c r="G154" i="151"/>
  <c r="G149" i="151"/>
  <c r="G169" i="151"/>
  <c r="G173" i="151"/>
  <c r="G148" i="151"/>
  <c r="G175" i="151"/>
  <c r="G179" i="151"/>
  <c r="G171" i="151"/>
  <c r="G174" i="151"/>
  <c r="G156" i="151"/>
  <c r="G150" i="151"/>
  <c r="G159" i="151"/>
  <c r="G176" i="151"/>
  <c r="G145" i="8"/>
  <c r="G148" i="8"/>
  <c r="G146" i="8"/>
  <c r="G147" i="8"/>
  <c r="AM95" i="77" l="1"/>
  <c r="AN95" i="77"/>
  <c r="AO95" i="77"/>
  <c r="AP95" i="77"/>
  <c r="AQ95" i="77"/>
  <c r="AR95" i="77"/>
  <c r="AS95" i="77"/>
  <c r="AT95" i="77"/>
  <c r="AM98" i="77"/>
  <c r="AN98" i="77"/>
  <c r="AO98" i="77"/>
  <c r="AP98" i="77"/>
  <c r="AQ98" i="77"/>
  <c r="AR98" i="77"/>
  <c r="AS98" i="77"/>
  <c r="AT98" i="77"/>
  <c r="AM103" i="77"/>
  <c r="AN103" i="77"/>
  <c r="AO103" i="77"/>
  <c r="AP103" i="77"/>
  <c r="AQ103" i="77"/>
  <c r="AR103" i="77"/>
  <c r="AS103" i="77"/>
  <c r="AT103" i="77"/>
  <c r="AM105" i="77"/>
  <c r="AN105" i="77"/>
  <c r="AO105" i="77"/>
  <c r="AP105" i="77"/>
  <c r="AQ105" i="77"/>
  <c r="AR105" i="77"/>
  <c r="AS105" i="77"/>
  <c r="AT105" i="77"/>
  <c r="AM107" i="77"/>
  <c r="AN107" i="77"/>
  <c r="AO107" i="77"/>
  <c r="AP107" i="77"/>
  <c r="AQ107" i="77"/>
  <c r="AR107" i="77"/>
  <c r="AS107" i="77"/>
  <c r="AT107" i="77"/>
  <c r="AM113" i="77"/>
  <c r="AN113" i="77"/>
  <c r="AO113" i="77"/>
  <c r="AP113" i="77"/>
  <c r="AQ113" i="77"/>
  <c r="AR113" i="77"/>
  <c r="AS113" i="77"/>
  <c r="AT113" i="77"/>
  <c r="AM115" i="77"/>
  <c r="AN115" i="77"/>
  <c r="AO115" i="77"/>
  <c r="AP115" i="77"/>
  <c r="AQ115" i="77"/>
  <c r="AR115" i="77"/>
  <c r="AS115" i="77"/>
  <c r="AT115" i="77"/>
  <c r="AM117" i="77"/>
  <c r="AN117" i="77"/>
  <c r="AO117" i="77"/>
  <c r="AP117" i="77"/>
  <c r="AQ117" i="77"/>
  <c r="AR117" i="77"/>
  <c r="AS117" i="77"/>
  <c r="AT117" i="77"/>
  <c r="AM119" i="77"/>
  <c r="AN119" i="77"/>
  <c r="AO119" i="77"/>
  <c r="AP119" i="77"/>
  <c r="AQ119" i="77"/>
  <c r="AR119" i="77"/>
  <c r="AS119" i="77"/>
  <c r="AT119" i="77"/>
  <c r="AM127" i="77"/>
  <c r="AN127" i="77"/>
  <c r="AO127" i="77"/>
  <c r="AP127" i="77"/>
  <c r="AQ127" i="77"/>
  <c r="AR127" i="77"/>
  <c r="AS127" i="77"/>
  <c r="AT127" i="77"/>
  <c r="AM129" i="77"/>
  <c r="AN129" i="77"/>
  <c r="AO129" i="77"/>
  <c r="AP129" i="77"/>
  <c r="AQ129" i="77"/>
  <c r="AR129" i="77"/>
  <c r="AS129" i="77"/>
  <c r="AT129" i="77"/>
  <c r="AM131" i="77"/>
  <c r="AN131" i="77"/>
  <c r="AO131" i="77"/>
  <c r="AP131" i="77"/>
  <c r="AQ131" i="77"/>
  <c r="AR131" i="77"/>
  <c r="AS131" i="77"/>
  <c r="AT131" i="77"/>
  <c r="AM133" i="77"/>
  <c r="AN133" i="77"/>
  <c r="AO133" i="77"/>
  <c r="AP133" i="77"/>
  <c r="AQ133" i="77"/>
  <c r="AR133" i="77"/>
  <c r="AS133" i="77"/>
  <c r="AT133" i="77"/>
  <c r="AO139" i="77"/>
  <c r="AP139" i="77"/>
  <c r="AQ139" i="77"/>
  <c r="AR139" i="77"/>
  <c r="AS139" i="77"/>
  <c r="AT139" i="77"/>
  <c r="AM143" i="77"/>
  <c r="AN143" i="77"/>
  <c r="AO143" i="77"/>
  <c r="AP143" i="77"/>
  <c r="AQ143" i="77"/>
  <c r="AR143" i="77"/>
  <c r="AS143" i="77"/>
  <c r="AT143" i="77"/>
  <c r="AN146" i="8"/>
  <c r="AO146" i="8"/>
  <c r="AP146" i="8"/>
  <c r="AQ146" i="8"/>
  <c r="AR146" i="8"/>
  <c r="AS146" i="8"/>
  <c r="AT146" i="8"/>
  <c r="AU146" i="8"/>
  <c r="AM153" i="77"/>
  <c r="AN153" i="77"/>
  <c r="AO153" i="77"/>
  <c r="AP153" i="77"/>
  <c r="AQ153" i="77"/>
  <c r="AR153" i="77"/>
  <c r="AS153" i="77"/>
  <c r="AT153" i="77"/>
  <c r="AN112" i="8"/>
  <c r="AO112" i="8"/>
  <c r="AP112" i="8"/>
  <c r="AQ112" i="8"/>
  <c r="AR112" i="8"/>
  <c r="AS112" i="8"/>
  <c r="AT112" i="8"/>
  <c r="AU112" i="8"/>
  <c r="AN113" i="8"/>
  <c r="AO113" i="8"/>
  <c r="AP113" i="8"/>
  <c r="AQ113" i="8"/>
  <c r="AR113" i="8"/>
  <c r="AS113" i="8"/>
  <c r="AT113" i="8"/>
  <c r="AU113" i="8"/>
  <c r="AN114" i="8"/>
  <c r="AO114" i="8"/>
  <c r="AP114" i="8"/>
  <c r="AQ114" i="8"/>
  <c r="AR114" i="8"/>
  <c r="AS114" i="8"/>
  <c r="AT114" i="8"/>
  <c r="AU114" i="8"/>
  <c r="AN115" i="8"/>
  <c r="AO115" i="8"/>
  <c r="AP115" i="8"/>
  <c r="AQ115" i="8"/>
  <c r="AR115" i="8"/>
  <c r="AS115" i="8"/>
  <c r="AT115" i="8"/>
  <c r="AU115" i="8"/>
  <c r="AN116" i="8"/>
  <c r="AO116" i="8"/>
  <c r="AP116" i="8"/>
  <c r="AQ116" i="8"/>
  <c r="AR116" i="8"/>
  <c r="AS116" i="8"/>
  <c r="AT116" i="8"/>
  <c r="AU116" i="8"/>
  <c r="AN117" i="8"/>
  <c r="AO117" i="8"/>
  <c r="AP117" i="8"/>
  <c r="AQ117" i="8"/>
  <c r="AR117" i="8"/>
  <c r="AS117" i="8"/>
  <c r="AT117" i="8"/>
  <c r="AU117" i="8"/>
  <c r="AN118" i="8"/>
  <c r="AO118" i="8"/>
  <c r="AP118" i="8"/>
  <c r="AQ118" i="8"/>
  <c r="AR118" i="8"/>
  <c r="AS118" i="8"/>
  <c r="AT118" i="8"/>
  <c r="AU118" i="8"/>
  <c r="AN119" i="8"/>
  <c r="AO119" i="8"/>
  <c r="AP119" i="8"/>
  <c r="AQ119" i="8"/>
  <c r="AR119" i="8"/>
  <c r="AS119" i="8"/>
  <c r="AT119" i="8"/>
  <c r="AU119" i="8"/>
  <c r="AN120" i="8"/>
  <c r="AO120" i="8"/>
  <c r="AP120" i="8"/>
  <c r="AQ120" i="8"/>
  <c r="AR120" i="8"/>
  <c r="AS120" i="8"/>
  <c r="AT120" i="8"/>
  <c r="AU120" i="8"/>
  <c r="AN111" i="8"/>
  <c r="AO111" i="8"/>
  <c r="AP111" i="8"/>
  <c r="AQ111" i="8"/>
  <c r="AR111" i="8"/>
  <c r="AS111" i="8"/>
  <c r="AT111" i="8"/>
  <c r="AU111" i="8"/>
  <c r="AM51" i="77"/>
  <c r="AN51" i="77"/>
  <c r="AO51" i="77"/>
  <c r="AP51" i="77"/>
  <c r="AQ51" i="77"/>
  <c r="AR51" i="77"/>
  <c r="AS51" i="77"/>
  <c r="AT51" i="77"/>
  <c r="AM58" i="77"/>
  <c r="AN58" i="77"/>
  <c r="AO58" i="77"/>
  <c r="AP58" i="77"/>
  <c r="AQ58" i="77"/>
  <c r="AR58" i="77"/>
  <c r="AS58" i="77"/>
  <c r="AT58" i="77"/>
  <c r="AM69" i="77"/>
  <c r="AN69" i="77"/>
  <c r="AO69" i="77"/>
  <c r="AP69" i="77"/>
  <c r="AQ69" i="77"/>
  <c r="AR69" i="77"/>
  <c r="AS69" i="77"/>
  <c r="AT69" i="77"/>
  <c r="AM71" i="77"/>
  <c r="AN71" i="77"/>
  <c r="AO71" i="77"/>
  <c r="AP71" i="77"/>
  <c r="AQ71" i="77"/>
  <c r="AR71" i="77"/>
  <c r="AS71" i="77"/>
  <c r="AT71" i="77"/>
  <c r="AM65" i="77"/>
  <c r="AN65" i="77"/>
  <c r="AO65" i="77"/>
  <c r="AP65" i="77"/>
  <c r="AQ65" i="77"/>
  <c r="AR65" i="77"/>
  <c r="AS65" i="77"/>
  <c r="AT65" i="77"/>
  <c r="AM67" i="77"/>
  <c r="AN67" i="77"/>
  <c r="AO67" i="77"/>
  <c r="AP67" i="77"/>
  <c r="AQ67" i="77"/>
  <c r="AR67" i="77"/>
  <c r="AS67" i="77"/>
  <c r="AT67" i="77"/>
  <c r="AM73" i="77"/>
  <c r="AN73" i="77"/>
  <c r="AO73" i="77"/>
  <c r="AP73" i="77"/>
  <c r="AQ73" i="77"/>
  <c r="AR73" i="77"/>
  <c r="AS73" i="77"/>
  <c r="AT73" i="77"/>
  <c r="AM75" i="77"/>
  <c r="AO75" i="77"/>
  <c r="AP75" i="77"/>
  <c r="AQ75" i="77"/>
  <c r="AR75" i="77"/>
  <c r="AS75" i="77"/>
  <c r="AT75" i="77"/>
  <c r="AM62" i="77"/>
  <c r="AN62" i="77"/>
  <c r="AO62" i="77"/>
  <c r="AP62" i="77"/>
  <c r="AQ62" i="77"/>
  <c r="AR62" i="77"/>
  <c r="AS62" i="77"/>
  <c r="AT62" i="77"/>
  <c r="AN145" i="8"/>
  <c r="AO145" i="8"/>
  <c r="AP145" i="8"/>
  <c r="AQ145" i="8"/>
  <c r="AR145" i="8"/>
  <c r="AS145" i="8"/>
  <c r="AT145" i="8"/>
  <c r="AU145" i="8"/>
  <c r="AM60" i="77"/>
  <c r="AN60" i="77"/>
  <c r="AO60" i="77"/>
  <c r="AP60" i="77"/>
  <c r="AQ60" i="77"/>
  <c r="AR60" i="77"/>
  <c r="AS60" i="77"/>
  <c r="AT60" i="77"/>
  <c r="AO10" i="77"/>
  <c r="AP10" i="77"/>
  <c r="AQ10" i="77"/>
  <c r="AR10" i="77"/>
  <c r="AS10" i="77"/>
  <c r="AT10" i="77"/>
  <c r="AO12" i="77"/>
  <c r="AP12" i="77"/>
  <c r="AQ12" i="77"/>
  <c r="AR12" i="77"/>
  <c r="AS12" i="77"/>
  <c r="AT12" i="77"/>
  <c r="AO14" i="77"/>
  <c r="AP14" i="77"/>
  <c r="AQ14" i="77"/>
  <c r="AR14" i="77"/>
  <c r="AS14" i="77"/>
  <c r="AT14" i="77"/>
  <c r="AO16" i="77"/>
  <c r="AP16" i="77"/>
  <c r="AQ16" i="77"/>
  <c r="AR16" i="77"/>
  <c r="AS16" i="77"/>
  <c r="AT16" i="77"/>
  <c r="AO18" i="77"/>
  <c r="AP18" i="77"/>
  <c r="AQ18" i="77"/>
  <c r="AR18" i="77"/>
  <c r="AS18" i="77"/>
  <c r="AT18" i="77"/>
  <c r="AP149" i="8"/>
  <c r="AQ149" i="8"/>
  <c r="AR149" i="8"/>
  <c r="AS149" i="8"/>
  <c r="AT149" i="8"/>
  <c r="AU149" i="8"/>
  <c r="AO23" i="77"/>
  <c r="AP23" i="77"/>
  <c r="AQ23" i="77"/>
  <c r="AR23" i="77"/>
  <c r="AS23" i="77"/>
  <c r="AT23" i="77"/>
  <c r="AO27" i="77"/>
  <c r="AP27" i="77"/>
  <c r="AQ27" i="77"/>
  <c r="AR27" i="77"/>
  <c r="AS27" i="77"/>
  <c r="AT27" i="77"/>
  <c r="AP147" i="8"/>
  <c r="AQ147" i="8"/>
  <c r="AR147" i="8"/>
  <c r="AS147" i="8"/>
  <c r="AT147" i="8"/>
  <c r="AU147" i="8"/>
  <c r="AO31" i="77"/>
  <c r="AP31" i="77"/>
  <c r="AQ31" i="77"/>
  <c r="AR31" i="77"/>
  <c r="AS31" i="77"/>
  <c r="AT31" i="77"/>
  <c r="AO35" i="77"/>
  <c r="AP35" i="77"/>
  <c r="AQ35" i="77"/>
  <c r="AR35" i="77"/>
  <c r="AS35" i="77"/>
  <c r="AT35" i="77"/>
  <c r="AO37" i="77"/>
  <c r="AP37" i="77"/>
  <c r="AQ37" i="77"/>
  <c r="AR37" i="77"/>
  <c r="AS37" i="77"/>
  <c r="AT37" i="77"/>
  <c r="AO39" i="77"/>
  <c r="AP39" i="77"/>
  <c r="AQ39" i="77"/>
  <c r="AR39" i="77"/>
  <c r="AS39" i="77"/>
  <c r="AT39" i="77"/>
  <c r="AO3" i="77"/>
  <c r="AP3" i="77"/>
  <c r="AQ3" i="77"/>
  <c r="AR3" i="77"/>
  <c r="AS3" i="77"/>
  <c r="AT3" i="77"/>
  <c r="AN121" i="8" l="1"/>
  <c r="AO121" i="8"/>
  <c r="AP121" i="8"/>
  <c r="AQ121" i="8"/>
  <c r="AR121" i="8"/>
  <c r="AS121" i="8"/>
  <c r="AT121" i="8"/>
  <c r="AP185" i="77"/>
  <c r="AO185" i="77"/>
  <c r="AR184" i="77"/>
  <c r="AP190" i="77"/>
  <c r="AM187" i="77"/>
  <c r="AR188" i="77"/>
  <c r="AQ184" i="77"/>
  <c r="AN181" i="77"/>
  <c r="AP188" i="77"/>
  <c r="AS183" i="77"/>
  <c r="AS181" i="77"/>
  <c r="AO188" i="77"/>
  <c r="AR187" i="77"/>
  <c r="AO184" i="77"/>
  <c r="AR183" i="77"/>
  <c r="AS185" i="77"/>
  <c r="AM183" i="77"/>
  <c r="AR181" i="77"/>
  <c r="AN188" i="77"/>
  <c r="AQ187" i="77"/>
  <c r="AN184" i="77"/>
  <c r="AQ183" i="77"/>
  <c r="AQ185" i="77"/>
  <c r="AQ188" i="77"/>
  <c r="AN185" i="77"/>
  <c r="AP184" i="77"/>
  <c r="AQ181" i="77"/>
  <c r="AS190" i="77"/>
  <c r="AM188" i="77"/>
  <c r="AP187" i="77"/>
  <c r="AM184" i="77"/>
  <c r="AP183" i="77"/>
  <c r="AO190" i="77"/>
  <c r="AR185" i="77"/>
  <c r="AM190" i="77"/>
  <c r="AS188" i="77"/>
  <c r="AS184" i="77"/>
  <c r="AS187" i="77"/>
  <c r="AM185" i="77"/>
  <c r="AP181" i="77"/>
  <c r="AR190" i="77"/>
  <c r="AO187" i="77"/>
  <c r="AO183" i="77"/>
  <c r="AM181" i="77"/>
  <c r="AN190" i="77"/>
  <c r="AO181" i="77"/>
  <c r="AQ190" i="77"/>
  <c r="AN187" i="77"/>
  <c r="AN183" i="77"/>
  <c r="AT188" i="77"/>
  <c r="AT184" i="77"/>
  <c r="AT187" i="77"/>
  <c r="AT183" i="77"/>
  <c r="AT190" i="77"/>
  <c r="AT181" i="77"/>
  <c r="AT185" i="77"/>
  <c r="AQ93" i="77"/>
  <c r="AP93" i="77"/>
  <c r="AO93" i="77"/>
  <c r="AN93" i="77"/>
  <c r="AM93" i="77"/>
  <c r="AT93" i="77"/>
  <c r="AS93" i="77"/>
  <c r="AR93" i="77"/>
  <c r="AO47" i="8"/>
  <c r="AN47" i="8"/>
  <c r="AU47" i="8"/>
  <c r="AT47" i="8"/>
  <c r="AS47" i="8"/>
  <c r="AR47" i="8"/>
  <c r="AQ47" i="8"/>
  <c r="AP47" i="8"/>
  <c r="G179" i="8"/>
  <c r="G178" i="8"/>
  <c r="G164" i="8"/>
  <c r="AU121" i="8" l="1"/>
  <c r="AN122" i="8"/>
  <c r="AO122" i="8"/>
  <c r="AP122" i="8"/>
  <c r="AQ122" i="8"/>
  <c r="AR122" i="8"/>
  <c r="AS122" i="8"/>
  <c r="AT122" i="8"/>
  <c r="AU122" i="8"/>
  <c r="AQ50" i="8"/>
  <c r="AR50" i="8"/>
  <c r="AS50" i="8"/>
  <c r="AT50" i="8"/>
  <c r="AU50" i="8"/>
  <c r="AQ109" i="8"/>
  <c r="AR109" i="8"/>
  <c r="AS109" i="8"/>
  <c r="AT109" i="8"/>
  <c r="AU109" i="8"/>
  <c r="AQ48" i="8" l="1"/>
  <c r="AQ28" i="8"/>
  <c r="AR48" i="8"/>
  <c r="AR28" i="8"/>
  <c r="AS48" i="8"/>
  <c r="AS28" i="8"/>
  <c r="AT48" i="8"/>
  <c r="AT28" i="8"/>
  <c r="AU48" i="8"/>
  <c r="AU28" i="8"/>
  <c r="AO108" i="8"/>
  <c r="AN91" i="77"/>
  <c r="AN108" i="8"/>
  <c r="AM91" i="77"/>
  <c r="AU108" i="8"/>
  <c r="AT91" i="77"/>
  <c r="AT108" i="8"/>
  <c r="AS91" i="77"/>
  <c r="AR108" i="8"/>
  <c r="AQ91" i="77"/>
  <c r="AQ108" i="8"/>
  <c r="AP91" i="77"/>
  <c r="AS108" i="8"/>
  <c r="AR91" i="77"/>
  <c r="AP108" i="8"/>
  <c r="AO91" i="77"/>
  <c r="J168" i="8" l="1"/>
  <c r="AU176" i="8" l="1"/>
  <c r="AT176" i="8"/>
  <c r="AS176" i="8"/>
  <c r="AR176" i="8"/>
  <c r="AQ176" i="8"/>
  <c r="AP176" i="8"/>
  <c r="AO176" i="8"/>
  <c r="AN176" i="8"/>
  <c r="J180" i="8" l="1"/>
  <c r="AT44" i="77" l="1"/>
  <c r="AS44" i="77"/>
  <c r="AR44" i="77"/>
  <c r="AQ44" i="77"/>
  <c r="AP44" i="77"/>
  <c r="AO44" i="77"/>
  <c r="AN44" i="77"/>
  <c r="AM44" i="77"/>
  <c r="AS191" i="77" l="1"/>
  <c r="AQ191" i="77"/>
  <c r="AN191" i="77"/>
  <c r="AR191" i="77"/>
  <c r="AT191" i="77"/>
  <c r="AM191" i="77"/>
  <c r="AO191" i="77"/>
  <c r="AP191" i="77"/>
  <c r="AN160" i="8" l="1"/>
  <c r="AO160" i="8"/>
  <c r="AP160" i="8"/>
  <c r="AQ160" i="8"/>
  <c r="AR160" i="8"/>
  <c r="AS160" i="8"/>
  <c r="AT160" i="8"/>
  <c r="AU160" i="8"/>
  <c r="AN168" i="8"/>
  <c r="AO168" i="8"/>
  <c r="AP168" i="8"/>
  <c r="AQ168" i="8"/>
  <c r="AR168" i="8"/>
  <c r="AS168" i="8"/>
  <c r="AT168" i="8"/>
  <c r="AU168" i="8"/>
  <c r="AN178" i="8"/>
  <c r="AO178" i="8"/>
  <c r="AP178" i="8"/>
  <c r="AQ178" i="8"/>
  <c r="AR178" i="8"/>
  <c r="AS178" i="8"/>
  <c r="AT178" i="8"/>
  <c r="AU178" i="8"/>
  <c r="AN179" i="8"/>
  <c r="AO179" i="8"/>
  <c r="AP179" i="8"/>
  <c r="AQ179" i="8"/>
  <c r="AR179" i="8"/>
  <c r="AS179" i="8"/>
  <c r="AT179" i="8"/>
  <c r="AU179" i="8"/>
  <c r="AN180" i="8"/>
  <c r="AO180" i="8"/>
  <c r="AP180" i="8"/>
  <c r="AQ180" i="8"/>
  <c r="AR180" i="8"/>
  <c r="AS180" i="8"/>
  <c r="AT180" i="8"/>
  <c r="AU180" i="8"/>
  <c r="AN177" i="8"/>
  <c r="AO177" i="8"/>
  <c r="AP177" i="8"/>
  <c r="AQ177" i="8"/>
  <c r="AR177" i="8"/>
  <c r="AS177" i="8"/>
  <c r="AT177" i="8"/>
  <c r="AU177" i="8"/>
  <c r="AN165" i="8"/>
  <c r="AO165" i="8"/>
  <c r="AP165" i="8"/>
  <c r="AQ165" i="8"/>
  <c r="AR165" i="8"/>
  <c r="AS165" i="8"/>
  <c r="AT165" i="8"/>
  <c r="AU165" i="8"/>
  <c r="J160" i="8" l="1"/>
  <c r="AO46" i="77" l="1"/>
  <c r="AS46" i="77"/>
  <c r="AR46" i="77"/>
  <c r="AQ46" i="77"/>
  <c r="AT46" i="77"/>
  <c r="AP46" i="77"/>
  <c r="AQ87" i="77" l="1"/>
  <c r="AR87" i="77"/>
  <c r="AS87" i="77"/>
  <c r="AT87" i="77"/>
  <c r="AP87" i="77" l="1"/>
  <c r="AN87" i="77"/>
  <c r="AO87" i="77"/>
  <c r="G157" i="8" l="1"/>
  <c r="AN154" i="8" l="1"/>
  <c r="AO154" i="8"/>
  <c r="AP154" i="8"/>
  <c r="AQ154" i="8"/>
  <c r="AR154" i="8"/>
  <c r="AS154" i="8"/>
  <c r="AT154" i="8"/>
  <c r="AU154" i="8"/>
  <c r="AN155" i="8"/>
  <c r="AO155" i="8"/>
  <c r="AP155" i="8"/>
  <c r="AQ155" i="8"/>
  <c r="AR155" i="8"/>
  <c r="AS155" i="8"/>
  <c r="AT155" i="8"/>
  <c r="AU155" i="8"/>
  <c r="AO49" i="8"/>
  <c r="AN159" i="8"/>
  <c r="AO159" i="8"/>
  <c r="AP159" i="8"/>
  <c r="AQ159" i="8"/>
  <c r="AR159" i="8"/>
  <c r="AS159" i="8"/>
  <c r="AT159" i="8"/>
  <c r="AU159" i="8"/>
  <c r="AP42" i="77" l="1"/>
  <c r="AO42" i="77"/>
  <c r="AQ42" i="77"/>
  <c r="AT42" i="77"/>
  <c r="AS42" i="77"/>
  <c r="AR42" i="77"/>
  <c r="I4" i="77"/>
  <c r="AT49" i="8" l="1"/>
  <c r="AU49" i="8"/>
  <c r="AR49" i="8"/>
  <c r="AP49" i="8"/>
  <c r="AS49" i="8"/>
  <c r="AQ49" i="8"/>
  <c r="Z1" i="4"/>
  <c r="G163" i="8" l="1"/>
  <c r="G175" i="8"/>
  <c r="G171" i="8"/>
  <c r="G162" i="8"/>
  <c r="J155" i="8" l="1"/>
  <c r="G155" i="8" l="1"/>
  <c r="G168" i="8" l="1"/>
  <c r="K190" i="17" l="1"/>
  <c r="J190" i="17" l="1"/>
  <c r="G185" i="17"/>
  <c r="H185" i="17"/>
  <c r="I185" i="17"/>
  <c r="J185" i="17"/>
  <c r="K185" i="17"/>
  <c r="L185" i="17"/>
  <c r="M185" i="17"/>
  <c r="N185" i="17"/>
  <c r="O185" i="17"/>
  <c r="P185" i="17"/>
  <c r="Q185" i="17"/>
  <c r="F185" i="17"/>
  <c r="R165" i="17"/>
  <c r="H165" i="17" s="1"/>
  <c r="G165" i="17" l="1"/>
  <c r="G161" i="8" l="1"/>
  <c r="G150" i="8" l="1"/>
  <c r="G154" i="8"/>
  <c r="G166" i="8" l="1"/>
  <c r="G160" i="8" l="1"/>
  <c r="G176" i="8"/>
  <c r="G159" i="8"/>
  <c r="G158" i="8" l="1"/>
  <c r="G180" i="8"/>
  <c r="G153" i="8"/>
  <c r="G177" i="8"/>
  <c r="G165" i="8"/>
  <c r="G173" i="8"/>
  <c r="G156" i="8"/>
  <c r="G172" i="8"/>
  <c r="G169" i="8"/>
  <c r="G170" i="8"/>
  <c r="G174" i="8"/>
  <c r="G152" i="8" l="1"/>
  <c r="G151" i="8"/>
  <c r="J159" i="8" l="1"/>
  <c r="AK113" i="140" l="1"/>
  <c r="AK114" i="140" l="1"/>
  <c r="AF61" i="140" l="1"/>
  <c r="AS177" i="77" l="1"/>
  <c r="AT177" i="77"/>
  <c r="AN177" i="77"/>
  <c r="AO177" i="77"/>
  <c r="AM177" i="77"/>
  <c r="AQ177" i="77"/>
  <c r="AP177" i="77"/>
  <c r="AR177" i="77"/>
  <c r="AM74" i="77" l="1"/>
  <c r="AM57" i="77"/>
  <c r="AM59" i="77"/>
  <c r="AM24" i="77"/>
  <c r="AM63" i="77"/>
  <c r="AM136" i="77"/>
  <c r="AM15" i="77"/>
  <c r="AM94" i="77"/>
  <c r="AM134" i="77"/>
  <c r="AM114" i="77"/>
  <c r="AM19" i="77"/>
  <c r="AM96" i="77"/>
  <c r="AM43" i="77"/>
  <c r="AM132" i="77"/>
  <c r="AM66" i="77"/>
  <c r="AM128" i="77"/>
  <c r="AM140" i="77"/>
  <c r="AM28" i="77"/>
  <c r="AM32" i="77"/>
  <c r="AM36" i="77"/>
  <c r="AM148" i="77"/>
  <c r="AM70" i="77"/>
  <c r="AM104" i="77"/>
  <c r="AM120" i="77"/>
  <c r="AM106" i="77"/>
  <c r="AM118" i="77"/>
  <c r="AM138" i="77"/>
  <c r="AM142" i="77"/>
  <c r="AM108" i="77"/>
  <c r="AM61" i="77"/>
  <c r="AM178" i="77"/>
  <c r="AM92" i="77"/>
  <c r="AM130" i="77"/>
  <c r="AM40" i="77"/>
  <c r="AM17" i="77"/>
  <c r="AM72" i="77"/>
  <c r="AM85" i="77"/>
  <c r="AM52" i="77"/>
  <c r="AM76" i="77"/>
  <c r="AM79" i="77"/>
  <c r="AM154" i="77"/>
  <c r="AM13" i="77"/>
  <c r="AM144" i="77"/>
  <c r="AM116" i="77"/>
  <c r="AM101" i="77"/>
  <c r="AM146" i="77"/>
  <c r="AM68" i="77"/>
  <c r="AM152" i="77"/>
  <c r="AM99" i="77"/>
  <c r="AM38" i="77"/>
  <c r="AN101" i="77" l="1"/>
  <c r="AN72" i="77"/>
  <c r="AN118" i="77"/>
  <c r="AN140" i="77"/>
  <c r="AN116" i="77"/>
  <c r="AN17" i="77"/>
  <c r="AN128" i="77"/>
  <c r="AN94" i="77"/>
  <c r="AN144" i="77"/>
  <c r="AN40" i="77"/>
  <c r="AN106" i="77"/>
  <c r="AN66" i="77"/>
  <c r="AN15" i="77"/>
  <c r="AN130" i="77"/>
  <c r="AN120" i="77"/>
  <c r="AN13" i="77"/>
  <c r="AN178" i="77"/>
  <c r="AN92" i="77"/>
  <c r="AN132" i="77"/>
  <c r="AN136" i="77"/>
  <c r="AN154" i="77"/>
  <c r="AN61" i="77"/>
  <c r="AN43" i="77"/>
  <c r="AN63" i="77"/>
  <c r="AN38" i="77"/>
  <c r="AN11" i="77"/>
  <c r="AN104" i="77"/>
  <c r="AN96" i="77"/>
  <c r="AN99" i="77"/>
  <c r="AN108" i="77"/>
  <c r="AN70" i="77"/>
  <c r="AN19" i="77"/>
  <c r="AN24" i="77"/>
  <c r="AN152" i="77"/>
  <c r="AN79" i="77"/>
  <c r="AN142" i="77"/>
  <c r="AN148" i="77"/>
  <c r="AN59" i="77"/>
  <c r="AN68" i="77"/>
  <c r="AN138" i="77"/>
  <c r="AN36" i="77"/>
  <c r="AN146" i="77"/>
  <c r="AN76" i="77"/>
  <c r="AN32" i="77"/>
  <c r="AN114" i="77"/>
  <c r="AN57" i="77"/>
  <c r="AN85" i="77"/>
  <c r="AN52" i="77"/>
  <c r="AN28" i="77"/>
  <c r="AN134" i="77"/>
  <c r="AN74" i="77"/>
  <c r="AO57" i="77" l="1"/>
  <c r="AO59" i="77"/>
  <c r="AO132" i="77"/>
  <c r="AO40" i="77"/>
  <c r="AO114" i="77"/>
  <c r="AO96" i="77"/>
  <c r="AO144" i="77"/>
  <c r="AO32" i="77"/>
  <c r="AO148" i="77"/>
  <c r="AO104" i="77"/>
  <c r="AO178" i="77"/>
  <c r="AO92" i="77"/>
  <c r="AO94" i="77"/>
  <c r="AO142" i="77"/>
  <c r="AO13" i="77"/>
  <c r="AO128" i="77"/>
  <c r="AO76" i="77"/>
  <c r="AO79" i="77"/>
  <c r="AO11" i="77"/>
  <c r="AO146" i="77"/>
  <c r="AO152" i="77"/>
  <c r="AO38" i="77"/>
  <c r="AO17" i="77"/>
  <c r="AO74" i="77"/>
  <c r="AO24" i="77"/>
  <c r="AO63" i="77"/>
  <c r="AO120" i="77"/>
  <c r="AO116" i="77"/>
  <c r="AO134" i="77"/>
  <c r="AO19" i="77"/>
  <c r="AO43" i="77"/>
  <c r="AO130" i="77"/>
  <c r="AO28" i="77"/>
  <c r="AO36" i="77"/>
  <c r="AO70" i="77"/>
  <c r="AO140" i="77"/>
  <c r="AO138" i="77"/>
  <c r="AO108" i="77"/>
  <c r="AO61" i="77"/>
  <c r="AO15" i="77"/>
  <c r="AO118" i="77"/>
  <c r="AO85" i="77"/>
  <c r="AO52" i="77"/>
  <c r="AO154" i="77"/>
  <c r="AO66" i="77"/>
  <c r="AO72" i="77"/>
  <c r="AO68" i="77"/>
  <c r="AO99" i="77"/>
  <c r="AO136" i="77"/>
  <c r="AO106" i="77"/>
  <c r="AO101" i="77"/>
  <c r="AP72" i="77" l="1"/>
  <c r="AP140" i="77"/>
  <c r="AP116" i="77"/>
  <c r="AP148" i="77"/>
  <c r="AP154" i="77"/>
  <c r="AP144" i="77"/>
  <c r="AP66" i="77"/>
  <c r="AP120" i="77"/>
  <c r="AP11" i="77"/>
  <c r="AP32" i="77"/>
  <c r="AP70" i="77"/>
  <c r="AP24" i="77"/>
  <c r="AP76" i="77"/>
  <c r="AP36" i="77"/>
  <c r="AP128" i="77"/>
  <c r="AP96" i="77"/>
  <c r="AP85" i="77"/>
  <c r="AP52" i="77"/>
  <c r="AP28" i="77"/>
  <c r="AP74" i="77"/>
  <c r="AP13" i="77"/>
  <c r="AP63" i="77"/>
  <c r="AP101" i="77"/>
  <c r="AP118" i="77"/>
  <c r="AP17" i="77"/>
  <c r="AP114" i="77"/>
  <c r="AP106" i="77"/>
  <c r="AP15" i="77"/>
  <c r="AP130" i="77"/>
  <c r="AP142" i="77"/>
  <c r="AP40" i="77"/>
  <c r="AP136" i="77"/>
  <c r="AP61" i="77"/>
  <c r="AP43" i="77"/>
  <c r="AP38" i="77"/>
  <c r="AP132" i="77"/>
  <c r="AP79" i="77"/>
  <c r="AP99" i="77"/>
  <c r="AP108" i="77"/>
  <c r="AP19" i="77"/>
  <c r="AP152" i="77"/>
  <c r="AP94" i="77"/>
  <c r="AP68" i="77"/>
  <c r="AP138" i="77"/>
  <c r="AP146" i="77"/>
  <c r="AP92" i="77"/>
  <c r="AP59" i="77"/>
  <c r="AP134" i="77"/>
  <c r="AP104" i="77"/>
  <c r="AP57" i="77"/>
  <c r="AQ59" i="77" l="1"/>
  <c r="AQ79" i="77"/>
  <c r="AQ106" i="77"/>
  <c r="AQ85" i="77"/>
  <c r="AQ52" i="77"/>
  <c r="AQ11" i="77"/>
  <c r="AQ92" i="77"/>
  <c r="AQ132" i="77"/>
  <c r="AQ114" i="77"/>
  <c r="AQ96" i="77"/>
  <c r="AQ120" i="77"/>
  <c r="AQ146" i="77"/>
  <c r="AQ128" i="77"/>
  <c r="AQ38" i="77"/>
  <c r="AQ17" i="77"/>
  <c r="AQ66" i="77"/>
  <c r="AQ138" i="77"/>
  <c r="AQ43" i="77"/>
  <c r="AQ36" i="77"/>
  <c r="AQ144" i="77"/>
  <c r="AQ68" i="77"/>
  <c r="AQ61" i="77"/>
  <c r="AQ118" i="77"/>
  <c r="AQ154" i="77"/>
  <c r="AQ57" i="77"/>
  <c r="AQ136" i="77"/>
  <c r="AQ101" i="77"/>
  <c r="AQ148" i="77"/>
  <c r="AQ104" i="77"/>
  <c r="AQ94" i="77"/>
  <c r="AQ40" i="77"/>
  <c r="AQ63" i="77"/>
  <c r="AQ76" i="77"/>
  <c r="AQ152" i="77"/>
  <c r="AQ142" i="77"/>
  <c r="AQ24" i="77"/>
  <c r="AQ116" i="77"/>
  <c r="AQ134" i="77"/>
  <c r="AQ19" i="77"/>
  <c r="AQ13" i="77"/>
  <c r="AQ70" i="77"/>
  <c r="AQ140" i="77"/>
  <c r="AQ108" i="77"/>
  <c r="AQ130" i="77"/>
  <c r="AQ74" i="77"/>
  <c r="AQ72" i="77"/>
  <c r="AQ99" i="77"/>
  <c r="AQ15" i="77"/>
  <c r="AQ28" i="77"/>
  <c r="AQ32" i="77"/>
  <c r="AR72" i="77" l="1"/>
  <c r="AR116" i="77"/>
  <c r="AR148" i="77"/>
  <c r="AR36" i="77"/>
  <c r="AR24" i="77"/>
  <c r="AR146" i="77"/>
  <c r="AR74" i="77"/>
  <c r="AR101" i="77"/>
  <c r="AR43" i="77"/>
  <c r="AR120" i="77"/>
  <c r="AR130" i="77"/>
  <c r="AR142" i="77"/>
  <c r="AR136" i="77"/>
  <c r="AR138" i="77"/>
  <c r="AR96" i="77"/>
  <c r="AR108" i="77"/>
  <c r="AR152" i="77"/>
  <c r="AR66" i="77"/>
  <c r="AR114" i="77"/>
  <c r="AR57" i="77"/>
  <c r="AR132" i="77"/>
  <c r="AR140" i="77"/>
  <c r="AR154" i="77"/>
  <c r="AR17" i="77"/>
  <c r="AR92" i="77"/>
  <c r="AR32" i="77"/>
  <c r="AR70" i="77"/>
  <c r="AR76" i="77"/>
  <c r="AR38" i="77"/>
  <c r="AR11" i="77"/>
  <c r="AR28" i="77"/>
  <c r="AR13" i="77"/>
  <c r="AR63" i="77"/>
  <c r="AR118" i="77"/>
  <c r="AR85" i="77"/>
  <c r="AR52" i="77"/>
  <c r="AR15" i="77"/>
  <c r="AR40" i="77"/>
  <c r="AR61" i="77"/>
  <c r="AR106" i="77"/>
  <c r="AR99" i="77"/>
  <c r="AR19" i="77"/>
  <c r="AR94" i="77"/>
  <c r="AR68" i="77"/>
  <c r="AR128" i="77"/>
  <c r="AR79" i="77"/>
  <c r="AR134" i="77"/>
  <c r="AR104" i="77"/>
  <c r="AR144" i="77"/>
  <c r="AR59" i="77"/>
  <c r="AS79" i="77" l="1"/>
  <c r="AS85" i="77"/>
  <c r="AS52" i="77"/>
  <c r="AS92" i="77"/>
  <c r="AS66" i="77"/>
  <c r="AS128" i="77"/>
  <c r="AS17" i="77"/>
  <c r="AS74" i="77"/>
  <c r="AS68" i="77"/>
  <c r="AS118" i="77"/>
  <c r="AS154" i="77"/>
  <c r="AS152" i="77"/>
  <c r="AS146" i="77"/>
  <c r="AS94" i="77"/>
  <c r="AS63" i="77"/>
  <c r="AS108" i="77"/>
  <c r="AS19" i="77"/>
  <c r="AS13" i="77"/>
  <c r="AS140" i="77"/>
  <c r="AS96" i="77"/>
  <c r="AS99" i="77"/>
  <c r="AS28" i="77"/>
  <c r="AS138" i="77"/>
  <c r="AS24" i="77"/>
  <c r="AS59" i="77"/>
  <c r="AS106" i="77"/>
  <c r="AS11" i="77"/>
  <c r="AS132" i="77"/>
  <c r="AS136" i="77"/>
  <c r="AS38" i="77"/>
  <c r="AS142" i="77"/>
  <c r="AS144" i="77"/>
  <c r="AS61" i="77"/>
  <c r="AS57" i="77"/>
  <c r="AS130" i="77"/>
  <c r="AS36" i="77"/>
  <c r="AS104" i="77"/>
  <c r="AS40" i="77"/>
  <c r="AS76" i="77"/>
  <c r="AS120" i="77"/>
  <c r="AS148" i="77"/>
  <c r="AS134" i="77"/>
  <c r="AS70" i="77"/>
  <c r="AS43" i="77"/>
  <c r="AS116" i="77"/>
  <c r="AS15" i="77"/>
  <c r="AS32" i="77"/>
  <c r="AS114" i="77"/>
  <c r="AS101" i="77"/>
  <c r="AS72" i="77"/>
  <c r="AT116" i="77" l="1"/>
  <c r="AT36" i="77"/>
  <c r="AT96" i="77"/>
  <c r="AT118" i="77"/>
  <c r="AT43" i="77"/>
  <c r="AT130" i="77"/>
  <c r="AT136" i="77"/>
  <c r="AT140" i="77"/>
  <c r="AT68" i="77"/>
  <c r="AT57" i="77"/>
  <c r="AT132" i="77"/>
  <c r="AT13" i="77"/>
  <c r="AT74" i="77"/>
  <c r="AT70" i="77"/>
  <c r="AT11" i="77"/>
  <c r="AT19" i="77"/>
  <c r="AT61" i="77"/>
  <c r="AT106" i="77"/>
  <c r="AT17" i="77"/>
  <c r="AT134" i="77"/>
  <c r="AT144" i="77"/>
  <c r="AT59" i="77"/>
  <c r="AT108" i="77"/>
  <c r="AT72" i="77"/>
  <c r="AT148" i="77"/>
  <c r="AT24" i="77"/>
  <c r="AT128" i="77"/>
  <c r="AT101" i="77"/>
  <c r="AT120" i="77"/>
  <c r="AT142" i="77"/>
  <c r="AT138" i="77"/>
  <c r="AT63" i="77"/>
  <c r="AT114" i="77"/>
  <c r="AT94" i="77"/>
  <c r="AT66" i="77"/>
  <c r="AT32" i="77"/>
  <c r="AT76" i="77"/>
  <c r="AT38" i="77"/>
  <c r="AT28" i="77"/>
  <c r="AT146" i="77"/>
  <c r="AT92" i="77"/>
  <c r="AT15" i="77"/>
  <c r="AT40" i="77"/>
  <c r="AT99" i="77"/>
  <c r="AT152" i="77"/>
  <c r="AT85" i="77"/>
  <c r="AT52" i="77"/>
  <c r="AT104" i="77"/>
  <c r="AT154" i="77"/>
  <c r="AT79" i="77"/>
  <c r="H229" i="77" l="1"/>
  <c r="AU24" i="77"/>
  <c r="AU40" i="77"/>
  <c r="AU15" i="77"/>
  <c r="AU19" i="77"/>
  <c r="AU11" i="77"/>
  <c r="AU43" i="77"/>
  <c r="AU28" i="77"/>
  <c r="AU38" i="77"/>
  <c r="AU13" i="77"/>
  <c r="AU36" i="77"/>
  <c r="AU32" i="77"/>
  <c r="AU17" i="77"/>
  <c r="AV13" i="77" l="1"/>
  <c r="AV11" i="77"/>
  <c r="AV40" i="77"/>
  <c r="AV28" i="77"/>
  <c r="AV36" i="77"/>
  <c r="AV43" i="77"/>
  <c r="AV19" i="77"/>
  <c r="AV17" i="77"/>
  <c r="AV32" i="77"/>
  <c r="AV38" i="77"/>
  <c r="AV15" i="77"/>
  <c r="AV24" i="77"/>
  <c r="AW40" i="77" l="1"/>
  <c r="AW13" i="77"/>
  <c r="AW15" i="77"/>
  <c r="AW38" i="77"/>
  <c r="AW32" i="77"/>
  <c r="AW17" i="77"/>
  <c r="AW28" i="77"/>
  <c r="AW24" i="77"/>
  <c r="AW19" i="77"/>
  <c r="AW43" i="77"/>
  <c r="AW36" i="77"/>
  <c r="AW11" i="77"/>
  <c r="AX28" i="77" l="1"/>
  <c r="AX15" i="77"/>
  <c r="AX17" i="77"/>
  <c r="AX43" i="77"/>
  <c r="AX19" i="77"/>
  <c r="AX38" i="77"/>
  <c r="AX13" i="77"/>
  <c r="AX24" i="77"/>
  <c r="AX11" i="77"/>
  <c r="AX40" i="77"/>
  <c r="AX36" i="77"/>
  <c r="AX32" i="77"/>
  <c r="AY32" i="77" l="1"/>
  <c r="AY38" i="77"/>
  <c r="AY17" i="77"/>
  <c r="AY28" i="77"/>
  <c r="AY19" i="77"/>
  <c r="AY36" i="77"/>
  <c r="AY11" i="77"/>
  <c r="AY13" i="77"/>
  <c r="AY43" i="77"/>
  <c r="AY40" i="77"/>
  <c r="AY24" i="77"/>
  <c r="AY15" i="77"/>
  <c r="AZ24" i="77" l="1"/>
  <c r="AZ11" i="77"/>
  <c r="AZ38" i="77"/>
  <c r="AZ28" i="77"/>
  <c r="AZ15" i="77"/>
  <c r="AZ36" i="77"/>
  <c r="AZ19" i="77"/>
  <c r="AZ13" i="77"/>
  <c r="AZ17" i="77"/>
  <c r="AZ40" i="77"/>
  <c r="AZ32" i="77"/>
  <c r="AZ43" i="77"/>
  <c r="BA28" i="77" l="1"/>
  <c r="BA40" i="77"/>
  <c r="BA19" i="77"/>
  <c r="BA15" i="77"/>
  <c r="BA38" i="77"/>
  <c r="BA17" i="77"/>
  <c r="BA36" i="77"/>
  <c r="BA11" i="77"/>
  <c r="BA32" i="77"/>
  <c r="BA13" i="77"/>
  <c r="BA43" i="77"/>
  <c r="BA24" i="77"/>
  <c r="BB43" i="77" l="1"/>
  <c r="BB38" i="77"/>
  <c r="BB24" i="77"/>
  <c r="BB36" i="77"/>
  <c r="BB19" i="77"/>
  <c r="BB13" i="77"/>
  <c r="BB17" i="77"/>
  <c r="BB15" i="77"/>
  <c r="BB40" i="77"/>
  <c r="BB11" i="77"/>
  <c r="BB28" i="77"/>
  <c r="BB32" i="77"/>
  <c r="BC13" i="77" l="1"/>
  <c r="BC43" i="77"/>
  <c r="BC17" i="77"/>
  <c r="BC36" i="77"/>
  <c r="BC28" i="77"/>
  <c r="BC19" i="77"/>
  <c r="BC40" i="77"/>
  <c r="BC32" i="77"/>
  <c r="BC15" i="77"/>
  <c r="BC24" i="77"/>
  <c r="BC11" i="77"/>
  <c r="BC38" i="77"/>
  <c r="BD38" i="77" l="1"/>
  <c r="BD19" i="77"/>
  <c r="BD36" i="77"/>
  <c r="BD13" i="77"/>
  <c r="BD40" i="77"/>
  <c r="BD11" i="77"/>
  <c r="BD17" i="77"/>
  <c r="BD24" i="77"/>
  <c r="BD15" i="77"/>
  <c r="BD32" i="77"/>
  <c r="BD28" i="77"/>
  <c r="BD43" i="77"/>
  <c r="BF13" i="77" l="1"/>
  <c r="BF15" i="77"/>
  <c r="BF24" i="77"/>
  <c r="BF32" i="77"/>
  <c r="BF11" i="77"/>
  <c r="BF43" i="77"/>
  <c r="BF36" i="77"/>
  <c r="BF17" i="77"/>
  <c r="BF19" i="77"/>
  <c r="BF28" i="77"/>
  <c r="BF40" i="77"/>
  <c r="BF38" i="77"/>
  <c r="BE13" i="77"/>
  <c r="BE15" i="77"/>
  <c r="BE24" i="77"/>
  <c r="BE32" i="77"/>
  <c r="BE11" i="77"/>
  <c r="BE43" i="77"/>
  <c r="BE36" i="77"/>
  <c r="BE17" i="77"/>
  <c r="BE19" i="77"/>
  <c r="BE28" i="77"/>
  <c r="BE40" i="77"/>
  <c r="BE38" i="77"/>
  <c r="H214" i="77" l="1"/>
  <c r="H215" i="77" l="1"/>
  <c r="AN21" i="8"/>
  <c r="AN27" i="8" s="1"/>
  <c r="AM46" i="77" l="1"/>
  <c r="AM87" i="77" s="1"/>
  <c r="AM37" i="77"/>
  <c r="AN49" i="8" l="1"/>
  <c r="AM7" i="77" l="1"/>
  <c r="AM4" i="77"/>
  <c r="AN4" i="77" l="1"/>
  <c r="AN7" i="77"/>
  <c r="AM47" i="77"/>
  <c r="AM88" i="77" s="1"/>
  <c r="AN47" i="77" l="1"/>
  <c r="AN88" i="77" s="1"/>
  <c r="AO7" i="77"/>
  <c r="AO4" i="77"/>
  <c r="AP4" i="77" l="1"/>
  <c r="AP7" i="77"/>
  <c r="AO47" i="77"/>
  <c r="AO88" i="77" s="1"/>
  <c r="AP47" i="77" l="1"/>
  <c r="AQ7" i="77"/>
  <c r="AQ4" i="77"/>
  <c r="AQ47" i="77" l="1"/>
  <c r="AR4" i="77"/>
  <c r="AR7" i="77"/>
  <c r="AS7" i="77" l="1"/>
  <c r="AS4" i="77"/>
  <c r="AR47" i="77"/>
  <c r="AT4" i="77" l="1"/>
  <c r="AS47" i="77"/>
  <c r="AT7" i="77"/>
  <c r="AU7" i="77" l="1"/>
  <c r="AU4" i="77"/>
  <c r="AT47" i="77"/>
  <c r="AV4" i="77" l="1"/>
  <c r="AV7" i="77"/>
  <c r="AU47" i="77"/>
  <c r="AU88" i="77" s="1"/>
  <c r="AW7" i="77" l="1"/>
  <c r="AV47" i="77"/>
  <c r="AV88" i="77" s="1"/>
  <c r="AW4" i="77"/>
  <c r="AX4" i="77" l="1"/>
  <c r="AX7" i="77"/>
  <c r="AW47" i="77"/>
  <c r="AW88" i="77" s="1"/>
  <c r="AX47" i="77" l="1"/>
  <c r="AX88" i="77" s="1"/>
  <c r="AY7" i="77"/>
  <c r="AY4" i="77"/>
  <c r="AZ4" i="77" l="1"/>
  <c r="AZ7" i="77"/>
  <c r="AY47" i="77"/>
  <c r="AY88" i="77" s="1"/>
  <c r="AZ47" i="77" l="1"/>
  <c r="AZ88" i="77" s="1"/>
  <c r="BA7" i="77"/>
  <c r="BA4" i="77"/>
  <c r="BB4" i="77" l="1"/>
  <c r="BB7" i="77"/>
  <c r="BA47" i="77"/>
  <c r="BA88" i="77" s="1"/>
  <c r="BB47" i="77" l="1"/>
  <c r="BC7" i="77"/>
  <c r="BC4" i="77"/>
  <c r="BC47" i="77" l="1"/>
  <c r="BD7" i="77"/>
  <c r="BD4" i="77"/>
  <c r="BF7" i="77" l="1"/>
  <c r="BE7" i="77"/>
  <c r="BE4" i="77"/>
  <c r="BD47" i="77"/>
  <c r="BF4" i="77" l="1"/>
  <c r="BE47" i="77"/>
  <c r="BF47" i="77" l="1"/>
  <c r="H213" i="77" l="1"/>
  <c r="G108" i="7" s="1"/>
  <c r="G27" i="7" s="1"/>
  <c r="G181" i="77" s="1" a="1"/>
  <c r="H108" i="8" s="1"/>
  <c r="G47" i="7" s="1"/>
  <c r="D52" i="8" s="1" a="1"/>
  <c r="K29" i="8" s="1" a="1"/>
  <c r="D29" i="8" s="1" a="1"/>
  <c r="H27" i="8" s="1"/>
  <c r="D2" i="8" s="1" a="1"/>
  <c r="AL116" i="151" a="1"/>
  <c r="AL112" i="151" a="1"/>
  <c r="AL117" i="151" a="1"/>
  <c r="AL119" i="151" a="1"/>
  <c r="AL115" i="151" a="1"/>
  <c r="AL111" i="151" a="1"/>
  <c r="AL113" i="151" a="1"/>
  <c r="AL118" i="151" a="1"/>
  <c r="H182" i="77" l="1"/>
  <c r="H189" i="77"/>
  <c r="H186" i="77"/>
  <c r="H187" i="77"/>
  <c r="H183" i="77"/>
  <c r="H184" i="77"/>
  <c r="H185" i="77"/>
  <c r="H188" i="77"/>
  <c r="H181" i="77"/>
  <c r="H190" i="77"/>
  <c r="H2" i="114" a="1"/>
  <c r="H30" i="114" a="1"/>
  <c r="G51" i="77" a="1"/>
  <c r="G2" i="151" a="1"/>
  <c r="G29" i="151" a="1"/>
  <c r="G27" i="8"/>
  <c r="G3" i="77" a="1"/>
  <c r="K2" i="8" a="1"/>
  <c r="I2" i="8" a="1"/>
  <c r="G52" i="151" a="1"/>
  <c r="G108" i="8"/>
  <c r="K52" i="8" a="1"/>
  <c r="G91" i="77" a="1"/>
  <c r="H62" i="114" a="1"/>
  <c r="I2" i="114" a="1"/>
  <c r="J2" i="114" a="1"/>
  <c r="I62" i="114" a="1"/>
  <c r="J62" i="114" a="1"/>
  <c r="I30" i="114" a="1"/>
  <c r="J30" i="114" a="1"/>
  <c r="G111" i="151" a="1"/>
  <c r="K111" i="8" a="1"/>
  <c r="H129" i="114" a="1"/>
  <c r="G132" i="8"/>
  <c r="H150" i="77"/>
  <c r="H149" i="77"/>
  <c r="H60" i="6"/>
  <c r="H75" i="7"/>
  <c r="K84" i="8" a="1"/>
  <c r="H156" i="6"/>
  <c r="H71" i="7"/>
  <c r="H120" i="6"/>
  <c r="J73" i="8" a="1"/>
  <c r="H58" i="6" a="1"/>
  <c r="I39" i="8" a="1"/>
  <c r="I31" i="8" a="1"/>
  <c r="K36" i="8" a="1"/>
  <c r="H161" i="77"/>
  <c r="H86" i="7"/>
  <c r="H29" i="77"/>
  <c r="H6" i="6"/>
  <c r="I33" i="8" a="1"/>
  <c r="H9" i="7"/>
  <c r="H93" i="6"/>
  <c r="J60" i="8" a="1"/>
  <c r="J146" i="8" a="1"/>
  <c r="H75" i="77"/>
  <c r="H125" i="77"/>
  <c r="H60" i="7"/>
  <c r="H54" i="7"/>
  <c r="I85" i="8" a="1"/>
  <c r="J20" i="8" a="1"/>
  <c r="H59" i="7"/>
  <c r="J40" i="8" a="1"/>
  <c r="J61" i="8" a="1"/>
  <c r="I119" i="8"/>
  <c r="J7" i="8" a="1"/>
  <c r="K9" i="8" a="1"/>
  <c r="H66" i="6"/>
  <c r="J43" i="8" a="1"/>
  <c r="H52" i="7"/>
  <c r="H171" i="77"/>
  <c r="J57" i="8" a="1"/>
  <c r="H17" i="77"/>
  <c r="H39" i="77"/>
  <c r="H36" i="7"/>
  <c r="H67" i="7"/>
  <c r="K5" i="8" a="1"/>
  <c r="H24" i="7"/>
  <c r="I4" i="8" a="1"/>
  <c r="K76" i="8" a="1"/>
  <c r="H23" i="77"/>
  <c r="I91" i="8" a="1"/>
  <c r="H2" i="7"/>
  <c r="J6" i="8" a="1"/>
  <c r="I56" i="8" a="1"/>
  <c r="H23" i="6"/>
  <c r="K67" i="8" a="1"/>
  <c r="J35" i="8" a="1"/>
  <c r="H31" i="6"/>
  <c r="H7" i="7"/>
  <c r="K78" i="8" a="1"/>
  <c r="K74" i="8" a="1"/>
  <c r="J11" i="8" a="1"/>
  <c r="K117" i="8" a="1"/>
  <c r="I102" i="8" a="1"/>
  <c r="H14" i="7"/>
  <c r="J88" i="8" a="1"/>
  <c r="H137" i="77"/>
  <c r="J5" i="8" a="1"/>
  <c r="I53" i="8" a="1"/>
  <c r="H100" i="77"/>
  <c r="H54" i="6"/>
  <c r="J32" i="8" a="1"/>
  <c r="H120" i="77"/>
  <c r="K98" i="8" a="1"/>
  <c r="J33" i="8" a="1"/>
  <c r="I34" i="8" a="1"/>
  <c r="J17" i="8" a="1"/>
  <c r="H96" i="6"/>
  <c r="J64" i="8" a="1"/>
  <c r="H68" i="7"/>
  <c r="K38" i="8" a="1"/>
  <c r="J95" i="8" a="1"/>
  <c r="H16" i="7"/>
  <c r="H92" i="7"/>
  <c r="H70" i="77"/>
  <c r="H22" i="6"/>
  <c r="H101" i="6"/>
  <c r="H121" i="77"/>
  <c r="J89" i="8" a="1"/>
  <c r="J38" i="8" a="1"/>
  <c r="H160" i="77"/>
  <c r="H102" i="6"/>
  <c r="H52" i="77"/>
  <c r="H33" i="6"/>
  <c r="K35" i="8" a="1"/>
  <c r="H130" i="77"/>
  <c r="H84" i="6"/>
  <c r="J39" i="8" a="1"/>
  <c r="H170" i="77"/>
  <c r="K65" i="8" a="1"/>
  <c r="I72" i="8" a="1"/>
  <c r="H30" i="77"/>
  <c r="H25" i="77"/>
  <c r="K25" i="8" a="1"/>
  <c r="H65" i="77"/>
  <c r="H38" i="7"/>
  <c r="H102" i="7"/>
  <c r="I99" i="8" a="1"/>
  <c r="H159" i="77"/>
  <c r="H9" i="77"/>
  <c r="K24" i="8" a="1"/>
  <c r="J8" i="8" a="1"/>
  <c r="H20" i="77"/>
  <c r="K58" i="8" a="1"/>
  <c r="H103" i="7"/>
  <c r="K75" i="8" a="1"/>
  <c r="H113" i="6"/>
  <c r="H88" i="7"/>
  <c r="K82" i="8" a="1"/>
  <c r="H166" i="77"/>
  <c r="J100" i="8" a="1"/>
  <c r="I8" i="8" a="1"/>
  <c r="I79" i="8" a="1"/>
  <c r="K37" i="8" a="1"/>
  <c r="I80" i="8" a="1"/>
  <c r="H107" i="77"/>
  <c r="H81" i="6"/>
  <c r="I54" i="8" a="1"/>
  <c r="I17" i="8" a="1"/>
  <c r="I37" i="8" a="1"/>
  <c r="H45" i="77"/>
  <c r="K12" i="8" a="1"/>
  <c r="H115" i="6"/>
  <c r="I16" i="8" a="1"/>
  <c r="K40" i="8" a="1"/>
  <c r="H114" i="6"/>
  <c r="K53" i="8" a="1"/>
  <c r="K114" i="8" a="1"/>
  <c r="H147" i="77"/>
  <c r="J149" i="8" a="1"/>
  <c r="H75" i="6"/>
  <c r="H40" i="77"/>
  <c r="K19" i="8" a="1"/>
  <c r="H55" i="7"/>
  <c r="H53" i="7"/>
  <c r="K20" i="8" a="1"/>
  <c r="J99" i="8" a="1"/>
  <c r="K61" i="8" a="1"/>
  <c r="K54" i="8" a="1"/>
  <c r="H85" i="6"/>
  <c r="K18" i="8" a="1"/>
  <c r="I100" i="8" a="1"/>
  <c r="K41" i="8" a="1"/>
  <c r="H135" i="77"/>
  <c r="H98" i="6"/>
  <c r="H89" i="6"/>
  <c r="K28" i="8" a="1"/>
  <c r="K34" i="8" a="1"/>
  <c r="H139" i="77"/>
  <c r="J78" i="8" a="1"/>
  <c r="H28" i="77"/>
  <c r="H17" i="7"/>
  <c r="K120" i="8" a="1"/>
  <c r="H104" i="7"/>
  <c r="K10" i="8" a="1"/>
  <c r="H11" i="6"/>
  <c r="H61" i="6"/>
  <c r="J68" i="8" a="1"/>
  <c r="J101" i="8" a="1"/>
  <c r="H62" i="77"/>
  <c r="H76" i="7"/>
  <c r="K8" i="8" a="1"/>
  <c r="J77" i="8" a="1"/>
  <c r="J15" i="8" a="1"/>
  <c r="H40" i="6"/>
  <c r="H67" i="77"/>
  <c r="H138" i="77"/>
  <c r="H68" i="77"/>
  <c r="H83" i="7"/>
  <c r="H51" i="77"/>
  <c r="H94" i="77"/>
  <c r="K103" i="8" a="1"/>
  <c r="H23" i="7"/>
  <c r="K15" i="8" a="1"/>
  <c r="I146" i="8"/>
  <c r="I10" i="8" a="1"/>
  <c r="I14" i="8" a="1"/>
  <c r="H116" i="6"/>
  <c r="H78" i="77"/>
  <c r="J10" i="8" a="1"/>
  <c r="K93" i="8" a="1"/>
  <c r="H15" i="6"/>
  <c r="K3" i="8" a="1"/>
  <c r="H19" i="7"/>
  <c r="J23" i="8" a="1"/>
  <c r="H24" i="77"/>
  <c r="H71" i="77"/>
  <c r="H59" i="6"/>
  <c r="H172" i="77"/>
  <c r="K39" i="8" a="1"/>
  <c r="H43" i="6"/>
  <c r="H10" i="7"/>
  <c r="I101" i="8" a="1"/>
  <c r="I52" i="8" a="1"/>
  <c r="J13" i="8" a="1"/>
  <c r="H34" i="6"/>
  <c r="J29" i="8" a="1"/>
  <c r="K115" i="8" a="1"/>
  <c r="J94" i="8" a="1"/>
  <c r="J52" i="8" a="1"/>
  <c r="I70" i="8" a="1"/>
  <c r="H111" i="77"/>
  <c r="J87" i="8" a="1"/>
  <c r="I32" i="8" a="1"/>
  <c r="J12" i="8" a="1"/>
  <c r="I69" i="8" a="1"/>
  <c r="H144" i="77"/>
  <c r="H80" i="6"/>
  <c r="I62" i="8" a="1"/>
  <c r="K80" i="8" a="1"/>
  <c r="H29" i="6"/>
  <c r="I11" i="8" a="1"/>
  <c r="H18" i="7"/>
  <c r="H116" i="77"/>
  <c r="H41" i="6"/>
  <c r="H3" i="6"/>
  <c r="I71" i="8" a="1"/>
  <c r="J42" i="8" a="1"/>
  <c r="H7" i="6"/>
  <c r="I90" i="8" a="1"/>
  <c r="J14" i="8" a="1"/>
  <c r="J147" i="8" a="1"/>
  <c r="K22" i="8" a="1"/>
  <c r="I87" i="8" a="1"/>
  <c r="J145" i="8" a="1"/>
  <c r="H117" i="6"/>
  <c r="J71" i="8" a="1"/>
  <c r="I74" i="8" a="1"/>
  <c r="K17" i="8" a="1"/>
  <c r="H134" i="77"/>
  <c r="J72" i="8" a="1"/>
  <c r="H60" i="77"/>
  <c r="H3" i="7"/>
  <c r="H151" i="77"/>
  <c r="K11" i="8" a="1"/>
  <c r="I103" i="8" a="1"/>
  <c r="H37" i="77"/>
  <c r="J36" i="8" a="1"/>
  <c r="I88" i="8" a="1"/>
  <c r="H21" i="77"/>
  <c r="I115" i="8"/>
  <c r="H38" i="77"/>
  <c r="K94" i="8" a="1"/>
  <c r="J2" i="77" a="1"/>
  <c r="J84" i="8" a="1"/>
  <c r="H99" i="6"/>
  <c r="K104" i="8" a="1"/>
  <c r="H165" i="77"/>
  <c r="J37" i="8" a="1"/>
  <c r="H58" i="77"/>
  <c r="J92" i="8" a="1"/>
  <c r="J85" i="8" a="1"/>
  <c r="K30" i="8" a="1"/>
  <c r="I38" i="8" a="1"/>
  <c r="H72" i="6"/>
  <c r="I111" i="8"/>
  <c r="H143" i="77"/>
  <c r="H2" i="6"/>
  <c r="J75" i="8" a="1"/>
  <c r="H127" i="77"/>
  <c r="K6" i="8" a="1"/>
  <c r="H63" i="6"/>
  <c r="K60" i="8" a="1"/>
  <c r="H117" i="77"/>
  <c r="K68" i="8" a="1"/>
  <c r="H13" i="77"/>
  <c r="H145" i="6"/>
  <c r="H86" i="6"/>
  <c r="H99" i="77"/>
  <c r="H43" i="7"/>
  <c r="K92" i="8" a="1"/>
  <c r="H8" i="6"/>
  <c r="K73" i="8" a="1"/>
  <c r="H72" i="77"/>
  <c r="I44" i="8" a="1"/>
  <c r="H126" i="77"/>
  <c r="J41" i="8" a="1"/>
  <c r="H5" i="7"/>
  <c r="J97" i="8" a="1"/>
  <c r="J25" i="8" a="1"/>
  <c r="H89" i="7"/>
  <c r="K57" i="8" a="1"/>
  <c r="H35" i="7"/>
  <c r="H118" i="77"/>
  <c r="H14" i="77"/>
  <c r="H167" i="77"/>
  <c r="H74" i="7"/>
  <c r="H56" i="6"/>
  <c r="H20" i="7"/>
  <c r="K99" i="8" a="1"/>
  <c r="H93" i="77"/>
  <c r="H91" i="6"/>
  <c r="H152" i="77"/>
  <c r="K13" i="8" a="1"/>
  <c r="I61" i="8" a="1"/>
  <c r="I15" i="8" a="1"/>
  <c r="H66" i="7"/>
  <c r="I58" i="8" a="1"/>
  <c r="H10" i="6"/>
  <c r="I118" i="8"/>
  <c r="H110" i="77"/>
  <c r="H158" i="77"/>
  <c r="H9" i="6"/>
  <c r="H44" i="7"/>
  <c r="J83" i="8" a="1"/>
  <c r="K64" i="8" a="1"/>
  <c r="J103" i="8" a="1"/>
  <c r="I9" i="8" a="1"/>
  <c r="H65" i="7"/>
  <c r="J59" i="8" a="1"/>
  <c r="H97" i="7"/>
  <c r="I66" i="8" a="1"/>
  <c r="H112" i="6"/>
  <c r="J63" i="8" a="1"/>
  <c r="J74" i="8" a="1"/>
  <c r="I30" i="8" a="1"/>
  <c r="J9" i="8" a="1"/>
  <c r="K62" i="8" a="1"/>
  <c r="H148" i="77"/>
  <c r="H97" i="77"/>
  <c r="I76" i="8" a="1"/>
  <c r="K113" i="8" a="1"/>
  <c r="I82" i="8" a="1"/>
  <c r="J62" i="8" a="1"/>
  <c r="H34" i="77"/>
  <c r="I64" i="8" a="1"/>
  <c r="H19" i="6"/>
  <c r="H44" i="6"/>
  <c r="H6" i="7"/>
  <c r="H15" i="77"/>
  <c r="H132" i="77"/>
  <c r="H114" i="77"/>
  <c r="H80" i="77"/>
  <c r="H42" i="6"/>
  <c r="H155" i="77"/>
  <c r="J76" i="8" a="1"/>
  <c r="H142" i="77"/>
  <c r="I63" i="8" a="1"/>
  <c r="H67" i="6"/>
  <c r="J70" i="8" a="1"/>
  <c r="H106" i="77"/>
  <c r="H77" i="6"/>
  <c r="H140" i="77"/>
  <c r="H26" i="77"/>
  <c r="H38" i="6"/>
  <c r="H39" i="6"/>
  <c r="H112" i="77"/>
  <c r="J58" i="8" a="1"/>
  <c r="J96" i="8" a="1"/>
  <c r="I93" i="8" a="1"/>
  <c r="I77" i="8" a="1"/>
  <c r="H39" i="7"/>
  <c r="I18" i="8" a="1"/>
  <c r="H81" i="77"/>
  <c r="J34" i="8" a="1"/>
  <c r="H92" i="6"/>
  <c r="H133" i="77"/>
  <c r="H96" i="77"/>
  <c r="H6" i="77"/>
  <c r="H30" i="7"/>
  <c r="K96" i="8" a="1"/>
  <c r="K72" i="8" a="1"/>
  <c r="H11" i="7"/>
  <c r="H109" i="77"/>
  <c r="H98" i="77"/>
  <c r="C6" i="152"/>
  <c r="H90" i="7"/>
  <c r="H82" i="7"/>
  <c r="I13" i="8" a="1"/>
  <c r="H27" i="77"/>
  <c r="I5" i="8" a="1"/>
  <c r="K87" i="8" a="1"/>
  <c r="K97" i="8" a="1"/>
  <c r="I3" i="8"/>
  <c r="H56" i="7"/>
  <c r="H70" i="6"/>
  <c r="H100" i="7"/>
  <c r="J69" i="8" a="1"/>
  <c r="H80" i="7"/>
  <c r="J98" i="8" a="1"/>
  <c r="H76" i="77"/>
  <c r="J67" i="8" a="1"/>
  <c r="H105" i="77"/>
  <c r="H77" i="7"/>
  <c r="I113" i="8"/>
  <c r="I120" i="8"/>
  <c r="H163" i="77"/>
  <c r="H34" i="7"/>
  <c r="I35" i="8" a="1"/>
  <c r="I145" i="8"/>
  <c r="K21" i="8" a="1"/>
  <c r="H154" i="77"/>
  <c r="K79" i="8" a="1"/>
  <c r="K102" i="8" a="1"/>
  <c r="H25" i="6"/>
  <c r="H94" i="7"/>
  <c r="J44" i="8" a="1"/>
  <c r="H79" i="6"/>
  <c r="H73" i="6"/>
  <c r="I148" i="8"/>
  <c r="K91" i="8" a="1"/>
  <c r="K56" i="8" a="1"/>
  <c r="H45" i="6"/>
  <c r="K33" i="8" a="1"/>
  <c r="I116" i="8"/>
  <c r="H95" i="6"/>
  <c r="J66" i="8" a="1"/>
  <c r="H30" i="6"/>
  <c r="H57" i="6"/>
  <c r="H45" i="7"/>
  <c r="H63" i="7"/>
  <c r="H124" i="77"/>
  <c r="I98" i="8" a="1"/>
  <c r="H87" i="7"/>
  <c r="J30" i="8" a="1"/>
  <c r="H111" i="6"/>
  <c r="H95" i="77"/>
  <c r="H79" i="77"/>
  <c r="H108" i="77"/>
  <c r="I21" i="8" a="1"/>
  <c r="H74" i="6"/>
  <c r="I97" i="8" a="1"/>
  <c r="I96" i="8" a="1"/>
  <c r="H146" i="77"/>
  <c r="H69" i="6"/>
  <c r="H53" i="6"/>
  <c r="H103" i="77"/>
  <c r="H136" i="77"/>
  <c r="H10" i="77"/>
  <c r="J45" i="8" a="1"/>
  <c r="K14" i="8" a="1"/>
  <c r="H162" i="77"/>
  <c r="I114" i="8"/>
  <c r="H36" i="77"/>
  <c r="I149" i="8"/>
  <c r="K100" i="8" a="1"/>
  <c r="J2" i="8" a="1"/>
  <c r="H91" i="77"/>
  <c r="H82" i="6"/>
  <c r="H57" i="7"/>
  <c r="H153" i="77"/>
  <c r="J54" i="8" a="1"/>
  <c r="K44" i="8" a="1"/>
  <c r="H4" i="7"/>
  <c r="H83" i="6"/>
  <c r="J81" i="8" a="1"/>
  <c r="J16" i="8" a="1"/>
  <c r="H101" i="7"/>
  <c r="K112" i="8" a="1"/>
  <c r="I60" i="8" a="1"/>
  <c r="H22" i="77"/>
  <c r="H42" i="7"/>
  <c r="H36" i="6"/>
  <c r="K90" i="8" a="1"/>
  <c r="K7" i="8" a="1"/>
  <c r="J93" i="8" a="1"/>
  <c r="H88" i="6"/>
  <c r="K101" i="8" a="1"/>
  <c r="H62" i="7"/>
  <c r="I65" i="8" a="1"/>
  <c r="I117" i="8"/>
  <c r="J31" i="8" a="1"/>
  <c r="H32" i="7"/>
  <c r="I78" i="8" a="1"/>
  <c r="I86" i="8" a="1"/>
  <c r="H61" i="77"/>
  <c r="H99" i="7"/>
  <c r="H69" i="77"/>
  <c r="H43" i="77"/>
  <c r="K63" i="8" a="1"/>
  <c r="H17" i="6"/>
  <c r="J22" i="8" a="1"/>
  <c r="K81" i="8" a="1"/>
  <c r="H96" i="7"/>
  <c r="H141" i="77"/>
  <c r="J18" i="8" a="1"/>
  <c r="H14" i="6"/>
  <c r="H64" i="6"/>
  <c r="H97" i="6"/>
  <c r="H58" i="7"/>
  <c r="H35" i="6"/>
  <c r="H122" i="77"/>
  <c r="H59" i="77"/>
  <c r="J24" i="8" a="1"/>
  <c r="K116" i="8" a="1"/>
  <c r="H61" i="7"/>
  <c r="H115" i="77"/>
  <c r="H129" i="77"/>
  <c r="K83" i="8" a="1"/>
  <c r="H65" i="6"/>
  <c r="H29" i="7"/>
  <c r="H56" i="77"/>
  <c r="J102" i="8" a="1"/>
  <c r="H70" i="7"/>
  <c r="J21" i="8" a="1"/>
  <c r="H119" i="77"/>
  <c r="H100" i="6"/>
  <c r="H95" i="7"/>
  <c r="K32" i="8" a="1"/>
  <c r="H16" i="6"/>
  <c r="H156" i="77"/>
  <c r="H22" i="7"/>
  <c r="H68" i="6"/>
  <c r="H93" i="7"/>
  <c r="H54" i="77"/>
  <c r="H157" i="77"/>
  <c r="H13" i="7"/>
  <c r="H33" i="77"/>
  <c r="H74" i="77"/>
  <c r="H123" i="77"/>
  <c r="H18" i="77"/>
  <c r="H31" i="7"/>
  <c r="H19" i="77"/>
  <c r="H24" i="6"/>
  <c r="H104" i="77"/>
  <c r="H85" i="7"/>
  <c r="I41" i="8" a="1"/>
  <c r="H4" i="77"/>
  <c r="H128" i="77"/>
  <c r="H62" i="6"/>
  <c r="H4" i="6"/>
  <c r="K86" i="8" a="1"/>
  <c r="H32" i="77"/>
  <c r="H71" i="6"/>
  <c r="H11" i="77"/>
  <c r="H12" i="6"/>
  <c r="H35" i="77"/>
  <c r="H8" i="7"/>
  <c r="H113" i="77"/>
  <c r="H40" i="7"/>
  <c r="J79" i="8" a="1"/>
  <c r="H73" i="7"/>
  <c r="J4" i="8" a="1"/>
  <c r="I95" i="8" a="1"/>
  <c r="H84" i="7"/>
  <c r="H20" i="6"/>
  <c r="H53" i="77"/>
  <c r="H90" i="6"/>
  <c r="H33" i="7"/>
  <c r="H69" i="7"/>
  <c r="H37" i="7"/>
  <c r="J3" i="8" a="1"/>
  <c r="J104" i="8" a="1"/>
  <c r="J65" i="8" a="1"/>
  <c r="H15" i="7"/>
  <c r="J82" i="8" a="1"/>
  <c r="K66" i="8" a="1"/>
  <c r="H5" i="6"/>
  <c r="H8" i="77"/>
  <c r="I19" i="8" a="1"/>
  <c r="H79" i="7"/>
  <c r="I68" i="8" a="1"/>
  <c r="I24" i="8" a="1"/>
  <c r="I83" i="8" a="1"/>
  <c r="I43" i="8" a="1"/>
  <c r="I112" i="8"/>
  <c r="K77" i="8" a="1"/>
  <c r="H78" i="7"/>
  <c r="H31" i="77"/>
  <c r="K31" i="8" a="1"/>
  <c r="H76" i="6"/>
  <c r="H37" i="6"/>
  <c r="I92" i="8" a="1"/>
  <c r="H168" i="77"/>
  <c r="J53" i="8" a="1"/>
  <c r="I22" i="8" a="1"/>
  <c r="H63" i="77"/>
  <c r="H66" i="77"/>
  <c r="H55" i="6"/>
  <c r="K45" i="8" a="1"/>
  <c r="H91" i="7"/>
  <c r="H64" i="7"/>
  <c r="H52" i="6"/>
  <c r="J86" i="8" a="1"/>
  <c r="H5" i="77"/>
  <c r="H87" i="6"/>
  <c r="H41" i="7"/>
  <c r="J90" i="8" a="1"/>
  <c r="J19" i="8" a="1"/>
  <c r="K71" i="8" a="1"/>
  <c r="K16" i="8" a="1"/>
  <c r="C7" i="152"/>
  <c r="J55" i="8" a="1"/>
  <c r="I67" i="8" a="1"/>
  <c r="J148" i="8" a="1"/>
  <c r="H44" i="77"/>
  <c r="K119" i="8" a="1"/>
  <c r="H12" i="7"/>
  <c r="K69" i="8" a="1"/>
  <c r="I147" i="8"/>
  <c r="I42" i="8" a="1"/>
  <c r="H103" i="6"/>
  <c r="H72" i="7"/>
  <c r="H42" i="77"/>
  <c r="K70" i="8" a="1"/>
  <c r="J80" i="8" a="1"/>
  <c r="H57" i="77"/>
  <c r="K55" i="8" a="1"/>
  <c r="K95" i="8" a="1"/>
  <c r="J91" i="8" a="1"/>
  <c r="H3" i="77"/>
  <c r="H145" i="77"/>
  <c r="K59" i="8" a="1"/>
  <c r="H73" i="77"/>
  <c r="H32" i="6"/>
  <c r="I7" i="8" a="1"/>
  <c r="H98" i="7"/>
  <c r="H104" i="6"/>
  <c r="H131" i="77"/>
  <c r="H164" i="77"/>
  <c r="K23" i="8" a="1"/>
  <c r="H169" i="77"/>
  <c r="I84" i="8" a="1"/>
  <c r="K42" i="8" a="1"/>
  <c r="H21" i="7"/>
  <c r="J56" i="8" a="1"/>
  <c r="H78" i="6"/>
  <c r="H101" i="77"/>
  <c r="H12" i="77"/>
  <c r="K4" i="8" a="1"/>
  <c r="H92" i="77"/>
  <c r="H18" i="6"/>
  <c r="H81" i="7"/>
  <c r="H13" i="6"/>
  <c r="K43" i="8" a="1"/>
  <c r="H118" i="6"/>
  <c r="H94" i="6"/>
  <c r="H119" i="6"/>
  <c r="K118" i="8" a="1"/>
  <c r="I20" i="8" a="1"/>
  <c r="H21" i="6"/>
  <c r="K85" i="8" a="1"/>
  <c r="K88" i="8" a="1"/>
  <c r="I73" i="8" a="1"/>
  <c r="I40" i="8" a="1"/>
  <c r="H7" i="77"/>
  <c r="K89" i="8" a="1"/>
  <c r="H16" i="77"/>
  <c r="J129" i="114" a="1"/>
  <c r="I129" i="114" a="1"/>
  <c r="AL22" i="151" a="1"/>
  <c r="AL66" i="151" a="1"/>
  <c r="AL59" i="151" a="1"/>
  <c r="AL58" i="151" a="1"/>
  <c r="AL60" i="151" a="1"/>
  <c r="AL31" i="151" a="1"/>
  <c r="AL79" i="151" a="1"/>
  <c r="H27" i="7" l="1"/>
  <c r="H108" i="7"/>
  <c r="H47" i="7"/>
  <c r="C8" i="152"/>
  <c r="C9" i="152"/>
  <c r="J94" i="77" a="1"/>
  <c r="J158" i="77" a="1"/>
  <c r="J166" i="77" a="1"/>
  <c r="J160" i="77" a="1"/>
  <c r="J131" i="77" a="1"/>
  <c r="J141" i="77" a="1"/>
  <c r="J162" i="77" a="1"/>
  <c r="J135" i="77" a="1"/>
  <c r="J174" i="77" a="1"/>
  <c r="J155" i="77" a="1"/>
  <c r="J175" i="77" a="1"/>
  <c r="J116" i="77" a="1"/>
  <c r="J137" i="77" a="1"/>
  <c r="J136" i="77" a="1"/>
  <c r="J159" i="77" a="1"/>
  <c r="J105" i="77" a="1"/>
  <c r="J125" i="77" a="1"/>
  <c r="J139" i="77" a="1"/>
  <c r="J147" i="77" a="1"/>
  <c r="J142" i="77" a="1"/>
  <c r="J145" i="77" a="1"/>
  <c r="J115" i="77" a="1"/>
  <c r="J128" i="77" a="1"/>
  <c r="J172" i="77" a="1"/>
  <c r="J109" i="77" a="1"/>
  <c r="J95" i="77" a="1"/>
  <c r="J140" i="77" a="1"/>
  <c r="J118" i="77" a="1"/>
  <c r="J113" i="77" a="1"/>
  <c r="J152" i="77" a="1"/>
  <c r="J119" i="77" a="1"/>
  <c r="J120" i="77" a="1"/>
  <c r="J170" i="77" a="1"/>
  <c r="J117" i="77" a="1"/>
  <c r="J148" i="77" a="1"/>
  <c r="J102" i="77" a="1"/>
  <c r="J138" i="77" a="1"/>
  <c r="J156" i="77" a="1"/>
  <c r="J96" i="77" a="1"/>
  <c r="J111" i="77" a="1"/>
  <c r="J133" i="77" a="1"/>
  <c r="J110" i="77" a="1"/>
  <c r="J150" i="77" a="1"/>
  <c r="J93" i="77" a="1"/>
  <c r="J154" i="77" a="1"/>
  <c r="J134" i="77" a="1"/>
  <c r="J151" i="77" a="1"/>
  <c r="J127" i="77" a="1"/>
  <c r="J106" i="77" a="1"/>
  <c r="J149" i="77" a="1"/>
  <c r="J130" i="77" a="1"/>
  <c r="J157" i="77" a="1"/>
  <c r="J167" i="77" a="1"/>
  <c r="J100" i="77" a="1"/>
  <c r="J169" i="77" a="1"/>
  <c r="J163" i="77" a="1"/>
  <c r="J129" i="77" a="1"/>
  <c r="J143" i="77" a="1"/>
  <c r="J168" i="77" a="1"/>
  <c r="J124" i="77" a="1"/>
  <c r="J122" i="77" a="1"/>
  <c r="J161" i="77" a="1"/>
  <c r="J103" i="77" a="1"/>
  <c r="J121" i="77" a="1"/>
  <c r="J153" i="77" a="1"/>
  <c r="J144" i="77" a="1"/>
  <c r="J123" i="77" a="1"/>
  <c r="J92" i="77" a="1"/>
  <c r="J108" i="77" a="1"/>
  <c r="J173" i="77" a="1"/>
  <c r="J101" i="77" a="1"/>
  <c r="J164" i="77" a="1"/>
  <c r="J126" i="77" a="1"/>
  <c r="J114" i="77" a="1"/>
  <c r="J112" i="77" a="1"/>
  <c r="J98" i="77" a="1"/>
  <c r="J104" i="77" a="1"/>
  <c r="J146" i="77" a="1"/>
  <c r="J107" i="77" a="1"/>
  <c r="J97" i="77" a="1"/>
  <c r="J165" i="77" a="1"/>
  <c r="J171" i="77" a="1"/>
  <c r="J132" i="77" a="1"/>
  <c r="J99" i="77" a="1"/>
  <c r="J7" i="77" a="1"/>
  <c r="J27" i="77" a="1"/>
  <c r="J24" i="77" a="1"/>
  <c r="J17" i="77" a="1"/>
  <c r="J39" i="77" a="1"/>
  <c r="J8" i="77" a="1"/>
  <c r="J43" i="77" a="1"/>
  <c r="J20" i="77" a="1"/>
  <c r="J38" i="77" a="1"/>
  <c r="J36" i="77" a="1"/>
  <c r="J33" i="77" a="1"/>
  <c r="J5" i="77" a="1"/>
  <c r="J29" i="77" a="1"/>
  <c r="J9" i="77" a="1"/>
  <c r="J6" i="77" a="1"/>
  <c r="J22" i="77" a="1"/>
  <c r="J42" i="77" a="1"/>
  <c r="J13" i="77" a="1"/>
  <c r="J41" i="77" a="1"/>
  <c r="J31" i="77" a="1"/>
  <c r="J23" i="77" a="1"/>
  <c r="J34" i="77" a="1"/>
  <c r="J15" i="77" a="1"/>
  <c r="J19" i="77" a="1"/>
  <c r="J10" i="77" a="1"/>
  <c r="J14" i="77" a="1"/>
  <c r="J11" i="77" a="1"/>
  <c r="J44" i="77" a="1"/>
  <c r="J4" i="77" a="1"/>
  <c r="J37" i="77" a="1"/>
  <c r="J12" i="77" a="1"/>
  <c r="J26" i="77" a="1"/>
  <c r="J16" i="77" a="1"/>
  <c r="J21" i="77" a="1"/>
  <c r="J25" i="77" a="1"/>
  <c r="J40" i="77" a="1"/>
  <c r="J18" i="77" a="1"/>
  <c r="J30" i="77" a="1"/>
  <c r="J35" i="77" a="1"/>
  <c r="J32" i="77" a="1"/>
  <c r="J28" i="77" a="1"/>
  <c r="G131" i="8"/>
  <c r="G133" i="8" s="1"/>
  <c r="AN131" i="8"/>
  <c r="AO131" i="8" s="1"/>
  <c r="AP131" i="8" s="1"/>
  <c r="G134" i="8" s="1"/>
  <c r="G27" i="151" s="1"/>
  <c r="J53" i="77" a="1"/>
  <c r="J75" i="77" a="1"/>
  <c r="J74" i="77" a="1"/>
  <c r="J69" i="77" a="1"/>
  <c r="J71" i="77" a="1"/>
  <c r="J57" i="77" a="1"/>
  <c r="J70" i="77" a="1"/>
  <c r="J64" i="77" a="1"/>
  <c r="J60" i="77" a="1"/>
  <c r="J65" i="77" a="1"/>
  <c r="J73" i="77" a="1"/>
  <c r="J52" i="77" a="1"/>
  <c r="J62" i="77" a="1"/>
  <c r="J67" i="77" a="1"/>
  <c r="J76" i="77" a="1"/>
  <c r="J63" i="77" a="1"/>
  <c r="J78" i="77" a="1"/>
  <c r="J58" i="77" a="1"/>
  <c r="J55" i="77" a="1"/>
  <c r="J80" i="77" a="1"/>
  <c r="J59" i="77" a="1"/>
  <c r="J66" i="77" a="1"/>
  <c r="J72" i="77" a="1"/>
  <c r="J61" i="77" a="1"/>
  <c r="J81" i="77" a="1"/>
  <c r="J77" i="77" a="1"/>
  <c r="J56" i="77" a="1"/>
  <c r="J79" i="77" a="1"/>
  <c r="J68" i="77" a="1"/>
  <c r="J54" i="77" a="1"/>
  <c r="J82" i="77" a="1"/>
  <c r="J96" i="7" l="1"/>
  <c r="J76" i="7"/>
  <c r="J100" i="7"/>
  <c r="J73" i="7"/>
  <c r="I14" i="7"/>
  <c r="J90" i="7"/>
  <c r="I73" i="7"/>
  <c r="J32" i="7"/>
  <c r="I71" i="7"/>
  <c r="J63" i="7"/>
  <c r="J42" i="7"/>
  <c r="J40" i="7"/>
  <c r="J78" i="7"/>
  <c r="J30" i="7"/>
  <c r="J91" i="7"/>
  <c r="J7" i="7"/>
  <c r="J97" i="7"/>
  <c r="I33" i="7"/>
  <c r="I98" i="7"/>
  <c r="J56" i="7"/>
  <c r="I39" i="7"/>
  <c r="J20" i="7"/>
  <c r="J67" i="7"/>
  <c r="J79" i="7"/>
  <c r="I84" i="7"/>
  <c r="I82" i="7"/>
  <c r="J80" i="7"/>
  <c r="I16" i="7"/>
  <c r="J102" i="7"/>
  <c r="J61" i="7"/>
  <c r="I91" i="7"/>
  <c r="I9" i="7"/>
  <c r="J4" i="7"/>
  <c r="I3" i="7"/>
  <c r="J98" i="7"/>
  <c r="J39" i="7"/>
  <c r="I13" i="7"/>
  <c r="J101" i="7"/>
  <c r="I97" i="7"/>
  <c r="J17" i="7"/>
  <c r="I42" i="7"/>
  <c r="I93" i="7"/>
  <c r="J65" i="7"/>
  <c r="I19" i="7"/>
  <c r="J18" i="7"/>
  <c r="I79" i="7"/>
  <c r="I8" i="7"/>
  <c r="J84" i="7"/>
  <c r="I101" i="7"/>
  <c r="J58" i="7"/>
  <c r="J52" i="7"/>
  <c r="J24" i="7"/>
  <c r="J85" i="7"/>
  <c r="I11" i="7"/>
  <c r="I20" i="7"/>
  <c r="J3" i="7"/>
  <c r="I99" i="7"/>
  <c r="J86" i="7"/>
  <c r="I22" i="7"/>
  <c r="I95" i="7"/>
  <c r="I44" i="7"/>
  <c r="I15" i="7"/>
  <c r="J87" i="7"/>
  <c r="I58" i="7"/>
  <c r="J77" i="7"/>
  <c r="I7" i="7"/>
  <c r="I83" i="7"/>
  <c r="J16" i="7"/>
  <c r="I34" i="7"/>
  <c r="I62" i="7"/>
  <c r="I5" i="7"/>
  <c r="J95" i="7"/>
  <c r="J53" i="7"/>
  <c r="J103" i="7"/>
  <c r="J43" i="7"/>
  <c r="I52" i="7"/>
  <c r="J9" i="7"/>
  <c r="I65" i="7"/>
  <c r="J22" i="7"/>
  <c r="I61" i="7"/>
  <c r="I80" i="7"/>
  <c r="J44" i="7"/>
  <c r="I37" i="7"/>
  <c r="J68" i="7"/>
  <c r="J10" i="7"/>
  <c r="J21" i="7"/>
  <c r="I72" i="7"/>
  <c r="I92" i="7"/>
  <c r="I66" i="7"/>
  <c r="I30" i="7"/>
  <c r="I70" i="7"/>
  <c r="I69" i="7"/>
  <c r="J15" i="7"/>
  <c r="J33" i="7"/>
  <c r="J69" i="7"/>
  <c r="J88" i="7"/>
  <c r="J60" i="7"/>
  <c r="I77" i="7"/>
  <c r="J35" i="7"/>
  <c r="I88" i="7"/>
  <c r="I4" i="7"/>
  <c r="I90" i="7"/>
  <c r="I32" i="7"/>
  <c r="I60" i="7"/>
  <c r="J31" i="7"/>
  <c r="J93" i="7"/>
  <c r="J82" i="7"/>
  <c r="I68" i="7"/>
  <c r="J34" i="7"/>
  <c r="I74" i="7"/>
  <c r="J54" i="7"/>
  <c r="I85" i="7"/>
  <c r="I78" i="7"/>
  <c r="I103" i="7"/>
  <c r="J64" i="7"/>
  <c r="I53" i="7"/>
  <c r="I24" i="7"/>
  <c r="I56" i="7"/>
  <c r="J99" i="7"/>
  <c r="J74" i="7"/>
  <c r="I40" i="7"/>
  <c r="J38" i="7"/>
  <c r="J19" i="7"/>
  <c r="J37" i="7"/>
  <c r="I102" i="7"/>
  <c r="I35" i="7"/>
  <c r="J66" i="7"/>
  <c r="I63" i="7"/>
  <c r="I64" i="7"/>
  <c r="I41" i="7"/>
  <c r="J41" i="7"/>
  <c r="J8" i="7"/>
  <c r="J71" i="7"/>
  <c r="I76" i="7"/>
  <c r="I87" i="7"/>
  <c r="I67" i="7"/>
  <c r="I38" i="7"/>
  <c r="J72" i="7"/>
  <c r="J83" i="7"/>
  <c r="I10" i="7"/>
  <c r="J70" i="7"/>
  <c r="I54" i="7"/>
  <c r="I100" i="7"/>
  <c r="I86" i="7"/>
  <c r="J62" i="7"/>
  <c r="J5" i="7"/>
  <c r="I43" i="7"/>
  <c r="J14" i="7"/>
  <c r="I17" i="7"/>
  <c r="I21" i="7"/>
  <c r="I18" i="7"/>
  <c r="I96" i="7"/>
  <c r="I31" i="7"/>
  <c r="J13" i="7"/>
  <c r="J11" i="7"/>
  <c r="J92" i="7"/>
  <c r="J91" i="77" a="1"/>
  <c r="I2" i="6" l="1" a="1"/>
  <c r="I29" i="6" a="1"/>
  <c r="I52" i="6" a="1"/>
  <c r="D2" i="84" l="1"/>
  <c r="B2" i="84"/>
  <c r="G111" i="6"/>
  <c r="H58" i="6"/>
  <c r="I52" i="6"/>
  <c r="G52" i="6"/>
  <c r="I29" i="6"/>
  <c r="G29" i="6"/>
  <c r="I2" i="6"/>
  <c r="G2" i="6"/>
  <c r="J149" i="8"/>
  <c r="J148" i="8"/>
  <c r="J147" i="8"/>
  <c r="J146" i="8"/>
  <c r="J145" i="8"/>
  <c r="K120" i="8"/>
  <c r="K119" i="8"/>
  <c r="K118" i="8"/>
  <c r="K117" i="8"/>
  <c r="K116" i="8"/>
  <c r="K115" i="8"/>
  <c r="K114" i="8"/>
  <c r="K113" i="8"/>
  <c r="K112" i="8"/>
  <c r="K111" i="8"/>
  <c r="H111" i="8"/>
  <c r="G111" i="8"/>
  <c r="K104" i="8"/>
  <c r="J104" i="8"/>
  <c r="I104" i="8"/>
  <c r="K103" i="8"/>
  <c r="J103" i="8"/>
  <c r="I103" i="8"/>
  <c r="K102" i="8"/>
  <c r="J102" i="8"/>
  <c r="I102" i="8"/>
  <c r="K101" i="8"/>
  <c r="J101" i="8"/>
  <c r="I101" i="8"/>
  <c r="K100" i="8"/>
  <c r="J100" i="8"/>
  <c r="I100" i="8"/>
  <c r="K99" i="8"/>
  <c r="J99" i="8"/>
  <c r="I99" i="8"/>
  <c r="K98" i="8"/>
  <c r="J98" i="8"/>
  <c r="I98" i="8"/>
  <c r="K97" i="8"/>
  <c r="J97" i="8"/>
  <c r="I97" i="8"/>
  <c r="K96" i="8"/>
  <c r="J96" i="8"/>
  <c r="I96" i="8"/>
  <c r="K95" i="8"/>
  <c r="J95" i="8"/>
  <c r="I95" i="8"/>
  <c r="K94" i="8"/>
  <c r="J94" i="8"/>
  <c r="I94" i="8"/>
  <c r="K93" i="8"/>
  <c r="J93" i="8"/>
  <c r="I93" i="8"/>
  <c r="K92" i="8"/>
  <c r="J92" i="8"/>
  <c r="I92" i="8"/>
  <c r="K91" i="8"/>
  <c r="J91" i="8"/>
  <c r="I91" i="8"/>
  <c r="K90" i="8"/>
  <c r="J90" i="8"/>
  <c r="I90" i="8"/>
  <c r="K89" i="8"/>
  <c r="J89" i="8"/>
  <c r="I89" i="8"/>
  <c r="K88" i="8"/>
  <c r="J88" i="8"/>
  <c r="I88" i="8"/>
  <c r="K87" i="8"/>
  <c r="J87" i="8"/>
  <c r="I87" i="8"/>
  <c r="K86" i="8"/>
  <c r="J86" i="8"/>
  <c r="I86" i="8"/>
  <c r="K85" i="8"/>
  <c r="J85" i="8"/>
  <c r="I85" i="8"/>
  <c r="K84" i="8"/>
  <c r="J84" i="8"/>
  <c r="I84" i="8"/>
  <c r="K83" i="8"/>
  <c r="J83" i="8"/>
  <c r="I83" i="8"/>
  <c r="K82" i="8"/>
  <c r="J82" i="8"/>
  <c r="I82" i="8"/>
  <c r="K81" i="8"/>
  <c r="J81" i="8"/>
  <c r="I81" i="8"/>
  <c r="K80" i="8"/>
  <c r="J80" i="8"/>
  <c r="I80" i="8"/>
  <c r="K79" i="8"/>
  <c r="J79" i="8"/>
  <c r="I79" i="8"/>
  <c r="K78" i="8"/>
  <c r="J78" i="8"/>
  <c r="I78" i="8"/>
  <c r="K77" i="8"/>
  <c r="J77" i="8"/>
  <c r="I77" i="8"/>
  <c r="K76" i="8"/>
  <c r="J76" i="8"/>
  <c r="I76" i="8"/>
  <c r="K75" i="8"/>
  <c r="J75" i="8"/>
  <c r="I75" i="8"/>
  <c r="K74" i="8"/>
  <c r="J74" i="8"/>
  <c r="I74" i="8"/>
  <c r="K73" i="8"/>
  <c r="J73" i="8"/>
  <c r="I73" i="8"/>
  <c r="K72" i="8"/>
  <c r="J72" i="8"/>
  <c r="I72" i="8"/>
  <c r="K71" i="8"/>
  <c r="J71" i="8"/>
  <c r="I71" i="8"/>
  <c r="K70" i="8"/>
  <c r="J70" i="8"/>
  <c r="I70" i="8"/>
  <c r="K69" i="8"/>
  <c r="J69" i="8"/>
  <c r="I69" i="8"/>
  <c r="K68" i="8"/>
  <c r="J68" i="8"/>
  <c r="I68" i="8"/>
  <c r="K67" i="8"/>
  <c r="J67" i="8"/>
  <c r="I67" i="8"/>
  <c r="K66" i="8"/>
  <c r="J66" i="8"/>
  <c r="I66" i="8"/>
  <c r="K65" i="8"/>
  <c r="J65" i="8"/>
  <c r="I65" i="8"/>
  <c r="K64" i="8"/>
  <c r="J64" i="8"/>
  <c r="I64" i="8"/>
  <c r="K63" i="8"/>
  <c r="J63" i="8"/>
  <c r="I63" i="8"/>
  <c r="K62" i="8"/>
  <c r="J62" i="8"/>
  <c r="I62" i="8"/>
  <c r="K61" i="8"/>
  <c r="J61" i="8"/>
  <c r="I61" i="8"/>
  <c r="K60" i="8"/>
  <c r="J60" i="8"/>
  <c r="I60" i="8"/>
  <c r="K59" i="8"/>
  <c r="J59" i="8"/>
  <c r="I59" i="8"/>
  <c r="K58" i="8"/>
  <c r="J58" i="8"/>
  <c r="I58" i="8"/>
  <c r="K57" i="8"/>
  <c r="J57" i="8"/>
  <c r="I57" i="8"/>
  <c r="K56" i="8"/>
  <c r="J56" i="8"/>
  <c r="I56" i="8"/>
  <c r="K55" i="8"/>
  <c r="J55" i="8"/>
  <c r="I55" i="8"/>
  <c r="K54" i="8"/>
  <c r="J54" i="8"/>
  <c r="I54" i="8"/>
  <c r="K53" i="8"/>
  <c r="J53" i="8"/>
  <c r="I53" i="8"/>
  <c r="K52" i="8"/>
  <c r="J52" i="8"/>
  <c r="I52" i="8"/>
  <c r="H52" i="8"/>
  <c r="G52" i="8"/>
  <c r="D52" i="8"/>
  <c r="B52" i="8"/>
  <c r="K45" i="8"/>
  <c r="J45" i="8"/>
  <c r="I45" i="8"/>
  <c r="K44" i="8"/>
  <c r="J44" i="8"/>
  <c r="I44" i="8"/>
  <c r="K43" i="8"/>
  <c r="J43" i="8"/>
  <c r="I43" i="8"/>
  <c r="K42" i="8"/>
  <c r="J42" i="8"/>
  <c r="I42" i="8"/>
  <c r="K41" i="8"/>
  <c r="J41" i="8"/>
  <c r="I41" i="8"/>
  <c r="K40" i="8"/>
  <c r="J40" i="8"/>
  <c r="I40" i="8"/>
  <c r="K39" i="8"/>
  <c r="J39" i="8"/>
  <c r="I39" i="8"/>
  <c r="K38" i="8"/>
  <c r="J38" i="8"/>
  <c r="I38" i="8"/>
  <c r="K37" i="8"/>
  <c r="J37" i="8"/>
  <c r="I37" i="8"/>
  <c r="K36" i="8"/>
  <c r="J36" i="8"/>
  <c r="I36" i="8"/>
  <c r="K35" i="8"/>
  <c r="J35" i="8"/>
  <c r="I35" i="8"/>
  <c r="K34" i="8"/>
  <c r="J34" i="8"/>
  <c r="I34" i="8"/>
  <c r="K33" i="8"/>
  <c r="J33" i="8"/>
  <c r="I33" i="8"/>
  <c r="K32" i="8"/>
  <c r="J32" i="8"/>
  <c r="I32" i="8"/>
  <c r="K31" i="8"/>
  <c r="J31" i="8"/>
  <c r="I31" i="8"/>
  <c r="K30" i="8"/>
  <c r="J30" i="8"/>
  <c r="I30" i="8"/>
  <c r="K29" i="8"/>
  <c r="J29" i="8"/>
  <c r="I29" i="8"/>
  <c r="H29" i="8"/>
  <c r="G29" i="8"/>
  <c r="D29" i="8"/>
  <c r="B29" i="8"/>
  <c r="K28" i="8"/>
  <c r="K25" i="8"/>
  <c r="J25" i="8"/>
  <c r="I25" i="8"/>
  <c r="K24" i="8"/>
  <c r="J24" i="8"/>
  <c r="I24" i="8"/>
  <c r="K23" i="8"/>
  <c r="J23" i="8"/>
  <c r="I23" i="8"/>
  <c r="K22" i="8"/>
  <c r="J22" i="8"/>
  <c r="I22" i="8"/>
  <c r="K21" i="8"/>
  <c r="J21" i="8"/>
  <c r="I21" i="8"/>
  <c r="K20" i="8"/>
  <c r="J20" i="8"/>
  <c r="I20" i="8"/>
  <c r="K19" i="8"/>
  <c r="J19" i="8"/>
  <c r="I19" i="8"/>
  <c r="K18" i="8"/>
  <c r="J18" i="8"/>
  <c r="I18" i="8"/>
  <c r="K17" i="8"/>
  <c r="J17" i="8"/>
  <c r="I17" i="8"/>
  <c r="K16" i="8"/>
  <c r="J16" i="8"/>
  <c r="I16" i="8"/>
  <c r="K15" i="8"/>
  <c r="J15" i="8"/>
  <c r="I15" i="8"/>
  <c r="K14" i="8"/>
  <c r="J14" i="8"/>
  <c r="I14" i="8"/>
  <c r="K13" i="8"/>
  <c r="J13" i="8"/>
  <c r="I13" i="8"/>
  <c r="K12" i="8"/>
  <c r="J12" i="8"/>
  <c r="I12" i="8"/>
  <c r="K11" i="8"/>
  <c r="J11" i="8"/>
  <c r="I11" i="8"/>
  <c r="K10" i="8"/>
  <c r="J10" i="8"/>
  <c r="I10" i="8"/>
  <c r="K9" i="8"/>
  <c r="J9" i="8"/>
  <c r="I9" i="8"/>
  <c r="K8" i="8"/>
  <c r="J8" i="8"/>
  <c r="I8" i="8"/>
  <c r="K7" i="8"/>
  <c r="J7" i="8"/>
  <c r="I7" i="8"/>
  <c r="K6" i="8"/>
  <c r="J6" i="8"/>
  <c r="I6" i="8"/>
  <c r="K5" i="8"/>
  <c r="J5" i="8"/>
  <c r="I5" i="8"/>
  <c r="K4" i="8"/>
  <c r="J4" i="8"/>
  <c r="I4" i="8"/>
  <c r="K3" i="8"/>
  <c r="J3" i="8"/>
  <c r="K2" i="8"/>
  <c r="J2" i="8"/>
  <c r="I2" i="8"/>
  <c r="H2" i="8"/>
  <c r="G2" i="8"/>
  <c r="D2" i="8"/>
  <c r="B2" i="8"/>
  <c r="C197" i="77"/>
  <c r="G181" i="77"/>
  <c r="J175" i="77"/>
  <c r="J174" i="77"/>
  <c r="J173" i="77"/>
  <c r="J172" i="77"/>
  <c r="J171" i="77"/>
  <c r="J170" i="77"/>
  <c r="J169" i="77"/>
  <c r="J168" i="77"/>
  <c r="J167" i="77"/>
  <c r="J166" i="77"/>
  <c r="J165" i="77"/>
  <c r="J164" i="77"/>
  <c r="J163" i="77"/>
  <c r="J162" i="77"/>
  <c r="J161" i="77"/>
  <c r="J160" i="77"/>
  <c r="J159" i="77"/>
  <c r="J158" i="77"/>
  <c r="J157" i="77"/>
  <c r="J156" i="77"/>
  <c r="J155" i="77"/>
  <c r="J154" i="77"/>
  <c r="J153" i="77"/>
  <c r="J152" i="77"/>
  <c r="J151" i="77"/>
  <c r="J150" i="77"/>
  <c r="J149" i="77"/>
  <c r="J148" i="77"/>
  <c r="J147" i="77"/>
  <c r="J146" i="77"/>
  <c r="J145" i="77"/>
  <c r="J144" i="77"/>
  <c r="J143" i="77"/>
  <c r="J142" i="77"/>
  <c r="J141" i="77"/>
  <c r="J140" i="77"/>
  <c r="J139" i="77"/>
  <c r="J138" i="77"/>
  <c r="J137" i="77"/>
  <c r="J136" i="77"/>
  <c r="J135" i="77"/>
  <c r="J134" i="77"/>
  <c r="J133" i="77"/>
  <c r="J132" i="77"/>
  <c r="J131" i="77"/>
  <c r="J130" i="77"/>
  <c r="J129" i="77"/>
  <c r="J128" i="77"/>
  <c r="J127" i="77"/>
  <c r="J126" i="77"/>
  <c r="J125" i="77"/>
  <c r="J124" i="77"/>
  <c r="J123" i="77"/>
  <c r="J122" i="77"/>
  <c r="J121" i="77"/>
  <c r="J120" i="77"/>
  <c r="J119" i="77"/>
  <c r="J118" i="77"/>
  <c r="J117" i="77"/>
  <c r="J116" i="77"/>
  <c r="J115" i="77"/>
  <c r="J114" i="77"/>
  <c r="J113" i="77"/>
  <c r="J112" i="77"/>
  <c r="J111" i="77"/>
  <c r="J110" i="77"/>
  <c r="J109" i="77"/>
  <c r="J108" i="77"/>
  <c r="J107" i="77"/>
  <c r="J106" i="77"/>
  <c r="J105" i="77"/>
  <c r="J104" i="77"/>
  <c r="J103" i="77"/>
  <c r="J102" i="77"/>
  <c r="J101" i="77"/>
  <c r="J100" i="77"/>
  <c r="J99" i="77"/>
  <c r="J98" i="77"/>
  <c r="J97" i="77"/>
  <c r="J96" i="77"/>
  <c r="J95" i="77"/>
  <c r="J94" i="77"/>
  <c r="J93" i="77"/>
  <c r="J92" i="77"/>
  <c r="J91" i="77"/>
  <c r="G91" i="77"/>
  <c r="B91" i="77"/>
  <c r="J82" i="77"/>
  <c r="J81" i="77"/>
  <c r="J80" i="77"/>
  <c r="H228" i="77" s="1"/>
  <c r="J79" i="77"/>
  <c r="J78" i="77"/>
  <c r="H227" i="77" s="1"/>
  <c r="J77" i="77"/>
  <c r="J76" i="77"/>
  <c r="J75" i="77"/>
  <c r="H226" i="77" s="1"/>
  <c r="J74" i="77"/>
  <c r="J73" i="77"/>
  <c r="J72" i="77"/>
  <c r="J71" i="77"/>
  <c r="H224" i="77" s="1"/>
  <c r="J70" i="77"/>
  <c r="J69" i="77"/>
  <c r="J68" i="77"/>
  <c r="J67" i="77"/>
  <c r="H222" i="77" s="1"/>
  <c r="J66" i="77"/>
  <c r="J65" i="77"/>
  <c r="J64" i="77"/>
  <c r="J63" i="77"/>
  <c r="J62" i="77"/>
  <c r="H220" i="77" s="1"/>
  <c r="J61" i="77"/>
  <c r="J60" i="77"/>
  <c r="H219" i="77" s="1"/>
  <c r="J59" i="77"/>
  <c r="J58" i="77"/>
  <c r="H218" i="77" s="1"/>
  <c r="J57" i="77"/>
  <c r="J56" i="77"/>
  <c r="J55" i="77"/>
  <c r="J54" i="77"/>
  <c r="J53" i="77"/>
  <c r="J52" i="77"/>
  <c r="G51" i="77"/>
  <c r="B51" i="77"/>
  <c r="J44" i="77"/>
  <c r="J43" i="77"/>
  <c r="J42" i="77"/>
  <c r="J41" i="77"/>
  <c r="J40" i="77"/>
  <c r="J39" i="77"/>
  <c r="J38" i="77"/>
  <c r="J37" i="77"/>
  <c r="J36" i="77"/>
  <c r="J35" i="77"/>
  <c r="H210" i="77" s="1"/>
  <c r="J34" i="77"/>
  <c r="J33" i="77"/>
  <c r="H209" i="77" s="1"/>
  <c r="J32" i="77"/>
  <c r="J31" i="77"/>
  <c r="J30" i="77"/>
  <c r="J29" i="77"/>
  <c r="J28" i="77"/>
  <c r="J27" i="77"/>
  <c r="J26" i="77"/>
  <c r="J25" i="77"/>
  <c r="J24" i="77"/>
  <c r="J23" i="77"/>
  <c r="H205" i="77" s="1"/>
  <c r="J22" i="77"/>
  <c r="J21" i="77"/>
  <c r="J20" i="77"/>
  <c r="J19" i="77"/>
  <c r="J18" i="77"/>
  <c r="J17" i="77"/>
  <c r="J16" i="77"/>
  <c r="J15" i="77"/>
  <c r="J14" i="77"/>
  <c r="H202" i="77" s="1"/>
  <c r="J13" i="77"/>
  <c r="J12" i="77"/>
  <c r="H201" i="77" s="1"/>
  <c r="J11" i="77"/>
  <c r="J10" i="77"/>
  <c r="H200" i="77" s="1"/>
  <c r="J9" i="77"/>
  <c r="J8" i="77"/>
  <c r="J7" i="77"/>
  <c r="J6" i="77"/>
  <c r="J5" i="77"/>
  <c r="J4" i="77"/>
  <c r="G3" i="77"/>
  <c r="B3" i="77"/>
  <c r="J2" i="77"/>
  <c r="AL119" i="151"/>
  <c r="AL118" i="151"/>
  <c r="AL117" i="151"/>
  <c r="AL116" i="151"/>
  <c r="AL115" i="151"/>
  <c r="AL113" i="151"/>
  <c r="AL112" i="151"/>
  <c r="AL111" i="151"/>
  <c r="G111" i="151"/>
  <c r="BD106" i="151"/>
  <c r="BC106" i="151"/>
  <c r="BB106" i="151"/>
  <c r="BA106" i="151"/>
  <c r="AZ106" i="151"/>
  <c r="AY106" i="151"/>
  <c r="AX106" i="151"/>
  <c r="AW106" i="151"/>
  <c r="AV106" i="151"/>
  <c r="AU106" i="151"/>
  <c r="AT106" i="151"/>
  <c r="AS106" i="151"/>
  <c r="AR106" i="151"/>
  <c r="AQ106" i="151"/>
  <c r="AP106" i="151"/>
  <c r="AO106" i="151"/>
  <c r="AN106" i="151"/>
  <c r="AM106" i="151"/>
  <c r="AL106" i="151"/>
  <c r="BD96" i="151"/>
  <c r="BC96" i="151"/>
  <c r="BB96" i="151"/>
  <c r="BA96" i="151"/>
  <c r="AZ96" i="151"/>
  <c r="AY96" i="151"/>
  <c r="AX96" i="151"/>
  <c r="AW96" i="151"/>
  <c r="AV96" i="151"/>
  <c r="AU96" i="151"/>
  <c r="AT96" i="151"/>
  <c r="AS96" i="151"/>
  <c r="AR96" i="151"/>
  <c r="AQ96" i="151"/>
  <c r="AP96" i="151"/>
  <c r="AO96" i="151"/>
  <c r="AN96" i="151"/>
  <c r="AM96" i="151"/>
  <c r="AL96" i="151"/>
  <c r="BD91" i="151"/>
  <c r="BC91" i="151"/>
  <c r="BB91" i="151"/>
  <c r="BA91" i="151"/>
  <c r="AZ91" i="151"/>
  <c r="AY91" i="151"/>
  <c r="AX91" i="151"/>
  <c r="AW91" i="151"/>
  <c r="AV91" i="151"/>
  <c r="AU91" i="151"/>
  <c r="AT91" i="151"/>
  <c r="AS91" i="151"/>
  <c r="AR91" i="151"/>
  <c r="AQ91" i="151"/>
  <c r="AP91" i="151"/>
  <c r="AO91" i="151"/>
  <c r="AN91" i="151"/>
  <c r="AM91" i="151"/>
  <c r="AL91" i="151"/>
  <c r="BD83" i="151"/>
  <c r="BC83" i="151"/>
  <c r="BB83" i="151"/>
  <c r="BA83" i="151"/>
  <c r="AZ83" i="151"/>
  <c r="AY83" i="151"/>
  <c r="AX83" i="151"/>
  <c r="AW83" i="151"/>
  <c r="AV83" i="151"/>
  <c r="AU83" i="151"/>
  <c r="AT83" i="151"/>
  <c r="AS83" i="151"/>
  <c r="AR83" i="151"/>
  <c r="AQ83" i="151"/>
  <c r="AP83" i="151"/>
  <c r="AO83" i="151"/>
  <c r="AN83" i="151"/>
  <c r="AM83" i="151"/>
  <c r="AL83" i="151"/>
  <c r="AL79" i="151"/>
  <c r="BD77" i="151"/>
  <c r="BC77" i="151"/>
  <c r="BB77" i="151"/>
  <c r="BA77" i="151"/>
  <c r="AZ77" i="151"/>
  <c r="AY77" i="151"/>
  <c r="AX77" i="151"/>
  <c r="AW77" i="151"/>
  <c r="AV77" i="151"/>
  <c r="AU77" i="151"/>
  <c r="AT77" i="151"/>
  <c r="AS77" i="151"/>
  <c r="AR77" i="151"/>
  <c r="AQ77" i="151"/>
  <c r="AP77" i="151"/>
  <c r="AO77" i="151"/>
  <c r="AN77" i="151"/>
  <c r="AM77" i="151"/>
  <c r="AL77" i="151"/>
  <c r="AL66" i="151"/>
  <c r="BD62" i="151"/>
  <c r="BC62" i="151"/>
  <c r="BB62" i="151"/>
  <c r="BA62" i="151"/>
  <c r="AZ62" i="151"/>
  <c r="AY62" i="151"/>
  <c r="AX62" i="151"/>
  <c r="AW62" i="151"/>
  <c r="AV62" i="151"/>
  <c r="AU62" i="151"/>
  <c r="AT62" i="151"/>
  <c r="AS62" i="151"/>
  <c r="AR62" i="151"/>
  <c r="AQ62" i="151"/>
  <c r="AP62" i="151"/>
  <c r="AO62" i="151"/>
  <c r="AN62" i="151"/>
  <c r="AM62" i="151"/>
  <c r="AL62" i="151"/>
  <c r="AL60" i="151"/>
  <c r="AL59" i="151"/>
  <c r="AL58" i="151"/>
  <c r="BD57" i="151"/>
  <c r="BC57" i="151"/>
  <c r="BB57" i="151"/>
  <c r="BA57" i="151"/>
  <c r="AZ57" i="151"/>
  <c r="AY57" i="151"/>
  <c r="AX57" i="151"/>
  <c r="AW57" i="151"/>
  <c r="AV57" i="151"/>
  <c r="AU57" i="151"/>
  <c r="AT57" i="151"/>
  <c r="AS57" i="151"/>
  <c r="AR57" i="151"/>
  <c r="AQ57" i="151"/>
  <c r="AP57" i="151"/>
  <c r="AO57" i="151"/>
  <c r="AN57" i="151"/>
  <c r="AM57" i="151"/>
  <c r="AL57" i="151"/>
  <c r="BD55" i="151"/>
  <c r="BC55" i="151"/>
  <c r="BB55" i="151"/>
  <c r="BA55" i="151"/>
  <c r="AZ55" i="151"/>
  <c r="AY55" i="151"/>
  <c r="AX55" i="151"/>
  <c r="AW55" i="151"/>
  <c r="AV55" i="151"/>
  <c r="AU55" i="151"/>
  <c r="AT55" i="151"/>
  <c r="AS55" i="151"/>
  <c r="AR55" i="151"/>
  <c r="AQ55" i="151"/>
  <c r="AP55" i="151"/>
  <c r="AO55" i="151"/>
  <c r="AN55" i="151"/>
  <c r="AM55" i="151"/>
  <c r="AL55" i="151"/>
  <c r="G52" i="151"/>
  <c r="B52" i="151"/>
  <c r="BD45" i="151"/>
  <c r="BC45" i="151"/>
  <c r="BB45" i="151"/>
  <c r="BA45" i="151"/>
  <c r="AZ45" i="151"/>
  <c r="AY45" i="151"/>
  <c r="AX45" i="151"/>
  <c r="AW45" i="151"/>
  <c r="AV45" i="151"/>
  <c r="AU45" i="151"/>
  <c r="AT45" i="151"/>
  <c r="AS45" i="151"/>
  <c r="AR45" i="151"/>
  <c r="AQ45" i="151"/>
  <c r="AP45" i="151"/>
  <c r="AO45" i="151"/>
  <c r="AN45" i="151"/>
  <c r="AM45" i="151"/>
  <c r="AL45" i="151"/>
  <c r="BD36" i="151"/>
  <c r="BC36" i="151"/>
  <c r="BB36" i="151"/>
  <c r="BA36" i="151"/>
  <c r="AZ36" i="151"/>
  <c r="AY36" i="151"/>
  <c r="AX36" i="151"/>
  <c r="AW36" i="151"/>
  <c r="AV36" i="151"/>
  <c r="AU36" i="151"/>
  <c r="AT36" i="151"/>
  <c r="AS36" i="151"/>
  <c r="AR36" i="151"/>
  <c r="AQ36" i="151"/>
  <c r="AP36" i="151"/>
  <c r="AO36" i="151"/>
  <c r="AN36" i="151"/>
  <c r="AM36" i="151"/>
  <c r="AL36" i="151"/>
  <c r="AL31" i="151"/>
  <c r="BD29" i="151"/>
  <c r="BC29" i="151"/>
  <c r="BB29" i="151"/>
  <c r="BA29" i="151"/>
  <c r="AZ29" i="151"/>
  <c r="AY29" i="151"/>
  <c r="AX29" i="151"/>
  <c r="AW29" i="151"/>
  <c r="AV29" i="151"/>
  <c r="AU29" i="151"/>
  <c r="AT29" i="151"/>
  <c r="AS29" i="151"/>
  <c r="AR29" i="151"/>
  <c r="AQ29" i="151"/>
  <c r="AP29" i="151"/>
  <c r="AO29" i="151"/>
  <c r="AN29" i="151"/>
  <c r="AM29" i="151"/>
  <c r="AL29" i="151"/>
  <c r="G29" i="151"/>
  <c r="B29" i="151"/>
  <c r="BD25" i="151"/>
  <c r="BC25" i="151"/>
  <c r="BB25" i="151"/>
  <c r="BA25" i="151"/>
  <c r="AZ25" i="151"/>
  <c r="AY25" i="151"/>
  <c r="AX25" i="151"/>
  <c r="AW25" i="151"/>
  <c r="AV25" i="151"/>
  <c r="AU25" i="151"/>
  <c r="AT25" i="151"/>
  <c r="AS25" i="151"/>
  <c r="AR25" i="151"/>
  <c r="AQ25" i="151"/>
  <c r="AP25" i="151"/>
  <c r="AO25" i="151"/>
  <c r="AN25" i="151"/>
  <c r="AM25" i="151"/>
  <c r="AL25" i="151"/>
  <c r="BD23" i="151"/>
  <c r="BC23" i="151"/>
  <c r="BB23" i="151"/>
  <c r="BA23" i="151"/>
  <c r="AZ23" i="151"/>
  <c r="AY23" i="151"/>
  <c r="AX23" i="151"/>
  <c r="AW23" i="151"/>
  <c r="AV23" i="151"/>
  <c r="AU23" i="151"/>
  <c r="AT23" i="151"/>
  <c r="AS23" i="151"/>
  <c r="AR23" i="151"/>
  <c r="AQ23" i="151"/>
  <c r="AP23" i="151"/>
  <c r="AO23" i="151"/>
  <c r="AN23" i="151"/>
  <c r="AM23" i="151"/>
  <c r="AL23" i="151"/>
  <c r="AL22" i="151"/>
  <c r="BD12" i="151"/>
  <c r="BC12" i="151"/>
  <c r="BB12" i="151"/>
  <c r="BA12" i="151"/>
  <c r="AZ12" i="151"/>
  <c r="AY12" i="151"/>
  <c r="AX12" i="151"/>
  <c r="AW12" i="151"/>
  <c r="AV12" i="151"/>
  <c r="AU12" i="151"/>
  <c r="AT12" i="151"/>
  <c r="AS12" i="151"/>
  <c r="AR12" i="151"/>
  <c r="AQ12" i="151"/>
  <c r="AP12" i="151"/>
  <c r="AO12" i="151"/>
  <c r="AN12" i="151"/>
  <c r="AM12" i="151"/>
  <c r="AL12" i="151"/>
  <c r="BD6" i="151"/>
  <c r="BC6" i="151"/>
  <c r="BB6" i="151"/>
  <c r="BA6" i="151"/>
  <c r="AZ6" i="151"/>
  <c r="AY6" i="151"/>
  <c r="AX6" i="151"/>
  <c r="AW6" i="151"/>
  <c r="AV6" i="151"/>
  <c r="AU6" i="151"/>
  <c r="AT6" i="151"/>
  <c r="AS6" i="151"/>
  <c r="AR6" i="151"/>
  <c r="AQ6" i="151"/>
  <c r="AP6" i="151"/>
  <c r="AO6" i="151"/>
  <c r="AN6" i="151"/>
  <c r="AM6" i="151"/>
  <c r="AL6" i="151"/>
  <c r="BD2" i="151"/>
  <c r="BC2" i="151"/>
  <c r="BB2" i="151"/>
  <c r="BA2" i="151"/>
  <c r="AZ2" i="151"/>
  <c r="AY2" i="151"/>
  <c r="AX2" i="151"/>
  <c r="AW2" i="151"/>
  <c r="AV2" i="151"/>
  <c r="AU2" i="151"/>
  <c r="AT2" i="151"/>
  <c r="AS2" i="151"/>
  <c r="AR2" i="151"/>
  <c r="AQ2" i="151"/>
  <c r="AP2" i="151"/>
  <c r="AO2" i="151"/>
  <c r="AN2" i="151"/>
  <c r="AM2" i="151"/>
  <c r="AL2" i="151"/>
  <c r="G2" i="151"/>
  <c r="B2" i="151"/>
  <c r="P92" i="140"/>
  <c r="O92" i="140"/>
  <c r="N92" i="140"/>
  <c r="M92" i="140"/>
  <c r="L92" i="140"/>
  <c r="K92" i="140"/>
  <c r="J92" i="140"/>
  <c r="I92" i="140"/>
  <c r="H92" i="140"/>
  <c r="G92" i="140"/>
  <c r="F92" i="140"/>
  <c r="E92" i="140"/>
  <c r="P91" i="140"/>
  <c r="O91" i="140"/>
  <c r="N91" i="140"/>
  <c r="M91" i="140"/>
  <c r="L91" i="140"/>
  <c r="K91" i="140"/>
  <c r="J91" i="140"/>
  <c r="I91" i="140"/>
  <c r="H91" i="140"/>
  <c r="G91" i="140"/>
  <c r="F91" i="140"/>
  <c r="E91" i="140"/>
  <c r="P57" i="140"/>
  <c r="O57" i="140"/>
  <c r="N57" i="140"/>
  <c r="M57" i="140"/>
  <c r="L57" i="140"/>
  <c r="K57" i="140"/>
  <c r="J57" i="140"/>
  <c r="I57" i="140"/>
  <c r="H57" i="140"/>
  <c r="G57" i="140"/>
  <c r="F57" i="140"/>
  <c r="E57" i="140"/>
  <c r="P56" i="140"/>
  <c r="O56" i="140"/>
  <c r="N56" i="140"/>
  <c r="M56" i="140"/>
  <c r="L56" i="140"/>
  <c r="K56" i="140"/>
  <c r="J56" i="140"/>
  <c r="I56" i="140"/>
  <c r="H56" i="140"/>
  <c r="G56" i="140"/>
  <c r="F56" i="140"/>
  <c r="E56" i="140"/>
  <c r="P24" i="140"/>
  <c r="O24" i="140"/>
  <c r="N24" i="140"/>
  <c r="M24" i="140"/>
  <c r="L24" i="140"/>
  <c r="K24" i="140"/>
  <c r="J24" i="140"/>
  <c r="I24" i="140"/>
  <c r="H24" i="140"/>
  <c r="G24" i="140"/>
  <c r="F24" i="140"/>
  <c r="E24" i="140"/>
  <c r="P23" i="140"/>
  <c r="O23" i="140"/>
  <c r="N23" i="140"/>
  <c r="M23" i="140"/>
  <c r="L23" i="140"/>
  <c r="K23" i="140"/>
  <c r="J23" i="140"/>
  <c r="I23" i="140"/>
  <c r="H23" i="140"/>
  <c r="G23" i="140"/>
  <c r="F23" i="140"/>
  <c r="E23" i="140"/>
  <c r="E14" i="140"/>
  <c r="AX8" i="140"/>
  <c r="AW8" i="140"/>
  <c r="AW5" i="140"/>
  <c r="T5" i="140"/>
  <c r="AW4" i="140"/>
  <c r="T4" i="140"/>
  <c r="AW3" i="140"/>
  <c r="AO1" i="140"/>
  <c r="AX142" i="114"/>
  <c r="AW142" i="114"/>
  <c r="AV142" i="114"/>
  <c r="AX140" i="114"/>
  <c r="AW140" i="114"/>
  <c r="AV140" i="114"/>
  <c r="AX139" i="114"/>
  <c r="AW139" i="114"/>
  <c r="AV139" i="114"/>
  <c r="AX138" i="114"/>
  <c r="AW138" i="114"/>
  <c r="AV138" i="114"/>
  <c r="AX137" i="114"/>
  <c r="AW137" i="114"/>
  <c r="AV137" i="114"/>
  <c r="AX136" i="114"/>
  <c r="AW136" i="114"/>
  <c r="AV136" i="114"/>
  <c r="AX135" i="114"/>
  <c r="AW135" i="114"/>
  <c r="AV135" i="114"/>
  <c r="AX134" i="114"/>
  <c r="AW134" i="114"/>
  <c r="AV134" i="114"/>
  <c r="AX133" i="114"/>
  <c r="AW133" i="114"/>
  <c r="AV133" i="114"/>
  <c r="AX132" i="114"/>
  <c r="AW132" i="114"/>
  <c r="AV132" i="114"/>
  <c r="AX131" i="114"/>
  <c r="AW131" i="114"/>
  <c r="AV131" i="114"/>
  <c r="AX130" i="114"/>
  <c r="AW130" i="114"/>
  <c r="AV130" i="114"/>
  <c r="AX129" i="114"/>
  <c r="AW129" i="114"/>
  <c r="AV129" i="114"/>
  <c r="J129" i="114"/>
  <c r="I129" i="114"/>
  <c r="H129" i="114"/>
  <c r="D129" i="114"/>
  <c r="AX128" i="114"/>
  <c r="AW128" i="114"/>
  <c r="AV128" i="114"/>
  <c r="AX127" i="114"/>
  <c r="AW127" i="114"/>
  <c r="AV127" i="114"/>
  <c r="AX125" i="114"/>
  <c r="AW125" i="114"/>
  <c r="AV125" i="114"/>
  <c r="AX124" i="114"/>
  <c r="AW124" i="114"/>
  <c r="AV124" i="114"/>
  <c r="AX121" i="114"/>
  <c r="AW121" i="114"/>
  <c r="AV121" i="114"/>
  <c r="AX115" i="114"/>
  <c r="AW115" i="114"/>
  <c r="AV115" i="114"/>
  <c r="AX104" i="114"/>
  <c r="AW104" i="114"/>
  <c r="AV104" i="114"/>
  <c r="AX103" i="114"/>
  <c r="AW103" i="114"/>
  <c r="AV103" i="114"/>
  <c r="AX102" i="114"/>
  <c r="AW102" i="114"/>
  <c r="AV102" i="114"/>
  <c r="AX101" i="114"/>
  <c r="AW101" i="114"/>
  <c r="AV101" i="114"/>
  <c r="AX100" i="114"/>
  <c r="AW100" i="114"/>
  <c r="AV100" i="114"/>
  <c r="AX99" i="114"/>
  <c r="AW99" i="114"/>
  <c r="AV99" i="114"/>
  <c r="AX98" i="114"/>
  <c r="AW98" i="114"/>
  <c r="AV98" i="114"/>
  <c r="AX97" i="114"/>
  <c r="AW97" i="114"/>
  <c r="AV97" i="114"/>
  <c r="AX96" i="114"/>
  <c r="AW96" i="114"/>
  <c r="AV96" i="114"/>
  <c r="AX95" i="114"/>
  <c r="AW95" i="114"/>
  <c r="AV95" i="114"/>
  <c r="AX94" i="114"/>
  <c r="AW94" i="114"/>
  <c r="AV94" i="114"/>
  <c r="AX93" i="114"/>
  <c r="AW93" i="114"/>
  <c r="AV93" i="114"/>
  <c r="AX92" i="114"/>
  <c r="AW92" i="114"/>
  <c r="AV92" i="114"/>
  <c r="AX91" i="114"/>
  <c r="AW91" i="114"/>
  <c r="AV91" i="114"/>
  <c r="AX90" i="114"/>
  <c r="AW90" i="114"/>
  <c r="AV90" i="114"/>
  <c r="AX89" i="114"/>
  <c r="AW89" i="114"/>
  <c r="AV89" i="114"/>
  <c r="AX88" i="114"/>
  <c r="AW88" i="114"/>
  <c r="AV88" i="114"/>
  <c r="AX87" i="114"/>
  <c r="AW87" i="114"/>
  <c r="AV87" i="114"/>
  <c r="AX86" i="114"/>
  <c r="AW86" i="114"/>
  <c r="AV86" i="114"/>
  <c r="AX85" i="114"/>
  <c r="AW85" i="114"/>
  <c r="AV85" i="114"/>
  <c r="AX84" i="114"/>
  <c r="AW84" i="114"/>
  <c r="AV84" i="114"/>
  <c r="AX83" i="114"/>
  <c r="AW83" i="114"/>
  <c r="AV83" i="114"/>
  <c r="AX82" i="114"/>
  <c r="AW82" i="114"/>
  <c r="AV82" i="114"/>
  <c r="AX81" i="114"/>
  <c r="AW81" i="114"/>
  <c r="AV81" i="114"/>
  <c r="AX80" i="114"/>
  <c r="AW80" i="114"/>
  <c r="AV80" i="114"/>
  <c r="AX79" i="114"/>
  <c r="AW79" i="114"/>
  <c r="AV79" i="114"/>
  <c r="AX78" i="114"/>
  <c r="AW78" i="114"/>
  <c r="AV78" i="114"/>
  <c r="AX77" i="114"/>
  <c r="AW77" i="114"/>
  <c r="AV77" i="114"/>
  <c r="AX76" i="114"/>
  <c r="AW76" i="114"/>
  <c r="AV76" i="114"/>
  <c r="AX75" i="114"/>
  <c r="AW75" i="114"/>
  <c r="AV75" i="114"/>
  <c r="AX74" i="114"/>
  <c r="AW74" i="114"/>
  <c r="AV74" i="114"/>
  <c r="AX73" i="114"/>
  <c r="AW73" i="114"/>
  <c r="AV73" i="114"/>
  <c r="AX72" i="114"/>
  <c r="AW72" i="114"/>
  <c r="AV72" i="114"/>
  <c r="AX71" i="114"/>
  <c r="AW71" i="114"/>
  <c r="AV71" i="114"/>
  <c r="AX70" i="114"/>
  <c r="AW70" i="114"/>
  <c r="AV70" i="114"/>
  <c r="AX69" i="114"/>
  <c r="AW69" i="114"/>
  <c r="AV69" i="114"/>
  <c r="AX68" i="114"/>
  <c r="AW68" i="114"/>
  <c r="AV68" i="114"/>
  <c r="AX67" i="114"/>
  <c r="AW67" i="114"/>
  <c r="AV67" i="114"/>
  <c r="AX66" i="114"/>
  <c r="AW66" i="114"/>
  <c r="AV66" i="114"/>
  <c r="AX65" i="114"/>
  <c r="AW65" i="114"/>
  <c r="AV65" i="114"/>
  <c r="AX64" i="114"/>
  <c r="AW64" i="114"/>
  <c r="AV64" i="114"/>
  <c r="AX63" i="114"/>
  <c r="AW63" i="114"/>
  <c r="AV63" i="114"/>
  <c r="AX62" i="114"/>
  <c r="AW62" i="114"/>
  <c r="AV62" i="114"/>
  <c r="J62" i="114"/>
  <c r="I62" i="114"/>
  <c r="H62" i="114"/>
  <c r="D62" i="114"/>
  <c r="AX61" i="114"/>
  <c r="AW61" i="114"/>
  <c r="AV61" i="114"/>
  <c r="AX60" i="114"/>
  <c r="AW60" i="114"/>
  <c r="AV60" i="114"/>
  <c r="AX58" i="114"/>
  <c r="AW58" i="114"/>
  <c r="AV58" i="114"/>
  <c r="AX56" i="114"/>
  <c r="AW56" i="114"/>
  <c r="AV56" i="114"/>
  <c r="AX55" i="114"/>
  <c r="AW55" i="114"/>
  <c r="AV55" i="114"/>
  <c r="AX54" i="114"/>
  <c r="AW54" i="114"/>
  <c r="AV54" i="114"/>
  <c r="AX53" i="114"/>
  <c r="AW53" i="114"/>
  <c r="AV53" i="114"/>
  <c r="AX52" i="114"/>
  <c r="AW52" i="114"/>
  <c r="AV52" i="114"/>
  <c r="AX51" i="114"/>
  <c r="AW51" i="114"/>
  <c r="AV51" i="114"/>
  <c r="AX50" i="114"/>
  <c r="AW50" i="114"/>
  <c r="AV50" i="114"/>
  <c r="AX49" i="114"/>
  <c r="AW49" i="114"/>
  <c r="AV49" i="114"/>
  <c r="AX48" i="114"/>
  <c r="AW48" i="114"/>
  <c r="AV48" i="114"/>
  <c r="AX47" i="114"/>
  <c r="AW47" i="114"/>
  <c r="AV47" i="114"/>
  <c r="AX46" i="114"/>
  <c r="AW46" i="114"/>
  <c r="AV46" i="114"/>
  <c r="AX45" i="114"/>
  <c r="AW45" i="114"/>
  <c r="AV45" i="114"/>
  <c r="AX44" i="114"/>
  <c r="AW44" i="114"/>
  <c r="AV44" i="114"/>
  <c r="AX43" i="114"/>
  <c r="AW43" i="114"/>
  <c r="AV43" i="114"/>
  <c r="AX42" i="114"/>
  <c r="AW42" i="114"/>
  <c r="AV42" i="114"/>
  <c r="AX41" i="114"/>
  <c r="AW41" i="114"/>
  <c r="AV41" i="114"/>
  <c r="AX40" i="114"/>
  <c r="AW40" i="114"/>
  <c r="AV40" i="114"/>
  <c r="AX39" i="114"/>
  <c r="AW39" i="114"/>
  <c r="AV39" i="114"/>
  <c r="AX38" i="114"/>
  <c r="AW38" i="114"/>
  <c r="AV38" i="114"/>
  <c r="AX37" i="114"/>
  <c r="AW37" i="114"/>
  <c r="AV37" i="114"/>
  <c r="AX36" i="114"/>
  <c r="AW36" i="114"/>
  <c r="AV36" i="114"/>
  <c r="AX35" i="114"/>
  <c r="AW35" i="114"/>
  <c r="AV35" i="114"/>
  <c r="AX34" i="114"/>
  <c r="AW34" i="114"/>
  <c r="AV34" i="114"/>
  <c r="AX33" i="114"/>
  <c r="AW33" i="114"/>
  <c r="AV33" i="114"/>
  <c r="AX32" i="114"/>
  <c r="AW32" i="114"/>
  <c r="AV32" i="114"/>
  <c r="AX31" i="114"/>
  <c r="AW31" i="114"/>
  <c r="AV31" i="114"/>
  <c r="AX30" i="114"/>
  <c r="AW30" i="114"/>
  <c r="AV30" i="114"/>
  <c r="J30" i="114"/>
  <c r="I30" i="114"/>
  <c r="H30" i="114"/>
  <c r="D30" i="114"/>
  <c r="B30" i="114"/>
  <c r="AX29" i="114"/>
  <c r="AW29" i="114"/>
  <c r="AV29" i="114"/>
  <c r="AX27" i="114"/>
  <c r="AW27" i="114"/>
  <c r="AV27" i="114"/>
  <c r="AX25" i="114"/>
  <c r="AW25" i="114"/>
  <c r="AV25" i="114"/>
  <c r="AX24" i="114"/>
  <c r="AW24" i="114"/>
  <c r="AV24" i="114"/>
  <c r="AX23" i="114"/>
  <c r="AW23" i="114"/>
  <c r="AV23" i="114"/>
  <c r="AX22" i="114"/>
  <c r="AW22" i="114"/>
  <c r="AV22" i="114"/>
  <c r="AX21" i="114"/>
  <c r="AW21" i="114"/>
  <c r="AV21" i="114"/>
  <c r="AX20" i="114"/>
  <c r="AW20" i="114"/>
  <c r="AV20" i="114"/>
  <c r="AX19" i="114"/>
  <c r="AW19" i="114"/>
  <c r="AV19" i="114"/>
  <c r="AX18" i="114"/>
  <c r="AW18" i="114"/>
  <c r="AV18" i="114"/>
  <c r="AX17" i="114"/>
  <c r="AW17" i="114"/>
  <c r="AV17" i="114"/>
  <c r="AX16" i="114"/>
  <c r="AW16" i="114"/>
  <c r="AV16" i="114"/>
  <c r="AX15" i="114"/>
  <c r="AW15" i="114"/>
  <c r="AV15" i="114"/>
  <c r="AX14" i="114"/>
  <c r="AW14" i="114"/>
  <c r="AV14" i="114"/>
  <c r="AX13" i="114"/>
  <c r="AW13" i="114"/>
  <c r="AV13" i="114"/>
  <c r="AX12" i="114"/>
  <c r="AW12" i="114"/>
  <c r="AV12" i="114"/>
  <c r="AX11" i="114"/>
  <c r="AW11" i="114"/>
  <c r="AV11" i="114"/>
  <c r="AX10" i="114"/>
  <c r="AW10" i="114"/>
  <c r="AV10" i="114"/>
  <c r="AX9" i="114"/>
  <c r="AW9" i="114"/>
  <c r="AV9" i="114"/>
  <c r="AX8" i="114"/>
  <c r="AW8" i="114"/>
  <c r="AV8" i="114"/>
  <c r="AX7" i="114"/>
  <c r="AW7" i="114"/>
  <c r="AV7" i="114"/>
  <c r="AX6" i="114"/>
  <c r="AW6" i="114"/>
  <c r="AV6" i="114"/>
  <c r="AX5" i="114"/>
  <c r="AW5" i="114"/>
  <c r="AV5" i="114"/>
  <c r="AX2" i="114"/>
  <c r="AW2" i="114"/>
  <c r="AV2" i="114"/>
  <c r="J2" i="114"/>
  <c r="I2" i="114"/>
  <c r="H2" i="114"/>
  <c r="D2" i="114"/>
  <c r="B2" i="114"/>
  <c r="C5" i="152"/>
  <c r="A2" i="135"/>
  <c r="G52" i="7"/>
  <c r="G29" i="7"/>
  <c r="G2" i="7"/>
  <c r="AM97" i="151" a="1"/>
  <c r="AM103" i="151" a="1"/>
  <c r="AL80" i="151" a="1"/>
  <c r="AL68" i="151" a="1"/>
  <c r="AL56" i="151" a="1"/>
  <c r="AL85" i="151" a="1"/>
  <c r="AL73" i="151" a="1"/>
  <c r="AL120" i="151" a="1"/>
  <c r="AM75" i="151" a="1"/>
  <c r="AM54" i="151" a="1"/>
  <c r="AM19" i="151" a="1"/>
  <c r="AM88" i="151" a="1"/>
  <c r="AM72" i="151" a="1"/>
  <c r="AM32" i="151" a="1"/>
  <c r="AL76" i="151" a="1"/>
  <c r="AM105" i="151" a="1"/>
  <c r="AM74" i="151" a="1"/>
  <c r="AL78" i="151" a="1"/>
  <c r="AL92" i="151" a="1"/>
  <c r="AL114" i="151" a="1"/>
  <c r="AL42" i="151" a="1"/>
  <c r="AL14" i="151" a="1"/>
  <c r="AL88" i="151" a="1"/>
  <c r="AM53" i="151" a="1"/>
  <c r="AM42" i="151" a="1"/>
  <c r="AM64" i="151" a="1"/>
  <c r="AM80" i="151" a="1"/>
  <c r="AM38" i="151" a="1"/>
  <c r="AL81" i="151" a="1"/>
  <c r="AL8" i="151" a="1"/>
  <c r="AM14" i="151" a="1"/>
  <c r="AM8" i="151" a="1"/>
  <c r="AM40" i="151" a="1"/>
  <c r="AM4" i="151" a="1"/>
  <c r="AM20" i="151" a="1"/>
  <c r="AM33" i="151" a="1"/>
  <c r="AM35" i="151" a="1"/>
  <c r="AL54" i="151" a="1"/>
  <c r="AM84" i="151" a="1"/>
  <c r="AM90" i="151" a="1"/>
  <c r="AM52" i="151" a="1"/>
  <c r="AM116" i="151" a="1"/>
  <c r="AM70" i="151" a="1"/>
  <c r="AM13" i="151" a="1"/>
  <c r="AM43" i="151" a="1"/>
  <c r="AL38" i="151" a="1"/>
  <c r="AL20" i="151" a="1"/>
  <c r="AL9" i="151" a="1"/>
  <c r="AL64" i="151" a="1"/>
  <c r="AM30" i="151" a="1"/>
  <c r="AM87" i="151" a="1"/>
  <c r="AM93" i="151" a="1"/>
  <c r="AM71" i="151" a="1"/>
  <c r="AM16" i="151" a="1"/>
  <c r="AM5" i="151" a="1"/>
  <c r="AM98" i="151" a="1"/>
  <c r="AM39" i="151" a="1"/>
  <c r="AL16" i="151" a="1"/>
  <c r="AL104" i="151" a="1"/>
  <c r="AL53" i="151" a="1"/>
  <c r="AL69" i="151" a="1"/>
  <c r="AL61" i="151" a="1"/>
  <c r="AL34" i="151" a="1"/>
  <c r="AM82" i="151" a="1"/>
  <c r="AM63" i="151" a="1"/>
  <c r="AM95" i="151" a="1"/>
  <c r="AM112" i="151" a="1"/>
  <c r="AM78" i="151" a="1"/>
  <c r="AL44" i="151" a="1"/>
  <c r="AM44" i="151" a="1"/>
  <c r="AL39" i="151" a="1"/>
  <c r="AL30" i="151" a="1"/>
  <c r="AL99" i="151" a="1"/>
  <c r="AL32" i="151" a="1"/>
  <c r="AL100" i="151" a="1"/>
  <c r="AL72" i="151" a="1"/>
  <c r="AL89" i="151" a="1"/>
  <c r="AM7" i="151" a="1"/>
  <c r="AM119" i="151" a="1"/>
  <c r="AM73" i="151" a="1"/>
  <c r="AM15" i="151" a="1"/>
  <c r="AM21" i="151" a="1"/>
  <c r="AM66" i="151" a="1"/>
  <c r="AM67" i="151" a="1"/>
  <c r="AL97" i="151" a="1"/>
  <c r="AL5" i="151" a="1"/>
  <c r="AL84" i="151" a="1"/>
  <c r="AL93" i="151" a="1"/>
  <c r="AL18" i="151" a="1"/>
  <c r="AL86" i="151" a="1"/>
  <c r="AM3" i="151" a="1"/>
  <c r="AM61" i="151" a="1"/>
  <c r="AM11" i="151" a="1"/>
  <c r="AM76" i="151" a="1"/>
  <c r="AM59" i="151" a="1"/>
  <c r="AM99" i="151" a="1"/>
  <c r="AL75" i="151" a="1"/>
  <c r="AL52" i="151" a="1"/>
  <c r="AL70" i="151" a="1"/>
  <c r="AL94" i="151" a="1"/>
  <c r="AL19" i="151" a="1"/>
  <c r="AL11" i="151" a="1"/>
  <c r="AL87" i="151" a="1"/>
  <c r="AM69" i="151" a="1"/>
  <c r="AM89" i="151" a="1"/>
  <c r="AM118" i="151" a="1"/>
  <c r="AL40" i="151" a="1"/>
  <c r="AM60" i="151" a="1"/>
  <c r="AM17" i="151" a="1"/>
  <c r="AL63" i="151" a="1"/>
  <c r="AL15" i="151" a="1"/>
  <c r="AL21" i="151" a="1"/>
  <c r="AL82" i="151" a="1"/>
  <c r="AL10" i="151" a="1"/>
  <c r="AL24" i="151" a="1"/>
  <c r="AM10" i="151" a="1"/>
  <c r="AM9" i="151" a="1"/>
  <c r="AM94" i="151" a="1"/>
  <c r="AM34" i="151" a="1"/>
  <c r="AM115" i="151" a="1"/>
  <c r="AL4" i="151" a="1"/>
  <c r="AM79" i="151" a="1"/>
  <c r="AM101" i="151" a="1"/>
  <c r="AL105" i="151" a="1"/>
  <c r="AL33" i="151" a="1"/>
  <c r="AL90" i="151" a="1"/>
  <c r="AL13" i="151" a="1"/>
  <c r="AL65" i="151" a="1"/>
  <c r="AL95" i="151" a="1"/>
  <c r="AM24" i="151" a="1"/>
  <c r="AM58" i="151" a="1"/>
  <c r="AM102" i="151" a="1"/>
  <c r="AL71" i="151" a="1"/>
  <c r="AL37" i="151" a="1"/>
  <c r="AL17" i="151" a="1"/>
  <c r="AL41" i="151" a="1"/>
  <c r="AL3" i="151" a="1"/>
  <c r="AL98" i="151" a="1"/>
  <c r="AM68" i="151" a="1"/>
  <c r="AM37" i="151" a="1"/>
  <c r="AM18" i="151" a="1"/>
  <c r="AM85" i="151" a="1"/>
  <c r="AM41" i="151" a="1"/>
  <c r="AM117" i="151" a="1"/>
  <c r="AM100" i="151" a="1"/>
  <c r="AL101" i="151" a="1"/>
  <c r="AM31" i="151" a="1"/>
  <c r="AM104" i="151" a="1"/>
  <c r="AL7" i="151" a="1"/>
  <c r="AL74" i="151" a="1"/>
  <c r="AL67" i="151" a="1"/>
  <c r="AL103" i="151" a="1"/>
  <c r="AL35" i="151" a="1"/>
  <c r="AL43" i="151" a="1"/>
  <c r="AM56" i="151" a="1"/>
  <c r="AM92" i="151" a="1"/>
  <c r="AM81" i="151" a="1"/>
  <c r="AM65" i="151" a="1"/>
  <c r="AM86" i="151" a="1"/>
  <c r="AM113" i="151" a="1"/>
  <c r="AM22" i="151" a="1"/>
  <c r="AL102" i="151" a="1"/>
  <c r="AM111" i="151" a="1"/>
  <c r="H23" i="151" l="1" a="1"/>
  <c r="H23" i="151" s="1"/>
  <c r="H36" i="151" a="1"/>
  <c r="H36" i="151" s="1"/>
  <c r="H55" i="151" a="1"/>
  <c r="H55" i="151" s="1"/>
  <c r="U39" i="140"/>
  <c r="H77" i="151" a="1"/>
  <c r="H77" i="151" s="1"/>
  <c r="X39" i="140"/>
  <c r="X42" i="140" s="1"/>
  <c r="AM111" i="151"/>
  <c r="AM113" i="151"/>
  <c r="AM117" i="151"/>
  <c r="AM116" i="151"/>
  <c r="AM115" i="151"/>
  <c r="AM118" i="151"/>
  <c r="AM112" i="151"/>
  <c r="AM119" i="151"/>
  <c r="AM33" i="151"/>
  <c r="AN33" i="151" s="1" a="1"/>
  <c r="AN33" i="151" s="1"/>
  <c r="AO33" i="151" s="1" a="1"/>
  <c r="AO33" i="151" s="1"/>
  <c r="AP33" i="151" s="1" a="1"/>
  <c r="AP33" i="151" s="1"/>
  <c r="AQ33" i="151" s="1" a="1"/>
  <c r="AM4" i="151"/>
  <c r="AN4" i="151" s="1" a="1"/>
  <c r="AN4" i="151" s="1"/>
  <c r="AO4" i="151" s="1" a="1"/>
  <c r="AO4" i="151" s="1"/>
  <c r="AP4" i="151" s="1" a="1"/>
  <c r="AP4" i="151" s="1"/>
  <c r="AQ4" i="151" s="1" a="1"/>
  <c r="AM38" i="151"/>
  <c r="AN38" i="151" s="1" a="1"/>
  <c r="AN38" i="151" s="1"/>
  <c r="AM72" i="151"/>
  <c r="AN72" i="151" s="1" a="1"/>
  <c r="AN72" i="151" s="1"/>
  <c r="AM76" i="151"/>
  <c r="AN76" i="151" s="1" a="1"/>
  <c r="AN76" i="151" s="1"/>
  <c r="AM86" i="151"/>
  <c r="AN86" i="151" s="1" a="1"/>
  <c r="AN86" i="151" s="1"/>
  <c r="AM41" i="151"/>
  <c r="AN41" i="151" s="1" a="1"/>
  <c r="AN41" i="151" s="1"/>
  <c r="AM11" i="151"/>
  <c r="AN11" i="151" s="1" a="1"/>
  <c r="AN11" i="151" s="1"/>
  <c r="AM32" i="151"/>
  <c r="AN32" i="151" s="1" a="1"/>
  <c r="AN32" i="151" s="1"/>
  <c r="AO32" i="151" s="1" a="1"/>
  <c r="AO32" i="151" s="1"/>
  <c r="AP32" i="151" s="1" a="1"/>
  <c r="AP32" i="151" s="1"/>
  <c r="AQ32" i="151" s="1" a="1"/>
  <c r="AM61" i="151"/>
  <c r="AN61" i="151" s="1" a="1"/>
  <c r="AN61" i="151" s="1"/>
  <c r="AO61" i="151" s="1" a="1"/>
  <c r="AO61" i="151" s="1"/>
  <c r="AP61" i="151" s="1" a="1"/>
  <c r="AP61" i="151" s="1"/>
  <c r="AQ61" i="151" s="1" a="1"/>
  <c r="AM71" i="151"/>
  <c r="AN71" i="151" s="1" a="1"/>
  <c r="AN71" i="151" s="1"/>
  <c r="AM95" i="151"/>
  <c r="AN95" i="151" s="1" a="1"/>
  <c r="AN95" i="151" s="1"/>
  <c r="AM87" i="151"/>
  <c r="AN87" i="151" s="1" a="1"/>
  <c r="AN87" i="151" s="1"/>
  <c r="AM30" i="151"/>
  <c r="AN30" i="151" s="1" a="1"/>
  <c r="AN30" i="151" s="1"/>
  <c r="AM80" i="151"/>
  <c r="AN80" i="151" s="1" a="1"/>
  <c r="AN80" i="151" s="1"/>
  <c r="AM88" i="151"/>
  <c r="AN88" i="151" s="1" a="1"/>
  <c r="AN88" i="151" s="1"/>
  <c r="AM24" i="151"/>
  <c r="AN24" i="151" s="1" a="1"/>
  <c r="AN24" i="151" s="1"/>
  <c r="AM65" i="151"/>
  <c r="AN65" i="151" s="1" a="1"/>
  <c r="AN65" i="151" s="1"/>
  <c r="AM85" i="151"/>
  <c r="AN85" i="151" s="1" a="1"/>
  <c r="AN85" i="151" s="1"/>
  <c r="AM16" i="151"/>
  <c r="AN16" i="151" s="1" a="1"/>
  <c r="AN16" i="151" s="1"/>
  <c r="AM34" i="151"/>
  <c r="AN34" i="151" s="1" a="1"/>
  <c r="AN34" i="151" s="1"/>
  <c r="AM90" i="151"/>
  <c r="AN90" i="151" s="1" a="1"/>
  <c r="AN90" i="151" s="1"/>
  <c r="AM73" i="151"/>
  <c r="AN73" i="151" s="1" a="1"/>
  <c r="AN73" i="151" s="1"/>
  <c r="AO73" i="151" s="1" a="1"/>
  <c r="AO73" i="151" s="1"/>
  <c r="AP73" i="151" s="1" a="1"/>
  <c r="AP73" i="151" s="1"/>
  <c r="AQ73" i="151" s="1" a="1"/>
  <c r="AM93" i="151"/>
  <c r="AN93" i="151" s="1" a="1"/>
  <c r="AN93" i="151" s="1"/>
  <c r="AM20" i="151"/>
  <c r="AN20" i="151" s="1" a="1"/>
  <c r="AN20" i="151" s="1"/>
  <c r="AM40" i="151"/>
  <c r="AN40" i="151" s="1" a="1"/>
  <c r="AN40" i="151" s="1"/>
  <c r="AM64" i="151"/>
  <c r="AN64" i="151" s="1" a="1"/>
  <c r="AN64" i="151" s="1"/>
  <c r="AM19" i="151"/>
  <c r="AN19" i="151" s="1" a="1"/>
  <c r="AN19" i="151" s="1"/>
  <c r="AM5" i="151"/>
  <c r="AN5" i="151" s="1" a="1"/>
  <c r="AN5" i="151" s="1"/>
  <c r="AO5" i="151" s="1" a="1"/>
  <c r="AO5" i="151" s="1"/>
  <c r="AP5" i="151" s="1" a="1"/>
  <c r="AP5" i="151" s="1"/>
  <c r="AQ5" i="151" s="1" a="1"/>
  <c r="AM81" i="151"/>
  <c r="AN81" i="151" s="1" a="1"/>
  <c r="AN81" i="151" s="1"/>
  <c r="AM18" i="151"/>
  <c r="AN18" i="151" s="1" a="1"/>
  <c r="AN18" i="151" s="1"/>
  <c r="AM15" i="151"/>
  <c r="AN15" i="151" s="1" a="1"/>
  <c r="AN15" i="151" s="1"/>
  <c r="AM94" i="151"/>
  <c r="AN94" i="151" s="1" a="1"/>
  <c r="AN94" i="151" s="1"/>
  <c r="AM89" i="151"/>
  <c r="AN89" i="151" s="1" a="1"/>
  <c r="AN89" i="151" s="1"/>
  <c r="AM84" i="151"/>
  <c r="AN84" i="151" s="1" a="1"/>
  <c r="AN84" i="151" s="1"/>
  <c r="AM35" i="151"/>
  <c r="AN35" i="151" s="1" a="1"/>
  <c r="AN35" i="151" s="1"/>
  <c r="AO35" i="151" s="1" a="1"/>
  <c r="AO35" i="151" s="1"/>
  <c r="AP35" i="151" s="1" a="1"/>
  <c r="AP35" i="151" s="1"/>
  <c r="AQ35" i="151" s="1" a="1"/>
  <c r="AM63" i="151"/>
  <c r="AN63" i="151" s="1" a="1"/>
  <c r="AN63" i="151" s="1"/>
  <c r="AM8" i="151"/>
  <c r="AN8" i="151" s="1" a="1"/>
  <c r="AN8" i="151" s="1"/>
  <c r="AM42" i="151"/>
  <c r="AN42" i="151" s="1" a="1"/>
  <c r="AN42" i="151" s="1"/>
  <c r="AO42" i="151" s="1" a="1"/>
  <c r="AO42" i="151" s="1"/>
  <c r="AP42" i="151" s="1" a="1"/>
  <c r="AP42" i="151" s="1"/>
  <c r="AQ42" i="151" s="1" a="1"/>
  <c r="AM54" i="151"/>
  <c r="AN54" i="151" s="1" a="1"/>
  <c r="AN54" i="151" s="1"/>
  <c r="AO54" i="151" s="1" a="1"/>
  <c r="AO54" i="151" s="1"/>
  <c r="AP54" i="151" s="1" a="1"/>
  <c r="AP54" i="151" s="1"/>
  <c r="AQ54" i="151" s="1" a="1"/>
  <c r="AM70" i="151"/>
  <c r="AN70" i="151" s="1" a="1"/>
  <c r="AN70" i="151" s="1"/>
  <c r="AM92" i="151"/>
  <c r="AN92" i="151" s="1" a="1"/>
  <c r="AN92" i="151" s="1"/>
  <c r="AM37" i="151"/>
  <c r="AN37" i="151" s="1" a="1"/>
  <c r="AN37" i="151" s="1"/>
  <c r="AM52" i="151"/>
  <c r="AM9" i="151"/>
  <c r="AN9" i="151" s="1" a="1"/>
  <c r="AN9" i="151" s="1"/>
  <c r="AM69" i="151"/>
  <c r="AN69" i="151" s="1" a="1"/>
  <c r="AN69" i="151" s="1"/>
  <c r="AO69" i="151" s="1" a="1"/>
  <c r="AO69" i="151" s="1"/>
  <c r="AP69" i="151" s="1" a="1"/>
  <c r="AP69" i="151" s="1"/>
  <c r="AQ69" i="151" s="1" a="1"/>
  <c r="AM3" i="151"/>
  <c r="AN3" i="151" s="1" a="1"/>
  <c r="AN3" i="151" s="1"/>
  <c r="AO3" i="151" s="1" a="1"/>
  <c r="AO3" i="151" s="1"/>
  <c r="AP3" i="151" s="1" a="1"/>
  <c r="AP3" i="151" s="1"/>
  <c r="AQ3" i="151" s="1" a="1"/>
  <c r="AQ3" i="151" s="1"/>
  <c r="AR3" i="151" s="1" a="1"/>
  <c r="AR3" i="151" s="1"/>
  <c r="AS3" i="151" s="1" a="1"/>
  <c r="AS3" i="151" s="1"/>
  <c r="AT3" i="151" s="1" a="1"/>
  <c r="AT3" i="151" s="1"/>
  <c r="AU3" i="151" s="1" a="1"/>
  <c r="AU3" i="151" s="1"/>
  <c r="AV3" i="151" s="1" a="1"/>
  <c r="AV3" i="151" s="1"/>
  <c r="AW3" i="151" s="1" a="1"/>
  <c r="AW3" i="151" s="1"/>
  <c r="AX3" i="151" s="1" a="1"/>
  <c r="AX3" i="151" s="1"/>
  <c r="AY3" i="151" s="1" a="1"/>
  <c r="AY3" i="151" s="1"/>
  <c r="AZ3" i="151" s="1" a="1"/>
  <c r="AZ3" i="151" s="1"/>
  <c r="BA3" i="151" s="1" a="1"/>
  <c r="BA3" i="151" s="1"/>
  <c r="BB3" i="151" s="1" a="1"/>
  <c r="BB3" i="151" s="1"/>
  <c r="BC3" i="151" s="1" a="1"/>
  <c r="BC3" i="151" s="1"/>
  <c r="BD3" i="151" s="1" a="1"/>
  <c r="BD3" i="151" s="1"/>
  <c r="AM7" i="151"/>
  <c r="AN7" i="151" s="1" a="1"/>
  <c r="AN7" i="151" s="1"/>
  <c r="AM82" i="151"/>
  <c r="AN82" i="151" s="1" a="1"/>
  <c r="AN82" i="151" s="1"/>
  <c r="AM14" i="151"/>
  <c r="AN14" i="151" s="1" a="1"/>
  <c r="AN14" i="151" s="1"/>
  <c r="AM53" i="151"/>
  <c r="AN53" i="151" s="1" a="1"/>
  <c r="AN53" i="151" s="1"/>
  <c r="AO53" i="151" s="1" a="1"/>
  <c r="AO53" i="151" s="1"/>
  <c r="AP53" i="151" s="1" a="1"/>
  <c r="AP53" i="151" s="1"/>
  <c r="AQ53" i="151" s="1" a="1"/>
  <c r="AM75" i="151"/>
  <c r="AN75" i="151" s="1" a="1"/>
  <c r="AN75" i="151" s="1"/>
  <c r="AM21" i="151"/>
  <c r="AN21" i="151" s="1" a="1"/>
  <c r="AN21" i="151" s="1"/>
  <c r="AM56" i="151"/>
  <c r="AN56" i="151" s="1" a="1"/>
  <c r="AN56" i="151" s="1"/>
  <c r="AM68" i="151"/>
  <c r="AN68" i="151" s="1" a="1"/>
  <c r="AN68" i="151" s="1"/>
  <c r="AM78" i="151"/>
  <c r="AN78" i="151" s="1" a="1"/>
  <c r="AN78" i="151" s="1"/>
  <c r="AM10" i="151"/>
  <c r="AN10" i="151" s="1" a="1"/>
  <c r="AN10" i="151" s="1"/>
  <c r="AL87" i="151"/>
  <c r="AL54" i="151"/>
  <c r="AL89" i="151"/>
  <c r="AL34" i="151"/>
  <c r="AL64" i="151"/>
  <c r="AL88" i="151"/>
  <c r="AL120" i="151"/>
  <c r="AL44" i="151"/>
  <c r="AL43" i="151"/>
  <c r="AL98" i="151"/>
  <c r="AL95" i="151"/>
  <c r="AL24" i="151"/>
  <c r="AL11" i="151"/>
  <c r="AL86" i="151"/>
  <c r="AL72" i="151"/>
  <c r="AL61" i="151"/>
  <c r="AL8" i="151"/>
  <c r="AL14" i="151"/>
  <c r="AL73" i="151"/>
  <c r="AL76" i="151"/>
  <c r="AL35" i="151"/>
  <c r="AL3" i="151"/>
  <c r="AL65" i="151"/>
  <c r="AL10" i="151"/>
  <c r="AL19" i="151"/>
  <c r="AL18" i="151"/>
  <c r="AL100" i="151"/>
  <c r="AL69" i="151"/>
  <c r="AL81" i="151"/>
  <c r="AL42" i="151"/>
  <c r="AL85" i="151"/>
  <c r="AL101" i="151"/>
  <c r="AL103" i="151"/>
  <c r="AL41" i="151"/>
  <c r="AL13" i="151"/>
  <c r="AL82" i="151"/>
  <c r="AL94" i="151"/>
  <c r="AL93" i="151"/>
  <c r="AL32" i="151"/>
  <c r="AL53" i="151"/>
  <c r="AL9" i="151"/>
  <c r="AL114" i="151"/>
  <c r="AL56" i="151"/>
  <c r="AL4" i="151"/>
  <c r="AL67" i="151"/>
  <c r="AL17" i="151"/>
  <c r="AL90" i="151"/>
  <c r="AL21" i="151"/>
  <c r="AL70" i="151"/>
  <c r="AL84" i="151"/>
  <c r="AL99" i="151"/>
  <c r="AL104" i="151"/>
  <c r="AL20" i="151"/>
  <c r="AL92" i="151"/>
  <c r="AL68" i="151"/>
  <c r="AL40" i="151"/>
  <c r="AL74" i="151"/>
  <c r="AL37" i="151"/>
  <c r="AL33" i="151"/>
  <c r="AL15" i="151"/>
  <c r="AL52" i="151"/>
  <c r="AL5" i="151"/>
  <c r="AL30" i="151"/>
  <c r="AL16" i="151"/>
  <c r="AL38" i="151"/>
  <c r="AL78" i="151"/>
  <c r="AL80" i="151"/>
  <c r="AL102" i="151"/>
  <c r="AL7" i="151"/>
  <c r="AL71" i="151"/>
  <c r="AL105" i="151"/>
  <c r="AL63" i="151"/>
  <c r="AL75" i="151"/>
  <c r="AL97" i="151"/>
  <c r="AL39" i="151"/>
  <c r="AM39" i="151"/>
  <c r="AM43" i="151"/>
  <c r="AM74" i="151"/>
  <c r="AM103" i="151"/>
  <c r="AM100" i="151"/>
  <c r="AM104" i="151"/>
  <c r="AM102" i="151"/>
  <c r="AM101" i="151"/>
  <c r="AM17" i="151"/>
  <c r="AM99" i="151"/>
  <c r="AM67" i="151"/>
  <c r="AM44" i="151"/>
  <c r="AM98" i="151"/>
  <c r="AN98" i="151" s="1" a="1"/>
  <c r="AM13" i="151"/>
  <c r="AM105" i="151"/>
  <c r="AM97" i="151"/>
  <c r="AM22" i="151"/>
  <c r="AN22" i="151" s="1" a="1"/>
  <c r="AM31" i="151"/>
  <c r="AM58" i="151"/>
  <c r="AM79" i="151"/>
  <c r="AN79" i="151" s="1" a="1"/>
  <c r="AM60" i="151"/>
  <c r="AM59" i="151"/>
  <c r="AM66" i="151"/>
  <c r="AN66" i="151" s="1" a="1"/>
  <c r="Y39" i="140"/>
  <c r="H29" i="151" a="1"/>
  <c r="H29" i="151" s="1"/>
  <c r="AV141" i="114"/>
  <c r="I27" i="8"/>
  <c r="AW28" i="114"/>
  <c r="AW141" i="114"/>
  <c r="Q57" i="140"/>
  <c r="AX28" i="114"/>
  <c r="AC39" i="140"/>
  <c r="H221" i="77"/>
  <c r="J51" i="77" s="1" a="1"/>
  <c r="I108" i="8"/>
  <c r="J108" i="8"/>
  <c r="K29" i="6" s="1" a="1"/>
  <c r="K29" i="6" s="1"/>
  <c r="H12" i="151" a="1"/>
  <c r="H12" i="151" s="1"/>
  <c r="K2" i="6" a="1"/>
  <c r="K2" i="6" s="1"/>
  <c r="K29" i="7" a="1"/>
  <c r="K29" i="7" s="1"/>
  <c r="AV28" i="114"/>
  <c r="AE56" i="140"/>
  <c r="AE59" i="140" s="1"/>
  <c r="U56" i="140"/>
  <c r="U59" i="140" s="1"/>
  <c r="T56" i="140"/>
  <c r="T59" i="140" s="1"/>
  <c r="AC56" i="140"/>
  <c r="AC59" i="140" s="1"/>
  <c r="Y56" i="140"/>
  <c r="Y59" i="140" s="1"/>
  <c r="V56" i="140"/>
  <c r="V59" i="140" s="1"/>
  <c r="Z56" i="140"/>
  <c r="Z59" i="140" s="1"/>
  <c r="AD56" i="140"/>
  <c r="AD59" i="140" s="1"/>
  <c r="AA56" i="140"/>
  <c r="AA59" i="140" s="1"/>
  <c r="W56" i="140"/>
  <c r="W59" i="140" s="1"/>
  <c r="X56" i="140"/>
  <c r="X59" i="140" s="1"/>
  <c r="AB56" i="140"/>
  <c r="AB59" i="140" s="1"/>
  <c r="H2" i="151" a="1"/>
  <c r="H2" i="151" s="1"/>
  <c r="J27" i="8"/>
  <c r="H91" i="151" s="1" a="1"/>
  <c r="H91" i="151" s="1"/>
  <c r="AX141" i="114"/>
  <c r="Z24" i="140"/>
  <c r="X24" i="140"/>
  <c r="T24" i="140"/>
  <c r="AA24" i="140"/>
  <c r="AE24" i="140"/>
  <c r="Y24" i="140"/>
  <c r="V24" i="140"/>
  <c r="U24" i="140"/>
  <c r="AD24" i="140"/>
  <c r="AB24" i="140"/>
  <c r="AC24" i="140"/>
  <c r="W24" i="140"/>
  <c r="AV126" i="114"/>
  <c r="K2" i="7" a="1"/>
  <c r="K2" i="7" s="1"/>
  <c r="AW57" i="114"/>
  <c r="U42" i="140"/>
  <c r="U41" i="140"/>
  <c r="K52" i="7" a="1"/>
  <c r="K52" i="7" s="1"/>
  <c r="K52" i="6" a="1"/>
  <c r="K52" i="6" s="1"/>
  <c r="AW126" i="114"/>
  <c r="AD39" i="140"/>
  <c r="AB39" i="140" s="1"/>
  <c r="AA39" i="140" s="1"/>
  <c r="Z39" i="140" s="1"/>
  <c r="W39" i="140" s="1"/>
  <c r="Q56" i="140"/>
  <c r="H25" i="151" a="1"/>
  <c r="H25" i="151" s="1"/>
  <c r="AX126" i="114"/>
  <c r="AD23" i="140"/>
  <c r="AC23" i="140"/>
  <c r="Y23" i="140"/>
  <c r="AA23" i="140"/>
  <c r="T23" i="140"/>
  <c r="U23" i="140"/>
  <c r="V23" i="140"/>
  <c r="W23" i="140"/>
  <c r="X23" i="140"/>
  <c r="AE23" i="140"/>
  <c r="AE39" i="140"/>
  <c r="AB23" i="140"/>
  <c r="Z23" i="140"/>
  <c r="Q24" i="140"/>
  <c r="H83" i="151" a="1"/>
  <c r="H83" i="151" s="1"/>
  <c r="AV57" i="114"/>
  <c r="H45" i="151" a="1"/>
  <c r="H45" i="151" s="1"/>
  <c r="AX57" i="114"/>
  <c r="T39" i="140"/>
  <c r="Q23" i="140"/>
  <c r="H62" i="151" a="1"/>
  <c r="H62" i="151" s="1"/>
  <c r="H106" i="151" a="1"/>
  <c r="H106" i="151" s="1"/>
  <c r="H57" i="151" a="1"/>
  <c r="H57" i="151" s="1"/>
  <c r="H217" i="77"/>
  <c r="H212" i="77" s="1"/>
  <c r="H211" i="77" s="1"/>
  <c r="H207" i="77" s="1"/>
  <c r="H206" i="77" s="1"/>
  <c r="H203" i="77" s="1"/>
  <c r="H199" i="77" s="1"/>
  <c r="H198" i="77" s="1"/>
  <c r="J3" i="77" s="1" a="1"/>
  <c r="BQ8" i="135"/>
  <c r="BQ165" i="135"/>
  <c r="BQ49" i="135"/>
  <c r="BQ232" i="135"/>
  <c r="BQ128" i="135"/>
  <c r="BQ40" i="135"/>
  <c r="BQ260" i="135"/>
  <c r="BQ199" i="135"/>
  <c r="BQ137" i="135"/>
  <c r="BQ85" i="135"/>
  <c r="BQ87" i="135"/>
  <c r="BQ92" i="135"/>
  <c r="BQ94" i="135"/>
  <c r="BQ95" i="135"/>
  <c r="BQ96" i="135"/>
  <c r="BQ97" i="135"/>
  <c r="BQ120" i="135"/>
  <c r="BQ144" i="135"/>
  <c r="BQ163" i="135"/>
  <c r="BQ188" i="135"/>
  <c r="BQ210" i="135"/>
  <c r="BQ9" i="135"/>
  <c r="BQ177" i="135"/>
  <c r="BQ62" i="135"/>
  <c r="BQ245" i="135"/>
  <c r="BQ142" i="135"/>
  <c r="BQ55" i="135"/>
  <c r="BQ276" i="135"/>
  <c r="BQ215" i="135"/>
  <c r="BQ152" i="135"/>
  <c r="BQ109" i="135"/>
  <c r="BQ110" i="135"/>
  <c r="BQ111" i="135"/>
  <c r="BQ112" i="135"/>
  <c r="BQ113" i="135"/>
  <c r="BQ116" i="135"/>
  <c r="BQ118" i="135"/>
  <c r="BQ143" i="135"/>
  <c r="BQ162" i="135"/>
  <c r="BQ187" i="135"/>
  <c r="BQ209" i="135"/>
  <c r="BQ234" i="135"/>
  <c r="BQ21" i="135"/>
  <c r="BQ189" i="135"/>
  <c r="BQ75" i="135"/>
  <c r="BQ258" i="135"/>
  <c r="BQ155" i="135"/>
  <c r="BQ71" i="135"/>
  <c r="BQ12" i="135"/>
  <c r="BQ230" i="135"/>
  <c r="BQ170" i="135"/>
  <c r="BQ130" i="135"/>
  <c r="BQ131" i="135"/>
  <c r="BQ132" i="135"/>
  <c r="BQ133" i="135"/>
  <c r="BQ135" i="135"/>
  <c r="BQ138" i="135"/>
  <c r="BQ139" i="135"/>
  <c r="BQ161" i="135"/>
  <c r="BQ186" i="135"/>
  <c r="BQ208" i="135"/>
  <c r="BQ229" i="135"/>
  <c r="BQ253" i="135"/>
  <c r="BQ50" i="135"/>
  <c r="BQ43" i="135"/>
  <c r="BQ262" i="135"/>
  <c r="BQ39" i="135"/>
  <c r="BQ105" i="135"/>
  <c r="BQ121" i="135"/>
  <c r="BQ277" i="135"/>
  <c r="BQ38" i="135"/>
  <c r="BQ259" i="135"/>
  <c r="BQ3" i="135"/>
  <c r="BQ33" i="135"/>
  <c r="BQ201" i="135"/>
  <c r="BQ88" i="135"/>
  <c r="BQ271" i="135"/>
  <c r="BQ168" i="135"/>
  <c r="BQ86" i="135"/>
  <c r="BQ27" i="135"/>
  <c r="BQ247" i="135"/>
  <c r="BQ185" i="135"/>
  <c r="BQ148" i="135"/>
  <c r="BQ150" i="135"/>
  <c r="BQ156" i="135"/>
  <c r="BQ157" i="135"/>
  <c r="BQ158" i="135"/>
  <c r="BQ159" i="135"/>
  <c r="BQ160" i="135"/>
  <c r="BQ183" i="135"/>
  <c r="BQ205" i="135"/>
  <c r="BQ227" i="135"/>
  <c r="BQ252" i="135"/>
  <c r="BQ274" i="135"/>
  <c r="BQ256" i="135"/>
  <c r="BQ64" i="135"/>
  <c r="BQ273" i="135"/>
  <c r="BQ59" i="135"/>
  <c r="BQ280" i="135"/>
  <c r="BQ61" i="135"/>
  <c r="BQ285" i="135"/>
  <c r="BQ45" i="135"/>
  <c r="BQ213" i="135"/>
  <c r="BQ101" i="135"/>
  <c r="BQ284" i="135"/>
  <c r="BQ181" i="135"/>
  <c r="BQ103" i="135"/>
  <c r="BQ42" i="135"/>
  <c r="BQ263" i="135"/>
  <c r="BQ200" i="135"/>
  <c r="BQ172" i="135"/>
  <c r="BQ173" i="135"/>
  <c r="BQ174" i="135"/>
  <c r="BQ175" i="135"/>
  <c r="BQ176" i="135"/>
  <c r="BQ178" i="135"/>
  <c r="BQ179" i="135"/>
  <c r="BQ204" i="135"/>
  <c r="BQ226" i="135"/>
  <c r="BQ251" i="135"/>
  <c r="BQ270" i="135"/>
  <c r="BQ255" i="135"/>
  <c r="BQ17" i="135"/>
  <c r="BQ63" i="135"/>
  <c r="BQ275" i="135"/>
  <c r="BQ283" i="135"/>
  <c r="BQ4" i="135"/>
  <c r="BQ57" i="135"/>
  <c r="BQ225" i="135"/>
  <c r="BQ114" i="135"/>
  <c r="BQ11" i="135"/>
  <c r="BQ194" i="135"/>
  <c r="BQ119" i="135"/>
  <c r="BQ58" i="135"/>
  <c r="BQ278" i="135"/>
  <c r="BQ216" i="135"/>
  <c r="BQ191" i="135"/>
  <c r="BQ192" i="135"/>
  <c r="BQ195" i="135"/>
  <c r="BQ196" i="135"/>
  <c r="BQ198" i="135"/>
  <c r="BQ202" i="135"/>
  <c r="BQ203" i="135"/>
  <c r="BQ224" i="135"/>
  <c r="BQ250" i="135"/>
  <c r="BQ269" i="135"/>
  <c r="BQ20" i="135"/>
  <c r="BQ261" i="135"/>
  <c r="BQ164" i="135"/>
  <c r="BQ254" i="135"/>
  <c r="BQ265" i="135"/>
  <c r="BQ182" i="135"/>
  <c r="BQ282" i="135"/>
  <c r="BQ83" i="135"/>
  <c r="BQ180" i="135"/>
  <c r="BQ197" i="135"/>
  <c r="BQ2" i="135"/>
  <c r="BQ69" i="135"/>
  <c r="BQ237" i="135"/>
  <c r="BQ127" i="135"/>
  <c r="BQ24" i="135"/>
  <c r="BQ207" i="135"/>
  <c r="BQ134" i="135"/>
  <c r="BQ73" i="135"/>
  <c r="BQ13" i="135"/>
  <c r="BQ231" i="135"/>
  <c r="BQ211" i="135"/>
  <c r="BQ214" i="135"/>
  <c r="BQ217" i="135"/>
  <c r="BQ218" i="135"/>
  <c r="BQ221" i="135"/>
  <c r="BQ222" i="135"/>
  <c r="BQ223" i="135"/>
  <c r="BQ244" i="135"/>
  <c r="BQ268" i="135"/>
  <c r="BQ19" i="135"/>
  <c r="BQ44" i="135"/>
  <c r="BQ81" i="135"/>
  <c r="BQ249" i="135"/>
  <c r="BQ140" i="135"/>
  <c r="BQ37" i="135"/>
  <c r="BQ220" i="135"/>
  <c r="BQ149" i="135"/>
  <c r="BQ90" i="135"/>
  <c r="BQ28" i="135"/>
  <c r="BQ248" i="135"/>
  <c r="BQ235" i="135"/>
  <c r="BQ236" i="135"/>
  <c r="BQ238" i="135"/>
  <c r="BQ239" i="135"/>
  <c r="BQ240" i="135"/>
  <c r="BQ241" i="135"/>
  <c r="BQ242" i="135"/>
  <c r="BQ267" i="135"/>
  <c r="BQ18" i="135"/>
  <c r="BQ41" i="135"/>
  <c r="BQ65" i="135"/>
  <c r="BQ93" i="135"/>
  <c r="BQ154" i="135"/>
  <c r="BQ233" i="135"/>
  <c r="BQ106" i="135"/>
  <c r="BQ264" i="135"/>
  <c r="BQ257" i="135"/>
  <c r="BQ266" i="135"/>
  <c r="BQ84" i="135"/>
  <c r="BQ167" i="135"/>
  <c r="BQ246" i="135"/>
  <c r="BQ279" i="135"/>
  <c r="BQ281" i="135"/>
  <c r="BQ16" i="135"/>
  <c r="BQ108" i="135"/>
  <c r="BQ117" i="135"/>
  <c r="BQ76" i="135"/>
  <c r="BQ136" i="135"/>
  <c r="BQ74" i="135"/>
  <c r="BQ5" i="135"/>
  <c r="BQ7" i="135"/>
  <c r="BQ14" i="135"/>
  <c r="BQ15" i="135"/>
  <c r="BQ35" i="135"/>
  <c r="BQ60" i="135"/>
  <c r="BQ82" i="135"/>
  <c r="BQ104" i="135"/>
  <c r="BQ126" i="135"/>
  <c r="BQ129" i="135"/>
  <c r="BQ25" i="135"/>
  <c r="BQ47" i="135"/>
  <c r="BQ34" i="135"/>
  <c r="BQ166" i="135"/>
  <c r="BQ141" i="135"/>
  <c r="BQ212" i="135"/>
  <c r="BQ67" i="135"/>
  <c r="BQ54" i="135"/>
  <c r="BQ147" i="135"/>
  <c r="BQ153" i="135"/>
  <c r="BQ228" i="135"/>
  <c r="BQ29" i="135"/>
  <c r="BQ78" i="135"/>
  <c r="BQ171" i="135"/>
  <c r="BQ53" i="135"/>
  <c r="BQ10" i="135"/>
  <c r="BQ243" i="135"/>
  <c r="BQ48" i="135"/>
  <c r="BQ56" i="135"/>
  <c r="BQ190" i="135"/>
  <c r="BQ23" i="135"/>
  <c r="BQ151" i="135"/>
  <c r="BQ68" i="135"/>
  <c r="BQ79" i="135"/>
  <c r="BQ72" i="135"/>
  <c r="BQ32" i="135"/>
  <c r="BQ66" i="135"/>
  <c r="BQ145" i="135"/>
  <c r="BQ36" i="135"/>
  <c r="BQ169" i="135"/>
  <c r="BQ30" i="135"/>
  <c r="BQ98" i="135"/>
  <c r="BQ193" i="135"/>
  <c r="BQ184" i="135"/>
  <c r="BQ51" i="135"/>
  <c r="BQ80" i="135"/>
  <c r="BQ99" i="135"/>
  <c r="BQ89" i="135"/>
  <c r="BQ52" i="135"/>
  <c r="BQ100" i="135"/>
  <c r="BQ102" i="135"/>
  <c r="BQ124" i="135"/>
  <c r="BQ46" i="135"/>
  <c r="BQ272" i="135"/>
  <c r="BQ206" i="135"/>
  <c r="BQ91" i="135"/>
  <c r="BQ70" i="135"/>
  <c r="BQ122" i="135"/>
  <c r="BQ115" i="135"/>
  <c r="BQ219" i="135"/>
  <c r="BQ107" i="135"/>
  <c r="BQ31" i="135"/>
  <c r="BQ123" i="135"/>
  <c r="BQ22" i="135"/>
  <c r="BQ125" i="135"/>
  <c r="BQ6" i="135"/>
  <c r="BQ26" i="135"/>
  <c r="BQ77" i="135"/>
  <c r="BQ146" i="135"/>
  <c r="I47" i="8"/>
  <c r="H96" i="151" a="1"/>
  <c r="H96" i="151" s="1"/>
  <c r="V39" i="140"/>
  <c r="H6" i="151" a="1"/>
  <c r="H6" i="151" s="1"/>
  <c r="J47" i="8"/>
  <c r="AN115" i="151" a="1"/>
  <c r="AN118" i="151" a="1"/>
  <c r="AN113" i="151" a="1"/>
  <c r="AN112" i="151" a="1"/>
  <c r="AN119" i="151" a="1"/>
  <c r="AN117" i="151" a="1"/>
  <c r="AN111" i="151" a="1"/>
  <c r="AM120" i="151" a="1"/>
  <c r="AM114" i="151" a="1"/>
  <c r="AN116" i="151" a="1"/>
  <c r="AX59" i="114" l="1"/>
  <c r="AL121" i="151"/>
  <c r="AW59" i="114"/>
  <c r="X41" i="140"/>
  <c r="AL108" i="151"/>
  <c r="AL47" i="151"/>
  <c r="AV59" i="114"/>
  <c r="I49" i="8"/>
  <c r="AL27" i="151"/>
  <c r="AN119" i="151"/>
  <c r="AN112" i="151"/>
  <c r="AN118" i="151"/>
  <c r="AN115" i="151"/>
  <c r="AN116" i="151"/>
  <c r="AM120" i="151"/>
  <c r="AN117" i="151"/>
  <c r="AN113" i="151"/>
  <c r="AM114" i="151"/>
  <c r="AN111" i="151"/>
  <c r="AN105" i="151" a="1"/>
  <c r="AN98" i="151"/>
  <c r="AN22" i="151"/>
  <c r="AO19" i="151" a="1"/>
  <c r="AO19" i="151" s="1"/>
  <c r="AP19" i="151" s="1" a="1"/>
  <c r="AP19" i="151" s="1"/>
  <c r="AQ19" i="151" s="1" a="1"/>
  <c r="AQ19" i="151" s="1"/>
  <c r="AR19" i="151" s="1" a="1"/>
  <c r="J51" i="77"/>
  <c r="H216" i="77" s="1"/>
  <c r="AN79" i="151"/>
  <c r="AE26" i="140"/>
  <c r="AE27" i="140"/>
  <c r="AQ69" i="151"/>
  <c r="AR69" i="151" s="1" a="1"/>
  <c r="AR69" i="151" s="1"/>
  <c r="AS69" i="151" s="1" a="1"/>
  <c r="AS69" i="151" s="1"/>
  <c r="AT69" i="151" s="1" a="1"/>
  <c r="AT69" i="151" s="1"/>
  <c r="AU69" i="151" s="1" a="1"/>
  <c r="AU69" i="151" s="1"/>
  <c r="AV69" i="151" s="1" a="1"/>
  <c r="AV69" i="151" s="1"/>
  <c r="AW69" i="151" s="1" a="1"/>
  <c r="AW69" i="151" s="1"/>
  <c r="AX69" i="151" s="1" a="1"/>
  <c r="AX69" i="151" s="1"/>
  <c r="AY69" i="151" s="1" a="1"/>
  <c r="AY69" i="151" s="1"/>
  <c r="AZ69" i="151" s="1" a="1"/>
  <c r="AZ69" i="151" s="1"/>
  <c r="BA69" i="151" s="1" a="1"/>
  <c r="BA69" i="151" s="1"/>
  <c r="BB69" i="151" s="1" a="1"/>
  <c r="BB69" i="151" s="1"/>
  <c r="BC69" i="151" s="1" a="1"/>
  <c r="BC69" i="151" s="1"/>
  <c r="BD69" i="151" s="1" a="1"/>
  <c r="BD69" i="151" s="1"/>
  <c r="AO15" i="151" a="1"/>
  <c r="AO15" i="151" s="1"/>
  <c r="AP15" i="151" s="1" a="1"/>
  <c r="AO76" i="151" a="1"/>
  <c r="AO76" i="151" s="1"/>
  <c r="AP76" i="151" s="1" a="1"/>
  <c r="AP76" i="151" s="1"/>
  <c r="AQ76" i="151" s="1" a="1"/>
  <c r="AQ76" i="151" s="1"/>
  <c r="AR76" i="151" s="1" a="1"/>
  <c r="AF59" i="140"/>
  <c r="Q60" i="140"/>
  <c r="AO18" i="151" a="1"/>
  <c r="AO18" i="151" s="1"/>
  <c r="AP18" i="151" s="1" a="1"/>
  <c r="AP18" i="151" s="1"/>
  <c r="AQ18" i="151" s="1" a="1"/>
  <c r="AQ18" i="151" s="1"/>
  <c r="AR18" i="151" s="1" a="1"/>
  <c r="AN52" i="151" a="1"/>
  <c r="AN52" i="151" s="1"/>
  <c r="AM108" i="151"/>
  <c r="AO81" i="151" a="1"/>
  <c r="AO81" i="151" s="1"/>
  <c r="AP81" i="151" s="1" a="1"/>
  <c r="AP81" i="151" s="1"/>
  <c r="AQ81" i="151" s="1" a="1"/>
  <c r="AQ81" i="151" s="1"/>
  <c r="AR81" i="151" s="1" a="1"/>
  <c r="AO24" i="151" a="1"/>
  <c r="AO24" i="151" s="1"/>
  <c r="AP24" i="151" s="1" a="1"/>
  <c r="AO38" i="151" a="1"/>
  <c r="AO38" i="151" s="1"/>
  <c r="AP38" i="151" s="1" a="1"/>
  <c r="AP38" i="151" s="1"/>
  <c r="AQ38" i="151" s="1" a="1"/>
  <c r="AQ38" i="151" s="1"/>
  <c r="AR38" i="151" s="1" a="1"/>
  <c r="J3" i="77"/>
  <c r="H197" i="77" s="1"/>
  <c r="H204" i="77" s="1"/>
  <c r="H225" i="77" s="1"/>
  <c r="H208" i="77" s="1"/>
  <c r="U26" i="140"/>
  <c r="U27" i="140"/>
  <c r="AQ33" i="151"/>
  <c r="AR33" i="151" s="1" a="1"/>
  <c r="AR33" i="151" s="1"/>
  <c r="AS33" i="151" s="1" a="1"/>
  <c r="AS33" i="151" s="1"/>
  <c r="AT33" i="151" s="1" a="1"/>
  <c r="AT33" i="151" s="1"/>
  <c r="AU33" i="151" s="1" a="1"/>
  <c r="AU33" i="151" s="1"/>
  <c r="AV33" i="151" s="1" a="1"/>
  <c r="AV33" i="151" s="1"/>
  <c r="AW33" i="151" s="1" a="1"/>
  <c r="AW33" i="151" s="1"/>
  <c r="AX33" i="151" s="1" a="1"/>
  <c r="AX33" i="151" s="1"/>
  <c r="AY33" i="151" s="1" a="1"/>
  <c r="AY33" i="151" s="1"/>
  <c r="AZ33" i="151" s="1" a="1"/>
  <c r="AZ33" i="151" s="1"/>
  <c r="BA33" i="151" s="1" a="1"/>
  <c r="BA33" i="151" s="1"/>
  <c r="BB33" i="151" s="1" a="1"/>
  <c r="BB33" i="151" s="1"/>
  <c r="BC33" i="151" s="1" a="1"/>
  <c r="BC33" i="151" s="1"/>
  <c r="BD33" i="151" s="1" a="1"/>
  <c r="BD33" i="151" s="1"/>
  <c r="T27" i="140"/>
  <c r="T26" i="140"/>
  <c r="Y41" i="140"/>
  <c r="Y42" i="140"/>
  <c r="AO68" i="151" a="1"/>
  <c r="AO70" i="151" a="1"/>
  <c r="AO70" i="151" s="1"/>
  <c r="AP70" i="151" s="1" a="1"/>
  <c r="AA27" i="140"/>
  <c r="AA26" i="140"/>
  <c r="AM27" i="151"/>
  <c r="AQ54" i="151"/>
  <c r="AR54" i="151" s="1" a="1"/>
  <c r="AR54" i="151" s="1"/>
  <c r="AS54" i="151" s="1" a="1"/>
  <c r="AS54" i="151" s="1"/>
  <c r="AT54" i="151" s="1" a="1"/>
  <c r="AT54" i="151" s="1"/>
  <c r="AU54" i="151" s="1" a="1"/>
  <c r="AU54" i="151" s="1"/>
  <c r="AV54" i="151" s="1" a="1"/>
  <c r="AV54" i="151" s="1"/>
  <c r="AW54" i="151" s="1" a="1"/>
  <c r="AW54" i="151" s="1"/>
  <c r="AX54" i="151" s="1" a="1"/>
  <c r="AX54" i="151" s="1"/>
  <c r="AY54" i="151" s="1" a="1"/>
  <c r="AY54" i="151" s="1"/>
  <c r="AZ54" i="151" s="1" a="1"/>
  <c r="AZ54" i="151" s="1"/>
  <c r="BA54" i="151" s="1" a="1"/>
  <c r="BA54" i="151" s="1"/>
  <c r="BB54" i="151" s="1" a="1"/>
  <c r="BB54" i="151" s="1"/>
  <c r="BC54" i="151" s="1" a="1"/>
  <c r="BC54" i="151" s="1"/>
  <c r="BD54" i="151" s="1" a="1"/>
  <c r="BD54" i="151" s="1"/>
  <c r="AO87" i="151" a="1"/>
  <c r="AO87" i="151" s="1"/>
  <c r="AP87" i="151" s="1" a="1"/>
  <c r="AP87" i="151" s="1"/>
  <c r="AQ87" i="151" s="1" a="1"/>
  <c r="AQ87" i="151" s="1"/>
  <c r="AR87" i="151" s="1" a="1"/>
  <c r="Y27" i="140"/>
  <c r="Y26" i="140"/>
  <c r="AM47" i="151"/>
  <c r="AO21" i="151" a="1"/>
  <c r="AO21" i="151" s="1"/>
  <c r="AP21" i="151" s="1" a="1"/>
  <c r="AP21" i="151" s="1"/>
  <c r="AQ21" i="151" s="1" a="1"/>
  <c r="AQ21" i="151" s="1"/>
  <c r="AR21" i="151" s="1" a="1"/>
  <c r="AQ42" i="151"/>
  <c r="AR42" i="151" s="1" a="1"/>
  <c r="AR42" i="151" s="1"/>
  <c r="AS42" i="151" s="1" a="1"/>
  <c r="AS42" i="151" s="1"/>
  <c r="AT42" i="151" s="1" a="1"/>
  <c r="AT42" i="151" s="1"/>
  <c r="AU42" i="151" s="1" a="1"/>
  <c r="AU42" i="151" s="1"/>
  <c r="AV42" i="151" s="1" a="1"/>
  <c r="AV42" i="151" s="1"/>
  <c r="AW42" i="151" s="1" a="1"/>
  <c r="AW42" i="151" s="1"/>
  <c r="AX42" i="151" s="1" a="1"/>
  <c r="AX42" i="151" s="1"/>
  <c r="AY42" i="151" s="1" a="1"/>
  <c r="AY42" i="151" s="1"/>
  <c r="AZ42" i="151" s="1" a="1"/>
  <c r="AZ42" i="151" s="1"/>
  <c r="BA42" i="151" s="1" a="1"/>
  <c r="BA42" i="151" s="1"/>
  <c r="BB42" i="151" s="1" a="1"/>
  <c r="BB42" i="151" s="1"/>
  <c r="BC42" i="151" s="1" a="1"/>
  <c r="BC42" i="151" s="1"/>
  <c r="BD42" i="151" s="1" a="1"/>
  <c r="AO40" i="151" a="1"/>
  <c r="AO40" i="151" s="1"/>
  <c r="AP40" i="151" s="1" a="1"/>
  <c r="AO95" i="151" a="1"/>
  <c r="AO95" i="151" s="1"/>
  <c r="AP95" i="151" s="1" a="1"/>
  <c r="AC27" i="140"/>
  <c r="AC26" i="140"/>
  <c r="AO75" i="151" a="1"/>
  <c r="AO75" i="151" s="1"/>
  <c r="AP75" i="151" s="1" a="1"/>
  <c r="AP75" i="151" s="1"/>
  <c r="AQ75" i="151" s="1" a="1"/>
  <c r="AQ75" i="151" s="1"/>
  <c r="AR75" i="151" s="1" a="1"/>
  <c r="H75" i="151" a="1"/>
  <c r="H75" i="151" s="1"/>
  <c r="AO8" i="151" a="1"/>
  <c r="AO8" i="151" s="1"/>
  <c r="AP8" i="151" s="1" a="1"/>
  <c r="AP8" i="151" s="1"/>
  <c r="AQ8" i="151" s="1" a="1"/>
  <c r="AQ8" i="151" s="1"/>
  <c r="AR8" i="151" s="1" a="1"/>
  <c r="H8" i="151" a="1"/>
  <c r="H8" i="151" s="1"/>
  <c r="AO20" i="151" a="1"/>
  <c r="AO20" i="151" s="1"/>
  <c r="AP20" i="151" s="1" a="1"/>
  <c r="AP20" i="151" s="1"/>
  <c r="AQ20" i="151" s="1" a="1"/>
  <c r="AQ20" i="151" s="1"/>
  <c r="AR20" i="151" s="1" a="1"/>
  <c r="AO71" i="151" a="1"/>
  <c r="AO71" i="151" s="1"/>
  <c r="AP71" i="151" s="1" a="1"/>
  <c r="AD27" i="140"/>
  <c r="AD26" i="140"/>
  <c r="AQ53" i="151"/>
  <c r="AR53" i="151" s="1" a="1"/>
  <c r="AR53" i="151" s="1"/>
  <c r="AS53" i="151" s="1" a="1"/>
  <c r="AS53" i="151" s="1"/>
  <c r="AT53" i="151" s="1" a="1"/>
  <c r="AT53" i="151" s="1"/>
  <c r="AU53" i="151" s="1" a="1"/>
  <c r="AU53" i="151" s="1"/>
  <c r="AV53" i="151" s="1" a="1"/>
  <c r="AV53" i="151" s="1"/>
  <c r="AW53" i="151" s="1" a="1"/>
  <c r="AW53" i="151" s="1"/>
  <c r="AX53" i="151" s="1" a="1"/>
  <c r="AX53" i="151" s="1"/>
  <c r="AY53" i="151" s="1" a="1"/>
  <c r="AY53" i="151" s="1"/>
  <c r="AZ53" i="151" s="1" a="1"/>
  <c r="AZ53" i="151" s="1"/>
  <c r="BA53" i="151" s="1" a="1"/>
  <c r="BA53" i="151" s="1"/>
  <c r="BB53" i="151" s="1" a="1"/>
  <c r="BB53" i="151" s="1"/>
  <c r="BC53" i="151" s="1" a="1"/>
  <c r="BC53" i="151" s="1"/>
  <c r="BD53" i="151" s="1" a="1"/>
  <c r="BD53" i="151" s="1"/>
  <c r="AO63" i="151" a="1"/>
  <c r="AO63" i="151" s="1"/>
  <c r="AP63" i="151" s="1" a="1"/>
  <c r="AP63" i="151" s="1"/>
  <c r="AQ63" i="151" s="1" a="1"/>
  <c r="AQ63" i="151" s="1"/>
  <c r="AR63" i="151" s="1" a="1"/>
  <c r="AO93" i="151" a="1"/>
  <c r="AO93" i="151" s="1"/>
  <c r="AP93" i="151" s="1" a="1"/>
  <c r="AQ61" i="151"/>
  <c r="AR61" i="151" s="1" a="1"/>
  <c r="AR61" i="151" s="1"/>
  <c r="AS61" i="151" s="1" a="1"/>
  <c r="AS61" i="151" s="1"/>
  <c r="AT61" i="151" s="1" a="1"/>
  <c r="AT61" i="151" s="1"/>
  <c r="AU61" i="151" s="1" a="1"/>
  <c r="AU61" i="151" s="1"/>
  <c r="AV61" i="151" s="1" a="1"/>
  <c r="AV61" i="151" s="1"/>
  <c r="AW61" i="151" s="1" a="1"/>
  <c r="AW61" i="151" s="1"/>
  <c r="AX61" i="151" s="1" a="1"/>
  <c r="AX61" i="151" s="1"/>
  <c r="AY61" i="151" s="1" a="1"/>
  <c r="AY61" i="151" s="1"/>
  <c r="AZ61" i="151" s="1" a="1"/>
  <c r="AZ61" i="151" s="1"/>
  <c r="BA61" i="151" s="1" a="1"/>
  <c r="BA61" i="151" s="1"/>
  <c r="BB61" i="151" s="1" a="1"/>
  <c r="BB61" i="151" s="1"/>
  <c r="BC61" i="151" s="1" a="1"/>
  <c r="BC61" i="151" s="1"/>
  <c r="BD61" i="151" s="1" a="1"/>
  <c r="BD61" i="151" s="1"/>
  <c r="AQ4" i="151"/>
  <c r="H4" i="151" s="1" a="1"/>
  <c r="H4" i="151" s="1"/>
  <c r="AN66" i="151"/>
  <c r="AO14" i="151" a="1"/>
  <c r="AQ35" i="151"/>
  <c r="AR35" i="151" s="1" a="1"/>
  <c r="AR35" i="151" s="1"/>
  <c r="AS35" i="151" s="1" a="1"/>
  <c r="AS35" i="151" s="1"/>
  <c r="AT35" i="151" s="1" a="1"/>
  <c r="AT35" i="151" s="1"/>
  <c r="AU35" i="151" s="1" a="1"/>
  <c r="AU35" i="151" s="1"/>
  <c r="AV35" i="151" s="1" a="1"/>
  <c r="AV35" i="151" s="1"/>
  <c r="AW35" i="151" s="1" a="1"/>
  <c r="AW35" i="151" s="1"/>
  <c r="AX35" i="151" s="1" a="1"/>
  <c r="AX35" i="151" s="1"/>
  <c r="AY35" i="151" s="1" a="1"/>
  <c r="AY35" i="151" s="1"/>
  <c r="AZ35" i="151" s="1" a="1"/>
  <c r="AZ35" i="151" s="1"/>
  <c r="BA35" i="151" s="1" a="1"/>
  <c r="BA35" i="151" s="1"/>
  <c r="BB35" i="151" s="1" a="1"/>
  <c r="BB35" i="151" s="1"/>
  <c r="BC35" i="151" s="1" a="1"/>
  <c r="BC35" i="151" s="1"/>
  <c r="BD35" i="151" s="1" a="1"/>
  <c r="BD35" i="151" s="1"/>
  <c r="AQ73" i="151"/>
  <c r="AR73" i="151" s="1" a="1"/>
  <c r="AR73" i="151" s="1"/>
  <c r="AS73" i="151" s="1" a="1"/>
  <c r="AS73" i="151" s="1"/>
  <c r="AT73" i="151" s="1" a="1"/>
  <c r="AT73" i="151" s="1"/>
  <c r="AU73" i="151" s="1" a="1"/>
  <c r="AU73" i="151" s="1"/>
  <c r="AV73" i="151" s="1" a="1"/>
  <c r="AV73" i="151" s="1"/>
  <c r="AW73" i="151" s="1" a="1"/>
  <c r="AW73" i="151" s="1"/>
  <c r="AX73" i="151" s="1" a="1"/>
  <c r="AX73" i="151" s="1"/>
  <c r="AY73" i="151" s="1" a="1"/>
  <c r="AY73" i="151" s="1"/>
  <c r="AZ73" i="151" s="1" a="1"/>
  <c r="AZ73" i="151" s="1"/>
  <c r="BA73" i="151" s="1" a="1"/>
  <c r="BA73" i="151" s="1"/>
  <c r="BB73" i="151" s="1" a="1"/>
  <c r="BB73" i="151" s="1"/>
  <c r="BC73" i="151" s="1" a="1"/>
  <c r="BC73" i="151" s="1"/>
  <c r="BD73" i="151" s="1" a="1"/>
  <c r="AQ32" i="151"/>
  <c r="AR32" i="151" s="1" a="1"/>
  <c r="AR32" i="151" s="1"/>
  <c r="AS32" i="151" s="1" a="1"/>
  <c r="AS32" i="151" s="1"/>
  <c r="AT32" i="151" s="1" a="1"/>
  <c r="AT32" i="151" s="1"/>
  <c r="AU32" i="151" s="1" a="1"/>
  <c r="AU32" i="151" s="1"/>
  <c r="AV32" i="151" s="1" a="1"/>
  <c r="AV32" i="151" s="1"/>
  <c r="AW32" i="151" s="1" a="1"/>
  <c r="AW32" i="151" s="1"/>
  <c r="AX32" i="151" s="1" a="1"/>
  <c r="AX32" i="151" s="1"/>
  <c r="AY32" i="151" s="1" a="1"/>
  <c r="AY32" i="151" s="1"/>
  <c r="AZ32" i="151" s="1" a="1"/>
  <c r="AZ32" i="151" s="1"/>
  <c r="BA32" i="151" s="1" a="1"/>
  <c r="BA32" i="151" s="1"/>
  <c r="BB32" i="151" s="1" a="1"/>
  <c r="BB32" i="151" s="1"/>
  <c r="BC32" i="151" s="1" a="1"/>
  <c r="BC32" i="151" s="1"/>
  <c r="BD32" i="151" s="1" a="1"/>
  <c r="BD32" i="151" s="1"/>
  <c r="AO85" i="151" a="1"/>
  <c r="AO85" i="151" s="1"/>
  <c r="AP85" i="151" s="1" a="1"/>
  <c r="AP85" i="151" s="1"/>
  <c r="AQ85" i="151" s="1" a="1"/>
  <c r="AQ85" i="151" s="1"/>
  <c r="AR85" i="151" s="1" a="1"/>
  <c r="V26" i="140"/>
  <c r="V27" i="140"/>
  <c r="AO64" i="151" a="1"/>
  <c r="AO64" i="151" s="1"/>
  <c r="AP64" i="151" s="1" a="1"/>
  <c r="AP64" i="151" s="1"/>
  <c r="AQ64" i="151" s="1" a="1"/>
  <c r="AQ64" i="151" s="1"/>
  <c r="AR64" i="151" s="1" a="1"/>
  <c r="Z26" i="140"/>
  <c r="Z27" i="140"/>
  <c r="AO82" i="151" a="1"/>
  <c r="AO82" i="151" s="1"/>
  <c r="AP82" i="151" s="1" a="1"/>
  <c r="AP82" i="151" s="1"/>
  <c r="AQ82" i="151" s="1" a="1"/>
  <c r="AQ82" i="151" s="1"/>
  <c r="AR82" i="151" s="1" a="1"/>
  <c r="AO84" i="151" a="1"/>
  <c r="AO84" i="151" s="1"/>
  <c r="AP84" i="151" s="1" a="1"/>
  <c r="AP84" i="151" s="1"/>
  <c r="AQ84" i="151" s="1" a="1"/>
  <c r="AQ84" i="151" s="1"/>
  <c r="AR84" i="151" s="1" a="1"/>
  <c r="AO90" i="151" a="1"/>
  <c r="AO90" i="151" s="1"/>
  <c r="AP90" i="151" s="1" a="1"/>
  <c r="AP90" i="151" s="1"/>
  <c r="AQ90" i="151" s="1" a="1"/>
  <c r="AQ90" i="151" s="1"/>
  <c r="AR90" i="151" s="1" a="1"/>
  <c r="AR90" i="151" s="1"/>
  <c r="AS90" i="151" s="1" a="1"/>
  <c r="AS90" i="151" s="1"/>
  <c r="AT90" i="151" s="1" a="1"/>
  <c r="AT90" i="151" s="1"/>
  <c r="AU90" i="151" s="1" a="1"/>
  <c r="AU90" i="151" s="1"/>
  <c r="AV90" i="151" s="1" a="1"/>
  <c r="AV90" i="151" s="1"/>
  <c r="AW90" i="151" s="1" a="1"/>
  <c r="AW90" i="151" s="1"/>
  <c r="AX90" i="151" s="1" a="1"/>
  <c r="AX90" i="151" s="1"/>
  <c r="AY90" i="151" s="1" a="1"/>
  <c r="AY90" i="151" s="1"/>
  <c r="AZ90" i="151" s="1" a="1"/>
  <c r="AZ90" i="151" s="1"/>
  <c r="BA90" i="151" s="1" a="1"/>
  <c r="BA90" i="151" s="1"/>
  <c r="BB90" i="151" s="1" a="1"/>
  <c r="BB90" i="151" s="1"/>
  <c r="BC90" i="151" s="1" a="1"/>
  <c r="BC90" i="151" s="1"/>
  <c r="BD90" i="151" s="1" a="1"/>
  <c r="BD90" i="151" s="1"/>
  <c r="AO11" i="151" a="1"/>
  <c r="AO11" i="151" s="1"/>
  <c r="AP11" i="151" s="1" a="1"/>
  <c r="AP11" i="151" s="1"/>
  <c r="AQ11" i="151" s="1" a="1"/>
  <c r="AQ11" i="151" s="1"/>
  <c r="AR11" i="151" s="1" a="1"/>
  <c r="T41" i="140"/>
  <c r="T42" i="140"/>
  <c r="AO94" i="151" a="1"/>
  <c r="AO94" i="151" s="1"/>
  <c r="AP94" i="151" s="1" a="1"/>
  <c r="AP94" i="151" s="1"/>
  <c r="AQ94" i="151" s="1" a="1"/>
  <c r="AQ94" i="151" s="1"/>
  <c r="AR94" i="151" s="1" a="1"/>
  <c r="AO16" i="151" a="1"/>
  <c r="AO16" i="151" s="1"/>
  <c r="AP16" i="151" s="1" a="1"/>
  <c r="AP16" i="151" s="1"/>
  <c r="AQ16" i="151" s="1" a="1"/>
  <c r="AQ16" i="151" s="1"/>
  <c r="AR16" i="151" s="1" a="1"/>
  <c r="AO86" i="151" a="1"/>
  <c r="AO86" i="151" s="1"/>
  <c r="AP86" i="151" s="1" a="1"/>
  <c r="AP86" i="151" s="1"/>
  <c r="AQ86" i="151" s="1" a="1"/>
  <c r="AQ86" i="151" s="1"/>
  <c r="AR86" i="151" s="1" a="1"/>
  <c r="X26" i="140"/>
  <c r="X27" i="140"/>
  <c r="W41" i="140"/>
  <c r="W42" i="140"/>
  <c r="AO9" i="151" a="1"/>
  <c r="AO9" i="151" s="1"/>
  <c r="AP9" i="151" s="1" a="1"/>
  <c r="AP9" i="151" s="1"/>
  <c r="AQ9" i="151" s="1" a="1"/>
  <c r="AQ9" i="151" s="1"/>
  <c r="AR9" i="151" s="1" a="1"/>
  <c r="AO65" i="151" a="1"/>
  <c r="AO65" i="151" s="1"/>
  <c r="AP65" i="151" s="1" a="1"/>
  <c r="AO72" i="151" a="1"/>
  <c r="AO72" i="151" s="1"/>
  <c r="AP72" i="151" s="1" a="1"/>
  <c r="AP72" i="151" s="1"/>
  <c r="AQ72" i="151" s="1" a="1"/>
  <c r="AQ72" i="151" s="1"/>
  <c r="AR72" i="151" s="1" a="1"/>
  <c r="W26" i="140"/>
  <c r="W27" i="140"/>
  <c r="AO10" i="151" a="1"/>
  <c r="AO10" i="151" s="1"/>
  <c r="AP10" i="151" s="1" a="1"/>
  <c r="AO37" i="151" a="1"/>
  <c r="AO37" i="151" s="1"/>
  <c r="AP37" i="151" s="1" a="1"/>
  <c r="AQ5" i="151"/>
  <c r="AR5" i="151" s="1" a="1"/>
  <c r="AR5" i="151" s="1"/>
  <c r="AS5" i="151" s="1" a="1"/>
  <c r="AS5" i="151" s="1"/>
  <c r="AT5" i="151" s="1" a="1"/>
  <c r="AT5" i="151" s="1"/>
  <c r="AU5" i="151" s="1" a="1"/>
  <c r="AU5" i="151" s="1"/>
  <c r="AV5" i="151" s="1" a="1"/>
  <c r="AV5" i="151" s="1"/>
  <c r="AW5" i="151" s="1" a="1"/>
  <c r="AW5" i="151" s="1"/>
  <c r="AX5" i="151" s="1" a="1"/>
  <c r="AX5" i="151" s="1"/>
  <c r="AY5" i="151" s="1" a="1"/>
  <c r="AY5" i="151" s="1"/>
  <c r="AZ5" i="151" s="1" a="1"/>
  <c r="AZ5" i="151" s="1"/>
  <c r="BA5" i="151" s="1" a="1"/>
  <c r="BA5" i="151" s="1"/>
  <c r="BB5" i="151" s="1" a="1"/>
  <c r="BB5" i="151" s="1"/>
  <c r="BC5" i="151" s="1" a="1"/>
  <c r="BC5" i="151" s="1"/>
  <c r="BD5" i="151" s="1" a="1"/>
  <c r="AO88" i="151" a="1"/>
  <c r="AO78" i="151" a="1"/>
  <c r="AO78" i="151" s="1"/>
  <c r="AP78" i="151" s="1" a="1"/>
  <c r="AP78" i="151" s="1"/>
  <c r="AQ78" i="151" s="1" a="1"/>
  <c r="AQ78" i="151" s="1"/>
  <c r="AR78" i="151" s="1" a="1"/>
  <c r="AO92" i="151" a="1"/>
  <c r="AO92" i="151" s="1"/>
  <c r="AP92" i="151" s="1" a="1"/>
  <c r="AO80" i="151" a="1"/>
  <c r="AO80" i="151" s="1"/>
  <c r="AP80" i="151" s="1" a="1"/>
  <c r="AP80" i="151" s="1"/>
  <c r="AQ80" i="151" s="1" a="1"/>
  <c r="AQ80" i="151" s="1"/>
  <c r="AR80" i="151" s="1" a="1"/>
  <c r="AO30" i="151" a="1"/>
  <c r="AO30" i="151" s="1"/>
  <c r="AO56" i="151" a="1"/>
  <c r="AO56" i="151" s="1"/>
  <c r="AP56" i="151" s="1" a="1"/>
  <c r="AP56" i="151" s="1"/>
  <c r="AQ56" i="151" s="1" a="1"/>
  <c r="AQ56" i="151" s="1"/>
  <c r="AR56" i="151" s="1" a="1"/>
  <c r="V42" i="140"/>
  <c r="V41" i="140"/>
  <c r="AB27" i="140"/>
  <c r="AB26" i="140"/>
  <c r="AO7" i="151" a="1"/>
  <c r="AO7" i="151" s="1"/>
  <c r="AP7" i="151" s="1" a="1"/>
  <c r="AP7" i="151" s="1"/>
  <c r="AQ7" i="151" s="1" a="1"/>
  <c r="AQ7" i="151" s="1"/>
  <c r="AR7" i="151" s="1" a="1"/>
  <c r="AO89" i="151" a="1"/>
  <c r="AO89" i="151" s="1"/>
  <c r="AP89" i="151" s="1" a="1"/>
  <c r="AP89" i="151" s="1"/>
  <c r="AQ89" i="151" s="1" a="1"/>
  <c r="AQ89" i="151" s="1"/>
  <c r="AR89" i="151" s="1" a="1"/>
  <c r="AO34" i="151" a="1"/>
  <c r="AO41" i="151" a="1"/>
  <c r="AO41" i="151" s="1"/>
  <c r="AP41" i="151" s="1" a="1"/>
  <c r="AO118" i="151" a="1"/>
  <c r="AO113" i="151" a="1"/>
  <c r="AN114" i="151" a="1"/>
  <c r="AO119" i="151" a="1"/>
  <c r="AO112" i="151" a="1"/>
  <c r="AN120" i="151" a="1"/>
  <c r="AO117" i="151" a="1"/>
  <c r="AO111" i="151" a="1"/>
  <c r="AO115" i="151" a="1"/>
  <c r="AO116" i="151" a="1"/>
  <c r="H72" i="151" l="1" a="1"/>
  <c r="H72" i="151" s="1"/>
  <c r="AL49" i="151"/>
  <c r="H16" i="151" a="1"/>
  <c r="H16" i="151" s="1"/>
  <c r="H7" i="151" a="1"/>
  <c r="H7" i="151" s="1"/>
  <c r="H85" i="151" a="1"/>
  <c r="H85" i="151" s="1"/>
  <c r="H78" i="151" a="1"/>
  <c r="H78" i="151" s="1"/>
  <c r="H80" i="151" a="1"/>
  <c r="H80" i="151" s="1"/>
  <c r="H81" i="151" a="1"/>
  <c r="H81" i="151" s="1"/>
  <c r="H89" i="151" a="1"/>
  <c r="H89" i="151" s="1"/>
  <c r="H64" i="151" a="1"/>
  <c r="H64" i="151" s="1"/>
  <c r="H86" i="151" a="1"/>
  <c r="H86" i="151" s="1"/>
  <c r="H90" i="151" a="1"/>
  <c r="H90" i="151" s="1"/>
  <c r="H32" i="151" a="1"/>
  <c r="H32" i="151" s="1"/>
  <c r="H87" i="151" a="1"/>
  <c r="H87" i="151" s="1"/>
  <c r="H82" i="151" a="1"/>
  <c r="H82" i="151" s="1"/>
  <c r="H5" i="151" a="1"/>
  <c r="H5" i="151" s="1"/>
  <c r="H94" i="151" a="1"/>
  <c r="H94" i="151" s="1"/>
  <c r="H63" i="151" a="1"/>
  <c r="H63" i="151" s="1"/>
  <c r="H56" i="151" a="1"/>
  <c r="H56" i="151" s="1"/>
  <c r="AO116" i="151"/>
  <c r="AN114" i="151"/>
  <c r="AO113" i="151"/>
  <c r="AO118" i="151"/>
  <c r="AO111" i="151"/>
  <c r="AO117" i="151"/>
  <c r="AN120" i="151"/>
  <c r="AO115" i="151"/>
  <c r="AO112" i="151"/>
  <c r="AO119" i="151"/>
  <c r="AR38" i="151"/>
  <c r="AS38" i="151" s="1" a="1"/>
  <c r="BD5" i="151"/>
  <c r="H9" i="151" a="1"/>
  <c r="H9" i="151" s="1"/>
  <c r="H11" i="151" a="1"/>
  <c r="H11" i="151" s="1"/>
  <c r="H18" i="151" a="1"/>
  <c r="H18" i="151" s="1"/>
  <c r="AO34" i="151"/>
  <c r="AR21" i="151"/>
  <c r="AS21" i="151" s="1" a="1"/>
  <c r="AP70" i="151"/>
  <c r="AQ70" i="151" s="1" a="1"/>
  <c r="AQ70" i="151" s="1"/>
  <c r="AR70" i="151" s="1" a="1"/>
  <c r="H38" i="151" a="1"/>
  <c r="H38" i="151" s="1"/>
  <c r="AR80" i="151"/>
  <c r="AS80" i="151" s="1" a="1"/>
  <c r="AR8" i="151"/>
  <c r="AS8" i="151" s="1" a="1"/>
  <c r="AR89" i="151"/>
  <c r="AS89" i="151" s="1" a="1"/>
  <c r="AR82" i="151"/>
  <c r="AS82" i="151" s="1" a="1"/>
  <c r="H73" i="151" a="1"/>
  <c r="H73" i="151" s="1"/>
  <c r="AO68" i="151"/>
  <c r="AO98" i="151" a="1"/>
  <c r="AP92" i="151"/>
  <c r="W28" i="140"/>
  <c r="Z28" i="140"/>
  <c r="AR7" i="151"/>
  <c r="AS7" i="151" s="1" a="1"/>
  <c r="H69" i="151" a="1"/>
  <c r="H69" i="151" s="1"/>
  <c r="AR78" i="151"/>
  <c r="AS78" i="151" s="1" a="1"/>
  <c r="AR63" i="151"/>
  <c r="AS63" i="151" s="1" a="1"/>
  <c r="AR81" i="151"/>
  <c r="AS81" i="151" s="1" a="1"/>
  <c r="AF27" i="140"/>
  <c r="AC28" i="140" s="1"/>
  <c r="H53" i="151" a="1"/>
  <c r="H53" i="151" s="1"/>
  <c r="AP65" i="151"/>
  <c r="AP95" i="151"/>
  <c r="H33" i="151" a="1"/>
  <c r="H33" i="151" s="1"/>
  <c r="AO79" i="151" a="1"/>
  <c r="AM121" i="151"/>
  <c r="AR9" i="151"/>
  <c r="AS9" i="151" s="1" a="1"/>
  <c r="AR18" i="151"/>
  <c r="AS18" i="151" s="1" a="1"/>
  <c r="AR56" i="151"/>
  <c r="AS56" i="151" s="1" a="1"/>
  <c r="AP71" i="151"/>
  <c r="AQ71" i="151" s="1" a="1"/>
  <c r="AQ71" i="151" s="1"/>
  <c r="AR71" i="151" s="1" a="1"/>
  <c r="BD42" i="151"/>
  <c r="AP10" i="151"/>
  <c r="AR84" i="151"/>
  <c r="AS84" i="151" s="1" a="1"/>
  <c r="AR76" i="151"/>
  <c r="AS76" i="151" s="1" a="1"/>
  <c r="BD73" i="151"/>
  <c r="H61" i="151" a="1"/>
  <c r="H61" i="151" s="1"/>
  <c r="AO22" i="151" a="1"/>
  <c r="AR86" i="151"/>
  <c r="AS86" i="151" s="1" a="1"/>
  <c r="AP15" i="151"/>
  <c r="AQ15" i="151" s="1" a="1"/>
  <c r="AQ15" i="151" s="1"/>
  <c r="AR15" i="151" s="1" a="1"/>
  <c r="AP93" i="151"/>
  <c r="AR75" i="151"/>
  <c r="AS75" i="151" s="1" a="1"/>
  <c r="AP24" i="151"/>
  <c r="AQ24" i="151" s="1" a="1"/>
  <c r="AQ24" i="151" s="1"/>
  <c r="AR24" i="151" s="1" a="1"/>
  <c r="AN39" i="151" a="1"/>
  <c r="AN105" i="151"/>
  <c r="AR16" i="151"/>
  <c r="AS16" i="151" s="1" a="1"/>
  <c r="H35" i="151" a="1"/>
  <c r="H35" i="151" s="1"/>
  <c r="AF26" i="140"/>
  <c r="H223" i="77" s="1"/>
  <c r="Q31" i="140"/>
  <c r="AR72" i="151"/>
  <c r="AS72" i="151" s="1" a="1"/>
  <c r="AR94" i="151"/>
  <c r="AS94" i="151" s="1" a="1"/>
  <c r="AO14" i="151"/>
  <c r="AR87" i="151"/>
  <c r="AS87" i="151" s="1" a="1"/>
  <c r="AR64" i="151"/>
  <c r="AS64" i="151" s="1" a="1"/>
  <c r="AO52" i="151" a="1"/>
  <c r="AO52" i="151" s="1"/>
  <c r="AO88" i="151"/>
  <c r="AO66" i="151" a="1"/>
  <c r="H54" i="151" a="1"/>
  <c r="H54" i="151" s="1"/>
  <c r="AR11" i="151"/>
  <c r="AS11" i="151" s="1" a="1"/>
  <c r="AP40" i="151"/>
  <c r="AQ40" i="151" s="1" a="1"/>
  <c r="AQ40" i="151" s="1"/>
  <c r="AM49" i="151"/>
  <c r="AP41" i="151"/>
  <c r="AP37" i="151"/>
  <c r="AR85" i="151"/>
  <c r="AS85" i="151" s="1" a="1"/>
  <c r="AR4" i="151" a="1"/>
  <c r="AR4" i="151" s="1"/>
  <c r="H20" i="151" a="1"/>
  <c r="H20" i="151" s="1"/>
  <c r="H42" i="151" a="1"/>
  <c r="H42" i="151" s="1"/>
  <c r="H19" i="151" a="1"/>
  <c r="H19" i="151" s="1"/>
  <c r="AP30" i="151" a="1"/>
  <c r="AP30" i="151" s="1"/>
  <c r="H84" i="151" a="1"/>
  <c r="H84" i="151" s="1"/>
  <c r="AR20" i="151"/>
  <c r="AS20" i="151" s="1" a="1"/>
  <c r="H21" i="151" a="1"/>
  <c r="H21" i="151" s="1"/>
  <c r="H76" i="151" a="1"/>
  <c r="H76" i="151" s="1"/>
  <c r="AR19" i="151"/>
  <c r="AS19" i="151" s="1" a="1"/>
  <c r="AO114" i="151" a="1"/>
  <c r="AP119" i="151" a="1"/>
  <c r="AP118" i="151" a="1"/>
  <c r="AP113" i="151" a="1"/>
  <c r="AP116" i="151" a="1"/>
  <c r="AP111" i="151" a="1"/>
  <c r="AP115" i="151" a="1"/>
  <c r="AP117" i="151" a="1"/>
  <c r="AO120" i="151" a="1"/>
  <c r="AP112" i="151" a="1"/>
  <c r="Y28" i="140" l="1"/>
  <c r="T28" i="140"/>
  <c r="X28" i="140"/>
  <c r="V28" i="140"/>
  <c r="AD28" i="140"/>
  <c r="AP115" i="151"/>
  <c r="AP111" i="151"/>
  <c r="AP118" i="151"/>
  <c r="AP119" i="151"/>
  <c r="AP113" i="151"/>
  <c r="AO114" i="151"/>
  <c r="AP112" i="151"/>
  <c r="AO120" i="151"/>
  <c r="AP117" i="151"/>
  <c r="AP116" i="151"/>
  <c r="AS82" i="151"/>
  <c r="AT82" i="151" s="1" a="1"/>
  <c r="AS38" i="151"/>
  <c r="AT38" i="151" s="1" a="1"/>
  <c r="AR24" i="151"/>
  <c r="AS24" i="151" s="1" a="1"/>
  <c r="AS78" i="151"/>
  <c r="AT78" i="151" s="1" a="1"/>
  <c r="AS75" i="151"/>
  <c r="AT75" i="151" s="1" a="1"/>
  <c r="AS18" i="151"/>
  <c r="AT18" i="151" s="1" a="1"/>
  <c r="AS7" i="151"/>
  <c r="AT7" i="151" s="1" a="1"/>
  <c r="AS19" i="151"/>
  <c r="AT19" i="151" s="1" a="1"/>
  <c r="AS9" i="151"/>
  <c r="AT9" i="151" s="1" a="1"/>
  <c r="AS21" i="151"/>
  <c r="AT21" i="151" s="1" a="1"/>
  <c r="AS76" i="151"/>
  <c r="AT76" i="151" s="1" a="1"/>
  <c r="AR15" i="151"/>
  <c r="AS15" i="151" s="1" a="1"/>
  <c r="AS86" i="151"/>
  <c r="AT86" i="151" s="1" a="1"/>
  <c r="AS84" i="151"/>
  <c r="AT84" i="151" s="1" a="1"/>
  <c r="AS81" i="151"/>
  <c r="AT81" i="151" s="1" a="1"/>
  <c r="AS63" i="151"/>
  <c r="AT63" i="151" s="1" a="1"/>
  <c r="AS64" i="151"/>
  <c r="AT64" i="151" s="1" a="1"/>
  <c r="AS80" i="151"/>
  <c r="AT80" i="151" s="1" a="1"/>
  <c r="AS56" i="151"/>
  <c r="AT56" i="151" s="1" a="1"/>
  <c r="AR70" i="151"/>
  <c r="AS70" i="151" s="1" a="1"/>
  <c r="AR40" i="151" a="1"/>
  <c r="H40" i="151" a="1"/>
  <c r="H40" i="151" s="1"/>
  <c r="AS72" i="151"/>
  <c r="AT72" i="151" s="1" a="1"/>
  <c r="AS20" i="151"/>
  <c r="AT20" i="151" s="1" a="1"/>
  <c r="AO66" i="151"/>
  <c r="AP66" i="151" s="1" a="1"/>
  <c r="AB28" i="140"/>
  <c r="AQ92" i="151" a="1"/>
  <c r="AQ92" i="151" s="1"/>
  <c r="AR92" i="151" s="1" a="1"/>
  <c r="AQ10" i="151" a="1"/>
  <c r="AQ10" i="151" s="1"/>
  <c r="AP52" i="151" a="1"/>
  <c r="AP52" i="151" s="1"/>
  <c r="AA28" i="140"/>
  <c r="H71" i="151" a="1"/>
  <c r="H71" i="151" s="1"/>
  <c r="AQ65" i="151" a="1"/>
  <c r="AQ65" i="151" s="1"/>
  <c r="AR65" i="151" s="1" a="1"/>
  <c r="AP34" i="151" a="1"/>
  <c r="AP34" i="151" s="1"/>
  <c r="AQ34" i="151" s="1" a="1"/>
  <c r="AQ34" i="151" s="1"/>
  <c r="AR34" i="151" s="1" a="1"/>
  <c r="AS94" i="151"/>
  <c r="AT94" i="151" s="1" a="1"/>
  <c r="H70" i="151" a="1"/>
  <c r="H70" i="151" s="1"/>
  <c r="AO22" i="151"/>
  <c r="AS8" i="151"/>
  <c r="AT8" i="151" s="1" a="1"/>
  <c r="AS85" i="151"/>
  <c r="AT85" i="151" s="1" a="1"/>
  <c r="H24" i="151" a="1"/>
  <c r="H24" i="151" s="1"/>
  <c r="AQ37" i="151" a="1"/>
  <c r="AQ37" i="151" s="1"/>
  <c r="AR37" i="151" s="1" a="1"/>
  <c r="AP88" i="151" a="1"/>
  <c r="AQ41" i="151" a="1"/>
  <c r="AQ41" i="151" s="1"/>
  <c r="AR41" i="151" s="1" a="1"/>
  <c r="AE28" i="140"/>
  <c r="AQ30" i="151" a="1"/>
  <c r="AQ30" i="151" s="1"/>
  <c r="H30" i="151" s="1" a="1"/>
  <c r="H30" i="151" s="1"/>
  <c r="O60" i="140"/>
  <c r="P33" i="140"/>
  <c r="O33" i="140"/>
  <c r="F61" i="140"/>
  <c r="J32" i="140"/>
  <c r="O62" i="140"/>
  <c r="P60" i="140"/>
  <c r="M31" i="140"/>
  <c r="F32" i="140"/>
  <c r="N31" i="140"/>
  <c r="M60" i="140"/>
  <c r="K31" i="140"/>
  <c r="N60" i="140"/>
  <c r="G32" i="140"/>
  <c r="O31" i="140"/>
  <c r="K60" i="140"/>
  <c r="I61" i="140"/>
  <c r="J61" i="140"/>
  <c r="P62" i="140"/>
  <c r="I32" i="140"/>
  <c r="E61" i="140"/>
  <c r="L60" i="140"/>
  <c r="G61" i="140"/>
  <c r="H32" i="140"/>
  <c r="P31" i="140"/>
  <c r="E32" i="140"/>
  <c r="L31" i="140"/>
  <c r="H61" i="140"/>
  <c r="N33" i="140"/>
  <c r="N62" i="140"/>
  <c r="AO79" i="151"/>
  <c r="AP79" i="151" s="1" a="1"/>
  <c r="AO98" i="151"/>
  <c r="AP98" i="151" s="1" a="1"/>
  <c r="U28" i="140"/>
  <c r="AQ93" i="151" a="1"/>
  <c r="AQ93" i="151" s="1"/>
  <c r="AR93" i="151" s="1" a="1"/>
  <c r="AN121" i="151"/>
  <c r="H15" i="151" a="1"/>
  <c r="H15" i="151" s="1"/>
  <c r="AP68" i="151" a="1"/>
  <c r="AP68" i="151" s="1"/>
  <c r="AQ68" i="151" s="1" a="1"/>
  <c r="AQ68" i="151" s="1"/>
  <c r="AR68" i="151" s="1" a="1"/>
  <c r="AQ95" i="151" a="1"/>
  <c r="AQ95" i="151" s="1"/>
  <c r="AR95" i="151" s="1" a="1"/>
  <c r="AS11" i="151"/>
  <c r="AT11" i="151" s="1" a="1"/>
  <c r="AS87" i="151"/>
  <c r="AT87" i="151" s="1" a="1"/>
  <c r="AS16" i="151"/>
  <c r="AT16" i="151" s="1" a="1"/>
  <c r="AR71" i="151"/>
  <c r="AS71" i="151" s="1" a="1"/>
  <c r="AS4" i="151" a="1"/>
  <c r="AS4" i="151" s="1"/>
  <c r="AO105" i="151" a="1"/>
  <c r="AS89" i="151"/>
  <c r="AT89" i="151" s="1" a="1"/>
  <c r="AP14" i="151" a="1"/>
  <c r="AN17" i="151" a="1"/>
  <c r="AN39" i="151"/>
  <c r="AQ117" i="151" a="1"/>
  <c r="AQ119" i="151" a="1"/>
  <c r="AP114" i="151" a="1"/>
  <c r="AQ112" i="151" a="1"/>
  <c r="AP120" i="151" a="1"/>
  <c r="AQ111" i="151" a="1"/>
  <c r="AQ113" i="151" a="1"/>
  <c r="AQ115" i="151" a="1"/>
  <c r="AQ118" i="151" a="1"/>
  <c r="AQ116" i="151" a="1"/>
  <c r="AO121" i="151" l="1"/>
  <c r="T3" i="140" a="1"/>
  <c r="T3" i="140" s="1"/>
  <c r="U8" i="140" s="1" a="1"/>
  <c r="U8" i="140" s="1"/>
  <c r="H93" i="151" a="1"/>
  <c r="H93" i="151" s="1"/>
  <c r="Q66" i="140"/>
  <c r="H34" i="151" a="1"/>
  <c r="H34" i="151" s="1"/>
  <c r="H65" i="151" a="1"/>
  <c r="H65" i="151" s="1"/>
  <c r="AF28" i="140"/>
  <c r="H41" i="151" a="1"/>
  <c r="H41" i="151" s="1"/>
  <c r="AQ113" i="151"/>
  <c r="H113" i="151" s="1" a="1"/>
  <c r="H113" i="151" s="1"/>
  <c r="AQ116" i="151"/>
  <c r="H116" i="151" s="1" a="1"/>
  <c r="H116" i="151" s="1"/>
  <c r="AQ118" i="151"/>
  <c r="H118" i="151" s="1" a="1"/>
  <c r="H118" i="151" s="1"/>
  <c r="AQ111" i="151"/>
  <c r="AQ112" i="151"/>
  <c r="H112" i="151" s="1" a="1"/>
  <c r="H112" i="151" s="1"/>
  <c r="AP114" i="151"/>
  <c r="AQ119" i="151"/>
  <c r="H119" i="151" s="1" a="1"/>
  <c r="H119" i="151" s="1"/>
  <c r="AQ117" i="151"/>
  <c r="H117" i="151" s="1" a="1"/>
  <c r="H117" i="151" s="1"/>
  <c r="AP120" i="151"/>
  <c r="AQ115" i="151"/>
  <c r="H115" i="151" s="1" a="1"/>
  <c r="H115" i="151" s="1"/>
  <c r="AT78" i="151"/>
  <c r="AU78" i="151" s="1" a="1"/>
  <c r="AS24" i="151"/>
  <c r="AT24" i="151" s="1" a="1"/>
  <c r="AT85" i="151"/>
  <c r="AU85" i="151" s="1" a="1"/>
  <c r="AT84" i="151"/>
  <c r="AU84" i="151" s="1" a="1"/>
  <c r="AT8" i="151"/>
  <c r="AU8" i="151" s="1" a="1"/>
  <c r="AT82" i="151"/>
  <c r="AU82" i="151" s="1" a="1"/>
  <c r="AT20" i="151"/>
  <c r="AU20" i="151" s="1" a="1"/>
  <c r="AT72" i="151"/>
  <c r="AU72" i="151" s="1" a="1"/>
  <c r="AT21" i="151"/>
  <c r="AU21" i="151" s="1" a="1"/>
  <c r="AS70" i="151"/>
  <c r="AT70" i="151" s="1" a="1"/>
  <c r="AT7" i="151"/>
  <c r="AU7" i="151" s="1" a="1"/>
  <c r="AT94" i="151"/>
  <c r="AU94" i="151" s="1" a="1"/>
  <c r="AT89" i="151"/>
  <c r="AU89" i="151" s="1" a="1"/>
  <c r="AT9" i="151"/>
  <c r="AU9" i="151" s="1" a="1"/>
  <c r="AT63" i="151"/>
  <c r="AU63" i="151" s="1" a="1"/>
  <c r="AT81" i="151"/>
  <c r="AU81" i="151" s="1" a="1"/>
  <c r="AT38" i="151"/>
  <c r="AU38" i="151" s="1" a="1"/>
  <c r="AT86" i="151"/>
  <c r="AU86" i="151" s="1" a="1"/>
  <c r="AS15" i="151"/>
  <c r="AT15" i="151" s="1" a="1"/>
  <c r="AN60" i="151" a="1"/>
  <c r="AP79" i="151"/>
  <c r="AQ79" i="151" s="1" a="1"/>
  <c r="AT16" i="151"/>
  <c r="AU16" i="151" s="1" a="1"/>
  <c r="AT87" i="151"/>
  <c r="AU87" i="151" s="1" a="1"/>
  <c r="AT11" i="151"/>
  <c r="AU11" i="151" s="1" a="1"/>
  <c r="AT19" i="151"/>
  <c r="AU19" i="151" s="1" a="1"/>
  <c r="AT56" i="151"/>
  <c r="AU56" i="151" s="1" a="1"/>
  <c r="AT80" i="151"/>
  <c r="AU80" i="151" s="1" a="1"/>
  <c r="AT75" i="151"/>
  <c r="AU75" i="151" s="1" a="1"/>
  <c r="AO39" i="151" a="1"/>
  <c r="AT64" i="151"/>
  <c r="AU64" i="151" s="1" a="1"/>
  <c r="AN43" i="151" a="1"/>
  <c r="AN17" i="151"/>
  <c r="Q67" i="140"/>
  <c r="Q62" i="140"/>
  <c r="AR95" i="151"/>
  <c r="AS95" i="151" s="1" a="1"/>
  <c r="AR40" i="151"/>
  <c r="AS40" i="151" s="1" a="1"/>
  <c r="H95" i="151" a="1"/>
  <c r="H95" i="151" s="1"/>
  <c r="AP22" i="151" a="1"/>
  <c r="H92" i="151" a="1"/>
  <c r="H92" i="151" s="1"/>
  <c r="AT4" i="151" a="1"/>
  <c r="AT4" i="151" s="1"/>
  <c r="AR41" i="151"/>
  <c r="AS41" i="151" s="1" a="1"/>
  <c r="H68" i="151" a="1"/>
  <c r="H68" i="151" s="1"/>
  <c r="AP88" i="151"/>
  <c r="AS71" i="151"/>
  <c r="AT71" i="151" s="1" a="1"/>
  <c r="AN59" i="151" a="1"/>
  <c r="AP66" i="151"/>
  <c r="AQ66" i="151" s="1" a="1"/>
  <c r="AP14" i="151"/>
  <c r="AQ14" i="151" s="1" a="1"/>
  <c r="AQ14" i="151" s="1"/>
  <c r="AR14" i="151" s="1" a="1"/>
  <c r="AQ52" i="151" a="1"/>
  <c r="AQ52" i="151" s="1"/>
  <c r="H52" i="151" s="1" a="1"/>
  <c r="H52" i="151" s="1"/>
  <c r="AR10" i="151" a="1"/>
  <c r="H10" i="151" a="1"/>
  <c r="H10" i="151" s="1"/>
  <c r="AO105" i="151"/>
  <c r="AR37" i="151"/>
  <c r="AS37" i="151" s="1" a="1"/>
  <c r="H37" i="151" a="1"/>
  <c r="H37" i="151" s="1"/>
  <c r="AP98" i="151"/>
  <c r="AT76" i="151"/>
  <c r="AU76" i="151" s="1" a="1"/>
  <c r="Q33" i="140"/>
  <c r="Q38" i="140"/>
  <c r="AR68" i="151"/>
  <c r="AS68" i="151" s="1" a="1"/>
  <c r="AR92" i="151"/>
  <c r="AS92" i="151" s="1" a="1"/>
  <c r="AR30" i="151" a="1"/>
  <c r="AR30" i="151" s="1"/>
  <c r="Q37" i="140"/>
  <c r="AR93" i="151"/>
  <c r="AS93" i="151" s="1" a="1"/>
  <c r="AR34" i="151"/>
  <c r="AS34" i="151" s="1" a="1"/>
  <c r="AT18" i="151"/>
  <c r="AU18" i="151" s="1" a="1"/>
  <c r="AR65" i="151"/>
  <c r="AS65" i="151" s="1" a="1"/>
  <c r="AR113" i="151" a="1"/>
  <c r="AR119" i="151" a="1"/>
  <c r="AR111" i="151" a="1"/>
  <c r="AQ120" i="151" a="1"/>
  <c r="AQ114" i="151" a="1"/>
  <c r="AR116" i="151" a="1"/>
  <c r="AR112" i="151" a="1"/>
  <c r="AR115" i="151" a="1"/>
  <c r="AR118" i="151" a="1"/>
  <c r="AR117" i="151" a="1"/>
  <c r="Q72" i="140" l="1"/>
  <c r="AP121" i="151"/>
  <c r="AR117" i="151"/>
  <c r="AR111" i="151"/>
  <c r="AR118" i="151"/>
  <c r="AR115" i="151"/>
  <c r="AR116" i="151"/>
  <c r="AQ114" i="151"/>
  <c r="AR112" i="151"/>
  <c r="AQ120" i="151"/>
  <c r="H120" i="151" s="1" a="1"/>
  <c r="H120" i="151" s="1"/>
  <c r="AR119" i="151"/>
  <c r="AR113" i="151"/>
  <c r="AU81" i="151"/>
  <c r="AV81" i="151" s="1" a="1"/>
  <c r="AU63" i="151"/>
  <c r="AV63" i="151" s="1" a="1"/>
  <c r="AS92" i="151"/>
  <c r="AT92" i="151" s="1" a="1"/>
  <c r="AT24" i="151"/>
  <c r="AU24" i="151" s="1" a="1"/>
  <c r="AU19" i="151"/>
  <c r="AV19" i="151" s="1" a="1"/>
  <c r="AR14" i="151"/>
  <c r="AS14" i="151" s="1" a="1"/>
  <c r="AU87" i="151"/>
  <c r="AV87" i="151" s="1" a="1"/>
  <c r="AU7" i="151"/>
  <c r="AV7" i="151" s="1" a="1"/>
  <c r="AT70" i="151"/>
  <c r="AU70" i="151" s="1" a="1"/>
  <c r="AU21" i="151"/>
  <c r="AV21" i="151" s="1" a="1"/>
  <c r="AS65" i="151"/>
  <c r="AT65" i="151" s="1" a="1"/>
  <c r="AT15" i="151"/>
  <c r="AU15" i="151" s="1" a="1"/>
  <c r="AS41" i="151"/>
  <c r="AT41" i="151" s="1" a="1"/>
  <c r="AU20" i="151"/>
  <c r="AV20" i="151" s="1" a="1"/>
  <c r="AU80" i="151"/>
  <c r="AV80" i="151" s="1" a="1"/>
  <c r="AU84" i="151"/>
  <c r="AV84" i="151" s="1" a="1"/>
  <c r="AU85" i="151"/>
  <c r="AV85" i="151" s="1" a="1"/>
  <c r="AU9" i="151"/>
  <c r="AV9" i="151" s="1" a="1"/>
  <c r="AS68" i="151"/>
  <c r="AT68" i="151" s="1" a="1"/>
  <c r="AU89" i="151"/>
  <c r="AV89" i="151" s="1" a="1"/>
  <c r="AU78" i="151"/>
  <c r="AV78" i="151" s="1" a="1"/>
  <c r="AU11" i="151"/>
  <c r="AV11" i="151" s="1" a="1"/>
  <c r="AU16" i="151"/>
  <c r="AV16" i="151" s="1" a="1"/>
  <c r="AT71" i="151"/>
  <c r="AU71" i="151" s="1" a="1"/>
  <c r="AU76" i="151"/>
  <c r="AV76" i="151" s="1" a="1"/>
  <c r="AU72" i="151"/>
  <c r="AV72" i="151" s="1" a="1"/>
  <c r="AU18" i="151"/>
  <c r="AV18" i="151" s="1" a="1"/>
  <c r="AU64" i="151"/>
  <c r="AV64" i="151" s="1" a="1"/>
  <c r="AU82" i="151"/>
  <c r="AV82" i="151" s="1" a="1"/>
  <c r="AS37" i="151"/>
  <c r="AT37" i="151" s="1" a="1"/>
  <c r="AU38" i="151"/>
  <c r="AV38" i="151" s="1" a="1"/>
  <c r="AS93" i="151"/>
  <c r="AT93" i="151" s="1" a="1"/>
  <c r="AU75" i="151"/>
  <c r="AV75" i="151" s="1" a="1"/>
  <c r="AS34" i="151"/>
  <c r="AT34" i="151" s="1" a="1"/>
  <c r="AS95" i="151"/>
  <c r="AT95" i="151" s="1" a="1"/>
  <c r="AU4" i="151" a="1"/>
  <c r="AU4" i="151" s="1"/>
  <c r="AQ98" i="151" a="1"/>
  <c r="AS30" i="151" a="1"/>
  <c r="AS30" i="151" s="1"/>
  <c r="AN31" i="151" a="1"/>
  <c r="AP22" i="151"/>
  <c r="H111" i="151" a="1"/>
  <c r="H111" i="151" s="1"/>
  <c r="AO39" i="151"/>
  <c r="AP39" i="151" s="1" a="1"/>
  <c r="AQ79" i="151"/>
  <c r="H79" i="151" s="1" a="1"/>
  <c r="H79" i="151" s="1"/>
  <c r="AP105" i="151" a="1"/>
  <c r="AN60" i="151"/>
  <c r="AO60" i="151" s="1" a="1"/>
  <c r="AU94" i="151"/>
  <c r="AV94" i="151" s="1" a="1"/>
  <c r="AU56" i="151"/>
  <c r="AV56" i="151" s="1" a="1"/>
  <c r="AU86" i="151"/>
  <c r="AV86" i="151" s="1" a="1"/>
  <c r="AU8" i="151"/>
  <c r="AV8" i="151" s="1" a="1"/>
  <c r="AR52" i="151" a="1"/>
  <c r="AR52" i="151" s="1"/>
  <c r="H14" i="151" a="1"/>
  <c r="H14" i="151" s="1"/>
  <c r="AO17" i="151" a="1"/>
  <c r="T8" i="140" a="1"/>
  <c r="AF3" i="140"/>
  <c r="AN99" i="151" a="1"/>
  <c r="AN43" i="151"/>
  <c r="AQ66" i="151"/>
  <c r="H66" i="151" s="1" a="1"/>
  <c r="H66" i="151" s="1"/>
  <c r="AN59" i="151"/>
  <c r="AO59" i="151" s="1" a="1"/>
  <c r="Q73" i="140"/>
  <c r="AS40" i="151"/>
  <c r="AT40" i="151" s="1" a="1"/>
  <c r="AQ88" i="151" a="1"/>
  <c r="AQ88" i="151" s="1"/>
  <c r="AR88" i="151" s="1" a="1"/>
  <c r="AR10" i="151"/>
  <c r="AS117" i="151" a="1"/>
  <c r="AR114" i="151" a="1"/>
  <c r="AS112" i="151" a="1"/>
  <c r="AS115" i="151" a="1"/>
  <c r="AS116" i="151" a="1"/>
  <c r="AS113" i="151" a="1"/>
  <c r="AS111" i="151" a="1"/>
  <c r="AS118" i="151" a="1"/>
  <c r="AR120" i="151" a="1"/>
  <c r="AS119" i="151" a="1"/>
  <c r="Q74" i="140" l="1"/>
  <c r="Q75" i="140" s="1"/>
  <c r="H88" i="151" a="1"/>
  <c r="H88" i="151" s="1"/>
  <c r="AS119" i="151"/>
  <c r="AR120" i="151"/>
  <c r="AS116" i="151"/>
  <c r="AS115" i="151"/>
  <c r="AS118" i="151"/>
  <c r="AS111" i="151"/>
  <c r="AS113" i="151"/>
  <c r="AS112" i="151"/>
  <c r="AR114" i="151"/>
  <c r="AS117" i="151"/>
  <c r="AV84" i="151"/>
  <c r="AW84" i="151" s="1" a="1"/>
  <c r="AV76" i="151"/>
  <c r="AW76" i="151" s="1" a="1"/>
  <c r="AV63" i="151"/>
  <c r="AW63" i="151" s="1" a="1"/>
  <c r="AT41" i="151"/>
  <c r="AU41" i="151" s="1" a="1"/>
  <c r="AU15" i="151"/>
  <c r="AV15" i="151" s="1" a="1"/>
  <c r="AT40" i="151"/>
  <c r="AU40" i="151" s="1" a="1"/>
  <c r="AT95" i="151"/>
  <c r="AU95" i="151" s="1" a="1"/>
  <c r="AV94" i="151"/>
  <c r="AW94" i="151" s="1" a="1"/>
  <c r="AT34" i="151"/>
  <c r="AU34" i="151" s="1" a="1"/>
  <c r="AO59" i="151"/>
  <c r="AP59" i="151" s="1" a="1"/>
  <c r="AP59" i="151" s="1"/>
  <c r="AV89" i="151"/>
  <c r="AW89" i="151" s="1" a="1"/>
  <c r="AT68" i="151"/>
  <c r="AU68" i="151" s="1" a="1"/>
  <c r="AV87" i="151"/>
  <c r="AW87" i="151" s="1" a="1"/>
  <c r="AV78" i="151"/>
  <c r="AW78" i="151" s="1" a="1"/>
  <c r="AV72" i="151"/>
  <c r="AW72" i="151" s="1" a="1"/>
  <c r="AV81" i="151"/>
  <c r="AW81" i="151" s="1" a="1"/>
  <c r="AT65" i="151"/>
  <c r="AU65" i="151" s="1" a="1"/>
  <c r="AV11" i="151"/>
  <c r="AW11" i="151" s="1" a="1"/>
  <c r="AV19" i="151"/>
  <c r="AW19" i="151" s="1" a="1"/>
  <c r="AV18" i="151"/>
  <c r="AW18" i="151" s="1" a="1"/>
  <c r="AV80" i="151"/>
  <c r="AW80" i="151" s="1" a="1"/>
  <c r="AV20" i="151"/>
  <c r="AW20" i="151" s="1" a="1"/>
  <c r="AV8" i="151"/>
  <c r="AW8" i="151" s="1" a="1"/>
  <c r="AV86" i="151"/>
  <c r="AW86" i="151" s="1" a="1"/>
  <c r="AV56" i="151"/>
  <c r="AW56" i="151" s="1" a="1"/>
  <c r="AV75" i="151"/>
  <c r="AW75" i="151" s="1" a="1"/>
  <c r="AT93" i="151"/>
  <c r="AU93" i="151" s="1" a="1"/>
  <c r="AU70" i="151"/>
  <c r="AV70" i="151" s="1" a="1"/>
  <c r="AV38" i="151"/>
  <c r="AW38" i="151" s="1" a="1"/>
  <c r="AV7" i="151"/>
  <c r="AW7" i="151" s="1" a="1"/>
  <c r="AT37" i="151"/>
  <c r="AU37" i="151" s="1" a="1"/>
  <c r="AV9" i="151"/>
  <c r="AW9" i="151" s="1" a="1"/>
  <c r="AS14" i="151"/>
  <c r="AT14" i="151" s="1" a="1"/>
  <c r="AV64" i="151"/>
  <c r="AW64" i="151" s="1" a="1"/>
  <c r="AU24" i="151"/>
  <c r="AV24" i="151" s="1" a="1"/>
  <c r="AV82" i="151"/>
  <c r="AW82" i="151" s="1" a="1"/>
  <c r="AR79" i="151" a="1"/>
  <c r="AR66" i="151" a="1"/>
  <c r="AO43" i="151" a="1"/>
  <c r="AN74" i="151" a="1"/>
  <c r="AN99" i="151"/>
  <c r="AN58" i="151" a="1"/>
  <c r="AN58" i="151" s="1"/>
  <c r="AN31" i="151"/>
  <c r="AS10" i="151" a="1"/>
  <c r="AF10" i="140"/>
  <c r="AF9" i="140"/>
  <c r="T8" i="140"/>
  <c r="AR88" i="151"/>
  <c r="AS88" i="151" s="1" a="1"/>
  <c r="AP39" i="151"/>
  <c r="AQ39" i="151" s="1" a="1"/>
  <c r="AS52" i="151" a="1"/>
  <c r="AS52" i="151" s="1"/>
  <c r="AQ22" i="151" a="1"/>
  <c r="AO17" i="151"/>
  <c r="AP17" i="151" s="1" a="1"/>
  <c r="AV21" i="151"/>
  <c r="AW21" i="151" s="1" a="1"/>
  <c r="AP105" i="151"/>
  <c r="AV4" i="151" a="1"/>
  <c r="AV4" i="151" s="1"/>
  <c r="AQ121" i="151"/>
  <c r="AO60" i="151"/>
  <c r="AT30" i="151" a="1"/>
  <c r="AT30" i="151" s="1"/>
  <c r="AU71" i="151"/>
  <c r="AV71" i="151" s="1" a="1"/>
  <c r="AV85" i="151"/>
  <c r="AW85" i="151" s="1" a="1"/>
  <c r="AT92" i="151"/>
  <c r="AU92" i="151" s="1" a="1"/>
  <c r="AQ98" i="151"/>
  <c r="H98" i="151" s="1" a="1"/>
  <c r="H98" i="151" s="1"/>
  <c r="H114" i="151" a="1"/>
  <c r="H114" i="151" s="1"/>
  <c r="AV16" i="151"/>
  <c r="AW16" i="151" s="1" a="1"/>
  <c r="AT111" i="151" a="1"/>
  <c r="AS120" i="151" a="1"/>
  <c r="AT116" i="151" a="1"/>
  <c r="AT119" i="151" a="1"/>
  <c r="AT117" i="151" a="1"/>
  <c r="AT113" i="151" a="1"/>
  <c r="AS114" i="151" a="1"/>
  <c r="AT115" i="151" a="1"/>
  <c r="AT112" i="151" a="1"/>
  <c r="AT118" i="151" a="1"/>
  <c r="AR121" i="151" l="1"/>
  <c r="AT111" i="151"/>
  <c r="AT118" i="151"/>
  <c r="AT116" i="151"/>
  <c r="AS120" i="151"/>
  <c r="AT112" i="151"/>
  <c r="AT115" i="151"/>
  <c r="AS114" i="151"/>
  <c r="AT113" i="151"/>
  <c r="AT117" i="151"/>
  <c r="AT119" i="151"/>
  <c r="AW21" i="151"/>
  <c r="AX21" i="151" s="1" a="1"/>
  <c r="AU41" i="151"/>
  <c r="AV41" i="151" s="1" a="1"/>
  <c r="AW63" i="151"/>
  <c r="AX63" i="151" s="1" a="1"/>
  <c r="AW76" i="151"/>
  <c r="AX76" i="151" s="1" a="1"/>
  <c r="AW84" i="151"/>
  <c r="AX84" i="151" s="1" a="1"/>
  <c r="AW86" i="151"/>
  <c r="AX86" i="151" s="1" a="1"/>
  <c r="AQ39" i="151"/>
  <c r="AR39" i="151" s="1" a="1"/>
  <c r="AW8" i="151"/>
  <c r="AX8" i="151" s="1" a="1"/>
  <c r="AQ59" i="151" a="1"/>
  <c r="AU34" i="151"/>
  <c r="AV34" i="151" s="1" a="1"/>
  <c r="AT14" i="151"/>
  <c r="AU14" i="151" s="1" a="1"/>
  <c r="AW9" i="151"/>
  <c r="AX9" i="151" s="1" a="1"/>
  <c r="AU37" i="151"/>
  <c r="AV37" i="151" s="1" a="1"/>
  <c r="AW19" i="151"/>
  <c r="AX19" i="151" s="1" a="1"/>
  <c r="AW20" i="151"/>
  <c r="AX20" i="151" s="1" a="1"/>
  <c r="AW16" i="151"/>
  <c r="AX16" i="151" s="1" a="1"/>
  <c r="AW82" i="151"/>
  <c r="AX82" i="151" s="1" a="1"/>
  <c r="AS88" i="151"/>
  <c r="AT88" i="151" s="1" a="1"/>
  <c r="AU65" i="151"/>
  <c r="AV65" i="151" s="1" a="1"/>
  <c r="AW72" i="151"/>
  <c r="AX72" i="151" s="1" a="1"/>
  <c r="AU93" i="151"/>
  <c r="AV93" i="151" s="1" a="1"/>
  <c r="AW75" i="151"/>
  <c r="AX75" i="151" s="1" a="1"/>
  <c r="AW56" i="151"/>
  <c r="AX56" i="151" s="1" a="1"/>
  <c r="AW87" i="151"/>
  <c r="AX87" i="151" s="1" a="1"/>
  <c r="AU68" i="151"/>
  <c r="AV68" i="151" s="1" a="1"/>
  <c r="AU92" i="151"/>
  <c r="AV92" i="151" s="1" a="1"/>
  <c r="AW89" i="151"/>
  <c r="AX89" i="151" s="1" a="1"/>
  <c r="AW64" i="151"/>
  <c r="AX64" i="151" s="1" a="1"/>
  <c r="AV71" i="151"/>
  <c r="AW71" i="151" s="1" a="1"/>
  <c r="AW94" i="151"/>
  <c r="AX94" i="151" s="1" a="1"/>
  <c r="AW18" i="151"/>
  <c r="AX18" i="151" s="1" a="1"/>
  <c r="AW7" i="151"/>
  <c r="AX7" i="151" s="1" a="1"/>
  <c r="AW11" i="151"/>
  <c r="AX11" i="151" s="1" a="1"/>
  <c r="AU40" i="151"/>
  <c r="AV40" i="151" s="1" a="1"/>
  <c r="AW38" i="151"/>
  <c r="AX38" i="151" s="1" a="1"/>
  <c r="AW81" i="151"/>
  <c r="AX81" i="151" s="1" a="1"/>
  <c r="AP17" i="151"/>
  <c r="AQ17" i="151" s="1" a="1"/>
  <c r="AV70" i="151"/>
  <c r="AW70" i="151" s="1" a="1"/>
  <c r="AU95" i="151"/>
  <c r="AV95" i="151" s="1" a="1"/>
  <c r="AU30" i="151" a="1"/>
  <c r="AU30" i="151" s="1"/>
  <c r="AO58" i="151" a="1"/>
  <c r="AQ22" i="151"/>
  <c r="H22" i="151" s="1" a="1"/>
  <c r="H22" i="151" s="1"/>
  <c r="AO99" i="151" a="1"/>
  <c r="AN67" i="151" a="1"/>
  <c r="AN74" i="151"/>
  <c r="AR66" i="151"/>
  <c r="AS66" i="151" s="1" a="1"/>
  <c r="AQ105" i="151" a="1"/>
  <c r="AR79" i="151"/>
  <c r="AS79" i="151" s="1" a="1"/>
  <c r="AV24" i="151"/>
  <c r="AW24" i="151" s="1" a="1"/>
  <c r="AV15" i="151"/>
  <c r="AW15" i="151" s="1" a="1"/>
  <c r="AT52" i="151" a="1"/>
  <c r="AT52" i="151" s="1"/>
  <c r="AS10" i="151"/>
  <c r="AW80" i="151"/>
  <c r="AX80" i="151" s="1" a="1"/>
  <c r="AW78" i="151"/>
  <c r="AX78" i="151" s="1" a="1"/>
  <c r="AO31" i="151" a="1"/>
  <c r="AP60" i="151" a="1"/>
  <c r="AP60" i="151" s="1"/>
  <c r="AQ60" i="151" s="1" a="1"/>
  <c r="AR98" i="151" a="1"/>
  <c r="AW4" i="151" a="1"/>
  <c r="AW4" i="151" s="1"/>
  <c r="AO43" i="151"/>
  <c r="AW85" i="151"/>
  <c r="AX85" i="151" s="1" a="1"/>
  <c r="AF8" i="140"/>
  <c r="AU111" i="151" a="1"/>
  <c r="AU117" i="151" a="1"/>
  <c r="AU119" i="151" a="1"/>
  <c r="AU118" i="151" a="1"/>
  <c r="AU116" i="151" a="1"/>
  <c r="AT120" i="151" a="1"/>
  <c r="AU112" i="151" a="1"/>
  <c r="AU115" i="151" a="1"/>
  <c r="AT114" i="151" a="1"/>
  <c r="AU113" i="151" a="1"/>
  <c r="H39" i="151" l="1" a="1"/>
  <c r="H39" i="151" s="1"/>
  <c r="AU113" i="151"/>
  <c r="AT114" i="151"/>
  <c r="AU115" i="151"/>
  <c r="AU112" i="151"/>
  <c r="AT120" i="151"/>
  <c r="AU116" i="151"/>
  <c r="AU118" i="151"/>
  <c r="AU119" i="151"/>
  <c r="AU117" i="151"/>
  <c r="AU111" i="151"/>
  <c r="AX8" i="151"/>
  <c r="AY8" i="151" s="1" a="1"/>
  <c r="AX76" i="151"/>
  <c r="AY76" i="151" s="1" a="1"/>
  <c r="AX80" i="151"/>
  <c r="AY80" i="151" s="1" a="1"/>
  <c r="AX63" i="151"/>
  <c r="AY63" i="151" s="1" a="1"/>
  <c r="AX89" i="151"/>
  <c r="AY89" i="151" s="1" a="1"/>
  <c r="AW70" i="151"/>
  <c r="AX70" i="151" s="1" a="1"/>
  <c r="AV92" i="151"/>
  <c r="AW92" i="151" s="1" a="1"/>
  <c r="AW15" i="151"/>
  <c r="AX15" i="151" s="1" a="1"/>
  <c r="AV37" i="151"/>
  <c r="AW37" i="151" s="1" a="1"/>
  <c r="AX81" i="151"/>
  <c r="AY81" i="151" s="1" a="1"/>
  <c r="AX9" i="151"/>
  <c r="AY9" i="151" s="1" a="1"/>
  <c r="AS79" i="151"/>
  <c r="AT79" i="151" s="1" a="1"/>
  <c r="AT79" i="151" s="1"/>
  <c r="AX56" i="151"/>
  <c r="AY56" i="151" s="1" a="1"/>
  <c r="AX85" i="151"/>
  <c r="AY85" i="151" s="1" a="1"/>
  <c r="AV34" i="151"/>
  <c r="AW34" i="151" s="1" a="1"/>
  <c r="AV40" i="151"/>
  <c r="AW40" i="151" s="1" a="1"/>
  <c r="AS66" i="151"/>
  <c r="AT66" i="151" s="1" a="1"/>
  <c r="AX7" i="151"/>
  <c r="AY7" i="151" s="1" a="1"/>
  <c r="AX72" i="151"/>
  <c r="AY72" i="151" s="1" a="1"/>
  <c r="AX18" i="151"/>
  <c r="AY18" i="151" s="1" a="1"/>
  <c r="AV65" i="151"/>
  <c r="AW65" i="151" s="1" a="1"/>
  <c r="AX16" i="151"/>
  <c r="AY16" i="151" s="1" a="1"/>
  <c r="AX20" i="151"/>
  <c r="AY20" i="151" s="1" a="1"/>
  <c r="AV95" i="151"/>
  <c r="AW95" i="151" s="1" a="1"/>
  <c r="AV41" i="151"/>
  <c r="AW41" i="151" s="1" a="1"/>
  <c r="AX21" i="151"/>
  <c r="AY21" i="151" s="1" a="1"/>
  <c r="AQ17" i="151"/>
  <c r="H17" i="151" s="1" a="1"/>
  <c r="H17" i="151" s="1"/>
  <c r="AW24" i="151"/>
  <c r="AX24" i="151" s="1" a="1"/>
  <c r="AX87" i="151"/>
  <c r="AY87" i="151" s="1" a="1"/>
  <c r="AU14" i="151"/>
  <c r="AV14" i="151" s="1" a="1"/>
  <c r="AX75" i="151"/>
  <c r="AY75" i="151" s="1" a="1"/>
  <c r="AX11" i="151"/>
  <c r="AY11" i="151" s="1" a="1"/>
  <c r="AR39" i="151"/>
  <c r="AS39" i="151" s="1" a="1"/>
  <c r="AX94" i="151"/>
  <c r="AY94" i="151" s="1" a="1"/>
  <c r="AT88" i="151"/>
  <c r="AU88" i="151" s="1" a="1"/>
  <c r="AV68" i="151"/>
  <c r="AW68" i="151" s="1" a="1"/>
  <c r="AW71" i="151"/>
  <c r="AX71" i="151" s="1" a="1"/>
  <c r="AX82" i="151"/>
  <c r="AY82" i="151" s="1" a="1"/>
  <c r="AX84" i="151"/>
  <c r="AY84" i="151" s="1" a="1"/>
  <c r="AP43" i="151" a="1"/>
  <c r="AO74" i="151" a="1"/>
  <c r="AU52" i="151" a="1"/>
  <c r="AU52" i="151" s="1"/>
  <c r="AX4" i="151" a="1"/>
  <c r="AX4" i="151" s="1"/>
  <c r="AQ60" i="151"/>
  <c r="H60" i="151" s="1" a="1"/>
  <c r="AR22" i="151" a="1"/>
  <c r="AX38" i="151"/>
  <c r="AY38" i="151" s="1" a="1"/>
  <c r="AX64" i="151"/>
  <c r="AY64" i="151" s="1" a="1"/>
  <c r="AV93" i="151"/>
  <c r="AW93" i="151" s="1" a="1"/>
  <c r="AX19" i="151"/>
  <c r="AY19" i="151" s="1" a="1"/>
  <c r="AQ59" i="151"/>
  <c r="H59" i="151" s="1" a="1"/>
  <c r="H59" i="151" s="1"/>
  <c r="AO31" i="151"/>
  <c r="AX78" i="151"/>
  <c r="AY78" i="151" s="1" a="1"/>
  <c r="AX86" i="151"/>
  <c r="AY86" i="151" s="1" a="1"/>
  <c r="AV30" i="151" a="1"/>
  <c r="AV30" i="151" s="1"/>
  <c r="AT10" i="151" a="1"/>
  <c r="AS121" i="151"/>
  <c r="AN103" i="151" a="1"/>
  <c r="AN67" i="151"/>
  <c r="AR98" i="151"/>
  <c r="AS98" i="151" s="1" a="1"/>
  <c r="AO99" i="151"/>
  <c r="AQ105" i="151"/>
  <c r="H105" i="151" s="1" a="1"/>
  <c r="H105" i="151" s="1"/>
  <c r="AO58" i="151"/>
  <c r="AV113" i="151" a="1"/>
  <c r="AU120" i="151" a="1"/>
  <c r="AV119" i="151" a="1"/>
  <c r="AV117" i="151" a="1"/>
  <c r="AV115" i="151" a="1"/>
  <c r="AV112" i="151" a="1"/>
  <c r="AV116" i="151" a="1"/>
  <c r="AV118" i="151" a="1"/>
  <c r="AU114" i="151" a="1"/>
  <c r="AV111" i="151" a="1"/>
  <c r="AT121" i="151" l="1"/>
  <c r="AU114" i="151"/>
  <c r="AV118" i="151"/>
  <c r="AV116" i="151"/>
  <c r="AV112" i="151"/>
  <c r="AV115" i="151"/>
  <c r="AV117" i="151"/>
  <c r="AV119" i="151"/>
  <c r="AU120" i="151"/>
  <c r="AV111" i="151"/>
  <c r="AV113" i="151"/>
  <c r="AY78" i="151"/>
  <c r="AZ78" i="151" s="1" a="1"/>
  <c r="AW95" i="151"/>
  <c r="AX95" i="151" s="1" a="1"/>
  <c r="AY64" i="151"/>
  <c r="AZ64" i="151" s="1" a="1"/>
  <c r="AY76" i="151"/>
  <c r="AZ76" i="151" s="1" a="1"/>
  <c r="AY38" i="151"/>
  <c r="AZ38" i="151" s="1" a="1"/>
  <c r="AY11" i="151"/>
  <c r="AZ11" i="151" s="1" a="1"/>
  <c r="AW37" i="151"/>
  <c r="AX37" i="151" s="1" a="1"/>
  <c r="AX15" i="151"/>
  <c r="AY15" i="151" s="1" a="1"/>
  <c r="AY7" i="151"/>
  <c r="AZ7" i="151" s="1" a="1"/>
  <c r="AT66" i="151"/>
  <c r="AU66" i="151" s="1" a="1"/>
  <c r="AW40" i="151"/>
  <c r="AX40" i="151" s="1" a="1"/>
  <c r="AW41" i="151"/>
  <c r="AX41" i="151" s="1" a="1"/>
  <c r="AS98" i="151"/>
  <c r="AT98" i="151" s="1" a="1"/>
  <c r="AY94" i="151"/>
  <c r="AZ94" i="151" s="1" a="1"/>
  <c r="AY20" i="151"/>
  <c r="AZ20" i="151" s="1" a="1"/>
  <c r="AY16" i="151"/>
  <c r="AZ16" i="151" s="1" a="1"/>
  <c r="AY9" i="151"/>
  <c r="AZ9" i="151" s="1" a="1"/>
  <c r="AY81" i="151"/>
  <c r="AZ81" i="151" s="1" a="1"/>
  <c r="AY75" i="151"/>
  <c r="AZ75" i="151" s="1" a="1"/>
  <c r="AY18" i="151"/>
  <c r="AZ18" i="151" s="1" a="1"/>
  <c r="AV14" i="151"/>
  <c r="AW14" i="151" s="1" a="1"/>
  <c r="AY86" i="151"/>
  <c r="AZ86" i="151" s="1" a="1"/>
  <c r="AY87" i="151"/>
  <c r="AZ87" i="151" s="1" a="1"/>
  <c r="AY84" i="151"/>
  <c r="AZ84" i="151" s="1" a="1"/>
  <c r="AY82" i="151"/>
  <c r="AZ82" i="151" s="1" a="1"/>
  <c r="AX71" i="151"/>
  <c r="AY71" i="151" s="1" a="1"/>
  <c r="AW34" i="151"/>
  <c r="AX34" i="151" s="1" a="1"/>
  <c r="AY56" i="151"/>
  <c r="AZ56" i="151" s="1" a="1"/>
  <c r="AY8" i="151"/>
  <c r="AZ8" i="151" s="1" a="1"/>
  <c r="AX70" i="151"/>
  <c r="AY70" i="151" s="1" a="1"/>
  <c r="AY19" i="151"/>
  <c r="AZ19" i="151" s="1" a="1"/>
  <c r="AW68" i="151"/>
  <c r="AX68" i="151" s="1" a="1"/>
  <c r="AY63" i="151"/>
  <c r="AZ63" i="151" s="1" a="1"/>
  <c r="AY80" i="151"/>
  <c r="AZ80" i="151" s="1" a="1"/>
  <c r="AN44" i="151" a="1"/>
  <c r="AN103" i="151"/>
  <c r="AR59" i="151" a="1"/>
  <c r="AY21" i="151"/>
  <c r="AZ21" i="151" s="1" a="1"/>
  <c r="AY72" i="151"/>
  <c r="AZ72" i="151" s="1" a="1"/>
  <c r="AY89" i="151"/>
  <c r="AZ89" i="151" s="1" a="1"/>
  <c r="AR22" i="151"/>
  <c r="AP99" i="151" a="1"/>
  <c r="AR60" i="151" a="1"/>
  <c r="AV52" i="151" a="1"/>
  <c r="AV52" i="151" s="1"/>
  <c r="AU88" i="151"/>
  <c r="AV88" i="151" s="1" a="1"/>
  <c r="AX24" i="151"/>
  <c r="AY24" i="151" s="1" a="1"/>
  <c r="AW65" i="151"/>
  <c r="AX65" i="151" s="1" a="1"/>
  <c r="AY85" i="151"/>
  <c r="AZ85" i="151" s="1" a="1"/>
  <c r="AW92" i="151"/>
  <c r="AX92" i="151" s="1" a="1"/>
  <c r="AT10" i="151"/>
  <c r="AO74" i="151"/>
  <c r="AP74" i="151" s="1" a="1"/>
  <c r="AR17" i="151" a="1"/>
  <c r="AW30" i="151" a="1"/>
  <c r="AW30" i="151" s="1"/>
  <c r="AS39" i="151"/>
  <c r="AT39" i="151" s="1" a="1"/>
  <c r="AP58" i="151" a="1"/>
  <c r="AR105" i="151" a="1"/>
  <c r="AU79" i="151" a="1"/>
  <c r="H60" i="151"/>
  <c r="AP31" i="151" a="1"/>
  <c r="AO67" i="151" a="1"/>
  <c r="AY4" i="151" a="1"/>
  <c r="AY4" i="151" s="1"/>
  <c r="AW93" i="151"/>
  <c r="AX93" i="151" s="1" a="1"/>
  <c r="AP43" i="151"/>
  <c r="AQ43" i="151" s="1" a="1"/>
  <c r="AV114" i="151" a="1"/>
  <c r="AW116" i="151" a="1"/>
  <c r="AW117" i="151" a="1"/>
  <c r="AW119" i="151" a="1"/>
  <c r="AW118" i="151" a="1"/>
  <c r="AW111" i="151" a="1"/>
  <c r="AW113" i="151" a="1"/>
  <c r="AW112" i="151" a="1"/>
  <c r="AW115" i="151" a="1"/>
  <c r="AV120" i="151" a="1"/>
  <c r="AU121" i="151" l="1"/>
  <c r="AV120" i="151"/>
  <c r="AW119" i="151"/>
  <c r="AW117" i="151"/>
  <c r="AW115" i="151"/>
  <c r="AW112" i="151"/>
  <c r="AW113" i="151"/>
  <c r="AW111" i="151"/>
  <c r="AW118" i="151"/>
  <c r="AW116" i="151"/>
  <c r="AV114" i="151"/>
  <c r="AP74" i="151"/>
  <c r="AQ74" i="151" s="1" a="1"/>
  <c r="AX34" i="151"/>
  <c r="AY34" i="151" s="1" a="1"/>
  <c r="AZ76" i="151"/>
  <c r="BA76" i="151" s="1" a="1"/>
  <c r="AZ64" i="151"/>
  <c r="BA64" i="151" s="1" a="1"/>
  <c r="AZ85" i="151"/>
  <c r="BA85" i="151" s="1" a="1"/>
  <c r="AZ78" i="151"/>
  <c r="BA78" i="151" s="1" a="1"/>
  <c r="AZ84" i="151"/>
  <c r="BA84" i="151" s="1" a="1"/>
  <c r="AZ80" i="151"/>
  <c r="BA80" i="151" s="1" a="1"/>
  <c r="AV88" i="151"/>
  <c r="AW88" i="151" s="1" a="1"/>
  <c r="AT98" i="151"/>
  <c r="AU98" i="151" s="1" a="1"/>
  <c r="AZ7" i="151"/>
  <c r="BA7" i="151" s="1" a="1"/>
  <c r="AY15" i="151"/>
  <c r="AZ15" i="151" s="1" a="1"/>
  <c r="AY70" i="151"/>
  <c r="AZ70" i="151" s="1" a="1"/>
  <c r="AZ81" i="151"/>
  <c r="BA81" i="151" s="1" a="1"/>
  <c r="AZ11" i="151"/>
  <c r="BA11" i="151" s="1" a="1"/>
  <c r="AZ8" i="151"/>
  <c r="BA8" i="151" s="1" a="1"/>
  <c r="AZ9" i="151"/>
  <c r="BA9" i="151" s="1" a="1"/>
  <c r="AZ21" i="151"/>
  <c r="BA21" i="151" s="1" a="1"/>
  <c r="AZ20" i="151"/>
  <c r="BA20" i="151" s="1" a="1"/>
  <c r="AZ94" i="151"/>
  <c r="BA94" i="151" s="1" a="1"/>
  <c r="AX92" i="151"/>
  <c r="AY92" i="151" s="1" a="1"/>
  <c r="AX95" i="151"/>
  <c r="AY95" i="151" s="1" a="1"/>
  <c r="AZ82" i="151"/>
  <c r="BA82" i="151" s="1" a="1"/>
  <c r="AX65" i="151"/>
  <c r="AY65" i="151" s="1" a="1"/>
  <c r="AY24" i="151"/>
  <c r="AZ24" i="151" s="1" a="1"/>
  <c r="AZ87" i="151"/>
  <c r="BA87" i="151" s="1" a="1"/>
  <c r="AX40" i="151"/>
  <c r="AY40" i="151" s="1" a="1"/>
  <c r="AZ86" i="151"/>
  <c r="BA86" i="151" s="1" a="1"/>
  <c r="AU66" i="151"/>
  <c r="AV66" i="151" s="1" a="1"/>
  <c r="AW14" i="151"/>
  <c r="AX14" i="151" s="1" a="1"/>
  <c r="AX68" i="151"/>
  <c r="AY68" i="151" s="1" a="1"/>
  <c r="AZ18" i="151"/>
  <c r="BA18" i="151" s="1" a="1"/>
  <c r="AT39" i="151"/>
  <c r="AU39" i="151" s="1" a="1"/>
  <c r="AZ72" i="151"/>
  <c r="BA72" i="151" s="1" a="1"/>
  <c r="AZ56" i="151"/>
  <c r="BA56" i="151" s="1" a="1"/>
  <c r="AZ16" i="151"/>
  <c r="BA16" i="151" s="1" a="1"/>
  <c r="AQ43" i="151"/>
  <c r="H43" i="151" s="1" a="1"/>
  <c r="H43" i="151" s="1"/>
  <c r="AZ19" i="151"/>
  <c r="BA19" i="151" s="1" a="1"/>
  <c r="AZ89" i="151"/>
  <c r="BA89" i="151" s="1" a="1"/>
  <c r="AY71" i="151"/>
  <c r="AZ71" i="151" s="1" a="1"/>
  <c r="AX30" i="151" a="1"/>
  <c r="AX30" i="151" s="1"/>
  <c r="AR17" i="151"/>
  <c r="AS17" i="151" s="1" a="1"/>
  <c r="AR60" i="151"/>
  <c r="AS60" i="151" s="1" a="1"/>
  <c r="AP99" i="151"/>
  <c r="AO103" i="151" a="1"/>
  <c r="AZ75" i="151"/>
  <c r="BA75" i="151" s="1" a="1"/>
  <c r="AX93" i="151"/>
  <c r="AY93" i="151" s="1" a="1"/>
  <c r="AZ4" i="151" a="1"/>
  <c r="AZ4" i="151" s="1"/>
  <c r="AW52" i="151" a="1"/>
  <c r="AW52" i="151" s="1"/>
  <c r="AX37" i="151"/>
  <c r="AY37" i="151" s="1" a="1"/>
  <c r="AP58" i="151"/>
  <c r="AZ63" i="151"/>
  <c r="BA63" i="151" s="1" a="1"/>
  <c r="AX41" i="151"/>
  <c r="AY41" i="151" s="1" a="1"/>
  <c r="AZ38" i="151"/>
  <c r="BA38" i="151" s="1" a="1"/>
  <c r="AO67" i="151"/>
  <c r="AP67" i="151" s="1" a="1"/>
  <c r="AP31" i="151"/>
  <c r="AR59" i="151"/>
  <c r="AS59" i="151" s="1" a="1"/>
  <c r="AU10" i="151" a="1"/>
  <c r="AN100" i="151" a="1"/>
  <c r="AN44" i="151"/>
  <c r="AS22" i="151" a="1"/>
  <c r="AU79" i="151"/>
  <c r="AV79" i="151" s="1" a="1"/>
  <c r="AR105" i="151"/>
  <c r="AS105" i="151" s="1" a="1"/>
  <c r="AW120" i="151" a="1"/>
  <c r="AX118" i="151" a="1"/>
  <c r="AX116" i="151" a="1"/>
  <c r="AX115" i="151" a="1"/>
  <c r="AX119" i="151" a="1"/>
  <c r="AX117" i="151" a="1"/>
  <c r="AW114" i="151" a="1"/>
  <c r="AX112" i="151" a="1"/>
  <c r="AX111" i="151" a="1"/>
  <c r="AX113" i="151" a="1"/>
  <c r="AX111" i="151" l="1"/>
  <c r="AX113" i="151"/>
  <c r="AX112" i="151"/>
  <c r="AW114" i="151"/>
  <c r="AX117" i="151"/>
  <c r="AX119" i="151"/>
  <c r="AX115" i="151"/>
  <c r="AX116" i="151"/>
  <c r="AX118" i="151"/>
  <c r="AW120" i="151"/>
  <c r="AY40" i="151"/>
  <c r="AZ40" i="151" s="1" a="1"/>
  <c r="BA64" i="151"/>
  <c r="BB64" i="151" s="1" a="1"/>
  <c r="BA76" i="151"/>
  <c r="BB76" i="151" s="1" a="1"/>
  <c r="BA19" i="151"/>
  <c r="BB19" i="151" s="1" a="1"/>
  <c r="AZ70" i="151"/>
  <c r="BA70" i="151" s="1" a="1"/>
  <c r="AV79" i="151"/>
  <c r="AW79" i="151" s="1" a="1"/>
  <c r="AZ24" i="151"/>
  <c r="BA24" i="151" s="1" a="1"/>
  <c r="AY65" i="151"/>
  <c r="AZ65" i="151" s="1" a="1"/>
  <c r="BA82" i="151"/>
  <c r="BB82" i="151" s="1" a="1"/>
  <c r="AY93" i="151"/>
  <c r="AZ93" i="151" s="1" a="1"/>
  <c r="BA75" i="151"/>
  <c r="BB75" i="151" s="1" a="1"/>
  <c r="AS59" i="151"/>
  <c r="AT59" i="151" s="1" a="1"/>
  <c r="AW88" i="151"/>
  <c r="AX88" i="151" s="1" a="1"/>
  <c r="AP67" i="151"/>
  <c r="AQ67" i="151" s="1" a="1"/>
  <c r="AS60" i="151"/>
  <c r="AT60" i="151" s="1" a="1"/>
  <c r="AY68" i="151"/>
  <c r="AZ68" i="151" s="1" a="1"/>
  <c r="BA84" i="151"/>
  <c r="BB84" i="151" s="1" a="1"/>
  <c r="AS17" i="151"/>
  <c r="AT17" i="151" s="1" a="1"/>
  <c r="BA81" i="151"/>
  <c r="BB81" i="151" s="1" a="1"/>
  <c r="AY34" i="151"/>
  <c r="AZ34" i="151" s="1" a="1"/>
  <c r="BA16" i="151"/>
  <c r="BB16" i="151" s="1" a="1"/>
  <c r="AY95" i="151"/>
  <c r="AZ95" i="151" s="1" a="1"/>
  <c r="BA80" i="151"/>
  <c r="BB80" i="151" s="1" a="1"/>
  <c r="BA9" i="151"/>
  <c r="BB9" i="151" s="1" a="1"/>
  <c r="BA63" i="151"/>
  <c r="BB63" i="151" s="1" a="1"/>
  <c r="BA11" i="151"/>
  <c r="BB11" i="151" s="1" a="1"/>
  <c r="BA89" i="151"/>
  <c r="BB89" i="151" s="1" a="1"/>
  <c r="AS105" i="151"/>
  <c r="AT105" i="151" s="1" a="1"/>
  <c r="AQ74" i="151"/>
  <c r="H74" i="151" s="1" a="1"/>
  <c r="H74" i="151" s="1"/>
  <c r="BA56" i="151"/>
  <c r="BB56" i="151" s="1" a="1"/>
  <c r="BA7" i="151"/>
  <c r="BB7" i="151" s="1" a="1"/>
  <c r="BA72" i="151"/>
  <c r="BB72" i="151" s="1" a="1"/>
  <c r="AY92" i="151"/>
  <c r="AZ92" i="151" s="1" a="1"/>
  <c r="BA94" i="151"/>
  <c r="BB94" i="151" s="1" a="1"/>
  <c r="BA18" i="151"/>
  <c r="BB18" i="151" s="1" a="1"/>
  <c r="BA38" i="151"/>
  <c r="BB38" i="151" s="1" a="1"/>
  <c r="AX14" i="151"/>
  <c r="AY14" i="151" s="1" a="1"/>
  <c r="BA21" i="151"/>
  <c r="BB21" i="151" s="1" a="1"/>
  <c r="BA78" i="151"/>
  <c r="BB78" i="151" s="1" a="1"/>
  <c r="AV66" i="151"/>
  <c r="AW66" i="151" s="1" a="1"/>
  <c r="BA86" i="151"/>
  <c r="BB86" i="151" s="1" a="1"/>
  <c r="BA8" i="151"/>
  <c r="BB8" i="151" s="1" a="1"/>
  <c r="AZ71" i="151"/>
  <c r="BA71" i="151" s="1" a="1"/>
  <c r="BA87" i="151"/>
  <c r="BB87" i="151" s="1" a="1"/>
  <c r="AO103" i="151"/>
  <c r="AR43" i="151" a="1"/>
  <c r="AX52" i="151" a="1"/>
  <c r="AX52" i="151" s="1"/>
  <c r="BA20" i="151"/>
  <c r="BB20" i="151" s="1" a="1"/>
  <c r="AU98" i="151"/>
  <c r="AV98" i="151" s="1" a="1"/>
  <c r="AS22" i="151"/>
  <c r="AZ15" i="151"/>
  <c r="BA15" i="151" s="1" a="1"/>
  <c r="AO44" i="151" a="1"/>
  <c r="AN47" i="151"/>
  <c r="AU10" i="151"/>
  <c r="AY37" i="151"/>
  <c r="AZ37" i="151" s="1" a="1"/>
  <c r="AQ31" i="151" a="1"/>
  <c r="AY41" i="151"/>
  <c r="AZ41" i="151" s="1" a="1"/>
  <c r="AU39" i="151"/>
  <c r="AV39" i="151" s="1" a="1"/>
  <c r="BA85" i="151"/>
  <c r="BB85" i="151" s="1" a="1"/>
  <c r="AN100" i="151"/>
  <c r="AO100" i="151" s="1" a="1"/>
  <c r="AQ58" i="151" a="1"/>
  <c r="AQ99" i="151" a="1"/>
  <c r="BA4" i="151" a="1"/>
  <c r="BA4" i="151" s="1"/>
  <c r="AY30" i="151" a="1"/>
  <c r="AY30" i="151" s="1"/>
  <c r="AV121" i="151"/>
  <c r="AY116" i="151" a="1"/>
  <c r="AY111" i="151" a="1"/>
  <c r="AY118" i="151" a="1"/>
  <c r="AX114" i="151" a="1"/>
  <c r="AY117" i="151" a="1"/>
  <c r="AY115" i="151" a="1"/>
  <c r="AY113" i="151" a="1"/>
  <c r="AX120" i="151" a="1"/>
  <c r="AY112" i="151" a="1"/>
  <c r="AY119" i="151" a="1"/>
  <c r="AW121" i="151" l="1"/>
  <c r="AY116" i="151"/>
  <c r="AY119" i="151"/>
  <c r="AY112" i="151"/>
  <c r="AX120" i="151"/>
  <c r="AY113" i="151"/>
  <c r="AY115" i="151"/>
  <c r="AY117" i="151"/>
  <c r="AX114" i="151"/>
  <c r="AY118" i="151"/>
  <c r="AY111" i="151"/>
  <c r="AZ68" i="151"/>
  <c r="BA68" i="151" s="1" a="1"/>
  <c r="BB78" i="151"/>
  <c r="BC78" i="151" s="1" a="1"/>
  <c r="BA15" i="151"/>
  <c r="BB15" i="151" s="1" a="1"/>
  <c r="BB64" i="151"/>
  <c r="BC64" i="151" s="1" a="1"/>
  <c r="AX88" i="151"/>
  <c r="AY88" i="151" s="1" a="1"/>
  <c r="AV98" i="151"/>
  <c r="AW98" i="151" s="1" a="1"/>
  <c r="BB9" i="151"/>
  <c r="BC9" i="151" s="1" a="1"/>
  <c r="BB80" i="151"/>
  <c r="BC80" i="151" s="1" a="1"/>
  <c r="AZ95" i="151"/>
  <c r="BA95" i="151" s="1" a="1"/>
  <c r="AZ93" i="151"/>
  <c r="BA93" i="151" s="1" a="1"/>
  <c r="BA71" i="151"/>
  <c r="BB71" i="151" s="1" a="1"/>
  <c r="BB7" i="151"/>
  <c r="BC7" i="151" s="1" a="1"/>
  <c r="BA24" i="151"/>
  <c r="BB24" i="151" s="1" a="1"/>
  <c r="AQ67" i="151"/>
  <c r="H67" i="151" s="1" a="1"/>
  <c r="H67" i="151" s="1"/>
  <c r="BB8" i="151"/>
  <c r="BC8" i="151" s="1" a="1"/>
  <c r="AT60" i="151"/>
  <c r="AU60" i="151" s="1" a="1"/>
  <c r="BB63" i="151"/>
  <c r="BC63" i="151" s="1" a="1"/>
  <c r="BB20" i="151"/>
  <c r="BC20" i="151" s="1" a="1"/>
  <c r="BB16" i="151"/>
  <c r="BC16" i="151" s="1" a="1"/>
  <c r="BB89" i="151"/>
  <c r="BC89" i="151" s="1" a="1"/>
  <c r="BB19" i="151"/>
  <c r="BC19" i="151" s="1" a="1"/>
  <c r="BB76" i="151"/>
  <c r="BC76" i="151" s="1" a="1"/>
  <c r="BB21" i="151"/>
  <c r="BC21" i="151" s="1" a="1"/>
  <c r="AY14" i="151"/>
  <c r="AZ14" i="151" s="1" a="1"/>
  <c r="AZ40" i="151"/>
  <c r="BA40" i="151" s="1" a="1"/>
  <c r="BB38" i="151"/>
  <c r="BC38" i="151" s="1" a="1"/>
  <c r="BB18" i="151"/>
  <c r="BC18" i="151" s="1" a="1"/>
  <c r="BB94" i="151"/>
  <c r="BC94" i="151" s="1" a="1"/>
  <c r="BB75" i="151"/>
  <c r="BC75" i="151" s="1" a="1"/>
  <c r="BB85" i="151"/>
  <c r="BC85" i="151" s="1" a="1"/>
  <c r="AV39" i="151"/>
  <c r="AW39" i="151" s="1" a="1"/>
  <c r="AZ34" i="151"/>
  <c r="BA34" i="151" s="1" a="1"/>
  <c r="BB82" i="151"/>
  <c r="BC82" i="151" s="1" a="1"/>
  <c r="AZ41" i="151"/>
  <c r="BA41" i="151" s="1" a="1"/>
  <c r="BB87" i="151"/>
  <c r="BC87" i="151" s="1" a="1"/>
  <c r="BB72" i="151"/>
  <c r="BC72" i="151" s="1" a="1"/>
  <c r="AZ65" i="151"/>
  <c r="BA65" i="151" s="1" a="1"/>
  <c r="AZ37" i="151"/>
  <c r="BA37" i="151" s="1" a="1"/>
  <c r="BB56" i="151"/>
  <c r="BC56" i="151" s="1" a="1"/>
  <c r="AT17" i="151"/>
  <c r="AU17" i="151" s="1" a="1"/>
  <c r="AW79" i="151"/>
  <c r="AX79" i="151" s="1" a="1"/>
  <c r="BB86" i="151"/>
  <c r="BC86" i="151" s="1" a="1"/>
  <c r="AT105" i="151"/>
  <c r="AU105" i="151" s="1" a="1"/>
  <c r="AZ92" i="151"/>
  <c r="BA92" i="151" s="1" a="1"/>
  <c r="AP103" i="151" a="1"/>
  <c r="AQ31" i="151"/>
  <c r="AR74" i="151" a="1"/>
  <c r="AT59" i="151"/>
  <c r="AU59" i="151" s="1" a="1"/>
  <c r="BB84" i="151"/>
  <c r="BC84" i="151" s="1" a="1"/>
  <c r="AW66" i="151"/>
  <c r="AX66" i="151" s="1" a="1"/>
  <c r="BB11" i="151"/>
  <c r="BC11" i="151" s="1" a="1"/>
  <c r="BA70" i="151"/>
  <c r="BB70" i="151" s="1" a="1"/>
  <c r="AO44" i="151"/>
  <c r="AP44" i="151" s="1" a="1"/>
  <c r="AZ30" i="151" a="1"/>
  <c r="AZ30" i="151" s="1"/>
  <c r="BB4" i="151" a="1"/>
  <c r="BB4" i="151" s="1"/>
  <c r="AT22" i="151" a="1"/>
  <c r="AQ99" i="151"/>
  <c r="H99" i="151" s="1" a="1"/>
  <c r="H99" i="151" s="1"/>
  <c r="AQ58" i="151"/>
  <c r="AR58" i="151" s="1" a="1"/>
  <c r="AV10" i="151" a="1"/>
  <c r="AR43" i="151"/>
  <c r="AS43" i="151" s="1" a="1"/>
  <c r="BB81" i="151"/>
  <c r="BC81" i="151" s="1" a="1"/>
  <c r="AO100" i="151"/>
  <c r="AP100" i="151" s="1" a="1"/>
  <c r="AY52" i="151" a="1"/>
  <c r="AY52" i="151" s="1"/>
  <c r="AZ116" i="151" a="1"/>
  <c r="AY114" i="151" a="1"/>
  <c r="AY120" i="151" a="1"/>
  <c r="AZ113" i="151" a="1"/>
  <c r="AZ115" i="151" a="1"/>
  <c r="AZ118" i="151" a="1"/>
  <c r="AZ119" i="151" a="1"/>
  <c r="AZ111" i="151" a="1"/>
  <c r="AZ112" i="151" a="1"/>
  <c r="AZ117" i="151" a="1"/>
  <c r="AX121" i="151" l="1"/>
  <c r="AZ117" i="151"/>
  <c r="AZ112" i="151"/>
  <c r="AZ111" i="151"/>
  <c r="AZ119" i="151"/>
  <c r="AZ118" i="151"/>
  <c r="AZ115" i="151"/>
  <c r="AZ113" i="151"/>
  <c r="AY120" i="151"/>
  <c r="AY114" i="151"/>
  <c r="AY121" i="151" s="1"/>
  <c r="AZ116" i="151"/>
  <c r="BC11" i="151"/>
  <c r="BD11" i="151" s="1" a="1"/>
  <c r="BD11" i="151" s="1"/>
  <c r="AP100" i="151"/>
  <c r="BC8" i="151"/>
  <c r="BD8" i="151" s="1" a="1"/>
  <c r="BD8" i="151" s="1"/>
  <c r="BC81" i="151"/>
  <c r="BD81" i="151" s="1" a="1"/>
  <c r="BD81" i="151" s="1"/>
  <c r="BA65" i="151"/>
  <c r="BB65" i="151" s="1" a="1"/>
  <c r="BB24" i="151"/>
  <c r="BC24" i="151" s="1" a="1"/>
  <c r="BC87" i="151"/>
  <c r="BD87" i="151" s="1" a="1"/>
  <c r="BD87" i="151" s="1"/>
  <c r="BC21" i="151"/>
  <c r="BD21" i="151" s="1" a="1"/>
  <c r="BD21" i="151" s="1"/>
  <c r="BC76" i="151"/>
  <c r="BD76" i="151" s="1" a="1"/>
  <c r="BD76" i="151" s="1"/>
  <c r="BC19" i="151"/>
  <c r="BD19" i="151" s="1" a="1"/>
  <c r="BD19" i="151" s="1"/>
  <c r="BA34" i="151"/>
  <c r="BB34" i="151" s="1" a="1"/>
  <c r="BA95" i="151"/>
  <c r="BB95" i="151" s="1" a="1"/>
  <c r="BC80" i="151"/>
  <c r="BD80" i="151" s="1" a="1"/>
  <c r="BD80" i="151" s="1"/>
  <c r="BC86" i="151"/>
  <c r="BD86" i="151" s="1" a="1"/>
  <c r="BD86" i="151" s="1"/>
  <c r="BC85" i="151"/>
  <c r="BD85" i="151" s="1" a="1"/>
  <c r="BD85" i="151" s="1"/>
  <c r="BC9" i="151"/>
  <c r="BD9" i="151" s="1" a="1"/>
  <c r="BD9" i="151" s="1"/>
  <c r="BC56" i="151"/>
  <c r="BD56" i="151" s="1" a="1"/>
  <c r="BD56" i="151" s="1"/>
  <c r="BC20" i="151"/>
  <c r="BD20" i="151" s="1" a="1"/>
  <c r="BD20" i="151" s="1"/>
  <c r="AX66" i="151"/>
  <c r="AY66" i="151" s="1" a="1"/>
  <c r="BC78" i="151"/>
  <c r="BD78" i="151" s="1" a="1"/>
  <c r="BD78" i="151" s="1"/>
  <c r="AZ14" i="151"/>
  <c r="BA14" i="151" s="1" a="1"/>
  <c r="BA93" i="151"/>
  <c r="BB93" i="151" s="1" a="1"/>
  <c r="AW39" i="151"/>
  <c r="AX39" i="151" s="1" a="1"/>
  <c r="BC63" i="151"/>
  <c r="BD63" i="151" s="1" a="1"/>
  <c r="BD63" i="151" s="1"/>
  <c r="BC64" i="151"/>
  <c r="BD64" i="151" s="1" a="1"/>
  <c r="BD64" i="151" s="1"/>
  <c r="BA37" i="151"/>
  <c r="BB37" i="151" s="1" a="1"/>
  <c r="BB15" i="151"/>
  <c r="BC15" i="151" s="1" a="1"/>
  <c r="BC84" i="151"/>
  <c r="BD84" i="151" s="1" a="1"/>
  <c r="BD84" i="151" s="1"/>
  <c r="BC72" i="151"/>
  <c r="BD72" i="151" s="1" a="1"/>
  <c r="BD72" i="151" s="1"/>
  <c r="BA68" i="151"/>
  <c r="BB68" i="151" s="1" a="1"/>
  <c r="BA41" i="151"/>
  <c r="BB41" i="151" s="1" a="1"/>
  <c r="BB71" i="151"/>
  <c r="BC71" i="151" s="1" a="1"/>
  <c r="AR58" i="151"/>
  <c r="AS58" i="151" s="1" a="1"/>
  <c r="BA92" i="151"/>
  <c r="BB92" i="151" s="1" a="1"/>
  <c r="BC89" i="151"/>
  <c r="BD89" i="151" s="1" a="1"/>
  <c r="BD89" i="151" s="1"/>
  <c r="AU105" i="151"/>
  <c r="AV105" i="151" s="1" a="1"/>
  <c r="AX79" i="151"/>
  <c r="AY79" i="151" s="1" a="1"/>
  <c r="BC75" i="151"/>
  <c r="BD75" i="151" s="1" a="1"/>
  <c r="BD75" i="151" s="1"/>
  <c r="AW98" i="151"/>
  <c r="AX98" i="151" s="1" a="1"/>
  <c r="AP44" i="151"/>
  <c r="AP47" i="151" s="1"/>
  <c r="BC94" i="151"/>
  <c r="BD94" i="151" s="1" a="1"/>
  <c r="BD94" i="151" s="1"/>
  <c r="BB70" i="151"/>
  <c r="BC70" i="151" s="1" a="1"/>
  <c r="BC18" i="151"/>
  <c r="BD18" i="151" s="1" a="1"/>
  <c r="BD18" i="151" s="1"/>
  <c r="AU17" i="151"/>
  <c r="AV17" i="151" s="1" a="1"/>
  <c r="BC7" i="151"/>
  <c r="BD7" i="151" s="1" a="1"/>
  <c r="BD7" i="151" s="1"/>
  <c r="AP103" i="151"/>
  <c r="AQ103" i="151" s="1" a="1"/>
  <c r="AZ52" i="151" a="1"/>
  <c r="AZ52" i="151" s="1"/>
  <c r="AR99" i="151" a="1"/>
  <c r="AT22" i="151"/>
  <c r="AR67" i="151" a="1"/>
  <c r="BC82" i="151"/>
  <c r="BD82" i="151" s="1" a="1"/>
  <c r="BD82" i="151" s="1"/>
  <c r="BA40" i="151"/>
  <c r="BB40" i="151" s="1" a="1"/>
  <c r="AU60" i="151"/>
  <c r="AV60" i="151" s="1" a="1"/>
  <c r="BC16" i="151"/>
  <c r="BD16" i="151" s="1" a="1"/>
  <c r="BD16" i="151" s="1"/>
  <c r="H58" i="151" a="1"/>
  <c r="H58" i="151" s="1"/>
  <c r="BC4" i="151" a="1"/>
  <c r="BC4" i="151" s="1"/>
  <c r="AS43" i="151"/>
  <c r="AT43" i="151" s="1" a="1"/>
  <c r="AO47" i="151"/>
  <c r="H31" i="151" a="1"/>
  <c r="H31" i="151" s="1"/>
  <c r="BC38" i="151"/>
  <c r="BD38" i="151" s="1" a="1"/>
  <c r="BD38" i="151" s="1"/>
  <c r="AY88" i="151"/>
  <c r="AZ88" i="151" s="1" a="1"/>
  <c r="AR31" i="151" a="1"/>
  <c r="AV10" i="151"/>
  <c r="AU59" i="151"/>
  <c r="AV59" i="151" s="1" a="1"/>
  <c r="BA30" i="151" a="1"/>
  <c r="BA30" i="151" s="1"/>
  <c r="AR74" i="151"/>
  <c r="AS74" i="151" s="1" a="1"/>
  <c r="BA113" i="151" a="1"/>
  <c r="BA111" i="151" a="1"/>
  <c r="BA118" i="151" a="1"/>
  <c r="BA117" i="151" a="1"/>
  <c r="BA112" i="151" a="1"/>
  <c r="AZ114" i="151" a="1"/>
  <c r="BA115" i="151" a="1"/>
  <c r="BA116" i="151" a="1"/>
  <c r="AZ120" i="151" a="1"/>
  <c r="BA119" i="151" a="1"/>
  <c r="AQ44" i="151" l="1" a="1"/>
  <c r="AQ44" i="151" s="1"/>
  <c r="BA118" i="151"/>
  <c r="BA111" i="151"/>
  <c r="BA113" i="151"/>
  <c r="BA115" i="151"/>
  <c r="BA119" i="151"/>
  <c r="BA116" i="151"/>
  <c r="AZ114" i="151"/>
  <c r="BA112" i="151"/>
  <c r="AZ120" i="151"/>
  <c r="BA117" i="151"/>
  <c r="AV60" i="151"/>
  <c r="AW60" i="151" s="1" a="1"/>
  <c r="AV105" i="151"/>
  <c r="AW105" i="151" s="1" a="1"/>
  <c r="AZ88" i="151"/>
  <c r="BA88" i="151" s="1" a="1"/>
  <c r="AQ103" i="151"/>
  <c r="H103" i="151" s="1" a="1"/>
  <c r="H103" i="151" s="1"/>
  <c r="BB92" i="151"/>
  <c r="BC92" i="151" s="1" a="1"/>
  <c r="AX39" i="151"/>
  <c r="AY39" i="151" s="1" a="1"/>
  <c r="AV17" i="151"/>
  <c r="AW17" i="151" s="1" a="1"/>
  <c r="BB93" i="151"/>
  <c r="BC93" i="151" s="1" a="1"/>
  <c r="BB34" i="151"/>
  <c r="BC34" i="151" s="1" a="1"/>
  <c r="BC71" i="151"/>
  <c r="BD71" i="151" s="1" a="1"/>
  <c r="BD71" i="151" s="1"/>
  <c r="AS74" i="151"/>
  <c r="AT74" i="151" s="1" a="1"/>
  <c r="BB41" i="151"/>
  <c r="BC41" i="151" s="1" a="1"/>
  <c r="BB68" i="151"/>
  <c r="BC68" i="151" s="1" a="1"/>
  <c r="BB40" i="151"/>
  <c r="BC40" i="151" s="1" a="1"/>
  <c r="AX98" i="151"/>
  <c r="AY98" i="151" s="1" a="1"/>
  <c r="BC24" i="151"/>
  <c r="BD24" i="151" s="1" a="1"/>
  <c r="BD24" i="151" s="1"/>
  <c r="BC15" i="151"/>
  <c r="BD15" i="151" s="1" a="1"/>
  <c r="BD15" i="151" s="1"/>
  <c r="AY79" i="151"/>
  <c r="AZ79" i="151" s="1" a="1"/>
  <c r="AQ100" i="151" a="1"/>
  <c r="BB65" i="151"/>
  <c r="BC65" i="151" s="1" a="1"/>
  <c r="BB30" i="151" a="1"/>
  <c r="BB30" i="151" s="1"/>
  <c r="AR67" i="151"/>
  <c r="AS67" i="151" s="1" a="1"/>
  <c r="AR31" i="151"/>
  <c r="BA52" i="151" a="1"/>
  <c r="BA52" i="151" s="1"/>
  <c r="AS58" i="151"/>
  <c r="BB37" i="151"/>
  <c r="BC37" i="151" s="1" a="1"/>
  <c r="AY66" i="151"/>
  <c r="AZ66" i="151" s="1" a="1"/>
  <c r="BB95" i="151"/>
  <c r="BC95" i="151" s="1" a="1"/>
  <c r="AV59" i="151"/>
  <c r="AW59" i="151" s="1" a="1"/>
  <c r="AT43" i="151"/>
  <c r="AU43" i="151" s="1" a="1"/>
  <c r="BC70" i="151"/>
  <c r="BD70" i="151" s="1" a="1"/>
  <c r="BD70" i="151" s="1"/>
  <c r="BA14" i="151"/>
  <c r="BB14" i="151" s="1" a="1"/>
  <c r="AU22" i="151" a="1"/>
  <c r="BD4" i="151" a="1"/>
  <c r="BD4" i="151" s="1"/>
  <c r="AR99" i="151"/>
  <c r="AS99" i="151" s="1" a="1"/>
  <c r="AW10" i="151" a="1"/>
  <c r="BB118" i="151" a="1"/>
  <c r="BB111" i="151" a="1"/>
  <c r="BB117" i="151" a="1"/>
  <c r="BB115" i="151" a="1"/>
  <c r="BB119" i="151" a="1"/>
  <c r="BB116" i="151" a="1"/>
  <c r="BA114" i="151" a="1"/>
  <c r="BB112" i="151" a="1"/>
  <c r="BA120" i="151" a="1"/>
  <c r="BB113" i="151" a="1"/>
  <c r="AZ121" i="151" l="1"/>
  <c r="BB113" i="151"/>
  <c r="BA120" i="151"/>
  <c r="BB112" i="151"/>
  <c r="BA114" i="151"/>
  <c r="BB116" i="151"/>
  <c r="BB119" i="151"/>
  <c r="BB115" i="151"/>
  <c r="BB117" i="151"/>
  <c r="BB111" i="151"/>
  <c r="BB118" i="151"/>
  <c r="BC37" i="151"/>
  <c r="BD37" i="151" s="1" a="1"/>
  <c r="BD37" i="151" s="1"/>
  <c r="AW105" i="151"/>
  <c r="AX105" i="151" s="1" a="1"/>
  <c r="BA88" i="151"/>
  <c r="BB88" i="151" s="1" a="1"/>
  <c r="BC68" i="151"/>
  <c r="BD68" i="151" s="1" a="1"/>
  <c r="BD68" i="151" s="1"/>
  <c r="AW60" i="151"/>
  <c r="AX60" i="151" s="1" a="1"/>
  <c r="AS99" i="151"/>
  <c r="AT99" i="151" s="1" a="1"/>
  <c r="AT74" i="151"/>
  <c r="AU74" i="151" s="1" a="1"/>
  <c r="AS67" i="151"/>
  <c r="BC34" i="151"/>
  <c r="BD34" i="151" s="1" a="1"/>
  <c r="BD34" i="151" s="1"/>
  <c r="BC65" i="151"/>
  <c r="BD65" i="151" s="1" a="1"/>
  <c r="BD65" i="151" s="1"/>
  <c r="BC93" i="151"/>
  <c r="BD93" i="151" s="1" a="1"/>
  <c r="BD93" i="151" s="1"/>
  <c r="AZ79" i="151"/>
  <c r="BA79" i="151" s="1" a="1"/>
  <c r="AW59" i="151"/>
  <c r="AX59" i="151" s="1" a="1"/>
  <c r="AZ66" i="151"/>
  <c r="BA66" i="151" s="1" a="1"/>
  <c r="AU43" i="151"/>
  <c r="AV43" i="151" s="1" a="1"/>
  <c r="AY39" i="151"/>
  <c r="AZ39" i="151" s="1" a="1"/>
  <c r="BC95" i="151"/>
  <c r="BD95" i="151" s="1" a="1"/>
  <c r="BD95" i="151" s="1"/>
  <c r="AY98" i="151"/>
  <c r="AZ98" i="151" s="1" a="1"/>
  <c r="AU22" i="151"/>
  <c r="AV22" i="151" s="1" a="1"/>
  <c r="BC40" i="151"/>
  <c r="BD40" i="151" s="1" a="1"/>
  <c r="BD40" i="151" s="1"/>
  <c r="H44" i="151" a="1"/>
  <c r="H44" i="151" s="1"/>
  <c r="AQ47" i="151"/>
  <c r="BC41" i="151"/>
  <c r="BD41" i="151" s="1" a="1"/>
  <c r="BD41" i="151" s="1"/>
  <c r="BC92" i="151"/>
  <c r="BD92" i="151" s="1" a="1"/>
  <c r="BD92" i="151" s="1"/>
  <c r="AR44" i="151" a="1"/>
  <c r="AW10" i="151"/>
  <c r="AX10" i="151" s="1" a="1"/>
  <c r="AR103" i="151" a="1"/>
  <c r="BB52" i="151" a="1"/>
  <c r="BB52" i="151" s="1"/>
  <c r="AS31" i="151" a="1"/>
  <c r="BB14" i="151"/>
  <c r="BC14" i="151" s="1" a="1"/>
  <c r="BC30" i="151" a="1"/>
  <c r="BC30" i="151" s="1"/>
  <c r="AW17" i="151"/>
  <c r="AX17" i="151" s="1" a="1"/>
  <c r="AT58" i="151" a="1"/>
  <c r="AN104" i="151" a="1"/>
  <c r="AQ100" i="151"/>
  <c r="BC111" i="151" a="1"/>
  <c r="BC115" i="151" a="1"/>
  <c r="BB114" i="151" a="1"/>
  <c r="BC119" i="151" a="1"/>
  <c r="BC112" i="151" a="1"/>
  <c r="BC117" i="151" a="1"/>
  <c r="BC113" i="151" a="1"/>
  <c r="BB120" i="151" a="1"/>
  <c r="BC118" i="151" a="1"/>
  <c r="BC116" i="151" a="1"/>
  <c r="BA121" i="151" l="1"/>
  <c r="BC117" i="151"/>
  <c r="BC112" i="151"/>
  <c r="BC119" i="151"/>
  <c r="BB114" i="151"/>
  <c r="BC111" i="151"/>
  <c r="BC115" i="151"/>
  <c r="BC116" i="151"/>
  <c r="BC118" i="151"/>
  <c r="BB120" i="151"/>
  <c r="BC113" i="151"/>
  <c r="AV43" i="151"/>
  <c r="AW43" i="151" s="1" a="1"/>
  <c r="BB88" i="151"/>
  <c r="BC88" i="151" s="1" a="1"/>
  <c r="BA66" i="151"/>
  <c r="BB66" i="151" s="1" a="1"/>
  <c r="AX105" i="151"/>
  <c r="AY105" i="151" s="1" a="1"/>
  <c r="AX59" i="151"/>
  <c r="AY59" i="151" s="1" a="1"/>
  <c r="AX17" i="151"/>
  <c r="AY17" i="151" s="1" a="1"/>
  <c r="AU74" i="151"/>
  <c r="AV74" i="151" s="1" a="1"/>
  <c r="AT99" i="151"/>
  <c r="AU99" i="151" s="1" a="1"/>
  <c r="BC14" i="151"/>
  <c r="BD14" i="151" s="1" a="1"/>
  <c r="BD14" i="151" s="1"/>
  <c r="AZ98" i="151"/>
  <c r="BA98" i="151" s="1" a="1"/>
  <c r="AZ39" i="151"/>
  <c r="BA39" i="151" s="1" a="1"/>
  <c r="AR44" i="151"/>
  <c r="AR47" i="151" s="1"/>
  <c r="AX10" i="151"/>
  <c r="AY10" i="151" s="1" a="1"/>
  <c r="AR103" i="151"/>
  <c r="AS103" i="151" s="1" a="1"/>
  <c r="BA79" i="151"/>
  <c r="BB79" i="151" s="1" a="1"/>
  <c r="AT58" i="151"/>
  <c r="BD30" i="151" a="1"/>
  <c r="BD30" i="151" s="1"/>
  <c r="AN102" i="151" a="1"/>
  <c r="AN104" i="151"/>
  <c r="AV22" i="151"/>
  <c r="AX60" i="151"/>
  <c r="AY60" i="151" s="1" a="1"/>
  <c r="AT67" i="151" a="1"/>
  <c r="AS31" i="151"/>
  <c r="AR100" i="151" a="1"/>
  <c r="H100" i="151" a="1"/>
  <c r="H100" i="151" s="1"/>
  <c r="BC52" i="151" a="1"/>
  <c r="BC52" i="151" s="1"/>
  <c r="BD117" i="151" a="1"/>
  <c r="BC120" i="151" a="1"/>
  <c r="BD112" i="151" a="1"/>
  <c r="BD113" i="151" a="1"/>
  <c r="BD115" i="151" a="1"/>
  <c r="BD111" i="151" a="1"/>
  <c r="BD118" i="151" a="1"/>
  <c r="BD119" i="151" a="1"/>
  <c r="BC114" i="151" a="1"/>
  <c r="BD116" i="151" a="1"/>
  <c r="BB121" i="151" l="1"/>
  <c r="BD118" i="151"/>
  <c r="BD116" i="151"/>
  <c r="BD111" i="151"/>
  <c r="BD115" i="151"/>
  <c r="BD113" i="151"/>
  <c r="BC114" i="151"/>
  <c r="BD119" i="151"/>
  <c r="BD112" i="151"/>
  <c r="BC120" i="151"/>
  <c r="BD117" i="151"/>
  <c r="BB79" i="151"/>
  <c r="BC79" i="151" s="1" a="1"/>
  <c r="AY105" i="151"/>
  <c r="AZ105" i="151" s="1" a="1"/>
  <c r="BB66" i="151"/>
  <c r="BC66" i="151" s="1" a="1"/>
  <c r="BC88" i="151"/>
  <c r="BD88" i="151" s="1" a="1"/>
  <c r="BD88" i="151" s="1"/>
  <c r="AW43" i="151"/>
  <c r="AX43" i="151" s="1" a="1"/>
  <c r="BA39" i="151"/>
  <c r="BB39" i="151" s="1" a="1"/>
  <c r="BA98" i="151"/>
  <c r="BB98" i="151" s="1" a="1"/>
  <c r="AY60" i="151"/>
  <c r="AZ60" i="151" s="1" a="1"/>
  <c r="AU99" i="151"/>
  <c r="AV99" i="151" s="1" a="1"/>
  <c r="AV74" i="151"/>
  <c r="AW74" i="151" s="1" a="1"/>
  <c r="AY17" i="151"/>
  <c r="AZ17" i="151" s="1" a="1"/>
  <c r="AS103" i="151"/>
  <c r="AT103" i="151" s="1" a="1"/>
  <c r="AY10" i="151"/>
  <c r="AZ10" i="151" s="1" a="1"/>
  <c r="AO104" i="151" a="1"/>
  <c r="AY59" i="151"/>
  <c r="AZ59" i="151" s="1" a="1"/>
  <c r="BD52" i="151" a="1"/>
  <c r="BD52" i="151" s="1"/>
  <c r="AN101" i="151" a="1"/>
  <c r="AN102" i="151"/>
  <c r="AR100" i="151"/>
  <c r="AS100" i="151" s="1" a="1"/>
  <c r="AU58" i="151" a="1"/>
  <c r="AT31" i="151" a="1"/>
  <c r="AT67" i="151"/>
  <c r="AU67" i="151" s="1" a="1"/>
  <c r="AW22" i="151" a="1"/>
  <c r="AS44" i="151" a="1"/>
  <c r="BD114" i="151" a="1"/>
  <c r="BD120" i="151" a="1"/>
  <c r="BC121" i="151" l="1"/>
  <c r="BD120" i="151"/>
  <c r="BD114" i="151"/>
  <c r="AT103" i="151"/>
  <c r="AU103" i="151" s="1" a="1"/>
  <c r="BC79" i="151"/>
  <c r="BD79" i="151" s="1" a="1"/>
  <c r="BD79" i="151" s="1"/>
  <c r="AS100" i="151"/>
  <c r="AT100" i="151" s="1" a="1"/>
  <c r="AZ60" i="151"/>
  <c r="BA60" i="151" s="1" a="1"/>
  <c r="BB98" i="151"/>
  <c r="BC98" i="151" s="1" a="1"/>
  <c r="BB39" i="151"/>
  <c r="BC39" i="151" s="1" a="1"/>
  <c r="AX43" i="151"/>
  <c r="AY43" i="151" s="1" a="1"/>
  <c r="BC66" i="151"/>
  <c r="BD66" i="151" s="1" a="1"/>
  <c r="BD66" i="151" s="1"/>
  <c r="AZ17" i="151"/>
  <c r="BA17" i="151" s="1" a="1"/>
  <c r="AZ59" i="151"/>
  <c r="BA59" i="151" s="1" a="1"/>
  <c r="AZ105" i="151"/>
  <c r="BA105" i="151" s="1" a="1"/>
  <c r="AU58" i="151"/>
  <c r="AV58" i="151" s="1" a="1"/>
  <c r="AS44" i="151"/>
  <c r="AS47" i="151" s="1"/>
  <c r="AW22" i="151"/>
  <c r="AX22" i="151" s="1" a="1"/>
  <c r="AO102" i="151" a="1"/>
  <c r="AV99" i="151"/>
  <c r="AW99" i="151" s="1" a="1"/>
  <c r="AT31" i="151"/>
  <c r="AU31" i="151" s="1" a="1"/>
  <c r="AZ10" i="151"/>
  <c r="BA10" i="151" s="1" a="1"/>
  <c r="AU67" i="151"/>
  <c r="AV67" i="151" s="1" a="1"/>
  <c r="AO104" i="151"/>
  <c r="AP104" i="151" s="1" a="1"/>
  <c r="AN13" i="151" a="1"/>
  <c r="AN101" i="151"/>
  <c r="AW74" i="151"/>
  <c r="AX74" i="151" s="1" a="1"/>
  <c r="AT44" i="151" l="1" a="1"/>
  <c r="AT44" i="151" s="1"/>
  <c r="BD121" i="151"/>
  <c r="AX74" i="151"/>
  <c r="AY74" i="151" s="1" a="1"/>
  <c r="BA60" i="151"/>
  <c r="BB60" i="151" s="1" a="1"/>
  <c r="BC39" i="151"/>
  <c r="BD39" i="151" s="1" a="1"/>
  <c r="BD39" i="151" s="1"/>
  <c r="BA105" i="151"/>
  <c r="BB105" i="151" s="1" a="1"/>
  <c r="BA17" i="151"/>
  <c r="BB17" i="151" s="1" a="1"/>
  <c r="AW99" i="151"/>
  <c r="AX99" i="151" s="1" a="1"/>
  <c r="BC98" i="151"/>
  <c r="BD98" i="151" s="1" a="1"/>
  <c r="BD98" i="151" s="1"/>
  <c r="AT100" i="151"/>
  <c r="AU100" i="151" s="1" a="1"/>
  <c r="AV58" i="151"/>
  <c r="AW58" i="151" s="1" a="1"/>
  <c r="AU103" i="151"/>
  <c r="AV103" i="151" s="1" a="1"/>
  <c r="AV67" i="151"/>
  <c r="AW67" i="151" s="1" a="1"/>
  <c r="AN97" i="151" a="1"/>
  <c r="AN97" i="151" s="1"/>
  <c r="AN13" i="151"/>
  <c r="AY43" i="151"/>
  <c r="AZ43" i="151" s="1" a="1"/>
  <c r="BA10" i="151"/>
  <c r="BA59" i="151"/>
  <c r="BB59" i="151" s="1" a="1"/>
  <c r="AO101" i="151" a="1"/>
  <c r="AP104" i="151"/>
  <c r="AU31" i="151"/>
  <c r="AO102" i="151"/>
  <c r="AP102" i="151" s="1" a="1"/>
  <c r="AX22" i="151"/>
  <c r="AY22" i="151" s="1" a="1"/>
  <c r="AU44" i="151" l="1" a="1"/>
  <c r="AU44" i="151" s="1"/>
  <c r="AV44" i="151" s="1" a="1"/>
  <c r="AT47" i="151"/>
  <c r="BB17" i="151"/>
  <c r="BC17" i="151" s="1" a="1"/>
  <c r="BB59" i="151"/>
  <c r="BC59" i="151" s="1" a="1"/>
  <c r="BB105" i="151"/>
  <c r="BC105" i="151" s="1" a="1"/>
  <c r="AV103" i="151"/>
  <c r="AW103" i="151" s="1" a="1"/>
  <c r="AP102" i="151"/>
  <c r="AQ102" i="151" s="1" a="1"/>
  <c r="AV31" i="151" a="1"/>
  <c r="AO13" i="151" a="1"/>
  <c r="AN27" i="151"/>
  <c r="AN49" i="151" s="1"/>
  <c r="AO101" i="151"/>
  <c r="AP101" i="151" s="1" a="1"/>
  <c r="BB60" i="151"/>
  <c r="BC60" i="151" s="1" a="1"/>
  <c r="AX99" i="151"/>
  <c r="AY99" i="151" s="1" a="1"/>
  <c r="AW67" i="151"/>
  <c r="AX67" i="151" s="1" a="1"/>
  <c r="AY22" i="151"/>
  <c r="BB10" i="151" a="1"/>
  <c r="AZ43" i="151"/>
  <c r="BA43" i="151" s="1" a="1"/>
  <c r="AO97" i="151" a="1"/>
  <c r="AN108" i="151"/>
  <c r="AQ104" i="151" a="1"/>
  <c r="AQ104" i="151" s="1"/>
  <c r="AR104" i="151" s="1" a="1"/>
  <c r="AW58" i="151"/>
  <c r="AX58" i="151" s="1" a="1"/>
  <c r="AU100" i="151"/>
  <c r="AV100" i="151" s="1" a="1"/>
  <c r="AY74" i="151"/>
  <c r="AZ74" i="151" s="1" a="1"/>
  <c r="AU47" i="151" l="1"/>
  <c r="BC60" i="151"/>
  <c r="BD60" i="151" s="1" a="1"/>
  <c r="BD60" i="151" s="1"/>
  <c r="AV100" i="151"/>
  <c r="AW100" i="151" s="1" a="1"/>
  <c r="AQ102" i="151"/>
  <c r="H102" i="151" s="1" a="1"/>
  <c r="H102" i="151" s="1"/>
  <c r="AW103" i="151"/>
  <c r="AX103" i="151" s="1" a="1"/>
  <c r="AV44" i="151"/>
  <c r="AW44" i="151" s="1" a="1"/>
  <c r="BC105" i="151"/>
  <c r="BD105" i="151" s="1" a="1"/>
  <c r="BD105" i="151" s="1"/>
  <c r="BC59" i="151"/>
  <c r="BD59" i="151" s="1" a="1"/>
  <c r="BD59" i="151" s="1"/>
  <c r="AY99" i="151"/>
  <c r="AZ99" i="151" s="1" a="1"/>
  <c r="AP101" i="151"/>
  <c r="AQ101" i="151" s="1" a="1"/>
  <c r="BA43" i="151"/>
  <c r="BB43" i="151" s="1" a="1"/>
  <c r="AX67" i="151"/>
  <c r="AY67" i="151" s="1" a="1"/>
  <c r="AR104" i="151"/>
  <c r="AS104" i="151" s="1" a="1"/>
  <c r="BB10" i="151"/>
  <c r="BC10" i="151" s="1" a="1"/>
  <c r="AX58" i="151"/>
  <c r="AY58" i="151" s="1" a="1"/>
  <c r="AZ74" i="151"/>
  <c r="BA74" i="151" s="1" a="1"/>
  <c r="H104" i="151" a="1"/>
  <c r="H104" i="151" s="1"/>
  <c r="AO97" i="151"/>
  <c r="AP97" i="151" s="1" a="1"/>
  <c r="AZ22" i="151" a="1"/>
  <c r="AO13" i="151"/>
  <c r="AP13" i="151" s="1" a="1"/>
  <c r="AV31" i="151"/>
  <c r="AV47" i="151" s="1"/>
  <c r="BC17" i="151"/>
  <c r="BD17" i="151" s="1" a="1"/>
  <c r="BD17" i="151" s="1"/>
  <c r="AY67" i="151" l="1"/>
  <c r="AZ67" i="151" s="1" a="1"/>
  <c r="AQ101" i="151"/>
  <c r="H101" i="151" s="1" a="1"/>
  <c r="H101" i="151" s="1"/>
  <c r="AX103" i="151"/>
  <c r="AY103" i="151" s="1" a="1"/>
  <c r="AW100" i="151"/>
  <c r="AX100" i="151" s="1" a="1"/>
  <c r="AY58" i="151"/>
  <c r="AS104" i="151"/>
  <c r="AT104" i="151" s="1" a="1"/>
  <c r="BB43" i="151"/>
  <c r="BC43" i="151" s="1" a="1"/>
  <c r="AP13" i="151"/>
  <c r="AP27" i="151" s="1"/>
  <c r="AP49" i="151" s="1"/>
  <c r="AW44" i="151"/>
  <c r="AX44" i="151" s="1" a="1"/>
  <c r="BC10" i="151"/>
  <c r="AR102" i="151" a="1"/>
  <c r="AP97" i="151"/>
  <c r="AP108" i="151" s="1"/>
  <c r="AW31" i="151" a="1"/>
  <c r="AO27" i="151"/>
  <c r="AO49" i="151" s="1"/>
  <c r="AZ22" i="151"/>
  <c r="AO108" i="151"/>
  <c r="BA74" i="151"/>
  <c r="BB74" i="151" s="1" a="1"/>
  <c r="AZ99" i="151"/>
  <c r="BA99" i="151" s="1" a="1"/>
  <c r="AQ13" i="151" l="1" a="1"/>
  <c r="AQ13" i="151" s="1"/>
  <c r="BA99" i="151"/>
  <c r="BB99" i="151" s="1" a="1"/>
  <c r="AX44" i="151"/>
  <c r="AY44" i="151" s="1" a="1"/>
  <c r="BC43" i="151"/>
  <c r="BD43" i="151" s="1" a="1"/>
  <c r="BD43" i="151" s="1"/>
  <c r="BB74" i="151"/>
  <c r="BC74" i="151" s="1" a="1"/>
  <c r="AX100" i="151"/>
  <c r="AY100" i="151" s="1" a="1"/>
  <c r="AY103" i="151"/>
  <c r="AZ103" i="151" s="1" a="1"/>
  <c r="AT104" i="151"/>
  <c r="AR102" i="151"/>
  <c r="AS102" i="151" s="1" a="1"/>
  <c r="BD10" i="151" a="1"/>
  <c r="BD10" i="151" s="1"/>
  <c r="AR101" i="151" a="1"/>
  <c r="AW31" i="151"/>
  <c r="AW47" i="151" s="1"/>
  <c r="AQ97" i="151" a="1"/>
  <c r="AZ58" i="151" a="1"/>
  <c r="BA22" i="151" a="1"/>
  <c r="AZ67" i="151"/>
  <c r="BA67" i="151" s="1" a="1"/>
  <c r="AZ103" i="151" l="1"/>
  <c r="BA103" i="151" s="1" a="1"/>
  <c r="AY100" i="151"/>
  <c r="AZ100" i="151" s="1" a="1"/>
  <c r="BC74" i="151"/>
  <c r="BD74" i="151" s="1" a="1"/>
  <c r="BD74" i="151" s="1"/>
  <c r="BA67" i="151"/>
  <c r="BB67" i="151" s="1" a="1"/>
  <c r="AY44" i="151"/>
  <c r="AZ44" i="151" s="1" a="1"/>
  <c r="BB99" i="151"/>
  <c r="BC99" i="151" s="1" a="1"/>
  <c r="BA22" i="151"/>
  <c r="BB22" i="151" s="1" a="1"/>
  <c r="AU104" i="151" a="1"/>
  <c r="AQ27" i="151"/>
  <c r="AQ49" i="151" s="1"/>
  <c r="H13" i="151" a="1"/>
  <c r="H13" i="151" s="1"/>
  <c r="AS102" i="151"/>
  <c r="AT102" i="151" s="1" a="1"/>
  <c r="AZ58" i="151"/>
  <c r="BA58" i="151" s="1" a="1"/>
  <c r="AQ97" i="151"/>
  <c r="AX31" i="151" a="1"/>
  <c r="AR101" i="151"/>
  <c r="AS101" i="151" s="1" a="1"/>
  <c r="AR13" i="151" a="1"/>
  <c r="BB67" i="151" l="1"/>
  <c r="BC67" i="151" s="1" a="1"/>
  <c r="AT102" i="151"/>
  <c r="AU102" i="151" s="1" a="1"/>
  <c r="BB22" i="151"/>
  <c r="AZ100" i="151"/>
  <c r="BA100" i="151" s="1" a="1"/>
  <c r="BA58" i="151"/>
  <c r="BB58" i="151" s="1" a="1"/>
  <c r="BC99" i="151"/>
  <c r="BD99" i="151" s="1" a="1"/>
  <c r="BD99" i="151" s="1"/>
  <c r="AZ44" i="151"/>
  <c r="BA44" i="151" s="1" a="1"/>
  <c r="AS101" i="151"/>
  <c r="AT101" i="151" s="1" a="1"/>
  <c r="AQ108" i="151"/>
  <c r="H97" i="151" a="1"/>
  <c r="H97" i="151" s="1"/>
  <c r="AR97" i="151" a="1"/>
  <c r="AX31" i="151"/>
  <c r="AX47" i="151" s="1"/>
  <c r="AR13" i="151"/>
  <c r="AR27" i="151" s="1"/>
  <c r="AR49" i="151" s="1"/>
  <c r="AU104" i="151"/>
  <c r="AV104" i="151" s="1" a="1"/>
  <c r="BA103" i="151"/>
  <c r="BB103" i="151" s="1" a="1"/>
  <c r="AY31" i="151" l="1" a="1"/>
  <c r="AY31" i="151" s="1"/>
  <c r="AY47" i="151" s="1"/>
  <c r="AS13" i="151" a="1"/>
  <c r="AS13" i="151" s="1"/>
  <c r="AS27" i="151" s="1"/>
  <c r="AS49" i="151" s="1"/>
  <c r="AV104" i="151"/>
  <c r="AW104" i="151" s="1" a="1"/>
  <c r="AU102" i="151"/>
  <c r="AV102" i="151" s="1" a="1"/>
  <c r="BA44" i="151"/>
  <c r="BB44" i="151" s="1" a="1"/>
  <c r="BA100" i="151"/>
  <c r="BB100" i="151" s="1" a="1"/>
  <c r="BB103" i="151"/>
  <c r="BC103" i="151" s="1" a="1"/>
  <c r="BB58" i="151"/>
  <c r="BC58" i="151" s="1" a="1"/>
  <c r="AR97" i="151"/>
  <c r="AR108" i="151" s="1"/>
  <c r="BC22" i="151" a="1"/>
  <c r="AT101" i="151"/>
  <c r="AU101" i="151" s="1" a="1"/>
  <c r="BC67" i="151"/>
  <c r="BD67" i="151" s="1" a="1"/>
  <c r="BD67" i="151" s="1"/>
  <c r="AZ31" i="151" l="1" a="1"/>
  <c r="AZ31" i="151" s="1"/>
  <c r="AZ47" i="151" s="1"/>
  <c r="AT13" i="151" a="1"/>
  <c r="AT13" i="151" s="1"/>
  <c r="AT27" i="151" s="1"/>
  <c r="AT49" i="151" s="1"/>
  <c r="BB44" i="151"/>
  <c r="BC44" i="151" s="1" a="1"/>
  <c r="AW104" i="151"/>
  <c r="AX104" i="151" s="1" a="1"/>
  <c r="BC103" i="151"/>
  <c r="BD103" i="151" s="1" a="1"/>
  <c r="BD103" i="151" s="1"/>
  <c r="BC22" i="151"/>
  <c r="AV102" i="151"/>
  <c r="AW102" i="151" s="1" a="1"/>
  <c r="AU101" i="151"/>
  <c r="AV101" i="151" s="1" a="1"/>
  <c r="BC58" i="151"/>
  <c r="BD58" i="151" s="1" a="1"/>
  <c r="BD58" i="151" s="1"/>
  <c r="BB100" i="151"/>
  <c r="BC100" i="151" s="1" a="1"/>
  <c r="AS97" i="151" a="1"/>
  <c r="AU13" i="151" l="1" a="1"/>
  <c r="AU13" i="151" s="1"/>
  <c r="AU27" i="151" s="1"/>
  <c r="AU49" i="151" s="1"/>
  <c r="BC100" i="151"/>
  <c r="BD100" i="151" s="1" a="1"/>
  <c r="BD100" i="151" s="1"/>
  <c r="BC44" i="151"/>
  <c r="BD44" i="151" s="1" a="1"/>
  <c r="BD44" i="151" s="1"/>
  <c r="AW102" i="151"/>
  <c r="AX102" i="151" s="1" a="1"/>
  <c r="BA31" i="151" a="1"/>
  <c r="AS97" i="151"/>
  <c r="AS108" i="151" s="1"/>
  <c r="AX104" i="151"/>
  <c r="AY104" i="151" s="1" a="1"/>
  <c r="AV101" i="151"/>
  <c r="AW101" i="151" s="1" a="1"/>
  <c r="BD22" i="151" a="1"/>
  <c r="BD22" i="151" s="1"/>
  <c r="AY104" i="151" l="1"/>
  <c r="AZ104" i="151" s="1" a="1"/>
  <c r="AX102" i="151"/>
  <c r="AY102" i="151" s="1" a="1"/>
  <c r="AV13" i="151" a="1"/>
  <c r="AT97" i="151" a="1"/>
  <c r="BA31" i="151"/>
  <c r="BA47" i="151" s="1"/>
  <c r="AW101" i="151"/>
  <c r="AX101" i="151" s="1" a="1"/>
  <c r="BB31" i="151" l="1" a="1"/>
  <c r="BB31" i="151" s="1"/>
  <c r="AY102" i="151"/>
  <c r="AZ102" i="151" s="1" a="1"/>
  <c r="AX101" i="151"/>
  <c r="AY101" i="151" s="1" a="1"/>
  <c r="AT97" i="151"/>
  <c r="AT108" i="151" s="1"/>
  <c r="AV13" i="151"/>
  <c r="AV27" i="151" s="1"/>
  <c r="AV49" i="151" s="1"/>
  <c r="AZ104" i="151"/>
  <c r="BA104" i="151" s="1" a="1"/>
  <c r="BB47" i="151" l="1"/>
  <c r="BC31" i="151" a="1"/>
  <c r="BC31" i="151" s="1"/>
  <c r="BC47" i="151" s="1"/>
  <c r="AY101" i="151"/>
  <c r="AZ101" i="151" s="1" a="1"/>
  <c r="BA104" i="151"/>
  <c r="BB104" i="151" s="1" a="1"/>
  <c r="AZ102" i="151"/>
  <c r="BA102" i="151" s="1" a="1"/>
  <c r="AU97" i="151" a="1"/>
  <c r="AW13" i="151" a="1"/>
  <c r="BB104" i="151" l="1"/>
  <c r="BC104" i="151" s="1" a="1"/>
  <c r="BA102" i="151"/>
  <c r="BB102" i="151" s="1" a="1"/>
  <c r="AU97" i="151"/>
  <c r="AU108" i="151" s="1"/>
  <c r="AW13" i="151"/>
  <c r="AW27" i="151" s="1"/>
  <c r="AW49" i="151" s="1"/>
  <c r="BD31" i="151" a="1"/>
  <c r="BD31" i="151" s="1"/>
  <c r="BD47" i="151" s="1"/>
  <c r="AZ101" i="151"/>
  <c r="BA101" i="151" s="1" a="1"/>
  <c r="AX13" i="151" l="1" a="1"/>
  <c r="AX13" i="151" s="1"/>
  <c r="AX27" i="151" s="1"/>
  <c r="AX49" i="151" s="1"/>
  <c r="BA101" i="151"/>
  <c r="BB101" i="151" s="1" a="1"/>
  <c r="BB102" i="151"/>
  <c r="BC102" i="151" s="1" a="1"/>
  <c r="AV97" i="151" a="1"/>
  <c r="BC104" i="151"/>
  <c r="BD104" i="151" s="1" a="1"/>
  <c r="BD104" i="151" s="1"/>
  <c r="AY13" i="151" l="1" a="1"/>
  <c r="AY13" i="151" s="1"/>
  <c r="AY27" i="151" s="1"/>
  <c r="AY49" i="151" s="1"/>
  <c r="AV97" i="151"/>
  <c r="AV108" i="151" s="1"/>
  <c r="BC102" i="151"/>
  <c r="BD102" i="151" s="1" a="1"/>
  <c r="BD102" i="151" s="1"/>
  <c r="BB101" i="151"/>
  <c r="BC101" i="151" s="1" a="1"/>
  <c r="BC101" i="151" l="1"/>
  <c r="BD101" i="151" s="1" a="1"/>
  <c r="BD101" i="151" s="1"/>
  <c r="AZ13" i="151" a="1"/>
  <c r="AW97" i="151" a="1"/>
  <c r="AW97" i="151" l="1"/>
  <c r="AW108" i="151" s="1"/>
  <c r="AZ13" i="151"/>
  <c r="AZ27" i="151" s="1"/>
  <c r="AZ49" i="151" s="1"/>
  <c r="AX97" i="151" l="1" a="1"/>
  <c r="AX97" i="151" s="1"/>
  <c r="AX108" i="151" s="1"/>
  <c r="BA13" i="151" a="1"/>
  <c r="AY97" i="151" l="1" a="1"/>
  <c r="AY97" i="151" s="1"/>
  <c r="BA13" i="151"/>
  <c r="BA27" i="151" s="1"/>
  <c r="BA49" i="151" s="1"/>
  <c r="AY108" i="151" l="1"/>
  <c r="AZ97" i="151" a="1"/>
  <c r="AZ97" i="151" s="1"/>
  <c r="AZ108" i="151" s="1"/>
  <c r="BB13" i="151" a="1"/>
  <c r="BA97" i="151" l="1" a="1"/>
  <c r="BA97" i="151" s="1"/>
  <c r="BA108" i="151" s="1"/>
  <c r="BB13" i="151"/>
  <c r="BB27" i="151" s="1"/>
  <c r="BB49" i="151" s="1"/>
  <c r="BB97" i="151" l="1" a="1"/>
  <c r="BB97" i="151" s="1"/>
  <c r="BB108" i="151" s="1"/>
  <c r="BC13" i="151" a="1"/>
  <c r="BC97" i="151" l="1" a="1"/>
  <c r="BC13" i="151"/>
  <c r="BC27" i="151" s="1"/>
  <c r="BC49" i="151" s="1"/>
  <c r="BD13" i="151" l="1" a="1"/>
  <c r="BD13" i="151" s="1"/>
  <c r="BD27" i="151" s="1"/>
  <c r="BD49" i="151" s="1"/>
  <c r="BC97" i="151"/>
  <c r="BC108" i="151" s="1"/>
  <c r="BD97" i="151" l="1" a="1"/>
  <c r="BD97" i="151" s="1"/>
  <c r="BD108" i="15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西村 祐典</author>
    <author>鈴木 英祐</author>
  </authors>
  <commentList>
    <comment ref="C8" authorId="0" shapeId="0" xr:uid="{1156B97A-9089-4C5B-8582-4A42288FF8EC}">
      <text>
        <r>
          <rPr>
            <b/>
            <sz val="16"/>
            <color indexed="81"/>
            <rFont val="MS P ゴシック"/>
            <family val="3"/>
            <charset val="128"/>
          </rPr>
          <t xml:space="preserve">UL9C-R49　11月 着地見込 20→ 12月 50 は計画上困難とみてます。1.5倍程度、仕掛け等の用意があるか？
利益下げて処分
</t>
        </r>
      </text>
    </comment>
    <comment ref="J15" authorId="1" shapeId="0" xr:uid="{F2B47CDE-1EA1-43B8-876F-1CAF28A33DED}">
      <text>
        <r>
          <rPr>
            <b/>
            <sz val="9"/>
            <color indexed="81"/>
            <rFont val="MS P ゴシック"/>
            <family val="3"/>
            <charset val="128"/>
          </rPr>
          <t>60+310(江幡さん)
→60+10
11/29に変更</t>
        </r>
      </text>
    </comment>
    <comment ref="C18" authorId="0" shapeId="0" xr:uid="{762AE7C7-D41D-4754-B674-18BE3884593F}">
      <text>
        <r>
          <rPr>
            <b/>
            <sz val="14"/>
            <color indexed="81"/>
            <rFont val="MS P ゴシック"/>
            <family val="3"/>
            <charset val="128"/>
          </rPr>
          <t>RM7C-R45　→発売直後とは言え週次 10台程度、12月150の数値は想定できない。
4H2の時の繁忙期想定だっけ？</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tc={2BEFF5FD-7A26-4A2E-9490-EA32E1B06BAB}</author>
    <author>小野 雄己</author>
  </authors>
  <commentList>
    <comment ref="C28" authorId="0" shapeId="0" xr:uid="{2BEFF5FD-7A26-4A2E-9490-EA32E1B06BA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続きそうな文章です</t>
      </text>
    </comment>
    <comment ref="C121" authorId="1" shapeId="0" xr:uid="{01DF591F-5321-472A-90CD-9647245A32A6}">
      <text>
        <r>
          <rPr>
            <b/>
            <sz val="9"/>
            <color indexed="81"/>
            <rFont val="MS P ゴシック"/>
            <family val="3"/>
            <charset val="128"/>
          </rPr>
          <t>=IFERROR(
IF($C3="","",
  XLOOKUP($C3,
    INDIRECT("[在庫状況把握_2025_改良版v1.2.xlsx]月次報告25"&amp;MONTH(TODAY())&amp;"!$C:$C"),
    INDIRECT("[在庫状況把握_2025_改良版v1.2.xlsx]月次報告25"&amp;MONTH(TODAY())&amp;"!$AE:$AE")
  )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tc={7CF4A880-EE00-4924-88BA-0CF43F481DE6}</author>
    <author>西村 祐典</author>
  </authors>
  <commentList>
    <comment ref="V1" authorId="0" shapeId="0" xr:uid="{7CF4A880-EE00-4924-88BA-0CF43F481DE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美野さん価格変更に伴う計画変更</t>
      </text>
    </comment>
    <comment ref="C73" authorId="1" shapeId="0" xr:uid="{FB63F241-FC30-4B8B-A9CF-723F37DD6353}">
      <text>
        <r>
          <rPr>
            <b/>
            <sz val="12"/>
            <color indexed="81"/>
            <rFont val="MS P ゴシック"/>
            <family val="3"/>
            <charset val="128"/>
          </rPr>
          <t>DX-R7　11月着地見込　300　12月 減少する意図が不明
今が踏んでる価格のため、切り替えに向けて押すモデルの調整でなんとかつなぐ？</t>
        </r>
      </text>
    </comment>
    <comment ref="C74" authorId="1" shapeId="0" xr:uid="{6D3FE5BC-D925-46D6-BE5C-0FC0B86BA958}">
      <text>
        <r>
          <rPr>
            <b/>
            <sz val="12"/>
            <color indexed="81"/>
            <rFont val="MS P ゴシック"/>
            <family val="3"/>
            <charset val="128"/>
          </rPr>
          <t>DX-R7　11月着地見込　300　12月 減少する意図が不明
今が踏んでる価格のため、切り替えに向けて押すモデルの調整でなんとかつなぐ？</t>
        </r>
      </text>
    </comment>
    <comment ref="C129" authorId="1" shapeId="0" xr:uid="{7A89A85F-75B3-4372-BDDD-F48C1E0DCEF8}">
      <text>
        <r>
          <rPr>
            <b/>
            <sz val="14"/>
            <color indexed="81"/>
            <rFont val="MS P ゴシック"/>
            <family val="3"/>
            <charset val="128"/>
          </rPr>
          <t xml:space="preserve">R7-RL　11月着地見込　30　12月以降減少する理由が不明
3月の切り替えまで持つかだけなので、数調整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tc={AF9BFF52-A98B-40F2-8BCC-FE9E09D00D63}</author>
  </authors>
  <commentList>
    <comment ref="E24" authorId="0" shapeId="0" xr:uid="{AF9BFF52-A98B-40F2-8BCC-FE9E09D00D6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INDEX　MATCH等に変更したい。行追加に対応するため</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小野 雄己</author>
    <author>tc={170F98E3-2339-4307-BD66-D0EC79885E54}</author>
    <author>tc={74D464D1-6CEB-4100-BD75-A439693D468B}</author>
    <author>tc={C25F1818-025D-4AA7-AE9F-CFA03BA5CB25}</author>
    <author>西村 祐典</author>
    <author>鈴木 英祐</author>
  </authors>
  <commentList>
    <comment ref="AE1" authorId="0" shapeId="0" xr:uid="{1961FD83-89A3-4A13-9E53-D86F59A1C4B6}">
      <text>
        <r>
          <rPr>
            <b/>
            <sz val="9"/>
            <color indexed="81"/>
            <rFont val="MS P ゴシック"/>
            <family val="3"/>
            <charset val="128"/>
          </rPr>
          <t>今月分は以下の関数で算出後　数値に置き換え
=IFERROR(
IF($C5="","",
  XLOOKUP($C5,
    INDIRECT("[在庫状況把握_2025_改良版v1.2.xlsx]月次報告25"&amp;TEXT(AE$1,"MM")&amp;"!$C:$C"),
    INDIRECT("[在庫状況把握_2025_改良版v1.2.xlsx]月次報告25"&amp;TEXT(AE$1,"MM")&amp;"!$E:$E")
  )
),"")</t>
        </r>
      </text>
    </comment>
    <comment ref="AL2" authorId="0" shapeId="0" xr:uid="{F2B461A7-A37D-4DCA-A5FF-7A31A8B0D057}">
      <text>
        <r>
          <rPr>
            <sz val="9"/>
            <color indexed="81"/>
            <rFont val="MS P ゴシック"/>
            <family val="3"/>
            <charset val="128"/>
          </rPr>
          <t>=IF($C2="","",
LET(
_参照シート,"'[在庫状況把握_43期_2025-2026.xlsx]月次報告"&amp;TEXT(AL$1,"YYMM")&amp;"'",
_実績,
  XLOOKUP($C2,
    INDIRECT(_参照シート&amp;"!$C$1:$C$300"),
    INDIRECT(_参照シート&amp;"!$G$1:$G$300")
  ),
_着地予測,
  XLOOKUP($C2,
    INDIRECT(_参照シート&amp;"!$C$1:$C$300"),
    INDIRECT(_参照シート&amp;"!$AG$1:$AG$300")
  ),
_係数予測,IF(OR(AK2=0,AK2=""),"",AK2*AL$26),
_今月1日,EOMONTH(基準データ!$C$5,-1)+1,
_先月まで実績。今月は着地予測。翌月から係数予測,IFS(AL$1&lt;_今月1日,_実績,AL$1=_今月1日,_着地予測,"true",_係数予測),
IFERROR(_先月まで実績。今月は着地予測。翌月から係数予測,"")
))</t>
        </r>
      </text>
    </comment>
    <comment ref="AD3" authorId="1" shapeId="0" xr:uid="{170F98E3-2339-4307-BD66-D0EC79885E5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この列の数式要検証</t>
      </text>
    </comment>
    <comment ref="AE3" authorId="2" shapeId="0" xr:uid="{74D464D1-6CEB-4100-BD75-A439693D468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条件分岐版運用開始　しばらく様子を見る</t>
      </text>
    </comment>
    <comment ref="AG3" authorId="3" shapeId="0" xr:uid="{C25F1818-025D-4AA7-AE9F-CFA03BA5CB2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年越しに対応。計算不要時の処理を最初に
課題：揮発性関数使いすぎ問題</t>
      </text>
    </comment>
    <comment ref="C60" authorId="4" shapeId="0" xr:uid="{E1F71A79-91D1-4EAB-BB17-86DB79A67BD1}">
      <text>
        <r>
          <rPr>
            <b/>
            <sz val="12"/>
            <color indexed="81"/>
            <rFont val="MS P ゴシック"/>
            <family val="3"/>
            <charset val="128"/>
          </rPr>
          <t>DX-R7　11月着地見込　300　12月 減少する意図が不明
今が踏んでる価格のため、切り替えに向けて押すモデルの調整でなんとかつなぐ？</t>
        </r>
      </text>
    </comment>
    <comment ref="C61" authorId="4" shapeId="0" xr:uid="{55E6B9B5-6974-479C-83C3-0A8679C2F3DB}">
      <text>
        <r>
          <rPr>
            <b/>
            <sz val="12"/>
            <color indexed="81"/>
            <rFont val="MS P ゴシック"/>
            <family val="3"/>
            <charset val="128"/>
          </rPr>
          <t>DX-R7　11月着地見込　300　12月 減少する意図が不明
今が踏んでる価格のため、切り替えに向けて押すモデルの調整でなんとかつなぐ？</t>
        </r>
      </text>
    </comment>
    <comment ref="C111" authorId="4" shapeId="0" xr:uid="{0A77C04C-F013-4E18-9E76-F0A66A675582}">
      <text>
        <r>
          <rPr>
            <b/>
            <sz val="14"/>
            <color indexed="81"/>
            <rFont val="MS P ゴシック"/>
            <family val="3"/>
            <charset val="128"/>
          </rPr>
          <t xml:space="preserve">R7-RL　11月着地見込　30　12月以降減少する理由が不明
3月の切り替えまで持つかだけなので、数調整
</t>
        </r>
      </text>
    </comment>
    <comment ref="W145" authorId="5" shapeId="0" xr:uid="{48C5C813-098D-464F-B7C8-4397A1186A3C}">
      <text>
        <r>
          <rPr>
            <sz val="9"/>
            <color indexed="81"/>
            <rFont val="MS P ゴシック"/>
            <family val="3"/>
            <charset val="128"/>
          </rPr>
          <t>予測値　936
実績：739
一時在庫切れで納期を伸ばしている</t>
        </r>
      </text>
    </comment>
    <comment ref="J149" authorId="5" shapeId="0" xr:uid="{70137CF8-0F66-4C03-957B-395A61C3454F}">
      <text>
        <r>
          <rPr>
            <b/>
            <sz val="9"/>
            <color indexed="81"/>
            <rFont val="MS P ゴシック"/>
            <family val="3"/>
            <charset val="128"/>
          </rPr>
          <t>60+310(江幡さん)
→60+10
11/29に変更</t>
        </r>
      </text>
    </comment>
    <comment ref="C150" authorId="4" shapeId="0" xr:uid="{2233814A-5CEF-4855-96C5-067F09B6236F}">
      <text>
        <r>
          <rPr>
            <b/>
            <sz val="16"/>
            <color indexed="81"/>
            <rFont val="MS P ゴシック"/>
            <family val="3"/>
            <charset val="128"/>
          </rPr>
          <t xml:space="preserve">UL9C-R49　11月 着地見込 20→ 12月 50 は計画上困難とみてます。1.5倍程度、仕掛け等の用意があるか？
利益下げて処分
</t>
        </r>
      </text>
    </comment>
    <comment ref="C160" authorId="4" shapeId="0" xr:uid="{F805AF7B-D8A3-4017-A53F-D3C5B2E843BD}">
      <text>
        <r>
          <rPr>
            <b/>
            <sz val="14"/>
            <color indexed="81"/>
            <rFont val="MS P ゴシック"/>
            <family val="3"/>
            <charset val="128"/>
          </rPr>
          <t>RM7C-R45　→発売直後とは言え週次 10台程度、12月150の数値は想定できない。
4H2の時の繁忙期想定だっけ？</t>
        </r>
      </text>
    </comment>
    <comment ref="C161" authorId="4" shapeId="0" xr:uid="{EB8B92D4-58D8-4F0D-A5CB-A2BCE06D95CF}">
      <text>
        <r>
          <rPr>
            <b/>
            <sz val="14"/>
            <color indexed="81"/>
            <rFont val="MS P ゴシック"/>
            <family val="3"/>
            <charset val="128"/>
          </rPr>
          <t>RL5R-G165　11月着地見込 300 →12月 2倍以上の計画、12世代の3050の影響も受ける可能性が高いが、仕掛け等の用意があるか？
とりあえず価格コムと季節計数のみ、このモデルはどこまで引っ張るか、をもう一度確認</t>
        </r>
      </text>
    </comment>
    <comment ref="C173" authorId="4" shapeId="0" xr:uid="{0D28D92A-109A-47F0-889E-0388314A749B}">
      <text>
        <r>
          <rPr>
            <b/>
            <sz val="14"/>
            <color indexed="81"/>
            <rFont val="MS P ゴシック"/>
            <family val="3"/>
            <charset val="128"/>
          </rPr>
          <t xml:space="preserve">R5-RL5　11月着地見込　370　12月以降減少する理由が不明
持ってくる数字違ってるかなこれ
</t>
        </r>
      </text>
    </comment>
    <comment ref="C176" authorId="4" shapeId="0" xr:uid="{CE77E092-62B7-4EF4-88F9-BFD6EFC3EA7E}">
      <text>
        <r>
          <rPr>
            <b/>
            <sz val="14"/>
            <color indexed="81"/>
            <rFont val="MS P ゴシック"/>
            <family val="3"/>
            <charset val="128"/>
          </rPr>
          <t xml:space="preserve">A4-R　　11月　130　12月は200（在庫薄いので引き延ばす？　継続するなら追加を決める必要あり）
切り替えかと思ってたので、終息までどうするかだったんだけど、継続（n-1出来るか）なら、そのまま追加発注の検討に戻す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小野 雄己</author>
    <author>tc={0488DF82-3FDB-4D65-92E2-A453D786B55D}</author>
    <author>tc={11D96AA9-1FDA-430C-B1FE-454F4DD7F0F2}</author>
    <author>tc={1A2E4958-EF54-4ECA-89C3-08DA9DF2D3F4}</author>
    <author>西村 祐典</author>
    <author>鈴木 英祐</author>
  </authors>
  <commentList>
    <comment ref="AE1" authorId="0" shapeId="0" xr:uid="{C13174C4-3BAC-47A5-A688-D1B655FC1E17}">
      <text>
        <r>
          <rPr>
            <b/>
            <sz val="9"/>
            <color indexed="81"/>
            <rFont val="MS P ゴシック"/>
            <family val="3"/>
            <charset val="128"/>
          </rPr>
          <t>今月分は以下の関数で算出後　数値に置き換え
=IFERROR(
IF($C5="","",
  XLOOKUP($C5,
    INDIRECT("[在庫状況把握_2025_改良版v1.2.xlsx]月次報告25"&amp;TEXT(AE$1,"MM")&amp;"!$C:$C"),
    INDIRECT("[在庫状況把握_2025_改良版v1.2.xlsx]月次報告25"&amp;TEXT(AE$1,"MM")&amp;"!$E:$E")
  )
),"")</t>
        </r>
      </text>
    </comment>
    <comment ref="AL2" authorId="0" shapeId="0" xr:uid="{44BDC602-A0B8-44FE-96C4-D1DA8311876B}">
      <text>
        <r>
          <rPr>
            <sz val="9"/>
            <color indexed="81"/>
            <rFont val="MS P ゴシック"/>
            <family val="3"/>
            <charset val="128"/>
          </rPr>
          <t>=IF($C2="","",
LET(
_参照シート,"'[在庫状況把握_43期_2025-2026.xlsx]月次報告"&amp;TEXT(AL$1,"YYMM")&amp;"'",
_実績,
  XLOOKUP($C2,
    INDIRECT(_参照シート&amp;"!$C$1:$C$300"),
    INDIRECT(_参照シート&amp;"!$G$1:$G$300")
  ),
_着地予測,
  XLOOKUP($C2,
    INDIRECT(_参照シート&amp;"!$C$1:$C$300"),
    INDIRECT(_参照シート&amp;"!$AG$1:$AG$300")
  ),
_係数予測,IF(OR(AK2=0,AK2=""),"",AK2*AL$26),
_今月1日,EOMONTH(基準データ!$C$5,-1)+1,
_先月まで実績。今月は着地予測。翌月から係数予測,IFS(AL$1&lt;_今月1日,_実績,AL$1=_今月1日,_着地予測,"true",_係数予測),
IFERROR(_先月まで実績。今月は着地予測。翌月から係数予測,"")
))</t>
        </r>
      </text>
    </comment>
    <comment ref="AD3" authorId="1" shapeId="0" xr:uid="{0488DF82-3FDB-4D65-92E2-A453D786B55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この列の数式要検証</t>
      </text>
    </comment>
    <comment ref="AE3" authorId="2" shapeId="0" xr:uid="{11D96AA9-1FDA-430C-B1FE-454F4DD7F0F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条件分岐版運用開始　しばらく様子を見る</t>
      </text>
    </comment>
    <comment ref="AG3" authorId="3" shapeId="0" xr:uid="{1A2E4958-EF54-4ECA-89C3-08DA9DF2D3F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年越しに対応。計算不要時の処理を最初に
課題：揮発性関数使いすぎ問題</t>
      </text>
    </comment>
    <comment ref="C60" authorId="4" shapeId="0" xr:uid="{74BBBE06-BEA8-41D4-8C70-0663867CE57E}">
      <text>
        <r>
          <rPr>
            <b/>
            <sz val="12"/>
            <color indexed="81"/>
            <rFont val="MS P ゴシック"/>
            <family val="3"/>
            <charset val="128"/>
          </rPr>
          <t>DX-R7　11月着地見込　300　12月 減少する意図が不明
今が踏んでる価格のため、切り替えに向けて押すモデルの調整でなんとかつなぐ？</t>
        </r>
      </text>
    </comment>
    <comment ref="C61" authorId="4" shapeId="0" xr:uid="{4E493DF4-44BC-4DED-A096-530BC0EC30F9}">
      <text>
        <r>
          <rPr>
            <b/>
            <sz val="12"/>
            <color indexed="81"/>
            <rFont val="MS P ゴシック"/>
            <family val="3"/>
            <charset val="128"/>
          </rPr>
          <t>DX-R7　11月着地見込　300　12月 減少する意図が不明
今が踏んでる価格のため、切り替えに向けて押すモデルの調整でなんとかつなぐ？</t>
        </r>
      </text>
    </comment>
    <comment ref="C111" authorId="4" shapeId="0" xr:uid="{5F2EC77A-A037-428C-BE61-C7B48DCC6045}">
      <text>
        <r>
          <rPr>
            <b/>
            <sz val="14"/>
            <color indexed="81"/>
            <rFont val="MS P ゴシック"/>
            <family val="3"/>
            <charset val="128"/>
          </rPr>
          <t xml:space="preserve">R7-RL　11月着地見込　30　12月以降減少する理由が不明
3月の切り替えまで持つかだけなので、数調整
</t>
        </r>
      </text>
    </comment>
    <comment ref="W145" authorId="5" shapeId="0" xr:uid="{7B5871A5-D7F8-43FF-8AAA-765BE58DE781}">
      <text>
        <r>
          <rPr>
            <sz val="9"/>
            <color indexed="81"/>
            <rFont val="MS P ゴシック"/>
            <family val="3"/>
            <charset val="128"/>
          </rPr>
          <t>予測値　936
実績：739
一時在庫切れで納期を伸ばしている</t>
        </r>
      </text>
    </comment>
    <comment ref="J149" authorId="5" shapeId="0" xr:uid="{E2AD273D-7859-440D-9C95-CCB1CAF0A8A0}">
      <text>
        <r>
          <rPr>
            <b/>
            <sz val="9"/>
            <color indexed="81"/>
            <rFont val="MS P ゴシック"/>
            <family val="3"/>
            <charset val="128"/>
          </rPr>
          <t>60+310(江幡さん)
→60+10
11/29に変更</t>
        </r>
      </text>
    </comment>
    <comment ref="C150" authorId="4" shapeId="0" xr:uid="{AC6C7362-3719-4FB7-A6F7-DBAFFF65AA4D}">
      <text>
        <r>
          <rPr>
            <b/>
            <sz val="16"/>
            <color indexed="81"/>
            <rFont val="MS P ゴシック"/>
            <family val="3"/>
            <charset val="128"/>
          </rPr>
          <t xml:space="preserve">UL9C-R49　11月 着地見込 20→ 12月 50 は計画上困難とみてます。1.5倍程度、仕掛け等の用意があるか？
利益下げて処分
</t>
        </r>
      </text>
    </comment>
    <comment ref="C160" authorId="4" shapeId="0" xr:uid="{D1511804-5944-4459-B751-920733EC4AB0}">
      <text>
        <r>
          <rPr>
            <b/>
            <sz val="14"/>
            <color indexed="81"/>
            <rFont val="MS P ゴシック"/>
            <family val="3"/>
            <charset val="128"/>
          </rPr>
          <t>RM7C-R45　→発売直後とは言え週次 10台程度、12月150の数値は想定できない。
4H2の時の繁忙期想定だっけ？</t>
        </r>
      </text>
    </comment>
    <comment ref="C161" authorId="4" shapeId="0" xr:uid="{999F9009-038E-40C3-899E-D0F5E7580F72}">
      <text>
        <r>
          <rPr>
            <b/>
            <sz val="14"/>
            <color indexed="81"/>
            <rFont val="MS P ゴシック"/>
            <family val="3"/>
            <charset val="128"/>
          </rPr>
          <t>RL5R-G165　11月着地見込 300 →12月 2倍以上の計画、12世代の3050の影響も受ける可能性が高いが、仕掛け等の用意があるか？
とりあえず価格コムと季節計数のみ、このモデルはどこまで引っ張るか、をもう一度確認</t>
        </r>
      </text>
    </comment>
    <comment ref="C173" authorId="4" shapeId="0" xr:uid="{79395608-0019-4D4A-B09B-7F76E914A2C2}">
      <text>
        <r>
          <rPr>
            <b/>
            <sz val="14"/>
            <color indexed="81"/>
            <rFont val="MS P ゴシック"/>
            <family val="3"/>
            <charset val="128"/>
          </rPr>
          <t xml:space="preserve">R5-RL5　11月着地見込　370　12月以降減少する理由が不明
持ってくる数字違ってるかなこれ
</t>
        </r>
      </text>
    </comment>
    <comment ref="C176" authorId="4" shapeId="0" xr:uid="{B59D81F6-1869-43C2-AE61-3619D47092B0}">
      <text>
        <r>
          <rPr>
            <b/>
            <sz val="14"/>
            <color indexed="81"/>
            <rFont val="MS P ゴシック"/>
            <family val="3"/>
            <charset val="128"/>
          </rPr>
          <t xml:space="preserve">A4-R　　11月　130　12月は200（在庫薄いので引き延ばす？　継続するなら追加を決める必要あり）
切り替えかと思ってたので、終息までどうするかだったんだけど、継続（n-1出来るか）なら、そのまま追加発注の検討に戻す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小野 雄己</author>
    <author>tc={42979F24-1E28-4C4C-9190-B94A730A3D61}</author>
    <author>tc={43D7F728-9299-4099-848A-77E5CDDFA569}</author>
    <author>tc={EA66CC4A-3340-4A18-A8A5-E8D8CEE54F1F}</author>
    <author>tc={56878D53-2A43-4637-82E7-D633769C5C4B}</author>
    <author>tc={D9728113-DB85-43EE-9D21-CDBD9EA7FE60}</author>
    <author>tc={57056E73-8919-42BB-ABEA-2EA6575CFC55}</author>
    <author>tc={2D2A3C74-AF5B-4E25-AA6E-BC9356366ACC}</author>
    <author>tc={BBAADD7B-3121-4932-BC16-9D5A2682D55F}</author>
    <author>tc={24B7A9A3-EA65-4A93-B9D7-9A2F34EE3812}</author>
    <author>tc={77AB5F78-6D24-47CA-9CD1-081419B6CF52}</author>
    <author>tc={7042D02A-933D-4E28-B782-2927612E9CE7}</author>
    <author>tc={D45C380C-D72E-41ED-9DEF-19BC21BD58C4}</author>
    <author>tc={65245D94-8698-46C5-8D43-7CF9BE108733}</author>
    <author>tc={F9017F67-195F-4A26-B378-3BE39E72A9A9}</author>
    <author>tc={C419A147-7F70-4F2B-B5E3-DAD63C4D33E3}</author>
    <author>tc={99EB1C71-349D-4163-BB22-A0B0F11DA5BE}</author>
    <author>tc={D3233424-0D50-4CB1-8535-19310246AE5D}</author>
    <author>tc={EFF8C6B6-396C-4252-9B93-5491DB282B59}</author>
    <author>西村 祐典</author>
    <author>tc={A44CFE1F-DA8B-4180-B30D-F07C0BA783A5}</author>
    <author>tc={67E14D20-C9FD-41E5-81AE-C125821CEE7F}</author>
    <author>tc={803B22D0-320A-4701-A139-0253AFAE9D17}</author>
    <author>tc={84207548-4C79-4F61-937F-FD31A3435DC1}</author>
    <author>tc={4B29D36F-6D68-4EBE-9B99-6146AECF2D4E}</author>
    <author>tc={DD702DD9-D48F-4EDA-BE32-38A60B15B091}</author>
    <author>tc={45A880CE-E5B1-4DF2-8081-39EFC55EF3EA}</author>
    <author>tc={8D4D6157-971A-4F1A-8F5F-2582E3D9E973}</author>
    <author>tc={54D90A80-9CAB-4C60-9DDA-89E6ECBA97D4}</author>
    <author>tc={ACF98FD3-1DF4-4DCF-85B2-BB7124054257}</author>
    <author>tc={7492783E-7BD0-4E06-8F9A-44496832B784}</author>
    <author>tc={702AEB6E-AB77-4EE2-9180-4D8411DE8D3B}</author>
  </authors>
  <commentList>
    <comment ref="A1" authorId="0" shapeId="0" xr:uid="{FBF419CA-3F2F-41C5-BE6C-4D69F0AB7309}">
      <text>
        <r>
          <rPr>
            <b/>
            <sz val="9"/>
            <color indexed="81"/>
            <rFont val="MS P ゴシック"/>
            <family val="3"/>
            <charset val="128"/>
          </rPr>
          <t>前月比予測がどのくらいの精度か検証したかった。
大口のモデルは過去推移に沿うだろうとの予測
グループを分割してそれぞれの係数があれば予測精度が上がるので
小口は全体からの月負担で考えたほうが近い数値？
在庫過不足をなくしたい
UZシリーズは過度の在庫を持ちたくない
→1年分の在庫を把握できれば、売り切れる
→極論回転率を度外視してもいいのでは
大口のモデルは回転率重視
→前月ベースで追従するイメージ
→
計画乖離　に対して機械的に　施策か修正を隔週？程度で通知
→日割り進捗30%(仮)以上の乖離→「宿題」に記載　みたいに
　修正の場合、他モデル含めて台数の整合性を取ることを求める
　</t>
        </r>
      </text>
    </comment>
    <comment ref="G1" authorId="0" shapeId="0" xr:uid="{EA085038-C74F-46FF-84FB-D82761591207}">
      <text>
        <r>
          <rPr>
            <b/>
            <sz val="9"/>
            <color indexed="81"/>
            <rFont val="MS P ゴシック"/>
            <family val="3"/>
            <charset val="128"/>
          </rPr>
          <t>直近3ヶ月で販売可能台数</t>
        </r>
      </text>
    </comment>
    <comment ref="AH1" authorId="1" shapeId="0" xr:uid="{42979F24-1E28-4C4C-9190-B94A730A3D6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前月まで：実績
当月：着地予測
翌月以降：前月*季節係数
に条件分岐
条件分岐自体は（全体実績＋予測）シートで行い、このシートは転記のみ行う</t>
      </text>
    </comment>
    <comment ref="AF3" authorId="0" shapeId="0" xr:uid="{C155B9E2-E5ED-4932-8BD3-063D62489DDE}">
      <text>
        <r>
          <rPr>
            <sz val="9"/>
            <color indexed="81"/>
            <rFont val="MS P ゴシック"/>
            <family val="3"/>
            <charset val="128"/>
          </rPr>
          <t>旧
=IFERROR(IF(SUM(INDEX('在庫使用計画 (一般)'!$A$1:$ZY$541,MATCH($C3,'在庫使用計画 (一般)'!$C$1:$C$541,0),MATCH(AF$1,'在庫使用計画 (一般)'!$A$1:$ZY$1,0)),INDEX('在庫使用計画 (法人)'!$A$1:$AR$551,MATCH($C3,'在庫使用計画 (法人)'!$C$1:$C$551,0),MATCH(AF$1,'在庫使用計画 (法人)'!$A$1:$AR$1,0)))=0,"",SUM(INDEX('在庫使用計画 (一般)'!$A$1:$ZY$541,MATCH($C3,'在庫使用計画 (一般)'!$C$1:$C$541,0),MATCH(AF$1,'在庫使用計画 (一般)'!$A$1:$ZY$1,0)),INDEX('在庫使用計画 (法人)'!$A$1:$AR$551,MATCH($C3,'在庫使用計画 (法人)'!$C$1:$C$551,0),MATCH(AF$1,'在庫使用計画 (法人)'!$A$1:$AR$1,0)))),"")
新
=XLOOKUP(
$C3,'在庫使用計画 (ノート全体試算)'!$C$1:$C$150,'在庫使用計画 (ノート全体試算)'!AE$1:AE$150,""
)</t>
        </r>
      </text>
    </comment>
    <comment ref="AF4" authorId="0" shapeId="0" xr:uid="{8B1C6947-5D37-403D-AEC4-C17DEE1FDE26}">
      <text>
        <r>
          <rPr>
            <sz val="9"/>
            <color indexed="81"/>
            <rFont val="MS P ゴシック"/>
            <family val="3"/>
            <charset val="128"/>
          </rPr>
          <t>旧
=IFERROR(IF(SUM(INDEX('在庫使用計画 (全体実績+予測）'!$A$1:$ZY$527,MATCH($C4,'在庫使用計画 (全体実績+予測）'!$C$1:$C$527,0),MATCH(AE$1,'在庫使用計画 (全体実績+予測）'!$A$1:$ZY$1,0)))=0,"",SUM(INDEX('在庫使用計画 (全体実績+予測）'!$A$1:$ZY$527,MATCH($C4,'在庫使用計画 (全体実績+予測）'!$C$1:$C$527,0),MATCH(AE$1,'在庫使用計画 (全体実績+予測）'!$A$1:$ZY$1,0)))),"")
新　LET関数導入とSUMの削除、INDEX範囲の縮小（来年末まで）
=LET(_全体実績予測,
  INDEX('在庫使用計画 (全体実績+予測）'!$A$1:$BD$200,
    MATCH($C4,'在庫使用計画 (全体実績+予測）'!$C$1:$C$200,0),
    MATCH(AF$1,'在庫使用計画 (全体実績+予測）'!$A$1:$BD$1,0)
),
  IFERROR(
    IF(_全体実績予測=0,"",_全体実績予測),
  "")
)</t>
        </r>
      </text>
    </comment>
    <comment ref="AK4" authorId="0" shapeId="0" xr:uid="{4C9A159F-96BE-42C8-AE5B-383F26BCA325}">
      <text>
        <r>
          <rPr>
            <b/>
            <sz val="9"/>
            <color indexed="81"/>
            <rFont val="MS P ゴシック"/>
            <family val="3"/>
            <charset val="128"/>
          </rPr>
          <t>法人110台販売予定の進捗はいかがでしょうか</t>
        </r>
      </text>
    </comment>
    <comment ref="AN7" authorId="2" shapeId="0" xr:uid="{43D7F728-9299-4099-848A-77E5CDDFA56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販売促進を。プロモ課にはお声掛けしました</t>
      </text>
    </comment>
    <comment ref="C8" authorId="0" shapeId="0" xr:uid="{5A529318-E1DC-47A7-AF75-23FA6CAA3656}">
      <text>
        <r>
          <rPr>
            <sz val="9"/>
            <color indexed="81"/>
            <rFont val="MS P ゴシック"/>
            <family val="3"/>
            <charset val="128"/>
          </rPr>
          <t>4/23発売予定</t>
        </r>
      </text>
    </comment>
    <comment ref="AN9" authorId="3" shapeId="0" xr:uid="{EA66CC4A-3340-4A18-A8A5-E8D8CEE54F1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X広告と見られる流入あり。久末さん値上げの可能性示唆</t>
      </text>
    </comment>
    <comment ref="AN10" authorId="4" shapeId="0" xr:uid="{56878D53-2A43-4637-82E7-D633769C5C4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EOL</t>
      </text>
    </comment>
    <comment ref="J11" authorId="0" shapeId="0" xr:uid="{6679812A-9663-4E9B-B123-80F2B044D1C4}">
      <text>
        <r>
          <rPr>
            <b/>
            <sz val="9"/>
            <color indexed="81"/>
            <rFont val="MS P ゴシック"/>
            <family val="3"/>
            <charset val="128"/>
          </rPr>
          <t>3/26
売れ行き不調だが、継続モデル
計画修正か、施策の実施を</t>
        </r>
      </text>
    </comment>
    <comment ref="C12" authorId="0" shapeId="0" xr:uid="{ED9CE8BF-80F8-4F62-AEE2-EA4C0158D1C0}">
      <text>
        <r>
          <rPr>
            <b/>
            <sz val="9"/>
            <color indexed="81"/>
            <rFont val="MS P ゴシック"/>
            <family val="3"/>
            <charset val="128"/>
          </rPr>
          <t>7月以降も継続</t>
        </r>
        <r>
          <rPr>
            <sz val="9"/>
            <color indexed="81"/>
            <rFont val="MS P ゴシック"/>
            <family val="3"/>
            <charset val="128"/>
          </rPr>
          <t xml:space="preserve">
</t>
        </r>
      </text>
    </comment>
    <comment ref="C14" authorId="0" shapeId="0" xr:uid="{C6C03AD0-6C33-4B2A-8567-1D5B2734FB3F}">
      <text>
        <r>
          <rPr>
            <b/>
            <sz val="9"/>
            <color indexed="81"/>
            <rFont val="MS P ゴシック"/>
            <family val="3"/>
            <charset val="128"/>
          </rPr>
          <t>7月以降も継続！</t>
        </r>
      </text>
    </comment>
    <comment ref="J15" authorId="0" shapeId="0" xr:uid="{71E1F178-EEDE-4BFC-BDAD-EF61DFEA79C4}">
      <text>
        <r>
          <rPr>
            <b/>
            <sz val="9"/>
            <color indexed="81"/>
            <rFont val="MS P ゴシック"/>
            <family val="3"/>
            <charset val="128"/>
          </rPr>
          <t>3/26
売れ行き不調だが、継続モデル
計画修正か、施策の実施を</t>
        </r>
      </text>
    </comment>
    <comment ref="AM16" authorId="5" shapeId="0" xr:uid="{D9728113-DB85-43EE-9D21-CDBD9EA7FE6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リペア移動済？</t>
      </text>
    </comment>
    <comment ref="J19" authorId="0" shapeId="0" xr:uid="{3F8E644E-713E-4BE5-94C1-FE714DB40C01}">
      <text>
        <r>
          <rPr>
            <b/>
            <sz val="9"/>
            <color indexed="81"/>
            <rFont val="MS P ゴシック"/>
            <family val="3"/>
            <charset val="128"/>
          </rPr>
          <t>XL7R-R56-6Aを先に収束させるとの認識
在庫消化までの計画を記入願います。</t>
        </r>
      </text>
    </comment>
    <comment ref="AO23" authorId="6" shapeId="0" xr:uid="{57056E73-8919-42BB-ABEA-2EA6575CFC5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R56ラインが消えそう</t>
      </text>
    </comment>
    <comment ref="AP25" authorId="7" shapeId="0" xr:uid="{2D2A3C74-AF5B-4E25-AA6E-BC9356366AC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8/20受注開始予定</t>
      </text>
    </comment>
    <comment ref="AS28" authorId="8" shapeId="0" xr:uid="{BBAADD7B-3121-4932-BC16-9D5A2682D55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後継タイミング的にはあまり問題ないか</t>
      </text>
    </comment>
    <comment ref="C31" authorId="9" shapeId="0" xr:uid="{24B7A9A3-EA65-4A93-B9D7-9A2F34EE381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LCD不足？</t>
      </text>
    </comment>
    <comment ref="AP31" authorId="10" shapeId="0" xr:uid="{77AB5F78-6D24-47CA-9CD1-081419B6CF5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後継タイミング的には実績は+1ヶ月程度の在庫に見えます。ただ在庫数を減らすという意味では影響大です。施策もしくは計画の修正をお願いします。</t>
      </text>
    </comment>
    <comment ref="J32" authorId="0" shapeId="0" xr:uid="{7A8B93D6-73C7-422E-8FA3-15FFC864A156}">
      <text>
        <r>
          <rPr>
            <b/>
            <sz val="9"/>
            <color indexed="81"/>
            <rFont val="MS P ゴシック"/>
            <family val="3"/>
            <charset val="128"/>
          </rPr>
          <t>3/26
後継モデルを考慮するともう少し販売の加速が必要</t>
        </r>
      </text>
    </comment>
    <comment ref="AQ33" authorId="11" shapeId="0" xr:uid="{7042D02A-933D-4E28-B782-2927612E9CE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9/3受注開始予定</t>
      </text>
    </comment>
    <comment ref="J35" authorId="12" shapeId="0" xr:uid="{D45C380C-D72E-41ED-9DEF-19BC21BD58C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CPU供給状況不安のため、一部納期未定。もっと欲しいか？550台</t>
      </text>
    </comment>
    <comment ref="AM37" authorId="13" shapeId="0" xr:uid="{65245D94-8698-46C5-8D43-7CF9BE10873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リペア移動済？</t>
      </text>
    </comment>
    <comment ref="C47" authorId="0" shapeId="0" xr:uid="{48BC9625-4375-4611-ADB4-9D4F067FE7A3}">
      <text>
        <r>
          <rPr>
            <b/>
            <sz val="9"/>
            <color indexed="81"/>
            <rFont val="MS P ゴシック"/>
            <family val="3"/>
            <charset val="128"/>
          </rPr>
          <t>実績</t>
        </r>
      </text>
    </comment>
    <comment ref="J52" authorId="0" shapeId="0" xr:uid="{B8582BA7-F9B1-4F61-8A7A-17F263BE711D}">
      <text>
        <r>
          <rPr>
            <b/>
            <sz val="9"/>
            <color indexed="81"/>
            <rFont val="MS P ゴシック"/>
            <family val="3"/>
            <charset val="128"/>
          </rPr>
          <t>3/27
9月後継BYD発売見込み</t>
        </r>
      </text>
    </comment>
    <comment ref="C60" authorId="0" shapeId="0" xr:uid="{9DEC90A2-F936-4EDD-8062-8E3858A6D711}">
      <text>
        <r>
          <rPr>
            <b/>
            <sz val="9"/>
            <color indexed="81"/>
            <rFont val="MS P ゴシック"/>
            <family val="3"/>
            <charset val="128"/>
          </rPr>
          <t>3/27
現状これと新モデルだけ継続
RL7C-R56/55-C5Nは未定</t>
        </r>
      </text>
    </comment>
    <comment ref="J65" authorId="0" shapeId="0" xr:uid="{7D779A25-5620-4345-A9A8-760E622FA161}">
      <text>
        <r>
          <rPr>
            <b/>
            <sz val="9"/>
            <color indexed="81"/>
            <rFont val="MS P ゴシック"/>
            <family val="3"/>
            <charset val="128"/>
          </rPr>
          <t>3/27
継続するか未定。企画にて決定する必要あり</t>
        </r>
      </text>
    </comment>
    <comment ref="J67" authorId="0" shapeId="0" xr:uid="{F21AF337-C696-493D-B08B-79F32A6A19DA}">
      <text>
        <r>
          <rPr>
            <b/>
            <sz val="9"/>
            <color indexed="81"/>
            <rFont val="MS P ゴシック"/>
            <family val="3"/>
            <charset val="128"/>
          </rPr>
          <t>3/27
継続するか未定。企画にて決定する必要あり</t>
        </r>
      </text>
    </comment>
    <comment ref="AP67" authorId="14" shapeId="0" xr:uid="{F9017F67-195F-4A26-B378-3BE39E72A9A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計画数の不足</t>
      </text>
    </comment>
    <comment ref="B73" authorId="0" shapeId="0" xr:uid="{68200184-2F1A-49EF-8977-1CFC15D164A8}">
      <text>
        <r>
          <rPr>
            <b/>
            <sz val="9"/>
            <color indexed="81"/>
            <rFont val="MS P ゴシック"/>
            <family val="3"/>
            <charset val="128"/>
          </rPr>
          <t>液晶不足により1月EOL</t>
        </r>
      </text>
    </comment>
    <comment ref="AN75" authorId="15" shapeId="0" xr:uid="{C419A147-7F70-4F2B-B5E3-DAD63C4D33E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計画数の不足</t>
      </text>
    </comment>
    <comment ref="J93" authorId="0" shapeId="0" xr:uid="{D4F0A83D-9912-4F0D-AC00-92BB6749765C}">
      <text>
        <r>
          <rPr>
            <b/>
            <sz val="9"/>
            <color indexed="81"/>
            <rFont val="MS P ゴシック"/>
            <family val="3"/>
            <charset val="128"/>
          </rPr>
          <t>売り切る計画を</t>
        </r>
      </text>
    </comment>
    <comment ref="AP99" authorId="16" shapeId="0" xr:uid="{99EB1C71-349D-4163-BB22-A0B0F11DA5B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要計画修正</t>
      </text>
    </comment>
    <comment ref="B100" authorId="17" shapeId="0" xr:uid="{D3233424-0D50-4CB1-8535-19310246AE5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要確認</t>
      </text>
    </comment>
    <comment ref="C100" authorId="18" shapeId="0" xr:uid="{EFF8C6B6-396C-4252-9B93-5491DB282B5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2025/10/31追加</t>
      </text>
    </comment>
    <comment ref="C103" authorId="19" shapeId="0" xr:uid="{B2DE479F-EE51-419F-AA0E-3602D2164470}">
      <text>
        <r>
          <rPr>
            <b/>
            <sz val="12"/>
            <color indexed="81"/>
            <rFont val="MS P ゴシック"/>
            <family val="3"/>
            <charset val="128"/>
          </rPr>
          <t>DX-R7　11月着地見込　300　12月 減少する意図が不明
今が踏んでる価格のため、切り替えに向けて押すモデルの調整でなんとかつなぐ？</t>
        </r>
      </text>
    </comment>
    <comment ref="AM103" authorId="20" shapeId="0" xr:uid="{A44CFE1F-DA8B-4180-B30D-F07C0BA783A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保守用</t>
      </text>
    </comment>
    <comment ref="C105" authorId="19" shapeId="0" xr:uid="{E22A73EC-77B3-4AAD-BCDC-20F3A77F1DE2}">
      <text>
        <r>
          <rPr>
            <b/>
            <sz val="12"/>
            <color indexed="81"/>
            <rFont val="MS P ゴシック"/>
            <family val="3"/>
            <charset val="128"/>
          </rPr>
          <t>DX-R7　11月着地見込　300　12月 減少する意図が不明
今が踏んでる価格のため、切り替えに向けて押すモデルの調整でなんとかつなぐ？</t>
        </r>
      </text>
    </comment>
    <comment ref="AN105" authorId="21" shapeId="0" xr:uid="{67E14D20-C9FD-41E5-81AE-C125821CEE7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保守用</t>
      </text>
    </comment>
    <comment ref="AM113" authorId="22" shapeId="0" xr:uid="{803B22D0-320A-4701-A139-0253AFAE9D1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一般。販売加速が必要</t>
      </text>
    </comment>
    <comment ref="C129" authorId="23" shapeId="0" xr:uid="{84207548-4C79-4F61-937F-FD31A3435DC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DX-R3→2-3月切り替え</t>
      </text>
    </comment>
    <comment ref="AN129" authorId="24" shapeId="0" xr:uid="{4B29D36F-6D68-4EBE-9B99-6146AECF2D4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ここからに期待</t>
      </text>
    </comment>
    <comment ref="C135" authorId="25" shapeId="0" xr:uid="{DD702DD9-D48F-4EDA-BE32-38A60B15B09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2025/10/31追加</t>
      </text>
    </comment>
    <comment ref="C137" authorId="26" shapeId="0" xr:uid="{45A880CE-E5B1-4DF2-8081-39EFC55EF3E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2025/10/31追加</t>
      </text>
    </comment>
    <comment ref="C141" authorId="27" shapeId="0" xr:uid="{8D4D6157-971A-4F1A-8F5F-2582E3D9E97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2025/10/30追加</t>
      </text>
    </comment>
    <comment ref="C145" authorId="28" shapeId="0" xr:uid="{54D90A80-9CAB-4C60-9DDA-89E6ECBA97D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2025/10/30追加</t>
      </text>
    </comment>
    <comment ref="C147" authorId="29" shapeId="0" xr:uid="{ACF98FD3-1DF4-4DCF-85B2-BB712405425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2025/10/30追加</t>
      </text>
    </comment>
    <comment ref="B151" authorId="30" shapeId="0" xr:uid="{7492783E-7BD0-4E06-8F9A-44496832B78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要確認</t>
      </text>
    </comment>
    <comment ref="C151" authorId="31" shapeId="0" xr:uid="{702AEB6E-AB77-4EE2-9180-4D8411DE8D3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2025/10/30追加</t>
      </text>
    </comment>
    <comment ref="C181" authorId="19" shapeId="0" xr:uid="{764FF90F-22F6-4C8B-ADA8-06AB6F7AA0C5}">
      <text>
        <r>
          <rPr>
            <b/>
            <sz val="14"/>
            <color indexed="81"/>
            <rFont val="MS P ゴシック"/>
            <family val="3"/>
            <charset val="128"/>
          </rPr>
          <t xml:space="preserve">R7-RL　11月着地見込　30　12月以降減少する理由が不明
3月の切り替えまで持つかだけなので、数調整
</t>
        </r>
      </text>
    </comment>
    <comment ref="G190" authorId="0" shapeId="0" xr:uid="{A6FCFDDE-9ABD-4B04-BC1A-1B8BE2D613ED}">
      <text>
        <r>
          <rPr>
            <b/>
            <sz val="9"/>
            <color indexed="81"/>
            <rFont val="MS P ゴシック"/>
            <family val="3"/>
            <charset val="128"/>
          </rPr>
          <t>法人
リペア移動依頼済み？</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小野 雄己</author>
    <author>tc={37FCCB72-5B40-41C7-AC7F-21293BB2EE84}</author>
    <author>tc={A33D859E-4B18-41F8-8BE7-77D7062989B4}</author>
    <author>tc={9150B837-4E34-49EC-BC54-5B45CC21CE56}</author>
    <author>tc={8880FDE1-1721-47C8-8C08-ACF39E46DE35}</author>
    <author>tc={CD217AC5-AFC6-4DD9-A78A-988D36979A00}</author>
    <author>tc={54710496-D1EC-40E5-A0D8-1A9E826AE903}</author>
    <author>tc={EE613840-F0CF-41D5-A7E1-9DED3092E695}</author>
    <author>tc={9E3C7B57-3841-4B1F-AAEB-784FD56B219B}</author>
    <author>tc={435F634C-F50C-432F-869C-36DD66B3E716}</author>
    <author>tc={166B5FB9-47FB-43EE-8672-D1A901B87FC1}</author>
    <author>西村 祐典</author>
    <author>tc={44733CF6-EEE7-41C2-B88E-93D532CFF116}</author>
    <author>鈴木 英祐</author>
  </authors>
  <commentList>
    <comment ref="I1" authorId="0" shapeId="0" xr:uid="{901766FB-F554-4A7C-9D91-59BBDC311F87}">
      <text>
        <r>
          <rPr>
            <b/>
            <sz val="9"/>
            <color indexed="81"/>
            <rFont val="MS P ゴシック"/>
            <family val="3"/>
            <charset val="128"/>
          </rPr>
          <t>在庫+注残≧4ヶ月計画となっていること
旧式
=LET(_今月から4ヶ月計画合計,
  SUM(
    OFFSET($A3,0,
      MATCH(
        EDATE(TODAY(),3),$A$1:$BE$1,1
      )-4,1,4)),
  IF($D3="","",_今月から4ヶ月計画合計
)
)</t>
        </r>
      </text>
    </comment>
    <comment ref="J1" authorId="0" shapeId="0" xr:uid="{7C1F3928-AFFF-410C-A28F-20CE58C4403F}">
      <text>
        <r>
          <rPr>
            <b/>
            <sz val="9"/>
            <color indexed="81"/>
            <rFont val="MS P ゴシック"/>
            <family val="3"/>
            <charset val="128"/>
          </rPr>
          <t>今月分を0.5ヶ月として計算
ノート（企画・法人）会議にて使用</t>
        </r>
      </text>
    </comment>
    <comment ref="AH1" authorId="1" shapeId="0" xr:uid="{37FCCB72-5B40-41C7-AC7F-21293BB2EE8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2025/11/17　LETに変更経過確認</t>
      </text>
    </comment>
    <comment ref="AV1" authorId="2" shapeId="0" xr:uid="{A33D859E-4B18-41F8-8BE7-77D7062989B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2025/11/12~テスト中
検索範囲拡大＋可読性向上</t>
      </text>
    </comment>
    <comment ref="AU3" authorId="3" shapeId="0" xr:uid="{9150B837-4E34-49EC-BC54-5B45CC21CE5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参照内容の不足2028/1~</t>
      </text>
    </comment>
    <comment ref="AM5" authorId="4" shapeId="0" xr:uid="{8880FDE1-1721-47C8-8C08-ACF39E46DE3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リリース予定3/16wk中にアナウンス</t>
      </text>
    </comment>
    <comment ref="C7" authorId="5" shapeId="0" xr:uid="{CD217AC5-AFC6-4DD9-A78A-988D36979A0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継続</t>
      </text>
    </comment>
    <comment ref="C9" authorId="6" shapeId="0" xr:uid="{54710496-D1EC-40E5-A0D8-1A9E826AE90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継続</t>
      </text>
    </comment>
    <comment ref="C16" authorId="7" shapeId="0" xr:uid="{EE613840-F0CF-41D5-A7E1-9DED3092E69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2026/04/09 追加発注なし（購買仕込会議にて決定）</t>
      </text>
    </comment>
    <comment ref="AR31" authorId="8" shapeId="0" xr:uid="{9E3C7B57-3841-4B1F-AAEB-784FD56B219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マイルストーン次第</t>
      </text>
    </comment>
    <comment ref="C35" authorId="9" shapeId="0" xr:uid="{435F634C-F50C-432F-869C-36DD66B3E71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MOQ1K。発注は3ヶ月位内。</t>
      </text>
    </comment>
    <comment ref="AR43" authorId="10" shapeId="0" xr:uid="{166B5FB9-47FB-43EE-8672-D1A901B87FC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9月ローンチ予定.R45R35から切替
14"　RAM32GB固定→32GB/16GBオンボードメモリ</t>
      </text>
    </comment>
    <comment ref="C60" authorId="11" shapeId="0" xr:uid="{41BBDCB4-8FDC-42E5-84CA-E07B5CEABDDE}">
      <text>
        <r>
          <rPr>
            <b/>
            <sz val="12"/>
            <color indexed="81"/>
            <rFont val="MS P ゴシック"/>
            <family val="3"/>
            <charset val="128"/>
          </rPr>
          <t>DX-R7　11月着地見込　300　12月 減少する意図が不明
今が踏んでる価格のため、切り替えに向けて押すモデルの調整でなんとかつなぐ？</t>
        </r>
      </text>
    </comment>
    <comment ref="C61" authorId="11" shapeId="0" xr:uid="{97D9B72A-BB25-4B89-B757-A09F971D2EFD}">
      <text>
        <r>
          <rPr>
            <b/>
            <sz val="12"/>
            <color indexed="81"/>
            <rFont val="MS P ゴシック"/>
            <family val="3"/>
            <charset val="128"/>
          </rPr>
          <t>DX-R7　11月着地見込　300　12月 減少する意図が不明
今が踏んでる価格のため、切り替えに向けて押すモデルの調整でなんとかつなぐ？</t>
        </r>
      </text>
    </comment>
    <comment ref="C95" authorId="12" shapeId="0" xr:uid="{44733CF6-EEE7-41C2-B88E-93D532CFF11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TW14は1年で10KのMOQ。色ごとに黒4K、青3K、金3K</t>
      </text>
    </comment>
    <comment ref="C111" authorId="11" shapeId="0" xr:uid="{53DE2A49-7683-4FE3-ABF6-C00367F1DA64}">
      <text>
        <r>
          <rPr>
            <b/>
            <sz val="14"/>
            <color indexed="81"/>
            <rFont val="MS P ゴシック"/>
            <family val="3"/>
            <charset val="128"/>
          </rPr>
          <t xml:space="preserve">R7-RL　11月着地見込　30　12月以降減少する理由が不明
3月の切り替えまで持つかだけなので、数調整
</t>
        </r>
      </text>
    </comment>
    <comment ref="M152" authorId="13" shapeId="0" xr:uid="{9C2F2222-0054-4E86-9564-9F53902DE188}">
      <text>
        <r>
          <rPr>
            <b/>
            <sz val="9"/>
            <color indexed="81"/>
            <rFont val="MS P ゴシック"/>
            <family val="3"/>
            <charset val="128"/>
          </rPr>
          <t>60+310(江幡さん)
→60+10
11/29に変更</t>
        </r>
      </text>
    </comment>
    <comment ref="C153" authorId="11" shapeId="0" xr:uid="{4CAB4679-8925-4327-BC10-C26CE2667BBC}">
      <text>
        <r>
          <rPr>
            <b/>
            <sz val="16"/>
            <color indexed="81"/>
            <rFont val="MS P ゴシック"/>
            <family val="3"/>
            <charset val="128"/>
          </rPr>
          <t xml:space="preserve">UL9C-R49　11月 着地見込 20→ 12月 50 は計画上困難とみてます。1.5倍程度、仕掛け等の用意があるか？
利益下げて処分
</t>
        </r>
      </text>
    </comment>
    <comment ref="C164" authorId="11" shapeId="0" xr:uid="{1B5CA812-793B-4507-A237-B3AA734CE498}">
      <text>
        <r>
          <rPr>
            <b/>
            <sz val="14"/>
            <color indexed="81"/>
            <rFont val="MS P ゴシック"/>
            <family val="3"/>
            <charset val="128"/>
          </rPr>
          <t>RM7C-R45　→発売直後とは言え週次 10台程度、12月150の数値は想定できない。
4H2の時の繁忙期想定だっけ？</t>
        </r>
      </text>
    </comment>
    <comment ref="C165" authorId="11" shapeId="0" xr:uid="{A8C64E73-3D76-40D7-B95A-FDC2D64C011F}">
      <text>
        <r>
          <rPr>
            <b/>
            <sz val="14"/>
            <color indexed="81"/>
            <rFont val="MS P ゴシック"/>
            <family val="3"/>
            <charset val="128"/>
          </rPr>
          <t>RL5R-G165　11月着地見込 300 →12月 2倍以上の計画、12世代の3050の影響も受ける可能性が高いが、仕掛け等の用意があるか？
とりあえず価格コムと季節計数のみ、このモデルはどこまで引っ張るか、をもう一度確認</t>
        </r>
      </text>
    </comment>
    <comment ref="C172" authorId="11" shapeId="0" xr:uid="{0060B165-CC4E-40E6-8F59-FF3ECEA80A12}">
      <text>
        <r>
          <rPr>
            <b/>
            <sz val="14"/>
            <color indexed="81"/>
            <rFont val="MS P ゴシック"/>
            <family val="3"/>
            <charset val="128"/>
          </rPr>
          <t xml:space="preserve">R5-RL5　11月着地見込　370　12月以降減少する理由が不明
持ってくる数字違ってるかなこれ
</t>
        </r>
      </text>
    </comment>
    <comment ref="C175" authorId="11" shapeId="0" xr:uid="{5F857ADE-FF08-4F71-BA7F-82A31E7AB44D}">
      <text>
        <r>
          <rPr>
            <b/>
            <sz val="14"/>
            <color indexed="81"/>
            <rFont val="MS P ゴシック"/>
            <family val="3"/>
            <charset val="128"/>
          </rPr>
          <t xml:space="preserve">A4-R　　11月　130　12月は200（在庫薄いので引き延ばす？　継続するなら追加を決める必要あり）
切り替えかと思ってたので、終息までどうするかだったんだけど、継続（n-1出来るか）なら、そのまま追加発注の検討に戻す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小野 雄己</author>
    <author>tc={A487C611-C2B6-4575-A80D-63D59DBEDA29}</author>
    <author>tc={F4C912B6-573F-4C31-80F6-2C83C339CED1}</author>
    <author>tc={43B1D2B8-871C-4D02-A09B-2E48938EA72C}</author>
    <author>tc={2221ADD0-3CE6-4C0C-A7FE-64135FAE9DE3}</author>
    <author>tc={8EF99F7C-6943-4DCD-B70E-3F4695B35F9E}</author>
    <author>tc={4E985BF6-1068-4D6C-A147-D5D5CB4F3D53}</author>
    <author>tc={CD8844D6-1CDF-430D-A28B-B4C03827D60B}</author>
    <author>鈴木 英祐</author>
    <author>tc={AD007714-8609-4837-B24F-26A598A6885C}</author>
    <author>美野 茜</author>
    <author>tc={64B60860-0347-480F-920E-99A3CCEB4AD4}</author>
    <author>tc={9CAE7461-5197-4421-AF44-27AA32646B5D}</author>
    <author>西村 祐典</author>
    <author>藤田 敦</author>
    <author>岩﨑 眞</author>
    <author>tc={DE9DD06C-B138-49B8-9127-8B4A729D42F7}</author>
  </authors>
  <commentList>
    <comment ref="B1" authorId="0" shapeId="0" xr:uid="{B6160DF4-ADC8-45F6-B4D6-8052FD9A745D}">
      <text>
        <r>
          <rPr>
            <b/>
            <sz val="9"/>
            <color indexed="81"/>
            <rFont val="MS P ゴシック"/>
            <family val="3"/>
            <charset val="128"/>
          </rPr>
          <t>綽名</t>
        </r>
      </text>
    </comment>
    <comment ref="Y2" authorId="1" shapeId="0" xr:uid="{A487C611-C2B6-4575-A80D-63D59DBEDA2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店舗即納や、展示機など用 +30</t>
      </text>
    </comment>
    <comment ref="Z2" authorId="2" shapeId="0" xr:uid="{F4C912B6-573F-4C31-80F6-2C83C339CED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店舗即納や、展示機など用 +30</t>
      </text>
    </comment>
    <comment ref="H3" authorId="3" shapeId="0" xr:uid="{43B1D2B8-871C-4D02-A09B-2E48938EA72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自動更新テスト</t>
      </text>
    </comment>
    <comment ref="Y3" authorId="4" shapeId="0" xr:uid="{2221ADD0-3CE6-4C0C-A7FE-64135FAE9DE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店舗即納や、展示機など用 +30</t>
      </text>
    </comment>
    <comment ref="Z3" authorId="5" shapeId="0" xr:uid="{8EF99F7C-6943-4DCD-B70E-3F4695B35F9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店舗即納や、展示機など用 +30</t>
      </text>
    </comment>
    <comment ref="AL5" authorId="6" shapeId="0" xr:uid="{4E985BF6-1068-4D6C-A147-D5D5CB4F3D5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展示・即納在庫・プロモーション必要分42</t>
      </text>
    </comment>
    <comment ref="Y7" authorId="7" shapeId="0" xr:uid="{CD8844D6-1CDF-430D-A28B-B4C03827D60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店舗即納や、展示機など用 +30</t>
      </text>
    </comment>
    <comment ref="AC9" authorId="8" shapeId="0" xr:uid="{ECA23E81-CE14-4C24-A04F-2DAE04F43738}">
      <text>
        <r>
          <rPr>
            <b/>
            <sz val="9"/>
            <color indexed="81"/>
            <rFont val="MS P ゴシック"/>
            <family val="3"/>
            <charset val="128"/>
          </rPr>
          <t>鈴木 英祐:</t>
        </r>
        <r>
          <rPr>
            <sz val="9"/>
            <color indexed="81"/>
            <rFont val="MS P ゴシック"/>
            <family val="3"/>
            <charset val="128"/>
          </rPr>
          <t xml:space="preserve">
７月末～8月発売のため消去</t>
        </r>
      </text>
    </comment>
    <comment ref="AA10" authorId="9" shapeId="0" xr:uid="{AD007714-8609-4837-B24F-26A598A6885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店舗即納や、展示機など用 +30</t>
      </text>
    </comment>
    <comment ref="Y11" authorId="8" shapeId="0" xr:uid="{6E65F6A7-119E-42F6-8B4E-C22F90BC0937}">
      <text>
        <r>
          <rPr>
            <b/>
            <sz val="9"/>
            <color indexed="81"/>
            <rFont val="MS P ゴシック"/>
            <family val="3"/>
            <charset val="128"/>
          </rPr>
          <t>鈴木 英祐:</t>
        </r>
        <r>
          <rPr>
            <sz val="9"/>
            <color indexed="81"/>
            <rFont val="MS P ゴシック"/>
            <family val="3"/>
            <charset val="128"/>
          </rPr>
          <t xml:space="preserve">
70 + 展示他　30
</t>
        </r>
      </text>
    </comment>
    <comment ref="AB11" authorId="8" shapeId="0" xr:uid="{30A2F1A7-04D8-4D97-82ED-0BA044C747CA}">
      <text>
        <r>
          <rPr>
            <b/>
            <sz val="9"/>
            <color indexed="81"/>
            <rFont val="MS P ゴシック"/>
            <family val="3"/>
            <charset val="128"/>
          </rPr>
          <t>鈴木 英祐:</t>
        </r>
        <r>
          <rPr>
            <sz val="9"/>
            <color indexed="81"/>
            <rFont val="MS P ゴシック"/>
            <family val="3"/>
            <charset val="128"/>
          </rPr>
          <t xml:space="preserve">
70 + 展示他　30
７月末～8月発売のため消去</t>
        </r>
      </text>
    </comment>
    <comment ref="AD11" authorId="8" shapeId="0" xr:uid="{29FCE65B-2635-4B16-A8CF-BB08DBE1847B}">
      <text>
        <r>
          <rPr>
            <b/>
            <sz val="9"/>
            <color indexed="81"/>
            <rFont val="MS P ゴシック"/>
            <family val="3"/>
            <charset val="128"/>
          </rPr>
          <t>鈴木 英祐:</t>
        </r>
        <r>
          <rPr>
            <sz val="9"/>
            <color indexed="81"/>
            <rFont val="MS P ゴシック"/>
            <family val="3"/>
            <charset val="128"/>
          </rPr>
          <t xml:space="preserve">
展示+即納分　+100</t>
        </r>
      </text>
    </comment>
    <comment ref="AE11" authorId="10" shapeId="0" xr:uid="{DAC99A58-2AEB-4BC0-871D-81F512FD5B09}">
      <text>
        <r>
          <rPr>
            <b/>
            <sz val="9"/>
            <color indexed="81"/>
            <rFont val="MS P ゴシック"/>
            <family val="3"/>
            <charset val="128"/>
          </rPr>
          <t>美野 茜:</t>
        </r>
        <r>
          <rPr>
            <sz val="9"/>
            <color indexed="81"/>
            <rFont val="MS P ゴシック"/>
            <family val="3"/>
            <charset val="128"/>
          </rPr>
          <t xml:space="preserve">
展示機/即納分+100</t>
        </r>
      </text>
    </comment>
    <comment ref="AD14" authorId="8" shapeId="0" xr:uid="{1C92E69B-EA03-4EE6-A5E9-318AB636D8C0}">
      <text>
        <r>
          <rPr>
            <b/>
            <sz val="9"/>
            <color indexed="81"/>
            <rFont val="MS P ゴシック"/>
            <family val="3"/>
            <charset val="128"/>
          </rPr>
          <t>鈴木 英祐:</t>
        </r>
        <r>
          <rPr>
            <sz val="9"/>
            <color indexed="81"/>
            <rFont val="MS P ゴシック"/>
            <family val="3"/>
            <charset val="128"/>
          </rPr>
          <t xml:space="preserve">
納期 10/中旬のため、8-9計画削除</t>
        </r>
      </text>
    </comment>
    <comment ref="AD21" authorId="11" shapeId="0" xr:uid="{64B60860-0347-480F-920E-99A3CCEB4AD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元は→
40　80　73　80　100　80　40
https://teams.microsoft.com/l/message/19:meeting_YzdhNTc4MDAtNmU3Yy00M2FlLThlNTQtYTFlNzFjMmJjZGEx@thread.v2/1761184217010?context=%7B%22contextType%22%3A%22chat%22%7D</t>
      </text>
    </comment>
    <comment ref="AB30" authorId="8" shapeId="0" xr:uid="{9539C44A-B3FA-4017-9BB7-A2CDFEC3CBF3}">
      <text>
        <r>
          <rPr>
            <b/>
            <sz val="9"/>
            <color indexed="81"/>
            <rFont val="MS P ゴシック"/>
            <family val="3"/>
            <charset val="128"/>
          </rPr>
          <t>鈴木 英祐:</t>
        </r>
        <r>
          <rPr>
            <sz val="9"/>
            <color indexed="81"/>
            <rFont val="MS P ゴシック"/>
            <family val="3"/>
            <charset val="128"/>
          </rPr>
          <t xml:space="preserve">
初回　30追加</t>
        </r>
      </text>
    </comment>
    <comment ref="AM30" authorId="10" shapeId="0" xr:uid="{C3D572DE-9C68-4E3C-9F12-7ADC4501DB55}">
      <text>
        <r>
          <rPr>
            <b/>
            <sz val="9"/>
            <color indexed="81"/>
            <rFont val="MS P ゴシック"/>
            <family val="3"/>
            <charset val="128"/>
          </rPr>
          <t>美野 茜:</t>
        </r>
        <r>
          <rPr>
            <sz val="9"/>
            <color indexed="81"/>
            <rFont val="MS P ゴシック"/>
            <family val="3"/>
            <charset val="128"/>
          </rPr>
          <t xml:space="preserve">
HX-R×5070モデルの開始(暫定)順次切り替え</t>
        </r>
      </text>
    </comment>
    <comment ref="AB37" authorId="8" shapeId="0" xr:uid="{C9448C17-2668-435B-BF4A-CD2DDD6AE8D2}">
      <text>
        <r>
          <rPr>
            <b/>
            <sz val="9"/>
            <color indexed="81"/>
            <rFont val="MS P ゴシック"/>
            <family val="3"/>
            <charset val="128"/>
          </rPr>
          <t>鈴木 英祐:</t>
        </r>
        <r>
          <rPr>
            <sz val="9"/>
            <color indexed="81"/>
            <rFont val="MS P ゴシック"/>
            <family val="3"/>
            <charset val="128"/>
          </rPr>
          <t xml:space="preserve">
店舗即納など+100　含む</t>
        </r>
      </text>
    </comment>
    <comment ref="AM37" authorId="10" shapeId="0" xr:uid="{8D56D48B-4FD5-42FC-8130-C91A17394AE6}">
      <text>
        <r>
          <rPr>
            <b/>
            <sz val="9"/>
            <color indexed="81"/>
            <rFont val="MS P ゴシック"/>
            <family val="3"/>
            <charset val="128"/>
          </rPr>
          <t>美野 茜:</t>
        </r>
        <r>
          <rPr>
            <sz val="9"/>
            <color indexed="81"/>
            <rFont val="MS P ゴシック"/>
            <family val="3"/>
            <charset val="128"/>
          </rPr>
          <t xml:space="preserve">
NLT開始(暫定)順次切り替え</t>
        </r>
      </text>
    </comment>
    <comment ref="AB39" authorId="8" shapeId="0" xr:uid="{017530FC-D2B8-4DF6-B6D7-56B9269F3C2D}">
      <text>
        <r>
          <rPr>
            <b/>
            <sz val="9"/>
            <color indexed="81"/>
            <rFont val="MS P ゴシック"/>
            <family val="3"/>
            <charset val="128"/>
          </rPr>
          <t>鈴木 英祐:</t>
        </r>
        <r>
          <rPr>
            <sz val="9"/>
            <color indexed="81"/>
            <rFont val="MS P ゴシック"/>
            <family val="3"/>
            <charset val="128"/>
          </rPr>
          <t xml:space="preserve">
店舗即納など+100　含む</t>
        </r>
      </text>
    </comment>
    <comment ref="AM39" authorId="10" shapeId="0" xr:uid="{2AF8423E-1E89-481E-B003-F5A217045354}">
      <text>
        <r>
          <rPr>
            <b/>
            <sz val="9"/>
            <color indexed="81"/>
            <rFont val="MS P ゴシック"/>
            <family val="3"/>
            <charset val="128"/>
          </rPr>
          <t>美野 茜:</t>
        </r>
        <r>
          <rPr>
            <sz val="9"/>
            <color indexed="81"/>
            <rFont val="MS P ゴシック"/>
            <family val="3"/>
            <charset val="128"/>
          </rPr>
          <t xml:space="preserve">
NLT開始(暫定)順次切り替え</t>
        </r>
      </text>
    </comment>
    <comment ref="AL42" authorId="12" shapeId="0" xr:uid="{9CAE7461-5197-4421-AF44-27AA32646B5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R45にスライド　50pcs</t>
      </text>
    </comment>
    <comment ref="C60" authorId="13" shapeId="0" xr:uid="{E40F1231-EA17-4309-8F8E-32755590CC2D}">
      <text>
        <r>
          <rPr>
            <b/>
            <sz val="12"/>
            <color indexed="81"/>
            <rFont val="MS P ゴシック"/>
            <family val="3"/>
            <charset val="128"/>
          </rPr>
          <t>DX-R7　11月着地見込　300　12月 減少する意図が不明
今が踏んでる価格のため、切り替えに向けて押すモデルの調整でなんとかつなぐ？</t>
        </r>
      </text>
    </comment>
    <comment ref="AD66" authorId="14" shapeId="0" xr:uid="{69A43554-4623-42FC-AF12-5D5946337807}">
      <text>
        <r>
          <rPr>
            <sz val="11"/>
            <color theme="1"/>
            <rFont val="游ゴシック"/>
            <family val="2"/>
            <charset val="128"/>
            <scheme val="minor"/>
          </rPr>
          <t>25/8～25/11
Win10EOS需要増分を上積み</t>
        </r>
      </text>
    </comment>
    <comment ref="T72" authorId="15" shapeId="0" xr:uid="{CCC78C62-CB01-4D38-8B2B-C22D1378FBCF}">
      <text>
        <r>
          <rPr>
            <sz val="11"/>
            <color theme="1"/>
            <rFont val="游ゴシック"/>
            <family val="2"/>
            <charset val="128"/>
            <scheme val="minor"/>
          </rPr>
          <t>岩﨑 眞:
ベア在庫切れ</t>
        </r>
      </text>
    </comment>
    <comment ref="AD90" authorId="14" shapeId="0" xr:uid="{BDC20ECA-7A90-4C53-A6EC-03D15654F0B6}">
      <text>
        <r>
          <rPr>
            <sz val="11"/>
            <color theme="1"/>
            <rFont val="游ゴシック"/>
            <family val="2"/>
            <charset val="128"/>
            <scheme val="minor"/>
          </rPr>
          <t>25/8～25/11
Win10EOS需要増分を上積み</t>
        </r>
      </text>
    </comment>
    <comment ref="AQ95" authorId="16" shapeId="0" xr:uid="{DE9DD06C-B138-49B8-9127-8B4A729D42F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⇛このあたりから切替？</t>
      </text>
    </comment>
    <comment ref="K139" authorId="13" shapeId="0" xr:uid="{45EF1AA5-B225-465C-8165-4392BCB1CC86}">
      <text>
        <r>
          <rPr>
            <b/>
            <sz val="9"/>
            <color indexed="81"/>
            <rFont val="MS P ゴシック"/>
            <family val="3"/>
            <charset val="128"/>
          </rPr>
          <t>400+117</t>
        </r>
      </text>
    </comment>
    <comment ref="L139" authorId="13" shapeId="0" xr:uid="{870CE1BB-F6C5-447B-BE0E-16821EC82FB9}">
      <text>
        <r>
          <rPr>
            <b/>
            <sz val="9"/>
            <color indexed="81"/>
            <rFont val="MS P ゴシック"/>
            <family val="3"/>
            <charset val="128"/>
          </rPr>
          <t>300+165</t>
        </r>
      </text>
    </comment>
    <comment ref="C140" authorId="13" shapeId="0" xr:uid="{32E6A5B1-3AF6-452C-8E8A-9F6BEAB56930}">
      <text>
        <r>
          <rPr>
            <b/>
            <sz val="14"/>
            <color indexed="81"/>
            <rFont val="MS P ゴシック"/>
            <family val="3"/>
            <charset val="128"/>
          </rPr>
          <t xml:space="preserve">R5-RL5　11月着地見込　370　12月以降減少する理由が不明
持ってくる数字違ってるかなこれ
</t>
        </r>
      </text>
    </comment>
    <comment ref="K140" authorId="13" shapeId="0" xr:uid="{E4567771-839D-495D-8EED-88A1A552C280}">
      <text>
        <r>
          <rPr>
            <b/>
            <sz val="9"/>
            <color indexed="81"/>
            <rFont val="MS P ゴシック"/>
            <family val="3"/>
            <charset val="128"/>
          </rPr>
          <t xml:space="preserve">300+120
</t>
        </r>
      </text>
    </comment>
    <comment ref="L140" authorId="13" shapeId="0" xr:uid="{0CE1F768-1136-4CFB-974D-C5CF661B42D2}">
      <text>
        <r>
          <rPr>
            <b/>
            <sz val="9"/>
            <color indexed="81"/>
            <rFont val="MS P ゴシック"/>
            <family val="3"/>
            <charset val="128"/>
          </rPr>
          <t xml:space="preserve">250+132
</t>
        </r>
      </text>
    </comment>
    <comment ref="C142" authorId="13" shapeId="0" xr:uid="{DB088726-5F30-49C2-B9A8-746990B96296}">
      <text>
        <r>
          <rPr>
            <b/>
            <sz val="14"/>
            <color indexed="81"/>
            <rFont val="MS P ゴシック"/>
            <family val="3"/>
            <charset val="128"/>
          </rPr>
          <t xml:space="preserve">A4-R　　11月　130　12月は200（在庫薄いので引き延ばす？　継続するなら追加を決める必要あり）
切り替えかと思ってたので、終息までどうするかだったんだけど、継続（n-1出来るか）なら、そのまま追加発注の検討に戻す
</t>
        </r>
      </text>
    </comment>
    <comment ref="C143" authorId="13" shapeId="0" xr:uid="{9D951B6C-71FD-4E34-9FA3-D389170B24FF}">
      <text>
        <r>
          <rPr>
            <b/>
            <sz val="14"/>
            <color indexed="81"/>
            <rFont val="MS P ゴシック"/>
            <family val="3"/>
            <charset val="128"/>
          </rPr>
          <t xml:space="preserve">R7-RL　11月着地見込　30　12月以降減少する理由が不明
3月の切り替えまで持つかだけなので、数調整
</t>
        </r>
      </text>
    </comment>
    <comment ref="C145" authorId="13" shapeId="0" xr:uid="{DEE27142-15C6-4762-8D25-788043CA2475}">
      <text>
        <r>
          <rPr>
            <b/>
            <sz val="14"/>
            <color indexed="81"/>
            <rFont val="MS P ゴシック"/>
            <family val="3"/>
            <charset val="128"/>
          </rPr>
          <t xml:space="preserve">F-14RP5　11月着地見込　100　12月 2倍になる理由が不明
繁忙+法人だっけ
</t>
        </r>
      </text>
    </comment>
    <comment ref="K145" authorId="13" shapeId="0" xr:uid="{9C3774C1-067A-4210-B566-770FF787A572}">
      <text>
        <r>
          <rPr>
            <b/>
            <sz val="9"/>
            <color indexed="81"/>
            <rFont val="MS P ゴシック"/>
            <family val="3"/>
            <charset val="128"/>
          </rPr>
          <t xml:space="preserve">200+220
</t>
        </r>
      </text>
    </comment>
    <comment ref="L145" authorId="13" shapeId="0" xr:uid="{2302BEA6-1F6E-4854-B3F1-CA31A5141982}">
      <text>
        <r>
          <rPr>
            <b/>
            <sz val="9"/>
            <color indexed="81"/>
            <rFont val="MS P ゴシック"/>
            <family val="3"/>
            <charset val="128"/>
          </rPr>
          <t>180+610</t>
        </r>
      </text>
    </comment>
    <comment ref="M145" authorId="13" shapeId="0" xr:uid="{9EBDB968-8264-4B18-AE8A-7174B655819C}">
      <text>
        <r>
          <rPr>
            <b/>
            <sz val="9"/>
            <color indexed="81"/>
            <rFont val="MS P ゴシック"/>
            <family val="3"/>
            <charset val="128"/>
          </rPr>
          <t>250+660</t>
        </r>
        <r>
          <rPr>
            <sz val="9"/>
            <color indexed="81"/>
            <rFont val="MS P ゴシック"/>
            <family val="3"/>
            <charset val="128"/>
          </rPr>
          <t xml:space="preserve">
</t>
        </r>
      </text>
    </comment>
    <comment ref="N145" authorId="8" shapeId="0" xr:uid="{7C896381-3BAB-4030-8CBA-454C7CC72A80}">
      <text>
        <r>
          <rPr>
            <b/>
            <sz val="9"/>
            <color indexed="81"/>
            <rFont val="MS P ゴシック"/>
            <family val="3"/>
            <charset val="128"/>
          </rPr>
          <t>200+375</t>
        </r>
      </text>
    </comment>
    <comment ref="K150" authorId="13" shapeId="0" xr:uid="{52836F29-A895-42F9-917B-EB57033F33C9}">
      <text>
        <r>
          <rPr>
            <b/>
            <sz val="9"/>
            <color indexed="81"/>
            <rFont val="MS P ゴシック"/>
            <family val="3"/>
            <charset val="128"/>
          </rPr>
          <t xml:space="preserve">40+130
</t>
        </r>
      </text>
    </comment>
    <comment ref="L150" authorId="13" shapeId="0" xr:uid="{C3E3D87B-A646-4A52-A261-9517D9B8A732}">
      <text>
        <r>
          <rPr>
            <b/>
            <sz val="9"/>
            <color indexed="81"/>
            <rFont val="MS P ゴシック"/>
            <family val="3"/>
            <charset val="128"/>
          </rPr>
          <t xml:space="preserve">30+140
</t>
        </r>
      </text>
    </comment>
    <comment ref="M150" authorId="13" shapeId="0" xr:uid="{0CA640CE-B128-4C96-96FB-6D83700FE3BC}">
      <text>
        <r>
          <rPr>
            <b/>
            <sz val="9"/>
            <color indexed="81"/>
            <rFont val="MS P ゴシック"/>
            <family val="3"/>
            <charset val="128"/>
          </rPr>
          <t>西村 祐典:</t>
        </r>
        <r>
          <rPr>
            <sz val="9"/>
            <color indexed="81"/>
            <rFont val="MS P ゴシック"/>
            <family val="3"/>
            <charset val="128"/>
          </rPr>
          <t xml:space="preserve">
50+510
→50+140</t>
        </r>
      </text>
    </comment>
    <comment ref="B151" authorId="14" shapeId="0" xr:uid="{BAE1BCB4-89A0-434D-A674-53A4A3CF299E}">
      <text>
        <r>
          <rPr>
            <sz val="11"/>
            <color theme="1"/>
            <rFont val="游ゴシック"/>
            <family val="2"/>
            <charset val="128"/>
            <scheme val="minor"/>
          </rPr>
          <t>計画値調整中。</t>
        </r>
      </text>
    </comment>
    <comment ref="Q151" authorId="8" shapeId="0" xr:uid="{3212B1B7-AB06-4254-99A2-1BC63F20F83D}">
      <text>
        <r>
          <rPr>
            <b/>
            <sz val="9"/>
            <color indexed="81"/>
            <rFont val="MS P ゴシック"/>
            <family val="3"/>
            <charset val="128"/>
          </rPr>
          <t>鈴木 英祐:</t>
        </r>
        <r>
          <rPr>
            <sz val="9"/>
            <color indexed="81"/>
            <rFont val="MS P ゴシック"/>
            <family val="3"/>
            <charset val="128"/>
          </rPr>
          <t xml:space="preserve">
8月納品のため、販売不可</t>
        </r>
      </text>
    </comment>
    <comment ref="V152" authorId="10" shapeId="0" xr:uid="{B48E2E21-5C68-4F22-A5A1-9F5F27376390}">
      <text>
        <r>
          <rPr>
            <b/>
            <sz val="9"/>
            <color indexed="81"/>
            <rFont val="MS P ゴシック"/>
            <family val="3"/>
            <charset val="128"/>
          </rPr>
          <t>美野 茜:</t>
        </r>
        <r>
          <rPr>
            <sz val="9"/>
            <color indexed="81"/>
            <rFont val="MS P ゴシック"/>
            <family val="3"/>
            <charset val="128"/>
          </rPr>
          <t xml:space="preserve">
４月分まで在庫確保希望</t>
        </r>
      </text>
    </comment>
    <comment ref="L155" authorId="8" shapeId="0" xr:uid="{BCB1FC3F-0668-4C95-B704-4ABA87403B6D}">
      <text>
        <r>
          <rPr>
            <b/>
            <sz val="9"/>
            <color indexed="81"/>
            <rFont val="MS P ゴシック"/>
            <family val="3"/>
            <charset val="128"/>
          </rPr>
          <t>60+310(江幡さん)
→60+10
11/29に変更</t>
        </r>
      </text>
    </comment>
    <comment ref="C157" authorId="13" shapeId="0" xr:uid="{7FD610B1-CEEF-4D82-884E-E8EFE778C7C2}">
      <text>
        <r>
          <rPr>
            <b/>
            <sz val="14"/>
            <color indexed="81"/>
            <rFont val="MS P ゴシック"/>
            <family val="3"/>
            <charset val="128"/>
          </rPr>
          <t>RL5R-G165　11月着地見込 300 →12月 2倍以上の計画、12世代の3050の影響も受ける可能性が高いが、仕掛け等の用意があるか？
とりあえず価格コムと季節計数のみ、このモデルはどこまで引っ張るか、をもう一度確認</t>
        </r>
      </text>
    </comment>
    <comment ref="M157" authorId="8" shapeId="0" xr:uid="{F8F69332-4F6D-44C5-9331-2F42546D7341}">
      <text>
        <r>
          <rPr>
            <b/>
            <sz val="9"/>
            <color indexed="81"/>
            <rFont val="MS P ゴシック"/>
            <family val="3"/>
            <charset val="128"/>
          </rPr>
          <t>鈴木 英祐:</t>
        </r>
        <r>
          <rPr>
            <sz val="9"/>
            <color indexed="81"/>
            <rFont val="MS P ゴシック"/>
            <family val="3"/>
            <charset val="128"/>
          </rPr>
          <t xml:space="preserve">
法人　152
11/29追記
3050モデルraytrekから2000台分をこちらで販売　3月~4月</t>
        </r>
      </text>
    </comment>
    <comment ref="N157" authorId="8" shapeId="0" xr:uid="{AF4907B6-7554-406C-AE19-782667B5C1A1}">
      <text>
        <r>
          <rPr>
            <b/>
            <sz val="9"/>
            <color indexed="81"/>
            <rFont val="MS P ゴシック"/>
            <family val="3"/>
            <charset val="128"/>
          </rPr>
          <t>11/29追記
3050モデルraytrekから2000台分をこちらで販売　3月~4月</t>
        </r>
      </text>
    </comment>
    <comment ref="O157" authorId="8" shapeId="0" xr:uid="{760F35CD-6376-44B8-85AE-FC57B2030680}">
      <text>
        <r>
          <rPr>
            <b/>
            <sz val="9"/>
            <color indexed="81"/>
            <rFont val="MS P ゴシック"/>
            <family val="3"/>
            <charset val="128"/>
          </rPr>
          <t>法人 2000
渡しのため後半計画を一旦削除</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tc={7EA5D366-1B39-46B1-BA99-02248D8DFECF}</author>
    <author>tc={89146181-DE43-4340-8958-2308C696B65D}</author>
    <author>tc={66F9786D-B92F-432C-B88E-8A7266F96F4A}</author>
    <author>tc={39663E99-4AC8-4B49-B9B5-294DEF25CFAB}</author>
    <author>tc={0421E20C-A4EC-4A90-A869-C494C64639B8}</author>
    <author>鈴木 英祐</author>
    <author>tc={65A2F0D9-9F71-4AE9-AFB2-77CEFCAC8FB1}</author>
    <author>tc={42E756B1-43D2-47E1-956E-4D33486DE548}</author>
    <author>tc={E74171E8-B248-4C51-AFBB-E1852645F613}</author>
    <author>tc={D245BCC7-DCB8-4849-9257-425BF9F29F27}</author>
    <author>tc={7745CA03-E680-4D79-9D6B-B6F134067731}</author>
    <author>tc={0C90374D-7D03-4BDA-B498-DF28878E24B9}</author>
    <author>tc={04A56408-BD53-41E6-AA57-704CF945152F}</author>
    <author>tc={386BE796-3AA5-4F75-9286-AF3377ECB1D9}</author>
    <author>tc={58DCA611-AE07-4036-A482-AB1D614280D8}</author>
    <author>tc={C7090849-752F-4D12-9BE3-B421F3D35F42}</author>
    <author>tc={96DEB8C5-5F57-4A91-9E9C-45A2ACF7FF02}</author>
    <author>tc={BB807B48-3C8A-417D-B569-E7B814A53D7F}</author>
    <author>西村 祐典</author>
    <author>tc={F18B64CC-FDBD-45BD-BA9C-D8CE211AE5CA}</author>
    <author>tc={13D662D9-C8E7-42CF-9B85-13911260C72E}</author>
    <author>tc={72AE65E9-901F-46A4-8873-A406C3070146}</author>
    <author>tc={7E6255F7-F8BF-49DF-8EE3-7A88EB8C14E1}</author>
    <author>tc={3176299F-11F2-4536-894E-1B8857172692}</author>
    <author>tc={1617C9A8-0F84-43DA-BCA3-EA1E5422081E}</author>
    <author>tc={1E47B63A-817D-4205-AB41-063928D2238A}</author>
    <author>tc={A88C2EE2-98BD-4619-830E-6A336D8B2195}</author>
    <author>tc={AAB01919-955F-4196-B45C-54B9B1984415}</author>
    <author>tc={C040FF80-4779-4AEC-8660-0E8F707C54B8}</author>
    <author>tc={7793073F-B254-483B-B305-8F763E22BF7D}</author>
    <author>tc={B36407A3-3861-427A-BD77-42FD3FC433B3}</author>
    <author>tc={CFC9F033-C076-470E-9578-4EF1CA1BA808}</author>
    <author>tc={E6B0AC46-15A3-4089-9D97-954840B42DF7}</author>
    <author>tc={846C1850-7A10-430D-94F3-DC0A87D64154}</author>
    <author>tc={839B2400-C86A-4F28-A66B-1E5EB1B40B07}</author>
    <author>tc={7447E892-D9DD-4D65-ADE0-00F5C6B03B65}</author>
    <author>tc={84EFF7A6-1678-4352-9E61-4175DEBDBC62}</author>
    <author>tc={E80BCD21-E54A-4EB0-ABB6-D5A56BBCB67E}</author>
    <author>tc={0EB0B3FF-1FB1-4BDB-BCE2-F5D4AF1AC4BD}</author>
    <author>tc={898CBF03-9DDA-40AB-832F-B0D2FD77B9A6}</author>
    <author>tc={7F5382EC-2FCE-40F5-BDD5-BB4DAF505E52}</author>
    <author>tc={0BA6FC4E-F04A-4E0B-81BE-BC8E2041E23B}</author>
    <author>tc={ED3EB4DB-BC8E-41A4-B47C-A09959CD6631}</author>
    <author>tc={A796CB76-DE8B-4FC3-A875-E83E9A9AC79B}</author>
    <author>tc={F023119B-D4FB-4950-958B-BBC11A90F8E1}</author>
    <author>tc={E49A1BDB-1E1A-435B-8E12-1C7136A726FA}</author>
    <author>tc={056375FE-6937-4247-8582-D329B6976241}</author>
    <author>tc={2CC39B9A-9A09-4A5D-B816-BBE8E377B8AB}</author>
    <author>tc={757D74AE-A320-42BA-84F0-F4D8A7E7B0F2}</author>
    <author>tc={321FB20C-C6D1-44EA-BED4-A70D1C9E033C}</author>
    <author>tc={5130109F-787E-4417-9558-81336D3D8321}</author>
    <author>tc={815E6DED-5299-4A38-90A8-978F961560E4}</author>
    <author>tc={30B29A72-D99A-4046-B90E-2243CFBBBF1C}</author>
    <author>tc={153E1931-32DC-4086-A157-D6B9016B2710}</author>
    <author>tc={CABCCB3B-A613-40B0-B322-29A4CA7A0C5B}</author>
    <author>tc={8D3AE085-3B7B-4CFA-B7DA-0EEA45DDF040}</author>
    <author>tc={BA5AF45E-2A2A-4FC3-9187-099E15215A83}</author>
    <author>tc={37A327ED-232C-40D9-A262-5037742A7129}</author>
    <author>tc={CB4FE948-64D3-49F0-9994-8AB53FAED57F}</author>
    <author>tc={EB4CFF7A-DE89-45B4-BF5F-51654C9D9FD7}</author>
    <author>tc={8CB1957F-EED1-4A6A-95D7-000F5856E218}</author>
    <author>tc={00C211C0-57FF-45B3-B9F5-2381FA387B48}</author>
    <author>tc={3D4E849D-34AC-4352-A3E0-4EC656B1D618}</author>
    <author>tc={B28D6D0B-6F6D-4DF5-B2EB-6E071ED7AB0A}</author>
    <author>tc={B7E26E7A-5A75-4AC3-8F6E-0F9623AB6EEB}</author>
    <author>tc={D6CB5215-E7ED-473D-BB1C-0E139080AB52}</author>
    <author>tc={110EA2A4-EF3F-462C-BC1F-FFEF0FD6BE59}</author>
    <author>tc={F2A226EC-13EA-4EB8-8D8E-AE45F39400E0}</author>
    <author>tc={1959C0ED-3172-4DFA-B8DF-62ACD24EF3CA}</author>
    <author>tc={701B545E-EC85-4D6D-BD9C-F14605606862}</author>
    <author>鈴木 由希子</author>
    <author>tc={114D6131-29F5-4A81-B82D-8D0686BE0A23}</author>
    <author>tc={D00B73E3-AD1F-49F5-B561-15EC04FAE6E8}</author>
    <author>tc={2214948D-244B-48C8-BB9A-07C9BD0E036D}</author>
    <author>tc={FB0ADE87-580A-4613-9D1F-4CA361F0C9FB}</author>
    <author>tc={128FE65F-1268-4535-A778-72F9F6372A8C}</author>
    <author>tc={C7FE802A-1E3B-4C16-899F-96D1453743C6}</author>
    <author>tc={81B56E5C-213F-42B2-AACD-ED416F67995A}</author>
    <author>tc={97DDFE53-7BA5-4BF7-94A1-9A29AF29A7ED}</author>
  </authors>
  <commentList>
    <comment ref="H3" authorId="0" shapeId="0" xr:uid="{7EA5D366-1B39-46B1-BA99-02248D8DFEC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自動更新テスト</t>
      </text>
    </comment>
    <comment ref="AE8" authorId="1" shapeId="0" xr:uid="{89146181-DE43-4340-8958-2308C696B65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サイバーエージェント様レンタル案件に月30台
初回導入9月50台</t>
      </text>
    </comment>
    <comment ref="AF8" authorId="2" shapeId="0" xr:uid="{66F9786D-B92F-432C-B88E-8A7266F96F4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サイバーエージェント 10月50台 受注済み</t>
      </text>
    </comment>
    <comment ref="AL14" authorId="3" shapeId="0" xr:uid="{39663E99-4AC8-4B49-B9B5-294DEF25CFA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DIS関西　大阪情報コンピュータ高等専修学校様案件90台　確度は微妙
返信:
NGだったので削除
返信:
イナハラ月連れ３月→４月</t>
      </text>
    </comment>
    <comment ref="W18" authorId="4" shapeId="0" xr:uid="{0421E20C-A4EC-4A90-A869-C494C64639B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下記コメント参照決定時期9月末」
返信:
失注</t>
      </text>
    </comment>
    <comment ref="O20" authorId="5" shapeId="0" xr:uid="{29DB26B6-5A5A-4089-A743-6570048EC61D}">
      <text>
        <r>
          <rPr>
            <b/>
            <sz val="9"/>
            <color indexed="81"/>
            <rFont val="MS P ゴシック"/>
            <family val="3"/>
            <charset val="128"/>
          </rPr>
          <t>鈴木 英祐:</t>
        </r>
        <r>
          <rPr>
            <sz val="9"/>
            <color indexed="81"/>
            <rFont val="MS P ゴシック"/>
            <family val="3"/>
            <charset val="128"/>
          </rPr>
          <t xml:space="preserve">
12650Hモデルから振替</t>
        </r>
      </text>
    </comment>
    <comment ref="Q20" authorId="6" shapeId="0" xr:uid="{65A2F0D9-9F71-4AE9-AFB2-77CEFCAC8FB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300台DMM→5/31失注</t>
      </text>
    </comment>
    <comment ref="AE22" authorId="7" shapeId="0" xr:uid="{42E756B1-43D2-47E1-956E-4D33486DE54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ふるさと納税対象品とスマッシュコアに納品予定です</t>
      </text>
    </comment>
    <comment ref="T24" authorId="8" shapeId="0" xr:uid="{E74171E8-B248-4C51-AFBB-E1852645F61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インダストリー:大塚商会EU鹿島建設100台
返信:
別製品で決定につきリリース　100⇒0</t>
      </text>
    </comment>
    <comment ref="W24" authorId="9" shapeId="0" xr:uid="{D245BCC7-DCB8-4849-9257-425BF9F29F2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DIS→KDDIまとめてオフィス　90台
決定時期11月中旬
返信:
失注　別案件で使用予定</t>
      </text>
    </comment>
    <comment ref="X24" authorId="10" shapeId="0" xr:uid="{7745CA03-E680-4D79-9D6B-B6F13406773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大塚失注分
名古屋造形大学×30台使用
穴吹学園×25台使用予定</t>
      </text>
    </comment>
    <comment ref="AP24" authorId="11" shapeId="0" xr:uid="{0C90374D-7D03-4BDA-B498-DF28878E24B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8月終息予定
返信:
保守用100台含む</t>
      </text>
    </comment>
    <comment ref="AO32" authorId="12" shapeId="0" xr:uid="{04A56408-BD53-41E6-AA57-704CF945152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ネクソン 100台</t>
      </text>
    </comment>
    <comment ref="AF34" authorId="13" shapeId="0" xr:uid="{386BE796-3AA5-4F75-9286-AF3377ECB1D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10/14 20→65
6ヶ月 145 →258</t>
      </text>
    </comment>
    <comment ref="AE37" authorId="14" shapeId="0" xr:uid="{58DCA611-AE07-4036-A482-AB1D614280D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ダイワボウ 48台 大塚商会 43台
返信:
9/E 160→90</t>
      </text>
    </comment>
    <comment ref="AH39" authorId="15" shapeId="0" xr:uid="{C7090849-752F-4D12-9BE3-B421F3D35F4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ダイワボウ 山口支店：YIC学院案件27台</t>
      </text>
    </comment>
    <comment ref="W41" authorId="16" shapeId="0" xr:uid="{96DEB8C5-5F57-4A91-9E9C-45A2ACF7FF0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パートナー在庫商談　200台
返信:
他機種で決定のためリリース</t>
      </text>
    </comment>
    <comment ref="AQ41" authorId="17" shapeId="0" xr:uid="{BB807B48-3C8A-417D-B569-E7B814A53D7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在庫消化次第終息予定</t>
      </text>
    </comment>
    <comment ref="C60" authorId="18" shapeId="0" xr:uid="{97FDC242-2604-4CCE-8EEC-C7E0AC172799}">
      <text>
        <r>
          <rPr>
            <b/>
            <sz val="12"/>
            <color indexed="81"/>
            <rFont val="MS P ゴシック"/>
            <family val="3"/>
            <charset val="128"/>
          </rPr>
          <t>DX-R7　11月着地見込　300　12月 減少する意図が不明
今が踏んでる価格のため、切り替えに向けて押すモデルの調整でなんとかつなぐ？</t>
        </r>
      </text>
    </comment>
    <comment ref="AK60" authorId="19" shapeId="0" xr:uid="{F18B64CC-FDBD-45BD-BA9C-D8CE211AE5C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アイ工務店案件 3月初週受注見込み 3月内納品予定</t>
      </text>
    </comment>
    <comment ref="AL60" authorId="20" shapeId="0" xr:uid="{13D662D9-C8E7-42CF-9B85-13911260C72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大塚保守用に移動予定 100台</t>
      </text>
    </comment>
    <comment ref="AI61" authorId="21" shapeId="0" xr:uid="{72AE65E9-901F-46A4-8873-A406C307014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大塚在庫50台 アイ工務店200台</t>
      </text>
    </comment>
    <comment ref="AL61" authorId="22" shapeId="0" xr:uid="{7E6255F7-F8BF-49DF-8EE3-7A88EB8C14E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大塚保守用に移動予定</t>
      </text>
    </comment>
    <comment ref="AN61" authorId="23" shapeId="0" xr:uid="{3176299F-11F2-4536-894E-1B885717269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保守用。場所の問題あり移動に時間かかるかもしれません。</t>
      </text>
    </comment>
    <comment ref="AN62" authorId="24" shapeId="0" xr:uid="{1617C9A8-0F84-43DA-BCA3-EA1E5422081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★（協議中の）大塚商会：アイ工務店　1000台案件　一旦　6月に置きます。
返信:
アイ工務店の1KはMTLへ移動</t>
      </text>
    </comment>
    <comment ref="AO64" authorId="25" shapeId="0" xr:uid="{1E47B63A-817D-4205-AB41-063928D2238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アイ工務店様 1000台 7月移動
返信:
アイ工務店事務機用500台のみ(ALTAは別)。7月に入れたい。I7/U7、15.6”なら何でも良い。</t>
      </text>
    </comment>
    <comment ref="S65" authorId="26" shapeId="0" xr:uid="{A88C2EE2-98BD-4619-830E-6A336D8B219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南雲 顕拓:
NTTREC様：入札確度D以下　10月～12月導入案件→失注</t>
      </text>
    </comment>
    <comment ref="T65" authorId="27" shapeId="0" xr:uid="{AAB01919-955F-4196-B45C-54B9B198441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PTR
DX-R5かF-14RP5 100台案件あり。予算取り、競合多数ありのため確度全く不明な状況です。</t>
      </text>
    </comment>
    <comment ref="W65" authorId="28" shapeId="0" xr:uid="{C040FF80-4779-4AEC-8660-0E8F707C54B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パートナー在庫商談　200台</t>
      </text>
    </comment>
    <comment ref="X65" authorId="29" shapeId="0" xr:uid="{7793073F-B254-483B-B305-8F763E22BF7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パートナー在庫商談　400台</t>
      </text>
    </comment>
    <comment ref="AH67" authorId="30" shapeId="0" xr:uid="{B36407A3-3861-427A-BD77-42FD3FC433B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591→391に書換えました 案件失注のため</t>
      </text>
    </comment>
    <comment ref="AN67" authorId="31" shapeId="0" xr:uid="{CFC9F033-C076-470E-9578-4EF1CA1BA80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終息予定 リペア移動予定</t>
      </text>
    </comment>
    <comment ref="AN68" authorId="32" shapeId="0" xr:uid="{E6B0AC46-15A3-4089-9D97-954840B42DF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入札案件。5月に決まらなければ後ろ倒しします</t>
      </text>
    </comment>
    <comment ref="AP68" authorId="33" shapeId="0" xr:uid="{846C1850-7A10-430D-94F3-DC0A87D6415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林さんの注残分88台。12月までの分納。</t>
      </text>
    </comment>
    <comment ref="AC76" authorId="34" shapeId="0" xr:uid="{839B2400-C86A-4F28-A66B-1E5EB1B40B0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495台のうち250台は7月納品
100台 ダイワボウ在庫商談で使用</t>
      </text>
    </comment>
    <comment ref="AD76" authorId="35" shapeId="0" xr:uid="{7447E892-D9DD-4D65-ADE0-00F5C6B03B6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地方独立行政法人東京都立産業技術研究センター　×495
F-14LN7LAで見積もり提出予定
開札6月
納品予定　8月
確度50%
返信:
受注案件 残り245台納品予定</t>
      </text>
    </comment>
    <comment ref="AK76" authorId="36" shapeId="0" xr:uid="{84EFF7A6-1678-4352-9E61-4175DEBDBC6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3月終息予定</t>
      </text>
    </comment>
    <comment ref="AQ76" authorId="37" shapeId="0" xr:uid="{E80BCD21-E54A-4EB0-ABB6-D5A56BBCB67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保守や売り越し用</t>
      </text>
    </comment>
    <comment ref="AA78" authorId="38" shapeId="0" xr:uid="{0EB0B3FF-1FB1-4BDB-BCE2-F5D4AF1AC4BD}">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日立エンジニアリング　110台
</t>
      </text>
    </comment>
    <comment ref="AC78" authorId="39" shapeId="0" xr:uid="{898CBF03-9DDA-40AB-832F-B0D2FD77B9A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169台受注案件 100台 在庫商談案件</t>
      </text>
    </comment>
    <comment ref="AK78" authorId="40" shapeId="0" xr:uid="{7F5382EC-2FCE-40F5-BDD5-BB4DAF505E5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3月終息予定</t>
      </text>
    </comment>
    <comment ref="AK79" authorId="41" shapeId="0" xr:uid="{0BA6FC4E-F04A-4E0B-81BE-BC8E2041E23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2月は在庫がないとのことなので3月に移動</t>
      </text>
    </comment>
    <comment ref="AL79" authorId="42" shapeId="0" xr:uid="{ED3EB4DB-BC8E-41A4-B47C-A09959CD663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生協案件 50台 4月納品予定</t>
      </text>
    </comment>
    <comment ref="AO80" authorId="43" shapeId="0" xr:uid="{A796CB76-DE8B-4FC3-A875-E83E9A9AC79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500台：與儀さん案件。伊藤さんコミットで。
返信:
BANTないから一旦500台は削除。
返信:
伊勢原は応札資格なし。日向は来週決定。価格が同じなら今のうちに発注て欲しい。失注したら大塚/DISの在庫で入れます。</t>
      </text>
    </comment>
    <comment ref="AP80" authorId="44" shapeId="0" xr:uid="{F023119B-D4FB-4950-958B-BBC11A90F8E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向日市DX推進　360台　
納期：8月1日まで</t>
      </text>
    </comment>
    <comment ref="X82" authorId="45" shapeId="0" xr:uid="{E49A1BDB-1E1A-435B-8E12-1C7136A726F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100台は１I10法人在庫に移動済み</t>
      </text>
    </comment>
    <comment ref="AL82" authorId="46" shapeId="0" xr:uid="{056375FE-6937-4247-8582-D329B697624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残数消化次第終息</t>
      </text>
    </comment>
    <comment ref="AK83" authorId="47" shapeId="0" xr:uid="{2CC39B9A-9A09-4A5D-B816-BBE8E377B8A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3月からDDR5に変更</t>
      </text>
    </comment>
    <comment ref="AN83" authorId="48" shapeId="0" xr:uid="{757D74AE-A320-42BA-84F0-F4D8A7E7B0F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リペアに移動予定</t>
      </text>
    </comment>
    <comment ref="AJ84" authorId="49" shapeId="0" xr:uid="{321FB20C-C6D1-44EA-BED4-A70D1C9E033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2月からDDR5に以降</t>
      </text>
    </comment>
    <comment ref="AR85" authorId="50" shapeId="0" xr:uid="{5130109F-787E-4417-9558-81336D3D832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終息 リペアに移動よてい</t>
      </text>
    </comment>
    <comment ref="AP86" authorId="51" shapeId="0" xr:uid="{815E6DED-5299-4A38-90A8-978F961560E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8月終息予定 その後は14インチデザインオリエンに移行予定</t>
      </text>
    </comment>
    <comment ref="AR86" authorId="52" shapeId="0" xr:uid="{30B29A72-D99A-4046-B90E-2243CFBBBF1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終息時期8月→10月</t>
      </text>
    </comment>
    <comment ref="W90" authorId="53" shapeId="0" xr:uid="{153E1931-32DC-4086-A157-D6B9016B271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パートナー在庫商談　1000台
返信:
1000台→800台</t>
      </text>
    </comment>
    <comment ref="X90" authorId="54" shapeId="0" xr:uid="{CABCCB3B-A613-40B0-B322-29A4CA7A0C5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パートナー在庫商談　500台
返信:
500→400</t>
      </text>
    </comment>
    <comment ref="Y90" authorId="55" shapeId="0" xr:uid="{8D3AE085-3B7B-4CFA-B7DA-0EEA45DDF04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パートナー在庫商談　500台
返信:
500→400</t>
      </text>
    </comment>
    <comment ref="AL90" authorId="56" shapeId="0" xr:uid="{BA5AF45E-2A2A-4FC3-9187-099E15215A8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法人リペア移動予定</t>
      </text>
    </comment>
    <comment ref="AJ93" authorId="57" shapeId="0" xr:uid="{37A327ED-232C-40D9-A262-5037742A712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大学BYOD100台</t>
      </text>
    </comment>
    <comment ref="AK93" authorId="58" shapeId="0" xr:uid="{CB4FE948-64D3-49F0-9994-8AB53FAED57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大学BYOD150台</t>
      </text>
    </comment>
    <comment ref="AL93" authorId="59" shapeId="0" xr:uid="{EB4CFF7A-DE89-45B4-BF5F-51654C9D9FD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大学BYOD100台</t>
      </text>
    </comment>
    <comment ref="L114" authorId="60" shapeId="0" xr:uid="{8CB1957F-EED1-4A6A-95D7-000F5856E21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移動分は除外</t>
      </text>
    </comment>
    <comment ref="M114" authorId="61" shapeId="0" xr:uid="{00C211C0-57FF-45B3-B9F5-2381FA387B4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移動分は除外</t>
      </text>
    </comment>
    <comment ref="R117" authorId="62" shapeId="0" xr:uid="{3D4E849D-34AC-4352-A3E0-4EC656B1D61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300台システナ経由大末建設→失注</t>
      </text>
    </comment>
    <comment ref="AL120" authorId="63" shapeId="0" xr:uid="{B28D6D0B-6F6D-4DF5-B2EB-6E071ED7AB0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修理移動予定</t>
      </text>
    </comment>
    <comment ref="C156" authorId="18" shapeId="0" xr:uid="{098B6B78-421B-4824-A274-35F5A48BF34E}">
      <text>
        <r>
          <rPr>
            <b/>
            <sz val="14"/>
            <color indexed="81"/>
            <rFont val="MS P ゴシック"/>
            <family val="3"/>
            <charset val="128"/>
          </rPr>
          <t xml:space="preserve">F-14RP5　11月着地見込　100　12月 2倍になる理由が不明
繁忙+法人だっけ
</t>
        </r>
      </text>
    </comment>
    <comment ref="O156" authorId="64" shapeId="0" xr:uid="{B7E26E7A-5A75-4AC3-8F6E-0F9623AB6EE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5.6.7月生協に180台sellin予定</t>
      </text>
    </comment>
    <comment ref="T156" authorId="65" shapeId="0" xr:uid="{D6CB5215-E7ED-473D-BB1C-0E139080AB5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DX-R5かF-14RP5 100台案件あり。予算取り、競合多数ありのため確度全く不明な状況です。</t>
      </text>
    </comment>
    <comment ref="V156" authorId="66" shapeId="0" xr:uid="{110EA2A4-EF3F-462C-BC1F-FFEF0FD6BE5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150台　旧ベアでの出荷</t>
      </text>
    </comment>
    <comment ref="U160" authorId="67" shapeId="0" xr:uid="{F2A226EC-13EA-4EB8-8D8E-AE45F39400E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DX-M7については追加発注しないなら法人の販売計画は11月移行０で構いません</t>
      </text>
    </comment>
    <comment ref="C161" authorId="18" shapeId="0" xr:uid="{6CE7B4B8-1064-4F7A-ACAA-E9B3625EE776}">
      <text>
        <r>
          <rPr>
            <b/>
            <sz val="14"/>
            <color indexed="81"/>
            <rFont val="MS P ゴシック"/>
            <family val="3"/>
            <charset val="128"/>
          </rPr>
          <t>RL5R-G165　11月着地見込 300 →12月 2倍以上の計画、12世代の3050の影響も受ける可能性が高いが、仕掛け等の用意があるか？
とりあえず価格コムと季節計数のみ、このモデルはどこまで引っ張るか、をもう一度確認</t>
        </r>
      </text>
    </comment>
    <comment ref="M161" authorId="5" shapeId="0" xr:uid="{169BC655-6DAC-47DC-91EA-CA59FA7EB2CA}">
      <text>
        <r>
          <rPr>
            <sz val="11"/>
            <color theme="1"/>
            <rFont val="游ゴシック"/>
            <family val="2"/>
            <charset val="128"/>
            <scheme val="minor"/>
          </rPr>
          <t>鈴木 英祐:
法人　152
11/29追記
3050モデルraytrekから2000台分をこちらで販売　3月~4月
2/21：5月に遅延(鈴木由)</t>
        </r>
      </text>
    </comment>
    <comment ref="N161" authorId="5" shapeId="0" xr:uid="{289B2486-810E-4D3D-BE53-E98C19436162}">
      <text>
        <r>
          <rPr>
            <sz val="11"/>
            <color theme="1"/>
            <rFont val="游ゴシック"/>
            <family val="2"/>
            <charset val="128"/>
            <scheme val="minor"/>
          </rPr>
          <t>11/29追記
3050モデルraytrekから2000台分をこちらで販売　3月~4月
2/21：5月に遅延(鈴木由)</t>
        </r>
      </text>
    </comment>
    <comment ref="P161" authorId="68" shapeId="0" xr:uid="{1959C0ED-3172-4DFA-B8DF-62ACD24EF3C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ARESの実態が分かりDIS経由が厳しいと判断しました。(ARES自体5台/月)</t>
      </text>
    </comment>
    <comment ref="C172" authorId="18" shapeId="0" xr:uid="{77957965-EFCE-4133-AFB1-EBC4A1A48FB5}">
      <text>
        <r>
          <rPr>
            <b/>
            <sz val="16"/>
            <color indexed="81"/>
            <rFont val="MS P ゴシック"/>
            <family val="3"/>
            <charset val="128"/>
          </rPr>
          <t xml:space="preserve">UL9C-R49　11月 着地見込 20→ 12月 50 は計画上困難とみてます。1.5倍程度、仕掛け等の用意があるか？
利益下げて処分
</t>
        </r>
      </text>
    </comment>
    <comment ref="O177" authorId="69" shapeId="0" xr:uid="{701B545E-EC85-4D6D-BD9C-F1460560686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生協へのsellin</t>
      </text>
    </comment>
    <comment ref="N179" authorId="70" shapeId="0" xr:uid="{22DB4A33-3F08-4DD0-BCCB-0FA7AE7319D0}">
      <text>
        <r>
          <rPr>
            <sz val="11"/>
            <color theme="1"/>
            <rFont val="游ゴシック"/>
            <family val="2"/>
            <charset val="128"/>
            <scheme val="minor"/>
          </rPr>
          <t>1I10移動済ではありますが記載しておきます。</t>
        </r>
      </text>
    </comment>
    <comment ref="O179" authorId="5" shapeId="0" xr:uid="{CA2D4072-800C-4A64-8984-D51D4F41063F}">
      <text>
        <r>
          <rPr>
            <b/>
            <sz val="9"/>
            <color indexed="81"/>
            <rFont val="MS P ゴシック"/>
            <family val="3"/>
            <charset val="128"/>
          </rPr>
          <t>鈴木 英祐:</t>
        </r>
        <r>
          <rPr>
            <sz val="9"/>
            <color indexed="81"/>
            <rFont val="MS P ゴシック"/>
            <family val="3"/>
            <charset val="128"/>
          </rPr>
          <t xml:space="preserve">
2/20 13620Hモデルに振り替え
</t>
        </r>
      </text>
    </comment>
    <comment ref="P179" authorId="71" shapeId="0" xr:uid="{114D6131-29F5-4A81-B82D-8D0686BE0A2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5/22 6月出荷に変更→5/31
7月に変更</t>
      </text>
    </comment>
    <comment ref="Q179" authorId="72" shapeId="0" xr:uid="{D00B73E3-AD1F-49F5-B561-15EC04FAE6E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5/31　7月出荷予定に変更
6/12　法人内での消化に変更</t>
      </text>
    </comment>
    <comment ref="C180" authorId="18" shapeId="0" xr:uid="{FF381DAB-6632-47EA-8CE3-D864502C2E24}">
      <text>
        <r>
          <rPr>
            <b/>
            <sz val="14"/>
            <color indexed="81"/>
            <rFont val="MS P ゴシック"/>
            <family val="3"/>
            <charset val="128"/>
          </rPr>
          <t>RM7C-R45　→発売直後とは言え週次 10台程度、12月150の数値は想定できない。
4H2の時の繁忙期想定だっけ？</t>
        </r>
      </text>
    </comment>
    <comment ref="L184" authorId="73" shapeId="0" xr:uid="{2214948D-244B-48C8-BB9A-07C9BD0E036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移動分は除外</t>
      </text>
    </comment>
    <comment ref="C185" authorId="18" shapeId="0" xr:uid="{7BAF1B84-DF12-4E05-8373-B151276F8A0E}">
      <text>
        <r>
          <rPr>
            <b/>
            <sz val="14"/>
            <color indexed="81"/>
            <rFont val="MS P ゴシック"/>
            <family val="3"/>
            <charset val="128"/>
          </rPr>
          <t xml:space="preserve">R5-RL5　11月着地見込　370　12月以降減少する理由が不明
持ってくる数字違ってるかなこれ
</t>
        </r>
      </text>
    </comment>
    <comment ref="L185" authorId="74" shapeId="0" xr:uid="{FB0ADE87-580A-4613-9D1F-4CA361F0C9F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移動分は除外</t>
      </text>
    </comment>
    <comment ref="C187" authorId="18" shapeId="0" xr:uid="{8EE35838-E666-4F70-899D-AC8F7D479833}">
      <text>
        <r>
          <rPr>
            <b/>
            <sz val="14"/>
            <color indexed="81"/>
            <rFont val="MS P ゴシック"/>
            <family val="3"/>
            <charset val="128"/>
          </rPr>
          <t xml:space="preserve">A4-R　　11月　130　12月は200（在庫薄いので引き延ばす？　継続するなら追加を決める必要あり）
切り替えかと思ってたので、終息までどうするかだったんだけど、継続（n-1出来るか）なら、そのまま追加発注の検討に戻す
</t>
        </r>
      </text>
    </comment>
    <comment ref="L187" authorId="75" shapeId="0" xr:uid="{128FE65F-1268-4535-A778-72F9F6372A8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移動分は除外</t>
      </text>
    </comment>
    <comment ref="M187" authorId="76" shapeId="0" xr:uid="{C7FE802A-1E3B-4C16-899F-96D1453743C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移動分は除外</t>
      </text>
    </comment>
    <comment ref="N187" authorId="77" shapeId="0" xr:uid="{81B56E5C-213F-42B2-AACD-ED416F67995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移動分は除外</t>
      </text>
    </comment>
    <comment ref="O187" authorId="78" shapeId="0" xr:uid="{97DDFE53-7BA5-4BF7-94A1-9A29AF29A7E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移動分は除外</t>
      </text>
    </comment>
    <comment ref="C189" authorId="18" shapeId="0" xr:uid="{CE1C09CD-0D85-493D-AD70-3AC775216BE7}">
      <text>
        <r>
          <rPr>
            <b/>
            <sz val="14"/>
            <color indexed="81"/>
            <rFont val="MS P ゴシック"/>
            <family val="3"/>
            <charset val="128"/>
          </rPr>
          <t xml:space="preserve">R7-RL　11月着地見込　30　12月以降減少する理由が不明
3月の切り替えまで持つかだけなので、数調整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tc={AE3ACDEF-2B98-408C-9742-0C0944AB059F}</author>
  </authors>
  <commentList>
    <comment ref="B24" authorId="0" shapeId="0" xr:uid="{AE3ACDEF-2B98-408C-9742-0C0944AB059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2025/11/19追加</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6573F31-57C6-422A-9CEB-BE2D11D22CDA}" keepAlive="1" name="ModelConnection_ExternalData_1" description="データ モデル" type="5" refreshedVersion="8" minRefreshableVersion="5" saveData="1">
    <dbPr connection="Data Model Connection" command="一般＋法人" commandType="3"/>
    <extLst>
      <ext xmlns:x15="http://schemas.microsoft.com/office/spreadsheetml/2010/11/main" uri="{DE250136-89BD-433C-8126-D09CA5730AF9}">
        <x15:connection id="" model="1"/>
      </ext>
    </extLst>
  </connection>
  <connection id="2" xr16:uid="{6693FD7C-050B-4608-BB02-E6C7C26D6A4D}" keepAlive="1" name="ThisWorkbookDataModel" description="データ モデル"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FDEF0D93-96DD-49C2-9D34-7ED6D917A2CD}" keepAlive="1" name="クエリ - CSV" description="ブック内の 'CSV' クエリへの接続です。" type="5" refreshedVersion="0" background="1">
    <dbPr connection="Provider=Microsoft.Mashup.OleDb.1;Data Source=$Workbook$;Location=CSV;Extended Properties=&quot;&quot;" command="SELECT * FROM [CSV]"/>
  </connection>
  <connection id="4" xr16:uid="{A4F0FBCF-4626-4DCC-90DB-814DB73378AA}" keepAlive="1" name="クエリ - CSV法" description="ブック内の 'CSV法' クエリへの接続です。" type="5" refreshedVersion="0" background="1">
    <dbPr connection="Provider=Microsoft.Mashup.OleDb.1;Data Source=$Workbook$;Location=CSV法;Extended Properties=&quot;&quot;" command="SELECT * FROM [CSV法]"/>
  </connection>
  <connection id="5" xr16:uid="{90E57080-5450-48C7-A2F6-4AA0FF4E2E60}" keepAlive="1" name="クエリ - EOLリスト" description="ブック内の 'EOLリスト' クエリへの接続です。" type="5" refreshedVersion="8" saveData="1">
    <dbPr connection="Provider=Microsoft.Mashup.OleDb.1;Data Source=$Workbook$;Location=EOLリスト;Extended Properties=&quot;&quot;" command="SELECT * FROM [EOLリスト]"/>
  </connection>
  <connection id="6" xr16:uid="{9167FFA6-B2E3-4007-8160-F54F91F7313D}" name="クエリ - 一般＋法人" description="ブック内の '一般＋法人' クエリへの接続です。" type="100" refreshedVersion="8" minRefreshableVersion="5" saveData="1">
    <extLst>
      <ext xmlns:x15="http://schemas.microsoft.com/office/spreadsheetml/2010/11/main" uri="{DE250136-89BD-433C-8126-D09CA5730AF9}">
        <x15:connection id="cd66d0be-0415-437c-813b-9208a37172a7"/>
      </ext>
    </extLst>
  </connection>
  <connection id="7" xr16:uid="{9985704F-21EB-4EC1-AB23-ED791BBB6F43}" odcFile="C:\Users\10470\OneDrive - 株式会社サードウェーブ\ドキュメント\My Data Sources\クエリ - 購買計画one_note 貼り付け.odc" keepAlive="1" name="クエリ - 購買計画one_note 貼り付け" description="ブック内の '購買計画one_note 貼り付け' クエリへの接続です。" type="5" refreshedVersion="8" saveData="1">
    <dbPr connection="Provider=Microsoft.Mashup.OleDb.1;Data Source=$Workbook$;Location=&quot;購買計画one_note 貼り付け&quot;;Extended Properties=&quot;&quot;" command="SELECT * FROM [購買計画one_note 貼り付け]"/>
  </connection>
  <connection id="8" xr16:uid="{E8B9C17C-87C9-4D0E-9397-9F29A1E59AA8}" keepAlive="1" name="クエリ - 実績ファイル更新日時" description="ブック内の '実績ファイル更新日時' クエリへの接続です。" type="5" refreshedVersion="8" background="1" saveData="1">
    <dbPr connection="Provider=Microsoft.Mashup.OleDb.1;Data Source=$Workbook$;Location=実績ファイル更新日時;Extended Properties=&quot;&quot;" command="SELECT * FROM [実績ファイル更新日時]"/>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<sst xmlns="http://schemas.openxmlformats.org/spreadsheetml/2006/main" count="31875" uniqueCount="4439">
  <si>
    <t>↓インチ+ブランド</t>
    <phoneticPr fontId="4"/>
  </si>
  <si>
    <t>↓当月月初の在庫（SAP貼り付けから計算）</t>
    <rPh sb="1" eb="3">
      <t>トウゲツ</t>
    </rPh>
    <rPh sb="3" eb="5">
      <t>ゲッショ</t>
    </rPh>
    <rPh sb="6" eb="8">
      <t>ザイコ</t>
    </rPh>
    <rPh sb="12" eb="13">
      <t>ハ</t>
    </rPh>
    <rPh sb="14" eb="15">
      <t>ツ</t>
    </rPh>
    <rPh sb="18" eb="20">
      <t>ケイサン</t>
    </rPh>
    <phoneticPr fontId="4"/>
  </si>
  <si>
    <t>↓各月の計画</t>
    <rPh sb="1" eb="3">
      <t>カクゲツ</t>
    </rPh>
    <rPh sb="4" eb="6">
      <t>ケイカク</t>
    </rPh>
    <phoneticPr fontId="4"/>
  </si>
  <si>
    <t>↓購買の名称</t>
    <rPh sb="1" eb="3">
      <t>コウバイ</t>
    </rPh>
    <rPh sb="4" eb="6">
      <t>メイショウ</t>
    </rPh>
    <phoneticPr fontId="4"/>
  </si>
  <si>
    <t>↓販売モデル名＝定格銘板</t>
    <rPh sb="1" eb="3">
      <t>ハンバイ</t>
    </rPh>
    <rPh sb="6" eb="7">
      <t>メイ</t>
    </rPh>
    <rPh sb="8" eb="12">
      <t>テイカクメイバン</t>
    </rPh>
    <phoneticPr fontId="4"/>
  </si>
  <si>
    <t>↓搭載CPU</t>
    <rPh sb="1" eb="3">
      <t>トウサイ</t>
    </rPh>
    <phoneticPr fontId="4"/>
  </si>
  <si>
    <t>搭載GPU</t>
    <rPh sb="0" eb="2">
      <t>トウサイ</t>
    </rPh>
    <phoneticPr fontId="4"/>
  </si>
  <si>
    <t>メモリ種別</t>
    <rPh sb="3" eb="5">
      <t>シュベツ</t>
    </rPh>
    <phoneticPr fontId="4"/>
  </si>
  <si>
    <t>↓今月～翌々月（向う4か月の販売計画　在庫＜販売計画の場合赤文字）</t>
    <rPh sb="1" eb="3">
      <t>コンゲツ</t>
    </rPh>
    <rPh sb="4" eb="7">
      <t>ヨクヨクゲツ</t>
    </rPh>
    <rPh sb="8" eb="9">
      <t>ムコ</t>
    </rPh>
    <rPh sb="12" eb="13">
      <t>ゲツ</t>
    </rPh>
    <rPh sb="14" eb="16">
      <t>ハンバイ</t>
    </rPh>
    <rPh sb="16" eb="18">
      <t>ケイカク</t>
    </rPh>
    <rPh sb="19" eb="21">
      <t>ザイコ</t>
    </rPh>
    <rPh sb="22" eb="24">
      <t>ハンバイ</t>
    </rPh>
    <rPh sb="24" eb="26">
      <t>ケイカク</t>
    </rPh>
    <rPh sb="27" eb="29">
      <t>バアイ</t>
    </rPh>
    <rPh sb="29" eb="32">
      <t>アカモジ</t>
    </rPh>
    <phoneticPr fontId="4"/>
  </si>
  <si>
    <t>GALLERIA</t>
  </si>
  <si>
    <t>model名</t>
    <rPh sb="5" eb="6">
      <t>メイ</t>
    </rPh>
    <phoneticPr fontId="4"/>
  </si>
  <si>
    <t>CPU</t>
  </si>
  <si>
    <t>GPU</t>
  </si>
  <si>
    <t>メモリ</t>
  </si>
  <si>
    <t>在庫残</t>
    <rPh sb="0" eb="2">
      <t>ザイコ</t>
    </rPh>
    <rPh sb="2" eb="3">
      <t>ザン</t>
    </rPh>
    <phoneticPr fontId="4"/>
  </si>
  <si>
    <t>4か月計画</t>
    <rPh sb="2" eb="3">
      <t>ゲツ</t>
    </rPh>
    <rPh sb="3" eb="5">
      <t>ケイカク</t>
    </rPh>
    <phoneticPr fontId="4"/>
  </si>
  <si>
    <t>17"-G</t>
  </si>
  <si>
    <t>CLE-X370-13900HX-4090-L6</t>
  </si>
  <si>
    <t>UL9C-R49</t>
  </si>
  <si>
    <t>RPL-i9-13900HX</t>
  </si>
  <si>
    <t>DDR5</t>
  </si>
  <si>
    <t/>
  </si>
  <si>
    <t>16”-G</t>
  </si>
  <si>
    <t>ID-B 14900HX-4090-creator-L6</t>
  </si>
  <si>
    <t>UL9C-R49-6</t>
  </si>
  <si>
    <t>RPL-R i9-14900HX</t>
  </si>
  <si>
    <t>ID-B 14900HX-4070-L6</t>
  </si>
  <si>
    <t>ZL9C-R47-6B</t>
  </si>
  <si>
    <t>ID-U-155H-4070-gaming</t>
  </si>
  <si>
    <t>ZL7C-R47-6</t>
  </si>
  <si>
    <t>MTL-UL9-185H</t>
  </si>
  <si>
    <t>ID-B 14900HX-4060-L6</t>
  </si>
  <si>
    <t>ZL9C-R46-6</t>
  </si>
  <si>
    <t>CLE-V56-155H-4060-L6</t>
  </si>
  <si>
    <t>XL7C-R46-6</t>
  </si>
  <si>
    <t>MTL-UL7-155H</t>
  </si>
  <si>
    <t>UNW-6H2-13700H-4060-L6</t>
  </si>
  <si>
    <t>XL7C-R46H(L6)</t>
  </si>
  <si>
    <t>RPL-i7-13700H</t>
  </si>
  <si>
    <t>CLE-V56-155H-4050-L6</t>
  </si>
  <si>
    <t>XL7C-R45-6</t>
  </si>
  <si>
    <t>UNW-6H2-13700H-4050-L9</t>
  </si>
  <si>
    <t>XL7C-R45H(L9)</t>
  </si>
  <si>
    <t>CLE-NV45-13700H-4050-L6</t>
  </si>
  <si>
    <t>RM7C-R45</t>
  </si>
  <si>
    <t>GALLERIA  合計</t>
    <rPh sb="10" eb="12">
      <t>ゴウケイ</t>
    </rPh>
    <phoneticPr fontId="4"/>
  </si>
  <si>
    <t>GALLERIA  予算</t>
    <rPh sb="10" eb="12">
      <t>ヨサン</t>
    </rPh>
    <phoneticPr fontId="4"/>
  </si>
  <si>
    <t>↑台数計画合計＜予算の場合赤文字</t>
    <rPh sb="1" eb="5">
      <t>ダイスウケイカク</t>
    </rPh>
    <rPh sb="5" eb="7">
      <t>ゴウケイ</t>
    </rPh>
    <rPh sb="8" eb="10">
      <t>ヨサン</t>
    </rPh>
    <rPh sb="11" eb="13">
      <t>バアイ</t>
    </rPh>
    <rPh sb="13" eb="16">
      <t>アカモジ</t>
    </rPh>
    <phoneticPr fontId="4"/>
  </si>
  <si>
    <t>EOL製品</t>
    <rPh sb="3" eb="5">
      <t>セイヒン</t>
    </rPh>
    <phoneticPr fontId="4"/>
  </si>
  <si>
    <t>計画製品（未発注もしくは未確定）</t>
    <rPh sb="0" eb="2">
      <t>ケイカク</t>
    </rPh>
    <rPh sb="2" eb="4">
      <t>セイヒン</t>
    </rPh>
    <rPh sb="5" eb="8">
      <t>ミハッチュウ</t>
    </rPh>
    <rPh sb="12" eb="15">
      <t>ミカクテイ</t>
    </rPh>
    <phoneticPr fontId="4"/>
  </si>
  <si>
    <t>ブランド別の合計</t>
    <rPh sb="4" eb="5">
      <t>ベツ</t>
    </rPh>
    <rPh sb="6" eb="8">
      <t>ゴウケイ</t>
    </rPh>
    <phoneticPr fontId="4"/>
  </si>
  <si>
    <t>変更必須（在庫不足）</t>
    <rPh sb="0" eb="2">
      <t>ヘンコウ</t>
    </rPh>
    <rPh sb="2" eb="4">
      <t>ヒッス</t>
    </rPh>
    <rPh sb="5" eb="9">
      <t>ザイコフソク</t>
    </rPh>
    <phoneticPr fontId="4"/>
  </si>
  <si>
    <t>←納期変更や、販売過剰などによる在庫不足（販売不可）</t>
    <rPh sb="1" eb="5">
      <t>ノウキヘンコウ</t>
    </rPh>
    <rPh sb="7" eb="9">
      <t>ハンバイ</t>
    </rPh>
    <rPh sb="9" eb="11">
      <t>カジョウ</t>
    </rPh>
    <rPh sb="16" eb="18">
      <t>ザイコ</t>
    </rPh>
    <rPh sb="18" eb="20">
      <t>フソク</t>
    </rPh>
    <rPh sb="21" eb="25">
      <t>ハンバイフカ</t>
    </rPh>
    <phoneticPr fontId="4"/>
  </si>
  <si>
    <t>前回（最新日付のシート）から変更</t>
    <rPh sb="0" eb="2">
      <t>ゼンカイ</t>
    </rPh>
    <rPh sb="3" eb="5">
      <t>サイシン</t>
    </rPh>
    <rPh sb="5" eb="7">
      <t>ヒヅケ</t>
    </rPh>
    <rPh sb="14" eb="16">
      <t>ヘンコウ</t>
    </rPh>
    <phoneticPr fontId="4"/>
  </si>
  <si>
    <t>←ONE未反映の状態。最新シートが作成された時点で白地に変更します</t>
    <rPh sb="4" eb="7">
      <t>ミハンエイ</t>
    </rPh>
    <rPh sb="8" eb="10">
      <t>ジョウタイ</t>
    </rPh>
    <rPh sb="11" eb="13">
      <t>サイシン</t>
    </rPh>
    <rPh sb="17" eb="19">
      <t>サクセイ</t>
    </rPh>
    <rPh sb="22" eb="24">
      <t>ジテン</t>
    </rPh>
    <rPh sb="25" eb="27">
      <t>シロジ</t>
    </rPh>
    <rPh sb="28" eb="30">
      <t>ヘンコウ</t>
    </rPh>
    <phoneticPr fontId="4"/>
  </si>
  <si>
    <t>■ノート担当用</t>
    <rPh sb="4" eb="7">
      <t>タントウヨウ</t>
    </rPh>
    <phoneticPr fontId="4"/>
  </si>
  <si>
    <t>販売計画の更新について</t>
    <rPh sb="0" eb="2">
      <t>ハンバイ</t>
    </rPh>
    <rPh sb="2" eb="4">
      <t>ケイカク</t>
    </rPh>
    <rPh sb="5" eb="7">
      <t>コウシン</t>
    </rPh>
    <phoneticPr fontId="4"/>
  </si>
  <si>
    <t>計画更新が発生したら、</t>
    <rPh sb="0" eb="2">
      <t>ケイカク</t>
    </rPh>
    <rPh sb="2" eb="4">
      <t>コウシン</t>
    </rPh>
    <rPh sb="5" eb="7">
      <t>ハッセイ</t>
    </rPh>
    <phoneticPr fontId="4"/>
  </si>
  <si>
    <t>ツールバーから　数式→再計算実行を選択（一般 + 法人 の計算実行）</t>
    <rPh sb="8" eb="10">
      <t>スウシキ</t>
    </rPh>
    <rPh sb="11" eb="14">
      <t>サイケイサン</t>
    </rPh>
    <rPh sb="14" eb="16">
      <t>ジッコウ</t>
    </rPh>
    <rPh sb="17" eb="19">
      <t>センタク</t>
    </rPh>
    <rPh sb="20" eb="22">
      <t>イッパン</t>
    </rPh>
    <rPh sb="25" eb="27">
      <t>ホウジン</t>
    </rPh>
    <rPh sb="29" eb="31">
      <t>ケイサン</t>
    </rPh>
    <rPh sb="31" eb="33">
      <t>ジッコウ</t>
    </rPh>
    <phoneticPr fontId="4"/>
  </si>
  <si>
    <t>一般 + 法人 = 全体 になっていることを確認</t>
    <rPh sb="0" eb="2">
      <t>イッパン</t>
    </rPh>
    <rPh sb="5" eb="7">
      <t>ホウジン</t>
    </rPh>
    <rPh sb="10" eb="12">
      <t>ゼンタイ</t>
    </rPh>
    <rPh sb="22" eb="24">
      <t>カクニン</t>
    </rPh>
    <phoneticPr fontId="4"/>
  </si>
  <si>
    <t>①　新規に更新されたモデルを確認</t>
    <rPh sb="2" eb="4">
      <t>シンキ</t>
    </rPh>
    <rPh sb="5" eb="7">
      <t>コウシン</t>
    </rPh>
    <rPh sb="14" eb="16">
      <t>カクニン</t>
    </rPh>
    <phoneticPr fontId="4"/>
  </si>
  <si>
    <t>②　他 3点ほどランダムでモデルピックアップをして確認</t>
    <rPh sb="2" eb="3">
      <t>ホカ</t>
    </rPh>
    <rPh sb="5" eb="6">
      <t>テン</t>
    </rPh>
    <rPh sb="25" eb="27">
      <t>カクニン</t>
    </rPh>
    <phoneticPr fontId="4"/>
  </si>
  <si>
    <t>問題ある場合、計算式を確認、またモデル追加がある場合はモデルを追加</t>
    <rPh sb="0" eb="2">
      <t>モンダイ</t>
    </rPh>
    <rPh sb="4" eb="6">
      <t>バアイ</t>
    </rPh>
    <rPh sb="7" eb="10">
      <t>ケイサンシキ</t>
    </rPh>
    <rPh sb="11" eb="13">
      <t>カクニン</t>
    </rPh>
    <rPh sb="19" eb="21">
      <t>ツイカ</t>
    </rPh>
    <rPh sb="24" eb="26">
      <t>バアイ</t>
    </rPh>
    <rPh sb="31" eb="33">
      <t>ツイカ</t>
    </rPh>
    <phoneticPr fontId="4"/>
  </si>
  <si>
    <t>（一般、法人双方に同じモデルがないと集計されない可能性あり）</t>
    <rPh sb="1" eb="3">
      <t>イッパン</t>
    </rPh>
    <rPh sb="4" eb="6">
      <t>ホウジン</t>
    </rPh>
    <rPh sb="6" eb="8">
      <t>ソウホウ</t>
    </rPh>
    <rPh sb="9" eb="10">
      <t>オナ</t>
    </rPh>
    <rPh sb="18" eb="20">
      <t>シュウケイ</t>
    </rPh>
    <rPh sb="24" eb="27">
      <t>カノウセイ</t>
    </rPh>
    <phoneticPr fontId="4"/>
  </si>
  <si>
    <t>在庫使用計画（ノート全体試算）をコピー、コピーしたシート名を在庫使用計画（当日日付）に変更</t>
    <rPh sb="0" eb="2">
      <t>ザイコ</t>
    </rPh>
    <rPh sb="2" eb="4">
      <t>シヨウ</t>
    </rPh>
    <rPh sb="4" eb="6">
      <t>ケイカク</t>
    </rPh>
    <rPh sb="10" eb="12">
      <t>ゼンタイ</t>
    </rPh>
    <rPh sb="12" eb="14">
      <t>シサン</t>
    </rPh>
    <rPh sb="28" eb="29">
      <t>メイ</t>
    </rPh>
    <rPh sb="30" eb="36">
      <t>ザイコシヨウケイカク</t>
    </rPh>
    <rPh sb="37" eb="39">
      <t>トウジツ</t>
    </rPh>
    <rPh sb="39" eb="41">
      <t>ヒヅ</t>
    </rPh>
    <rPh sb="43" eb="45">
      <t>ヘンコウ</t>
    </rPh>
    <phoneticPr fontId="4"/>
  </si>
  <si>
    <t>2.でコピーしたシート全体をCtrl+A、Crtl +C で全体コピーして、数字で貼り付け</t>
    <rPh sb="11" eb="13">
      <t>ゼンタイ</t>
    </rPh>
    <rPh sb="30" eb="32">
      <t>ゼンタイ</t>
    </rPh>
    <rPh sb="38" eb="40">
      <t>スウジ</t>
    </rPh>
    <rPh sb="41" eb="42">
      <t>ハ</t>
    </rPh>
    <rPh sb="43" eb="44">
      <t>ツ</t>
    </rPh>
    <phoneticPr fontId="4"/>
  </si>
  <si>
    <t>（計算式を残さないで数字としてデータ化）</t>
    <rPh sb="1" eb="4">
      <t>ケイサンシキ</t>
    </rPh>
    <rPh sb="5" eb="6">
      <t>ノコ</t>
    </rPh>
    <rPh sb="10" eb="12">
      <t>スウジ</t>
    </rPh>
    <rPh sb="18" eb="19">
      <t>カ</t>
    </rPh>
    <phoneticPr fontId="4"/>
  </si>
  <si>
    <t>3.でコピーした結果が、全体試算のシートと変わらないか確認</t>
    <rPh sb="8" eb="10">
      <t>ケッカ</t>
    </rPh>
    <rPh sb="12" eb="14">
      <t>ゼンタイ</t>
    </rPh>
    <rPh sb="14" eb="16">
      <t>シサン</t>
    </rPh>
    <rPh sb="21" eb="22">
      <t>カ</t>
    </rPh>
    <rPh sb="27" eb="29">
      <t>カクニン</t>
    </rPh>
    <phoneticPr fontId="4"/>
  </si>
  <si>
    <t>\\172.25.20.11\サードウェーブグループ\41上期\サードウェーブ\購買本部\【通常業務】\ONE</t>
    <phoneticPr fontId="4"/>
  </si>
  <si>
    <t>↑ONEファイルから、『NoteONE計画』のファイルを開く</t>
    <rPh sb="28" eb="29">
      <t>ヒラ</t>
    </rPh>
    <phoneticPr fontId="4"/>
  </si>
  <si>
    <t>販売計画_yymmdd（一番新しい日付のもの）を全体コピーして、yymmdd（ひとつ前）のシートに貼り付け</t>
    <rPh sb="0" eb="2">
      <t>ハンバイ</t>
    </rPh>
    <rPh sb="2" eb="4">
      <t>ケイカク</t>
    </rPh>
    <rPh sb="12" eb="14">
      <t>イチバン</t>
    </rPh>
    <rPh sb="14" eb="15">
      <t>アタラ</t>
    </rPh>
    <rPh sb="17" eb="19">
      <t>ヒヅケ</t>
    </rPh>
    <rPh sb="24" eb="26">
      <t>ゼンタイ</t>
    </rPh>
    <rPh sb="42" eb="43">
      <t>マエ</t>
    </rPh>
    <rPh sb="49" eb="50">
      <t>ハ</t>
    </rPh>
    <rPh sb="51" eb="52">
      <t>ツ</t>
    </rPh>
    <phoneticPr fontId="4"/>
  </si>
  <si>
    <t>ひとつ前のシート名を更新</t>
    <rPh sb="3" eb="4">
      <t>マエ</t>
    </rPh>
    <rPh sb="8" eb="9">
      <t>メイ</t>
    </rPh>
    <rPh sb="10" eb="12">
      <t>コウシン</t>
    </rPh>
    <phoneticPr fontId="4"/>
  </si>
  <si>
    <t>3.で作成したシート全体をコピーして、販売計画_yymmdd（一番新しい日付のもの）に貼り付け。</t>
    <rPh sb="3" eb="5">
      <t>サクセイ</t>
    </rPh>
    <rPh sb="10" eb="12">
      <t>ゼンタイ</t>
    </rPh>
    <rPh sb="43" eb="44">
      <t>ハ</t>
    </rPh>
    <rPh sb="45" eb="46">
      <t>ツ</t>
    </rPh>
    <phoneticPr fontId="4"/>
  </si>
  <si>
    <t>日付けを更新した日（3.のシート名と同じ日付）に更新</t>
    <rPh sb="0" eb="2">
      <t>ヒヅ</t>
    </rPh>
    <rPh sb="4" eb="6">
      <t>コウシン</t>
    </rPh>
    <rPh sb="8" eb="9">
      <t>ヒ</t>
    </rPh>
    <rPh sb="16" eb="17">
      <t>メイ</t>
    </rPh>
    <rPh sb="18" eb="19">
      <t>オナ</t>
    </rPh>
    <rPh sb="20" eb="22">
      <t>ヒヅケ</t>
    </rPh>
    <rPh sb="24" eb="26">
      <t>コウシン</t>
    </rPh>
    <phoneticPr fontId="4"/>
  </si>
  <si>
    <t>『NoteONE計画』の部品予測のシートを確認</t>
    <rPh sb="8" eb="10">
      <t>ケイカク</t>
    </rPh>
    <rPh sb="12" eb="16">
      <t>ブヒンヨソク</t>
    </rPh>
    <rPh sb="21" eb="23">
      <t>カクニン</t>
    </rPh>
    <phoneticPr fontId="4"/>
  </si>
  <si>
    <t>在庫使用計画にあるか</t>
    <rPh sb="0" eb="2">
      <t>ザイコ</t>
    </rPh>
    <rPh sb="2" eb="4">
      <t>シヨウ</t>
    </rPh>
    <rPh sb="4" eb="6">
      <t>ケイカク</t>
    </rPh>
    <phoneticPr fontId="4"/>
  </si>
  <si>
    <t>EOL連絡</t>
  </si>
  <si>
    <t>ブランド</t>
  </si>
  <si>
    <t>製品型番</t>
  </si>
  <si>
    <t>商品コード</t>
  </si>
  <si>
    <t>ベア名称</t>
  </si>
  <si>
    <t>ID通称</t>
  </si>
  <si>
    <t>綽名</t>
  </si>
  <si>
    <t>画面サイズ</t>
  </si>
  <si>
    <t>Copilot OS</t>
  </si>
  <si>
    <t>在庫</t>
  </si>
  <si>
    <t>在庫+注残</t>
  </si>
  <si>
    <t>MP出荷</t>
  </si>
  <si>
    <t>販売開始</t>
  </si>
  <si>
    <t>終息予定</t>
  </si>
  <si>
    <t>備考</t>
  </si>
  <si>
    <t>移動数</t>
  </si>
  <si>
    <t>完了日</t>
  </si>
  <si>
    <t>備考2</t>
  </si>
  <si>
    <t>計画</t>
  </si>
  <si>
    <t>総発注数</t>
  </si>
  <si>
    <t>販売数</t>
  </si>
  <si>
    <t>最終入荷</t>
  </si>
  <si>
    <t>代替製品CD</t>
  </si>
  <si>
    <t>名称</t>
  </si>
  <si>
    <t>代替品CD 2</t>
  </si>
  <si>
    <t>列3</t>
  </si>
  <si>
    <t>移動累計</t>
  </si>
  <si>
    <t>リペア比率</t>
  </si>
  <si>
    <t>販売比率</t>
  </si>
  <si>
    <t>在庫4</t>
  </si>
  <si>
    <t>その他</t>
  </si>
  <si>
    <t>代替提案CD</t>
  </si>
  <si>
    <t>代替提案ベア</t>
  </si>
  <si>
    <t>対応マニュアル</t>
  </si>
  <si>
    <t>納品日</t>
  </si>
  <si>
    <t>納品数</t>
  </si>
  <si>
    <t>AC容量</t>
  </si>
  <si>
    <t>V</t>
  </si>
  <si>
    <t>A</t>
  </si>
  <si>
    <t>AC形状</t>
  </si>
  <si>
    <t>AC商品CD</t>
  </si>
  <si>
    <t>ケーブル</t>
  </si>
  <si>
    <t>ケーブルCD</t>
  </si>
  <si>
    <t>USB-PD対応</t>
  </si>
  <si>
    <t>備考3</t>
  </si>
  <si>
    <t>ONE計画との整合</t>
  </si>
  <si>
    <t>SAPとの整合</t>
  </si>
  <si>
    <t>TGP</t>
  </si>
  <si>
    <t>Aカバー</t>
  </si>
  <si>
    <t>Aカバー7</t>
  </si>
  <si>
    <t>Bカバー</t>
  </si>
  <si>
    <t>C</t>
  </si>
  <si>
    <t>D</t>
  </si>
  <si>
    <t>サイズ</t>
  </si>
  <si>
    <t>重量(kg)</t>
  </si>
  <si>
    <t>ACアダプタ</t>
  </si>
  <si>
    <t>箱サイズ</t>
  </si>
  <si>
    <t>重量(kg)2</t>
  </si>
  <si>
    <t>列1</t>
  </si>
  <si>
    <t>全体</t>
    <rPh sb="0" eb="2">
      <t>ゼンタイ0</t>
    </rPh>
    <phoneticPr fontId="4"/>
  </si>
  <si>
    <t>一般</t>
    <rPh sb="0" eb="2">
      <t>イッパン0</t>
    </rPh>
    <phoneticPr fontId="4"/>
  </si>
  <si>
    <t>法人</t>
    <rPh sb="0" eb="2">
      <t>ホウジン0</t>
    </rPh>
    <phoneticPr fontId="4"/>
  </si>
  <si>
    <t>全体実績+予測</t>
  </si>
  <si>
    <t>計画　予測</t>
  </si>
  <si>
    <t>在庫確認</t>
    <rPh sb="0" eb="4">
      <t>ザイコカクニン0</t>
    </rPh>
    <phoneticPr fontId="4"/>
  </si>
  <si>
    <t>部品予測</t>
    <rPh sb="0" eb="2">
      <t>ブヒン</t>
    </rPh>
    <rPh sb="2" eb="4">
      <t>ヨソク</t>
    </rPh>
    <phoneticPr fontId="4"/>
  </si>
  <si>
    <t>4EOL(完全終息)</t>
  </si>
  <si>
    <t>組TVS 8023D法(8 WXGA Z8350 4+64 3165 DC PD</t>
  </si>
  <si>
    <t>在庫無し</t>
  </si>
  <si>
    <t>組TVS TVE8016E-A法(8inch WXGA N4120 8G128G 9461)</t>
  </si>
  <si>
    <t>組TVS 8016E-A(法R1 8 WXGA N4120 8G128G 9461</t>
  </si>
  <si>
    <t>2発売中</t>
  </si>
  <si>
    <t>1GALLERIA-G</t>
  </si>
  <si>
    <t>UL9C-R59-8A</t>
  </si>
  <si>
    <t>組CLE X58WNT-G(GG 18QHD+ 275HX 5090 330W L6)</t>
  </si>
  <si>
    <t>X58</t>
  </si>
  <si>
    <t>CLE-X58-275HX-5090-L6</t>
  </si>
  <si>
    <t>u9-275HX</t>
  </si>
  <si>
    <t>2026年4月頃</t>
  </si>
  <si>
    <t>330W</t>
  </si>
  <si>
    <t>5525+</t>
  </si>
  <si>
    <t>100W</t>
  </si>
  <si>
    <t>100W以上</t>
  </si>
  <si>
    <t>組CLE X58WNT-G(GG 18QHD+ 275HX 5090 330W</t>
  </si>
  <si>
    <t>S60　鐵灰</t>
  </si>
  <si>
    <t>組UNW GM6IX9B(GG 16WQXGA 14900HX 4090 280W L6)</t>
  </si>
  <si>
    <t>ID-B</t>
  </si>
  <si>
    <t>ID-B 14900HX-4090-gaming-L6</t>
  </si>
  <si>
    <t>i9-14900HX</t>
  </si>
  <si>
    <t>終息</t>
  </si>
  <si>
    <t>Copilot keyモデルにスライド</t>
  </si>
  <si>
    <t>5090 価格差あり</t>
  </si>
  <si>
    <t>280W</t>
  </si>
  <si>
    <t>Light Gray</t>
  </si>
  <si>
    <t>Black</t>
  </si>
  <si>
    <t>組UNW GM6IX9B(R1 GG 16WQXGA 14900HX 4090 280W L6)</t>
  </si>
  <si>
    <t>2025年3月頃</t>
  </si>
  <si>
    <t>Copilot key対応版</t>
  </si>
  <si>
    <t>Aurora Black</t>
  </si>
  <si>
    <t>組CLE X370SNW-G(17.3QHD 13900HX 4090 330W L6)</t>
  </si>
  <si>
    <t>X370</t>
  </si>
  <si>
    <t>i9-13900HX</t>
  </si>
  <si>
    <t>2024年5月頃</t>
  </si>
  <si>
    <t>代替候補はID別</t>
  </si>
  <si>
    <t>2024/6頃　RPL-Rに変更</t>
  </si>
  <si>
    <t>後継IDは変更　→ID-B</t>
  </si>
  <si>
    <t>193182</t>
  </si>
  <si>
    <t>特殊</t>
  </si>
  <si>
    <t>NMC9L-R59-G8</t>
  </si>
  <si>
    <t>組CLE X58WNT-G(GG 18QHD+290HXP5090 330W L6)</t>
  </si>
  <si>
    <t>CLE-X58-290HXP-5090-L6-GG</t>
  </si>
  <si>
    <t>u9-290HX Plus</t>
  </si>
  <si>
    <t>組CLE X58WNT-G(GG 18QHD+290HXP5090 330W L</t>
  </si>
  <si>
    <t>組CLE X58WNT-G(R1GG 18QHD+290HXP5090 330WL6)</t>
  </si>
  <si>
    <t>NMC9L-R58-H6</t>
  </si>
  <si>
    <t>組UNW X6AF558Y(GC 16WQXGA 290HXP 5080 330W L6)</t>
  </si>
  <si>
    <t>ID-Y</t>
  </si>
  <si>
    <t>UNW-Y-290HXP-5080-L6-GC</t>
  </si>
  <si>
    <t>組UNW X6AF558Y(GC 16WQXGA 290HXP 5080 330</t>
  </si>
  <si>
    <t>ZL9R-R57T-6</t>
  </si>
  <si>
    <t>組UNW X6FR57TK(GG 16WQXGA 9955HX 5070Ti 240W L6)</t>
  </si>
  <si>
    <t>ID-K</t>
  </si>
  <si>
    <t>UNW-K-9955HX-5070Ti-L6</t>
  </si>
  <si>
    <t>R9-9955X</t>
  </si>
  <si>
    <t>5070Ti</t>
  </si>
  <si>
    <t>在庫+注残限り</t>
  </si>
  <si>
    <t>240W</t>
  </si>
  <si>
    <t>C5-C6</t>
  </si>
  <si>
    <t>100W/140W</t>
  </si>
  <si>
    <t>140W未検証</t>
  </si>
  <si>
    <t>組UNW X6FR57TK(GG 16WQXGA 9955HX 5070Ti 2</t>
  </si>
  <si>
    <t>Ink Stone Black</t>
  </si>
  <si>
    <t>NDC9L-R57T-G6</t>
  </si>
  <si>
    <t>ZL9C-R57T-6A</t>
  </si>
  <si>
    <t>組UNW X6AR57TK(GG 16WQXGA 275HX 5070Ti 240W L6)</t>
  </si>
  <si>
    <t>UNW-K-275HX-5070Ti-L6</t>
  </si>
  <si>
    <t>組UNW X6AR57TK(GG 16WQXGA 275HX 5070Ti 24</t>
  </si>
  <si>
    <t>組UNW X6AR57TK(R1 GG 16WQXGA 275HX 5070Ti 240W L6)</t>
  </si>
  <si>
    <t>在庫+注残限り。箱変更</t>
  </si>
  <si>
    <t>ZL7C-R57-6A</t>
  </si>
  <si>
    <t>組UNW X6AR557K(GG 16WQXGA 255HX 5070 240W L6)</t>
  </si>
  <si>
    <t>UNW-K-255HX-5070-L6</t>
  </si>
  <si>
    <t>u7-255HX</t>
  </si>
  <si>
    <t>組UNW X6AR557K(GG 16WQXGA 255HX 5070 240W</t>
  </si>
  <si>
    <t>NDC7L-R57-G6</t>
  </si>
  <si>
    <t>組UNW X6AR557K(R1GG 16WQXGA 255HX 5070 240W L6)</t>
  </si>
  <si>
    <t>組UNW_GM6IX7B(GG 16WQXGA 14900HX 4070 240W L6)</t>
  </si>
  <si>
    <t>Thunder Black</t>
  </si>
  <si>
    <t>Stellar Black</t>
  </si>
  <si>
    <t>組UNW GM6IX7B(R1 GG 16WQXGA 14900HX 4070 240W L6)</t>
  </si>
  <si>
    <t>212476,212347</t>
  </si>
  <si>
    <t>S17S　暮石灰</t>
  </si>
  <si>
    <t>S72　暮石灰</t>
  </si>
  <si>
    <t>組UNW GM6IX0B(16WQXGA 14900HX 4060 240W L6)</t>
  </si>
  <si>
    <t>在庫限りで終息予定</t>
  </si>
  <si>
    <t>B11S　瀾夜黑</t>
  </si>
  <si>
    <t>B77　瀾夜黑</t>
  </si>
  <si>
    <t>組UNW GM6IX0B(R1 GG 16WQXGA 14900HX 4060 240W L6)</t>
  </si>
  <si>
    <t>なし</t>
  </si>
  <si>
    <t>ZL7C-R47</t>
  </si>
  <si>
    <t>組CLE PD51SNE-GTD(15.6FHD 13700HX 4070 280W L6)</t>
  </si>
  <si>
    <t>PD51</t>
  </si>
  <si>
    <t>CLE-PD51-13700HX-4070-L6</t>
  </si>
  <si>
    <t>i7-13700HX</t>
  </si>
  <si>
    <t>2024年6月頃</t>
  </si>
  <si>
    <t>ラインとしての後継</t>
  </si>
  <si>
    <t>後継IDは変更</t>
  </si>
  <si>
    <t>196068</t>
  </si>
  <si>
    <t>XL7R-R56-6A</t>
  </si>
  <si>
    <t>組CLE V561KNN-TD(GG 16QHD+ 350 5060 180W L6)</t>
  </si>
  <si>
    <t>V56</t>
  </si>
  <si>
    <t>CLE-V56-350-5060-L6</t>
  </si>
  <si>
    <t>必須</t>
  </si>
  <si>
    <t>R AI 7 350</t>
  </si>
  <si>
    <t>2025年4月末</t>
  </si>
  <si>
    <t>180W</t>
  </si>
  <si>
    <t>45-100W</t>
  </si>
  <si>
    <t>x</t>
  </si>
  <si>
    <t>組CLE V561KNN-TD(R1 GG 16QHD+300Hz 350 5060 180WL6</t>
  </si>
  <si>
    <t>液晶変更版 2nd sorce</t>
  </si>
  <si>
    <t>XL7C-R56-6A</t>
  </si>
  <si>
    <t>組UNW X6AR556U(GG 16WQXGA 255HX 5060 240W L6)</t>
  </si>
  <si>
    <t>ID-U</t>
  </si>
  <si>
    <t>UNW-U-255HX-5060-L6</t>
  </si>
  <si>
    <t>2026年5月頃？</t>
  </si>
  <si>
    <t>XL7C-R46H</t>
  </si>
  <si>
    <t>組UNW PH6PG02(16WUXGA 13700H 4060 150W L6)</t>
  </si>
  <si>
    <t>6H2</t>
  </si>
  <si>
    <t>2024/7頃</t>
  </si>
  <si>
    <t>199408</t>
  </si>
  <si>
    <t>150W</t>
  </si>
  <si>
    <t>組CLE V561TND-TD(GG 16QHD+240Hz 155H 4060 180W L6)</t>
  </si>
  <si>
    <t>u7-155H</t>
  </si>
  <si>
    <t>2025年4-5月</t>
  </si>
  <si>
    <t>2000で終了見込み</t>
  </si>
  <si>
    <t>212469,214073</t>
  </si>
  <si>
    <t>intel/AMD +5060</t>
  </si>
  <si>
    <t>XL7C-R46</t>
  </si>
  <si>
    <t>組TFH GM5PG0O(15FHD 13700H 4060 230W L6)</t>
  </si>
  <si>
    <t>ID-O3</t>
  </si>
  <si>
    <t>10月予定</t>
  </si>
  <si>
    <t>201898,199408</t>
  </si>
  <si>
    <t>201898は廉価、199408は16”MTL</t>
  </si>
  <si>
    <t>Galaxy Black</t>
  </si>
  <si>
    <t>XL7C-R45H</t>
  </si>
  <si>
    <t>組UNW PH6PG52(16WUXGA 13700H 4050 150W L9)</t>
  </si>
  <si>
    <t>↓L6に移行</t>
  </si>
  <si>
    <t>組CLE V561TNC-TD(GG 16QHD+240Hz 155H 4050 180W L6)</t>
  </si>
  <si>
    <t>1500で終了見込み</t>
  </si>
  <si>
    <t>5050モデル</t>
  </si>
  <si>
    <t>XL7C-R45</t>
  </si>
  <si>
    <t>組TFH GM5PG5O(15FHD 13700H 4050 230W L9)</t>
  </si>
  <si>
    <t>i7-13700H</t>
  </si>
  <si>
    <t>後継IDは変更　→ID-U</t>
  </si>
  <si>
    <t>201900,199409</t>
  </si>
  <si>
    <t>201900は廉価</t>
  </si>
  <si>
    <t xml:space="preserve">	組TFH GM5PG5O(15FHD 13700H 4050 230W L6)</t>
  </si>
  <si>
    <t>5開発中止</t>
  </si>
  <si>
    <t>UNW-K-290HXP-5070Ti-L6</t>
  </si>
  <si>
    <t>ARL-HX R U9-290HX Plus</t>
  </si>
  <si>
    <t>UNW-K-270HXP-5070-L6</t>
  </si>
  <si>
    <t>ARL-HX U7-270HX Plus(仮)</t>
  </si>
  <si>
    <t>RL7C-R56-5N</t>
  </si>
  <si>
    <t>組CLE V350SNNQ(GG 15.6FHD 14650HX 5060 180W L6)</t>
  </si>
  <si>
    <t>V35</t>
  </si>
  <si>
    <t>CLE-V35-14650HX-5060-L6</t>
  </si>
  <si>
    <t>i7-14650HX</t>
  </si>
  <si>
    <t>7-8月にID-2に切替</t>
  </si>
  <si>
    <t>65W-100W</t>
  </si>
  <si>
    <t>組CLE V350SNNQ(GG 15.6FHD 14650HX 5060 18</t>
  </si>
  <si>
    <t>NPC7L-R56-G5</t>
  </si>
  <si>
    <t>組CLE V350SNNQ(R1 GG 15.6FHD 14650HX 5060 180W L6)</t>
  </si>
  <si>
    <t>組CLE V350SNNQ(R1 GG 15.6FHD 14650HX 5060</t>
  </si>
  <si>
    <t>RL7C-R55-5N</t>
  </si>
  <si>
    <t>組CLE V350SNMQ(GG 15.6FHD 14650HX 5050 180W L6)</t>
  </si>
  <si>
    <t>CLE-V35-14650HX-5050-L6</t>
  </si>
  <si>
    <t>2025年5月末</t>
  </si>
  <si>
    <t>組CLE V350SNMQ(GG 15.6FHD 14650HX 5050 18</t>
  </si>
  <si>
    <t>組CLE V350SNMQ(R1 GG 15.6FHD 14650HX 5050 180W L6)</t>
  </si>
  <si>
    <t>RL7C-R46-5N</t>
  </si>
  <si>
    <t>組UNW GM5PD0O(GG 15.6FHD 13620H 4060 230W L6)</t>
  </si>
  <si>
    <t>UNW-O3-13620H-4060-L6</t>
  </si>
  <si>
    <t>i7-13620H</t>
  </si>
  <si>
    <t>XL7C-R46 の後継</t>
  </si>
  <si>
    <t>5060モデル 10月発売</t>
  </si>
  <si>
    <t>212469,216515</t>
  </si>
  <si>
    <t>V56 AMD + 5060 / ARL-HX + 5060 / V35 14650HX 5050</t>
  </si>
  <si>
    <t>230W</t>
  </si>
  <si>
    <t>RL7C-R45-5N</t>
  </si>
  <si>
    <t>組UNW GM5PD5E(GG 15.6FHD 13620H 4050 230W L6)</t>
  </si>
  <si>
    <t>ID-E</t>
  </si>
  <si>
    <t>UNW-E-13620H-4050-L6</t>
  </si>
  <si>
    <t>XL7C-R45 の後継</t>
  </si>
  <si>
    <t>V35 14650HX 5050/5060</t>
  </si>
  <si>
    <t>19.5/20</t>
  </si>
  <si>
    <t>11.8/11.5</t>
  </si>
  <si>
    <t>C13-14</t>
  </si>
  <si>
    <t>組UNW GM5PD5E(GG 15.6FHD 13620H 4050 230W</t>
  </si>
  <si>
    <t>NPC5L-R55-G5</t>
  </si>
  <si>
    <t>3EOL(在庫あり)</t>
  </si>
  <si>
    <t>RL7C-R35-5N</t>
  </si>
  <si>
    <t>組UNW GM5PD3E(R1 GG 15.6FHD 13620H 3050 180W L6)</t>
  </si>
  <si>
    <t>UNW-E-13620H-3050-L6</t>
  </si>
  <si>
    <t>2026年 6月頃</t>
  </si>
  <si>
    <t>9.23/8</t>
  </si>
  <si>
    <t>組UNW GM5PD3E(R1 GG 15.6FHD 13620H 3050 1</t>
  </si>
  <si>
    <t>RL5C-R35N</t>
  </si>
  <si>
    <t>組TFH GM5AGEE(R1 15.6FHD 12450H 3050 150W L6)</t>
  </si>
  <si>
    <t>TFH-E-12450H-3050-L6</t>
  </si>
  <si>
    <t>i5-12450H</t>
  </si>
  <si>
    <t>モールモデル製品準備？</t>
  </si>
  <si>
    <t>RL5C-R35-5N</t>
  </si>
  <si>
    <t>組TFH GM5PGEE(GG 15.6FHD 13420H 3050 150W L6)</t>
  </si>
  <si>
    <t>TFH-E-13420H-3050-L6</t>
  </si>
  <si>
    <t>i5-13420H</t>
  </si>
  <si>
    <t>2025年10月頃</t>
  </si>
  <si>
    <t>2026年2月頃</t>
  </si>
  <si>
    <t>通販モール専用モデル 500台のみ</t>
  </si>
  <si>
    <t>組TFH GM5PGEE(GG 15.6FHD 13420H 3050 150W</t>
  </si>
  <si>
    <t>RL7C-R45-4</t>
  </si>
  <si>
    <t>組CLE V545TNC(R1 GG 14QWXGA+ 155H 4050 180W L6)</t>
  </si>
  <si>
    <t>V54</t>
  </si>
  <si>
    <t>CLE-V540-155H-4050-L6</t>
  </si>
  <si>
    <t>Copilot key対応版,法人案件で 1000台追加</t>
  </si>
  <si>
    <t>後継予定なし</t>
  </si>
  <si>
    <t>組CLE V545TNC(R2 GG 14QWXGA+ 155H 4050 180W L6)</t>
  </si>
  <si>
    <t>1/M</t>
  </si>
  <si>
    <t>金沢大学案件。CLE LCD調達ミスにより4M変更。類似のV545KU-TDで使用のLCDを使用</t>
  </si>
  <si>
    <t>組CLE V545TNC(R2 GG 14QWXGA+ 155H 4050 18</t>
  </si>
  <si>
    <t>組CLE V545TNC(14QWXGA+ 155H 4050 180W L6)</t>
  </si>
  <si>
    <t>V540-155H-4050-gaming</t>
  </si>
  <si>
    <t>5/12 WK</t>
  </si>
  <si>
    <t>RL7C-R35N</t>
  </si>
  <si>
    <t>組TFH GM5AGEE(15.6FHD 12650H 3050 150W L6)</t>
  </si>
  <si>
    <t>TFH-E-12650H-3050-L6</t>
  </si>
  <si>
    <t>i7-12650H</t>
  </si>
  <si>
    <t>組UNW GM5PD3E(15.6FHD 13620H 3050 180W L6</t>
  </si>
  <si>
    <t>2024年3月～4月　同ID 12650→13620</t>
  </si>
  <si>
    <t>ID変化なし</t>
  </si>
  <si>
    <t>組UNW GM5PD3E(15.6FHD 13620H 3050 180W L6)</t>
  </si>
  <si>
    <t>ID-E-13620H-3050-gaming</t>
  </si>
  <si>
    <t>3/31 WK</t>
  </si>
  <si>
    <t>2025年6月頃</t>
  </si>
  <si>
    <t>RL5R-G165</t>
  </si>
  <si>
    <t>組TFH GM5RG1E(15FHD 6600H 1650 120W L9)</t>
  </si>
  <si>
    <t>TFH-E-6600H-1650-L9</t>
  </si>
  <si>
    <t>R5-6600H</t>
  </si>
  <si>
    <t>計画下方修正</t>
  </si>
  <si>
    <t>10/21　法人確保分のため対応不可</t>
  </si>
  <si>
    <t>組TFH GM5AGEE(15.6FHD 12450H 3050 150W L6)</t>
  </si>
  <si>
    <t>199025</t>
  </si>
  <si>
    <t>CPU,GPUともに上位に変更</t>
  </si>
  <si>
    <t>120W</t>
  </si>
  <si>
    <t>在庫限り↓にスライド</t>
  </si>
  <si>
    <t>1新規(発売前)</t>
  </si>
  <si>
    <t>NPR7L-R55-G5</t>
  </si>
  <si>
    <t>ID-2</t>
  </si>
  <si>
    <t>UNW-ID2</t>
  </si>
  <si>
    <t>NPC7L-R57-G5</t>
  </si>
  <si>
    <t>UNW-2-14650HX-5070-L6-DDR5-15.3</t>
  </si>
  <si>
    <t>組UNW X5RP5562(GG 15.3WUXGA 14650HX 5060 210W L6)</t>
  </si>
  <si>
    <t>UNW-2-14650HX-5060-L6-DDR5-15.3</t>
  </si>
  <si>
    <t>組UNW M5RP555E(GG 15.6FHD 14450HX 5050 230W L6)</t>
  </si>
  <si>
    <t>UNW-E-14450HX-5050-L6-DDR5-15.6</t>
  </si>
  <si>
    <t>組CLE NV45RNC-TD(14FHD 13700H 4050 180W L6)</t>
  </si>
  <si>
    <t>NV45</t>
  </si>
  <si>
    <t>後継IDは変更　→V54</t>
  </si>
  <si>
    <t>2GALLERIA-C</t>
  </si>
  <si>
    <t>UL9C-R49-C6</t>
  </si>
  <si>
    <t>組UNW GM6IX9B(R1 16 3K 14900HX 4090 280W L6)</t>
  </si>
  <si>
    <t>3月 18”モデルが性能後継</t>
  </si>
  <si>
    <t>組UNW GM6IX9B(16 3K 14900HX 4090 280W L6)</t>
  </si>
  <si>
    <t>ZL9C-R57-C7</t>
  </si>
  <si>
    <t>組CLE V370SNPQ(GC 17.3QHD 14900HX 5070 180W L6)</t>
  </si>
  <si>
    <t>V37</t>
  </si>
  <si>
    <t>CLE-V37-14900HX-5070-L6 Creator</t>
  </si>
  <si>
    <t>組CLE V370SNPQ(GC 17.3QHD 14900HX 5070 18</t>
  </si>
  <si>
    <t>S10S　鐵灰</t>
  </si>
  <si>
    <t>組CLE V370SNPQ(R1 GC 17.3QHD 14900HX 5070 180W L6)</t>
  </si>
  <si>
    <t>ZL9C-R47-C7</t>
  </si>
  <si>
    <t>組CLE PD71SNE-D(17.3UHD 14900HX 4070 280W L6)</t>
  </si>
  <si>
    <t>PD71</t>
  </si>
  <si>
    <t>PD71-14900HX-4070-creator</t>
  </si>
  <si>
    <t>3/24 WK</t>
  </si>
  <si>
    <t>XL7C-R56-C6A</t>
  </si>
  <si>
    <t>組MSH 15F5(GC 16WQXGA 255H 5060 240W L6)</t>
  </si>
  <si>
    <t>15F5</t>
  </si>
  <si>
    <t>MSH-15F5-255H-5060-L6 Creator</t>
  </si>
  <si>
    <t>XL7C-R46H-C6</t>
  </si>
  <si>
    <t>組UNW PH6PG02(GC 16WQXGA 13700H 4060 150W L6)</t>
  </si>
  <si>
    <t>UNW-6H2-13700H-4060-L6-WQXGA</t>
  </si>
  <si>
    <t>NDR9L-R56-C6</t>
  </si>
  <si>
    <t>組CLE V561GNN-TD(GC 16WQUXGA HX470 5060 180WL6TPM)</t>
  </si>
  <si>
    <t>CLE-V56-AI9-470-5060-L6 Creator</t>
  </si>
  <si>
    <t>R AI9 HX470</t>
  </si>
  <si>
    <t>1/13受注開始、納期2w</t>
  </si>
  <si>
    <t>組CLE V561GNN-TD(GC 16WQUXGA HX470 5060 1</t>
  </si>
  <si>
    <t>NDC7L-R57Z-C6</t>
  </si>
  <si>
    <t>BYD-</t>
  </si>
  <si>
    <t>NDR9L-IG-C4</t>
  </si>
  <si>
    <t>組CLE V545GU-TD(GC 14QWXGA+ HX470 UMA 90WL6TPM)</t>
  </si>
  <si>
    <t>CLE-V54-AI9-470-UMA-L6 Creator</t>
  </si>
  <si>
    <t>UMA</t>
  </si>
  <si>
    <t>90W</t>
  </si>
  <si>
    <t>5517+</t>
  </si>
  <si>
    <t>組CLE V545GU-TD(GC 14QWXGA+ HX470 UMA 90W</t>
  </si>
  <si>
    <t>Titanium Grey</t>
  </si>
  <si>
    <t>組CLE V545GU-TD(R1GC 14QWXGA+ HX470 UMA 90W L6)</t>
  </si>
  <si>
    <t>RL7C-R56-C5N</t>
  </si>
  <si>
    <t>組CLE V350SNNQ(GC 15.6QHD 14650HX 5060 180W L6)</t>
  </si>
  <si>
    <t>CLE-V35-14650HX-5060-L6 Creator</t>
  </si>
  <si>
    <t>組CLE V350SNNQ(GC 15.6QHD 14650HX 5060 18</t>
  </si>
  <si>
    <t>NSC7L-R56-C6</t>
  </si>
  <si>
    <t>RL7C-R55-C5N</t>
  </si>
  <si>
    <t>組CLE V350SNMQ(GC 15.6QHD 14650HX 5050 180W L6)</t>
  </si>
  <si>
    <t>CLE-V35-14650HX-5050-L6 Creator</t>
  </si>
  <si>
    <t>組CLE V350SNMQ(GC 15.6QHD 14650HX 5050 18</t>
  </si>
  <si>
    <t>NSC7L-R55-C6</t>
  </si>
  <si>
    <t>RL7C-R46-C5N</t>
  </si>
  <si>
    <t>組UNW GM5PD0O(R1 GC 15.6QHD 13620H 4060 230W L6)</t>
  </si>
  <si>
    <t>UNW-O3-13620H-4060-L6 Creator</t>
  </si>
  <si>
    <t>2025年7-8月</t>
  </si>
  <si>
    <t>RL7C-R45-C5N</t>
  </si>
  <si>
    <t>組UNW GM5PD5E(R1 GC 15.6QHD 13620H 4050 230W L6)</t>
  </si>
  <si>
    <t>UNW-E-13620H-4050-L6 Creator</t>
  </si>
  <si>
    <t>組UNW GM5PD5E(R1 GC 15.6QHD 13620H 4050 2</t>
  </si>
  <si>
    <t>NSC5L-IG-C4</t>
  </si>
  <si>
    <t>RL7C-R35-C5N</t>
  </si>
  <si>
    <t>組UNW GM5PD3E(R1 GC 15.6QHD 13620H 3050 180W L6)</t>
  </si>
  <si>
    <t>UNW-E-13620H-3050-L6 Creator</t>
  </si>
  <si>
    <t>組UNW GM5PD3E(R1 GC 15.6QHD 13620H 3050 1</t>
  </si>
  <si>
    <t>組UNW GM5PD0O(15.6QHD 13620H 4060 230W L6)</t>
  </si>
  <si>
    <t>ID-O3-13620H-4060-creator</t>
  </si>
  <si>
    <t>組UNW GM5PD5E(15.6QHD 13620H 4050 230W L6)</t>
  </si>
  <si>
    <t>ID-E-13620H-4050-creator</t>
  </si>
  <si>
    <t>組UNW GM5PD3E(15.6QHD 13620H 3050 180W L6)</t>
  </si>
  <si>
    <t>ID-E-13620H-3050-creator</t>
  </si>
  <si>
    <t>組QNT NLT(GC 16WQGXA 240H 5060 230W L6)</t>
  </si>
  <si>
    <t>NLT</t>
  </si>
  <si>
    <t>QNT-NLT-240H-5060-L6-GC</t>
  </si>
  <si>
    <t>4/12wk</t>
  </si>
  <si>
    <t>組QNT NLT(GC 16WQGXA 240H 5050 230W L6)</t>
  </si>
  <si>
    <t>QNT-NLT-240H-5050-L6-GC</t>
  </si>
  <si>
    <t>NSC5L-IG-C4 (32GB)</t>
  </si>
  <si>
    <t>組WZN A14JG(GC 14WUXGA 125U UMA 32G 65W L7)</t>
  </si>
  <si>
    <t>A14JG</t>
  </si>
  <si>
    <t>WZN-A14JG-125U-UMA-32G-L7-GC</t>
  </si>
  <si>
    <t>NSC5L-IG-C4 (16GB)</t>
  </si>
  <si>
    <t>組WZN A14JG(GC 14WUXGA 125U UMA 16G 65W L7)</t>
  </si>
  <si>
    <t>WZN-A14JG-125U-UMA-16G-L7-GC</t>
  </si>
  <si>
    <t>DL9R-IG-C4A</t>
  </si>
  <si>
    <t>組CLE V545KU-TD(GC 14QWXGA+ HX370 UMA 90W L6)</t>
  </si>
  <si>
    <t>CLE-V54-HX370-UMA-L6 Creator</t>
  </si>
  <si>
    <t>R AI9 370HX</t>
  </si>
  <si>
    <t>-</t>
  </si>
  <si>
    <t>組CLE V545KU-TD(R1 GC 14QWXGA+ HX370 UMA 90W L6)</t>
  </si>
  <si>
    <t>2026年3月頃</t>
  </si>
  <si>
    <t>→後継はCPU切替</t>
  </si>
  <si>
    <t>V54 HX470</t>
  </si>
  <si>
    <t>組CLE V545KU-TD(R1 GC 14QWXGA+ HX370 UMA</t>
  </si>
  <si>
    <t>DL7C-IG-C4</t>
  </si>
  <si>
    <t>組CLE V545TU(GC 14QWXGA+ 155H UMA 90W L6)</t>
  </si>
  <si>
    <t>CLE-V540-155H-UMA-L6 Creator</t>
  </si>
  <si>
    <t>法人で追加の話あり</t>
  </si>
  <si>
    <t>DL7C-IG-C6</t>
  </si>
  <si>
    <t>組CLE V560TU-TD(16QHD+ 144Hz 155H UMA 90W L6)</t>
  </si>
  <si>
    <t>V560-155H-UMA-Creator</t>
  </si>
  <si>
    <t>4/1 WK</t>
  </si>
  <si>
    <t>組CLE V561TU-TD(R1 GC 16QHD+ 144Hz 155H UMA 90W L6)</t>
  </si>
  <si>
    <t>DX-L7LA / XL7C-R45-6が近いライン</t>
  </si>
  <si>
    <t>組CLE V545TU(R1 GC 14QWXGA+ 155H UMA 90W L6)</t>
  </si>
  <si>
    <t>V540-155H-UMA-creator</t>
  </si>
  <si>
    <t>組CLE V545TU(R2 GC 14QWXGA+ 155H UMA 90W L6)</t>
  </si>
  <si>
    <t>MDR9N-IG-CW</t>
  </si>
  <si>
    <t>組CLE R101GU(GC MiniPC AI9-HX470 L6 65W WH)</t>
  </si>
  <si>
    <t>R101GU</t>
  </si>
  <si>
    <t>CLE-MiniPC-AI9-HX470-白-GC</t>
  </si>
  <si>
    <t>販売予定 2026/5月~11月：600台</t>
  </si>
  <si>
    <t>MDR9N-IG-CB</t>
  </si>
  <si>
    <t>組CLE R100GU(GC MiniPC AI9-HX470 L6 65W BK)</t>
  </si>
  <si>
    <t>R100GU</t>
  </si>
  <si>
    <t>CLE-MiniPC-AI9-HX470-黒-GC</t>
  </si>
  <si>
    <t>MSR7N-IG-CW</t>
  </si>
  <si>
    <t>組CLE R101GU(GC MiniPC AI7-450 L6 65W WH)</t>
  </si>
  <si>
    <t>CLE-MiniPC-AI7-450-白-GC</t>
  </si>
  <si>
    <t>MSR7N-IG-CB</t>
  </si>
  <si>
    <t>組CLE R100GU(GC MiniPC AI7-450 L6 65W BK)</t>
  </si>
  <si>
    <t>CLE-MiniPC-AI7-450-黒-GC</t>
  </si>
  <si>
    <t>MCR7N-IG-CW</t>
  </si>
  <si>
    <t>組CLE R101EU(GC MiniPC R7-255 L6 65W WH)</t>
  </si>
  <si>
    <t>R101EU</t>
  </si>
  <si>
    <t>CLE-MiniPC-R7-255-白-GC</t>
  </si>
  <si>
    <t>MCR7N-IG-CB</t>
  </si>
  <si>
    <t>組CLE R100EU(GC MiniPC R7-255 L6 65W BK)</t>
  </si>
  <si>
    <t>R100EU</t>
  </si>
  <si>
    <t>CLE-MiniPC-R7-255-黒-GC</t>
  </si>
  <si>
    <t>R5-RL5</t>
  </si>
  <si>
    <t>組TFH GM5PG5O(15.6QHD 13700H 4050 230W L6</t>
  </si>
  <si>
    <t>TFH-O3-13700H-4050-L6 raytrek</t>
  </si>
  <si>
    <t>A4-R</t>
  </si>
  <si>
    <t>組UNW PH4PRX2(14WUXGA 13700H UMA 90W L6)</t>
  </si>
  <si>
    <t>4H2</t>
  </si>
  <si>
    <t>UNW-4H2-13700H-UMA-L6 raytrek</t>
  </si>
  <si>
    <t>3THIRDWAVE</t>
  </si>
  <si>
    <t>DX-M7L</t>
  </si>
  <si>
    <t>組CLE L261TU-TD(R1 Thirdwave16FHD155U UMA65WL6 210</t>
  </si>
  <si>
    <t>L26</t>
  </si>
  <si>
    <t>CLE-L260-155U-UMA-L6 Thirdwave</t>
  </si>
  <si>
    <t>u7-155U</t>
  </si>
  <si>
    <t>在庫限り</t>
  </si>
  <si>
    <t>組CLE L261LU-TD(Thirdwave 16FHD+ 258V UMA 32G 65W</t>
  </si>
  <si>
    <t>65W</t>
  </si>
  <si>
    <t>Type-c</t>
  </si>
  <si>
    <t>65W以上</t>
  </si>
  <si>
    <t>組CLE L261TU-TD(R2 Thirdwave16FHD155U UMA65WL6 210</t>
  </si>
  <si>
    <t>DX-16PN7A</t>
  </si>
  <si>
    <t>DX-L7LA</t>
  </si>
  <si>
    <t>CLE-L26-258V-UMA-32G-L7 Thirdwave</t>
  </si>
  <si>
    <t>u7-258V</t>
  </si>
  <si>
    <t>2026年3-5月頃</t>
  </si>
  <si>
    <t>Copilot +PC</t>
  </si>
  <si>
    <t>組CLE L261LU-TD(R1 Thirdwave16FHD+258V UMA32G65WL7</t>
  </si>
  <si>
    <t>4M LCD変更</t>
  </si>
  <si>
    <t>組CLE L261LU-TD(R2 TW16FHD+258V UMA32G 65W L7 TPM)</t>
  </si>
  <si>
    <t>組CLE L261JU(TW 16FHD+ 355 UMA 32GB65WL7TPM)</t>
  </si>
  <si>
    <t>CLE-L26-U7-355-UMA-32G-L7 Thirdwave</t>
  </si>
  <si>
    <t>u7-355</t>
  </si>
  <si>
    <t>2027年1-3月</t>
  </si>
  <si>
    <t>1/7受注開始、納期4w</t>
  </si>
  <si>
    <t>組CLE L261JU(TW 16FHD+ 355 UMA 32GB65WL7T</t>
  </si>
  <si>
    <t>組CLE L261JU(R1TW 16FHD+ 355 UMA 32GB65WL7TPM)</t>
  </si>
  <si>
    <t>DX-R7S</t>
  </si>
  <si>
    <t>組WZN 1051RL-PS(Thirdwave 15.6FHD 1355U UMA 65WL6)</t>
  </si>
  <si>
    <t>1051RL</t>
  </si>
  <si>
    <t>WZN-1051-1355U-UMA-L6 Thirdwave</t>
  </si>
  <si>
    <t>i7-1355U</t>
  </si>
  <si>
    <t>DX-R7 同等</t>
  </si>
  <si>
    <t>4017+</t>
  </si>
  <si>
    <t xml:space="preserve">	組WZN 1051RL-PS(R1 TW 15.6FHD 1355U UMA 65W L6)</t>
  </si>
  <si>
    <t>2026年2-3月</t>
  </si>
  <si>
    <t>組WZN 1051RL-PS(R1 TW 15.6FHD 1355U UMA 6</t>
  </si>
  <si>
    <t>組WZN 1051RL-PS(R2 TW 15.6FHD 1355U UMA 65W L6)</t>
  </si>
  <si>
    <t>組WZN 1051RL-PS(R2 TW 15.6FHD 1355U UMA 6</t>
  </si>
  <si>
    <t>DX-15RP7A</t>
  </si>
  <si>
    <t>DX-R7</t>
  </si>
  <si>
    <t>組QNT LGHB(R1 Thirdwave 15.6FHD 1355U UMA 65W L6)</t>
  </si>
  <si>
    <t>LGHB</t>
  </si>
  <si>
    <t>QNT-LGHB-1355U-UMA-L6</t>
  </si>
  <si>
    <t>3-4月頃</t>
  </si>
  <si>
    <t>組QNT LGHB(R1 Thirdwave 15.6FHD 1355U UMA</t>
  </si>
  <si>
    <t>DX-16RP7A-6</t>
  </si>
  <si>
    <t>組UNW X6RP556U(TW 16WQXGA 14650HX 5060 240W L6)</t>
  </si>
  <si>
    <t>UNW-U-14650HX-5060-L6 Thirdwave</t>
  </si>
  <si>
    <t>法人モデル</t>
  </si>
  <si>
    <t>組UNW X6RP556U(TW 16WQXGA 14650HX 5060 21</t>
  </si>
  <si>
    <t>Titaium Black</t>
  </si>
  <si>
    <t>DX-15RP7C</t>
  </si>
  <si>
    <t>組CLE NL55AU-C(TW 15.6FHD 1355U UMA 45W L6dTPMDDR4)</t>
  </si>
  <si>
    <t>NL55</t>
  </si>
  <si>
    <t>CLE-NL55-1355U-UMA-L6-TPM DDR4 TW</t>
  </si>
  <si>
    <t>組CLE NL55AU-C(TW 15.6FHD 1355U UMA 45W L</t>
  </si>
  <si>
    <t>組CLE NL55AU-C(TW 15.6FHD 1355U UMA 45W L6 dTPM)</t>
  </si>
  <si>
    <t>CLE-NL55-1355U-UMA-L6-TPM Thirdwave</t>
  </si>
  <si>
    <t>組CLE NL55AW-C(TW 15.6FHD 1355U UMA 45W L</t>
  </si>
  <si>
    <t>239x357x29</t>
  </si>
  <si>
    <t>37x91x26</t>
  </si>
  <si>
    <t>332x487x95</t>
  </si>
  <si>
    <t>DX-T7</t>
  </si>
  <si>
    <t>組QNT LGFA (15ngFHD 1165G7 UMA AX201 65W</t>
  </si>
  <si>
    <t>組QNT LGHB(15.6FHD 1355U UMA 65W L6)</t>
  </si>
  <si>
    <t xml:space="preserve">	組CLE L261TU-TD(Thirdwave 16FHD 155U UMA 65W L6)</t>
  </si>
  <si>
    <t>DX-M7</t>
  </si>
  <si>
    <t>組QNT LGHC(Thirdwave 15.6FHD 155U UMA 65W L6)</t>
  </si>
  <si>
    <t>LGHC</t>
  </si>
  <si>
    <t>QNT-LGHC-155U-UMA-L6 Thirdwave</t>
  </si>
  <si>
    <t>6/17 WK</t>
  </si>
  <si>
    <t>2024年7～8月</t>
  </si>
  <si>
    <t>DX-A7</t>
  </si>
  <si>
    <t>組QNT LGHA(15ngFHD i7-1260P UMA 65W L6)</t>
  </si>
  <si>
    <t>DX-17RP5B</t>
  </si>
  <si>
    <t>組CLE NL75AU(Thirdwave 17FHD1335U UMA45WL6 TPM)</t>
  </si>
  <si>
    <t>NL75</t>
  </si>
  <si>
    <t>CLE-NL75-1335U-UMA-L6-TPM Thirdwave</t>
  </si>
  <si>
    <t>i5-1334U</t>
  </si>
  <si>
    <t>投入未定</t>
  </si>
  <si>
    <t>17"モデル DX-17RP5AのCPU違いを先に型番取っただけ</t>
  </si>
  <si>
    <t>45W</t>
  </si>
  <si>
    <t>DX-17RP5A</t>
  </si>
  <si>
    <t>組CLE NL75AU(Thirdwave 17FHD1334U UMA45WL6 TPM)</t>
  </si>
  <si>
    <t>CLE-NL75-1334U-UMA-L6-TPM Thirdwave</t>
  </si>
  <si>
    <t>17"モデル</t>
  </si>
  <si>
    <t>組CLE NL75AU(Thirdwave 17FHD1334U UMA45WL</t>
  </si>
  <si>
    <t>DX-L5LA</t>
  </si>
  <si>
    <t>組CLE L261LU-TD(Thirdwave 16FHD+ 228V UMA 32G65WL7</t>
  </si>
  <si>
    <t>CLE-L26-228V-UMA-32G-L7 Thirdwave</t>
  </si>
  <si>
    <t>u5-228V</t>
  </si>
  <si>
    <t>DX-R5T</t>
  </si>
  <si>
    <t>組WZN 1051RL-PS(Thirdwave 15.6FHD 1334U UMA 65WL6)</t>
  </si>
  <si>
    <t>WZN-1051-1334U-UMA-L6 Thirdwave</t>
  </si>
  <si>
    <t>2025年9月頃</t>
  </si>
  <si>
    <t>組WZN 1051RL-PS(Thirdwave 15.6FHD 1334U U</t>
  </si>
  <si>
    <t>DX-15RP5A</t>
  </si>
  <si>
    <t>DX-R5S</t>
  </si>
  <si>
    <t>組WZN 1051RL-PS(Thirdwave 15.6FHD 1335U UMA 65WL6)</t>
  </si>
  <si>
    <t>WZN-1051-1335U-UMA-L6 Thirdwave</t>
  </si>
  <si>
    <t>i5-1335U</t>
  </si>
  <si>
    <t>DX-R5 同等</t>
  </si>
  <si>
    <t>組WZN 1051RL-PS(Thirdwave 15.6FHD 1335U U</t>
  </si>
  <si>
    <t>DX-R5</t>
  </si>
  <si>
    <t>組QNT LGHB(15.6FHD 1335U UMA 65W L6)</t>
  </si>
  <si>
    <t>QNT-LGHB-1335U-UMA-L6</t>
  </si>
  <si>
    <t>組QNT LGHB(R1 Thirdwave 15.6FHD 1335U UMA 65W L6)</t>
  </si>
  <si>
    <t>組QNT LGHB(R1 Thirdwave 15.6FHD 1335U UMA</t>
  </si>
  <si>
    <t>DX-15RP5C</t>
  </si>
  <si>
    <t>組CLE NL55AU-C(TW 15.6FHD 1335U UMA 45W L6dTPMDDR4)</t>
  </si>
  <si>
    <t>CLE-NL55-1335U-UMA-L6-TPM DDR4 TW</t>
  </si>
  <si>
    <t>組CLE NL55AU-C(TW 15.6FHD 1335U UMA 45W L</t>
  </si>
  <si>
    <t>DX-15RP5B</t>
  </si>
  <si>
    <t>組CLE NL55AU-C(TW 15.6FHD 1335U UMA 45W L6dTPM)</t>
  </si>
  <si>
    <t>CLE-NL55-1335U-UMA-L6-TPM DDR5 TW</t>
  </si>
  <si>
    <t>組CLE NL55AW-C(TW 15.6FHD 1335U UMA45WL6d</t>
  </si>
  <si>
    <t>組CLE NL55AW-C(TW 15.6FHD 1334U UMA 45W L6 dTPM)</t>
  </si>
  <si>
    <t>CLE-NL55-1334U-UMA-L6-TPM Thirdwave</t>
  </si>
  <si>
    <t>組CLE NL55AW-C(TW 15.6FHD 1334U UMA 45W L</t>
  </si>
  <si>
    <t>DX-15R5(仮)</t>
  </si>
  <si>
    <t>V75 r5(仮)</t>
  </si>
  <si>
    <t>DX-T5</t>
  </si>
  <si>
    <t>組QNT LGFA(15ngFHD i5-1135G7UMA AX201 65W</t>
  </si>
  <si>
    <t>組QNT LGFA(R1 15ngFHD i5-1135G7UMA AX201</t>
  </si>
  <si>
    <t>i5-1135G7</t>
  </si>
  <si>
    <t>DX-A5</t>
  </si>
  <si>
    <t>組QNT LGHA(15ngFHD i5-1240P UMA 65W L6)</t>
  </si>
  <si>
    <t>DX-R3S</t>
  </si>
  <si>
    <t>組WZN 1051RL-PS(R2 Thirdwave 15.6FHD1315U L6UMA65W</t>
  </si>
  <si>
    <t>WZN-1051-1315U-UMA-L6 Thirdwave</t>
  </si>
  <si>
    <t>i3-1315U</t>
  </si>
  <si>
    <t>未発注</t>
  </si>
  <si>
    <t>同 rev変更</t>
  </si>
  <si>
    <t>組WZN 1051RL-PS(R2 Thirdwave 15.6FHD1315U</t>
  </si>
  <si>
    <t>組WZN 1051RL-PS(R2 TW 15.6FHD1315U L6UMA 65W L6)</t>
  </si>
  <si>
    <t>Copilot key対応版 + Aカバーロゴあり</t>
  </si>
  <si>
    <t>組WZN 1051RL-PS(R2 TW 15.6FHD1315U L6UMA</t>
  </si>
  <si>
    <t>DX-15RP3A</t>
  </si>
  <si>
    <t>DX-R3</t>
  </si>
  <si>
    <t>組WZN 1051RL-PS(Thirdwave 15.6FHD 1315U UMA L6 65W</t>
  </si>
  <si>
    <t>組WZN 1051RL-PS(R1 Thirdwave 15.6FHD1315U L6UMA65W</t>
  </si>
  <si>
    <t>組CLE NL55AW-C(TW 15.6FHD 1315U UMA 45W L6 dTPM)</t>
  </si>
  <si>
    <t>CLE-NL55-1315U-UMA-L6-TPM Thirdwave</t>
  </si>
  <si>
    <t>組CLE NL55AW-C(TW 15.6FHD 1315U UMA 45W L</t>
  </si>
  <si>
    <t>F-14RP7V</t>
  </si>
  <si>
    <t>組CLE NL45AW1-TD(R3 TW 14FHD1355U UMA 45WL6TPMDDR5)</t>
  </si>
  <si>
    <t>NL45</t>
  </si>
  <si>
    <t>CLE-NL45-1355U-UMA-L6-TPM DDR5 Thirdwave</t>
  </si>
  <si>
    <t>1/E R/C</t>
  </si>
  <si>
    <t>組CLE NL45AW1-TD(R3 TW 14FHD1355U UMA 45W</t>
  </si>
  <si>
    <t>F-14RP7S</t>
  </si>
  <si>
    <t>組CLE NL45AU1-TD(Thirdwave 14FHD1355U UMA45WL6TPM)</t>
  </si>
  <si>
    <t>CLE-NL45-1355U-UMA-L6-TPM Thirdwave</t>
  </si>
  <si>
    <t>dTPM変更+Aカバーロゴ</t>
  </si>
  <si>
    <t>12月納品予定</t>
  </si>
  <si>
    <t>4717+</t>
  </si>
  <si>
    <t>組CLE NL45AU1-TD(R1 TW 14FHD1355U UMA 45W L6 TPM)</t>
  </si>
  <si>
    <t>組CLE NL45AU1-TD(R2 TW 14FHD1355U UMA 45W L6 TPM)</t>
  </si>
  <si>
    <t>組CLE NL45AU1-TD(R3 TW 14FHD1355U UMA 45WL6TPMDDR4</t>
  </si>
  <si>
    <t>F-14RP7H-B</t>
  </si>
  <si>
    <t>組CLE NL45AW1-TD(R1 TW 14FHD150U UMA45WL6 TPMDDR5)</t>
  </si>
  <si>
    <t>CLE-NL45-150U-UMA-L6-TPM DDR5 Thirdwave</t>
  </si>
  <si>
    <t>c7-150U</t>
  </si>
  <si>
    <t>組CLE NL45AW1-TD(R1 TW 14FHD150U UMA45WL6</t>
  </si>
  <si>
    <t>組CLE NL45AW1-TD(R2 TW 14FHD150U UMA45WL6 TPMDDR5)</t>
  </si>
  <si>
    <t>組CLE NL45AW1-TD(R2 TW 14FHD150U UMA45WL6</t>
  </si>
  <si>
    <t>F-14RP7F-B</t>
  </si>
  <si>
    <t>組CLE NL45AU1-TD(Thirdwave 14FHD150U UMA45WL6 TPM)</t>
  </si>
  <si>
    <t>CLE-NL45-150U-UMA-L6-TPM Thirdwave</t>
  </si>
  <si>
    <t>法人販売</t>
  </si>
  <si>
    <t>組CLE NL45AU1-TD(Thirdwave 14FHD150U UMA4</t>
  </si>
  <si>
    <t>F-14RP7</t>
  </si>
  <si>
    <t xml:space="preserve">	組CLE NL45AU1-TD(Thirdwave 14FHD 1355U UMA 45W L6)</t>
  </si>
  <si>
    <t>CLE-NL45-1355U-UMA-L6 Thirdwave</t>
  </si>
  <si>
    <t>199324</t>
  </si>
  <si>
    <t>Copilot key搭載版に変更</t>
  </si>
  <si>
    <t>組CLE NL45AU1-TD(R1 Thirdwave 14FHD1355U UMA 45WL6</t>
  </si>
  <si>
    <t>F-14PN7A</t>
  </si>
  <si>
    <t>組CLE L245JU(TW 14FHD+ 355 UMA 32GB65WL7TPM)</t>
  </si>
  <si>
    <t>L24</t>
  </si>
  <si>
    <t>CLE-L24-U7-355-UMA-32G-L7 Thirdwave</t>
  </si>
  <si>
    <t>組CLE L245JU(TW 14FHD+ 355 UMA 32GB65WL7T</t>
  </si>
  <si>
    <t>組CLE L245JU(R1TW 14FHD+ 355 UMA 32GB65WL7TTPM)</t>
  </si>
  <si>
    <t>F-14LN7LA</t>
  </si>
  <si>
    <t>組CLE L245LU-TD(Thirdwave 14FHD+ 258V UMA 32G65WL7</t>
  </si>
  <si>
    <t>CLE-L24-258V-UMA-32G-L7 Thirdwave</t>
  </si>
  <si>
    <t>同 rev.1</t>
  </si>
  <si>
    <t>組CLE L245LU-TD(R1 TW 14FHD+ 258V UMA 32G 65WL7TPM</t>
  </si>
  <si>
    <t>組CLE L245LU-TD(R1 TW 14FHD+ 258V UMA 32G</t>
  </si>
  <si>
    <t>F-14PN7A/F-14LN7LS</t>
  </si>
  <si>
    <t>F-14TG-I7-Blue ×512</t>
  </si>
  <si>
    <t>組TVS 1431U(Blue14ngFHD1165G7 UMA 16/512G</t>
  </si>
  <si>
    <t>F-14RP5V</t>
  </si>
  <si>
    <t>組CLE NL45AW1-TD(R3 TW 14FHD1334U UMA 45WL6TPMDDR5)</t>
  </si>
  <si>
    <t>CLE-NL45-1334U-UMA-L6-TPM DDR5 Thirdwave</t>
  </si>
  <si>
    <t>2/M R/C</t>
  </si>
  <si>
    <t>組CLE NL45AW1-TD(R3 TW 14FHD1334U UMA 45W</t>
  </si>
  <si>
    <t>組CLE NL45AW1-TD(R4 TW 14FHD1334U UMA 45WL6TPMDDR5</t>
  </si>
  <si>
    <t>F-14RP5T</t>
  </si>
  <si>
    <t>組CLE NL45AU1-TD(Thirdwave 14FHD1335U UMA45WL6 TPM</t>
  </si>
  <si>
    <t>CLE-NL45-1335U-UMA-L6-TPM Thirdwave</t>
  </si>
  <si>
    <t>https://www.intel.co.jp/content/www/jp/ja/products/compare.html?productIds=232153,232143</t>
  </si>
  <si>
    <t xml:space="preserve">F-14RP5V </t>
  </si>
  <si>
    <t>組CLE NL45AU1-TD(R1 TW 14FHD1335U UMA 45W L6 TPM)</t>
  </si>
  <si>
    <t>組CLE NL45AU1-TD(R2 TW 14FHD1335U UMA 45WL6TPMDDR4</t>
  </si>
  <si>
    <t>F-14RP5S</t>
  </si>
  <si>
    <t>組CLE NL45AU1-TD(Thirdwave 14FHD 1334U UMA 45W L6)</t>
  </si>
  <si>
    <t>CLE-NL45-1334U-UMA-L6 Thirdwave</t>
  </si>
  <si>
    <t>1334U+dTPM+Aカバー</t>
  </si>
  <si>
    <t>210646,217464</t>
  </si>
  <si>
    <t>組CLE NL45AU1-TD(R1 Thirdwave 14FHD1334U UMA 45WL6</t>
  </si>
  <si>
    <t>同 rev.2</t>
  </si>
  <si>
    <t>組CLE NL45AU1-TD(R2 TW 14FHD1334U UMA 45W L6 TPM)</t>
  </si>
  <si>
    <t>dTPM変更+Aカバーロゴ変更</t>
  </si>
  <si>
    <t>組CLE NL45AU1-TD(R2 TW 14FHD1334U UMA 45W</t>
  </si>
  <si>
    <t>F-14RP5H-B</t>
  </si>
  <si>
    <t>組CLE NL45AW1-TD(R1 TW 14FHD120U UMA45WL6 TPMDDR5)</t>
  </si>
  <si>
    <t>CLE-NL45-120U-UMA-L6-TPM DDR5 Thirdwave</t>
  </si>
  <si>
    <t>c5-120U</t>
  </si>
  <si>
    <t>1/M R/C</t>
  </si>
  <si>
    <t>組CLE NL45AW1-TD(R1 TW 14FHD120U UMA45WL6</t>
  </si>
  <si>
    <t>組CLE NL45AW1-TD(R2 TW 14FHD120U UMA45WL6 TPMDDR5</t>
  </si>
  <si>
    <t>F-14RP5F-B</t>
  </si>
  <si>
    <t>組CLE NL45AU1-TD(Thirdwave 14FHD120U UMA45WL6 TPM)</t>
  </si>
  <si>
    <t>CLE-NL45-120U-UMA-L6-TPM Thirdwave</t>
  </si>
  <si>
    <t>組CLE NL45AU1-TD(Thirdwave 14FHD120U UMA4</t>
  </si>
  <si>
    <t>F-14RP5</t>
  </si>
  <si>
    <t>組CLE NL45AU1-TD(Thirdwave 14FHD 1335U UMA 45W L6)</t>
  </si>
  <si>
    <t>CLE-NL45-1335U-UMA-L6 Thirdwave</t>
  </si>
  <si>
    <t>組CLE NL45AU1-TD(R1 Thirdwave 14FHD1335U UMA 45WL6</t>
  </si>
  <si>
    <t>F-14PN5A</t>
  </si>
  <si>
    <t>組CLE L245JU(TW 14FHD+ 325 UMA 16GB65WL7TPM)</t>
  </si>
  <si>
    <t>CLE-L24-U5-325-UMA-16G-L7 Thirdwave</t>
  </si>
  <si>
    <t>u5-325</t>
  </si>
  <si>
    <t>組CLE L245JU(TW 14FHD+ 325 UMA 16GB65WL7T</t>
  </si>
  <si>
    <t>組CLE L245JU(R1TW 14FHD+ 325 UMA 16GB65WL7TTPM)</t>
  </si>
  <si>
    <t>F-14LN5LA-228V</t>
  </si>
  <si>
    <t>組CLE L245LU-TD(Thirdwave 14FHD+ 228V UMA 32G65WL7</t>
  </si>
  <si>
    <t>CLE-L24-228V-UMA-32G-L7 Thirdwave</t>
  </si>
  <si>
    <t>F-14PN5A/F-14LN5LS</t>
  </si>
  <si>
    <t>F-14LN5LA</t>
  </si>
  <si>
    <t>組CLE L245LU-TD(Thirdwave 14FHD+ 226V UMA 16G65WL7</t>
  </si>
  <si>
    <t>CLE-L24-226V-UMA-16G-L7 Thirdwave</t>
  </si>
  <si>
    <t>u5-226V</t>
  </si>
  <si>
    <t>組CLE L245LU-TD(R1 TW 14FHD+ 226V UMA 16G 65WL7TPM</t>
  </si>
  <si>
    <t>組CLE L245LU-TD(R1 TW 14FHD+ 226V UMA 16G</t>
  </si>
  <si>
    <t>F-14TG-Blue ×512</t>
  </si>
  <si>
    <t>組TVS 1431U(R2 Blue14ngFHD1135G7 UMA 16/5</t>
  </si>
  <si>
    <t>→173746に切り替え</t>
  </si>
  <si>
    <t>210646</t>
  </si>
  <si>
    <t>組TVS 1431U(R3 Blue14ngFHD1135G7 UMA 16/5</t>
  </si>
  <si>
    <t>TW15MT1H7CS</t>
  </si>
  <si>
    <t>組CLE V755TU-2(TW 15.6FHD 155H UMA65W L6dTPMDDR5)</t>
  </si>
  <si>
    <t>V75</t>
  </si>
  <si>
    <t>CLE-V75-155H-UMA-L6-TPM-DDR5</t>
  </si>
  <si>
    <t>組CLE V755TU-2(R1TW 15.6FHD 155H UMA65W L6dTPMDDR5)</t>
  </si>
  <si>
    <t>TW15MT1U5CS</t>
  </si>
  <si>
    <t>CLE-V75-125U-UMA-L6-TPM-DDR5</t>
  </si>
  <si>
    <t>DA5-C5UIGA-08S</t>
  </si>
  <si>
    <t>TW14C7G</t>
  </si>
  <si>
    <t>組CLE V745TU-2TDP(TW 14WUXGA 155U UMA65W L6TPM RG)</t>
  </si>
  <si>
    <t>V74</t>
  </si>
  <si>
    <t>CLE-V74-U7-155U-L6-TPM-DDR5-TW-RG</t>
  </si>
  <si>
    <t>組CLE V745TU-2TDP(R1TW 14WUXGA 155UUMA65W L6TPM RG)</t>
  </si>
  <si>
    <t>TW14C7C</t>
  </si>
  <si>
    <t>組CLE V745TU-2TDB(TW 14WUXGA 155U UMA65W L6TPM BL)</t>
  </si>
  <si>
    <t>CLE-V74-U7-155U-L6-TPM-DDR5-TW-BL</t>
  </si>
  <si>
    <t>組CLE V745TU-2TDB(R1TW 14WUXGA155U UMA65W L6TPM BL)</t>
  </si>
  <si>
    <t>TW14C7B</t>
  </si>
  <si>
    <t>組CLE V745TU-2TD(TW 14WUXGA 155U UMA65W L6TPM BK)</t>
  </si>
  <si>
    <t>CLE-V74-U7-155U-L6-TPM-DDR5-TW-BK</t>
  </si>
  <si>
    <t>組CLE V745TU-2TD(R1TW 14WUXGA 155U UMA65W L6TPM BK)</t>
  </si>
  <si>
    <t>TW14C5G</t>
  </si>
  <si>
    <t>組CLE V745TU-2TDP(TW 14WUXGA 125U UMA65W L6TPM RG)</t>
  </si>
  <si>
    <t>CLE-V74-U5-125U-L6-TPM-DDR5-TW-RG</t>
  </si>
  <si>
    <t>u7-125U</t>
  </si>
  <si>
    <t>組CLE V745TU-2TDP(R1TW 14WUXGA125U UMA65W L6TPM RG)</t>
  </si>
  <si>
    <t>TW14C5C</t>
  </si>
  <si>
    <t>組CLE V745TU-2TDB(TW 14WUXGA 125U UMA65W L6TPM BL)</t>
  </si>
  <si>
    <t>CLE-V74-U5-125U-L6-TPM-DDR5-TW-BL</t>
  </si>
  <si>
    <t>組CLE V745TU-2TDB(R1TW 14WUXGA125U UMA65W L6TPM BL)</t>
  </si>
  <si>
    <t>TW14C5B</t>
  </si>
  <si>
    <t>組CLE V745TU-2TD(TW 14WUXGA 125U UMA65W L6TPM BK)</t>
  </si>
  <si>
    <t>CLE-V74-U5-125U-L6-TPM-DDR5-TW-BK</t>
  </si>
  <si>
    <t>組CLE V745TU-2TD(R1TW 14WUXGA 125U UMA65W L6TPM BK)</t>
  </si>
  <si>
    <t>TW14A5G</t>
  </si>
  <si>
    <t>組CLE V745BU-2TDP(TW 14WUXGA 7535HS UMA65W L6TPM RG)</t>
  </si>
  <si>
    <t>CLE-V74-R5-7535HS-L6-TPM-DDR5-TW-RG</t>
  </si>
  <si>
    <t>R5-7535HS</t>
  </si>
  <si>
    <t>組CLE V745BU-2TDP(R1TW 14WUXGA7535HSUMA65WL6TPMRG)</t>
  </si>
  <si>
    <t>TW14A5C</t>
  </si>
  <si>
    <t>組CLE V745BU-2TDB(TW 14WUXGA 7535HS UMA65W L6TPM BL)</t>
  </si>
  <si>
    <t>CLE-V74-R5-7535HS-L6-TPM-DDR5-TW-BL</t>
  </si>
  <si>
    <t>組CLE V745BU-2TDB(R1TW 14WUXGA7535HS UMA65WL6TPMBL)</t>
  </si>
  <si>
    <t>TW14A5B</t>
  </si>
  <si>
    <t>組CLE V745BU-2TD(TW 14WUXGA 7535HS UMA65W L6TPM BK)</t>
  </si>
  <si>
    <t>CLE-V74-R5-7535HS-L6-TPM-DDR5-TW-BK</t>
  </si>
  <si>
    <t>組CLE V745BU-2TD(R1TW 14WUXGA 7535HS UMA65WL6TPMBK)</t>
  </si>
  <si>
    <t>F-14BR5A</t>
  </si>
  <si>
    <t>組CLE NL45NU1-TD(Thirdwave 14FHD7430U UMA65WL6 TPM</t>
  </si>
  <si>
    <t>CLE-NL45-7430U-UMA-L6-TPM Thirdwave</t>
  </si>
  <si>
    <t>R5-7430U</t>
  </si>
  <si>
    <t>2025年11月頃</t>
  </si>
  <si>
    <t>組CLE NL45NU1-TD(Thirdwave 14FHD7430U UMA</t>
  </si>
  <si>
    <t>組CLE NL45NU1-TD(R1 TW 14FHD7430U UMA65WL6 TPM</t>
  </si>
  <si>
    <t>組CLE NL45NU1-TD(R1 TW 14FHD7430U UMA65WL</t>
  </si>
  <si>
    <t>M9652</t>
  </si>
  <si>
    <t>組MSH 15F3(Thirdwave 16UHD+ 185H 5000 240W L6)</t>
  </si>
  <si>
    <t>15F3</t>
  </si>
  <si>
    <t>MSH-15F3-185H-5000-L6 Thirdwave</t>
  </si>
  <si>
    <t>u9-185H</t>
  </si>
  <si>
    <t>Ada5000</t>
  </si>
  <si>
    <t>組MSH 15F3(Thirdwave 16UHD+ 185H 5000 240</t>
  </si>
  <si>
    <t>M9622</t>
  </si>
  <si>
    <t>組MSH 15F4(Thirdwave 16UHD+ 185H 2000 240W L6)</t>
  </si>
  <si>
    <t>15F4</t>
  </si>
  <si>
    <t>MSH-15F4-185H-2000-L6 Thirdwave</t>
  </si>
  <si>
    <t>Ada2000</t>
  </si>
  <si>
    <t>組MSH 15F4(Thirdwave 16UHD+ 185H 2000 240</t>
  </si>
  <si>
    <t>F-14MTL</t>
  </si>
  <si>
    <t>組CLE L245TU-TD(Thirdwave 14FHD 125U UMA 65W L6)</t>
  </si>
  <si>
    <t>CLE-L240-125U-UMA-L6 Thirdwave</t>
  </si>
  <si>
    <t>u5-125U</t>
  </si>
  <si>
    <t>4/29 WK</t>
  </si>
  <si>
    <t>Type-C</t>
  </si>
  <si>
    <t>組CLE L245TU-TD(R1 Thirdwave 14FHD 125U UMA 65W L6</t>
  </si>
  <si>
    <t>発注されず</t>
  </si>
  <si>
    <t>VF-AD5 8GB</t>
  </si>
  <si>
    <t>組TVS 1510Y(15.6ngFHD N5100 UMA 8+128 45W</t>
  </si>
  <si>
    <t>1510Y</t>
  </si>
  <si>
    <t>法人販売のみ</t>
  </si>
  <si>
    <t>VF-AD5</t>
  </si>
  <si>
    <t>組TVS 1510Y(15.6ngFHD N5100 UMA 4+128 45W</t>
  </si>
  <si>
    <t>→173742に切り替え</t>
  </si>
  <si>
    <t>組TVS 1510Y(R1 15.6FHD N5100 UMA 4+128 45</t>
  </si>
  <si>
    <t>追加50</t>
  </si>
  <si>
    <t>VF-AD4S</t>
  </si>
  <si>
    <t>組TVS 1408E(14ngFHD N4120 UMA 4G 64G 9461</t>
  </si>
  <si>
    <t>VF-AD4</t>
  </si>
  <si>
    <t>組TVS 1408E R1(14ngFHD N4000UMA 4G64G9461</t>
  </si>
  <si>
    <t>SA507i</t>
  </si>
  <si>
    <t>組TVS 1510U(15.6ngFHD 1165G7 UMA 512/16G</t>
  </si>
  <si>
    <t>SA505i</t>
  </si>
  <si>
    <t>組TVS 1510U(15.6ngFHD1135G7 UMA 256/8 65W</t>
  </si>
  <si>
    <t>SA503i</t>
  </si>
  <si>
    <t>組TVS 1510U(15.6ngFHD1115G4 UMA 256/8 65W</t>
  </si>
  <si>
    <t>R5-AA6</t>
  </si>
  <si>
    <t>組TFH GM5AG0O(raytrek 15FHDsRGB 12700H 30</t>
  </si>
  <si>
    <t>i7-12700H</t>
  </si>
  <si>
    <t>F-14TG-Copper</t>
  </si>
  <si>
    <t>組TVS 1431U(R1 Copper14ngFHD1135G7UMA16/5</t>
  </si>
  <si>
    <t>組TVS 1431U(R2 Copper14ngFHD1135G7UMA16/5</t>
  </si>
  <si>
    <t>F-14TG-Blue 256×2</t>
  </si>
  <si>
    <t>組TVS 1431U(法Blue14 1135G7UMA16/256×2 65W</t>
  </si>
  <si>
    <t>組TVS 1431U (法R1 Blue14 1135G7UMA16/256×2</t>
  </si>
  <si>
    <t>F-14TG-Blue</t>
  </si>
  <si>
    <t>組TVS 1431U(R1 Blue14ngFHD1135G7UMA 16/25</t>
  </si>
  <si>
    <t>→172547に切り替え</t>
  </si>
  <si>
    <t>組TVS 1431U(R2 Blue14ngFHD1135G7UMA 16/25</t>
  </si>
  <si>
    <t>組TVS 1431U(R3 Blue14ngFHD1135G7UMA 16/25</t>
  </si>
  <si>
    <t>F-14RPL</t>
  </si>
  <si>
    <t xml:space="preserve">	組CLE L141AU(Thirdwave Pro 14FHD 1335U UMA 65W L6)</t>
  </si>
  <si>
    <t>L141</t>
  </si>
  <si>
    <t>2024年4月頃</t>
  </si>
  <si>
    <t>後継IDは変更　→L241</t>
  </si>
  <si>
    <t>F-14IC-16GB</t>
  </si>
  <si>
    <t>組TVS 1426Y(14ngFHD1035G1 UMA 16/256AX201</t>
  </si>
  <si>
    <t>組QNT LGBA(15ngFHD,10510U,UMA,AX201,45W)</t>
  </si>
  <si>
    <t>組TVS 1431U(R1 Blue14ngFHD1135G7 UMA 16/5</t>
  </si>
  <si>
    <t>→172548に切り替え</t>
  </si>
  <si>
    <t>UL7C-R37</t>
  </si>
  <si>
    <t>組OEC 99AJ11(15.6 11800H 3070 8G*2/1T 240</t>
  </si>
  <si>
    <t>i7-11800H</t>
  </si>
  <si>
    <t>EOL</t>
  </si>
  <si>
    <t>組OEC 99AJ11(R1 15.6 11800H 3070 8G*2/1TB</t>
  </si>
  <si>
    <t>UL7C-R36</t>
  </si>
  <si>
    <t>組OEC 99AJ0Z(15.6 11800H 3060 8G*2/500GB</t>
  </si>
  <si>
    <t>組OEC 99AJ0Z(R1 15.6 11800H 3060 8G*2/500</t>
  </si>
  <si>
    <t>上記集約</t>
  </si>
  <si>
    <t>UL7C-AA3 US</t>
  </si>
  <si>
    <t>A550M</t>
  </si>
  <si>
    <t>1000台で終了</t>
  </si>
  <si>
    <t>9/13依頼</t>
  </si>
  <si>
    <t>英語KB製品なし、性能としては3050同等</t>
  </si>
  <si>
    <t>UL7C-AA3</t>
  </si>
  <si>
    <t>組OEC 99C0P7(15.6 12700H A550M 8G*2/512G1</t>
  </si>
  <si>
    <t>UL7C-AA2 US</t>
  </si>
  <si>
    <t>A730M</t>
  </si>
  <si>
    <t>英語KB製品なし、性能としては3060/3050同等</t>
  </si>
  <si>
    <t>UL7C-AA2</t>
  </si>
  <si>
    <t>組OEC 99C0PC(15.6 12700H A730M 8G*2/1T 14</t>
  </si>
  <si>
    <t>ZL7C-R38H</t>
  </si>
  <si>
    <t>組UNW PH6AQI2(16WUXGA12700H3080 16G*2 1TB</t>
  </si>
  <si>
    <t>ZL7C-R37TH</t>
  </si>
  <si>
    <t>組UNW PH6AQ72(16WUXGA12700H3070Ti16G*2 1T</t>
  </si>
  <si>
    <t>XL7R-R36(5800)</t>
  </si>
  <si>
    <t>組TFH GM5ZN0O(15ngFHD R7-5800H 3060 IR JP</t>
  </si>
  <si>
    <t>R7-5800H</t>
  </si>
  <si>
    <t>XL7R-R36(4800)</t>
  </si>
  <si>
    <t>組TFH GM5NG0O(15.6ngFHD 4800H 3060 144hz</t>
  </si>
  <si>
    <t>R7-4800H</t>
  </si>
  <si>
    <t>組UNW PH6PG02(16WUXGA 13700H 4060 150W L9)</t>
  </si>
  <si>
    <t>組TFH GM5PG0O(15FHD 13700H 4060 230W L9)</t>
  </si>
  <si>
    <t xml:space="preserve">	組UNW PH6PG52(16WUXGA 13700H 4050 150W L6)</t>
  </si>
  <si>
    <t>XL7C-R36H</t>
  </si>
  <si>
    <t>組UNW PH6AG02(16WUXGA12700H3060 8G*2 512G</t>
  </si>
  <si>
    <t>6/5登録</t>
  </si>
  <si>
    <t>XL7C-R36(11Gen)</t>
  </si>
  <si>
    <t>組TFH GM5TN0O(15FHD11800H3060 512/8*2 144</t>
  </si>
  <si>
    <t>XL7C-R36</t>
  </si>
  <si>
    <t>組TFH GM5MG0O(15ngFHD 10875H 3060 IR JP</t>
  </si>
  <si>
    <t>ID-O2</t>
  </si>
  <si>
    <t>TFH-O2-10875H-3060(JP) L9</t>
  </si>
  <si>
    <t>i7-10875H</t>
  </si>
  <si>
    <t>組TFH GM5MG0O(15ngFHD10875H3060 8*2/512JP</t>
  </si>
  <si>
    <t>TFH-O2-10875H-3060(JP)</t>
  </si>
  <si>
    <t>XL5R-R36</t>
  </si>
  <si>
    <t>組TFH GM5ZN0O(15ngFHD R5-5600H 3060 IR JP</t>
  </si>
  <si>
    <t>Ryzen 5 5600H</t>
  </si>
  <si>
    <t>RL7C-R35H</t>
  </si>
  <si>
    <t>組UNW PH6AQE2(16WUXGA12700H3050 8G*2 512G</t>
  </si>
  <si>
    <t>RL5C-R35（13世代）</t>
  </si>
  <si>
    <t>組TFH GM5PG3E(15FHD 13500H 3050 150W L9)</t>
  </si>
  <si>
    <t>12世代切替</t>
  </si>
  <si>
    <t>純粋な後継はなし。廉価に変更</t>
  </si>
  <si>
    <t>RL5C-R35T</t>
  </si>
  <si>
    <t>組TFH GM5TGFO(15FHD11400H3050Ti 512G/8*2</t>
  </si>
  <si>
    <t>i5-11400H</t>
  </si>
  <si>
    <t>3050Ti</t>
  </si>
  <si>
    <t>組TFH GM5TGFO R1(15FHD 11400H 3050Ti 512G</t>
  </si>
  <si>
    <t>RL5C-R35</t>
  </si>
  <si>
    <t>組TFH GM5TGEO(15FHD11400H3050 512/8*2 144</t>
  </si>
  <si>
    <t>i5-13500H</t>
  </si>
  <si>
    <t>組TFH GM5TGEO R1(15FHD11400H3050 512/8*2</t>
  </si>
  <si>
    <t>RL5C-G50</t>
  </si>
  <si>
    <t>組TFH GM5TG5O(15FHD 11400H 1650 512G/8*2</t>
  </si>
  <si>
    <t>組TFH GM5TG5O R1(15FHD 11400H 1650 512G/8</t>
  </si>
  <si>
    <t>RM7C-R35T</t>
  </si>
  <si>
    <t>組UNW PH4AQF2(14WUXGA12700H3050Ti8G*2 512</t>
  </si>
  <si>
    <t>5/25登録</t>
  </si>
  <si>
    <t>組TFH GM5TG0O(15FHD11800H3060 512/8*2 144</t>
  </si>
  <si>
    <t>raytrek</t>
  </si>
  <si>
    <t>M9651</t>
  </si>
  <si>
    <t>組MSH 15F3(raytrek 16UHD+ 185H 5000 240W L6)</t>
  </si>
  <si>
    <t>MSH-15F3-185H-5000-L6 raytrek</t>
  </si>
  <si>
    <t>M9621</t>
  </si>
  <si>
    <t>組MSH 15F4(raytrek 16UHD+ 185H 2000 240W L6)</t>
  </si>
  <si>
    <t>MSH-15F4-185H-2000-L6 raytrek</t>
  </si>
  <si>
    <t>組MSH 15F4(raytrek 16UHD+ 185H 2000 240W</t>
  </si>
  <si>
    <t>A4-M</t>
  </si>
  <si>
    <t>組CLE V545TU(R2 raytrek 14QWXGA+ 155H UMA 90W L6)</t>
  </si>
  <si>
    <t>CLE-V540-155H-UMA-L6 raytrek</t>
  </si>
  <si>
    <t>X4-T Gold</t>
  </si>
  <si>
    <t>組TVS 1431U(ﾚｲﾄﾚ金14FHD1165G7UMA16/512 201</t>
  </si>
  <si>
    <t>組TVS 1431U(R1 ﾚｲﾄﾚ金14FHD1165G7UMA16/512</t>
  </si>
  <si>
    <t>組TVS 1431U(R2 ﾚｲﾄﾚ金14FHD1165G7UMA16/512</t>
  </si>
  <si>
    <t>X4-T Black</t>
  </si>
  <si>
    <t>組TVS 1431U(ﾚｲﾄﾚ黒14FHD1165G7UMA16/512 201</t>
  </si>
  <si>
    <t>組TVS 1431U(R1 ﾚｲﾄﾚ黒14FHD1165G7UMA16/512</t>
  </si>
  <si>
    <t>組TVS 1431U(R2 ﾚｲﾄﾚ黒14FHD1165G7UMA16/512</t>
  </si>
  <si>
    <t>R7-TA-70</t>
  </si>
  <si>
    <t>組TFH GM7TN7P(17ngQHDsRGB100% 11800H 3070</t>
  </si>
  <si>
    <t>R7-TA</t>
  </si>
  <si>
    <t>組TFH GM7TG0P(17ngQHDsRGB100% 11800H 3060</t>
  </si>
  <si>
    <t>R7-RL</t>
  </si>
  <si>
    <t>組CLE PD71SNE-D(raytrek 17.3UHD 13900HX 4070 280W</t>
  </si>
  <si>
    <t>CLE-PD71-13900HX-4070-L6 raytrek</t>
  </si>
  <si>
    <t>9月予定</t>
  </si>
  <si>
    <t>継続予定　CPUのみ変更</t>
  </si>
  <si>
    <t>R7-AA7T</t>
  </si>
  <si>
    <t>組TFH GM7AG7P(raytrek17ngQHD12700H3070Ti</t>
  </si>
  <si>
    <t>3070Ti</t>
  </si>
  <si>
    <t>S12S　鈦灰</t>
  </si>
  <si>
    <t>R6-RL</t>
  </si>
  <si>
    <t>組UNW PH6PG02(raytrek 16WQXGA 13700H 4060 150W L6)</t>
  </si>
  <si>
    <t>UNW-6H2-13700H-4060-L6 raytrek</t>
  </si>
  <si>
    <t>R6-MT</t>
  </si>
  <si>
    <t>209064,199026</t>
  </si>
  <si>
    <t xml:space="preserve">	組CLE V560TND-STD(raytrek 16QHD+ 155H 4060 180W L6</t>
  </si>
  <si>
    <t>CLE-V560-155H-4060-L6 raytrek(193709)</t>
  </si>
  <si>
    <t>組CLE V561TND-STD(R2 raytrek 16QHD+155H4060 180WL6</t>
  </si>
  <si>
    <t>組CLE V560TND-STD(R1 raytrek 16QHD+155H4060 180WL6</t>
  </si>
  <si>
    <t>R5-TA6 32GB</t>
  </si>
  <si>
    <t>組TFH GM5TN0O(ﾚｲﾄﾚ15FHD11800H3060 1T/16*2</t>
  </si>
  <si>
    <t>Silver Lake Grey</t>
  </si>
  <si>
    <t>R5-TA6 (L6)</t>
  </si>
  <si>
    <t>組TFH GM5TN0O(ﾚｲﾄﾚ15FHD 11800H 3060 sRGB</t>
  </si>
  <si>
    <t>R5-TA5 32GB</t>
  </si>
  <si>
    <t>組TFH GM5TGEO(ﾚｲﾄﾚ15FHD11800H3050 1T/16*2</t>
  </si>
  <si>
    <t>組TFH GM5TGEO R1(ﾚｲﾄﾚ15FHD 11800H 3050 1T</t>
  </si>
  <si>
    <t>R5-TA5 16GB</t>
  </si>
  <si>
    <t>組TFH GM5TGEO(ﾚｲﾄﾚ15FHD11800H3050 512/8*2</t>
  </si>
  <si>
    <t>Dark Gray</t>
  </si>
  <si>
    <t>組TFH GM5TGEO R1(ﾚｲﾄﾚ15FHD 11800H3050 512</t>
  </si>
  <si>
    <t>R5-RL6R</t>
  </si>
  <si>
    <t>組UNW GM5PD0O(raytrek 15.6QHD 13620H 4060 230W L6)</t>
  </si>
  <si>
    <t>UNW-O3-13620H-4060-L6 raytrek</t>
  </si>
  <si>
    <t>2025年1-5月</t>
  </si>
  <si>
    <t>組UNW GM5PD0O(R1 raytrek 15.6QHD13620H4060 230WL6)</t>
  </si>
  <si>
    <t>R5-RL6</t>
  </si>
  <si>
    <t>組TFH GM5PX0O(raytrek 15QHD 13700HX 4060</t>
  </si>
  <si>
    <t>TFH-O3-13700HX-4060-L6 raytrek</t>
  </si>
  <si>
    <t>GALLERIA Creatorモデル予定（同スペック）</t>
  </si>
  <si>
    <t>R5-RL5R</t>
  </si>
  <si>
    <t>組UNW GM5PD3E(raytrek 15.6QHD 13620H 3050 180W L6)</t>
  </si>
  <si>
    <t>UNW-E-13620H-3050-L6 raytrek</t>
  </si>
  <si>
    <t>組UNW GM5PD3E(R1 raytrek 15.6QHD13620H3050 180WL6)</t>
  </si>
  <si>
    <t>組TFH GM5PG5O(raytrek 15QHD 13700H 4050 2</t>
  </si>
  <si>
    <t>在庫限り終息</t>
  </si>
  <si>
    <t>法人販売対応、リペア確保多めに</t>
  </si>
  <si>
    <t>R5-AA5S</t>
  </si>
  <si>
    <t>組TFH GM5AGEE(raytrek 15.6QHD 12650H 3050 150W L6)</t>
  </si>
  <si>
    <t>R5(JP)</t>
  </si>
  <si>
    <t>組TFH GM5MG0O(raytrek15ngFHD10875H3060 JP</t>
  </si>
  <si>
    <t>TFH-O2-10875H-3060 (JP) raytrek</t>
  </si>
  <si>
    <t>G5-TA 16GB</t>
  </si>
  <si>
    <t>組TFH GM5TG5O(ﾚｲﾄﾚ15FHD11400H1650 512/8*2</t>
  </si>
  <si>
    <t>組TFH GM5TG5O R1(ﾚｲﾄﾚ15FHD11400H 1650 512</t>
  </si>
  <si>
    <t>G5-R</t>
  </si>
  <si>
    <t>組TFH GK5NRFO(raytrek15ngFHD R71650TisRGB</t>
  </si>
  <si>
    <t>Ryzen 7 4800H</t>
  </si>
  <si>
    <t>組UNW PH4PRX2(raytrek 14WUXGA 13700H UMA 90W L6)</t>
  </si>
  <si>
    <t>GALLERIA A4-Rで対応</t>
  </si>
  <si>
    <t>組CLE V545TU(raytrek 14QWXGA+ 155H UMA 90W L6)</t>
  </si>
  <si>
    <t>組CLE V545TU(R1 raytrek 14QWXGA+ 155H UMA 90W L6)</t>
  </si>
  <si>
    <t>A4-A</t>
  </si>
  <si>
    <t>組UNW PH4ARX2(raytrek 14WUXGA 12700H UMA9</t>
  </si>
  <si>
    <t>→175026に切り替え</t>
  </si>
  <si>
    <t>組UNW PH4ARX2(R1 raytrek14WUXGA12700H UMA</t>
  </si>
  <si>
    <t>発注数は旧コード込み</t>
  </si>
  <si>
    <t>組UNW GM5PD5E(raytrek 15.6QHD 13620H 4050 230W L6)</t>
  </si>
  <si>
    <t>発注せず</t>
  </si>
  <si>
    <t>企画非承認</t>
  </si>
  <si>
    <t>事業年度</t>
    <rPh sb="0" eb="4">
      <t>ジギョウネンド</t>
    </rPh>
    <phoneticPr fontId="4"/>
  </si>
  <si>
    <t>期</t>
    <rPh sb="0" eb="1">
      <t>キ</t>
    </rPh>
    <phoneticPr fontId="4"/>
  </si>
  <si>
    <r>
      <rPr>
        <b/>
        <sz val="10"/>
        <color theme="0"/>
        <rFont val="ＭＳ ゴシック"/>
        <family val="3"/>
        <charset val="128"/>
      </rPr>
      <t>検索フォルダ</t>
    </r>
    <r>
      <rPr>
        <b/>
        <sz val="10"/>
        <color theme="0"/>
        <rFont val="ＭＳ Ｐゴシック"/>
        <family val="2"/>
        <charset val="128"/>
      </rPr>
      <t>名</t>
    </r>
    <rPh sb="0" eb="2">
      <t>ケンサク</t>
    </rPh>
    <rPh sb="6" eb="7">
      <t>メイ</t>
    </rPh>
    <phoneticPr fontId="7"/>
  </si>
  <si>
    <t>ファイル名</t>
  </si>
  <si>
    <t>更新日時</t>
  </si>
  <si>
    <t>期間</t>
    <rPh sb="0" eb="2">
      <t>キカン</t>
    </rPh>
    <phoneticPr fontId="4"/>
  </si>
  <si>
    <t>～</t>
    <phoneticPr fontId="4"/>
  </si>
  <si>
    <r>
      <t>43</t>
    </r>
    <r>
      <rPr>
        <sz val="10"/>
        <rFont val="ＭＳ Ｐゴシック"/>
        <family val="2"/>
        <charset val="128"/>
      </rPr>
      <t>上期</t>
    </r>
    <rPh sb="2" eb="4">
      <t>カミキ</t>
    </rPh>
    <phoneticPr fontId="7"/>
  </si>
  <si>
    <t>販売台数</t>
    <rPh sb="0" eb="4">
      <t>ハンバイダイスウ</t>
    </rPh>
    <phoneticPr fontId="4"/>
  </si>
  <si>
    <t>SKU</t>
    <phoneticPr fontId="4"/>
  </si>
  <si>
    <t>基準日(最新出荷日)</t>
    <rPh sb="0" eb="3">
      <t>キジュンビ</t>
    </rPh>
    <rPh sb="4" eb="6">
      <t>サイシン</t>
    </rPh>
    <rPh sb="6" eb="9">
      <t>シュッカビ</t>
    </rPh>
    <phoneticPr fontId="4"/>
  </si>
  <si>
    <t>台/SKU</t>
    <rPh sb="0" eb="1">
      <t>ダイ</t>
    </rPh>
    <phoneticPr fontId="4"/>
  </si>
  <si>
    <t>月初日</t>
    <rPh sb="0" eb="2">
      <t>ゲッショ</t>
    </rPh>
    <rPh sb="2" eb="3">
      <t>ニチ</t>
    </rPh>
    <phoneticPr fontId="4"/>
  </si>
  <si>
    <t>月末日</t>
    <rPh sb="0" eb="3">
      <t>ゲツマツビ</t>
    </rPh>
    <phoneticPr fontId="4"/>
  </si>
  <si>
    <t>台数予算</t>
    <rPh sb="0" eb="2">
      <t>ダイスウ</t>
    </rPh>
    <rPh sb="2" eb="4">
      <t>ヨサン</t>
    </rPh>
    <phoneticPr fontId="4"/>
  </si>
  <si>
    <t>当月残日数</t>
    <rPh sb="0" eb="2">
      <t>トウゲツ</t>
    </rPh>
    <rPh sb="2" eb="3">
      <t>ザン</t>
    </rPh>
    <rPh sb="3" eb="5">
      <t>ニッスウ</t>
    </rPh>
    <phoneticPr fontId="4"/>
  </si>
  <si>
    <t>必要SKU（800台/SKUとした場合）</t>
    <rPh sb="0" eb="2">
      <t>ヒツヨウ</t>
    </rPh>
    <rPh sb="9" eb="10">
      <t>ダイ</t>
    </rPh>
    <rPh sb="17" eb="19">
      <t>バアイ</t>
    </rPh>
    <phoneticPr fontId="4"/>
  </si>
  <si>
    <t>残月割合</t>
    <rPh sb="0" eb="1">
      <t>ザン</t>
    </rPh>
    <rPh sb="1" eb="2">
      <t>ゲツ</t>
    </rPh>
    <rPh sb="2" eb="4">
      <t>ワリアイ</t>
    </rPh>
    <phoneticPr fontId="4"/>
  </si>
  <si>
    <t>■ファイルの目的</t>
    <rPh sb="6" eb="8">
      <t>モクテキ</t>
    </rPh>
    <phoneticPr fontId="4"/>
  </si>
  <si>
    <t>製品の在庫過不足を確認し、購買の追加発注判断をかけるために、各販売計画を集計します。</t>
    <rPh sb="0" eb="2">
      <t>セイヒン</t>
    </rPh>
    <rPh sb="3" eb="5">
      <t>ザイコ</t>
    </rPh>
    <rPh sb="5" eb="8">
      <t>カブソク</t>
    </rPh>
    <rPh sb="9" eb="11">
      <t>カクニン</t>
    </rPh>
    <rPh sb="13" eb="15">
      <t>コウバイ</t>
    </rPh>
    <rPh sb="16" eb="18">
      <t>ツイカ</t>
    </rPh>
    <rPh sb="18" eb="20">
      <t>ハッチュウ</t>
    </rPh>
    <rPh sb="20" eb="22">
      <t>ハンダン</t>
    </rPh>
    <rPh sb="30" eb="31">
      <t>カク</t>
    </rPh>
    <rPh sb="31" eb="33">
      <t>ハンバイ</t>
    </rPh>
    <rPh sb="33" eb="35">
      <t>ケイカク</t>
    </rPh>
    <rPh sb="36" eb="38">
      <t>シュウケイ</t>
    </rPh>
    <phoneticPr fontId="4"/>
  </si>
  <si>
    <t>また、その妥当性（無理のある計画ではないか？）の判断も行います。</t>
    <rPh sb="5" eb="8">
      <t>ダトウセイ</t>
    </rPh>
    <rPh sb="9" eb="11">
      <t>ムリ</t>
    </rPh>
    <rPh sb="14" eb="16">
      <t>ケイカク</t>
    </rPh>
    <rPh sb="24" eb="26">
      <t>ハンダン</t>
    </rPh>
    <rPh sb="27" eb="28">
      <t>オコナ</t>
    </rPh>
    <phoneticPr fontId="4"/>
  </si>
  <si>
    <t>■概要</t>
    <rPh sb="1" eb="3">
      <t>ガイヨウ</t>
    </rPh>
    <phoneticPr fontId="4"/>
  </si>
  <si>
    <t>法人、一般の製品担当が販売計画を作成、合わせて全体としての計画数を集計します。</t>
    <rPh sb="0" eb="2">
      <t>ホウジン</t>
    </rPh>
    <rPh sb="3" eb="5">
      <t>イッパン</t>
    </rPh>
    <rPh sb="6" eb="8">
      <t>セイヒン</t>
    </rPh>
    <rPh sb="8" eb="10">
      <t>タントウ</t>
    </rPh>
    <rPh sb="11" eb="13">
      <t>ハンバイ</t>
    </rPh>
    <rPh sb="13" eb="15">
      <t>ケイカク</t>
    </rPh>
    <rPh sb="16" eb="18">
      <t>サクセイ</t>
    </rPh>
    <rPh sb="19" eb="20">
      <t>ア</t>
    </rPh>
    <rPh sb="23" eb="25">
      <t>ゼンタイ</t>
    </rPh>
    <rPh sb="29" eb="31">
      <t>ケイカク</t>
    </rPh>
    <rPh sb="31" eb="32">
      <t>スウ</t>
    </rPh>
    <rPh sb="33" eb="35">
      <t>シュウケイ</t>
    </rPh>
    <phoneticPr fontId="4"/>
  </si>
  <si>
    <t>実績・予測値から妥当性を判断し、問題がある（予測と計画の差異が大きい）場合は各担当に確認します。</t>
    <rPh sb="0" eb="2">
      <t>ジッセキ</t>
    </rPh>
    <rPh sb="3" eb="6">
      <t>ヨソクチ</t>
    </rPh>
    <rPh sb="8" eb="11">
      <t>ダトウセイ</t>
    </rPh>
    <rPh sb="12" eb="14">
      <t>ハンダン</t>
    </rPh>
    <rPh sb="16" eb="18">
      <t>モンダイ</t>
    </rPh>
    <rPh sb="22" eb="24">
      <t>ヨソク</t>
    </rPh>
    <rPh sb="25" eb="27">
      <t>ケイカク</t>
    </rPh>
    <rPh sb="28" eb="30">
      <t>サイ</t>
    </rPh>
    <rPh sb="31" eb="32">
      <t>オオ</t>
    </rPh>
    <rPh sb="35" eb="37">
      <t>バアイ</t>
    </rPh>
    <rPh sb="38" eb="41">
      <t>カクタントウ</t>
    </rPh>
    <rPh sb="42" eb="44">
      <t>カクニン</t>
    </rPh>
    <phoneticPr fontId="4"/>
  </si>
  <si>
    <t>➡施策予定があり販売計画が上がる、競合や市場動向から計画が落ち込むなど、乖離が納得できるものならOK</t>
    <rPh sb="1" eb="3">
      <t>シサク</t>
    </rPh>
    <rPh sb="3" eb="5">
      <t>ヨテイ</t>
    </rPh>
    <rPh sb="8" eb="10">
      <t>ハンバイ</t>
    </rPh>
    <rPh sb="10" eb="12">
      <t>ケイカク</t>
    </rPh>
    <rPh sb="13" eb="14">
      <t>ア</t>
    </rPh>
    <rPh sb="17" eb="19">
      <t>キョウゴウ</t>
    </rPh>
    <rPh sb="20" eb="22">
      <t>シジョウ</t>
    </rPh>
    <rPh sb="22" eb="24">
      <t>ドウコウ</t>
    </rPh>
    <rPh sb="26" eb="28">
      <t>ケイカク</t>
    </rPh>
    <rPh sb="29" eb="30">
      <t>オ</t>
    </rPh>
    <rPh sb="31" eb="32">
      <t>コ</t>
    </rPh>
    <rPh sb="36" eb="38">
      <t>カイリ</t>
    </rPh>
    <rPh sb="39" eb="41">
      <t>ナットク</t>
    </rPh>
    <phoneticPr fontId="4"/>
  </si>
  <si>
    <t>妥当性判断ができたら集計したファイルを購買の『NoteONE計画』に反映します。</t>
    <rPh sb="0" eb="3">
      <t>ダトウセイ</t>
    </rPh>
    <rPh sb="3" eb="5">
      <t>ハンダン</t>
    </rPh>
    <rPh sb="10" eb="12">
      <t>シュウケイ</t>
    </rPh>
    <rPh sb="19" eb="21">
      <t>コウバイ</t>
    </rPh>
    <rPh sb="34" eb="36">
      <t>ハンエイ</t>
    </rPh>
    <phoneticPr fontId="4"/>
  </si>
  <si>
    <t>➡購買はこれを元に在庫手配、追加発注を行います。</t>
    <rPh sb="1" eb="3">
      <t>コウバイ</t>
    </rPh>
    <rPh sb="7" eb="8">
      <t>モト</t>
    </rPh>
    <rPh sb="9" eb="13">
      <t>ザイコテハイ</t>
    </rPh>
    <rPh sb="14" eb="16">
      <t>ツイカ</t>
    </rPh>
    <rPh sb="16" eb="18">
      <t>ハッチュウ</t>
    </rPh>
    <rPh sb="19" eb="20">
      <t>オコナ</t>
    </rPh>
    <phoneticPr fontId="4"/>
  </si>
  <si>
    <t>■大まかな流れ</t>
    <rPh sb="1" eb="2">
      <t>オオ</t>
    </rPh>
    <rPh sb="5" eb="6">
      <t>ナガ</t>
    </rPh>
    <phoneticPr fontId="4"/>
  </si>
  <si>
    <t>在庫使用計画（一般）、在庫使用計画（法人）で更新された数値の合計が、在庫使用計画（ノート全体試算）に反映。</t>
    <rPh sb="0" eb="6">
      <t>ザイコシヨウケイカク</t>
    </rPh>
    <rPh sb="7" eb="9">
      <t>イッパン</t>
    </rPh>
    <rPh sb="11" eb="15">
      <t>ザイコシヨウ</t>
    </rPh>
    <rPh sb="15" eb="17">
      <t>ケイカク</t>
    </rPh>
    <rPh sb="18" eb="20">
      <t>ホウジン</t>
    </rPh>
    <rPh sb="22" eb="24">
      <t>コウシン</t>
    </rPh>
    <rPh sb="27" eb="29">
      <t>スウチ</t>
    </rPh>
    <rPh sb="30" eb="32">
      <t>ゴウケイ</t>
    </rPh>
    <rPh sb="34" eb="40">
      <t>ザイコシヨウケイカク</t>
    </rPh>
    <rPh sb="44" eb="46">
      <t>ゼンタイ</t>
    </rPh>
    <rPh sb="46" eb="48">
      <t>シサン</t>
    </rPh>
    <rPh sb="50" eb="52">
      <t>ハンエイ</t>
    </rPh>
    <phoneticPr fontId="4"/>
  </si>
  <si>
    <t>反映されたファイルについて、最新使用計画（mmdd更新）※mmddは日付でコピーを作成、それをもとにONE計画を更新。</t>
    <rPh sb="0" eb="2">
      <t>ハンエイ</t>
    </rPh>
    <rPh sb="14" eb="16">
      <t>サイシン</t>
    </rPh>
    <rPh sb="16" eb="20">
      <t>シヨウケイカク</t>
    </rPh>
    <rPh sb="25" eb="27">
      <t>コウシン</t>
    </rPh>
    <rPh sb="34" eb="36">
      <t>ヒヅケ</t>
    </rPh>
    <rPh sb="41" eb="43">
      <t>サクセイ</t>
    </rPh>
    <rPh sb="53" eb="55">
      <t>ケイカク</t>
    </rPh>
    <rPh sb="56" eb="58">
      <t>コウシン</t>
    </rPh>
    <phoneticPr fontId="4"/>
  </si>
  <si>
    <t>日次集計ファイルは、最新使用計画（mmdd更新）の最新の日付を確認し、新しくなっていれば集計ファイルに反映。</t>
    <rPh sb="0" eb="1">
      <t>ニチ</t>
    </rPh>
    <rPh sb="1" eb="2">
      <t>ジ</t>
    </rPh>
    <rPh sb="2" eb="4">
      <t>シュウケイ</t>
    </rPh>
    <rPh sb="25" eb="27">
      <t>サイシン</t>
    </rPh>
    <rPh sb="28" eb="30">
      <t>ヒヅケ</t>
    </rPh>
    <rPh sb="31" eb="33">
      <t>カクニン</t>
    </rPh>
    <rPh sb="35" eb="36">
      <t>アタラ</t>
    </rPh>
    <rPh sb="44" eb="46">
      <t>シュウケイ</t>
    </rPh>
    <rPh sb="51" eb="53">
      <t>ハンエイ</t>
    </rPh>
    <phoneticPr fontId="4"/>
  </si>
  <si>
    <t>その際に、法人　一般もあわせて更新する。</t>
    <rPh sb="2" eb="3">
      <t>サイ</t>
    </rPh>
    <rPh sb="5" eb="7">
      <t>ホウジン</t>
    </rPh>
    <rPh sb="8" eb="10">
      <t>イッパン</t>
    </rPh>
    <rPh sb="15" eb="17">
      <t>コウシン</t>
    </rPh>
    <phoneticPr fontId="4"/>
  </si>
  <si>
    <t>企画：</t>
    <rPh sb="0" eb="2">
      <t>キカク</t>
    </rPh>
    <phoneticPr fontId="4"/>
  </si>
  <si>
    <t>『在庫使用計画（一般）』を更新。</t>
    <phoneticPr fontId="4"/>
  </si>
  <si>
    <t>法人：</t>
    <rPh sb="0" eb="2">
      <t>ホウジン</t>
    </rPh>
    <phoneticPr fontId="4"/>
  </si>
  <si>
    <t>『在庫使用計画（法人）』を更新。</t>
    <phoneticPr fontId="4"/>
  </si>
  <si>
    <t>ノート担当：</t>
    <rPh sb="3" eb="5">
      <t>タントウ</t>
    </rPh>
    <phoneticPr fontId="4"/>
  </si>
  <si>
    <t>週一回、ファイル更新を確認し、NoteONE計画のファイルを更新します。（月～火の午前中）</t>
    <rPh sb="0" eb="3">
      <t>シュウイッカイ</t>
    </rPh>
    <rPh sb="8" eb="10">
      <t>コウシン</t>
    </rPh>
    <rPh sb="11" eb="13">
      <t>カクニン</t>
    </rPh>
    <rPh sb="22" eb="24">
      <t>ケイカク</t>
    </rPh>
    <rPh sb="30" eb="32">
      <t>コウシン</t>
    </rPh>
    <rPh sb="37" eb="38">
      <t>ゲツ</t>
    </rPh>
    <rPh sb="39" eb="40">
      <t>カ</t>
    </rPh>
    <rPh sb="41" eb="44">
      <t>ゴゼンチュウ</t>
    </rPh>
    <phoneticPr fontId="4"/>
  </si>
  <si>
    <t>『在庫使用計画（全体）』をコピー、名称を『在庫使用計画（mmdd）』（mmddは更新日）に変更。</t>
  </si>
  <si>
    <t>在庫使用計画 (計画　予測)のシートを確認し、計画を検証。（実績との乖離や在庫数が適正か確認）</t>
    <rPh sb="19" eb="21">
      <t>カクニン</t>
    </rPh>
    <rPh sb="23" eb="25">
      <t>ケイカク</t>
    </rPh>
    <rPh sb="26" eb="28">
      <t>ケンショウ</t>
    </rPh>
    <rPh sb="30" eb="32">
      <t>ジッセキ</t>
    </rPh>
    <rPh sb="34" eb="36">
      <t>カイリ</t>
    </rPh>
    <rPh sb="37" eb="40">
      <t>ザイコスウ</t>
    </rPh>
    <rPh sb="41" eb="43">
      <t>テキセイ</t>
    </rPh>
    <rPh sb="44" eb="46">
      <t>カクニン</t>
    </rPh>
    <phoneticPr fontId="4"/>
  </si>
  <si>
    <t>↑の更新ファイルをもとに、購買がOne計画を更新</t>
    <rPh sb="2" eb="4">
      <t>コウシン</t>
    </rPh>
    <rPh sb="13" eb="14">
      <t>コウ</t>
    </rPh>
    <rPh sb="16" eb="18">
      <t>ケイカク</t>
    </rPh>
    <rPh sb="19" eb="21">
      <t>コウシン</t>
    </rPh>
    <phoneticPr fontId="4"/>
  </si>
  <si>
    <t>市村さんに連絡し、ノート日次集計のファイルに反映してもらう。</t>
    <rPh sb="0" eb="2">
      <t>イチムラ</t>
    </rPh>
    <rPh sb="5" eb="7">
      <t>レンラク</t>
    </rPh>
    <rPh sb="12" eb="14">
      <t>ニチジ</t>
    </rPh>
    <rPh sb="14" eb="16">
      <t>シュウケイ</t>
    </rPh>
    <rPh sb="22" eb="24">
      <t>ハンエイ</t>
    </rPh>
    <phoneticPr fontId="4"/>
  </si>
  <si>
    <t>責任範囲</t>
    <rPh sb="0" eb="2">
      <t>セキニン</t>
    </rPh>
    <rPh sb="2" eb="4">
      <t>ハンイ</t>
    </rPh>
    <phoneticPr fontId="4"/>
  </si>
  <si>
    <t>tips</t>
    <phoneticPr fontId="4"/>
  </si>
  <si>
    <t>『在庫使用計画（一般）』のシート</t>
    <phoneticPr fontId="4"/>
  </si>
  <si>
    <t>・Power Query更新時に「外部データのフォーマットが不正」といったエラーが出ることがあるが、</t>
    <rPh sb="12" eb="15">
      <t>コウシンジ</t>
    </rPh>
    <rPh sb="17" eb="19">
      <t>ガイブ</t>
    </rPh>
    <rPh sb="30" eb="32">
      <t>フセイ</t>
    </rPh>
    <rPh sb="41" eb="42">
      <t>デ</t>
    </rPh>
    <phoneticPr fontId="4"/>
  </si>
  <si>
    <t>『在庫使用計画（法人）』のシート</t>
    <phoneticPr fontId="4"/>
  </si>
  <si>
    <t>　Power Queryのプロセスが残留してしまっていることが原因の場合がある。</t>
    <rPh sb="18" eb="20">
      <t>ザンリュウ</t>
    </rPh>
    <rPh sb="31" eb="33">
      <t>ゲンイン</t>
    </rPh>
    <rPh sb="34" eb="36">
      <t>バアイ</t>
    </rPh>
    <phoneticPr fontId="4"/>
  </si>
  <si>
    <t>更新連絡を受けた後の購買への変更依頼（ONEファイルへの反映）</t>
    <rPh sb="0" eb="2">
      <t>コウシン</t>
    </rPh>
    <rPh sb="2" eb="4">
      <t>レンラク</t>
    </rPh>
    <rPh sb="5" eb="6">
      <t>ウ</t>
    </rPh>
    <rPh sb="8" eb="9">
      <t>アト</t>
    </rPh>
    <rPh sb="10" eb="12">
      <t>コウバイ</t>
    </rPh>
    <rPh sb="14" eb="16">
      <t>ヘンコウ</t>
    </rPh>
    <rPh sb="16" eb="18">
      <t>イライ</t>
    </rPh>
    <rPh sb="28" eb="30">
      <t>ハンエイ</t>
    </rPh>
    <phoneticPr fontId="4"/>
  </si>
  <si>
    <t>　この場合、Microsoft.Mashup.Container.Loader.exeをタスクマネージャーから落とすことで改善</t>
    <rPh sb="3" eb="5">
      <t>バアイ</t>
    </rPh>
    <rPh sb="55" eb="56">
      <t>オ</t>
    </rPh>
    <rPh sb="61" eb="63">
      <t>カイゼン</t>
    </rPh>
    <phoneticPr fontId="4"/>
  </si>
  <si>
    <t>販売計画の妥当性確認、異常と見える場合は要素（施策対応、状況など）を確認。</t>
    <rPh sb="0" eb="2">
      <t>ハンバイ</t>
    </rPh>
    <rPh sb="2" eb="4">
      <t>ケイカク</t>
    </rPh>
    <rPh sb="5" eb="8">
      <t>ダトウセイ</t>
    </rPh>
    <rPh sb="8" eb="10">
      <t>カクニン</t>
    </rPh>
    <rPh sb="11" eb="13">
      <t>イジョウ</t>
    </rPh>
    <rPh sb="14" eb="15">
      <t>ミ</t>
    </rPh>
    <rPh sb="17" eb="19">
      <t>バアイ</t>
    </rPh>
    <rPh sb="20" eb="22">
      <t>ヨウソ</t>
    </rPh>
    <rPh sb="23" eb="25">
      <t>シサク</t>
    </rPh>
    <rPh sb="25" eb="27">
      <t>タイオウ</t>
    </rPh>
    <rPh sb="28" eb="30">
      <t>ジョウキョウ</t>
    </rPh>
    <rPh sb="34" eb="36">
      <t>カクニン</t>
    </rPh>
    <phoneticPr fontId="4"/>
  </si>
  <si>
    <t>必要に応じて、各担当者に計画再修正を行ってもらう。</t>
    <rPh sb="0" eb="2">
      <t>ヒツヨウ</t>
    </rPh>
    <rPh sb="3" eb="4">
      <t>オウ</t>
    </rPh>
    <rPh sb="7" eb="10">
      <t>カクタントウ</t>
    </rPh>
    <rPh sb="10" eb="11">
      <t>シャ</t>
    </rPh>
    <rPh sb="12" eb="17">
      <t>ケイカクサイシュウセイ</t>
    </rPh>
    <rPh sb="18" eb="19">
      <t>オコナ</t>
    </rPh>
    <phoneticPr fontId="4"/>
  </si>
  <si>
    <t>■ファイルの構成</t>
    <rPh sb="6" eb="8">
      <t>コウセイ</t>
    </rPh>
    <phoneticPr fontId="4"/>
  </si>
  <si>
    <t>【在庫使用計画（全体実績+予測）】：先月までは実績、当月は着地予測を入力、次月以降は過去の係数（ブランドごとの前月比係数）をもとに予測値を試算</t>
    <rPh sb="1" eb="7">
      <t>ザイコシヨウケイカク</t>
    </rPh>
    <rPh sb="8" eb="10">
      <t>ゼンタイ</t>
    </rPh>
    <rPh sb="10" eb="12">
      <t>ジッセキ</t>
    </rPh>
    <rPh sb="13" eb="15">
      <t>ヨソク</t>
    </rPh>
    <rPh sb="18" eb="20">
      <t>センゲツ</t>
    </rPh>
    <rPh sb="23" eb="25">
      <t>ジッセキ</t>
    </rPh>
    <rPh sb="26" eb="28">
      <t>トウゲツ</t>
    </rPh>
    <rPh sb="29" eb="33">
      <t>チャクチヨソク</t>
    </rPh>
    <rPh sb="34" eb="36">
      <t>ニュウリョク</t>
    </rPh>
    <rPh sb="37" eb="39">
      <t>ジゲツ</t>
    </rPh>
    <rPh sb="39" eb="41">
      <t>イコウ</t>
    </rPh>
    <rPh sb="42" eb="44">
      <t>カコ</t>
    </rPh>
    <rPh sb="45" eb="47">
      <t>ケイスウ</t>
    </rPh>
    <rPh sb="55" eb="58">
      <t>ゼンゲツヒ</t>
    </rPh>
    <rPh sb="58" eb="60">
      <t>ケイスウ</t>
    </rPh>
    <rPh sb="65" eb="68">
      <t>ヨソクチ</t>
    </rPh>
    <rPh sb="69" eb="71">
      <t>シサン</t>
    </rPh>
    <phoneticPr fontId="4"/>
  </si>
  <si>
    <t>前月までは実績、当月は着地予測、次月以降は「当月予測x係数」による予測</t>
    <rPh sb="0" eb="2">
      <t>ゼンゲツ</t>
    </rPh>
    <rPh sb="5" eb="7">
      <t>ジッセキ</t>
    </rPh>
    <rPh sb="8" eb="10">
      <t>トウゲツ</t>
    </rPh>
    <rPh sb="11" eb="13">
      <t>チャクチ</t>
    </rPh>
    <rPh sb="13" eb="15">
      <t>ヨソク</t>
    </rPh>
    <rPh sb="16" eb="18">
      <t>ジゲツ</t>
    </rPh>
    <rPh sb="18" eb="20">
      <t>イコウ</t>
    </rPh>
    <rPh sb="22" eb="24">
      <t>トウゲツ</t>
    </rPh>
    <rPh sb="24" eb="26">
      <t>ヨソク</t>
    </rPh>
    <rPh sb="27" eb="29">
      <t>ケイスウ</t>
    </rPh>
    <rPh sb="33" eb="35">
      <t>ヨソク</t>
    </rPh>
    <phoneticPr fontId="4"/>
  </si>
  <si>
    <t>【在庫使用計画 (ノート全体試算)】：TWとして全体の販売計画数を表示、このファイルをもとに日付ファイルを作成し、NoteONE計画のファイルに反映する</t>
    <rPh sb="1" eb="3">
      <t>ザイコ</t>
    </rPh>
    <rPh sb="3" eb="5">
      <t>シヨウ</t>
    </rPh>
    <rPh sb="5" eb="7">
      <t>ケイカク</t>
    </rPh>
    <rPh sb="12" eb="14">
      <t>ゼンタイ</t>
    </rPh>
    <rPh sb="14" eb="16">
      <t>シサン</t>
    </rPh>
    <rPh sb="24" eb="26">
      <t>ゼンタイ</t>
    </rPh>
    <rPh sb="27" eb="29">
      <t>ハンバイ</t>
    </rPh>
    <rPh sb="29" eb="32">
      <t>ケイカクスウ</t>
    </rPh>
    <rPh sb="33" eb="35">
      <t>ヒョウジ</t>
    </rPh>
    <rPh sb="46" eb="48">
      <t>ヒヅケ</t>
    </rPh>
    <rPh sb="53" eb="55">
      <t>サクセイ</t>
    </rPh>
    <rPh sb="64" eb="66">
      <t>ケイカク</t>
    </rPh>
    <rPh sb="72" eb="74">
      <t>ハンエイ</t>
    </rPh>
    <phoneticPr fontId="4"/>
  </si>
  <si>
    <t>在庫使用計画 (一般)：製品担当者が一般分（通販・店舗）の販売計画を入力</t>
    <rPh sb="0" eb="2">
      <t>ザイコ</t>
    </rPh>
    <rPh sb="2" eb="4">
      <t>シヨウ</t>
    </rPh>
    <rPh sb="4" eb="6">
      <t>ケイカク</t>
    </rPh>
    <rPh sb="8" eb="10">
      <t>イッパン</t>
    </rPh>
    <rPh sb="12" eb="14">
      <t>セイヒン</t>
    </rPh>
    <rPh sb="14" eb="17">
      <t>タントウシャ</t>
    </rPh>
    <rPh sb="18" eb="21">
      <t>イッパンブン</t>
    </rPh>
    <rPh sb="22" eb="24">
      <t>ツウハン</t>
    </rPh>
    <rPh sb="25" eb="27">
      <t>テンポ</t>
    </rPh>
    <rPh sb="29" eb="31">
      <t>ハンバイ</t>
    </rPh>
    <rPh sb="31" eb="33">
      <t>ケイカク</t>
    </rPh>
    <rPh sb="34" eb="36">
      <t>ニュウリョク</t>
    </rPh>
    <phoneticPr fontId="4"/>
  </si>
  <si>
    <t>在庫使用計画 (法人)：法人担当者が法人（法人営業分）の販売計画を入力</t>
    <rPh sb="0" eb="2">
      <t>ザイコ</t>
    </rPh>
    <rPh sb="2" eb="4">
      <t>シヨウ</t>
    </rPh>
    <rPh sb="4" eb="6">
      <t>ケイカク</t>
    </rPh>
    <rPh sb="8" eb="10">
      <t>ホウジン</t>
    </rPh>
    <rPh sb="12" eb="14">
      <t>ホウジン</t>
    </rPh>
    <rPh sb="14" eb="17">
      <t>タントウシャ</t>
    </rPh>
    <rPh sb="18" eb="20">
      <t>ホウジン</t>
    </rPh>
    <rPh sb="21" eb="26">
      <t>ホウジンエイギョウブン</t>
    </rPh>
    <rPh sb="28" eb="30">
      <t>ハンバイ</t>
    </rPh>
    <rPh sb="30" eb="32">
      <t>ケイカク</t>
    </rPh>
    <rPh sb="33" eb="35">
      <t>ニュウリョク</t>
    </rPh>
    <phoneticPr fontId="4"/>
  </si>
  <si>
    <t>【在庫確認】：起点時（基本的には月初時点）の在庫と注残を確認。この先4か月、つまりこれから発注するものが入荷するまで販売計画を満たす在庫があるかどうか</t>
    <rPh sb="1" eb="5">
      <t>ザイコカクニン</t>
    </rPh>
    <rPh sb="7" eb="9">
      <t>キテン</t>
    </rPh>
    <rPh sb="9" eb="10">
      <t>ジ</t>
    </rPh>
    <rPh sb="11" eb="14">
      <t>キホンテキ</t>
    </rPh>
    <rPh sb="16" eb="18">
      <t>ゲッショ</t>
    </rPh>
    <rPh sb="18" eb="20">
      <t>ジテン</t>
    </rPh>
    <rPh sb="22" eb="24">
      <t>ザイコ</t>
    </rPh>
    <rPh sb="25" eb="27">
      <t>チュウザン</t>
    </rPh>
    <rPh sb="28" eb="30">
      <t>カクニン</t>
    </rPh>
    <rPh sb="33" eb="34">
      <t>サキ</t>
    </rPh>
    <rPh sb="36" eb="37">
      <t>ゲツ</t>
    </rPh>
    <rPh sb="45" eb="47">
      <t>ハッチュウ</t>
    </rPh>
    <rPh sb="52" eb="54">
      <t>ニュウカ</t>
    </rPh>
    <rPh sb="58" eb="62">
      <t>ハンバイケイカク</t>
    </rPh>
    <rPh sb="63" eb="64">
      <t>ミ</t>
    </rPh>
    <rPh sb="66" eb="68">
      <t>ザイコ</t>
    </rPh>
    <phoneticPr fontId="4"/>
  </si>
  <si>
    <t>SAP貼り付け(901) ※()内は更新日付：SAPデータを貼り付け</t>
    <rPh sb="16" eb="17">
      <t>ナイ</t>
    </rPh>
    <rPh sb="18" eb="20">
      <t>コウシン</t>
    </rPh>
    <rPh sb="20" eb="22">
      <t>ヒヅケ</t>
    </rPh>
    <rPh sb="30" eb="31">
      <t>ハ</t>
    </rPh>
    <rPh sb="32" eb="33">
      <t>ツ</t>
    </rPh>
    <phoneticPr fontId="4"/>
  </si>
  <si>
    <t>Onenote貼り付け(901) ※()内は更新日付：ONEデータを貼り付け</t>
    <rPh sb="34" eb="35">
      <t>ハ</t>
    </rPh>
    <rPh sb="36" eb="37">
      <t>ツ</t>
    </rPh>
    <phoneticPr fontId="4"/>
  </si>
  <si>
    <t>43期</t>
    <rPh sb="2" eb="3">
      <t>キ</t>
    </rPh>
    <phoneticPr fontId="4"/>
  </si>
  <si>
    <t>今期の予算と実績</t>
    <rPh sb="0" eb="2">
      <t>コンキ</t>
    </rPh>
    <rPh sb="3" eb="5">
      <t>ヨサン</t>
    </rPh>
    <rPh sb="6" eb="8">
      <t>ジッセキ</t>
    </rPh>
    <phoneticPr fontId="4"/>
  </si>
  <si>
    <t>在庫使用計画（mmdd）：最新の販売計画（過去計画の履歴）</t>
    <rPh sb="0" eb="6">
      <t>ザイコシヨウケイカク</t>
    </rPh>
    <rPh sb="13" eb="15">
      <t>サイシン</t>
    </rPh>
    <rPh sb="16" eb="20">
      <t>ハンバイケイカク</t>
    </rPh>
    <rPh sb="21" eb="23">
      <t>カコ</t>
    </rPh>
    <rPh sb="23" eb="25">
      <t>ケイカク</t>
    </rPh>
    <rPh sb="26" eb="28">
      <t>リレキ</t>
    </rPh>
    <phoneticPr fontId="4"/>
  </si>
  <si>
    <t>■週次の作業ながれ</t>
    <rPh sb="1" eb="3">
      <t>シュウジ</t>
    </rPh>
    <rPh sb="4" eb="6">
      <t>サギョウ</t>
    </rPh>
    <phoneticPr fontId="4"/>
  </si>
  <si>
    <t>毎週 月曜日</t>
    <rPh sb="0" eb="2">
      <t>マイシュウ</t>
    </rPh>
    <rPh sb="3" eb="6">
      <t>ゲツヨウビ</t>
    </rPh>
    <phoneticPr fontId="4"/>
  </si>
  <si>
    <t>SAP貼り付け(mmdd)シートの更新</t>
    <rPh sb="3" eb="4">
      <t>ハ</t>
    </rPh>
    <rPh sb="5" eb="6">
      <t>ツ</t>
    </rPh>
    <rPh sb="17" eb="19">
      <t>コウシン</t>
    </rPh>
    <phoneticPr fontId="4"/>
  </si>
  <si>
    <t>Power Query</t>
    <phoneticPr fontId="4"/>
  </si>
  <si>
    <t>「Onenote貼り付け(mmdd)」シート更新</t>
    <rPh sb="22" eb="24">
      <t>コウシン</t>
    </rPh>
    <phoneticPr fontId="4"/>
  </si>
  <si>
    <t>「マスタ」シート更新</t>
    <rPh sb="8" eb="10">
      <t>コウシン</t>
    </rPh>
    <phoneticPr fontId="4"/>
  </si>
  <si>
    <t>【在庫使用計画（計画　予測）】のシートを確認。</t>
    <rPh sb="1" eb="7">
      <t>ザイコシヨウケイカク</t>
    </rPh>
    <rPh sb="8" eb="10">
      <t>ケイカク</t>
    </rPh>
    <rPh sb="11" eb="13">
      <t>ヨソク</t>
    </rPh>
    <rPh sb="20" eb="22">
      <t>カクニン</t>
    </rPh>
    <phoneticPr fontId="4"/>
  </si>
  <si>
    <t>「在庫使用計画(mmdd)」シートのバックアップと「4ヶ月計」シートの推移を追加更新</t>
    <rPh sb="1" eb="3">
      <t>ザイコ</t>
    </rPh>
    <rPh sb="3" eb="5">
      <t>シヨウ</t>
    </rPh>
    <rPh sb="5" eb="7">
      <t>ケイカク</t>
    </rPh>
    <rPh sb="28" eb="29">
      <t>ゲツ</t>
    </rPh>
    <rPh sb="29" eb="30">
      <t>ケイ</t>
    </rPh>
    <rPh sb="35" eb="37">
      <t>スイイ</t>
    </rPh>
    <rPh sb="38" eb="40">
      <t>ツイカ</t>
    </rPh>
    <rPh sb="40" eb="42">
      <t>コウシン</t>
    </rPh>
    <phoneticPr fontId="4"/>
  </si>
  <si>
    <t>バックアップ&amp;差分検出VBAを作成し、置換済</t>
    <rPh sb="7" eb="9">
      <t>サブン</t>
    </rPh>
    <rPh sb="9" eb="11">
      <t>ケンシュツ</t>
    </rPh>
    <rPh sb="15" eb="17">
      <t>サクセイ</t>
    </rPh>
    <rPh sb="19" eb="21">
      <t>チカン</t>
    </rPh>
    <rPh sb="21" eb="22">
      <t>ズミ</t>
    </rPh>
    <phoneticPr fontId="4"/>
  </si>
  <si>
    <t>「(全体実績+予測）の元データ」シートを「在庫使用計画 (全体実績+予測）」シートに貼り付け→数値貼り付け</t>
    <rPh sb="42" eb="43">
      <t>ハ</t>
    </rPh>
    <rPh sb="44" eb="45">
      <t>ツ</t>
    </rPh>
    <rPh sb="47" eb="49">
      <t>スウチ</t>
    </rPh>
    <rPh sb="49" eb="50">
      <t>ハ</t>
    </rPh>
    <rPh sb="51" eb="52">
      <t>ツ</t>
    </rPh>
    <phoneticPr fontId="4"/>
  </si>
  <si>
    <t>　↑在庫管理業務ファイルを開かなくても全員が見れるようにするため</t>
    <phoneticPr fontId="4"/>
  </si>
  <si>
    <t>発注するものの確認</t>
    <rPh sb="0" eb="2">
      <t>ハッチュウ</t>
    </rPh>
    <rPh sb="7" eb="9">
      <t>カクニン</t>
    </rPh>
    <phoneticPr fontId="4"/>
  </si>
  <si>
    <t>・計画（白のライン）で赤文字（4か月計画に対し、在庫の不足が発生）が出てないか確認。</t>
    <rPh sb="1" eb="3">
      <t>ケイカク</t>
    </rPh>
    <rPh sb="4" eb="5">
      <t>シロ</t>
    </rPh>
    <rPh sb="11" eb="14">
      <t>アカモジ</t>
    </rPh>
    <rPh sb="17" eb="18">
      <t>ゲツ</t>
    </rPh>
    <rPh sb="18" eb="20">
      <t>ケイカク</t>
    </rPh>
    <rPh sb="21" eb="22">
      <t>タイ</t>
    </rPh>
    <rPh sb="24" eb="26">
      <t>ザイコ</t>
    </rPh>
    <rPh sb="27" eb="29">
      <t>フソク</t>
    </rPh>
    <rPh sb="30" eb="32">
      <t>ハッセイ</t>
    </rPh>
    <rPh sb="34" eb="35">
      <t>デ</t>
    </rPh>
    <rPh sb="39" eb="41">
      <t>カクニン</t>
    </rPh>
    <phoneticPr fontId="4"/>
  </si>
  <si>
    <t>　合わせて実績（緑のライン）で赤文字（4か月計画に対し、在庫の不足が発生）が出てないか確認。</t>
    <rPh sb="1" eb="2">
      <t>ア</t>
    </rPh>
    <rPh sb="5" eb="7">
      <t>ジッセキ</t>
    </rPh>
    <rPh sb="8" eb="9">
      <t>ミドリ</t>
    </rPh>
    <rPh sb="15" eb="16">
      <t>アカ</t>
    </rPh>
    <rPh sb="16" eb="18">
      <t>モジ</t>
    </rPh>
    <rPh sb="21" eb="22">
      <t>ゲツ</t>
    </rPh>
    <rPh sb="22" eb="24">
      <t>ケイカク</t>
    </rPh>
    <rPh sb="25" eb="26">
      <t>タイ</t>
    </rPh>
    <rPh sb="28" eb="30">
      <t>ザイコ</t>
    </rPh>
    <rPh sb="31" eb="33">
      <t>フソク</t>
    </rPh>
    <rPh sb="34" eb="36">
      <t>ハッセイ</t>
    </rPh>
    <rPh sb="38" eb="39">
      <t>デ</t>
    </rPh>
    <rPh sb="43" eb="45">
      <t>カクニン</t>
    </rPh>
    <phoneticPr fontId="4"/>
  </si>
  <si>
    <t>以下　Note ONE計画　更新方法のシートに記載</t>
    <rPh sb="0" eb="2">
      <t>イカ</t>
    </rPh>
    <rPh sb="11" eb="13">
      <t>ケイカク</t>
    </rPh>
    <rPh sb="14" eb="16">
      <t>コウシン</t>
    </rPh>
    <rPh sb="16" eb="18">
      <t>ホウホウ</t>
    </rPh>
    <rPh sb="23" eb="25">
      <t>キサイ</t>
    </rPh>
    <phoneticPr fontId="4"/>
  </si>
  <si>
    <t>・赤文字が出ている部分に対し、詳細を確認、例）法人の案件が入っている　など。計画と実績が乖離している場合は要注意。</t>
    <rPh sb="1" eb="4">
      <t>アカモジ</t>
    </rPh>
    <rPh sb="5" eb="6">
      <t>デ</t>
    </rPh>
    <rPh sb="9" eb="11">
      <t>ブブン</t>
    </rPh>
    <rPh sb="12" eb="13">
      <t>タイ</t>
    </rPh>
    <rPh sb="15" eb="17">
      <t>ショウサイ</t>
    </rPh>
    <rPh sb="18" eb="20">
      <t>カクニン</t>
    </rPh>
    <rPh sb="21" eb="22">
      <t>レイ</t>
    </rPh>
    <rPh sb="23" eb="25">
      <t>ホウジン</t>
    </rPh>
    <rPh sb="26" eb="28">
      <t>アンケン</t>
    </rPh>
    <rPh sb="29" eb="30">
      <t>ハイ</t>
    </rPh>
    <rPh sb="38" eb="40">
      <t>ケイカク</t>
    </rPh>
    <rPh sb="41" eb="43">
      <t>ジッセキ</t>
    </rPh>
    <rPh sb="44" eb="46">
      <t>カイリ</t>
    </rPh>
    <rPh sb="50" eb="52">
      <t>バアイ</t>
    </rPh>
    <rPh sb="53" eb="56">
      <t>ヨウチュウイ</t>
    </rPh>
    <phoneticPr fontId="4"/>
  </si>
  <si>
    <t>　この場合、まずは状況の把握。（例1 販売直後で乖離が出ている。例2 直近納品までのつなぎとして、販売抑制をかけた）など</t>
    <rPh sb="3" eb="5">
      <t>バアイ</t>
    </rPh>
    <rPh sb="9" eb="11">
      <t>ジョウキョウ</t>
    </rPh>
    <rPh sb="12" eb="14">
      <t>ハアク</t>
    </rPh>
    <rPh sb="16" eb="17">
      <t>レイ</t>
    </rPh>
    <rPh sb="19" eb="21">
      <t>ハンバイ</t>
    </rPh>
    <rPh sb="21" eb="23">
      <t>チョクゴ</t>
    </rPh>
    <rPh sb="24" eb="26">
      <t>カイリ</t>
    </rPh>
    <rPh sb="27" eb="28">
      <t>デ</t>
    </rPh>
    <rPh sb="32" eb="33">
      <t>レイ</t>
    </rPh>
    <rPh sb="35" eb="37">
      <t>チョッキン</t>
    </rPh>
    <rPh sb="37" eb="39">
      <t>ノウヒン</t>
    </rPh>
    <rPh sb="49" eb="51">
      <t>ハンバイ</t>
    </rPh>
    <rPh sb="51" eb="53">
      <t>ヨクセイ</t>
    </rPh>
    <phoneticPr fontId="4"/>
  </si>
  <si>
    <t>■更新方法（企画側）</t>
    <rPh sb="1" eb="3">
      <t>コウシン</t>
    </rPh>
    <rPh sb="3" eb="5">
      <t>ホウホウ</t>
    </rPh>
    <rPh sb="6" eb="8">
      <t>キカク</t>
    </rPh>
    <rPh sb="8" eb="9">
      <t>ガワ</t>
    </rPh>
    <phoneticPr fontId="33"/>
  </si>
  <si>
    <t>　状況把握したうえで妥当と判断できればそのままでOK。</t>
    <rPh sb="1" eb="3">
      <t>ジョウキョウ</t>
    </rPh>
    <rPh sb="3" eb="5">
      <t>ハアク</t>
    </rPh>
    <rPh sb="10" eb="12">
      <t>ダトウ</t>
    </rPh>
    <rPh sb="13" eb="15">
      <t>ハンダン</t>
    </rPh>
    <phoneticPr fontId="4"/>
  </si>
  <si>
    <t>販売計画のシートで最新版をコピー。更新日の日付でシートを作成。</t>
    <rPh sb="0" eb="2">
      <t>ハンバイ</t>
    </rPh>
    <rPh sb="2" eb="4">
      <t>ケイカク</t>
    </rPh>
    <rPh sb="9" eb="11">
      <t>サイシン</t>
    </rPh>
    <rPh sb="11" eb="12">
      <t>バン</t>
    </rPh>
    <rPh sb="17" eb="20">
      <t>コウシンビ</t>
    </rPh>
    <rPh sb="21" eb="23">
      <t>ヒヅケ</t>
    </rPh>
    <rPh sb="28" eb="30">
      <t>サクセイ</t>
    </rPh>
    <phoneticPr fontId="33"/>
  </si>
  <si>
    <t>　計画・実績予測の乖離に説明ができない場合、各担当者に確認。</t>
    <rPh sb="1" eb="3">
      <t>ケイカク</t>
    </rPh>
    <rPh sb="4" eb="6">
      <t>ジッセキ</t>
    </rPh>
    <rPh sb="6" eb="8">
      <t>ヨソク</t>
    </rPh>
    <rPh sb="9" eb="11">
      <t>カイリ</t>
    </rPh>
    <rPh sb="12" eb="14">
      <t>セツメイ</t>
    </rPh>
    <rPh sb="19" eb="21">
      <t>バアイ</t>
    </rPh>
    <rPh sb="22" eb="26">
      <t>カクタントウシャ</t>
    </rPh>
    <rPh sb="27" eb="29">
      <t>カクニン</t>
    </rPh>
    <phoneticPr fontId="4"/>
  </si>
  <si>
    <t>1.で作ったシートを計算式→数字に変換。（Ctrl + A,Ctrl +Cで全体コピーして、数字で貼り付けを選択）</t>
    <rPh sb="3" eb="4">
      <t>ツク</t>
    </rPh>
    <rPh sb="10" eb="13">
      <t>ケイサンシキ</t>
    </rPh>
    <rPh sb="14" eb="16">
      <t>スウジ</t>
    </rPh>
    <rPh sb="17" eb="19">
      <t>ヘンカン</t>
    </rPh>
    <rPh sb="38" eb="40">
      <t>ゼンタイ</t>
    </rPh>
    <rPh sb="46" eb="48">
      <t>スウジ</t>
    </rPh>
    <rPh sb="49" eb="50">
      <t>ハ</t>
    </rPh>
    <rPh sb="51" eb="52">
      <t>ツ</t>
    </rPh>
    <rPh sb="54" eb="56">
      <t>センタク</t>
    </rPh>
    <phoneticPr fontId="33"/>
  </si>
  <si>
    <t>・説明可能な状況になったら、【在庫使用計画 (ノート全体試算)】のシートをコピーし、名称を在庫使用計画 (mmdd)に変更。　※mmddは当日の日付</t>
    <rPh sb="1" eb="3">
      <t>セツメイ</t>
    </rPh>
    <rPh sb="3" eb="5">
      <t>カノウ</t>
    </rPh>
    <rPh sb="6" eb="8">
      <t>ジョウキョウ</t>
    </rPh>
    <rPh sb="42" eb="44">
      <t>メイショウ</t>
    </rPh>
    <rPh sb="59" eb="61">
      <t>ヘンコウ</t>
    </rPh>
    <rPh sb="69" eb="71">
      <t>トウジツ</t>
    </rPh>
    <rPh sb="72" eb="74">
      <t>ヒヅケ</t>
    </rPh>
    <phoneticPr fontId="4"/>
  </si>
  <si>
    <t>（目的はデータを軽くすることと、このシートに張り付けるときにリンクが残らないようにすること）</t>
    <rPh sb="1" eb="3">
      <t>モクテキ</t>
    </rPh>
    <rPh sb="8" eb="9">
      <t>カル</t>
    </rPh>
    <rPh sb="22" eb="23">
      <t>ハ</t>
    </rPh>
    <rPh sb="24" eb="25">
      <t>ツ</t>
    </rPh>
    <rPh sb="34" eb="35">
      <t>ノコ</t>
    </rPh>
    <phoneticPr fontId="33"/>
  </si>
  <si>
    <t>　新しく作った【在庫使用計画 (mmdd)】のシートをCtrl+A で全選択、オールコピーしたうえで同じ場所に数字として貼り付け</t>
    <rPh sb="1" eb="2">
      <t>アタラ</t>
    </rPh>
    <rPh sb="4" eb="5">
      <t>ツク</t>
    </rPh>
    <rPh sb="35" eb="38">
      <t>ゼンセンタク</t>
    </rPh>
    <rPh sb="50" eb="51">
      <t>オナ</t>
    </rPh>
    <rPh sb="52" eb="54">
      <t>バショ</t>
    </rPh>
    <rPh sb="55" eb="57">
      <t>スウジ</t>
    </rPh>
    <rPh sb="60" eb="61">
      <t>ハ</t>
    </rPh>
    <rPh sb="62" eb="63">
      <t>ツ</t>
    </rPh>
    <phoneticPr fontId="4"/>
  </si>
  <si>
    <t>2.で作ったデータをそのままコピーして、販売計画のシートに貼り付け。</t>
    <rPh sb="3" eb="4">
      <t>ツク</t>
    </rPh>
    <rPh sb="20" eb="22">
      <t>ハンバイ</t>
    </rPh>
    <rPh sb="22" eb="24">
      <t>ケイカク</t>
    </rPh>
    <rPh sb="29" eb="30">
      <t>ハ</t>
    </rPh>
    <rPh sb="31" eb="32">
      <t>ツ</t>
    </rPh>
    <phoneticPr fontId="33"/>
  </si>
  <si>
    <t>・ファイルが出来たら、↓「NoteONE計画.xlsm」ファイルを開き、「販売計画_最新(mmdd)」シートに上記シート内容をコピー</t>
    <rPh sb="6" eb="8">
      <t>デキ</t>
    </rPh>
    <rPh sb="20" eb="22">
      <t>ケイカク</t>
    </rPh>
    <rPh sb="33" eb="34">
      <t>ヒラ</t>
    </rPh>
    <rPh sb="55" eb="57">
      <t>ジョウキ</t>
    </rPh>
    <rPh sb="60" eb="62">
      <t>ナイヨウ</t>
    </rPh>
    <phoneticPr fontId="4"/>
  </si>
  <si>
    <t>2.と同じく　Ctrl + A,Ctrl +Cでコピーして数字で貼り付け</t>
    <rPh sb="3" eb="4">
      <t>オナ</t>
    </rPh>
    <rPh sb="29" eb="31">
      <t>スウジ</t>
    </rPh>
    <rPh sb="32" eb="33">
      <t>ハ</t>
    </rPh>
    <rPh sb="34" eb="35">
      <t>ツ</t>
    </rPh>
    <phoneticPr fontId="33"/>
  </si>
  <si>
    <t>ONE ファイル</t>
    <phoneticPr fontId="4"/>
  </si>
  <si>
    <t>シート名を販売計画_24xxxx　←更新日に変更</t>
    <rPh sb="3" eb="4">
      <t>メイ</t>
    </rPh>
    <rPh sb="5" eb="7">
      <t>ハンバイ</t>
    </rPh>
    <rPh sb="7" eb="9">
      <t>ケイカク</t>
    </rPh>
    <rPh sb="18" eb="21">
      <t>コウシンビ</t>
    </rPh>
    <rPh sb="22" eb="24">
      <t>ヘンコウ</t>
    </rPh>
    <phoneticPr fontId="33"/>
  </si>
  <si>
    <t>　※詳細はNoteONE計画の　更新方法のシート手順参照。手動保存を忘れがちなので注意</t>
    <rPh sb="2" eb="4">
      <t>ショウサイ</t>
    </rPh>
    <rPh sb="12" eb="14">
      <t>ケイカク</t>
    </rPh>
    <rPh sb="16" eb="18">
      <t>コウシン</t>
    </rPh>
    <rPh sb="18" eb="20">
      <t>ホウホウ</t>
    </rPh>
    <rPh sb="24" eb="26">
      <t>テジュン</t>
    </rPh>
    <rPh sb="26" eb="28">
      <t>サンショウ</t>
    </rPh>
    <rPh sb="29" eb="31">
      <t>シュドウ</t>
    </rPh>
    <rPh sb="31" eb="33">
      <t>ホゾン</t>
    </rPh>
    <rPh sb="34" eb="35">
      <t>ワス</t>
    </rPh>
    <rPh sb="41" eb="43">
      <t>チュウイ</t>
    </rPh>
    <phoneticPr fontId="4"/>
  </si>
  <si>
    <t>部品予測のシートを確認</t>
    <rPh sb="0" eb="2">
      <t>ブヒン</t>
    </rPh>
    <rPh sb="2" eb="4">
      <t>ヨソク</t>
    </rPh>
    <rPh sb="9" eb="11">
      <t>カクニン</t>
    </rPh>
    <phoneticPr fontId="33"/>
  </si>
  <si>
    <t>・「ONE_08_NotePC_社外秘」ファイル「販売計画」シートの直近の入荷予定機種を中心に、変更が反映されているか確認（3期種以上）</t>
    <rPh sb="25" eb="29">
      <t>ハンバイケイカク</t>
    </rPh>
    <rPh sb="34" eb="37">
      <t>チョッキンオ</t>
    </rPh>
    <rPh sb="37" eb="39">
      <t>ニュウカ</t>
    </rPh>
    <rPh sb="39" eb="41">
      <t>ヨテイ</t>
    </rPh>
    <rPh sb="41" eb="43">
      <t>キシュ</t>
    </rPh>
    <rPh sb="44" eb="46">
      <t>チュウシン</t>
    </rPh>
    <rPh sb="48" eb="50">
      <t>ヘンコウ</t>
    </rPh>
    <rPh sb="51" eb="53">
      <t>ハンエイ</t>
    </rPh>
    <rPh sb="59" eb="61">
      <t>カクニン</t>
    </rPh>
    <rPh sb="63" eb="64">
      <t>キ</t>
    </rPh>
    <rPh sb="64" eb="67">
      <t>シュイジョウ</t>
    </rPh>
    <phoneticPr fontId="4"/>
  </si>
  <si>
    <t>販売計画が反映されているか、エラーが出ていないか確認。</t>
    <rPh sb="0" eb="2">
      <t>ハンバイ</t>
    </rPh>
    <rPh sb="2" eb="4">
      <t>ケイカク</t>
    </rPh>
    <rPh sb="5" eb="7">
      <t>ハンエイ</t>
    </rPh>
    <rPh sb="18" eb="19">
      <t>デ</t>
    </rPh>
    <rPh sb="24" eb="26">
      <t>カクニン</t>
    </rPh>
    <phoneticPr fontId="33"/>
  </si>
  <si>
    <t>・市村さんに連絡（Team「デマンド計画　ノート（ONE）計画　更新連絡」）</t>
    <rPh sb="1" eb="3">
      <t>イチムラ</t>
    </rPh>
    <rPh sb="6" eb="8">
      <t>レンラク</t>
    </rPh>
    <phoneticPr fontId="4"/>
  </si>
  <si>
    <t>部品予測のシートに、新規発注製品がある場合</t>
    <rPh sb="0" eb="2">
      <t>ブヒン</t>
    </rPh>
    <rPh sb="2" eb="4">
      <t>ヨソク</t>
    </rPh>
    <rPh sb="10" eb="12">
      <t>シンキ</t>
    </rPh>
    <rPh sb="12" eb="14">
      <t>ハッチュウ</t>
    </rPh>
    <rPh sb="14" eb="16">
      <t>セイヒン</t>
    </rPh>
    <rPh sb="19" eb="21">
      <t>バアイ</t>
    </rPh>
    <phoneticPr fontId="33"/>
  </si>
  <si>
    <t>ノート販売（ONE）計画　更新連絡</t>
    <rPh sb="3" eb="5">
      <t>ハンバイ</t>
    </rPh>
    <rPh sb="10" eb="12">
      <t>ケイカク</t>
    </rPh>
    <rPh sb="13" eb="15">
      <t>コウシン</t>
    </rPh>
    <rPh sb="15" eb="17">
      <t>レンラク</t>
    </rPh>
    <phoneticPr fontId="4"/>
  </si>
  <si>
    <t>E列に販売型番を登録</t>
    <rPh sb="1" eb="2">
      <t>レツ</t>
    </rPh>
    <rPh sb="3" eb="5">
      <t>ハンバイ</t>
    </rPh>
    <rPh sb="5" eb="7">
      <t>カタバン</t>
    </rPh>
    <rPh sb="8" eb="10">
      <t>トウロク</t>
    </rPh>
    <phoneticPr fontId="33"/>
  </si>
  <si>
    <t>↑ここにて更新を連絡　to 購買　cc　市村さん　企画関係者　</t>
    <rPh sb="5" eb="7">
      <t>コウシン</t>
    </rPh>
    <rPh sb="8" eb="10">
      <t>レンラク</t>
    </rPh>
    <rPh sb="14" eb="16">
      <t>コウバイ</t>
    </rPh>
    <rPh sb="20" eb="22">
      <t>イチムラ</t>
    </rPh>
    <rPh sb="25" eb="27">
      <t>キカク</t>
    </rPh>
    <rPh sb="27" eb="30">
      <t>カンケイシャ</t>
    </rPh>
    <phoneticPr fontId="4"/>
  </si>
  <si>
    <t>■月次の作業ながれ①</t>
    <rPh sb="1" eb="3">
      <t>ゲツジ</t>
    </rPh>
    <rPh sb="4" eb="6">
      <t>サギョウ</t>
    </rPh>
    <phoneticPr fontId="4"/>
  </si>
  <si>
    <t>月末</t>
    <rPh sb="0" eb="2">
      <t>ゲツマツ</t>
    </rPh>
    <phoneticPr fontId="4"/>
  </si>
  <si>
    <t>「x月分ノート報告(企画・法人)」会議時に使用するデータを作成するため、前述会議開催の週頭に行う</t>
    <rPh sb="29" eb="31">
      <t>サクセイ</t>
    </rPh>
    <phoneticPr fontId="4"/>
  </si>
  <si>
    <t>理想としては、数日前には各担当に乖離機種について修正依頼を行い、会議時に回答を得る形</t>
    <rPh sb="0" eb="2">
      <t>リソウ</t>
    </rPh>
    <rPh sb="7" eb="10">
      <t>スウジツマエ</t>
    </rPh>
    <rPh sb="12" eb="15">
      <t>カクタントウ</t>
    </rPh>
    <rPh sb="16" eb="18">
      <t>カイリ</t>
    </rPh>
    <rPh sb="18" eb="20">
      <t>キシュ</t>
    </rPh>
    <rPh sb="24" eb="28">
      <t>シュウセイイライ</t>
    </rPh>
    <rPh sb="29" eb="30">
      <t>オコナ</t>
    </rPh>
    <rPh sb="32" eb="34">
      <t>カイギ</t>
    </rPh>
    <rPh sb="34" eb="35">
      <t>ジ</t>
    </rPh>
    <rPh sb="36" eb="38">
      <t>カイトウ</t>
    </rPh>
    <rPh sb="39" eb="40">
      <t>エ</t>
    </rPh>
    <rPh sb="41" eb="42">
      <t>カタチ</t>
    </rPh>
    <phoneticPr fontId="4"/>
  </si>
  <si>
    <t>x月分宿題（修正依頼）　ノートPC相談室のteams</t>
    <rPh sb="2" eb="3">
      <t>フン</t>
    </rPh>
    <rPh sb="17" eb="20">
      <t>ソウダンシツ</t>
    </rPh>
    <phoneticPr fontId="4"/>
  </si>
  <si>
    <t>ファイルの目的は、在庫-計画-販売を適正化し、在庫過不足なく動かすこと</t>
    <rPh sb="5" eb="7">
      <t>モクテキ</t>
    </rPh>
    <rPh sb="9" eb="11">
      <t>ザイコ</t>
    </rPh>
    <rPh sb="12" eb="14">
      <t>ケイカク</t>
    </rPh>
    <rPh sb="15" eb="17">
      <t>ハンバイ</t>
    </rPh>
    <rPh sb="18" eb="21">
      <t>テキセイカ</t>
    </rPh>
    <rPh sb="23" eb="25">
      <t>ザイコ</t>
    </rPh>
    <rPh sb="25" eb="28">
      <t>カブソク</t>
    </rPh>
    <rPh sb="30" eb="31">
      <t>ウゴ</t>
    </rPh>
    <phoneticPr fontId="4"/>
  </si>
  <si>
    <t>にあるので、それぞれの乖離について振り返りと先の対応を確認する必要がある。</t>
    <rPh sb="11" eb="13">
      <t>カイリ</t>
    </rPh>
    <rPh sb="17" eb="18">
      <t>フ</t>
    </rPh>
    <rPh sb="19" eb="20">
      <t>カエ</t>
    </rPh>
    <rPh sb="22" eb="23">
      <t>サキ</t>
    </rPh>
    <rPh sb="24" eb="26">
      <t>タイオウ</t>
    </rPh>
    <rPh sb="27" eb="29">
      <t>カクニン</t>
    </rPh>
    <rPh sb="31" eb="33">
      <t>ヒツヨウ</t>
    </rPh>
    <phoneticPr fontId="4"/>
  </si>
  <si>
    <t>※基本的に各担当者は週次更新することになっているが、見切れていない部分を指摘する必要がある。</t>
    <rPh sb="1" eb="4">
      <t>キホンテキ</t>
    </rPh>
    <rPh sb="5" eb="9">
      <t>カクタントウシャ</t>
    </rPh>
    <rPh sb="10" eb="12">
      <t>シュウジ</t>
    </rPh>
    <rPh sb="12" eb="14">
      <t>コウシン</t>
    </rPh>
    <rPh sb="26" eb="28">
      <t>ミキ</t>
    </rPh>
    <rPh sb="33" eb="35">
      <t>ブブン</t>
    </rPh>
    <rPh sb="36" eb="38">
      <t>シテキ</t>
    </rPh>
    <rPh sb="40" eb="42">
      <t>ヒツヨウ</t>
    </rPh>
    <phoneticPr fontId="4"/>
  </si>
  <si>
    <t>作業目的</t>
    <rPh sb="0" eb="2">
      <t>サギョウ</t>
    </rPh>
    <rPh sb="2" eb="4">
      <t>モクテキ</t>
    </rPh>
    <phoneticPr fontId="4"/>
  </si>
  <si>
    <t>①　各担当者に来月以降の適正な計画値を入力してもらうこと　（無理な計画やそれによる混乱を事前に防ぐ）</t>
    <rPh sb="2" eb="6">
      <t>カクタントウシャ</t>
    </rPh>
    <rPh sb="7" eb="9">
      <t>ライゲツ</t>
    </rPh>
    <rPh sb="9" eb="11">
      <t>イコウ</t>
    </rPh>
    <rPh sb="12" eb="14">
      <t>テキセイ</t>
    </rPh>
    <rPh sb="15" eb="18">
      <t>ケイカクチ</t>
    </rPh>
    <rPh sb="19" eb="21">
      <t>ニュウリョク</t>
    </rPh>
    <rPh sb="30" eb="32">
      <t>ムリ</t>
    </rPh>
    <rPh sb="33" eb="35">
      <t>ケイカク</t>
    </rPh>
    <rPh sb="41" eb="43">
      <t>コンラン</t>
    </rPh>
    <rPh sb="44" eb="46">
      <t>ジゼン</t>
    </rPh>
    <rPh sb="47" eb="48">
      <t>フセ</t>
    </rPh>
    <phoneticPr fontId="4"/>
  </si>
  <si>
    <t>　　同時に、在庫過剰についてもアラートを出し、売り切りまでの施策準備をしてもらう。</t>
    <rPh sb="2" eb="4">
      <t>ドウジ</t>
    </rPh>
    <rPh sb="6" eb="8">
      <t>ザイコ</t>
    </rPh>
    <rPh sb="8" eb="10">
      <t>カジョウ</t>
    </rPh>
    <rPh sb="20" eb="21">
      <t>ダ</t>
    </rPh>
    <rPh sb="23" eb="24">
      <t>ウ</t>
    </rPh>
    <rPh sb="25" eb="26">
      <t>キ</t>
    </rPh>
    <rPh sb="30" eb="32">
      <t>シサク</t>
    </rPh>
    <rPh sb="32" eb="34">
      <t>ジュンビ</t>
    </rPh>
    <phoneticPr fontId="4"/>
  </si>
  <si>
    <t>②　購買に対し、修正した計画で発注手配をしてもらう。</t>
    <rPh sb="2" eb="4">
      <t>コウバイ</t>
    </rPh>
    <rPh sb="5" eb="6">
      <t>タイ</t>
    </rPh>
    <rPh sb="8" eb="10">
      <t>シュウセイ</t>
    </rPh>
    <rPh sb="12" eb="14">
      <t>ケイカク</t>
    </rPh>
    <rPh sb="15" eb="19">
      <t>ハッチュウテハイ</t>
    </rPh>
    <phoneticPr fontId="4"/>
  </si>
  <si>
    <t>　　（基本的に週次の更新と同じ）</t>
    <rPh sb="3" eb="6">
      <t>キホンテキ</t>
    </rPh>
    <rPh sb="7" eb="9">
      <t>シュウジ</t>
    </rPh>
    <rPh sb="10" eb="12">
      <t>コウシン</t>
    </rPh>
    <rPh sb="13" eb="14">
      <t>オナ</t>
    </rPh>
    <phoneticPr fontId="4"/>
  </si>
  <si>
    <t>実作業</t>
    <rPh sb="0" eb="3">
      <t>ジツサギョウ</t>
    </rPh>
    <phoneticPr fontId="4"/>
  </si>
  <si>
    <t>各種チェックをするためにステータスを更新にする必要があります。</t>
    <rPh sb="0" eb="2">
      <t>カクシュ</t>
    </rPh>
    <rPh sb="18" eb="20">
      <t>コウシン</t>
    </rPh>
    <rPh sb="23" eb="25">
      <t>ヒツヨウ</t>
    </rPh>
    <phoneticPr fontId="4"/>
  </si>
  <si>
    <t>在庫状況 / 注残状況 / 販売状況(当月着地見込み)</t>
    <rPh sb="0" eb="4">
      <t>ザイコジョウキョウ</t>
    </rPh>
    <rPh sb="7" eb="9">
      <t>チュウザン</t>
    </rPh>
    <rPh sb="9" eb="11">
      <t>ジョウキョウ</t>
    </rPh>
    <rPh sb="14" eb="18">
      <t>ハンバイジョウキョウ</t>
    </rPh>
    <rPh sb="19" eb="21">
      <t>トウゲツ</t>
    </rPh>
    <rPh sb="21" eb="23">
      <t>チャクチ</t>
    </rPh>
    <rPh sb="23" eb="25">
      <t>ミコ</t>
    </rPh>
    <phoneticPr fontId="4"/>
  </si>
  <si>
    <t>MTG直前の月曜時点での状況に合わせる（週次更新と合わせて対応できるため）</t>
    <rPh sb="3" eb="5">
      <t>チョクゼン</t>
    </rPh>
    <rPh sb="6" eb="8">
      <t>ゲツヨウ</t>
    </rPh>
    <rPh sb="8" eb="10">
      <t>ジテン</t>
    </rPh>
    <rPh sb="12" eb="14">
      <t>ジョウキョウ</t>
    </rPh>
    <rPh sb="15" eb="16">
      <t>ア</t>
    </rPh>
    <rPh sb="20" eb="22">
      <t>シュウジ</t>
    </rPh>
    <rPh sb="22" eb="24">
      <t>コウシン</t>
    </rPh>
    <rPh sb="25" eb="26">
      <t>ア</t>
    </rPh>
    <rPh sb="29" eb="31">
      <t>タイオウ</t>
    </rPh>
    <phoneticPr fontId="4"/>
  </si>
  <si>
    <t>1.【在庫状況の更新】　SAP貼り付けを最新のデータ（月曜時点）に更新</t>
    <rPh sb="3" eb="7">
      <t>ザイコジョウキョウ</t>
    </rPh>
    <rPh sb="8" eb="10">
      <t>コウシン</t>
    </rPh>
    <rPh sb="15" eb="16">
      <t>ハ</t>
    </rPh>
    <rPh sb="17" eb="18">
      <t>ツ</t>
    </rPh>
    <rPh sb="20" eb="22">
      <t>サイシン</t>
    </rPh>
    <rPh sb="27" eb="29">
      <t>ゲツヨウ</t>
    </rPh>
    <rPh sb="29" eb="31">
      <t>ジテン</t>
    </rPh>
    <rPh sb="33" eb="35">
      <t>コウシン</t>
    </rPh>
    <phoneticPr fontId="4"/>
  </si>
  <si>
    <t>2.【注残状況の更新】　Onenote貼り付けを最新のデータ（月曜時点）に更新</t>
    <rPh sb="3" eb="5">
      <t>チュウザン</t>
    </rPh>
    <rPh sb="5" eb="7">
      <t>ジョウキョウ</t>
    </rPh>
    <rPh sb="8" eb="10">
      <t>コウシン</t>
    </rPh>
    <rPh sb="19" eb="20">
      <t>ハ</t>
    </rPh>
    <rPh sb="21" eb="22">
      <t>ツ</t>
    </rPh>
    <rPh sb="24" eb="26">
      <t>サイシン</t>
    </rPh>
    <rPh sb="31" eb="33">
      <t>ゲツヨウ</t>
    </rPh>
    <rPh sb="33" eb="35">
      <t>ジテン</t>
    </rPh>
    <rPh sb="37" eb="39">
      <t>コウシン</t>
    </rPh>
    <phoneticPr fontId="4"/>
  </si>
  <si>
    <t>※1. 2.は週次更新と同じファイルをはりつければOK</t>
    <rPh sb="7" eb="11">
      <t>シュウジコウシン</t>
    </rPh>
    <rPh sb="12" eb="13">
      <t>オナ</t>
    </rPh>
    <phoneticPr fontId="4"/>
  </si>
  <si>
    <t>3.【販売状況の更新】　在庫使用計画（全体実績+予測）のシート、各モデル当月の販売見込みについて、週次ファイルの着地見込み数を入力</t>
    <rPh sb="3" eb="5">
      <t>ハンバイ</t>
    </rPh>
    <rPh sb="5" eb="7">
      <t>ジョウキョウ</t>
    </rPh>
    <rPh sb="8" eb="10">
      <t>コウシン</t>
    </rPh>
    <rPh sb="12" eb="18">
      <t>ザイコシヨウケイカク</t>
    </rPh>
    <rPh sb="19" eb="21">
      <t>ゼンタイ</t>
    </rPh>
    <rPh sb="21" eb="23">
      <t>ジッセキ</t>
    </rPh>
    <rPh sb="24" eb="26">
      <t>ヨソク</t>
    </rPh>
    <rPh sb="32" eb="33">
      <t>カク</t>
    </rPh>
    <rPh sb="36" eb="38">
      <t>トウゲツ</t>
    </rPh>
    <rPh sb="39" eb="41">
      <t>ハンバイ</t>
    </rPh>
    <rPh sb="41" eb="43">
      <t>ミコ</t>
    </rPh>
    <rPh sb="49" eb="51">
      <t>シュウジ</t>
    </rPh>
    <rPh sb="56" eb="58">
      <t>チャクチ</t>
    </rPh>
    <rPh sb="58" eb="60">
      <t>ミコ</t>
    </rPh>
    <rPh sb="61" eb="62">
      <t>スウ</t>
    </rPh>
    <rPh sb="63" eb="65">
      <t>ニュウリョク</t>
    </rPh>
    <phoneticPr fontId="4"/>
  </si>
  <si>
    <t>4.【4か月計画の確認】　在庫使用計画 (計画　予測)　4か月計画の項目を翌月以降の4カ月合計に変更</t>
    <rPh sb="5" eb="6">
      <t>ゲツ</t>
    </rPh>
    <rPh sb="6" eb="8">
      <t>ケイカク</t>
    </rPh>
    <rPh sb="9" eb="11">
      <t>カクニン</t>
    </rPh>
    <rPh sb="30" eb="31">
      <t>ゲツ</t>
    </rPh>
    <rPh sb="31" eb="33">
      <t>ケイカク</t>
    </rPh>
    <rPh sb="34" eb="36">
      <t>コウモク</t>
    </rPh>
    <rPh sb="37" eb="39">
      <t>ヨクゲツ</t>
    </rPh>
    <rPh sb="39" eb="41">
      <t>イコウ</t>
    </rPh>
    <rPh sb="44" eb="45">
      <t>ゲツ</t>
    </rPh>
    <rPh sb="45" eb="47">
      <t>ゴウケイ</t>
    </rPh>
    <rPh sb="48" eb="50">
      <t>ヘンコウ</t>
    </rPh>
    <phoneticPr fontId="4"/>
  </si>
  <si>
    <t>※20日時点など、月末までに日数がある場合は当月分の補正を追加する</t>
    <rPh sb="3" eb="4">
      <t>ニチ</t>
    </rPh>
    <rPh sb="4" eb="6">
      <t>ジテン</t>
    </rPh>
    <rPh sb="9" eb="11">
      <t>ゲツマツ</t>
    </rPh>
    <rPh sb="14" eb="16">
      <t>ニッスウ</t>
    </rPh>
    <rPh sb="19" eb="21">
      <t>バアイ</t>
    </rPh>
    <rPh sb="22" eb="24">
      <t>トウゲツ</t>
    </rPh>
    <rPh sb="24" eb="25">
      <t>ブン</t>
    </rPh>
    <rPh sb="26" eb="28">
      <t>ホセイ</t>
    </rPh>
    <rPh sb="29" eb="31">
      <t>ツイカ</t>
    </rPh>
    <phoneticPr fontId="4"/>
  </si>
  <si>
    <t>　20日なら +当月計画 * 0.5、25日なら +当月計画*0.25　など（概算見込みでOK）</t>
    <rPh sb="3" eb="4">
      <t>ニチ</t>
    </rPh>
    <rPh sb="8" eb="10">
      <t>トウゲツ</t>
    </rPh>
    <rPh sb="10" eb="12">
      <t>ケイカク</t>
    </rPh>
    <rPh sb="21" eb="22">
      <t>ニチ</t>
    </rPh>
    <rPh sb="26" eb="28">
      <t>トウゲツ</t>
    </rPh>
    <rPh sb="28" eb="30">
      <t>ケイカク</t>
    </rPh>
    <rPh sb="39" eb="41">
      <t>ガイサン</t>
    </rPh>
    <rPh sb="41" eb="43">
      <t>ミコ</t>
    </rPh>
    <phoneticPr fontId="4"/>
  </si>
  <si>
    <t>↑ここまでが事前準備</t>
    <rPh sb="6" eb="8">
      <t>ジゼン</t>
    </rPh>
    <rPh sb="8" eb="10">
      <t>ジュンビ</t>
    </rPh>
    <phoneticPr fontId="4"/>
  </si>
  <si>
    <t>在庫使用計画 (計画　予測)　のシートを確認</t>
    <rPh sb="20" eb="22">
      <t>カクニン</t>
    </rPh>
    <phoneticPr fontId="4"/>
  </si>
  <si>
    <t>・計画と実績の乖離が大きいものをアラート。計画変更をかけるか、施策対応をいれるか担当者に回答を求める</t>
    <rPh sb="1" eb="3">
      <t>ケイカク</t>
    </rPh>
    <rPh sb="4" eb="6">
      <t>ジッセキ</t>
    </rPh>
    <rPh sb="7" eb="9">
      <t>カイリ</t>
    </rPh>
    <rPh sb="10" eb="11">
      <t>オオ</t>
    </rPh>
    <rPh sb="21" eb="25">
      <t>ケイカクヘンコウ</t>
    </rPh>
    <rPh sb="31" eb="35">
      <t>シサクタイオウ</t>
    </rPh>
    <rPh sb="40" eb="43">
      <t>タントウシャ</t>
    </rPh>
    <rPh sb="44" eb="46">
      <t>カイトウ</t>
    </rPh>
    <rPh sb="47" eb="48">
      <t>モト</t>
    </rPh>
    <phoneticPr fontId="4"/>
  </si>
  <si>
    <t>↑計画＞実績　の場合　目安として、+4か月もしくはEOLまでの計画（の短い方）のより在庫が過剰になっている場合</t>
    <rPh sb="1" eb="3">
      <t>ケイカク</t>
    </rPh>
    <rPh sb="4" eb="6">
      <t>ジッセキ</t>
    </rPh>
    <rPh sb="8" eb="10">
      <t>バアイ</t>
    </rPh>
    <rPh sb="11" eb="13">
      <t>メヤス</t>
    </rPh>
    <rPh sb="20" eb="21">
      <t>ゲツ</t>
    </rPh>
    <rPh sb="31" eb="33">
      <t>ケイカク</t>
    </rPh>
    <rPh sb="35" eb="36">
      <t>ミジカ</t>
    </rPh>
    <rPh sb="37" eb="38">
      <t>ホウ</t>
    </rPh>
    <rPh sb="42" eb="44">
      <t>ザイコ</t>
    </rPh>
    <rPh sb="45" eb="47">
      <t>カジョウ</t>
    </rPh>
    <rPh sb="53" eb="55">
      <t>バアイ</t>
    </rPh>
    <phoneticPr fontId="4"/>
  </si>
  <si>
    <t>↑計画＜実績　の場合　在庫+注残が 4か月の実績見込みより大きい（在庫不足が発生するかのうせいがある）場合</t>
    <rPh sb="1" eb="3">
      <t>ケイカク</t>
    </rPh>
    <rPh sb="4" eb="6">
      <t>ジッセキ</t>
    </rPh>
    <rPh sb="8" eb="10">
      <t>バアイ</t>
    </rPh>
    <rPh sb="11" eb="13">
      <t>ザイコ</t>
    </rPh>
    <rPh sb="14" eb="16">
      <t>チュウザン</t>
    </rPh>
    <rPh sb="20" eb="21">
      <t>ゲツ</t>
    </rPh>
    <rPh sb="22" eb="24">
      <t>ジッセキ</t>
    </rPh>
    <rPh sb="24" eb="26">
      <t>ミコ</t>
    </rPh>
    <rPh sb="29" eb="30">
      <t>オオ</t>
    </rPh>
    <rPh sb="33" eb="37">
      <t>ザイコフソク</t>
    </rPh>
    <rPh sb="38" eb="40">
      <t>ハッセイ</t>
    </rPh>
    <rPh sb="51" eb="53">
      <t>バアイ</t>
    </rPh>
    <phoneticPr fontId="4"/>
  </si>
  <si>
    <t>発展：類似モデル・周辺モデルの発売開始・EOLが影響を与える場合もある。考慮できるとベター</t>
    <rPh sb="0" eb="2">
      <t>ハッテン</t>
    </rPh>
    <rPh sb="3" eb="5">
      <t>ルイジ</t>
    </rPh>
    <rPh sb="9" eb="11">
      <t>シュウヘン</t>
    </rPh>
    <rPh sb="15" eb="17">
      <t>ハツバイ</t>
    </rPh>
    <rPh sb="17" eb="19">
      <t>カイシ</t>
    </rPh>
    <rPh sb="24" eb="26">
      <t>エイキョウ</t>
    </rPh>
    <rPh sb="27" eb="28">
      <t>アタ</t>
    </rPh>
    <rPh sb="30" eb="32">
      <t>バアイ</t>
    </rPh>
    <rPh sb="36" eb="38">
      <t>コウリョ</t>
    </rPh>
    <phoneticPr fontId="4"/>
  </si>
  <si>
    <t>・EOL情報など、購買や開発から受け取っている情報をもとに、今後の計画修正が入りそうな場合、情報を共有</t>
    <rPh sb="4" eb="6">
      <t>ジョウホウ</t>
    </rPh>
    <rPh sb="9" eb="11">
      <t>コウバイ</t>
    </rPh>
    <rPh sb="12" eb="14">
      <t>カイハツ</t>
    </rPh>
    <rPh sb="16" eb="17">
      <t>ウ</t>
    </rPh>
    <rPh sb="18" eb="19">
      <t>ト</t>
    </rPh>
    <rPh sb="23" eb="25">
      <t>ジョウホウ</t>
    </rPh>
    <rPh sb="30" eb="32">
      <t>コンゴ</t>
    </rPh>
    <rPh sb="33" eb="35">
      <t>ケイカク</t>
    </rPh>
    <rPh sb="35" eb="37">
      <t>シュウセイ</t>
    </rPh>
    <rPh sb="38" eb="39">
      <t>ハイ</t>
    </rPh>
    <rPh sb="43" eb="45">
      <t>バアイ</t>
    </rPh>
    <rPh sb="46" eb="48">
      <t>ジョウホウ</t>
    </rPh>
    <rPh sb="49" eb="51">
      <t>キョウユウ</t>
    </rPh>
    <phoneticPr fontId="4"/>
  </si>
  <si>
    <t>↑メモっておいた内容を、xx月分宿題　としてノートPC相談室のところに記載する。</t>
    <rPh sb="8" eb="10">
      <t>ナイヨウ</t>
    </rPh>
    <rPh sb="14" eb="15">
      <t>ガツ</t>
    </rPh>
    <rPh sb="15" eb="16">
      <t>ブン</t>
    </rPh>
    <rPh sb="16" eb="18">
      <t>シュクダイ</t>
    </rPh>
    <rPh sb="27" eb="30">
      <t>ソウダンシツ</t>
    </rPh>
    <rPh sb="35" eb="37">
      <t>キサイ</t>
    </rPh>
    <phoneticPr fontId="4"/>
  </si>
  <si>
    <t>MTG時、もしくはMTG終了後 （可能な限り同週末 金曜まで）に回答を回収する</t>
    <rPh sb="3" eb="4">
      <t>ジ</t>
    </rPh>
    <rPh sb="12" eb="15">
      <t>シュウリョウゴ</t>
    </rPh>
    <rPh sb="17" eb="19">
      <t>カノウ</t>
    </rPh>
    <rPh sb="20" eb="21">
      <t>カギ</t>
    </rPh>
    <rPh sb="22" eb="25">
      <t>ドウシュウマツ</t>
    </rPh>
    <rPh sb="26" eb="28">
      <t>キンヨウ</t>
    </rPh>
    <rPh sb="32" eb="34">
      <t>カイトウ</t>
    </rPh>
    <rPh sb="35" eb="37">
      <t>カイシュウ</t>
    </rPh>
    <phoneticPr fontId="4"/>
  </si>
  <si>
    <t>翌週明けの購買とのMTGで、受け取った回答を購買に共有</t>
    <rPh sb="0" eb="2">
      <t>ヨクシュウ</t>
    </rPh>
    <rPh sb="2" eb="3">
      <t>ア</t>
    </rPh>
    <rPh sb="5" eb="7">
      <t>コウバイ</t>
    </rPh>
    <rPh sb="14" eb="15">
      <t>ウ</t>
    </rPh>
    <rPh sb="16" eb="17">
      <t>ト</t>
    </rPh>
    <rPh sb="19" eb="21">
      <t>カイトウ</t>
    </rPh>
    <rPh sb="22" eb="24">
      <t>コウバイ</t>
    </rPh>
    <rPh sb="25" eb="27">
      <t>キョウユウ</t>
    </rPh>
    <phoneticPr fontId="4"/>
  </si>
  <si>
    <t>■月次の作業ながれ②</t>
    <rPh sb="1" eb="3">
      <t>ゲツジ</t>
    </rPh>
    <rPh sb="4" eb="6">
      <t>サギョウ</t>
    </rPh>
    <phoneticPr fontId="4"/>
  </si>
  <si>
    <t>月初</t>
    <rPh sb="0" eb="2">
      <t>ゲッショ</t>
    </rPh>
    <phoneticPr fontId="4"/>
  </si>
  <si>
    <t>「在庫使用計画 (全体実績+予測）」シートの更新</t>
    <rPh sb="22" eb="24">
      <t>コウシン</t>
    </rPh>
    <phoneticPr fontId="4"/>
  </si>
  <si>
    <t>前月を着地予測から結果に書き換えし、当月を着地予測に変更</t>
    <rPh sb="0" eb="2">
      <t>ゼンゲツ</t>
    </rPh>
    <rPh sb="3" eb="5">
      <t>チャクチ</t>
    </rPh>
    <rPh sb="5" eb="7">
      <t>ヨソク</t>
    </rPh>
    <rPh sb="9" eb="11">
      <t>ケッカ</t>
    </rPh>
    <rPh sb="12" eb="13">
      <t>カ</t>
    </rPh>
    <rPh sb="14" eb="15">
      <t>カ</t>
    </rPh>
    <rPh sb="18" eb="20">
      <t>トウゲツ</t>
    </rPh>
    <rPh sb="21" eb="23">
      <t>チャクチ</t>
    </rPh>
    <rPh sb="23" eb="25">
      <t>ヨソク</t>
    </rPh>
    <rPh sb="26" eb="28">
      <t>ヘンコウ</t>
    </rPh>
    <phoneticPr fontId="4"/>
  </si>
  <si>
    <t>RL7C-R45-5N</t>
    <phoneticPr fontId="4"/>
  </si>
  <si>
    <t>↑前月結果</t>
    <rPh sb="1" eb="3">
      <t>ゼンゲツ</t>
    </rPh>
    <rPh sb="3" eb="5">
      <t>ケッカ</t>
    </rPh>
    <phoneticPr fontId="4"/>
  </si>
  <si>
    <t>↑当月は着地予測</t>
    <rPh sb="1" eb="3">
      <t>トウゲツ</t>
    </rPh>
    <rPh sb="4" eb="6">
      <t>チャクチ</t>
    </rPh>
    <rPh sb="6" eb="8">
      <t>ヨソク</t>
    </rPh>
    <phoneticPr fontId="4"/>
  </si>
  <si>
    <t>↑翌月以降は当月着地予測×前月比</t>
    <rPh sb="1" eb="3">
      <t>ヨクゲツ</t>
    </rPh>
    <rPh sb="3" eb="5">
      <t>イコウ</t>
    </rPh>
    <rPh sb="6" eb="8">
      <t>トウゲツ</t>
    </rPh>
    <rPh sb="8" eb="10">
      <t>チャクチ</t>
    </rPh>
    <rPh sb="10" eb="12">
      <t>ヨソク</t>
    </rPh>
    <rPh sb="13" eb="16">
      <t>ゼンゲツヒ</t>
    </rPh>
    <phoneticPr fontId="4"/>
  </si>
  <si>
    <t>■新規モデル追加時対応</t>
    <rPh sb="1" eb="3">
      <t>シンキ</t>
    </rPh>
    <rPh sb="6" eb="8">
      <t>ツイカ</t>
    </rPh>
    <rPh sb="8" eb="9">
      <t>ジ</t>
    </rPh>
    <rPh sb="9" eb="11">
      <t>タイオウ</t>
    </rPh>
    <phoneticPr fontId="4"/>
  </si>
  <si>
    <t>在庫使用計画 (一般)、在庫使用計画 (法人)、在庫使用計画 (全体実績+予測）、在庫使用計画 (4ヶ月）、在庫使用計画 (ノート全体試算)、在庫使用計画 (計画　予測)、在庫確認の7シートに列追加。</t>
    <rPh sb="51" eb="52">
      <t>ゲツ</t>
    </rPh>
    <rPh sb="86" eb="90">
      <t>ザイコカクニン</t>
    </rPh>
    <rPh sb="96" eb="97">
      <t>レツ</t>
    </rPh>
    <rPh sb="97" eb="99">
      <t>ツイカ</t>
    </rPh>
    <phoneticPr fontId="4"/>
  </si>
  <si>
    <t>数式の確認とコピー作業時の過去実績等不要データが残っていないか確認。</t>
    <rPh sb="0" eb="2">
      <t>スウシキ</t>
    </rPh>
    <rPh sb="3" eb="5">
      <t>カクニン</t>
    </rPh>
    <rPh sb="9" eb="12">
      <t>サギョウジ</t>
    </rPh>
    <rPh sb="13" eb="17">
      <t>カコジッ</t>
    </rPh>
    <rPh sb="17" eb="18">
      <t>トウ</t>
    </rPh>
    <rPh sb="18" eb="20">
      <t>フヨウ</t>
    </rPh>
    <rPh sb="24" eb="25">
      <t>ノコ</t>
    </rPh>
    <rPh sb="31" eb="33">
      <t>カクニン</t>
    </rPh>
    <phoneticPr fontId="4"/>
  </si>
  <si>
    <t>モデル追加した旨、各ラインナップ担当に連絡し、計画の記入を依頼。チーム「ノート相談室」にてスレッドを立てる。</t>
    <rPh sb="3" eb="5">
      <t>ツイカ</t>
    </rPh>
    <rPh sb="7" eb="8">
      <t>ムネ</t>
    </rPh>
    <rPh sb="9" eb="10">
      <t>カク</t>
    </rPh>
    <rPh sb="16" eb="18">
      <t>タントウ</t>
    </rPh>
    <rPh sb="19" eb="21">
      <t>レンラク</t>
    </rPh>
    <rPh sb="23" eb="25">
      <t>ケイカク</t>
    </rPh>
    <rPh sb="26" eb="28">
      <t>キニュウ</t>
    </rPh>
    <rPh sb="29" eb="31">
      <t>イライ</t>
    </rPh>
    <rPh sb="39" eb="42">
      <t>ソウダンシツ</t>
    </rPh>
    <rPh sb="50" eb="51">
      <t>タ</t>
    </rPh>
    <phoneticPr fontId="4"/>
  </si>
  <si>
    <t>購買にONEの更新を依頼。＠まいけるさん（行追加と参照の設定を依頼。）</t>
    <rPh sb="0" eb="2">
      <t>コウバイ</t>
    </rPh>
    <rPh sb="7" eb="9">
      <t>コウシン</t>
    </rPh>
    <rPh sb="10" eb="12">
      <t>イライ</t>
    </rPh>
    <rPh sb="21" eb="22">
      <t>ギョウ</t>
    </rPh>
    <rPh sb="22" eb="24">
      <t>ツイカ</t>
    </rPh>
    <rPh sb="25" eb="27">
      <t>サンショウ</t>
    </rPh>
    <rPh sb="28" eb="30">
      <t>セッテイ</t>
    </rPh>
    <rPh sb="31" eb="33">
      <t>イライ</t>
    </rPh>
    <phoneticPr fontId="4"/>
  </si>
  <si>
    <t>1 の各シートにスペック等を記載。ソースは企画書（Teamsで検索）</t>
    <rPh sb="3" eb="4">
      <t>カク</t>
    </rPh>
    <rPh sb="12" eb="13">
      <t>トウ</t>
    </rPh>
    <rPh sb="14" eb="16">
      <t>キサイ</t>
    </rPh>
    <rPh sb="21" eb="24">
      <t>キカクショ</t>
    </rPh>
    <rPh sb="31" eb="33">
      <t>ケンサク</t>
    </rPh>
    <phoneticPr fontId="4"/>
  </si>
  <si>
    <t>■予測値について</t>
    <rPh sb="1" eb="4">
      <t>ヨソクチ</t>
    </rPh>
    <phoneticPr fontId="4"/>
  </si>
  <si>
    <t>過去のデータから係数を算出し、それをもとに結果予測を行っています。</t>
    <rPh sb="0" eb="2">
      <t>カコ</t>
    </rPh>
    <rPh sb="8" eb="10">
      <t>ケイスウ</t>
    </rPh>
    <rPh sb="11" eb="13">
      <t>サンシュツ</t>
    </rPh>
    <rPh sb="21" eb="23">
      <t>ケッカ</t>
    </rPh>
    <rPh sb="23" eb="25">
      <t>ヨソク</t>
    </rPh>
    <rPh sb="26" eb="27">
      <t>オコナ</t>
    </rPh>
    <phoneticPr fontId="4"/>
  </si>
  <si>
    <t>方法①　前月比のデータ</t>
    <rPh sb="0" eb="2">
      <t>ホウホウ</t>
    </rPh>
    <rPh sb="4" eb="7">
      <t>ゼンゲツヒ</t>
    </rPh>
    <phoneticPr fontId="4"/>
  </si>
  <si>
    <t>　過去数年分、その月が前月比で何%だったのかのデータをとり、その中央値を取っています。</t>
    <rPh sb="1" eb="3">
      <t>カコ</t>
    </rPh>
    <rPh sb="3" eb="6">
      <t>スウネンブン</t>
    </rPh>
    <rPh sb="9" eb="10">
      <t>ツキ</t>
    </rPh>
    <rPh sb="11" eb="13">
      <t>ゼンゲツ</t>
    </rPh>
    <rPh sb="13" eb="14">
      <t>ヒ</t>
    </rPh>
    <rPh sb="15" eb="16">
      <t>ナン</t>
    </rPh>
    <rPh sb="32" eb="35">
      <t>チュウオウチ</t>
    </rPh>
    <rPh sb="36" eb="37">
      <t>ト</t>
    </rPh>
    <phoneticPr fontId="4"/>
  </si>
  <si>
    <t>　翌月予測＝当月結果（着地予測）×翌月の前月比</t>
    <rPh sb="1" eb="3">
      <t>ヨクゲツ</t>
    </rPh>
    <rPh sb="3" eb="5">
      <t>ヨソク</t>
    </rPh>
    <rPh sb="6" eb="8">
      <t>トウゲツ</t>
    </rPh>
    <rPh sb="8" eb="10">
      <t>ケッカ</t>
    </rPh>
    <rPh sb="11" eb="13">
      <t>チャクチ</t>
    </rPh>
    <rPh sb="13" eb="15">
      <t>ヨソク</t>
    </rPh>
    <rPh sb="17" eb="19">
      <t>ヨクゲツ</t>
    </rPh>
    <rPh sb="20" eb="23">
      <t>ゼンゲツヒ</t>
    </rPh>
    <phoneticPr fontId="4"/>
  </si>
  <si>
    <t>　今使っているのはこの方式。</t>
    <rPh sb="1" eb="2">
      <t>イマ</t>
    </rPh>
    <rPh sb="2" eb="3">
      <t>ツカ</t>
    </rPh>
    <rPh sb="11" eb="13">
      <t>ホウシキ</t>
    </rPh>
    <phoneticPr fontId="4"/>
  </si>
  <si>
    <t>=617*90.5%</t>
    <phoneticPr fontId="4"/>
  </si>
  <si>
    <t>←前月比　過去中央値</t>
    <rPh sb="1" eb="4">
      <t>ゼンゲツヒ</t>
    </rPh>
    <rPh sb="5" eb="7">
      <t>カコ</t>
    </rPh>
    <rPh sb="7" eb="10">
      <t>チュウオウチ</t>
    </rPh>
    <phoneticPr fontId="4"/>
  </si>
  <si>
    <t>方法②　年間の月次比率から割り戻す方式</t>
    <rPh sb="0" eb="2">
      <t>ホウホウ</t>
    </rPh>
    <rPh sb="4" eb="6">
      <t>ネンカン</t>
    </rPh>
    <rPh sb="7" eb="11">
      <t>ゲツジヒリツ</t>
    </rPh>
    <rPh sb="13" eb="14">
      <t>ワ</t>
    </rPh>
    <rPh sb="15" eb="16">
      <t>モド</t>
    </rPh>
    <rPh sb="17" eb="19">
      <t>ホウシキ</t>
    </rPh>
    <phoneticPr fontId="4"/>
  </si>
  <si>
    <t>※平均より、中央値の方が年による結果のブレがでにくい</t>
    <rPh sb="1" eb="3">
      <t>ヘイキン</t>
    </rPh>
    <rPh sb="6" eb="9">
      <t>チュウオウチ</t>
    </rPh>
    <rPh sb="10" eb="11">
      <t>ホウ</t>
    </rPh>
    <rPh sb="12" eb="13">
      <t>トシ</t>
    </rPh>
    <rPh sb="16" eb="18">
      <t>ケッカ</t>
    </rPh>
    <phoneticPr fontId="4"/>
  </si>
  <si>
    <t>　1年間を100%としたときに、当月が何%を負担しているか、過去データから算出。</t>
    <rPh sb="2" eb="3">
      <t>ネン</t>
    </rPh>
    <rPh sb="3" eb="4">
      <t>カン</t>
    </rPh>
    <rPh sb="16" eb="18">
      <t>トウゲツ</t>
    </rPh>
    <rPh sb="19" eb="20">
      <t>ナン</t>
    </rPh>
    <rPh sb="22" eb="24">
      <t>フタン</t>
    </rPh>
    <rPh sb="30" eb="32">
      <t>カコ</t>
    </rPh>
    <rPh sb="37" eb="39">
      <t>サンシュツ</t>
    </rPh>
    <phoneticPr fontId="4"/>
  </si>
  <si>
    <t>　異常値の除外</t>
    <rPh sb="1" eb="4">
      <t>イジョウチ</t>
    </rPh>
    <rPh sb="5" eb="7">
      <t>ジョガイ</t>
    </rPh>
    <phoneticPr fontId="4"/>
  </si>
  <si>
    <t>　その結果から、年間着地台数を予測、各月に割り戻す。</t>
    <rPh sb="3" eb="5">
      <t>ケッカ</t>
    </rPh>
    <rPh sb="8" eb="10">
      <t>ネンカン</t>
    </rPh>
    <rPh sb="10" eb="12">
      <t>チャクチ</t>
    </rPh>
    <rPh sb="12" eb="14">
      <t>ダイスウ</t>
    </rPh>
    <rPh sb="15" eb="17">
      <t>ヨソク</t>
    </rPh>
    <rPh sb="18" eb="20">
      <t>カクゲツ</t>
    </rPh>
    <rPh sb="21" eb="22">
      <t>ワ</t>
    </rPh>
    <rPh sb="23" eb="24">
      <t>モド</t>
    </rPh>
    <phoneticPr fontId="4"/>
  </si>
  <si>
    <t>『特定モデルの年間計画を作成する』といった場合は、②が便利ですが（年間 2000台の計画を立てる→各月に割り当てる）</t>
    <rPh sb="1" eb="3">
      <t>トクテイ</t>
    </rPh>
    <rPh sb="7" eb="9">
      <t>ネンカン</t>
    </rPh>
    <rPh sb="9" eb="11">
      <t>ケイカク</t>
    </rPh>
    <rPh sb="12" eb="14">
      <t>サクセイ</t>
    </rPh>
    <rPh sb="21" eb="23">
      <t>バアイ</t>
    </rPh>
    <rPh sb="27" eb="29">
      <t>ベンリ</t>
    </rPh>
    <rPh sb="33" eb="35">
      <t>ネンカン</t>
    </rPh>
    <rPh sb="40" eb="41">
      <t>ダイ</t>
    </rPh>
    <rPh sb="42" eb="44">
      <t>ケイカク</t>
    </rPh>
    <rPh sb="45" eb="46">
      <t>タ</t>
    </rPh>
    <rPh sb="49" eb="51">
      <t>カクゲツ</t>
    </rPh>
    <rPh sb="52" eb="53">
      <t>ワ</t>
    </rPh>
    <rPh sb="54" eb="55">
      <t>ア</t>
    </rPh>
    <phoneticPr fontId="4"/>
  </si>
  <si>
    <t>基本成長する（前年度より売上台数を上げる）ことを想定しているため、予測（計画）としては前月比で当てた方が近い。</t>
    <rPh sb="0" eb="2">
      <t>キホン</t>
    </rPh>
    <rPh sb="2" eb="4">
      <t>セイチョウ</t>
    </rPh>
    <rPh sb="7" eb="10">
      <t>ゼンネンド</t>
    </rPh>
    <rPh sb="12" eb="16">
      <t>ウリアゲダイスウ</t>
    </rPh>
    <rPh sb="17" eb="18">
      <t>ア</t>
    </rPh>
    <rPh sb="24" eb="26">
      <t>ソウテイ</t>
    </rPh>
    <rPh sb="33" eb="35">
      <t>ヨソク</t>
    </rPh>
    <rPh sb="36" eb="38">
      <t>ケイカク</t>
    </rPh>
    <rPh sb="43" eb="45">
      <t>ゼンゲツ</t>
    </rPh>
    <rPh sb="45" eb="46">
      <t>ヒ</t>
    </rPh>
    <rPh sb="47" eb="48">
      <t>ア</t>
    </rPh>
    <rPh sb="50" eb="51">
      <t>ホウ</t>
    </rPh>
    <rPh sb="52" eb="53">
      <t>チカ</t>
    </rPh>
    <phoneticPr fontId="4"/>
  </si>
  <si>
    <t>参考資料（係数　通販+店舗　台数実績）　のシートを見ると分かりますが、平均と中央値でも大きくブレが出るので、</t>
    <rPh sb="25" eb="26">
      <t>ミ</t>
    </rPh>
    <rPh sb="28" eb="29">
      <t>ワ</t>
    </rPh>
    <rPh sb="35" eb="37">
      <t>ヘイキン</t>
    </rPh>
    <rPh sb="38" eb="41">
      <t>チュウオウチ</t>
    </rPh>
    <rPh sb="43" eb="44">
      <t>オオ</t>
    </rPh>
    <rPh sb="49" eb="50">
      <t>デ</t>
    </rPh>
    <phoneticPr fontId="4"/>
  </si>
  <si>
    <t>あくまで予測値は予測。参照値とか指標程度で見ておくと良いです。</t>
    <rPh sb="4" eb="7">
      <t>ヨソクチ</t>
    </rPh>
    <rPh sb="8" eb="10">
      <t>ヨソク</t>
    </rPh>
    <rPh sb="11" eb="14">
      <t>サンショウチ</t>
    </rPh>
    <rPh sb="16" eb="18">
      <t>シヒョウ</t>
    </rPh>
    <rPh sb="18" eb="20">
      <t>テイド</t>
    </rPh>
    <rPh sb="21" eb="22">
      <t>ミ</t>
    </rPh>
    <rPh sb="26" eb="27">
      <t>ヨ</t>
    </rPh>
    <phoneticPr fontId="4"/>
  </si>
  <si>
    <t>■月次係数について（方法②の詳細）</t>
    <rPh sb="1" eb="3">
      <t>ゲツジ</t>
    </rPh>
    <rPh sb="3" eb="5">
      <t>ケイスウ</t>
    </rPh>
    <rPh sb="10" eb="12">
      <t>ホウホウ</t>
    </rPh>
    <rPh sb="14" eb="16">
      <t>ショウサイ</t>
    </rPh>
    <phoneticPr fontId="4"/>
  </si>
  <si>
    <t>↓現在はこちら使っていません。方法として記載しておきます。</t>
    <rPh sb="1" eb="3">
      <t>ゲンザイ</t>
    </rPh>
    <rPh sb="7" eb="8">
      <t>ツカ</t>
    </rPh>
    <rPh sb="15" eb="17">
      <t>ホウホウ</t>
    </rPh>
    <rPh sb="20" eb="22">
      <t>キサイ</t>
    </rPh>
    <phoneticPr fontId="4"/>
  </si>
  <si>
    <t>②月次係数：1年間を1（100%)としたとき、その月が占める割合。</t>
    <rPh sb="1" eb="3">
      <t>ゲツジ</t>
    </rPh>
    <rPh sb="3" eb="5">
      <t>ケイスウ</t>
    </rPh>
    <rPh sb="7" eb="8">
      <t>ネン</t>
    </rPh>
    <rPh sb="8" eb="9">
      <t>カン</t>
    </rPh>
    <rPh sb="25" eb="26">
      <t>ツキ</t>
    </rPh>
    <rPh sb="27" eb="28">
      <t>シ</t>
    </rPh>
    <rPh sb="30" eb="32">
      <t>ワリアイ</t>
    </rPh>
    <phoneticPr fontId="4"/>
  </si>
  <si>
    <t>8月</t>
  </si>
  <si>
    <t>9月</t>
  </si>
  <si>
    <t>10月</t>
  </si>
  <si>
    <t>11月</t>
  </si>
  <si>
    <t>12月</t>
  </si>
  <si>
    <t>1月</t>
    <rPh sb="1" eb="2">
      <t>ガツ</t>
    </rPh>
    <phoneticPr fontId="4"/>
  </si>
  <si>
    <t>2月</t>
    <rPh sb="1" eb="2">
      <t>ガツ</t>
    </rPh>
    <phoneticPr fontId="4"/>
  </si>
  <si>
    <t>3月</t>
    <rPh sb="1" eb="2">
      <t>ガツ</t>
    </rPh>
    <phoneticPr fontId="4"/>
  </si>
  <si>
    <t>4月</t>
  </si>
  <si>
    <t>5月</t>
  </si>
  <si>
    <t>6月</t>
  </si>
  <si>
    <t>7月</t>
  </si>
  <si>
    <t>例</t>
    <rPh sb="0" eb="1">
      <t>レイ</t>
    </rPh>
    <phoneticPr fontId="4"/>
  </si>
  <si>
    <t>通販+店舗</t>
    <rPh sb="0" eb="2">
      <t>ツウハン</t>
    </rPh>
    <rPh sb="3" eb="5">
      <t>テンポ</t>
    </rPh>
    <phoneticPr fontId="4"/>
  </si>
  <si>
    <t>GAノート</t>
  </si>
  <si>
    <t>台数</t>
    <rPh sb="0" eb="2">
      <t>ダイスウ</t>
    </rPh>
    <phoneticPr fontId="4"/>
  </si>
  <si>
    <t>使用方法①（推測値）</t>
    <rPh sb="0" eb="4">
      <t>シヨウホウホウ</t>
    </rPh>
    <rPh sb="6" eb="8">
      <t>スイソク</t>
    </rPh>
    <rPh sb="8" eb="9">
      <t>チ</t>
    </rPh>
    <phoneticPr fontId="4"/>
  </si>
  <si>
    <t>①</t>
    <phoneticPr fontId="4"/>
  </si>
  <si>
    <t>③</t>
    <phoneticPr fontId="4"/>
  </si>
  <si>
    <t>④</t>
    <phoneticPr fontId="4"/>
  </si>
  <si>
    <t>・・・</t>
    <phoneticPr fontId="4"/>
  </si>
  <si>
    <t>②</t>
    <phoneticPr fontId="4"/>
  </si>
  <si>
    <t>現在の実績→　今後の推測</t>
    <rPh sb="0" eb="2">
      <t>ゲンザイ</t>
    </rPh>
    <rPh sb="3" eb="5">
      <t>ジッセキ</t>
    </rPh>
    <rPh sb="7" eb="9">
      <t>コンゴ</t>
    </rPh>
    <rPh sb="10" eb="12">
      <t>スイソク</t>
    </rPh>
    <phoneticPr fontId="4"/>
  </si>
  <si>
    <t>通期</t>
    <rPh sb="0" eb="2">
      <t>ツウキ</t>
    </rPh>
    <phoneticPr fontId="4"/>
  </si>
  <si>
    <t>例えば　</t>
    <rPh sb="0" eb="1">
      <t>タト</t>
    </rPh>
    <phoneticPr fontId="4"/>
  </si>
  <si>
    <t>①８月実績が　3000だった場合</t>
    <phoneticPr fontId="4"/>
  </si>
  <si>
    <t>②年間の結果推測が計算できる。</t>
    <rPh sb="1" eb="3">
      <t>ネンカン</t>
    </rPh>
    <rPh sb="4" eb="6">
      <t>ケッカ</t>
    </rPh>
    <rPh sb="6" eb="8">
      <t>スイソク</t>
    </rPh>
    <rPh sb="9" eb="11">
      <t>ケイサン</t>
    </rPh>
    <phoneticPr fontId="4"/>
  </si>
  <si>
    <t>③これをもとに振りなおせば、翌月の推測ができる。</t>
    <rPh sb="7" eb="8">
      <t>フ</t>
    </rPh>
    <rPh sb="14" eb="16">
      <t>ヨクゲツ</t>
    </rPh>
    <rPh sb="17" eb="19">
      <t>スイソク</t>
    </rPh>
    <phoneticPr fontId="4"/>
  </si>
  <si>
    <t>④以降同様。</t>
    <rPh sb="1" eb="3">
      <t>イコウ</t>
    </rPh>
    <rPh sb="3" eb="5">
      <t>ドウヨウ</t>
    </rPh>
    <phoneticPr fontId="4"/>
  </si>
  <si>
    <t>推測の結果やるべき行動</t>
    <rPh sb="0" eb="2">
      <t>スイソク</t>
    </rPh>
    <rPh sb="3" eb="5">
      <t>ケッカ</t>
    </rPh>
    <rPh sb="9" eb="11">
      <t>コウドウ</t>
    </rPh>
    <phoneticPr fontId="4"/>
  </si>
  <si>
    <t>・年間の推測結果＞予算・目標　ならこのまま継続。（翌月以降、落ち込む原因となるものの排除）</t>
    <rPh sb="1" eb="3">
      <t>ネンカン</t>
    </rPh>
    <rPh sb="4" eb="6">
      <t>スイソク</t>
    </rPh>
    <rPh sb="6" eb="8">
      <t>ケッカ</t>
    </rPh>
    <rPh sb="9" eb="11">
      <t>ヨサン</t>
    </rPh>
    <rPh sb="12" eb="14">
      <t>モクヒョウ</t>
    </rPh>
    <rPh sb="21" eb="23">
      <t>ケイゾク</t>
    </rPh>
    <rPh sb="25" eb="29">
      <t>ヨクゲツイコウ</t>
    </rPh>
    <rPh sb="30" eb="31">
      <t>オ</t>
    </rPh>
    <rPh sb="32" eb="33">
      <t>コ</t>
    </rPh>
    <rPh sb="34" eb="36">
      <t>ゲンイン</t>
    </rPh>
    <rPh sb="42" eb="44">
      <t>ハイジョ</t>
    </rPh>
    <phoneticPr fontId="4"/>
  </si>
  <si>
    <r>
      <t>・年間の推測結果＜予算・目標　なら</t>
    </r>
    <r>
      <rPr>
        <b/>
        <sz val="11"/>
        <color rgb="FFFF0000"/>
        <rFont val="游ゴシック"/>
        <family val="3"/>
        <charset val="128"/>
        <scheme val="minor"/>
      </rPr>
      <t>追加対策</t>
    </r>
    <r>
      <rPr>
        <sz val="11"/>
        <color theme="1"/>
        <rFont val="游ゴシック"/>
        <family val="2"/>
        <charset val="128"/>
        <scheme val="minor"/>
      </rPr>
      <t>の計画を作成</t>
    </r>
    <rPh sb="1" eb="3">
      <t>ネンカン</t>
    </rPh>
    <rPh sb="4" eb="6">
      <t>スイソク</t>
    </rPh>
    <rPh sb="6" eb="8">
      <t>ケッカ</t>
    </rPh>
    <rPh sb="9" eb="11">
      <t>ヨサン</t>
    </rPh>
    <rPh sb="12" eb="14">
      <t>モクヒョウ</t>
    </rPh>
    <rPh sb="17" eb="19">
      <t>ツイカ</t>
    </rPh>
    <rPh sb="19" eb="21">
      <t>タイサク</t>
    </rPh>
    <rPh sb="22" eb="24">
      <t>ケイカク</t>
    </rPh>
    <rPh sb="25" eb="27">
      <t>サクセイ</t>
    </rPh>
    <phoneticPr fontId="4"/>
  </si>
  <si>
    <r>
      <t>　</t>
    </r>
    <r>
      <rPr>
        <b/>
        <sz val="11"/>
        <color rgb="FFFF0000"/>
        <rFont val="游ゴシック"/>
        <family val="3"/>
        <charset val="128"/>
        <scheme val="minor"/>
      </rPr>
      <t>追加対策：</t>
    </r>
    <r>
      <rPr>
        <sz val="11"/>
        <color theme="1"/>
        <rFont val="游ゴシック"/>
        <family val="2"/>
        <charset val="128"/>
        <scheme val="minor"/>
      </rPr>
      <t>もともと計画していた対策に+αしないと絶対に到達しない。</t>
    </r>
    <rPh sb="1" eb="5">
      <t>ツイカタイサク</t>
    </rPh>
    <rPh sb="10" eb="12">
      <t>ケイカク</t>
    </rPh>
    <rPh sb="16" eb="18">
      <t>タイサク</t>
    </rPh>
    <rPh sb="25" eb="27">
      <t>ゼッタイ</t>
    </rPh>
    <rPh sb="28" eb="30">
      <t>トウタツ</t>
    </rPh>
    <phoneticPr fontId="4"/>
  </si>
  <si>
    <t>　　　　　　なぜならば、もともと予定していた対策では、予測結果にしかならないから</t>
    <rPh sb="16" eb="18">
      <t>ヨテイ</t>
    </rPh>
    <rPh sb="22" eb="24">
      <t>タイサク</t>
    </rPh>
    <rPh sb="27" eb="31">
      <t>ヨソクケッカ</t>
    </rPh>
    <phoneticPr fontId="4"/>
  </si>
  <si>
    <t>使用方法②（計画の作成）</t>
    <rPh sb="0" eb="4">
      <t>シヨウホウホウ</t>
    </rPh>
    <rPh sb="6" eb="8">
      <t>ケイカク</t>
    </rPh>
    <rPh sb="9" eb="11">
      <t>サクセイ</t>
    </rPh>
    <phoneticPr fontId="4"/>
  </si>
  <si>
    <t>予算、各月計画への振り分け</t>
    <rPh sb="0" eb="2">
      <t>ヨサン</t>
    </rPh>
    <rPh sb="3" eb="5">
      <t>カクゲツ</t>
    </rPh>
    <rPh sb="5" eb="7">
      <t>ケイカク</t>
    </rPh>
    <rPh sb="9" eb="10">
      <t>フ</t>
    </rPh>
    <rPh sb="11" eb="12">
      <t>ワ</t>
    </rPh>
    <phoneticPr fontId="4"/>
  </si>
  <si>
    <t>①予算が50,000台と提示された場合</t>
    <phoneticPr fontId="4"/>
  </si>
  <si>
    <t>②↑の係数から、各月の予算が算出できる</t>
    <rPh sb="3" eb="5">
      <t>ケイスウ</t>
    </rPh>
    <rPh sb="8" eb="10">
      <t>カクゲツ</t>
    </rPh>
    <rPh sb="11" eb="13">
      <t>ヨサン</t>
    </rPh>
    <rPh sb="14" eb="16">
      <t>サンシュツ</t>
    </rPh>
    <phoneticPr fontId="4"/>
  </si>
  <si>
    <t>・各月の予算値に対し、販売構成の組み立てができればOK</t>
    <rPh sb="1" eb="3">
      <t>カクゲツ</t>
    </rPh>
    <rPh sb="4" eb="6">
      <t>ヨサン</t>
    </rPh>
    <rPh sb="6" eb="7">
      <t>チ</t>
    </rPh>
    <rPh sb="8" eb="9">
      <t>タイ</t>
    </rPh>
    <rPh sb="11" eb="13">
      <t>ハンバイ</t>
    </rPh>
    <rPh sb="13" eb="15">
      <t>コウセイ</t>
    </rPh>
    <rPh sb="16" eb="17">
      <t>ク</t>
    </rPh>
    <rPh sb="18" eb="19">
      <t>タ</t>
    </rPh>
    <phoneticPr fontId="4"/>
  </si>
  <si>
    <t>計画</t>
    <rPh sb="0" eb="2">
      <t>ケイカク</t>
    </rPh>
    <phoneticPr fontId="4"/>
  </si>
  <si>
    <t>・構築できなければ計画を変える必要がある。</t>
    <rPh sb="1" eb="3">
      <t>コウチク</t>
    </rPh>
    <rPh sb="9" eb="11">
      <t>ケイカク</t>
    </rPh>
    <rPh sb="12" eb="13">
      <t>カ</t>
    </rPh>
    <rPh sb="15" eb="17">
      <t>ヒツヨウ</t>
    </rPh>
    <phoneticPr fontId="4"/>
  </si>
  <si>
    <t>Uのライン</t>
    <phoneticPr fontId="4"/>
  </si>
  <si>
    <t>　①手元の在庫で実現不可能　→在庫入手なタイミングに振り替え</t>
    <rPh sb="2" eb="4">
      <t>テモト</t>
    </rPh>
    <rPh sb="5" eb="7">
      <t>ザイコ</t>
    </rPh>
    <rPh sb="8" eb="10">
      <t>ジツゲン</t>
    </rPh>
    <rPh sb="10" eb="13">
      <t>フカノウ</t>
    </rPh>
    <rPh sb="15" eb="17">
      <t>ザイコ</t>
    </rPh>
    <rPh sb="17" eb="19">
      <t>ニュウシュ</t>
    </rPh>
    <rPh sb="26" eb="27">
      <t>フ</t>
    </rPh>
    <rPh sb="28" eb="29">
      <t>カ</t>
    </rPh>
    <phoneticPr fontId="4"/>
  </si>
  <si>
    <t>Z</t>
    <phoneticPr fontId="4"/>
  </si>
  <si>
    <t>　　8月3770→3170　に変更し、12-5月で取り返す（各月100+　など）　</t>
    <rPh sb="3" eb="4">
      <t>ガツ</t>
    </rPh>
    <rPh sb="15" eb="17">
      <t>ヘンコウ</t>
    </rPh>
    <rPh sb="23" eb="24">
      <t>ガツ</t>
    </rPh>
    <rPh sb="25" eb="26">
      <t>ト</t>
    </rPh>
    <rPh sb="27" eb="28">
      <t>カエ</t>
    </rPh>
    <rPh sb="30" eb="31">
      <t>カク</t>
    </rPh>
    <rPh sb="31" eb="32">
      <t>ゲツ</t>
    </rPh>
    <phoneticPr fontId="4"/>
  </si>
  <si>
    <t>X</t>
    <phoneticPr fontId="4"/>
  </si>
  <si>
    <t>　　として計画を修正していく。</t>
    <rPh sb="5" eb="7">
      <t>ケイカク</t>
    </rPh>
    <rPh sb="8" eb="10">
      <t>シュウセイ</t>
    </rPh>
    <phoneticPr fontId="4"/>
  </si>
  <si>
    <t>R</t>
    <phoneticPr fontId="4"/>
  </si>
  <si>
    <t>その他</t>
    <rPh sb="2" eb="3">
      <t>タ</t>
    </rPh>
    <phoneticPr fontId="4"/>
  </si>
  <si>
    <t>　現実的なラインで計画を作った上で乖離があれば、</t>
    <rPh sb="1" eb="3">
      <t>ゲンジツ</t>
    </rPh>
    <rPh sb="3" eb="4">
      <t>テキ</t>
    </rPh>
    <rPh sb="9" eb="11">
      <t>ケイカク</t>
    </rPh>
    <rPh sb="12" eb="13">
      <t>ツク</t>
    </rPh>
    <rPh sb="15" eb="16">
      <t>ウエ</t>
    </rPh>
    <rPh sb="17" eb="19">
      <t>カイリ</t>
    </rPh>
    <phoneticPr fontId="4"/>
  </si>
  <si>
    <t>予算を作った人に相談。</t>
    <rPh sb="0" eb="2">
      <t>ヨサン</t>
    </rPh>
    <rPh sb="3" eb="4">
      <t>ツク</t>
    </rPh>
    <rPh sb="6" eb="7">
      <t>ヒト</t>
    </rPh>
    <rPh sb="8" eb="10">
      <t>ソウダン</t>
    </rPh>
    <phoneticPr fontId="4"/>
  </si>
  <si>
    <t>不足の対応に対し、aとb(具体的に記載) の対策を入れたとしても、</t>
    <rPh sb="0" eb="2">
      <t>フソク</t>
    </rPh>
    <rPh sb="3" eb="5">
      <t>タイオウ</t>
    </rPh>
    <rPh sb="6" eb="7">
      <t>タイ</t>
    </rPh>
    <rPh sb="22" eb="24">
      <t>タイサク</t>
    </rPh>
    <rPh sb="25" eb="26">
      <t>イ</t>
    </rPh>
    <phoneticPr fontId="4"/>
  </si>
  <si>
    <t>x 台足りない状況です。</t>
    <rPh sb="2" eb="3">
      <t>ダイ</t>
    </rPh>
    <rPh sb="3" eb="4">
      <t>タ</t>
    </rPh>
    <rPh sb="7" eb="9">
      <t>ジョウキョウ</t>
    </rPh>
    <phoneticPr fontId="4"/>
  </si>
  <si>
    <t>担当としては、これ以上は実現可能性を欠きます　という感じ</t>
    <rPh sb="0" eb="2">
      <t>タントウ</t>
    </rPh>
    <rPh sb="9" eb="11">
      <t>イジョウ</t>
    </rPh>
    <rPh sb="12" eb="14">
      <t>ジツゲン</t>
    </rPh>
    <rPh sb="14" eb="17">
      <t>カノウセイ</t>
    </rPh>
    <rPh sb="18" eb="19">
      <t>カ</t>
    </rPh>
    <rPh sb="26" eb="27">
      <t>カン</t>
    </rPh>
    <phoneticPr fontId="4"/>
  </si>
  <si>
    <t>上位職者が何か追加情報を持っていれば、それを追加。持ってなければ予算変更を依頼。</t>
    <rPh sb="0" eb="2">
      <t>ジョウイ</t>
    </rPh>
    <rPh sb="2" eb="4">
      <t>ショクシャ</t>
    </rPh>
    <rPh sb="5" eb="6">
      <t>ナニ</t>
    </rPh>
    <rPh sb="7" eb="9">
      <t>ツイカ</t>
    </rPh>
    <rPh sb="9" eb="11">
      <t>ジョウホウ</t>
    </rPh>
    <rPh sb="12" eb="13">
      <t>モ</t>
    </rPh>
    <rPh sb="22" eb="24">
      <t>ツイカ</t>
    </rPh>
    <rPh sb="25" eb="26">
      <t>モ</t>
    </rPh>
    <rPh sb="32" eb="34">
      <t>ヨサン</t>
    </rPh>
    <rPh sb="34" eb="36">
      <t>ヘンコウ</t>
    </rPh>
    <rPh sb="37" eb="39">
      <t>イライ</t>
    </rPh>
    <phoneticPr fontId="4"/>
  </si>
  <si>
    <t>■ノート報告（企画・法人）</t>
    <rPh sb="4" eb="6">
      <t>ホウコク</t>
    </rPh>
    <rPh sb="7" eb="9">
      <t>キカク</t>
    </rPh>
    <rPh sb="10" eb="12">
      <t>ホウジン</t>
    </rPh>
    <phoneticPr fontId="4"/>
  </si>
  <si>
    <t>MTG目的は、全体販売計画に対し、在庫の過不足が発生していないかどうか</t>
    <rPh sb="3" eb="5">
      <t>モクテキ</t>
    </rPh>
    <rPh sb="7" eb="9">
      <t>ゼンタイ</t>
    </rPh>
    <rPh sb="9" eb="11">
      <t>ハンバイ</t>
    </rPh>
    <rPh sb="11" eb="13">
      <t>ケイカク</t>
    </rPh>
    <rPh sb="14" eb="15">
      <t>タイ</t>
    </rPh>
    <rPh sb="17" eb="19">
      <t>ザイコ</t>
    </rPh>
    <rPh sb="20" eb="23">
      <t>カフソク</t>
    </rPh>
    <rPh sb="24" eb="26">
      <t>ハッセイ</t>
    </rPh>
    <phoneticPr fontId="4"/>
  </si>
  <si>
    <t>および、計画と実績がかけ離れていないか？（実績≒予測値と計画の乖離）</t>
    <rPh sb="4" eb="6">
      <t>ケイカク</t>
    </rPh>
    <rPh sb="7" eb="9">
      <t>ジッセキ</t>
    </rPh>
    <rPh sb="12" eb="13">
      <t>ハナ</t>
    </rPh>
    <rPh sb="21" eb="23">
      <t>ジッセキ</t>
    </rPh>
    <rPh sb="24" eb="27">
      <t>ヨソクチ</t>
    </rPh>
    <rPh sb="28" eb="30">
      <t>ケイカク</t>
    </rPh>
    <rPh sb="31" eb="33">
      <t>カイリ</t>
    </rPh>
    <phoneticPr fontId="4"/>
  </si>
  <si>
    <t>1.　在庫 + 注残に対し 4か月計画が近しいところにあるかどうかを確認（販売計画の確認）</t>
  </si>
  <si>
    <t>　→在庫 &lt;&lt; 計画の場合　①　商品コード違いの発注がないか確認</t>
  </si>
  <si>
    <t>　　　　　　　　　　　  ②　購買に追加発注されているか確認</t>
  </si>
  <si>
    <t>　　　　　　　　　　　　③　①②ともになく、在庫が不足する場合、アラートとして計画に対し在庫不足が発生することを指摘し、計画修正を指示する。</t>
  </si>
  <si>
    <t>　→在庫&gt;&gt;計画の場合　　④　在庫 ≦ 販売計画　となるポイントがどこか、在庫売り切りまでの計画が記載されているか確認　</t>
  </si>
  <si>
    <t>　　　　　　　　　　　　⑤　売り切りまで6カ月以内、もしくはEOL予定と同じ　→特記必要なし、ただし引き続き警戒</t>
  </si>
  <si>
    <t>　　　　　　　　　　　　⑥　売り切りまで6カ月以上、もしくはEOL計画以降までの場合は、その計画を再確認（宿題にメモ、MTGで確認→回答あったらそのまま記載）</t>
  </si>
  <si>
    <t>　　　　　　　　　　　　⑦　売り切りまでの計画がない場合→売り切りまでの計画作成を指示。</t>
  </si>
  <si>
    <t>2.　予測値と在庫状況の確認</t>
  </si>
  <si>
    <t>　→在庫 &lt;&lt; 予測の場合　①　販売計画との差を確認、販売計画と大きな差がなく不足する場合↑の在庫＜＜計画と同じ対応　追加されているかの確認</t>
  </si>
  <si>
    <t>　　　　　　　　　　　  ②　販売計画＜＜予測　になっている場合は　その原因の確認（価格上げて台数をしぼっているなど）</t>
  </si>
  <si>
    <t>　　　　　　　　　　　  ③　原因確認および対処がされていない場合、宿題に記載してMTGで確認（回答あったら記載　ログとして残す）</t>
  </si>
  <si>
    <t>　　　　　　　　　　　  ④　販売計画＞＞予測　になっている場合、　その原因を確認（品切れ→在庫復活、値段下げて販売数アップの施策　など）</t>
  </si>
  <si>
    <t>　　　　　　　　　　　　　  原因確認や具体的施策の確認ができていない場合、宿題に記載してMTGで確認（回答あったら記載　ログとして残す）</t>
  </si>
  <si>
    <t>　</t>
  </si>
  <si>
    <t>ノートベアメーカー比率の更新と報告</t>
    <rPh sb="9" eb="11">
      <t>ヒリツ</t>
    </rPh>
    <rPh sb="12" eb="14">
      <t>コウシン</t>
    </rPh>
    <rPh sb="15" eb="17">
      <t>ホウコク</t>
    </rPh>
    <phoneticPr fontId="4"/>
  </si>
  <si>
    <t>月初行う。集荷台数が前後しないよう、5日ごろ行う。</t>
    <rPh sb="0" eb="2">
      <t>ゲッショ</t>
    </rPh>
    <rPh sb="2" eb="3">
      <t>オコナ</t>
    </rPh>
    <rPh sb="5" eb="7">
      <t>シュウカ</t>
    </rPh>
    <rPh sb="7" eb="9">
      <t>ダイスウ</t>
    </rPh>
    <rPh sb="10" eb="12">
      <t>ゼンゴ</t>
    </rPh>
    <rPh sb="19" eb="20">
      <t>ニチ</t>
    </rPh>
    <rPh sb="22" eb="23">
      <t>オコナ</t>
    </rPh>
    <phoneticPr fontId="4"/>
  </si>
  <si>
    <t>作業ファイル</t>
    <rPh sb="0" eb="2">
      <t>サギョウ</t>
    </rPh>
    <phoneticPr fontId="4"/>
  </si>
  <si>
    <t>結果報告</t>
    <rPh sb="0" eb="2">
      <t>ケッカ</t>
    </rPh>
    <rPh sb="2" eb="4">
      <t>ホウコク</t>
    </rPh>
    <phoneticPr fontId="4"/>
  </si>
  <si>
    <t>GALLERIA</t>
    <phoneticPr fontId="4"/>
  </si>
  <si>
    <t>品目</t>
    <rPh sb="0" eb="2">
      <t>ヒンモク</t>
    </rPh>
    <phoneticPr fontId="4"/>
  </si>
  <si>
    <t>CPU</t>
    <phoneticPr fontId="4"/>
  </si>
  <si>
    <t>GPU</t>
    <phoneticPr fontId="4"/>
  </si>
  <si>
    <t>メモリ</t>
    <phoneticPr fontId="4"/>
  </si>
  <si>
    <t>在庫+注残</t>
    <rPh sb="0" eb="2">
      <t>ザイコ</t>
    </rPh>
    <rPh sb="3" eb="5">
      <t>チュウザン</t>
    </rPh>
    <phoneticPr fontId="4"/>
  </si>
  <si>
    <t>次回入荷日</t>
    <rPh sb="0" eb="2">
      <t>ジカイ</t>
    </rPh>
    <rPh sb="2" eb="4">
      <t>ニュウカ</t>
    </rPh>
    <rPh sb="4" eb="5">
      <t>ヒ</t>
    </rPh>
    <phoneticPr fontId="4"/>
  </si>
  <si>
    <t>次回入荷数量</t>
    <rPh sb="0" eb="2">
      <t>ジカイ</t>
    </rPh>
    <rPh sb="2" eb="4">
      <t>ニュウカ</t>
    </rPh>
    <rPh sb="4" eb="6">
      <t>スウリョウ</t>
    </rPh>
    <phoneticPr fontId="4"/>
  </si>
  <si>
    <t>1224</t>
    <phoneticPr fontId="4"/>
  </si>
  <si>
    <t>0105</t>
    <phoneticPr fontId="4"/>
  </si>
  <si>
    <t>0115</t>
    <phoneticPr fontId="4"/>
  </si>
  <si>
    <t>0119</t>
    <phoneticPr fontId="4"/>
  </si>
  <si>
    <t>0120</t>
    <phoneticPr fontId="4"/>
  </si>
  <si>
    <t>0121</t>
    <phoneticPr fontId="4"/>
  </si>
  <si>
    <t>0128</t>
    <phoneticPr fontId="4"/>
  </si>
  <si>
    <t>0129</t>
    <phoneticPr fontId="4"/>
  </si>
  <si>
    <t>0202</t>
    <phoneticPr fontId="4"/>
  </si>
  <si>
    <t>0209</t>
    <phoneticPr fontId="4"/>
  </si>
  <si>
    <t>0210</t>
    <phoneticPr fontId="4"/>
  </si>
  <si>
    <t>0213</t>
    <phoneticPr fontId="4"/>
  </si>
  <si>
    <t>0216</t>
    <phoneticPr fontId="4"/>
  </si>
  <si>
    <t>0218</t>
    <phoneticPr fontId="4"/>
  </si>
  <si>
    <t>18"-G</t>
    <phoneticPr fontId="4"/>
  </si>
  <si>
    <t>UL9C-R59-8A</t>
    <phoneticPr fontId="4"/>
  </si>
  <si>
    <t>ARL i9-275HX</t>
    <phoneticPr fontId="4"/>
  </si>
  <si>
    <t>DDR5</t>
    <phoneticPr fontId="4"/>
  </si>
  <si>
    <t>NMC9L-R58-G6</t>
  </si>
  <si>
    <t>16”-G</t>
    <phoneticPr fontId="4"/>
  </si>
  <si>
    <t>ZL9R-R57T-6</t>
    <phoneticPr fontId="4"/>
  </si>
  <si>
    <t>FRR 9955HX</t>
    <phoneticPr fontId="4"/>
  </si>
  <si>
    <t>5070Ti</t>
    <phoneticPr fontId="4"/>
  </si>
  <si>
    <t>NDR9L-R57T-G6Z</t>
  </si>
  <si>
    <t>ARL-HX U9-275HX</t>
    <phoneticPr fontId="4"/>
  </si>
  <si>
    <t>ZL9C-R57T-6A</t>
    <phoneticPr fontId="4"/>
  </si>
  <si>
    <t>ARL-HX U7-255HX</t>
    <phoneticPr fontId="4"/>
  </si>
  <si>
    <t>ZL7C-R57-6A</t>
    <phoneticPr fontId="4"/>
  </si>
  <si>
    <t>Ryzen AI 7-350</t>
    <phoneticPr fontId="4"/>
  </si>
  <si>
    <t>XL7R-R56-6A</t>
    <phoneticPr fontId="4"/>
  </si>
  <si>
    <t>XL7C-R56-6A</t>
    <phoneticPr fontId="4"/>
  </si>
  <si>
    <t>15"-G</t>
  </si>
  <si>
    <t>RPL i7-14650HX</t>
    <phoneticPr fontId="4"/>
  </si>
  <si>
    <t>RL7C-R56-5N</t>
    <phoneticPr fontId="4"/>
  </si>
  <si>
    <t>RL7C-R55-5N</t>
    <phoneticPr fontId="4"/>
  </si>
  <si>
    <t>RPL i7-13620H</t>
  </si>
  <si>
    <t>RL7C-R35-5N</t>
    <phoneticPr fontId="4"/>
  </si>
  <si>
    <t>RPL i7-13620H</t>
    <phoneticPr fontId="4"/>
  </si>
  <si>
    <t>RL5C-R35-5N</t>
    <phoneticPr fontId="4"/>
  </si>
  <si>
    <t>RPL i7-13420H</t>
  </si>
  <si>
    <t>RL5C-R35N</t>
    <phoneticPr fontId="4"/>
  </si>
  <si>
    <t>ADL-i5-12450H</t>
    <phoneticPr fontId="7"/>
  </si>
  <si>
    <t>DDR4</t>
    <phoneticPr fontId="4"/>
  </si>
  <si>
    <t>14"-G</t>
    <phoneticPr fontId="4"/>
  </si>
  <si>
    <t>RL7C-R45-4</t>
    <phoneticPr fontId="4"/>
  </si>
  <si>
    <t>MTL-UL7-155H</t>
    <phoneticPr fontId="4"/>
  </si>
  <si>
    <t>GALLERIA Gaming 合計</t>
    <rPh sb="16" eb="18">
      <t>ゴウケイ</t>
    </rPh>
    <phoneticPr fontId="4"/>
  </si>
  <si>
    <t>Gaming 計画合計</t>
    <rPh sb="7" eb="11">
      <t>ケイカクゴウケイ</t>
    </rPh>
    <phoneticPr fontId="4"/>
  </si>
  <si>
    <t>GALLERIA Gaming 予算</t>
    <rPh sb="16" eb="18">
      <t>ヨサン</t>
    </rPh>
    <phoneticPr fontId="4"/>
  </si>
  <si>
    <t>17"-C</t>
  </si>
  <si>
    <t>NUC9L-R58-C6</t>
  </si>
  <si>
    <t>RPL-HX R i9-14900HX</t>
  </si>
  <si>
    <t>NDC7L-R57-C6</t>
    <phoneticPr fontId="4"/>
  </si>
  <si>
    <t>16”-C</t>
  </si>
  <si>
    <t>ARL-H U7-255H</t>
  </si>
  <si>
    <t>NDR9L-IG-C4</t>
    <phoneticPr fontId="4"/>
  </si>
  <si>
    <t>15"-C</t>
  </si>
  <si>
    <t>RPL-HX R i7-14650HX</t>
  </si>
  <si>
    <t>RL7C-R55-C5N</t>
    <phoneticPr fontId="4"/>
  </si>
  <si>
    <t>14"-C</t>
  </si>
  <si>
    <t>GALLERIA Creator 合計</t>
    <rPh sb="17" eb="19">
      <t>ゴウケイ</t>
    </rPh>
    <phoneticPr fontId="4"/>
  </si>
  <si>
    <t>Creator 計画合計</t>
    <phoneticPr fontId="4"/>
  </si>
  <si>
    <t>GALLERIA Creator 予算</t>
    <rPh sb="17" eb="19">
      <t>ヨサン</t>
    </rPh>
    <phoneticPr fontId="4"/>
  </si>
  <si>
    <t>GALLERIA合計</t>
    <rPh sb="8" eb="10">
      <t>ゴウケイ</t>
    </rPh>
    <phoneticPr fontId="4"/>
  </si>
  <si>
    <t>GALLERIA全体予算</t>
    <rPh sb="8" eb="10">
      <t>ゼンタイ</t>
    </rPh>
    <rPh sb="10" eb="12">
      <t>ヨサン</t>
    </rPh>
    <phoneticPr fontId="4"/>
  </si>
  <si>
    <t>THIRDWAVE</t>
    <phoneticPr fontId="4"/>
  </si>
  <si>
    <t>16" GPU</t>
    <phoneticPr fontId="4"/>
  </si>
  <si>
    <t>MSH-15F3-185H-5000-L6 Thirdwave</t>
    <phoneticPr fontId="4"/>
  </si>
  <si>
    <t>M9652</t>
    <phoneticPr fontId="4"/>
  </si>
  <si>
    <t>MSH-15F4-185H-2000-L6 Thirdwave</t>
    <phoneticPr fontId="4"/>
  </si>
  <si>
    <t>M9622</t>
    <phoneticPr fontId="4"/>
  </si>
  <si>
    <t>MTL-U9-185H</t>
    <phoneticPr fontId="4"/>
  </si>
  <si>
    <t>2000Ada</t>
    <phoneticPr fontId="4"/>
  </si>
  <si>
    <t>17"</t>
  </si>
  <si>
    <t>CLE-NL70-1334U-UMA-L6-TPM Thirdwave</t>
  </si>
  <si>
    <t>RPL-i5-1334U</t>
  </si>
  <si>
    <t>16”</t>
    <phoneticPr fontId="4"/>
  </si>
  <si>
    <t>CLE-L26-258V-UMA-32G-L7 Thirdwave</t>
    <phoneticPr fontId="4"/>
  </si>
  <si>
    <t>DX-L7LA</t>
    <phoneticPr fontId="4"/>
  </si>
  <si>
    <t>LNL-U7-258V</t>
    <phoneticPr fontId="4"/>
  </si>
  <si>
    <t>UMA-ARC</t>
    <phoneticPr fontId="4"/>
  </si>
  <si>
    <t>DX-L5LA</t>
    <phoneticPr fontId="4"/>
  </si>
  <si>
    <t>LNL-U5-228V</t>
    <phoneticPr fontId="4"/>
  </si>
  <si>
    <t>CLE-L260-155U-UMA-L6 Thirdwave</t>
    <phoneticPr fontId="4"/>
  </si>
  <si>
    <t>DX-M7L</t>
    <phoneticPr fontId="4"/>
  </si>
  <si>
    <t>MTL-7</t>
    <phoneticPr fontId="4"/>
  </si>
  <si>
    <t>UMA</t>
    <phoneticPr fontId="4"/>
  </si>
  <si>
    <t>CLE-L26-U7-355-UMA-32G-L7 Thirdwave</t>
    <phoneticPr fontId="4"/>
  </si>
  <si>
    <t>PTL H404 U7 335</t>
    <phoneticPr fontId="4"/>
  </si>
  <si>
    <t>15”</t>
    <phoneticPr fontId="4"/>
  </si>
  <si>
    <t>QNT-LGHB-1355U-UMA-L6</t>
    <phoneticPr fontId="7"/>
  </si>
  <si>
    <t>DX-R7</t>
    <phoneticPr fontId="7"/>
  </si>
  <si>
    <t>RPL-i7-1355U</t>
    <phoneticPr fontId="7"/>
  </si>
  <si>
    <t>UMA</t>
    <phoneticPr fontId="7"/>
  </si>
  <si>
    <t>CLE-NL55-1355U‐UMA Thirdwave</t>
    <phoneticPr fontId="4"/>
  </si>
  <si>
    <t>DX-15RP7A</t>
    <phoneticPr fontId="4"/>
  </si>
  <si>
    <t>RPL-i7-1355U</t>
  </si>
  <si>
    <t>DX-15RP7B</t>
    <phoneticPr fontId="4"/>
  </si>
  <si>
    <t>QNT-LGHB-1335U-UMA-L6</t>
    <phoneticPr fontId="7"/>
  </si>
  <si>
    <t>DX-R5</t>
    <phoneticPr fontId="7"/>
  </si>
  <si>
    <t>RPL-i5-1335U</t>
    <phoneticPr fontId="7"/>
  </si>
  <si>
    <t>WZN-1051-1335U-UMA-L6 Thirdwave</t>
    <phoneticPr fontId="4"/>
  </si>
  <si>
    <t>RPL-i5-1335U</t>
    <phoneticPr fontId="4"/>
  </si>
  <si>
    <t>DX-R5T</t>
    <phoneticPr fontId="4"/>
  </si>
  <si>
    <t>RPL-i5-1334U</t>
    <phoneticPr fontId="4"/>
  </si>
  <si>
    <t>CLE-NL55-1334U‐UMA Thirdwave</t>
    <phoneticPr fontId="4"/>
  </si>
  <si>
    <t>DX-15RP5A</t>
    <phoneticPr fontId="4"/>
  </si>
  <si>
    <t>DX-15RP5B</t>
    <phoneticPr fontId="4"/>
  </si>
  <si>
    <t>RPL-i3-1315U</t>
    <phoneticPr fontId="7"/>
  </si>
  <si>
    <t>CLE-NL55-1315U‐UMA Thirdwave</t>
    <phoneticPr fontId="4"/>
  </si>
  <si>
    <t>DX-15RP3A</t>
    <phoneticPr fontId="4"/>
  </si>
  <si>
    <t>RPL-i3-1315U</t>
    <phoneticPr fontId="4"/>
  </si>
  <si>
    <t>14”</t>
    <phoneticPr fontId="4"/>
  </si>
  <si>
    <t>F-14LN7LA</t>
    <phoneticPr fontId="4"/>
  </si>
  <si>
    <t>F-14LN5LA-228V</t>
    <phoneticPr fontId="4"/>
  </si>
  <si>
    <t>F-14LN5LA</t>
    <phoneticPr fontId="4"/>
  </si>
  <si>
    <t>LNL-U5-226V</t>
    <phoneticPr fontId="4"/>
  </si>
  <si>
    <t>CLE-L24-U7-355-UMA-32G-L7 Thirdwave</t>
    <phoneticPr fontId="4"/>
  </si>
  <si>
    <t>PTL H404 U7 335</t>
  </si>
  <si>
    <t>CLE-L24-U5-325-UMA-16G-L7 Thirdwave</t>
    <phoneticPr fontId="4"/>
  </si>
  <si>
    <t>PTL H404 U5 325</t>
  </si>
  <si>
    <t>CLE-L24-258V-UMA-32G-L7 TW</t>
    <phoneticPr fontId="4"/>
  </si>
  <si>
    <t>F-14LN7LS</t>
    <phoneticPr fontId="4"/>
  </si>
  <si>
    <t>CLE-L24-226V-UMA-16G-L7 TW</t>
    <phoneticPr fontId="4"/>
  </si>
  <si>
    <t>F-14LN5LS</t>
    <phoneticPr fontId="4"/>
  </si>
  <si>
    <t>CLE-L240-125U-UMA-L6 Thirdwave</t>
    <phoneticPr fontId="4"/>
  </si>
  <si>
    <t>F-14MTL</t>
    <phoneticPr fontId="4"/>
  </si>
  <si>
    <t>MTL-5-125U</t>
    <phoneticPr fontId="4"/>
  </si>
  <si>
    <t>F-14RP7F-B</t>
    <phoneticPr fontId="4"/>
  </si>
  <si>
    <t>RPL-R-i7-150U</t>
  </si>
  <si>
    <t>RPL-R-i5-120U</t>
  </si>
  <si>
    <t>F-14RP7H-B</t>
    <phoneticPr fontId="4"/>
  </si>
  <si>
    <t>F-14RP5H-B</t>
    <phoneticPr fontId="4"/>
  </si>
  <si>
    <t>CLE-NL45-1355U-UMA-L6-TPM Thirdwave</t>
    <phoneticPr fontId="4"/>
  </si>
  <si>
    <t>F-14RP7S</t>
    <phoneticPr fontId="4"/>
  </si>
  <si>
    <t>F-14RP7V</t>
    <phoneticPr fontId="4"/>
  </si>
  <si>
    <t>RPL-R i7-1355U</t>
  </si>
  <si>
    <t>CLE-NL45-1334U-UMA-L6 Thirdwave</t>
    <phoneticPr fontId="4"/>
  </si>
  <si>
    <t>F-14RP5S</t>
    <phoneticPr fontId="4"/>
  </si>
  <si>
    <t>CLE-NL45-1335U-UMA-L6-TPM Thirdwave</t>
    <phoneticPr fontId="4"/>
  </si>
  <si>
    <t>F-14RP5T</t>
    <phoneticPr fontId="4"/>
  </si>
  <si>
    <t>F-14RP5V</t>
    <phoneticPr fontId="4"/>
  </si>
  <si>
    <t>RPL-R i5-1354U</t>
  </si>
  <si>
    <t>14”</t>
  </si>
  <si>
    <t>L14-C7IGA1B</t>
  </si>
  <si>
    <t>L14-C7IGA1C</t>
  </si>
  <si>
    <t>L14-C7IGA1G</t>
  </si>
  <si>
    <t>L14-C5IGA1B</t>
  </si>
  <si>
    <t>L14-C5IGA1C</t>
  </si>
  <si>
    <t>L14-C5IGA1G</t>
  </si>
  <si>
    <t>L14-C3IGA1B</t>
  </si>
  <si>
    <t>L14-C3IGA1C</t>
  </si>
  <si>
    <t>L14-C3IGA1G</t>
  </si>
  <si>
    <t>CLE-V74-U7-155U-L6-TPM-DDR5-TW-BK法</t>
  </si>
  <si>
    <t>B14-C7IGA1B</t>
  </si>
  <si>
    <t>CLE-V74-U7-155U-L6-TPM-DDR5-TW-BL法</t>
  </si>
  <si>
    <t>B14-C7IGA1C</t>
  </si>
  <si>
    <t>CLE-V74-U7-155U-L6-TPM-DDR5-TW-RG法</t>
  </si>
  <si>
    <t>B14-C7IGA1G</t>
  </si>
  <si>
    <t>CLE-V74-U5-125U-L6-TPM-DDR5-TW-BK法</t>
  </si>
  <si>
    <t>B14-C5IGA1B</t>
  </si>
  <si>
    <t>CLE-V74-U5-125U-L6-TPM-DDR5-TW-BL法</t>
  </si>
  <si>
    <t>B14-C5IGA1C</t>
  </si>
  <si>
    <t>CLE-V74-U5-125U-L6-TPM-DDR5-TW-RG法</t>
  </si>
  <si>
    <t>B14-C5IGA1G</t>
  </si>
  <si>
    <t>CLE-V74-R5-7535HS-L6-TPM-DDR5-TW-BK法</t>
  </si>
  <si>
    <t>B14-C3IGA1B</t>
  </si>
  <si>
    <t>CLE-V74-R5-7535HS-L6-TPM-DDR5-TW-BL法</t>
  </si>
  <si>
    <t>B14-C3IGA1C</t>
  </si>
  <si>
    <t>CLE-V74-R5-7535HS-L6-TPM-DDR5-TW-RG法</t>
  </si>
  <si>
    <t>B14-C3IGA1G</t>
  </si>
  <si>
    <t>TW合計</t>
    <rPh sb="2" eb="4">
      <t>ゴウケイ</t>
    </rPh>
    <phoneticPr fontId="4"/>
  </si>
  <si>
    <t>TW予算</t>
    <rPh sb="2" eb="4">
      <t>ヨサン</t>
    </rPh>
    <phoneticPr fontId="4"/>
  </si>
  <si>
    <t>raytrek</t>
    <phoneticPr fontId="4"/>
  </si>
  <si>
    <t>17”</t>
    <phoneticPr fontId="4"/>
  </si>
  <si>
    <t>MTL9-185H</t>
    <phoneticPr fontId="4"/>
  </si>
  <si>
    <t>5000Ada</t>
  </si>
  <si>
    <t>2000Ada</t>
  </si>
  <si>
    <t>MSH-15F3-185H-5000-L6 raytrek</t>
    <phoneticPr fontId="4"/>
  </si>
  <si>
    <t>M9651</t>
    <phoneticPr fontId="4"/>
  </si>
  <si>
    <t>MSH-15F4-185H-2000-L6 raytrek</t>
    <phoneticPr fontId="4"/>
  </si>
  <si>
    <t>CLE-V560-155H-4060-L6 raytrek(193709)</t>
    <phoneticPr fontId="4"/>
  </si>
  <si>
    <t>R6-MT</t>
    <phoneticPr fontId="4"/>
  </si>
  <si>
    <t>MTL-7-155H</t>
    <phoneticPr fontId="4"/>
  </si>
  <si>
    <t>UNW-O3-13620H-4060-L6 raytrek</t>
    <phoneticPr fontId="4"/>
  </si>
  <si>
    <t>R5-RL6R</t>
    <phoneticPr fontId="4"/>
  </si>
  <si>
    <t>RPL-i7-13620H</t>
  </si>
  <si>
    <t>UNW-E-13620H-3050-L6 raytrek</t>
    <phoneticPr fontId="4"/>
  </si>
  <si>
    <t>R5-RL5R</t>
    <phoneticPr fontId="4"/>
  </si>
  <si>
    <t>CLE-V540-155H-UMA-L6 raytrek</t>
    <phoneticPr fontId="4"/>
  </si>
  <si>
    <t>A4-M</t>
    <phoneticPr fontId="4"/>
  </si>
  <si>
    <t>MTL-7</t>
  </si>
  <si>
    <t>raytrek合計</t>
    <rPh sb="7" eb="9">
      <t>ゴウケイ</t>
    </rPh>
    <phoneticPr fontId="4"/>
  </si>
  <si>
    <t>raytrek 予算</t>
    <rPh sb="8" eb="10">
      <t>ヨサン</t>
    </rPh>
    <phoneticPr fontId="4"/>
  </si>
  <si>
    <t>仮記載、確認修正必要あり</t>
    <rPh sb="0" eb="1">
      <t>カリ</t>
    </rPh>
    <rPh sb="1" eb="3">
      <t>キサイ</t>
    </rPh>
    <rPh sb="4" eb="6">
      <t>カクニン</t>
    </rPh>
    <rPh sb="6" eb="8">
      <t>シュウセイ</t>
    </rPh>
    <rPh sb="8" eb="10">
      <t>ヒツヨウ</t>
    </rPh>
    <phoneticPr fontId="4"/>
  </si>
  <si>
    <t>新モデル追加時、修正するシートが多い</t>
    <rPh sb="0" eb="1">
      <t>シン</t>
    </rPh>
    <rPh sb="4" eb="6">
      <t>ツイカ</t>
    </rPh>
    <rPh sb="6" eb="7">
      <t>ジ</t>
    </rPh>
    <rPh sb="8" eb="10">
      <t>シュウセイ</t>
    </rPh>
    <rPh sb="15" eb="16">
      <t>オオ</t>
    </rPh>
    <phoneticPr fontId="4"/>
  </si>
  <si>
    <t>在庫使用計画 (全体実績+予測）</t>
    <phoneticPr fontId="4"/>
  </si>
  <si>
    <t>在庫使用計画 (計画　予測)</t>
    <phoneticPr fontId="4"/>
  </si>
  <si>
    <t>在庫使用計画 (ノート全体試算)</t>
  </si>
  <si>
    <t>在庫使用計画 (一般)</t>
    <phoneticPr fontId="4"/>
  </si>
  <si>
    <t>在庫使用計画 (法人)</t>
    <phoneticPr fontId="4"/>
  </si>
  <si>
    <t>方法</t>
    <rPh sb="0" eb="2">
      <t>ホウホウ</t>
    </rPh>
    <phoneticPr fontId="4"/>
  </si>
  <si>
    <t>A</t>
    <phoneticPr fontId="4"/>
  </si>
  <si>
    <t>同じ行に同じモデルが記入される状態とする。</t>
    <rPh sb="0" eb="1">
      <t>オナ</t>
    </rPh>
    <rPh sb="2" eb="3">
      <t>ギョウ</t>
    </rPh>
    <rPh sb="4" eb="5">
      <t>オナ</t>
    </rPh>
    <rPh sb="10" eb="12">
      <t>キニュウ</t>
    </rPh>
    <rPh sb="15" eb="17">
      <t>ジョウタイ</t>
    </rPh>
    <phoneticPr fontId="4"/>
  </si>
  <si>
    <t>参照を用いないため軽量かつ単純作業を続ければ上記リストの在庫使用計画 (計画　予測)以外は適用可能。</t>
    <rPh sb="0" eb="2">
      <t>サンショウ</t>
    </rPh>
    <rPh sb="3" eb="4">
      <t>モチ</t>
    </rPh>
    <rPh sb="9" eb="11">
      <t>ケイリョウ</t>
    </rPh>
    <rPh sb="13" eb="17">
      <t>タンジュンサ</t>
    </rPh>
    <rPh sb="18" eb="19">
      <t>ツヅ</t>
    </rPh>
    <rPh sb="22" eb="24">
      <t>ジョウキ</t>
    </rPh>
    <rPh sb="42" eb="44">
      <t>イガイ</t>
    </rPh>
    <rPh sb="45" eb="49">
      <t>テキヨウカノウ</t>
    </rPh>
    <phoneticPr fontId="4"/>
  </si>
  <si>
    <t>それなりに時間を要する上、複数人が編集可能なリストのため、構成が壊れる可能性が高い。</t>
    <rPh sb="5" eb="7">
      <t>ジカン</t>
    </rPh>
    <rPh sb="8" eb="9">
      <t>ヨウ</t>
    </rPh>
    <rPh sb="11" eb="12">
      <t>ウエ</t>
    </rPh>
    <rPh sb="13" eb="16">
      <t>フクスウニン</t>
    </rPh>
    <rPh sb="17" eb="21">
      <t>ヘンシュウカノウ</t>
    </rPh>
    <rPh sb="29" eb="31">
      <t>コウセイ</t>
    </rPh>
    <rPh sb="32" eb="33">
      <t>コワ</t>
    </rPh>
    <rPh sb="35" eb="38">
      <t>カノウセイ</t>
    </rPh>
    <rPh sb="39" eb="40">
      <t>タカ</t>
    </rPh>
    <phoneticPr fontId="4"/>
  </si>
  <si>
    <t>B</t>
    <phoneticPr fontId="4"/>
  </si>
  <si>
    <t>マスタとなるリストを先に作成し、そこだけを修正すれば全体に適用する仕組みを作る。</t>
    <rPh sb="10" eb="11">
      <t>サキ</t>
    </rPh>
    <rPh sb="12" eb="14">
      <t>サクセイ</t>
    </rPh>
    <rPh sb="21" eb="23">
      <t>シュウセイ</t>
    </rPh>
    <rPh sb="26" eb="28">
      <t>ゼンタイ</t>
    </rPh>
    <rPh sb="29" eb="31">
      <t>テキヨウ</t>
    </rPh>
    <rPh sb="33" eb="35">
      <t>シク</t>
    </rPh>
    <rPh sb="37" eb="38">
      <t>ツク</t>
    </rPh>
    <phoneticPr fontId="4"/>
  </si>
  <si>
    <t>作業者の学習コストに加え、在庫使用計画 (計画　予測)にどう反映させるかに懸念あり。</t>
    <rPh sb="0" eb="2">
      <t>サギョウ</t>
    </rPh>
    <rPh sb="2" eb="3">
      <t>シャ</t>
    </rPh>
    <rPh sb="4" eb="6">
      <t>ガクシュウ</t>
    </rPh>
    <rPh sb="10" eb="11">
      <t>クワ</t>
    </rPh>
    <rPh sb="30" eb="32">
      <t>ハンエイ</t>
    </rPh>
    <rPh sb="37" eb="39">
      <t>ケネン</t>
    </rPh>
    <phoneticPr fontId="4"/>
  </si>
  <si>
    <t>→暫定Aとし、マスタは過不足確認用として用いる</t>
    <rPh sb="1" eb="3">
      <t>ザンテイ</t>
    </rPh>
    <rPh sb="11" eb="14">
      <t>カフソク</t>
    </rPh>
    <rPh sb="14" eb="16">
      <t>カクニン</t>
    </rPh>
    <rPh sb="16" eb="17">
      <t>ヨウ</t>
    </rPh>
    <rPh sb="20" eb="21">
      <t>モチ</t>
    </rPh>
    <phoneticPr fontId="4"/>
  </si>
  <si>
    <t>季節係数の算出と運用について</t>
    <rPh sb="0" eb="4">
      <t>キセツ</t>
    </rPh>
    <rPh sb="5" eb="7">
      <t>サンシュツ</t>
    </rPh>
    <rPh sb="8" eb="10">
      <t>ウンヨウ</t>
    </rPh>
    <phoneticPr fontId="4"/>
  </si>
  <si>
    <t>新季節係数の適用タイミング：期始め(8月) or 随時</t>
    <rPh sb="0" eb="1">
      <t>シン</t>
    </rPh>
    <rPh sb="1" eb="5">
      <t>キセ</t>
    </rPh>
    <rPh sb="6" eb="13">
      <t>テキ</t>
    </rPh>
    <rPh sb="14" eb="15">
      <t>キ</t>
    </rPh>
    <rPh sb="15" eb="16">
      <t>ハジ</t>
    </rPh>
    <rPh sb="19" eb="20">
      <t>ガツ</t>
    </rPh>
    <rPh sb="25" eb="27">
      <t>ズイジ</t>
    </rPh>
    <phoneticPr fontId="4"/>
  </si>
  <si>
    <t>大きな差異はないと思われるが、次回の8月以降の予測をする際は前年までの季節係数を用いるか、季節係数を用いた予測から季節係数を算出することになる（これ意味あるか？）</t>
    <rPh sb="0" eb="1">
      <t>オオ</t>
    </rPh>
    <rPh sb="3" eb="5">
      <t>サイ</t>
    </rPh>
    <rPh sb="9" eb="10">
      <t>オモ</t>
    </rPh>
    <rPh sb="15" eb="17">
      <t>ジカイ</t>
    </rPh>
    <rPh sb="19" eb="20">
      <t>ガツ</t>
    </rPh>
    <rPh sb="20" eb="22">
      <t>イコウ</t>
    </rPh>
    <rPh sb="23" eb="25">
      <t>ヨソク</t>
    </rPh>
    <rPh sb="28" eb="29">
      <t>サイ</t>
    </rPh>
    <rPh sb="30" eb="32">
      <t>ゼンネン</t>
    </rPh>
    <rPh sb="35" eb="37">
      <t>キセツ</t>
    </rPh>
    <rPh sb="37" eb="39">
      <t>ケイスウ</t>
    </rPh>
    <rPh sb="40" eb="41">
      <t>モチ</t>
    </rPh>
    <rPh sb="45" eb="47">
      <t>キセツ</t>
    </rPh>
    <rPh sb="47" eb="49">
      <t>ケイスウ</t>
    </rPh>
    <rPh sb="50" eb="51">
      <t>モチ</t>
    </rPh>
    <rPh sb="53" eb="55">
      <t>ヨソク</t>
    </rPh>
    <rPh sb="57" eb="59">
      <t>キセツ</t>
    </rPh>
    <rPh sb="59" eb="61">
      <t>ケイスウ</t>
    </rPh>
    <rPh sb="62" eb="64">
      <t>サンシュツ</t>
    </rPh>
    <rPh sb="74" eb="76">
      <t>イミ</t>
    </rPh>
    <phoneticPr fontId="4"/>
  </si>
  <si>
    <t>直近の年になるほど重み付けをする必要はあるか？</t>
    <rPh sb="0" eb="2">
      <t>チョッキン</t>
    </rPh>
    <rPh sb="3" eb="4">
      <t>トシ</t>
    </rPh>
    <rPh sb="9" eb="10">
      <t>オモ</t>
    </rPh>
    <rPh sb="11" eb="12">
      <t>ヅ</t>
    </rPh>
    <rPh sb="16" eb="18">
      <t>ヒツヨウ</t>
    </rPh>
    <phoneticPr fontId="4"/>
  </si>
  <si>
    <t>また、外れ値を弾く仕組みは中央値を用いるだけで十分か</t>
    <rPh sb="3" eb="4">
      <t>ハズ</t>
    </rPh>
    <rPh sb="5" eb="6">
      <t>チ</t>
    </rPh>
    <rPh sb="7" eb="8">
      <t>ハジ</t>
    </rPh>
    <rPh sb="9" eb="11">
      <t>シク</t>
    </rPh>
    <rPh sb="13" eb="16">
      <t>チュウオウチ</t>
    </rPh>
    <rPh sb="17" eb="18">
      <t>モチ</t>
    </rPh>
    <rPh sb="23" eb="25">
      <t>ジュウブン</t>
    </rPh>
    <phoneticPr fontId="4"/>
  </si>
  <si>
    <t>そもそもよりよい季節係数の算出方法があるのでは</t>
    <rPh sb="8" eb="12">
      <t>キセ</t>
    </rPh>
    <rPh sb="13" eb="17">
      <t>サンシュツホウホウ</t>
    </rPh>
    <phoneticPr fontId="4"/>
  </si>
  <si>
    <t>次期ファイル名称</t>
    <rPh sb="0" eb="2">
      <t>ジキ</t>
    </rPh>
    <rPh sb="6" eb="8">
      <t>メイショウ</t>
    </rPh>
    <phoneticPr fontId="4"/>
  </si>
  <si>
    <t>ノート在庫使用計画_44期_2026-27</t>
    <rPh sb="3" eb="5">
      <t>ザイコ</t>
    </rPh>
    <rPh sb="5" eb="7">
      <t>シヨウ</t>
    </rPh>
    <rPh sb="7" eb="9">
      <t>ケイカク</t>
    </rPh>
    <rPh sb="12" eb="13">
      <t>キ</t>
    </rPh>
    <phoneticPr fontId="4"/>
  </si>
  <si>
    <t>軽量化</t>
    <rPh sb="0" eb="3">
      <t>ケイリョウカ</t>
    </rPh>
    <phoneticPr fontId="4"/>
  </si>
  <si>
    <t>条件付き書式の多用により定期的に飛び地になった条件付き書式の整理が必要になってしまっている。</t>
    <rPh sb="0" eb="3">
      <t>ジョウケンツ</t>
    </rPh>
    <rPh sb="4" eb="6">
      <t>ショシキ</t>
    </rPh>
    <rPh sb="7" eb="9">
      <t>タヨウ</t>
    </rPh>
    <rPh sb="12" eb="15">
      <t>テイキテキ</t>
    </rPh>
    <rPh sb="16" eb="17">
      <t>ト</t>
    </rPh>
    <rPh sb="18" eb="19">
      <t>チ</t>
    </rPh>
    <rPh sb="23" eb="29">
      <t>ジョウ</t>
    </rPh>
    <rPh sb="30" eb="32">
      <t>セイリ</t>
    </rPh>
    <rPh sb="33" eb="35">
      <t>ヒツヨウ</t>
    </rPh>
    <phoneticPr fontId="4"/>
  </si>
  <si>
    <t>揮発性関数の使用回数を減らす</t>
    <rPh sb="0" eb="6">
      <t>キハツ</t>
    </rPh>
    <rPh sb="6" eb="10">
      <t>シヨウカイスウ</t>
    </rPh>
    <rPh sb="11" eb="12">
      <t>ヘ</t>
    </rPh>
    <phoneticPr fontId="4"/>
  </si>
  <si>
    <t>何年分の計画を保持するか？</t>
    <rPh sb="0" eb="3">
      <t>ナンネンブン</t>
    </rPh>
    <rPh sb="4" eb="6">
      <t>ケイカク</t>
    </rPh>
    <rPh sb="7" eb="9">
      <t>ホジ</t>
    </rPh>
    <phoneticPr fontId="4"/>
  </si>
  <si>
    <t>43期使用</t>
    <rPh sb="2" eb="3">
      <t>キ</t>
    </rPh>
    <rPh sb="3" eb="5">
      <t>シヨウ</t>
    </rPh>
    <phoneticPr fontId="4"/>
  </si>
  <si>
    <t>月間の係数（期全体を100%とした場合の各月の貢献率）</t>
    <rPh sb="0" eb="2">
      <t>ゲッカン</t>
    </rPh>
    <rPh sb="3" eb="5">
      <t>ケイスウ</t>
    </rPh>
    <rPh sb="6" eb="7">
      <t>キ</t>
    </rPh>
    <rPh sb="7" eb="9">
      <t>ゼンタイ</t>
    </rPh>
    <rPh sb="17" eb="19">
      <t>バアイ</t>
    </rPh>
    <rPh sb="20" eb="22">
      <t>カクツキ</t>
    </rPh>
    <rPh sb="23" eb="25">
      <t>コウケン</t>
    </rPh>
    <rPh sb="25" eb="26">
      <t>リツ</t>
    </rPh>
    <phoneticPr fontId="4"/>
  </si>
  <si>
    <t>自動計算</t>
    <rPh sb="0" eb="4">
      <t>ジドウケイサン</t>
    </rPh>
    <phoneticPr fontId="4"/>
  </si>
  <si>
    <t>計算値</t>
    <rPh sb="0" eb="3">
      <t>ケイサンチ</t>
    </rPh>
    <phoneticPr fontId="4"/>
  </si>
  <si>
    <t>12ヶ月周期があると仮定</t>
    <rPh sb="3" eb="4">
      <t>ゲツ</t>
    </rPh>
    <rPh sb="4" eb="6">
      <t>シュウキ</t>
    </rPh>
    <rPh sb="10" eb="12">
      <t>カテイ</t>
    </rPh>
    <phoneticPr fontId="4"/>
  </si>
  <si>
    <t>Seasonality:</t>
  </si>
  <si>
    <t>41-42期合計</t>
    <rPh sb="5" eb="6">
      <t>キ</t>
    </rPh>
    <rPh sb="6" eb="8">
      <t>ゴウケイ</t>
    </rPh>
    <phoneticPr fontId="4"/>
  </si>
  <si>
    <t>GG</t>
    <phoneticPr fontId="4"/>
  </si>
  <si>
    <t>STAT:</t>
  </si>
  <si>
    <t>GC</t>
    <phoneticPr fontId="4"/>
  </si>
  <si>
    <t>TW</t>
    <phoneticPr fontId="4"/>
  </si>
  <si>
    <t>年月</t>
    <rPh sb="0" eb="2">
      <t>ネンゲツ</t>
    </rPh>
    <phoneticPr fontId="4"/>
  </si>
  <si>
    <t>実績</t>
    <rPh sb="0" eb="2">
      <t>ジッセキ</t>
    </rPh>
    <phoneticPr fontId="4"/>
  </si>
  <si>
    <t>指数平滑法予測</t>
    <rPh sb="5" eb="7">
      <t>ヨソク</t>
    </rPh>
    <phoneticPr fontId="4"/>
  </si>
  <si>
    <t>40期以降抜粋予測</t>
    <rPh sb="2" eb="3">
      <t>キ</t>
    </rPh>
    <rPh sb="3" eb="5">
      <t>イコウ</t>
    </rPh>
    <rPh sb="5" eb="7">
      <t>バッスイ</t>
    </rPh>
    <rPh sb="7" eb="9">
      <t>ヨソク</t>
    </rPh>
    <phoneticPr fontId="4"/>
  </si>
  <si>
    <t>41期以降抜粋予測</t>
    <rPh sb="2" eb="3">
      <t>キ</t>
    </rPh>
    <rPh sb="3" eb="5">
      <t>イコウ</t>
    </rPh>
    <rPh sb="5" eb="7">
      <t>バッスイ</t>
    </rPh>
    <rPh sb="7" eb="9">
      <t>ヨソク</t>
    </rPh>
    <phoneticPr fontId="4"/>
  </si>
  <si>
    <t>季節係数予測</t>
    <rPh sb="0" eb="2">
      <t>キセツ</t>
    </rPh>
    <rPh sb="2" eb="4">
      <t>ケイスウ</t>
    </rPh>
    <rPh sb="4" eb="6">
      <t>ヨソク</t>
    </rPh>
    <phoneticPr fontId="4"/>
  </si>
  <si>
    <t>前月比</t>
    <rPh sb="0" eb="3">
      <t>ゼンゲツヒ</t>
    </rPh>
    <phoneticPr fontId="4"/>
  </si>
  <si>
    <t>台数実績</t>
    <rPh sb="0" eb="2">
      <t>ダイスウ</t>
    </rPh>
    <rPh sb="2" eb="4">
      <t>ジッセキ</t>
    </rPh>
    <phoneticPr fontId="4"/>
  </si>
  <si>
    <t>期</t>
  </si>
  <si>
    <t>年</t>
    <rPh sb="0" eb="1">
      <t>ネン</t>
    </rPh>
    <phoneticPr fontId="4"/>
  </si>
  <si>
    <t>1月</t>
  </si>
  <si>
    <t>2月</t>
  </si>
  <si>
    <t>3月</t>
  </si>
  <si>
    <t>年合計</t>
  </si>
  <si>
    <t>16-17</t>
    <phoneticPr fontId="4"/>
  </si>
  <si>
    <t>Gaming</t>
    <phoneticPr fontId="4"/>
  </si>
  <si>
    <t>17-18</t>
    <phoneticPr fontId="4"/>
  </si>
  <si>
    <t>35期</t>
    <rPh sb="2" eb="3">
      <t>キ</t>
    </rPh>
    <phoneticPr fontId="4"/>
  </si>
  <si>
    <t>17-18</t>
  </si>
  <si>
    <t>18-19</t>
    <phoneticPr fontId="4"/>
  </si>
  <si>
    <t>36期</t>
    <rPh sb="2" eb="3">
      <t>キ</t>
    </rPh>
    <phoneticPr fontId="4"/>
  </si>
  <si>
    <t>18-19</t>
  </si>
  <si>
    <t>19-20</t>
    <phoneticPr fontId="4"/>
  </si>
  <si>
    <t>37期</t>
    <rPh sb="2" eb="3">
      <t>キ</t>
    </rPh>
    <phoneticPr fontId="4"/>
  </si>
  <si>
    <t>19-20</t>
  </si>
  <si>
    <t>20-21</t>
    <phoneticPr fontId="4"/>
  </si>
  <si>
    <t>38期</t>
    <rPh sb="2" eb="3">
      <t>キ</t>
    </rPh>
    <phoneticPr fontId="4"/>
  </si>
  <si>
    <t>20-21</t>
  </si>
  <si>
    <t>21-22</t>
    <phoneticPr fontId="4"/>
  </si>
  <si>
    <t>39期</t>
    <rPh sb="2" eb="3">
      <t>キ</t>
    </rPh>
    <phoneticPr fontId="4"/>
  </si>
  <si>
    <t>21-22</t>
  </si>
  <si>
    <t>22-23</t>
    <phoneticPr fontId="4"/>
  </si>
  <si>
    <t>40期</t>
    <rPh sb="2" eb="3">
      <t>キ</t>
    </rPh>
    <phoneticPr fontId="4"/>
  </si>
  <si>
    <t>22-23</t>
  </si>
  <si>
    <t>23-24</t>
    <phoneticPr fontId="4"/>
  </si>
  <si>
    <t>41期</t>
    <rPh sb="2" eb="3">
      <t>キ</t>
    </rPh>
    <phoneticPr fontId="4"/>
  </si>
  <si>
    <t>23-24</t>
  </si>
  <si>
    <t>24-25</t>
    <phoneticPr fontId="4"/>
  </si>
  <si>
    <t>42期</t>
    <rPh sb="2" eb="3">
      <t>キ</t>
    </rPh>
    <phoneticPr fontId="4"/>
  </si>
  <si>
    <t>24-25</t>
  </si>
  <si>
    <t>25-26</t>
    <phoneticPr fontId="4"/>
  </si>
  <si>
    <t>25-26</t>
  </si>
  <si>
    <t>26-27</t>
    <phoneticPr fontId="4"/>
  </si>
  <si>
    <t>平均</t>
    <rPh sb="0" eb="2">
      <t>ヘイキン</t>
    </rPh>
    <phoneticPr fontId="4"/>
  </si>
  <si>
    <t>中央値</t>
    <rPh sb="0" eb="3">
      <t>チュウオウチ</t>
    </rPh>
    <phoneticPr fontId="4"/>
  </si>
  <si>
    <t>補正Med</t>
    <rPh sb="0" eb="2">
      <t>ホセイ</t>
    </rPh>
    <phoneticPr fontId="4"/>
  </si>
  <si>
    <t>42期推測値</t>
    <rPh sb="2" eb="3">
      <t>キ</t>
    </rPh>
    <rPh sb="3" eb="6">
      <t>スイソクチ</t>
    </rPh>
    <phoneticPr fontId="4"/>
  </si>
  <si>
    <t>24-25上期</t>
    <rPh sb="5" eb="7">
      <t>カミキ</t>
    </rPh>
    <phoneticPr fontId="4"/>
  </si>
  <si>
    <t>24-25下期</t>
    <rPh sb="5" eb="7">
      <t>シモキ</t>
    </rPh>
    <phoneticPr fontId="4"/>
  </si>
  <si>
    <t>44期</t>
    <rPh sb="2" eb="3">
      <t>キ</t>
    </rPh>
    <phoneticPr fontId="4"/>
  </si>
  <si>
    <t>26-27</t>
  </si>
  <si>
    <t>売上</t>
    <rPh sb="0" eb="2">
      <t>ウリアゲ</t>
    </rPh>
    <phoneticPr fontId="4"/>
  </si>
  <si>
    <t>粗利</t>
    <rPh sb="0" eb="2">
      <t>アラリ</t>
    </rPh>
    <phoneticPr fontId="4"/>
  </si>
  <si>
    <t>単価</t>
    <rPh sb="0" eb="2">
      <t>タンカ</t>
    </rPh>
    <phoneticPr fontId="4"/>
  </si>
  <si>
    <t>Creator</t>
    <phoneticPr fontId="4"/>
  </si>
  <si>
    <t>※3月にブランド切り分け、在庫切れ発生のため指標として除外</t>
    <rPh sb="2" eb="3">
      <t>ガツ</t>
    </rPh>
    <rPh sb="8" eb="9">
      <t>キ</t>
    </rPh>
    <rPh sb="10" eb="11">
      <t>ワ</t>
    </rPh>
    <rPh sb="13" eb="16">
      <t>ザイコキ</t>
    </rPh>
    <rPh sb="17" eb="19">
      <t>ハッセイ</t>
    </rPh>
    <rPh sb="22" eb="24">
      <t>シヒョウ</t>
    </rPh>
    <rPh sb="27" eb="29">
      <t>ジョガイ</t>
    </rPh>
    <phoneticPr fontId="4"/>
  </si>
  <si>
    <t>全体</t>
    <rPh sb="0" eb="2">
      <t>ゼンタイ</t>
    </rPh>
    <phoneticPr fontId="4"/>
  </si>
  <si>
    <t>粗利率</t>
    <rPh sb="0" eb="3">
      <t>アラリリツ</t>
    </rPh>
    <phoneticPr fontId="4"/>
  </si>
  <si>
    <t>41期4月以降は推測値</t>
    <rPh sb="2" eb="3">
      <t>キ</t>
    </rPh>
    <rPh sb="4" eb="5">
      <t>ガツ</t>
    </rPh>
    <rPh sb="5" eb="7">
      <t>イコウ</t>
    </rPh>
    <rPh sb="8" eb="10">
      <t>スイソク</t>
    </rPh>
    <rPh sb="10" eb="11">
      <t>チ</t>
    </rPh>
    <phoneticPr fontId="4"/>
  </si>
  <si>
    <t>法人</t>
    <rPh sb="0" eb="2">
      <t>ホウジン</t>
    </rPh>
    <phoneticPr fontId="4"/>
  </si>
  <si>
    <t>月次割合（年間）</t>
    <rPh sb="0" eb="2">
      <t>ゲツジ</t>
    </rPh>
    <rPh sb="2" eb="4">
      <t>ワリアイ</t>
    </rPh>
    <rPh sb="5" eb="7">
      <t>ネンカン</t>
    </rPh>
    <phoneticPr fontId="4"/>
  </si>
  <si>
    <t>34期</t>
    <rPh sb="2" eb="3">
      <t>キ</t>
    </rPh>
    <phoneticPr fontId="4"/>
  </si>
  <si>
    <t>rノート</t>
  </si>
  <si>
    <t>ブランド変更により予測不可</t>
    <rPh sb="4" eb="6">
      <t>ヘンコウ</t>
    </rPh>
    <rPh sb="9" eb="11">
      <t>ヨソク</t>
    </rPh>
    <rPh sb="11" eb="13">
      <t>フカ</t>
    </rPh>
    <phoneticPr fontId="4"/>
  </si>
  <si>
    <t>4.5か月計画</t>
    <rPh sb="4" eb="5">
      <t>ゲツ</t>
    </rPh>
    <rPh sb="5" eb="7">
      <t>ケイカク</t>
    </rPh>
    <phoneticPr fontId="4"/>
  </si>
  <si>
    <t>18"-G Master</t>
  </si>
  <si>
    <t>ARL i9-275HX</t>
  </si>
  <si>
    <t>16”-G Master</t>
  </si>
  <si>
    <t>NMC9L-R58-H6</t>
    <phoneticPr fontId="4"/>
  </si>
  <si>
    <t>16”-G Diamond</t>
  </si>
  <si>
    <t>15"-G Platinum</t>
  </si>
  <si>
    <t>ADL-i5-13420H</t>
    <phoneticPr fontId="7"/>
  </si>
  <si>
    <t>14"-G Platinum</t>
    <phoneticPr fontId="4"/>
  </si>
  <si>
    <t>Gaming 予測値</t>
    <rPh sb="7" eb="10">
      <t>ヨソクチ</t>
    </rPh>
    <phoneticPr fontId="4"/>
  </si>
  <si>
    <t>17”-C Deluxe</t>
  </si>
  <si>
    <t>RPL-HX R i9-14900HX</t>
    <phoneticPr fontId="4"/>
  </si>
  <si>
    <t>16”-C Deluxe</t>
  </si>
  <si>
    <t>NDC7L-R57-C6</t>
  </si>
  <si>
    <t>14"-C Deluxe</t>
  </si>
  <si>
    <t>15"-C Selected</t>
  </si>
  <si>
    <t>16”-C Selected</t>
  </si>
  <si>
    <t>14"-C Selected</t>
  </si>
  <si>
    <t>NSC5L-IG-C4 (16GB)</t>
    <phoneticPr fontId="4"/>
  </si>
  <si>
    <t>NSC5L-IG-C4 (32GB)</t>
    <phoneticPr fontId="4"/>
  </si>
  <si>
    <t>GALLERIA Creator　前月比</t>
    <rPh sb="17" eb="20">
      <t>ゼンゲツヒ</t>
    </rPh>
    <phoneticPr fontId="4"/>
  </si>
  <si>
    <t>Creator 予測値</t>
    <rPh sb="8" eb="11">
      <t>ヨソクチ</t>
    </rPh>
    <phoneticPr fontId="4"/>
  </si>
  <si>
    <t>16" GPU</t>
  </si>
  <si>
    <t>16”</t>
  </si>
  <si>
    <t>15”</t>
  </si>
  <si>
    <t>DX-15RP7B</t>
  </si>
  <si>
    <t>RPL-i5-1334U</t>
    <phoneticPr fontId="7"/>
  </si>
  <si>
    <t>TW15MT1H7CS</t>
    <phoneticPr fontId="4"/>
  </si>
  <si>
    <t>155H</t>
    <phoneticPr fontId="7"/>
  </si>
  <si>
    <t>RPL-i5-1315U</t>
    <phoneticPr fontId="7"/>
  </si>
  <si>
    <t>n-1 i3</t>
    <phoneticPr fontId="4"/>
  </si>
  <si>
    <t>DX-15RP5C</t>
    <phoneticPr fontId="4"/>
  </si>
  <si>
    <t>TW15MT1U5CS</t>
    <phoneticPr fontId="4"/>
  </si>
  <si>
    <t>125U</t>
    <phoneticPr fontId="4"/>
  </si>
  <si>
    <t>TW14A5B</t>
    <phoneticPr fontId="4"/>
  </si>
  <si>
    <t>TW14A5C</t>
    <phoneticPr fontId="4"/>
  </si>
  <si>
    <t>TW14A5G</t>
    <phoneticPr fontId="4"/>
  </si>
  <si>
    <t>TW予測値合計</t>
    <rPh sb="2" eb="5">
      <t>ヨソクチ</t>
    </rPh>
    <rPh sb="5" eb="7">
      <t>ゴウケイ</t>
    </rPh>
    <phoneticPr fontId="4"/>
  </si>
  <si>
    <t>EOL</t>
    <phoneticPr fontId="4"/>
  </si>
  <si>
    <t>TFH-E-13620H-4060-L6</t>
    <phoneticPr fontId="4"/>
  </si>
  <si>
    <t>RL7C-R46-5N</t>
    <phoneticPr fontId="4"/>
  </si>
  <si>
    <t>ID-B 14900HX-4090-gaming-L6</t>
    <phoneticPr fontId="4"/>
  </si>
  <si>
    <t>UL9C-R49-6</t>
    <phoneticPr fontId="4"/>
  </si>
  <si>
    <t>RPL-R i9-14900HX</t>
    <phoneticPr fontId="4"/>
  </si>
  <si>
    <t>ID-B 14900HX-4060-L6</t>
    <phoneticPr fontId="4"/>
  </si>
  <si>
    <t>ZL9C-R46-6</t>
    <phoneticPr fontId="4"/>
  </si>
  <si>
    <t>XL7C-R45H(L9)</t>
    <phoneticPr fontId="7"/>
  </si>
  <si>
    <t>RPL-i7-13700H</t>
    <phoneticPr fontId="7"/>
  </si>
  <si>
    <t>XL7C-R46H(L6)</t>
    <phoneticPr fontId="7"/>
  </si>
  <si>
    <t>17"-G</t>
    <phoneticPr fontId="7"/>
  </si>
  <si>
    <t>RPL-i9-13900HX</t>
    <phoneticPr fontId="7"/>
  </si>
  <si>
    <t>ID-B 14900HX-4070-L6</t>
    <phoneticPr fontId="4"/>
  </si>
  <si>
    <t>ZL9C-R47-6B</t>
    <phoneticPr fontId="4"/>
  </si>
  <si>
    <t>CLE-V56-155H-4060-L6</t>
    <phoneticPr fontId="4"/>
  </si>
  <si>
    <t>XL7C-R46-6</t>
    <phoneticPr fontId="4"/>
  </si>
  <si>
    <t>CLE-V56-155H-4050-L6</t>
    <phoneticPr fontId="4"/>
  </si>
  <si>
    <t>XL7C-R45-6</t>
    <phoneticPr fontId="4"/>
  </si>
  <si>
    <t>15"-G</t>
    <phoneticPr fontId="7"/>
  </si>
  <si>
    <t>ZL7C-R47</t>
    <phoneticPr fontId="7"/>
  </si>
  <si>
    <t>RPL-i7-13700HX</t>
    <phoneticPr fontId="7"/>
  </si>
  <si>
    <t>TFH-O3-13700H-4060-L6</t>
  </si>
  <si>
    <t>XL7C-R46(L6)</t>
    <phoneticPr fontId="7"/>
  </si>
  <si>
    <t>TFH-O3-13700H-4050-L6</t>
  </si>
  <si>
    <t>XL7C-R45(L6)</t>
    <phoneticPr fontId="7"/>
  </si>
  <si>
    <t xml:space="preserve">TFH-O3-13700H-4050-L6-QHD </t>
  </si>
  <si>
    <t>R5-RL5(G)</t>
    <phoneticPr fontId="4"/>
  </si>
  <si>
    <t>TFH-E-12650H-3050-L6</t>
    <phoneticPr fontId="7"/>
  </si>
  <si>
    <t>RL7C-R35N</t>
    <phoneticPr fontId="4"/>
  </si>
  <si>
    <t>ADL-i7-12650H</t>
    <phoneticPr fontId="7"/>
  </si>
  <si>
    <t>Rembrandt-R5-6600H</t>
    <phoneticPr fontId="7"/>
  </si>
  <si>
    <t xml:space="preserve">UNW-4H2-13700H-UMA-L6-WUXGA </t>
  </si>
  <si>
    <t>A4-R(G)</t>
    <phoneticPr fontId="4"/>
  </si>
  <si>
    <t>17"-C</t>
    <phoneticPr fontId="4"/>
  </si>
  <si>
    <t>PD71-14900HX-4070-creator</t>
    <phoneticPr fontId="4"/>
  </si>
  <si>
    <t>16”-C</t>
    <phoneticPr fontId="4"/>
  </si>
  <si>
    <t>ID-B 14900HX-4090-creator-L6</t>
    <phoneticPr fontId="4"/>
  </si>
  <si>
    <t>UL9C-R49-C6</t>
    <phoneticPr fontId="4"/>
  </si>
  <si>
    <t>V560-155H-UMA-Creator</t>
    <phoneticPr fontId="4"/>
  </si>
  <si>
    <t>QNT-LGHC-155U-UMA-L6 Thirdwave</t>
    <phoneticPr fontId="4"/>
  </si>
  <si>
    <t>DX-M7</t>
    <phoneticPr fontId="4"/>
  </si>
  <si>
    <t>VF-AD5</t>
    <phoneticPr fontId="4"/>
  </si>
  <si>
    <t>N5100</t>
    <phoneticPr fontId="4"/>
  </si>
  <si>
    <t>-</t>
    <phoneticPr fontId="4"/>
  </si>
  <si>
    <t>VF-AD5 8GB</t>
    <phoneticPr fontId="4"/>
  </si>
  <si>
    <t>14”　</t>
    <phoneticPr fontId="4"/>
  </si>
  <si>
    <t>RPL-i7-13700HX</t>
  </si>
  <si>
    <t>ADL-i7-12700H</t>
  </si>
  <si>
    <t>CLE-L141-1335U-UMA-L6 Thirdwave Pro</t>
    <phoneticPr fontId="2"/>
  </si>
  <si>
    <t>F-14RPL（一般販売）</t>
    <phoneticPr fontId="7"/>
  </si>
  <si>
    <t>CLE-L141-1335U-UMA-L6 Thirdwave Pro法</t>
    <rPh sb="35" eb="36">
      <t>ホウ</t>
    </rPh>
    <phoneticPr fontId="2"/>
  </si>
  <si>
    <t>F-14RPL（法人販売）</t>
    <phoneticPr fontId="7"/>
  </si>
  <si>
    <t>F-14RPL</t>
    <phoneticPr fontId="4"/>
  </si>
  <si>
    <t>FRR 9955HX</t>
  </si>
  <si>
    <t>ARL-HX U9-275HX</t>
  </si>
  <si>
    <t>ARL-HX U7-255HX</t>
  </si>
  <si>
    <t>Ryzen AI 7-350</t>
  </si>
  <si>
    <t>RPL i7-14650HX</t>
  </si>
  <si>
    <t>ADL-i5-13420H</t>
  </si>
  <si>
    <t>DDR4</t>
  </si>
  <si>
    <t>ADL-i5-12450H</t>
  </si>
  <si>
    <t>14"-G Platinum</t>
  </si>
  <si>
    <t>THIRDWAVE</t>
  </si>
  <si>
    <t>LNL-U7-258V</t>
  </si>
  <si>
    <t>UMA-ARC</t>
  </si>
  <si>
    <t>LNL-U5-228V</t>
  </si>
  <si>
    <t>RPL-i5-1335U</t>
  </si>
  <si>
    <t>155H</t>
  </si>
  <si>
    <t>RPL-i3-1315U</t>
  </si>
  <si>
    <t>RPL-i5-1315U</t>
  </si>
  <si>
    <t>n-1 i3</t>
  </si>
  <si>
    <t>125U</t>
  </si>
  <si>
    <t>LNL-U5-226V</t>
  </si>
  <si>
    <t>MTL-5-125U</t>
  </si>
  <si>
    <t>17”</t>
  </si>
  <si>
    <t>MTL9-185H</t>
  </si>
  <si>
    <t>MTL-7-155H</t>
  </si>
  <si>
    <t>TFH-E-13620H-4060-L6</t>
  </si>
  <si>
    <t>XL7C-R46(L6)</t>
  </si>
  <si>
    <t>XL7C-R45(L6)</t>
  </si>
  <si>
    <t>R5-RL5(G)</t>
  </si>
  <si>
    <t>ADL-i7-12650H</t>
  </si>
  <si>
    <t>Rembrandt-R5-6600H</t>
  </si>
  <si>
    <t>14"-G</t>
  </si>
  <si>
    <t>A4-R(G)</t>
  </si>
  <si>
    <t>N5100</t>
  </si>
  <si>
    <t>14”　</t>
  </si>
  <si>
    <t>CLE-L141-1335U-UMA-L6 Thirdwave Pro</t>
  </si>
  <si>
    <t>F-14RPL（一般販売）</t>
  </si>
  <si>
    <t>F-14RPL（法人販売）</t>
  </si>
  <si>
    <t>GALLERIA-G</t>
    <phoneticPr fontId="4"/>
  </si>
  <si>
    <t>綽名</t>
    <rPh sb="0" eb="2">
      <t>アダナ</t>
    </rPh>
    <phoneticPr fontId="4"/>
  </si>
  <si>
    <t>型番</t>
    <rPh sb="0" eb="2">
      <t>カタバン</t>
    </rPh>
    <phoneticPr fontId="4"/>
  </si>
  <si>
    <t>4か月計画・実績</t>
    <rPh sb="2" eb="3">
      <t>ゲツ</t>
    </rPh>
    <rPh sb="3" eb="5">
      <t>ケイカク</t>
    </rPh>
    <rPh sb="6" eb="8">
      <t>ジッセキ</t>
    </rPh>
    <phoneticPr fontId="4"/>
  </si>
  <si>
    <t>在庫</t>
    <rPh sb="0" eb="2">
      <t>ザイコ</t>
    </rPh>
    <phoneticPr fontId="4"/>
  </si>
  <si>
    <t>終息予定(在庫+注残75%消化)</t>
    <rPh sb="0" eb="2">
      <t>シュウソク</t>
    </rPh>
    <rPh sb="2" eb="4">
      <t>ヨテイ</t>
    </rPh>
    <rPh sb="5" eb="7">
      <t>ザイコ</t>
    </rPh>
    <rPh sb="8" eb="10">
      <t>チュウザン</t>
    </rPh>
    <rPh sb="13" eb="15">
      <t>ショウカ</t>
    </rPh>
    <phoneticPr fontId="4"/>
  </si>
  <si>
    <t>↓白地は　計画</t>
    <rPh sb="1" eb="2">
      <t>シロ</t>
    </rPh>
    <rPh sb="2" eb="3">
      <t>ジ</t>
    </rPh>
    <rPh sb="5" eb="7">
      <t>ケイカク</t>
    </rPh>
    <phoneticPr fontId="4"/>
  </si>
  <si>
    <t>実績+予測</t>
    <rPh sb="0" eb="2">
      <t>ジッセキ</t>
    </rPh>
    <rPh sb="3" eb="5">
      <t>ヨソク</t>
    </rPh>
    <phoneticPr fontId="4"/>
  </si>
  <si>
    <t>↑前月は
実績</t>
    <rPh sb="1" eb="3">
      <t>ゼンゲツ</t>
    </rPh>
    <rPh sb="5" eb="7">
      <t>ジッセキ</t>
    </rPh>
    <phoneticPr fontId="4"/>
  </si>
  <si>
    <t>↑当月は
着地予測</t>
    <rPh sb="1" eb="3">
      <t>トウゲツ</t>
    </rPh>
    <rPh sb="5" eb="7">
      <t>チャクチ</t>
    </rPh>
    <rPh sb="7" eb="9">
      <t>ヨソク</t>
    </rPh>
    <phoneticPr fontId="4"/>
  </si>
  <si>
    <t>↑係数から
の予測</t>
    <rPh sb="1" eb="3">
      <t>ケイスウ</t>
    </rPh>
    <rPh sb="7" eb="9">
      <t>ヨソク</t>
    </rPh>
    <phoneticPr fontId="4"/>
  </si>
  <si>
    <t>NMC9L-R59-G8</t>
    <phoneticPr fontId="4"/>
  </si>
  <si>
    <t>ARL i9-290HX</t>
    <phoneticPr fontId="4"/>
  </si>
  <si>
    <t>16"-G</t>
    <phoneticPr fontId="4"/>
  </si>
  <si>
    <t>15"-G</t>
    <phoneticPr fontId="4"/>
  </si>
  <si>
    <t>NPR7L-R55-G5</t>
    <phoneticPr fontId="4"/>
  </si>
  <si>
    <t>NPC5L-R55-G5</t>
    <phoneticPr fontId="4"/>
  </si>
  <si>
    <t>GALLERIA Gaming　前月比</t>
    <rPh sb="16" eb="19">
      <t>ゼンゲツヒ</t>
    </rPh>
    <phoneticPr fontId="4"/>
  </si>
  <si>
    <t>GALLERIA-C</t>
    <phoneticPr fontId="4"/>
  </si>
  <si>
    <t>ZL9C-R57-C7</t>
    <phoneticPr fontId="4"/>
  </si>
  <si>
    <t>?"-C</t>
    <phoneticPr fontId="4"/>
  </si>
  <si>
    <t>NDC7L-R57Z-C6</t>
    <phoneticPr fontId="4"/>
  </si>
  <si>
    <t>NDR9L-R56-C6</t>
    <phoneticPr fontId="4"/>
  </si>
  <si>
    <t>ARL-H U7-255H</t>
    <phoneticPr fontId="4"/>
  </si>
  <si>
    <t>XL7C-R56-C6A</t>
    <phoneticPr fontId="4"/>
  </si>
  <si>
    <t>14"-C</t>
    <phoneticPr fontId="4"/>
  </si>
  <si>
    <t>STR-R AI9-HX370</t>
  </si>
  <si>
    <t>Ryzen</t>
  </si>
  <si>
    <t>DL9R-IG-C4A</t>
    <phoneticPr fontId="4"/>
  </si>
  <si>
    <t>15"-C</t>
    <phoneticPr fontId="4"/>
  </si>
  <si>
    <t>RL7C-R56-C5N</t>
    <phoneticPr fontId="4"/>
  </si>
  <si>
    <t>RPL-R i7 14650HX</t>
    <phoneticPr fontId="4"/>
  </si>
  <si>
    <t>RL7C-R45-C5N</t>
    <phoneticPr fontId="4"/>
  </si>
  <si>
    <t>RL7C-R35-C5N</t>
    <phoneticPr fontId="4"/>
  </si>
  <si>
    <t>Creator 計画合計</t>
    <rPh sb="8" eb="12">
      <t>ケイカクゴウケイ</t>
    </rPh>
    <phoneticPr fontId="4"/>
  </si>
  <si>
    <t>計画合計</t>
    <rPh sb="0" eb="2">
      <t>ケイカク</t>
    </rPh>
    <rPh sb="2" eb="4">
      <t>ゴウケイ</t>
    </rPh>
    <phoneticPr fontId="4"/>
  </si>
  <si>
    <t>予測値</t>
    <rPh sb="0" eb="3">
      <t>ヨソクチ</t>
    </rPh>
    <phoneticPr fontId="4"/>
  </si>
  <si>
    <t>16"GPU</t>
    <phoneticPr fontId="4"/>
  </si>
  <si>
    <t>DX-16RP7A-6</t>
    <phoneticPr fontId="4"/>
  </si>
  <si>
    <t>DX-16PN7A</t>
    <phoneticPr fontId="4"/>
  </si>
  <si>
    <t>8/27 V74/75</t>
    <phoneticPr fontId="4"/>
  </si>
  <si>
    <t>DX-R7S</t>
    <phoneticPr fontId="4"/>
  </si>
  <si>
    <t>DX-15RP7C</t>
    <phoneticPr fontId="4"/>
  </si>
  <si>
    <t>F-14PN7A</t>
    <phoneticPr fontId="4"/>
  </si>
  <si>
    <t>F-14PN5A</t>
    <phoneticPr fontId="4"/>
  </si>
  <si>
    <t>F-14BR5A</t>
    <phoneticPr fontId="4"/>
  </si>
  <si>
    <t>TW14A3B</t>
  </si>
  <si>
    <t>TW14A3C</t>
  </si>
  <si>
    <t>TW14A3G</t>
  </si>
  <si>
    <t>TW計画合計</t>
    <rPh sb="2" eb="4">
      <t>ケイカク</t>
    </rPh>
    <rPh sb="4" eb="6">
      <t>ゴウケイ</t>
    </rPh>
    <phoneticPr fontId="4"/>
  </si>
  <si>
    <t>データ取得ここまで</t>
    <rPh sb="3" eb="5">
      <t>シュトク</t>
    </rPh>
    <phoneticPr fontId="4"/>
  </si>
  <si>
    <t>在庫+注残</t>
    <rPh sb="0" eb="2">
      <t>ザイコ</t>
    </rPh>
    <rPh sb="3" eb="4">
      <t>チュウ</t>
    </rPh>
    <rPh sb="4" eb="5">
      <t>ザン</t>
    </rPh>
    <phoneticPr fontId="4"/>
  </si>
  <si>
    <t>終息予定(在庫+注残75%消化)</t>
    <rPh sb="5" eb="7">
      <t>ザイコ</t>
    </rPh>
    <rPh sb="8" eb="10">
      <t>チュウザン</t>
    </rPh>
    <rPh sb="13" eb="15">
      <t>ショウカ</t>
    </rPh>
    <phoneticPr fontId="4"/>
  </si>
  <si>
    <t>RPL i5-14450HX</t>
  </si>
  <si>
    <t>季節係数</t>
    <rPh sb="0" eb="2">
      <t>キセツ</t>
    </rPh>
    <rPh sb="2" eb="4">
      <t>ケイスウ</t>
    </rPh>
    <phoneticPr fontId="4"/>
  </si>
  <si>
    <t>ARL-HX U7-270HX Plus(仮)</t>
    <rPh sb="21" eb="22">
      <t>カリ</t>
    </rPh>
    <phoneticPr fontId="101"/>
  </si>
  <si>
    <t>AI 9 HX470</t>
  </si>
  <si>
    <t>RPL-H R 7 240</t>
  </si>
  <si>
    <t>ARL-U U5 225U</t>
  </si>
  <si>
    <t>Creator 計画合計</t>
  </si>
  <si>
    <t>MTL-U9-185H</t>
  </si>
  <si>
    <t>TW15R5(仮)</t>
    <rPh sb="7" eb="8">
      <t>カリ</t>
    </rPh>
    <phoneticPr fontId="4"/>
  </si>
  <si>
    <t>~14"合計</t>
    <rPh sb="4" eb="6">
      <t>ゴウケイ</t>
    </rPh>
    <phoneticPr fontId="4"/>
  </si>
  <si>
    <t>15"~合計</t>
    <rPh sb="4" eb="6">
      <t>ゴウケイ</t>
    </rPh>
    <phoneticPr fontId="4"/>
  </si>
  <si>
    <t>一般</t>
    <rPh sb="0" eb="2">
      <t>イッパン</t>
    </rPh>
    <phoneticPr fontId="4"/>
  </si>
  <si>
    <t>目標</t>
    <rPh sb="0" eb="2">
      <t>モクヒョウ</t>
    </rPh>
    <phoneticPr fontId="4"/>
  </si>
  <si>
    <t>在庫+注残計</t>
    <rPh sb="0" eb="2">
      <t>ザイコ</t>
    </rPh>
    <rPh sb="3" eb="5">
      <t>チュウザン</t>
    </rPh>
    <rPh sb="5" eb="6">
      <t>ケイ</t>
    </rPh>
    <phoneticPr fontId="4"/>
  </si>
  <si>
    <t>在庫計</t>
    <rPh sb="0" eb="2">
      <t>ザイコ</t>
    </rPh>
    <rPh sb="2" eb="3">
      <t>ケイ</t>
    </rPh>
    <phoneticPr fontId="4"/>
  </si>
  <si>
    <t>注残計</t>
    <rPh sb="0" eb="3">
      <t>チュウ</t>
    </rPh>
    <phoneticPr fontId="4"/>
  </si>
  <si>
    <t>計画上の7月末在庫+注残計</t>
    <rPh sb="0" eb="2">
      <t>ケイカク</t>
    </rPh>
    <rPh sb="2" eb="3">
      <t>ジョウ</t>
    </rPh>
    <rPh sb="5" eb="6">
      <t>ガツ</t>
    </rPh>
    <rPh sb="6" eb="7">
      <t>マツ</t>
    </rPh>
    <phoneticPr fontId="4"/>
  </si>
  <si>
    <t>F-14RP5</t>
    <phoneticPr fontId="4"/>
  </si>
  <si>
    <t>　　　　　　　</t>
    <phoneticPr fontId="4"/>
  </si>
  <si>
    <t>model名</t>
  </si>
  <si>
    <t>一般計画合計</t>
    <rPh sb="0" eb="2">
      <t>イッパン</t>
    </rPh>
    <rPh sb="2" eb="4">
      <t>ケイカク</t>
    </rPh>
    <rPh sb="4" eb="5">
      <t>ゴウ</t>
    </rPh>
    <rPh sb="5" eb="6">
      <t>ケイ</t>
    </rPh>
    <phoneticPr fontId="4"/>
  </si>
  <si>
    <t>法人計画合計</t>
    <rPh sb="0" eb="2">
      <t>ホウジン</t>
    </rPh>
    <rPh sb="2" eb="4">
      <t>ケイカク</t>
    </rPh>
    <rPh sb="4" eb="5">
      <t>ゴウ</t>
    </rPh>
    <rPh sb="5" eb="6">
      <t>ケイ</t>
    </rPh>
    <phoneticPr fontId="4"/>
  </si>
  <si>
    <t>ARLi9-2xxHX</t>
  </si>
  <si>
    <t>FRR R9-9955</t>
  </si>
  <si>
    <t>MSH</t>
  </si>
  <si>
    <t>ARL-HX U7-270HX Plus(仮)</t>
    <rPh sb="21" eb="22">
      <t>カリ</t>
    </rPh>
    <phoneticPr fontId="3"/>
  </si>
  <si>
    <t>CLE-V56-AI9-470-5060-L6 GALLERIA</t>
  </si>
  <si>
    <t>GALLERIA 合計</t>
    <rPh sb="9" eb="11">
      <t>ゴウケイ</t>
    </rPh>
    <phoneticPr fontId="4"/>
  </si>
  <si>
    <t>⇒2/MにNL55へ切り替え予定。</t>
  </si>
  <si>
    <t>CLE-NL55-1355U‐UMA Thirdwave</t>
  </si>
  <si>
    <t>←クーポン施策（～4/1）の関係で伸びる＆クーポン実施期間の3月中は継続販売</t>
  </si>
  <si>
    <t>CLE-NL55-1335U‐UMA Thirdwave</t>
  </si>
  <si>
    <t>5Cは法人専売の想定。一般＝4月：R5Tを終息・5Aに一本化　⇒　5月～：5A終息・5Cを販売　法人＝R5T⇒5A⇒5B　が一般側で考えている計画。要法人と打ち合わせ</t>
  </si>
  <si>
    <t>CLE-NL55-1315U‐UMA Thirdwave</t>
  </si>
  <si>
    <t>⇒2/BにPTLに切り替え予定。</t>
  </si>
  <si>
    <t>14"</t>
  </si>
  <si>
    <t>MTL-5 125U</t>
  </si>
  <si>
    <t>⇒以降V74へ</t>
  </si>
  <si>
    <t>F-14RP5Tへの切り替え時期：当初）3/M ⇒ 変更後）11/B。Win10EOS受注増+法人での使用数増加のため</t>
  </si>
  <si>
    <t>←クーポン施策で消費増えた分だけ切り替え前倒し</t>
  </si>
  <si>
    <t>↑クーポン施策で増加（～4/1）</t>
  </si>
  <si>
    <t>指標　前月比結果（通販店舗 過去 4年中央値）</t>
    <rPh sb="0" eb="2">
      <t>シヒョウ</t>
    </rPh>
    <rPh sb="3" eb="5">
      <t>ゼンゲツ</t>
    </rPh>
    <rPh sb="5" eb="8">
      <t>ヒケッカ</t>
    </rPh>
    <rPh sb="9" eb="13">
      <t>ツウハンテンポ</t>
    </rPh>
    <rPh sb="14" eb="16">
      <t>カコ</t>
    </rPh>
    <rPh sb="18" eb="19">
      <t>ネン</t>
    </rPh>
    <rPh sb="19" eb="22">
      <t>チュウオウチ</t>
    </rPh>
    <phoneticPr fontId="4"/>
  </si>
  <si>
    <t>16"</t>
  </si>
  <si>
    <t>発売前/終息？在庫,注残無し</t>
  </si>
  <si>
    <t>計画合計5、在庫+注残16のため不足</t>
  </si>
  <si>
    <t>CLE-V560-155H-4060-L6 raytrek</t>
  </si>
  <si>
    <t>法人MTG後修正したところ</t>
    <rPh sb="0" eb="2">
      <t>ホウジン</t>
    </rPh>
    <rPh sb="5" eb="6">
      <t>ゴ</t>
    </rPh>
    <rPh sb="6" eb="8">
      <t>シュウセイ</t>
    </rPh>
    <phoneticPr fontId="4"/>
  </si>
  <si>
    <t>計画不可（EOL製品もしくは専用モデル）</t>
    <rPh sb="0" eb="2">
      <t>ケイカク</t>
    </rPh>
    <rPh sb="2" eb="4">
      <t>フカ</t>
    </rPh>
    <rPh sb="8" eb="10">
      <t>セイヒン</t>
    </rPh>
    <rPh sb="14" eb="16">
      <t>センヨウ</t>
    </rPh>
    <phoneticPr fontId="4"/>
  </si>
  <si>
    <t>17.3"</t>
  </si>
  <si>
    <t>MTL-7 155U</t>
  </si>
  <si>
    <t>16"-G</t>
  </si>
  <si>
    <t>ARL i9-2xxHX</t>
  </si>
  <si>
    <t>CLE-X58-290HXP-5090-L6</t>
  </si>
  <si>
    <t>TFH-E-13620H-4050-L6</t>
  </si>
  <si>
    <t>CLE-NL55-1334U‐UMA Thirdwave</t>
  </si>
  <si>
    <t>CLE-L240-125U-UMA-L6 Thirdwave(193203)</t>
  </si>
  <si>
    <t>MTL-5</t>
  </si>
  <si>
    <t>UNW-O3-13620H-4060-L6 raytrek(193711)</t>
  </si>
  <si>
    <t>UNW-E-13620H-3050-L6 raytrek(193714)</t>
  </si>
  <si>
    <t>CLE-V540-155H-4050-L6(193186)</t>
  </si>
  <si>
    <t>黄色は今回更新分</t>
    <rPh sb="0" eb="2">
      <t>キイロ</t>
    </rPh>
    <rPh sb="3" eb="5">
      <t>コンカイ</t>
    </rPh>
    <rPh sb="5" eb="8">
      <t>コウシンブン</t>
    </rPh>
    <phoneticPr fontId="4"/>
  </si>
  <si>
    <t>10/20以降最短　台数：14台</t>
  </si>
  <si>
    <t>5月以降FC：約50台</t>
  </si>
  <si>
    <t>V540-155H-UMA-creator</t>
    <phoneticPr fontId="4"/>
  </si>
  <si>
    <t>11/17以降最短　台数：24台</t>
  </si>
  <si>
    <t>F-14RPL（一般販売）</t>
    <phoneticPr fontId="4"/>
  </si>
  <si>
    <t>CLE-L141-1335U-UMA-L6 Thirdwave Pro法</t>
  </si>
  <si>
    <t>15”-G</t>
    <phoneticPr fontId="4"/>
  </si>
  <si>
    <t>RL5R-G165</t>
    <phoneticPr fontId="4"/>
  </si>
  <si>
    <t>UNW-6H2-13700H-4060-L6-WQXGA</t>
    <phoneticPr fontId="4"/>
  </si>
  <si>
    <t>XL7C-R46H-C6</t>
    <phoneticPr fontId="4"/>
  </si>
  <si>
    <t>17”-C</t>
    <phoneticPr fontId="4"/>
  </si>
  <si>
    <t>CLE-V56-AI9-470-5060-L6 GALLERIA</t>
    <phoneticPr fontId="4"/>
  </si>
  <si>
    <t>CD9GP-R56</t>
    <phoneticPr fontId="4"/>
  </si>
  <si>
    <t>15”-C</t>
    <phoneticPr fontId="4"/>
  </si>
  <si>
    <t>17"-G</t>
    <phoneticPr fontId="4"/>
  </si>
  <si>
    <t>UNW-6H2-13700H-4060-L6</t>
    <phoneticPr fontId="4"/>
  </si>
  <si>
    <t>XL7C-R46(L6)</t>
    <phoneticPr fontId="4"/>
  </si>
  <si>
    <t>XL7C-R45(L6)</t>
    <phoneticPr fontId="4"/>
  </si>
  <si>
    <t>14”-G</t>
    <phoneticPr fontId="4"/>
  </si>
  <si>
    <t>14”-C</t>
    <phoneticPr fontId="4"/>
  </si>
  <si>
    <t>15.6"</t>
  </si>
  <si>
    <t>品目</t>
  </si>
  <si>
    <t>在庫数量</t>
  </si>
  <si>
    <t>単位</t>
  </si>
  <si>
    <t>保管場所</t>
  </si>
  <si>
    <t>S</t>
  </si>
  <si>
    <t>伝票</t>
  </si>
  <si>
    <t>明細</t>
  </si>
  <si>
    <t>Plnt</t>
  </si>
  <si>
    <t>品目グループ</t>
  </si>
  <si>
    <t>品目タイプ</t>
  </si>
  <si>
    <t>旧品目コード</t>
  </si>
  <si>
    <t>ロット管理区分</t>
  </si>
  <si>
    <t>品目コード</t>
  </si>
  <si>
    <t>安全在庫</t>
  </si>
  <si>
    <t>単位_1</t>
  </si>
  <si>
    <t>品目St</t>
  </si>
  <si>
    <t>在庫ゼロフラグ</t>
  </si>
  <si>
    <t>ValCl</t>
  </si>
  <si>
    <t>原価区分</t>
  </si>
  <si>
    <t>移動平均原価</t>
  </si>
  <si>
    <t>通貨</t>
  </si>
  <si>
    <t>受注原価</t>
  </si>
  <si>
    <t>通貨_2</t>
  </si>
  <si>
    <t>標準原価</t>
  </si>
  <si>
    <t>通貨_3</t>
  </si>
  <si>
    <t>品目階層</t>
  </si>
  <si>
    <t>品目階層_4</t>
  </si>
  <si>
    <t>在庫合計金額</t>
  </si>
  <si>
    <t>通貨_5</t>
  </si>
  <si>
    <t>品目テキスト(50)</t>
  </si>
  <si>
    <t>PC</t>
  </si>
  <si>
    <t>1P10</t>
  </si>
  <si>
    <t>ROH</t>
  </si>
  <si>
    <t>X</t>
  </si>
  <si>
    <t>JPY</t>
  </si>
  <si>
    <t>ノートベア</t>
  </si>
  <si>
    <t>組UNW GM5PD5E(R1 GC 15.6QHD 13620H 4050 230W L6)</t>
  </si>
  <si>
    <t>1W50</t>
  </si>
  <si>
    <t>組MSH 15F4(raytrek 16UHD+ 185H 2000 240WL6)</t>
  </si>
  <si>
    <t>組CLE X58WNT-G(GG 18QHD+ 275HX 5090 330WL6)</t>
  </si>
  <si>
    <t>組CLE V545KU-TD(R1 GC 14QWXGA+ HX370 UMA90W L6)</t>
  </si>
  <si>
    <t>組WZN 1051RL-PS(R2 TW 15.6FHD1315U L6UMA65W L6)</t>
  </si>
  <si>
    <t>組WZN 1051RL-PS(R1 TW 15.6FHD 1355U UMA 65W L6)</t>
  </si>
  <si>
    <t>組UNW X6RP556U(TW 16WQXGA 14650HX 5060 210W L6)</t>
  </si>
  <si>
    <t>組CLE NL55AW-C(TW 15.6FHD 1355U UMA 45W L6 dTPM)</t>
  </si>
  <si>
    <t>組CLE NL45AW1-TD(R1 TW 14FHD120U UMA45WL6 TPMDDR5</t>
  </si>
  <si>
    <t>組CLE NL45AW1-TD(R3 TW 14FHD1334U UMA 45WL6TPMDDR5</t>
  </si>
  <si>
    <t>組CLE NL45AW1-TD(R3 TW 14FHD1355U UMA 45WL6TPMDDR5</t>
  </si>
  <si>
    <t>組CLE NL45NU1-TD(R1 TW 14FHD7430U UMA65WL6 TPMDDR4</t>
  </si>
  <si>
    <t>組CLE NL55AU-C(TW 15.6FHD 1355U UMA 45W L6dTPMDDR4</t>
  </si>
  <si>
    <t>組CLE NL55AU-C(TW 15.6FHD 1335U UMA 45W L6dTPMDDR4</t>
  </si>
  <si>
    <t>組CLE NL55AW-C(TW 15.6FHD 1335U UMA45WL6dTPMDDR5)</t>
  </si>
  <si>
    <t>1I10</t>
  </si>
  <si>
    <t>コード</t>
    <phoneticPr fontId="7"/>
  </si>
  <si>
    <t>数量</t>
    <phoneticPr fontId="7"/>
  </si>
  <si>
    <t>$単価</t>
    <rPh sb="1" eb="3">
      <t>タンカ</t>
    </rPh>
    <phoneticPr fontId="7"/>
  </si>
  <si>
    <t>¥単価</t>
    <rPh sb="1" eb="3">
      <t>タンカ</t>
    </rPh>
    <phoneticPr fontId="7"/>
  </si>
  <si>
    <t>納品日</t>
    <phoneticPr fontId="7"/>
  </si>
  <si>
    <t>IO</t>
  </si>
  <si>
    <t>発注日</t>
    <rPh sb="0" eb="2">
      <t>ハッチュウ</t>
    </rPh>
    <rPh sb="2" eb="3">
      <t>ビ</t>
    </rPh>
    <phoneticPr fontId="7"/>
  </si>
  <si>
    <t>LT</t>
    <phoneticPr fontId="7"/>
  </si>
  <si>
    <t>綽名</t>
    <rPh sb="0" eb="2">
      <t>アダナ</t>
    </rPh>
    <phoneticPr fontId="7"/>
  </si>
  <si>
    <t>購買先</t>
    <rPh sb="0" eb="2">
      <t>コウバイ</t>
    </rPh>
    <rPh sb="2" eb="3">
      <t>サキ</t>
    </rPh>
    <phoneticPr fontId="7"/>
  </si>
  <si>
    <t>発注番号</t>
    <rPh sb="0" eb="2">
      <t>ハッチュウ</t>
    </rPh>
    <rPh sb="2" eb="4">
      <t>バンゴウ</t>
    </rPh>
    <phoneticPr fontId="7"/>
  </si>
  <si>
    <t>合計</t>
    <rPh sb="0" eb="2">
      <t>ゴウケイ</t>
    </rPh>
    <phoneticPr fontId="7"/>
  </si>
  <si>
    <t>検品日</t>
    <rPh sb="0" eb="2">
      <t>ケンピン</t>
    </rPh>
    <rPh sb="2" eb="3">
      <t>ビ</t>
    </rPh>
    <phoneticPr fontId="7"/>
  </si>
  <si>
    <t>工場出荷日</t>
    <rPh sb="0" eb="2">
      <t>コウジョウ</t>
    </rPh>
    <rPh sb="2" eb="4">
      <t>シュッカ</t>
    </rPh>
    <rPh sb="4" eb="5">
      <t>ビ</t>
    </rPh>
    <phoneticPr fontId="7"/>
  </si>
  <si>
    <t>A/S</t>
    <phoneticPr fontId="7"/>
  </si>
  <si>
    <t>ETD</t>
    <phoneticPr fontId="7"/>
  </si>
  <si>
    <t>POL</t>
    <phoneticPr fontId="7"/>
  </si>
  <si>
    <t>ETA</t>
    <phoneticPr fontId="7"/>
  </si>
  <si>
    <t>POD</t>
    <phoneticPr fontId="7"/>
  </si>
  <si>
    <t>F/T〆</t>
    <phoneticPr fontId="7"/>
  </si>
  <si>
    <t>物流状況</t>
    <rPh sb="0" eb="2">
      <t>ブツリュウ</t>
    </rPh>
    <rPh sb="2" eb="4">
      <t>ジョウキョウ</t>
    </rPh>
    <phoneticPr fontId="7"/>
  </si>
  <si>
    <t>新規/4M変更</t>
    <rPh sb="0" eb="2">
      <t>シンキ</t>
    </rPh>
    <rPh sb="5" eb="7">
      <t>ヘンコウ</t>
    </rPh>
    <phoneticPr fontId="7"/>
  </si>
  <si>
    <t>備考</t>
    <rPh sb="0" eb="2">
      <t>ビコウ</t>
    </rPh>
    <phoneticPr fontId="7"/>
  </si>
  <si>
    <t>スペア1% or 10コ</t>
    <phoneticPr fontId="7"/>
  </si>
  <si>
    <t>Sign back</t>
    <phoneticPr fontId="7"/>
  </si>
  <si>
    <t>物流備考</t>
    <rPh sb="0" eb="2">
      <t>ブツリュウ</t>
    </rPh>
    <rPh sb="2" eb="4">
      <t>ビコウ</t>
    </rPh>
    <phoneticPr fontId="7"/>
  </si>
  <si>
    <t>PO/Ex-F</t>
    <phoneticPr fontId="7"/>
  </si>
  <si>
    <t>出荷Delay</t>
    <rPh sb="0" eb="2">
      <t>シュッカ</t>
    </rPh>
    <phoneticPr fontId="7"/>
  </si>
  <si>
    <t>本船遅延</t>
    <rPh sb="0" eb="2">
      <t>ホンセン</t>
    </rPh>
    <rPh sb="2" eb="4">
      <t>チエン</t>
    </rPh>
    <phoneticPr fontId="7"/>
  </si>
  <si>
    <t>ETD Delay</t>
    <phoneticPr fontId="7"/>
  </si>
  <si>
    <t>本船名</t>
    <rPh sb="0" eb="2">
      <t>ホンセン</t>
    </rPh>
    <rPh sb="2" eb="3">
      <t>メイ</t>
    </rPh>
    <phoneticPr fontId="7"/>
  </si>
  <si>
    <t>Booking ETD</t>
    <phoneticPr fontId="7"/>
  </si>
  <si>
    <t>PO/ETD</t>
    <phoneticPr fontId="7"/>
  </si>
  <si>
    <t>PO/納品日</t>
    <rPh sb="3" eb="5">
      <t>ノウヒン</t>
    </rPh>
    <rPh sb="5" eb="6">
      <t>ビ</t>
    </rPh>
    <phoneticPr fontId="7"/>
  </si>
  <si>
    <t>20FT・最短</t>
    <rPh sb="5" eb="7">
      <t>サイタン</t>
    </rPh>
    <phoneticPr fontId="7"/>
  </si>
  <si>
    <t>UNW</t>
    <phoneticPr fontId="7"/>
  </si>
  <si>
    <t>日通</t>
    <rPh sb="0" eb="2">
      <t>ニッツウ</t>
    </rPh>
    <phoneticPr fontId="7"/>
  </si>
  <si>
    <t>上海</t>
    <rPh sb="0" eb="2">
      <t>シャンハイ</t>
    </rPh>
    <phoneticPr fontId="7"/>
  </si>
  <si>
    <t>横浜</t>
    <rPh sb="0" eb="2">
      <t>ヨコハマ</t>
    </rPh>
    <phoneticPr fontId="7"/>
  </si>
  <si>
    <t>納品日確定</t>
    <rPh sb="0" eb="3">
      <t>ノウヒンビ</t>
    </rPh>
    <rPh sb="3" eb="5">
      <t>カクテイ</t>
    </rPh>
    <phoneticPr fontId="7"/>
  </si>
  <si>
    <t>QING YUN HE 731E</t>
    <phoneticPr fontId="7"/>
  </si>
  <si>
    <r>
      <t>40FT (1)・</t>
    </r>
    <r>
      <rPr>
        <sz val="10"/>
        <color rgb="FFC00000"/>
        <rFont val="UD デジタル 教科書体 N-R"/>
        <family val="1"/>
        <charset val="128"/>
      </rPr>
      <t>最短</t>
    </r>
    <r>
      <rPr>
        <sz val="10"/>
        <rFont val="UD デジタル 教科書体 N-R"/>
        <family val="1"/>
        <charset val="128"/>
      </rPr>
      <t xml:space="preserve">
</t>
    </r>
    <r>
      <rPr>
        <sz val="10"/>
        <color rgb="FFFF0000"/>
        <rFont val="UD デジタル 教科書体 N-R"/>
        <family val="1"/>
        <charset val="128"/>
      </rPr>
      <t>IDU法人首單</t>
    </r>
    <rPh sb="9" eb="11">
      <t>サイタン</t>
    </rPh>
    <phoneticPr fontId="7"/>
  </si>
  <si>
    <t>12/23 PM  検品
12/26　　　出荷</t>
    <rPh sb="10" eb="12">
      <t>ケンピン</t>
    </rPh>
    <rPh sb="21" eb="23">
      <t>シュッカ</t>
    </rPh>
    <phoneticPr fontId="7"/>
  </si>
  <si>
    <t>納品日確定
通関書類入手済</t>
    <rPh sb="0" eb="3">
      <t>ノウヒンビ</t>
    </rPh>
    <rPh sb="3" eb="5">
      <t>カクテイ</t>
    </rPh>
    <rPh sb="6" eb="10">
      <t>ツウカンショルイ</t>
    </rPh>
    <rPh sb="10" eb="12">
      <t>ニュウシュ</t>
    </rPh>
    <rPh sb="12" eb="13">
      <t>ズ</t>
    </rPh>
    <phoneticPr fontId="7"/>
  </si>
  <si>
    <t>〇/最短平塚</t>
    <rPh sb="2" eb="4">
      <t>サイタン</t>
    </rPh>
    <rPh sb="4" eb="6">
      <t>ヒラヅカ</t>
    </rPh>
    <phoneticPr fontId="7"/>
  </si>
  <si>
    <t>QING YUN HE 732E</t>
    <phoneticPr fontId="7"/>
  </si>
  <si>
    <t>12/29可能性もあり⇒</t>
    <rPh sb="5" eb="7">
      <t>カノウ</t>
    </rPh>
    <rPh sb="7" eb="8">
      <t>セイ</t>
    </rPh>
    <phoneticPr fontId="7"/>
  </si>
  <si>
    <t>DHL</t>
    <phoneticPr fontId="7"/>
  </si>
  <si>
    <t>本社・開発</t>
    <rPh sb="0" eb="2">
      <t>ホンシャ</t>
    </rPh>
    <rPh sb="3" eb="5">
      <t>カイハツ</t>
    </rPh>
    <phoneticPr fontId="7"/>
  </si>
  <si>
    <t>DHL 2161159361</t>
    <phoneticPr fontId="7"/>
  </si>
  <si>
    <t>先行出荷</t>
    <rPh sb="0" eb="2">
      <t>センコウ</t>
    </rPh>
    <rPh sb="2" eb="4">
      <t>シュッカ</t>
    </rPh>
    <phoneticPr fontId="7"/>
  </si>
  <si>
    <t>綾瀬</t>
    <rPh sb="0" eb="2">
      <t>アヤセ</t>
    </rPh>
    <phoneticPr fontId="7"/>
  </si>
  <si>
    <t>DHL　2763298425</t>
    <phoneticPr fontId="7"/>
  </si>
  <si>
    <t>海老名</t>
    <rPh sb="0" eb="3">
      <t>エビナ</t>
    </rPh>
    <phoneticPr fontId="7"/>
  </si>
  <si>
    <t>DHL　2161166943</t>
    <phoneticPr fontId="7"/>
  </si>
  <si>
    <t>40FT (2)</t>
    <phoneticPr fontId="7"/>
  </si>
  <si>
    <t>12/23 PM  検品</t>
  </si>
  <si>
    <t>40FT (3)</t>
    <phoneticPr fontId="7"/>
  </si>
  <si>
    <t>CPU缺料、EXF(確定)</t>
    <rPh sb="10" eb="12">
      <t>カクテイ</t>
    </rPh>
    <phoneticPr fontId="7"/>
  </si>
  <si>
    <t>40FT (4)</t>
    <phoneticPr fontId="7"/>
  </si>
  <si>
    <r>
      <t xml:space="preserve">納品日確定
</t>
    </r>
    <r>
      <rPr>
        <sz val="10"/>
        <color rgb="FFFF0000"/>
        <rFont val="UD デジタル 教科書体 N-R"/>
        <family val="1"/>
        <charset val="128"/>
      </rPr>
      <t>通関書類待ち</t>
    </r>
    <rPh sb="0" eb="3">
      <t>ノウヒンビ</t>
    </rPh>
    <rPh sb="3" eb="5">
      <t>カクテイ</t>
    </rPh>
    <rPh sb="6" eb="10">
      <t>ツウカンショルイ</t>
    </rPh>
    <rPh sb="10" eb="11">
      <t>マ</t>
    </rPh>
    <phoneticPr fontId="7"/>
  </si>
  <si>
    <t>40FT</t>
    <phoneticPr fontId="7"/>
  </si>
  <si>
    <t>1/6~1/7</t>
  </si>
  <si>
    <t>EXF 確定</t>
    <rPh sb="4" eb="6">
      <t>カクテイ</t>
    </rPh>
    <phoneticPr fontId="7"/>
  </si>
  <si>
    <t>発注済</t>
    <rPh sb="0" eb="2">
      <t>ハッ</t>
    </rPh>
    <rPh sb="2" eb="3">
      <t>スミ</t>
    </rPh>
    <phoneticPr fontId="7"/>
  </si>
  <si>
    <t>値上15ドル2K分</t>
    <rPh sb="0" eb="2">
      <t>ネア</t>
    </rPh>
    <rPh sb="8" eb="9">
      <t>ブン</t>
    </rPh>
    <phoneticPr fontId="7"/>
  </si>
  <si>
    <t>CPU缺料、EXF(TBD)</t>
    <phoneticPr fontId="7"/>
  </si>
  <si>
    <t>UNW-IDE-Acover印刷用</t>
  </si>
  <si>
    <t>UNW</t>
  </si>
  <si>
    <t>平塚</t>
    <rPh sb="0" eb="2">
      <t>ヒラ</t>
    </rPh>
    <phoneticPr fontId="7"/>
  </si>
  <si>
    <t>UNW-IDK10-Acover印刷用</t>
  </si>
  <si>
    <t>UNW-IDK40-Acover印刷用</t>
  </si>
  <si>
    <t>UNW-IDU10-Acover印刷用</t>
  </si>
  <si>
    <t>UNW-IDU43-Acover印刷用</t>
  </si>
  <si>
    <t>+$69　法人確認済</t>
    <rPh sb="5" eb="7">
      <t>ホウジン</t>
    </rPh>
    <rPh sb="7" eb="9">
      <t>カクニン</t>
    </rPh>
    <rPh sb="9" eb="10">
      <t>スミ</t>
    </rPh>
    <phoneticPr fontId="7"/>
  </si>
  <si>
    <t>+87ドル企画発注承認済</t>
    <rPh sb="5" eb="7">
      <t>キカク</t>
    </rPh>
    <rPh sb="7" eb="9">
      <t>ハッチュウ</t>
    </rPh>
    <rPh sb="9" eb="11">
      <t>ショウニン</t>
    </rPh>
    <rPh sb="11" eb="12">
      <t>スミ</t>
    </rPh>
    <phoneticPr fontId="7"/>
  </si>
  <si>
    <t>以下は未発注です。</t>
    <rPh sb="0" eb="2">
      <t>イカ</t>
    </rPh>
    <rPh sb="3" eb="6">
      <t>ミハッチュウ</t>
    </rPh>
    <phoneticPr fontId="7"/>
  </si>
  <si>
    <t>CLE</t>
    <phoneticPr fontId="7"/>
  </si>
  <si>
    <t>FCST</t>
    <phoneticPr fontId="7"/>
  </si>
  <si>
    <t>日通</t>
    <phoneticPr fontId="7"/>
  </si>
  <si>
    <t>4M DDR4→DDR5_223062→286433</t>
  </si>
  <si>
    <t>初回海老名検証2台</t>
    <rPh sb="0" eb="2">
      <t>ショカイ</t>
    </rPh>
    <rPh sb="2" eb="7">
      <t>エビナ</t>
    </rPh>
    <rPh sb="8" eb="9">
      <t>ダイ</t>
    </rPh>
    <phoneticPr fontId="7"/>
  </si>
  <si>
    <t>日通</t>
  </si>
  <si>
    <t>WZN</t>
    <phoneticPr fontId="7"/>
  </si>
  <si>
    <t>内外</t>
    <rPh sb="0" eb="2">
      <t>ナイガイ</t>
    </rPh>
    <phoneticPr fontId="7"/>
  </si>
  <si>
    <t>香港</t>
    <rPh sb="0" eb="2">
      <t>ホンコン</t>
    </rPh>
    <phoneticPr fontId="7"/>
  </si>
  <si>
    <t>深セン</t>
    <rPh sb="0" eb="1">
      <t>シン</t>
    </rPh>
    <phoneticPr fontId="7"/>
  </si>
  <si>
    <t>コード</t>
  </si>
  <si>
    <t>数量</t>
  </si>
  <si>
    <t>$単価</t>
    <rPh sb="1" eb="3">
      <t>タンカ</t>
    </rPh>
    <phoneticPr fontId="2"/>
  </si>
  <si>
    <t>¥単価</t>
    <rPh sb="1" eb="3">
      <t>タンカ</t>
    </rPh>
    <phoneticPr fontId="2"/>
  </si>
  <si>
    <t>発注日</t>
    <rPh sb="0" eb="2">
      <t>ハッチュウ</t>
    </rPh>
    <rPh sb="2" eb="3">
      <t>ビ</t>
    </rPh>
    <phoneticPr fontId="2"/>
  </si>
  <si>
    <t>LT</t>
  </si>
  <si>
    <t>綽名</t>
    <rPh sb="0" eb="2">
      <t>アダナ</t>
    </rPh>
    <phoneticPr fontId="2"/>
  </si>
  <si>
    <t>購買先</t>
    <rPh sb="0" eb="2">
      <t>コウバイ</t>
    </rPh>
    <rPh sb="2" eb="3">
      <t>サキ</t>
    </rPh>
    <phoneticPr fontId="2"/>
  </si>
  <si>
    <t>発注番号</t>
    <rPh sb="0" eb="2">
      <t>ハッチュウ</t>
    </rPh>
    <rPh sb="2" eb="4">
      <t>バンゴウ</t>
    </rPh>
    <phoneticPr fontId="2"/>
  </si>
  <si>
    <t>合計</t>
    <rPh sb="0" eb="2">
      <t>ゴウケイ</t>
    </rPh>
    <phoneticPr fontId="2"/>
  </si>
  <si>
    <t>検品日</t>
    <rPh sb="0" eb="2">
      <t>ケンピン</t>
    </rPh>
    <rPh sb="2" eb="3">
      <t>ビ</t>
    </rPh>
    <phoneticPr fontId="2"/>
  </si>
  <si>
    <t>工場出荷日</t>
    <rPh sb="0" eb="2">
      <t>コウジョウ</t>
    </rPh>
    <rPh sb="2" eb="4">
      <t>シュッカ</t>
    </rPh>
    <rPh sb="4" eb="5">
      <t>ビ</t>
    </rPh>
    <phoneticPr fontId="2"/>
  </si>
  <si>
    <t>A/S</t>
  </si>
  <si>
    <t>ETD</t>
  </si>
  <si>
    <t>POL</t>
  </si>
  <si>
    <t>ETA</t>
  </si>
  <si>
    <t>POD</t>
  </si>
  <si>
    <t>F/T〆</t>
  </si>
  <si>
    <t>物流状況</t>
    <rPh sb="0" eb="2">
      <t>ブツリュウ</t>
    </rPh>
    <rPh sb="2" eb="4">
      <t>ジョウキョウ</t>
    </rPh>
    <phoneticPr fontId="2"/>
  </si>
  <si>
    <t>新規/4M変更</t>
    <rPh sb="0" eb="2">
      <t>シンキ</t>
    </rPh>
    <rPh sb="5" eb="7">
      <t>ヘンコウ</t>
    </rPh>
    <phoneticPr fontId="2"/>
  </si>
  <si>
    <t>備考</t>
    <rPh sb="0" eb="2">
      <t>ビコウ</t>
    </rPh>
    <phoneticPr fontId="2"/>
  </si>
  <si>
    <t>スペア1% or 10コ</t>
  </si>
  <si>
    <t>Sign back</t>
  </si>
  <si>
    <t>物流備考</t>
    <rPh sb="0" eb="2">
      <t>ブツリュウ</t>
    </rPh>
    <rPh sb="2" eb="4">
      <t>ビコウ</t>
    </rPh>
    <phoneticPr fontId="2"/>
  </si>
  <si>
    <t>PO/Ex-F</t>
  </si>
  <si>
    <t>出荷Delay</t>
    <rPh sb="0" eb="2">
      <t>シュッカ</t>
    </rPh>
    <phoneticPr fontId="2"/>
  </si>
  <si>
    <t>本船遅延</t>
    <rPh sb="0" eb="2">
      <t>ホンセン</t>
    </rPh>
    <rPh sb="2" eb="4">
      <t>チエン</t>
    </rPh>
    <phoneticPr fontId="2"/>
  </si>
  <si>
    <t>ETD Delay</t>
  </si>
  <si>
    <t>本船名</t>
    <rPh sb="0" eb="2">
      <t>ホンセン</t>
    </rPh>
    <rPh sb="2" eb="3">
      <t>メイ</t>
    </rPh>
    <phoneticPr fontId="2"/>
  </si>
  <si>
    <t>Booking ETD</t>
  </si>
  <si>
    <t>PO/ETD</t>
  </si>
  <si>
    <t>PO/納品日</t>
    <rPh sb="3" eb="5">
      <t>ノウヒン</t>
    </rPh>
    <rPh sb="5" eb="6">
      <t>ビ</t>
    </rPh>
    <phoneticPr fontId="2"/>
  </si>
  <si>
    <t>40FT(1)最短</t>
    <rPh sb="7" eb="9">
      <t>サイタン</t>
    </rPh>
    <phoneticPr fontId="8"/>
  </si>
  <si>
    <t>日通</t>
    <rPh sb="0" eb="2">
      <t>ニッツウ</t>
    </rPh>
    <phoneticPr fontId="8"/>
  </si>
  <si>
    <t>上海</t>
    <rPh sb="0" eb="2">
      <t>シャンハイ</t>
    </rPh>
    <phoneticPr fontId="8"/>
  </si>
  <si>
    <t>横浜</t>
    <rPh sb="0" eb="2">
      <t>ヨコハマ</t>
    </rPh>
    <phoneticPr fontId="8"/>
  </si>
  <si>
    <t>納品日確定</t>
    <rPh sb="0" eb="3">
      <t>ノウヒンビ</t>
    </rPh>
    <rPh sb="3" eb="5">
      <t>カクテイ</t>
    </rPh>
    <phoneticPr fontId="8"/>
  </si>
  <si>
    <t>40FT(2)+リペア</t>
  </si>
  <si>
    <t>20FT・急ぎ</t>
    <rPh sb="5" eb="6">
      <t>イソ</t>
    </rPh>
    <phoneticPr fontId="8"/>
  </si>
  <si>
    <t>QNT</t>
  </si>
  <si>
    <t>WES SINA 436E</t>
  </si>
  <si>
    <t>ロゴ変更か？確認中</t>
    <rPh sb="2" eb="4">
      <t>ヘンコウ</t>
    </rPh>
    <rPh sb="6" eb="8">
      <t>カクニン</t>
    </rPh>
    <rPh sb="8" eb="9">
      <t>チュウ</t>
    </rPh>
    <phoneticPr fontId="8"/>
  </si>
  <si>
    <t>40FT/最短</t>
    <rPh sb="5" eb="7">
      <t>サイタン</t>
    </rPh>
    <phoneticPr fontId="8"/>
  </si>
  <si>
    <t>WZN</t>
  </si>
  <si>
    <t>蛇口</t>
    <rPh sb="0" eb="2">
      <t>ジャグチ</t>
    </rPh>
    <phoneticPr fontId="8"/>
  </si>
  <si>
    <t>不使用</t>
    <rPh sb="0" eb="3">
      <t>フシヨウ</t>
    </rPh>
    <phoneticPr fontId="8"/>
  </si>
  <si>
    <t>価格交渉-$3</t>
    <rPh sb="0" eb="2">
      <t>カカク</t>
    </rPh>
    <rPh sb="2" eb="4">
      <t>コウショウ</t>
    </rPh>
    <phoneticPr fontId="8"/>
  </si>
  <si>
    <t>YM INAUGURATION - 324N</t>
  </si>
  <si>
    <t>4M(223065から)</t>
  </si>
  <si>
    <t>WZN-Battery(品管検証用)</t>
  </si>
  <si>
    <r>
      <t>40FT、</t>
    </r>
    <r>
      <rPr>
        <sz val="10"/>
        <color rgb="FFFF0000"/>
        <rFont val="ＭＳ ゴシック"/>
        <family val="3"/>
        <charset val="128"/>
      </rPr>
      <t>最短</t>
    </r>
    <rPh sb="5" eb="7">
      <t>サイタン</t>
    </rPh>
    <phoneticPr fontId="8"/>
  </si>
  <si>
    <t>CLE</t>
  </si>
  <si>
    <t>CONFIDENCE 001E</t>
  </si>
  <si>
    <t>40FT・最短
with Parts</t>
    <rPh sb="5" eb="7">
      <t>サイタン</t>
    </rPh>
    <phoneticPr fontId="8"/>
  </si>
  <si>
    <t>EXF 確定</t>
    <rPh sb="4" eb="6">
      <t>カクテイ</t>
    </rPh>
    <phoneticPr fontId="8"/>
  </si>
  <si>
    <t>4M(210646→223062)</t>
  </si>
  <si>
    <t>ロゴ変更</t>
  </si>
  <si>
    <t>〇</t>
  </si>
  <si>
    <t>TWカスタマイズ機種なので、TWの注文分から抜き取ってQE検証（Quality Engineering）が必要</t>
  </si>
  <si>
    <t>〇/最短綾瀬</t>
    <rPh sb="2" eb="4">
      <t>サイタン</t>
    </rPh>
    <rPh sb="4" eb="6">
      <t>アヤセ</t>
    </rPh>
    <phoneticPr fontId="8"/>
  </si>
  <si>
    <t>企画AIR不要</t>
    <rPh sb="0" eb="2">
      <t>キカク</t>
    </rPh>
    <rPh sb="5" eb="7">
      <t>フヨウ</t>
    </rPh>
    <phoneticPr fontId="8"/>
  </si>
  <si>
    <t>法人AIR不要</t>
    <rPh sb="0" eb="2">
      <t>ホウジン</t>
    </rPh>
    <rPh sb="5" eb="7">
      <t>フヨウ</t>
    </rPh>
    <phoneticPr fontId="8"/>
  </si>
  <si>
    <t>CLE-NL45-150U-UMA-L6-TPM DDR5 Thirdwave PVT</t>
  </si>
  <si>
    <t>DHL</t>
  </si>
  <si>
    <t>海老名</t>
    <rPh sb="0" eb="3">
      <t>エビナ</t>
    </rPh>
    <phoneticPr fontId="8"/>
  </si>
  <si>
    <t>CLE-NL45-120U-UMA-L6-TPM DDR5 Thirdwave PVT</t>
  </si>
  <si>
    <t>本社+海老名</t>
    <rPh sb="0" eb="2">
      <t>ホンシャ</t>
    </rPh>
    <rPh sb="3" eb="6">
      <t>エビナ</t>
    </rPh>
    <phoneticPr fontId="8"/>
  </si>
  <si>
    <t>CLE-NL45-1334U-UMA-L6-TPM DDR5 Thirdwave PVT</t>
  </si>
  <si>
    <t>CLE-NL45-1355U-UMA-L6-TPM DDR5 Thirdwave PVT</t>
  </si>
  <si>
    <t>40FT,F/T?</t>
  </si>
  <si>
    <t>40FT</t>
  </si>
  <si>
    <t>11/17~11/18</t>
  </si>
  <si>
    <t>全数リワーク</t>
  </si>
  <si>
    <t>ロゴなし</t>
  </si>
  <si>
    <t>CLE-NL55-1334U-UMA-L6-TPM Thirdwave PVT</t>
  </si>
  <si>
    <t>本社1、海老名1</t>
    <rPh sb="0" eb="2">
      <t>ホン</t>
    </rPh>
    <rPh sb="4" eb="7">
      <t>エビ</t>
    </rPh>
    <phoneticPr fontId="8"/>
  </si>
  <si>
    <t>CLE-NL55-1315U-UMA-L6-TPM Thirdwave PVT</t>
  </si>
  <si>
    <t>PO上：12/5⇒</t>
    <rPh sb="2" eb="3">
      <t>ジョウ</t>
    </rPh>
    <phoneticPr fontId="8"/>
  </si>
  <si>
    <t>本社・開発</t>
    <rPh sb="0" eb="2">
      <t>ホンシャ</t>
    </rPh>
    <rPh sb="3" eb="5">
      <t>カイハツ</t>
    </rPh>
    <phoneticPr fontId="8"/>
  </si>
  <si>
    <t>先行出荷</t>
    <rPh sb="0" eb="2">
      <t>センコウ</t>
    </rPh>
    <rPh sb="2" eb="4">
      <t>シュッカ</t>
    </rPh>
    <phoneticPr fontId="8"/>
  </si>
  <si>
    <t>綾瀬</t>
    <rPh sb="0" eb="2">
      <t>アヤセ</t>
    </rPh>
    <phoneticPr fontId="8"/>
  </si>
  <si>
    <t>12/5は最短</t>
    <rPh sb="5" eb="7">
      <t>サイタン</t>
    </rPh>
    <phoneticPr fontId="8"/>
  </si>
  <si>
    <t>12/11⇒</t>
  </si>
  <si>
    <t>ロゴあり</t>
  </si>
  <si>
    <t>CLE-NL55-1355U-UMA-L6-TPM Thirdwave PVT</t>
  </si>
  <si>
    <t>開発1、法人１、海老名1</t>
    <rPh sb="0" eb="2">
      <t>カイハツ</t>
    </rPh>
    <rPh sb="4" eb="6">
      <t>ホウジン</t>
    </rPh>
    <rPh sb="8" eb="11">
      <t>エビ</t>
    </rPh>
    <phoneticPr fontId="8"/>
  </si>
  <si>
    <t>20FT</t>
  </si>
  <si>
    <t>12/1⇒</t>
  </si>
  <si>
    <t>20FT・最短</t>
    <rPh sb="5" eb="7">
      <t>サイタン</t>
    </rPh>
    <phoneticPr fontId="8"/>
  </si>
  <si>
    <t>12/14WK:Thirdwave検品 &amp; UNW Ship MP 1st LOT</t>
  </si>
  <si>
    <t>調整中、12/11⇒</t>
    <rPh sb="0" eb="3">
      <t>チョウセイチュウ</t>
    </rPh>
    <phoneticPr fontId="8"/>
  </si>
  <si>
    <t>12/18⇒</t>
  </si>
  <si>
    <t>40FT
11/6)法人:1/12週納品OK</t>
  </si>
  <si>
    <t>DDR5　40FT
11/5）法人：1/9まで納品OK</t>
  </si>
  <si>
    <t>4M　DDR4→DDR5</t>
  </si>
  <si>
    <t>商品CD</t>
    <rPh sb="0" eb="2">
      <t>ショウヒン</t>
    </rPh>
    <phoneticPr fontId="4"/>
  </si>
  <si>
    <t>発注名</t>
    <rPh sb="0" eb="3">
      <t>ハッチュウメイ</t>
    </rPh>
    <phoneticPr fontId="4"/>
  </si>
  <si>
    <t>検索</t>
    <rPh sb="0" eb="2">
      <t>ケンサク</t>
    </rPh>
    <phoneticPr fontId="4"/>
  </si>
  <si>
    <t>上期</t>
    <rPh sb="0" eb="2">
      <t>カミキ</t>
    </rPh>
    <phoneticPr fontId="7"/>
  </si>
  <si>
    <t>下期</t>
    <rPh sb="0" eb="2">
      <t>シモキ</t>
    </rPh>
    <phoneticPr fontId="7"/>
  </si>
  <si>
    <t>カテゴリ別合計</t>
    <rPh sb="4" eb="5">
      <t>ベツ</t>
    </rPh>
    <rPh sb="5" eb="7">
      <t>ゴウケイ</t>
    </rPh>
    <phoneticPr fontId="4"/>
  </si>
  <si>
    <t>43期 (予算)年間</t>
    <rPh sb="8" eb="10">
      <t>ネンカン</t>
    </rPh>
    <phoneticPr fontId="4"/>
  </si>
  <si>
    <r>
      <rPr>
        <sz val="11"/>
        <color theme="1"/>
        <rFont val="游ゴシック"/>
        <family val="2"/>
        <charset val="128"/>
      </rPr>
      <t>上期</t>
    </r>
    <rPh sb="0" eb="2">
      <t>カミキ</t>
    </rPh>
    <phoneticPr fontId="4"/>
  </si>
  <si>
    <r>
      <rPr>
        <sz val="11"/>
        <color theme="1"/>
        <rFont val="游ゴシック"/>
        <family val="2"/>
        <charset val="128"/>
      </rPr>
      <t>下期</t>
    </r>
    <rPh sb="0" eb="2">
      <t>シモキ</t>
    </rPh>
    <phoneticPr fontId="4"/>
  </si>
  <si>
    <t>ノート全体</t>
    <rPh sb="3" eb="5">
      <t>ゼンタイ</t>
    </rPh>
    <phoneticPr fontId="4"/>
  </si>
  <si>
    <t>売上</t>
    <rPh sb="0" eb="2">
      <t>ウリアゲ</t>
    </rPh>
    <phoneticPr fontId="7"/>
  </si>
  <si>
    <t>予算</t>
    <rPh sb="0" eb="2">
      <t>ヨサン</t>
    </rPh>
    <phoneticPr fontId="4"/>
  </si>
  <si>
    <t>実績</t>
    <rPh sb="0" eb="2">
      <t>ジッセキ</t>
    </rPh>
    <phoneticPr fontId="7"/>
  </si>
  <si>
    <t>進捗</t>
    <rPh sb="0" eb="2">
      <t>シンチョク</t>
    </rPh>
    <phoneticPr fontId="4"/>
  </si>
  <si>
    <t>粗利</t>
    <rPh sb="0" eb="2">
      <t>アラリ</t>
    </rPh>
    <phoneticPr fontId="7"/>
  </si>
  <si>
    <t>台数</t>
    <rPh sb="0" eb="2">
      <t>ダイスウ</t>
    </rPh>
    <phoneticPr fontId="7"/>
  </si>
  <si>
    <t>単価</t>
    <rPh sb="0" eb="2">
      <t>タンカ</t>
    </rPh>
    <phoneticPr fontId="7"/>
  </si>
  <si>
    <t>粗利率</t>
    <rPh sb="0" eb="3">
      <t>アラリリツ</t>
    </rPh>
    <phoneticPr fontId="7"/>
  </si>
  <si>
    <t>進捗差異</t>
    <rPh sb="0" eb="2">
      <t>シンチョク</t>
    </rPh>
    <rPh sb="2" eb="4">
      <t>サイ</t>
    </rPh>
    <phoneticPr fontId="4"/>
  </si>
  <si>
    <t>ノート 実績</t>
    <rPh sb="4" eb="6">
      <t>ジッセキ</t>
    </rPh>
    <phoneticPr fontId="4"/>
  </si>
  <si>
    <t>GAALS</t>
  </si>
  <si>
    <t>GALLERIA/NB</t>
    <phoneticPr fontId="4"/>
  </si>
  <si>
    <t>GAALP</t>
  </si>
  <si>
    <t>GAALV</t>
  </si>
  <si>
    <t>過不足</t>
    <rPh sb="0" eb="3">
      <t>カフソク</t>
    </rPh>
    <phoneticPr fontId="4"/>
  </si>
  <si>
    <t>GALLERIA 不足</t>
    <rPh sb="9" eb="11">
      <t>フソク</t>
    </rPh>
    <phoneticPr fontId="4"/>
  </si>
  <si>
    <t>RTALS</t>
  </si>
  <si>
    <t>raytrek/NB</t>
  </si>
  <si>
    <t>RTALP</t>
  </si>
  <si>
    <t>RTALV</t>
  </si>
  <si>
    <t>raytrek実績</t>
    <rPh sb="7" eb="9">
      <t>ジッセキ</t>
    </rPh>
    <phoneticPr fontId="4"/>
  </si>
  <si>
    <t>TWALS</t>
  </si>
  <si>
    <t>THIRDWAVE/NB</t>
  </si>
  <si>
    <t>TWALP</t>
  </si>
  <si>
    <t>TWALV</t>
  </si>
  <si>
    <t>THIRDWAVE 実績</t>
    <rPh sb="10" eb="12">
      <t>ジッセキ</t>
    </rPh>
    <phoneticPr fontId="4"/>
  </si>
  <si>
    <t>通販・店舗 カテゴリ別 合計</t>
    <rPh sb="0" eb="2">
      <t>ツウハン</t>
    </rPh>
    <rPh sb="3" eb="5">
      <t>テンポ</t>
    </rPh>
    <rPh sb="10" eb="11">
      <t>ベツ</t>
    </rPh>
    <rPh sb="12" eb="14">
      <t>ゴウケイ</t>
    </rPh>
    <phoneticPr fontId="4"/>
  </si>
  <si>
    <r>
      <t>8</t>
    </r>
    <r>
      <rPr>
        <sz val="10"/>
        <color theme="1"/>
        <rFont val="游ゴシック"/>
        <family val="2"/>
        <charset val="128"/>
      </rPr>
      <t>月</t>
    </r>
    <rPh sb="1" eb="2">
      <t>ガツ</t>
    </rPh>
    <phoneticPr fontId="4"/>
  </si>
  <si>
    <r>
      <t>9</t>
    </r>
    <r>
      <rPr>
        <sz val="10"/>
        <color theme="1"/>
        <rFont val="游ゴシック"/>
        <family val="2"/>
        <charset val="128"/>
      </rPr>
      <t>月</t>
    </r>
    <rPh sb="1" eb="2">
      <t>ガツ</t>
    </rPh>
    <phoneticPr fontId="4"/>
  </si>
  <si>
    <r>
      <t>10</t>
    </r>
    <r>
      <rPr>
        <sz val="10"/>
        <color theme="1"/>
        <rFont val="游ゴシック"/>
        <family val="2"/>
        <charset val="128"/>
      </rPr>
      <t>月</t>
    </r>
    <rPh sb="2" eb="3">
      <t>ガツ</t>
    </rPh>
    <phoneticPr fontId="4"/>
  </si>
  <si>
    <r>
      <t>11</t>
    </r>
    <r>
      <rPr>
        <sz val="10"/>
        <color theme="1"/>
        <rFont val="游ゴシック"/>
        <family val="2"/>
        <charset val="128"/>
      </rPr>
      <t>月</t>
    </r>
  </si>
  <si>
    <r>
      <t>12</t>
    </r>
    <r>
      <rPr>
        <sz val="10"/>
        <color theme="1"/>
        <rFont val="游ゴシック"/>
        <family val="2"/>
        <charset val="128"/>
      </rPr>
      <t>月</t>
    </r>
  </si>
  <si>
    <r>
      <t>1</t>
    </r>
    <r>
      <rPr>
        <sz val="10"/>
        <color theme="1"/>
        <rFont val="游ゴシック"/>
        <family val="2"/>
        <charset val="128"/>
      </rPr>
      <t>月</t>
    </r>
  </si>
  <si>
    <r>
      <t>2</t>
    </r>
    <r>
      <rPr>
        <sz val="10"/>
        <color theme="1"/>
        <rFont val="游ゴシック"/>
        <family val="2"/>
        <charset val="128"/>
      </rPr>
      <t>月</t>
    </r>
  </si>
  <si>
    <r>
      <t>3</t>
    </r>
    <r>
      <rPr>
        <sz val="10"/>
        <color theme="1"/>
        <rFont val="游ゴシック"/>
        <family val="2"/>
        <charset val="128"/>
      </rPr>
      <t>月</t>
    </r>
  </si>
  <si>
    <r>
      <t>4</t>
    </r>
    <r>
      <rPr>
        <sz val="10"/>
        <color theme="1"/>
        <rFont val="游ゴシック"/>
        <family val="2"/>
        <charset val="128"/>
      </rPr>
      <t>月</t>
    </r>
  </si>
  <si>
    <r>
      <t>5</t>
    </r>
    <r>
      <rPr>
        <sz val="10"/>
        <color theme="1"/>
        <rFont val="游ゴシック"/>
        <family val="2"/>
        <charset val="128"/>
      </rPr>
      <t>月</t>
    </r>
  </si>
  <si>
    <r>
      <t>6</t>
    </r>
    <r>
      <rPr>
        <sz val="10"/>
        <color theme="1"/>
        <rFont val="游ゴシック"/>
        <family val="2"/>
        <charset val="128"/>
      </rPr>
      <t>月</t>
    </r>
  </si>
  <si>
    <r>
      <t>7</t>
    </r>
    <r>
      <rPr>
        <sz val="10"/>
        <color theme="1"/>
        <rFont val="游ゴシック"/>
        <family val="2"/>
        <charset val="128"/>
      </rPr>
      <t>月</t>
    </r>
  </si>
  <si>
    <t>GACSS</t>
    <phoneticPr fontId="4"/>
  </si>
  <si>
    <t>GACSP</t>
    <phoneticPr fontId="4"/>
  </si>
  <si>
    <t>GACSV</t>
    <phoneticPr fontId="4"/>
  </si>
  <si>
    <r>
      <rPr>
        <sz val="11"/>
        <color theme="1"/>
        <rFont val="游ゴシック"/>
        <family val="2"/>
        <charset val="128"/>
      </rPr>
      <t>残り</t>
    </r>
    <rPh sb="0" eb="1">
      <t>ノコ</t>
    </rPh>
    <phoneticPr fontId="7"/>
  </si>
  <si>
    <t>RTCSS</t>
    <phoneticPr fontId="4"/>
  </si>
  <si>
    <t>RTCSP</t>
    <phoneticPr fontId="4"/>
  </si>
  <si>
    <t>RTCSV</t>
    <phoneticPr fontId="4"/>
  </si>
  <si>
    <t>TWCSS</t>
    <phoneticPr fontId="4"/>
  </si>
  <si>
    <t>TWCSP</t>
    <phoneticPr fontId="4"/>
  </si>
  <si>
    <t>TWCSV</t>
    <phoneticPr fontId="4"/>
  </si>
  <si>
    <t>通販 カテゴリ別 合計</t>
    <rPh sb="0" eb="2">
      <t>ツウハン</t>
    </rPh>
    <rPh sb="7" eb="8">
      <t>ベツ</t>
    </rPh>
    <rPh sb="9" eb="11">
      <t>ゴウケイ</t>
    </rPh>
    <phoneticPr fontId="4"/>
  </si>
  <si>
    <t>GAECS</t>
  </si>
  <si>
    <t>GAECP</t>
  </si>
  <si>
    <t>GAECV</t>
  </si>
  <si>
    <t>RTECS</t>
  </si>
  <si>
    <t>RTECP</t>
  </si>
  <si>
    <t>RTECV</t>
  </si>
  <si>
    <t>TWECS</t>
  </si>
  <si>
    <t>TWECP</t>
  </si>
  <si>
    <t>TWECV</t>
  </si>
  <si>
    <t>店舗</t>
    <rPh sb="0" eb="2">
      <t>テンポ</t>
    </rPh>
    <phoneticPr fontId="4"/>
  </si>
  <si>
    <t>GASPS</t>
  </si>
  <si>
    <t>GASPP</t>
  </si>
  <si>
    <t>GASPV</t>
  </si>
  <si>
    <t>RTSPS</t>
  </si>
  <si>
    <t>RTSPP</t>
  </si>
  <si>
    <t>RTSPV</t>
  </si>
  <si>
    <t>TWSPS</t>
  </si>
  <si>
    <t>TWSPP</t>
  </si>
  <si>
    <t>TWSPV</t>
  </si>
  <si>
    <t>法人 カテゴリ別合計</t>
    <rPh sb="0" eb="2">
      <t>ホウジン</t>
    </rPh>
    <rPh sb="7" eb="8">
      <t>ベツ</t>
    </rPh>
    <rPh sb="8" eb="10">
      <t>ゴウケイ</t>
    </rPh>
    <phoneticPr fontId="4"/>
  </si>
  <si>
    <t>GACMS</t>
  </si>
  <si>
    <t>GACMP</t>
  </si>
  <si>
    <t>GACMV</t>
  </si>
  <si>
    <t>進捗</t>
    <rPh sb="0" eb="2">
      <t>シンチョク</t>
    </rPh>
    <phoneticPr fontId="7"/>
  </si>
  <si>
    <t>予算</t>
    <rPh sb="0" eb="2">
      <t>ヨサン</t>
    </rPh>
    <phoneticPr fontId="7"/>
  </si>
  <si>
    <t>RTCMS</t>
  </si>
  <si>
    <t>RTCMP</t>
  </si>
  <si>
    <t>RTCMV</t>
  </si>
  <si>
    <t>TWCMS</t>
  </si>
  <si>
    <t>TWCMP</t>
  </si>
  <si>
    <t>TWCMV</t>
  </si>
  <si>
    <t>$単価</t>
  </si>
  <si>
    <t>¥単価</t>
  </si>
  <si>
    <t>発注日</t>
  </si>
  <si>
    <t>購買先</t>
  </si>
  <si>
    <t>発注番号</t>
  </si>
  <si>
    <t>合計</t>
  </si>
  <si>
    <t>検品日</t>
  </si>
  <si>
    <t>工場出荷日</t>
  </si>
  <si>
    <t>物流状況</t>
  </si>
  <si>
    <t>新規/4M変更</t>
  </si>
  <si>
    <t>物流備考</t>
  </si>
  <si>
    <t>本船遅延</t>
  </si>
  <si>
    <t>本船名</t>
  </si>
  <si>
    <t>$413.00</t>
  </si>
  <si>
    <t>上海</t>
  </si>
  <si>
    <t>綾瀬(生産)*2</t>
  </si>
  <si>
    <t>先行出荷〇</t>
  </si>
  <si>
    <t>秋葉原(1A20)*１</t>
  </si>
  <si>
    <t>綾瀬(1A30)*2</t>
  </si>
  <si>
    <t>平塚</t>
  </si>
  <si>
    <t>SAP変更済</t>
  </si>
  <si>
    <t>$2,800.00</t>
  </si>
  <si>
    <t>$84,000.00</t>
  </si>
  <si>
    <t>$810.00</t>
  </si>
  <si>
    <t>EXF　確定</t>
  </si>
  <si>
    <t>$2,006.00</t>
  </si>
  <si>
    <t>2nd lot</t>
  </si>
  <si>
    <t>$358.00</t>
  </si>
  <si>
    <t>同上</t>
  </si>
  <si>
    <t>平塚　企画*1</t>
  </si>
  <si>
    <t>発注済</t>
  </si>
  <si>
    <t>平塚　法*1</t>
  </si>
  <si>
    <t>$284.00</t>
  </si>
  <si>
    <t>$568.00</t>
  </si>
  <si>
    <t>綾瀬*2</t>
  </si>
  <si>
    <t>$868.00</t>
  </si>
  <si>
    <t>綾瀬*1</t>
  </si>
  <si>
    <t>$716.00</t>
  </si>
  <si>
    <t>綾瀬(開発)*2</t>
  </si>
  <si>
    <t>$1,736.00</t>
  </si>
  <si>
    <t>秋葉原 開発*1</t>
  </si>
  <si>
    <t>$438.00</t>
  </si>
  <si>
    <t>$801.00</t>
  </si>
  <si>
    <t>$240,300.00</t>
  </si>
  <si>
    <t>TBC 
∵CPU未定⇒</t>
  </si>
  <si>
    <t>2026/06/04</t>
  </si>
  <si>
    <t>4M変更取消302887</t>
  </si>
  <si>
    <t>$86,800.00</t>
  </si>
  <si>
    <t>元記載：7/3</t>
  </si>
  <si>
    <t>40FT
F/T 使わない</t>
  </si>
  <si>
    <t>$324,000.00</t>
  </si>
  <si>
    <t>40FT
F/T 使わない
法人：AIR不要</t>
  </si>
  <si>
    <t>$247,387.00</t>
  </si>
  <si>
    <t>$1,135.00</t>
  </si>
  <si>
    <t>$340,500.00</t>
  </si>
  <si>
    <t>2026/07/09</t>
  </si>
  <si>
    <t>法人専用分</t>
  </si>
  <si>
    <t>$320,400.00</t>
  </si>
  <si>
    <t>納期調整の可能性あり</t>
  </si>
  <si>
    <t>$162,000.00</t>
  </si>
  <si>
    <t>2026/07/23</t>
  </si>
  <si>
    <t>$254.00</t>
  </si>
  <si>
    <t>$25,400.00</t>
  </si>
  <si>
    <t>TBC
∵CPUない</t>
  </si>
  <si>
    <t>横浜</t>
  </si>
  <si>
    <t>発注取消</t>
  </si>
  <si>
    <t>SAPキャンセル済</t>
  </si>
  <si>
    <t>キャンセル確認済2026/4/10</t>
  </si>
  <si>
    <t>$822.00</t>
  </si>
  <si>
    <t>納期調整中</t>
  </si>
  <si>
    <t>$4,110.00</t>
  </si>
  <si>
    <t>2026/07/30</t>
  </si>
  <si>
    <t>重慶</t>
  </si>
  <si>
    <t>本社1/綾瀬2/綾瀬(開発)2</t>
  </si>
  <si>
    <t>$1,492.00</t>
  </si>
  <si>
    <t>$179,040.00</t>
  </si>
  <si>
    <t>特別サポート-2ドル</t>
  </si>
  <si>
    <t>$882.00</t>
  </si>
  <si>
    <t>$4,410.00</t>
  </si>
  <si>
    <t>$123,900.00</t>
  </si>
  <si>
    <t>$564,200.00</t>
  </si>
  <si>
    <t>$144,432.00</t>
  </si>
  <si>
    <t>元記載：6/11
UNW:6/1WK➡</t>
  </si>
  <si>
    <t>👈Push Out 最大7/E</t>
  </si>
  <si>
    <t>$1,225.00</t>
  </si>
  <si>
    <t>216518→新362644(箱4M初回)</t>
  </si>
  <si>
    <t>$454,000.00</t>
  </si>
  <si>
    <t>$689.00</t>
  </si>
  <si>
    <t>2026/08/07</t>
  </si>
  <si>
    <t>$1,378.00</t>
  </si>
  <si>
    <t>$458.00</t>
  </si>
  <si>
    <t>20ドルの化粧箱代金込/4in1箱</t>
  </si>
  <si>
    <t>$64,120.00</t>
  </si>
  <si>
    <t>$25,648.00</t>
  </si>
  <si>
    <t>$27,480.00</t>
  </si>
  <si>
    <t>$378.00</t>
  </si>
  <si>
    <t>$28,728.00</t>
  </si>
  <si>
    <t>$304.00</t>
  </si>
  <si>
    <t>$46,208.00</t>
  </si>
  <si>
    <t>$60,480.00</t>
  </si>
  <si>
    <t>$27,968.00</t>
  </si>
  <si>
    <t>$29,184.00</t>
  </si>
  <si>
    <t>$413,400.00</t>
  </si>
  <si>
    <t>$436,590.00</t>
  </si>
  <si>
    <t>2026/08/13</t>
  </si>
  <si>
    <t>$1,211.00</t>
  </si>
  <si>
    <t>$72,660.00</t>
  </si>
  <si>
    <t>箱4M　初回</t>
  </si>
  <si>
    <t>$267,150.00</t>
  </si>
  <si>
    <t>$36,750.00</t>
  </si>
  <si>
    <t>2026/08/20</t>
  </si>
  <si>
    <t>法人サポート-$2</t>
  </si>
  <si>
    <t>$247,800.00</t>
  </si>
  <si>
    <t>$260,400.00</t>
  </si>
  <si>
    <t>$592.20</t>
  </si>
  <si>
    <t>$2,961.00</t>
  </si>
  <si>
    <t>2026/09/04</t>
  </si>
  <si>
    <t>深セン</t>
  </si>
  <si>
    <t>秋葉原(1A20)*1/綾瀬(1P10)*2/綾瀬(1A30)*2</t>
  </si>
  <si>
    <t>$787.20</t>
  </si>
  <si>
    <t>$3,936.00</t>
  </si>
  <si>
    <t>元記載：9/24</t>
  </si>
  <si>
    <t>2026/08/14</t>
  </si>
  <si>
    <t>元記載：9/10</t>
  </si>
  <si>
    <t>$264,600.00</t>
  </si>
  <si>
    <t>2026/09/03</t>
  </si>
  <si>
    <t>$164,400.00</t>
  </si>
  <si>
    <t>$85,120.00</t>
  </si>
  <si>
    <t>$54,432.00</t>
  </si>
  <si>
    <t>$120,912.00</t>
  </si>
  <si>
    <t>$47,632.00</t>
  </si>
  <si>
    <t>$113,400.00</t>
  </si>
  <si>
    <t>$52,288.00</t>
  </si>
  <si>
    <t>$53,504.00</t>
  </si>
  <si>
    <t>$49,464.00</t>
  </si>
  <si>
    <t>$325,710.00</t>
  </si>
  <si>
    <t>蛇口(郵船)</t>
  </si>
  <si>
    <t>$393,600.00</t>
  </si>
  <si>
    <t>2026/09/20</t>
  </si>
  <si>
    <t>2026/09/24</t>
  </si>
  <si>
    <t>2026/10/01</t>
  </si>
  <si>
    <t>$165,200.00</t>
  </si>
  <si>
    <t>2026/10/21</t>
  </si>
  <si>
    <t>企画　キックオフ前に必要な情報</t>
    <rPh sb="0" eb="2">
      <t>キカク</t>
    </rPh>
    <rPh sb="8" eb="9">
      <t>マエ</t>
    </rPh>
    <rPh sb="10" eb="12">
      <t>ヒツヨウ</t>
    </rPh>
    <rPh sb="13" eb="15">
      <t>ジョウホウ</t>
    </rPh>
    <phoneticPr fontId="4"/>
  </si>
  <si>
    <t>・要求仕様書（素案部分）</t>
    <rPh sb="1" eb="5">
      <t>ヨウキュウシヨウ</t>
    </rPh>
    <rPh sb="5" eb="6">
      <t>ショ</t>
    </rPh>
    <rPh sb="7" eb="9">
      <t>ソアン</t>
    </rPh>
    <rPh sb="9" eb="11">
      <t>ブブン</t>
    </rPh>
    <phoneticPr fontId="4"/>
  </si>
  <si>
    <t>必要要素</t>
    <rPh sb="0" eb="2">
      <t>ヒツヨウ</t>
    </rPh>
    <rPh sb="2" eb="4">
      <t>ヨウソ</t>
    </rPh>
    <phoneticPr fontId="4"/>
  </si>
  <si>
    <t>1.企画意図</t>
    <rPh sb="2" eb="6">
      <t>キカクイト</t>
    </rPh>
    <phoneticPr fontId="4"/>
  </si>
  <si>
    <t>市場分析１　なぜその製品ラインが必要？（ブランド背景）</t>
    <rPh sb="0" eb="2">
      <t>シジョウ</t>
    </rPh>
    <rPh sb="2" eb="4">
      <t>ブンセキ</t>
    </rPh>
    <rPh sb="10" eb="12">
      <t>セイヒン</t>
    </rPh>
    <rPh sb="16" eb="18">
      <t>ヒツヨウ</t>
    </rPh>
    <rPh sb="24" eb="26">
      <t>ハイケイ</t>
    </rPh>
    <phoneticPr fontId="4"/>
  </si>
  <si>
    <t>市場分析２　将来的にどうなると考える？（3～5年後）</t>
    <rPh sb="0" eb="4">
      <t>シジョウブンセキ</t>
    </rPh>
    <rPh sb="6" eb="8">
      <t>ショウライ</t>
    </rPh>
    <rPh sb="8" eb="9">
      <t>テキ</t>
    </rPh>
    <rPh sb="15" eb="16">
      <t>カンガ</t>
    </rPh>
    <rPh sb="23" eb="25">
      <t>ネンゴ</t>
    </rPh>
    <phoneticPr fontId="4"/>
  </si>
  <si>
    <t>市場分析３　２を踏まえて販売時の状況は？</t>
    <rPh sb="0" eb="4">
      <t>シジョウブンセキ</t>
    </rPh>
    <rPh sb="8" eb="9">
      <t>フ</t>
    </rPh>
    <rPh sb="12" eb="15">
      <t>ハンバイジ</t>
    </rPh>
    <rPh sb="16" eb="18">
      <t>ジョウキョウ</t>
    </rPh>
    <phoneticPr fontId="4"/>
  </si>
  <si>
    <t>各ブランドの目指すべきところ</t>
    <rPh sb="0" eb="1">
      <t>カク</t>
    </rPh>
    <rPh sb="6" eb="8">
      <t>メザ</t>
    </rPh>
    <phoneticPr fontId="4"/>
  </si>
  <si>
    <t>上記踏まえてロードマップ（ラインナップ）</t>
    <rPh sb="0" eb="2">
      <t>ジョウキ</t>
    </rPh>
    <rPh sb="2" eb="3">
      <t>フ</t>
    </rPh>
    <phoneticPr fontId="4"/>
  </si>
  <si>
    <t>前モデルの振り返り。類似他社製品の状況。</t>
    <rPh sb="0" eb="1">
      <t>ゼン</t>
    </rPh>
    <rPh sb="5" eb="6">
      <t>フ</t>
    </rPh>
    <rPh sb="7" eb="8">
      <t>カエ</t>
    </rPh>
    <rPh sb="10" eb="12">
      <t>ルイジ</t>
    </rPh>
    <rPh sb="12" eb="14">
      <t>タシャ</t>
    </rPh>
    <rPh sb="14" eb="16">
      <t>セイヒン</t>
    </rPh>
    <rPh sb="17" eb="19">
      <t>ジョウキョウ</t>
    </rPh>
    <phoneticPr fontId="4"/>
  </si>
  <si>
    <t>結論：だからこういう製品が必要</t>
    <rPh sb="0" eb="2">
      <t>ケツロン</t>
    </rPh>
    <rPh sb="10" eb="12">
      <t>セイヒン</t>
    </rPh>
    <rPh sb="13" eb="15">
      <t>ヒツヨウ</t>
    </rPh>
    <phoneticPr fontId="4"/>
  </si>
  <si>
    <t>プロダクト要件</t>
    <rPh sb="5" eb="7">
      <t>ヨウケン</t>
    </rPh>
    <phoneticPr fontId="4"/>
  </si>
  <si>
    <t>Product</t>
    <phoneticPr fontId="4"/>
  </si>
  <si>
    <t>Custemer Value</t>
    <phoneticPr fontId="4"/>
  </si>
  <si>
    <t>・製品の価値、コアとなる要素は何なのか？</t>
    <rPh sb="1" eb="3">
      <t>セイヒン</t>
    </rPh>
    <rPh sb="4" eb="6">
      <t>カチ</t>
    </rPh>
    <rPh sb="12" eb="14">
      <t>ヨウソ</t>
    </rPh>
    <rPh sb="15" eb="16">
      <t>ナニ</t>
    </rPh>
    <phoneticPr fontId="4"/>
  </si>
  <si>
    <t>2.ターゲット</t>
    <phoneticPr fontId="4"/>
  </si>
  <si>
    <t>ターゲット顧客</t>
    <rPh sb="5" eb="7">
      <t>コキャク</t>
    </rPh>
    <phoneticPr fontId="4"/>
  </si>
  <si>
    <t>想定している市場と、目指すシェアなど</t>
    <rPh sb="0" eb="2">
      <t>ソウテイ</t>
    </rPh>
    <rPh sb="6" eb="8">
      <t>シジョウ</t>
    </rPh>
    <rPh sb="10" eb="12">
      <t>メザ</t>
    </rPh>
    <phoneticPr fontId="4"/>
  </si>
  <si>
    <t>　　　　　　　　　　　　　　　　　　　　　　　　　　　　　　　　　　　　　　　　　　　　　　　　　　　　　　　　　　　　　　　　　　　　　　　　　　　　　　　　　　　　　　　　　　　　　　　　　　　　　　　　　　　　　　　　　　　　　　　　　　　　　　　　　　　　　　　　　　　　　　　　　　　　　　　　　　　　　　　　　　　　　　　　　　　　　　　　　　　　　　　　　　　　　　　　　　　　　　　　　　　　　　　　　　　　　　　　　　　　　　　　　　　　　　　　　　　　　　　　　　　　　　　　　　　　　　　　　　　　　　　　　　　　　　　　　　　　　　　　　　　　　　　　　　　　　　　　　　　　　　　　　　　　　　　　　　　　　　　　　　　　　　　　　　　　　　　　　　　　　　　　　　　　　　　　　　　　　　　　　　　　　　　　　　　　　　　　　　　　　　　　　　　　　　　　　　　　　　　　　　　　　　　　　　　　　　　　　　　　　　　　　　　　　　　　　　　　　　　　　　　　　　　　　　　　　　　　　　　　　　　　　　　　　　　　　　　　　　　　　　　　　　　　　　　　　　　　　　　　　　　　　　　　　　　　　　　　　　　　　　　　　　　　　　　　　　　　　　　　　　　　　　　　　　　　　　　　　　　　　　　　　　　　　　　　　　　　　　　　　　　　　　　　　　　　　　　　　　　　　　　　　　　　　　　　　　　　　　　　　　　　　　　　　　　　　　　　　　　　　　　　　　　　　　　　　　　　　　　　　　　　　　　　　　　　　　　　　　　　　　　　　　　　　　　　　　　　　　　　　　　　　　　　　　　　　　　　　　　　　　　　　　　　　　　　　　　　　　　　　　　　　　　　　　　　　　　　　　　　　　　　　　　　　　　　　　　　　　　　　　　　　　　　　　　　　　　　　　　　　　　　　　　　　　　　　　　　　　　　　　　　　　　　　　　　　　　　　　　　　　　　　　　　　　　　　　　　　　　　　　　　　　　　　　　　　　　　　　　　　　　　　　　　　　　　　　　　　　　　　　　　　　　　　　　　　　　　　　　　　　　　　　　　　　　　　　　　　　　　　　　　　　　　　　　　　　　　　　　　　　　　　　　　　　　　　　　　　　　　　　　　　　　　　　　　　　　　　　　　　　　　　　　　　　　　　　　　　　　　　　　　　　　　　　　　　　　　　　　　　　　　　　　　　　　　　　　　　　　　　　　　　　　　　　　　　　　　　　　　　　　　　　　　　　　　　　　　　　　　　　　　　　　　　　　　　　　　　　　　　　　　　　　　　　　　　　　　　　　　　　　　　　　　　　　　　　　　　　　　　　　　　　　　　　　　　　　　　　　　　　　　　　　　　　　　　　　　　　　　　　　　　　　　　　　　　　　　　　　　　　　　　　　　　　　　　　　　　　　　　　　　　　　　　　　　　　　　　　　　　　　　　　　　　　　　　　　　　　　　　　　　　　　　　　　　　　　　　　　　　　　　　　　　　　　　　　　　　　　　　　　　　　　　　　　　　　　　　　　　　　　　　　　　　　　　　　　　　　　　　　　　　　　　　　　　　　　　　　　　　　　　　　　　　　　　　　　　　　　　　　　　　　　　　　　　　　　　　　　　　　　　　　　　　　　　　　　　　　　　　　　　　　　　　　　　　　　　　　　　　　　　　　　　　　　　　　　　　　　　　　　　　　　　　　　　　　　　　　　　　　　　　　　　　　　　　　　　　　　　　　　　　　　　　　　　　　　　　　　　　　　　　　　　　　　　　　　　　　　　　　　　　　　　　　　　　　　　　　　　　　　　　　　　　　　　　　　　　　　　　　　　　　　　　　　　　　　　　　　　　　　　　　　　　　　　　　　　　　　　　　　　　　　　　　　　　　　　　　　　　　　　　　　　　　　　　　　　　　　　　　　　　　　　　　　　　　　　　　　　　　　　　　　　　　　　　　　　　　　　　　　　　　　　　　　　　　　　　　　　　　　　　　　　　　　　　　　　　　　　　　　　　　　　　　　　　　　　　　　　　　　　　　　　　　　　　　　　　　　　　　　　　　　　　　　　　　　　　　　　　　　　　　　　　　　　　　　　　　　　　　　　　　　　　　　　　　　　　　　　　　　　　　　　　　　　　　　　　　　　　　　　　　　　　　　　　　　　　　　　　　　　　　　　　　　　　　　　　　　　　　　　　　　　　　　　　　　　　　　　　　　　　　　　　　　　　　　　　　　　　　　　　　　　　　　　　　　　　　　　　　　　　　　　　　　　　　　　　　　　　　　　　　　　　　　　　　　　　　　　　　　　　　　　　　　　　　　　　　　　　　　　　　　　　　　　　　　　　　　　　　　　　　　　　　　　　　　　　　　　　　　　　　　　　　　　　　　　　　　　　　　　　　　　　　　　　　　　　　　　　　　　　　　　　　　　　　　　　　　　　　　　　　　　　　　　　　　　　　　　　　　　　　　　　　　　　　　　　　　　　　　　　　　　　　　　　　　　　　　　　　　　　　　　　　　　　　　　　　　　　　　　　　　　　　　　　　　　　　　　　　　　　　　　　　　　　　　　　　　　　　　　　　　　　　　　　　　　　　　　　　　　　　　　　　　　　　　　　　　　　　　　　　　　　　　　　　　　　　　　　　　　　　　　　　　　　　　　　　　　　　　　　　　　　　　　　　　　　　　　　　　　　　　　　　　　　　　　　　　　　　　　　　　　　　　　　　　　　　　　　　　　　　　　　　　　　　　　　　　　　　　　　　　　　　　　　　　　　　　　　　　　　　　　　　　　　　　　　</t>
    <phoneticPr fontId="4"/>
  </si>
  <si>
    <t>3.訴求内容・手法</t>
    <rPh sb="2" eb="6">
      <t>ソキュウナイヨウ</t>
    </rPh>
    <rPh sb="7" eb="9">
      <t>シュホウ</t>
    </rPh>
    <phoneticPr fontId="4"/>
  </si>
  <si>
    <t>想定している仕掛け</t>
    <rPh sb="0" eb="2">
      <t>ソウテイ</t>
    </rPh>
    <rPh sb="6" eb="8">
      <t>シカ</t>
    </rPh>
    <phoneticPr fontId="4"/>
  </si>
  <si>
    <t>予定しているプロモーション</t>
    <rPh sb="0" eb="2">
      <t>ヨテイ</t>
    </rPh>
    <phoneticPr fontId="4"/>
  </si>
  <si>
    <t>Promotion</t>
    <phoneticPr fontId="4"/>
  </si>
  <si>
    <t>Comunication</t>
    <phoneticPr fontId="4"/>
  </si>
  <si>
    <t>販売ルート</t>
    <rPh sb="0" eb="2">
      <t>ハンバイ</t>
    </rPh>
    <phoneticPr fontId="4"/>
  </si>
  <si>
    <t>Place</t>
    <phoneticPr fontId="4"/>
  </si>
  <si>
    <t>Convinience</t>
    <phoneticPr fontId="4"/>
  </si>
  <si>
    <t>想定している売価</t>
    <rPh sb="0" eb="2">
      <t>ソウテイ</t>
    </rPh>
    <rPh sb="6" eb="8">
      <t>バイカ</t>
    </rPh>
    <phoneticPr fontId="4"/>
  </si>
  <si>
    <t>Cost</t>
    <phoneticPr fontId="4"/>
  </si>
  <si>
    <t>4.予算</t>
    <rPh sb="2" eb="4">
      <t>ヨサン</t>
    </rPh>
    <phoneticPr fontId="4"/>
  </si>
  <si>
    <t>ターゲットとする市場規模</t>
    <rPh sb="8" eb="10">
      <t>シジョウ</t>
    </rPh>
    <rPh sb="10" eb="12">
      <t>キボ</t>
    </rPh>
    <phoneticPr fontId="4"/>
  </si>
  <si>
    <t>結果出てくる売り上げ予測（目指すシェアなど）</t>
    <rPh sb="0" eb="2">
      <t>ケッカ</t>
    </rPh>
    <rPh sb="2" eb="3">
      <t>デ</t>
    </rPh>
    <rPh sb="6" eb="7">
      <t>ウ</t>
    </rPh>
    <rPh sb="8" eb="9">
      <t>ア</t>
    </rPh>
    <rPh sb="10" eb="12">
      <t>ヨソク</t>
    </rPh>
    <rPh sb="13" eb="15">
      <t>メザ</t>
    </rPh>
    <phoneticPr fontId="4"/>
  </si>
  <si>
    <t>粗利規模</t>
    <rPh sb="0" eb="2">
      <t>アラリ</t>
    </rPh>
    <rPh sb="2" eb="4">
      <t>キボ</t>
    </rPh>
    <phoneticPr fontId="4"/>
  </si>
  <si>
    <t>プロモーションコストなど全体予算</t>
    <rPh sb="12" eb="14">
      <t>ゼンタイ</t>
    </rPh>
    <rPh sb="14" eb="16">
      <t>ヨサン</t>
    </rPh>
    <phoneticPr fontId="4"/>
  </si>
  <si>
    <t>5.スケジュール</t>
    <phoneticPr fontId="4"/>
  </si>
  <si>
    <t>想定している販売開始時期</t>
    <rPh sb="0" eb="2">
      <t>ソウテイ</t>
    </rPh>
    <rPh sb="6" eb="8">
      <t>ハンバイ</t>
    </rPh>
    <rPh sb="8" eb="10">
      <t>カイシ</t>
    </rPh>
    <rPh sb="10" eb="12">
      <t>ジキ</t>
    </rPh>
    <phoneticPr fontId="4"/>
  </si>
  <si>
    <t>想定している販売終了時期</t>
    <rPh sb="0" eb="2">
      <t>ソウテイ</t>
    </rPh>
    <rPh sb="6" eb="8">
      <t>ハンバイ</t>
    </rPh>
    <rPh sb="8" eb="10">
      <t>シュウリョウ</t>
    </rPh>
    <rPh sb="10" eb="12">
      <t>ジキ</t>
    </rPh>
    <phoneticPr fontId="4"/>
  </si>
  <si>
    <t>目的：キックオフにおいて、関係各者にその製品の目的を共有するためのメモです。</t>
    <rPh sb="0" eb="2">
      <t>モクテキ</t>
    </rPh>
    <rPh sb="13" eb="15">
      <t>カンケイ</t>
    </rPh>
    <rPh sb="15" eb="16">
      <t>カク</t>
    </rPh>
    <rPh sb="16" eb="17">
      <t>シャ</t>
    </rPh>
    <rPh sb="20" eb="22">
      <t>セイヒン</t>
    </rPh>
    <rPh sb="23" eb="25">
      <t>モクテキ</t>
    </rPh>
    <rPh sb="26" eb="28">
      <t>キョウユウ</t>
    </rPh>
    <phoneticPr fontId="4"/>
  </si>
  <si>
    <t>　　キックオフ後にそれぞれのミーティングでブラッシュアップし、最終的な企画書にまとめる　で良いと考えています。</t>
    <rPh sb="7" eb="8">
      <t>ゴ</t>
    </rPh>
    <rPh sb="31" eb="34">
      <t>サイシュウテキ</t>
    </rPh>
    <rPh sb="35" eb="38">
      <t>キカクショ</t>
    </rPh>
    <rPh sb="45" eb="46">
      <t>ヨ</t>
    </rPh>
    <rPh sb="48" eb="49">
      <t>カンガ</t>
    </rPh>
    <phoneticPr fontId="4"/>
  </si>
  <si>
    <t>ビジネス、一般用途のPCとして、15"が依然として比率高い。</t>
    <rPh sb="5" eb="7">
      <t>イッパン</t>
    </rPh>
    <rPh sb="7" eb="9">
      <t>ヨウト</t>
    </rPh>
    <rPh sb="20" eb="22">
      <t>イゼン</t>
    </rPh>
    <rPh sb="25" eb="27">
      <t>ヒリツ</t>
    </rPh>
    <rPh sb="27" eb="28">
      <t>タカ</t>
    </rPh>
    <phoneticPr fontId="4"/>
  </si>
  <si>
    <t>ラインナップとして必須の製品</t>
    <phoneticPr fontId="4"/>
  </si>
  <si>
    <t>一部、リモートワークのための軽量化モデルが増えると考えるが、</t>
    <rPh sb="0" eb="2">
      <t>イチブ</t>
    </rPh>
    <rPh sb="14" eb="17">
      <t>ケイリョウカ</t>
    </rPh>
    <rPh sb="21" eb="22">
      <t>フ</t>
    </rPh>
    <rPh sb="25" eb="26">
      <t>カンガ</t>
    </rPh>
    <phoneticPr fontId="4"/>
  </si>
  <si>
    <t>メイン部分として価格重視の需要が一番高い</t>
    <rPh sb="3" eb="5">
      <t>ブブン</t>
    </rPh>
    <rPh sb="8" eb="10">
      <t>カカク</t>
    </rPh>
    <rPh sb="10" eb="12">
      <t>ジュウシ</t>
    </rPh>
    <rPh sb="13" eb="15">
      <t>ジュヨウ</t>
    </rPh>
    <rPh sb="16" eb="18">
      <t>イチバン</t>
    </rPh>
    <rPh sb="18" eb="19">
      <t>タカ</t>
    </rPh>
    <phoneticPr fontId="4"/>
  </si>
  <si>
    <t>急激に円安に振れた2022年に対し、2023年は各社警戒感はつよいと想定。</t>
    <rPh sb="0" eb="2">
      <t>キュウゲキ</t>
    </rPh>
    <rPh sb="3" eb="5">
      <t>エンヤス</t>
    </rPh>
    <rPh sb="6" eb="7">
      <t>フ</t>
    </rPh>
    <rPh sb="13" eb="14">
      <t>ネン</t>
    </rPh>
    <rPh sb="15" eb="16">
      <t>タイ</t>
    </rPh>
    <rPh sb="22" eb="23">
      <t>ネン</t>
    </rPh>
    <rPh sb="24" eb="26">
      <t>カクシャ</t>
    </rPh>
    <rPh sb="26" eb="28">
      <t>ケイカイ</t>
    </rPh>
    <rPh sb="28" eb="29">
      <t>カン</t>
    </rPh>
    <rPh sb="34" eb="36">
      <t>ソウテイ</t>
    </rPh>
    <phoneticPr fontId="4"/>
  </si>
  <si>
    <t>各社レート更新で全体の価格が引きあがり市場は縮小傾向を想定する。</t>
    <rPh sb="0" eb="2">
      <t>カクシャ</t>
    </rPh>
    <rPh sb="5" eb="7">
      <t>コウシン</t>
    </rPh>
    <rPh sb="8" eb="10">
      <t>ゼンタイ</t>
    </rPh>
    <rPh sb="11" eb="13">
      <t>カカク</t>
    </rPh>
    <rPh sb="14" eb="15">
      <t>ヒ</t>
    </rPh>
    <rPh sb="19" eb="21">
      <t>シジョウ</t>
    </rPh>
    <rPh sb="22" eb="24">
      <t>シュクショウ</t>
    </rPh>
    <rPh sb="24" eb="26">
      <t>ケイコウ</t>
    </rPh>
    <rPh sb="27" eb="29">
      <t>ソウテイ</t>
    </rPh>
    <phoneticPr fontId="4"/>
  </si>
  <si>
    <t>必要要素をそろえたPCをコスト重視で提供する</t>
    <rPh sb="0" eb="2">
      <t>ヒツヨウ</t>
    </rPh>
    <rPh sb="2" eb="4">
      <t>ヨウソ</t>
    </rPh>
    <rPh sb="15" eb="17">
      <t>ジュウシ</t>
    </rPh>
    <rPh sb="18" eb="20">
      <t>テイキョウ</t>
    </rPh>
    <phoneticPr fontId="4"/>
  </si>
  <si>
    <t>レッドオーシャンの市場のため、価格コントロールが困難ではあるが、</t>
    <rPh sb="9" eb="11">
      <t>シジョウ</t>
    </rPh>
    <rPh sb="15" eb="17">
      <t>カカク</t>
    </rPh>
    <rPh sb="24" eb="26">
      <t>コンナン</t>
    </rPh>
    <phoneticPr fontId="4"/>
  </si>
  <si>
    <t>数量、売上げを重点におきつつ、可能な限りの粗利額の確保を行う。</t>
    <rPh sb="0" eb="2">
      <t>スウリョウ</t>
    </rPh>
    <rPh sb="3" eb="4">
      <t>ウ</t>
    </rPh>
    <rPh sb="4" eb="5">
      <t>ア</t>
    </rPh>
    <rPh sb="7" eb="9">
      <t>ジュウテン</t>
    </rPh>
    <rPh sb="15" eb="17">
      <t>カノウ</t>
    </rPh>
    <rPh sb="18" eb="19">
      <t>カギ</t>
    </rPh>
    <rPh sb="21" eb="23">
      <t>アラリ</t>
    </rPh>
    <rPh sb="23" eb="24">
      <t>ガク</t>
    </rPh>
    <rPh sb="25" eb="27">
      <t>カクホ</t>
    </rPh>
    <rPh sb="28" eb="29">
      <t>オコナ</t>
    </rPh>
    <phoneticPr fontId="4"/>
  </si>
  <si>
    <t>・15.6"のスタンダードノート、2kg以内</t>
    <rPh sb="20" eb="22">
      <t>イナイ</t>
    </rPh>
    <phoneticPr fontId="4"/>
  </si>
  <si>
    <t>・色：シルバー、グレー、ブラックなど、事務端末ベースと想定する色調</t>
    <rPh sb="1" eb="2">
      <t>イロ</t>
    </rPh>
    <rPh sb="19" eb="21">
      <t>ジム</t>
    </rPh>
    <rPh sb="21" eb="23">
      <t>タンマツ</t>
    </rPh>
    <rPh sb="27" eb="29">
      <t>ソウテイ</t>
    </rPh>
    <rPh sb="31" eb="33">
      <t>シキチョウ</t>
    </rPh>
    <phoneticPr fontId="4"/>
  </si>
  <si>
    <t>・メモリ、SSD（NVMe）をカスタマイズできること</t>
    <phoneticPr fontId="4"/>
  </si>
  <si>
    <t>・最新のcore i5/Core i7に対応、U-SKU以上の性能</t>
    <rPh sb="1" eb="3">
      <t>サイシン</t>
    </rPh>
    <rPh sb="20" eb="22">
      <t>タイオウ</t>
    </rPh>
    <rPh sb="28" eb="30">
      <t>イジョウ</t>
    </rPh>
    <rPh sb="31" eb="33">
      <t>セイノウ</t>
    </rPh>
    <phoneticPr fontId="4"/>
  </si>
  <si>
    <t>・日本語キーボード対応</t>
    <rPh sb="1" eb="4">
      <t>ニホンゴ</t>
    </rPh>
    <rPh sb="9" eb="11">
      <t>タイオウ</t>
    </rPh>
    <phoneticPr fontId="4"/>
  </si>
  <si>
    <t>・セキュリティロック必要</t>
    <rPh sb="10" eb="12">
      <t>ヒツヨウ</t>
    </rPh>
    <phoneticPr fontId="4"/>
  </si>
  <si>
    <t>・HDMI、RJ45　×1</t>
    <phoneticPr fontId="4"/>
  </si>
  <si>
    <t>・WiFi6、BT5.2対応</t>
    <rPh sb="12" eb="14">
      <t>タイオウ</t>
    </rPh>
    <phoneticPr fontId="4"/>
  </si>
  <si>
    <t>・徹底したコスト重視。不要なものはそぎ落とす。</t>
    <rPh sb="1" eb="3">
      <t>テッテイ</t>
    </rPh>
    <rPh sb="8" eb="10">
      <t>ジュウシ</t>
    </rPh>
    <rPh sb="11" eb="13">
      <t>フヨウ</t>
    </rPh>
    <rPh sb="19" eb="20">
      <t>オ</t>
    </rPh>
    <phoneticPr fontId="4"/>
  </si>
  <si>
    <t>ドスパラ既存顧客。</t>
    <rPh sb="4" eb="6">
      <t>キゾン</t>
    </rPh>
    <rPh sb="6" eb="8">
      <t>コキャク</t>
    </rPh>
    <phoneticPr fontId="4"/>
  </si>
  <si>
    <t>既存顧客　過去購入者に対するDM</t>
    <rPh sb="0" eb="2">
      <t>キゾン</t>
    </rPh>
    <rPh sb="2" eb="4">
      <t>コキャク</t>
    </rPh>
    <rPh sb="5" eb="7">
      <t>カコ</t>
    </rPh>
    <rPh sb="7" eb="10">
      <t>コウニュウシャ</t>
    </rPh>
    <rPh sb="11" eb="12">
      <t>タイ</t>
    </rPh>
    <phoneticPr fontId="4"/>
  </si>
  <si>
    <t>ドスパラサイト内での販売中心、モールで展開することで外部に見せ、</t>
    <rPh sb="7" eb="8">
      <t>ナイ</t>
    </rPh>
    <rPh sb="10" eb="12">
      <t>ハンバイ</t>
    </rPh>
    <rPh sb="12" eb="14">
      <t>チュウシン</t>
    </rPh>
    <rPh sb="19" eb="21">
      <t>テンカイ</t>
    </rPh>
    <rPh sb="26" eb="28">
      <t>ガイブ</t>
    </rPh>
    <rPh sb="29" eb="30">
      <t>ミ</t>
    </rPh>
    <phoneticPr fontId="4"/>
  </si>
  <si>
    <t>ドスパラサイトに呼び込んでくる。</t>
    <rPh sb="8" eb="9">
      <t>ヨ</t>
    </rPh>
    <rPh sb="10" eb="11">
      <t>コ</t>
    </rPh>
    <phoneticPr fontId="4"/>
  </si>
  <si>
    <t>ドスパラ直販、店舗、モールおよび法人営業</t>
    <rPh sb="4" eb="6">
      <t>チョクハン</t>
    </rPh>
    <rPh sb="7" eb="9">
      <t>テンポ</t>
    </rPh>
    <rPh sb="16" eb="18">
      <t>ホウジン</t>
    </rPh>
    <rPh sb="18" eb="20">
      <t>エイギョウ</t>
    </rPh>
    <phoneticPr fontId="4"/>
  </si>
  <si>
    <t>Core i5で10万を切る売価</t>
    <rPh sb="10" eb="11">
      <t>マン</t>
    </rPh>
    <rPh sb="12" eb="13">
      <t>キ</t>
    </rPh>
    <rPh sb="14" eb="16">
      <t>バイカ</t>
    </rPh>
    <phoneticPr fontId="4"/>
  </si>
  <si>
    <t>Price</t>
    <phoneticPr fontId="4"/>
  </si>
  <si>
    <t>大枠としては中小企業、個人法人　421万×99.7% =420万</t>
    <rPh sb="0" eb="2">
      <t>オオワク</t>
    </rPh>
    <rPh sb="6" eb="8">
      <t>チュウショウ</t>
    </rPh>
    <rPh sb="8" eb="10">
      <t>キギョウ</t>
    </rPh>
    <rPh sb="11" eb="13">
      <t>コジン</t>
    </rPh>
    <rPh sb="13" eb="15">
      <t>ホウジン</t>
    </rPh>
    <rPh sb="19" eb="20">
      <t>マン</t>
    </rPh>
    <rPh sb="31" eb="32">
      <t>マン</t>
    </rPh>
    <phoneticPr fontId="33"/>
  </si>
  <si>
    <t>人数＝420万×8人＝3360万人　買い替え周期5年（想定）、一人当たり0.5台（想定）として</t>
    <rPh sb="0" eb="2">
      <t>ニンズウ</t>
    </rPh>
    <rPh sb="6" eb="7">
      <t>マン</t>
    </rPh>
    <rPh sb="9" eb="10">
      <t>ニン</t>
    </rPh>
    <rPh sb="15" eb="16">
      <t>マン</t>
    </rPh>
    <rPh sb="16" eb="17">
      <t>ニン</t>
    </rPh>
    <rPh sb="18" eb="19">
      <t>カ</t>
    </rPh>
    <rPh sb="20" eb="21">
      <t>カ</t>
    </rPh>
    <rPh sb="22" eb="24">
      <t>シュウキ</t>
    </rPh>
    <rPh sb="25" eb="26">
      <t>ネン</t>
    </rPh>
    <rPh sb="27" eb="29">
      <t>ソウテイ</t>
    </rPh>
    <rPh sb="31" eb="33">
      <t>ヒトリ</t>
    </rPh>
    <rPh sb="33" eb="34">
      <t>ア</t>
    </rPh>
    <rPh sb="39" eb="40">
      <t>ダイ</t>
    </rPh>
    <rPh sb="41" eb="43">
      <t>ソウテイ</t>
    </rPh>
    <phoneticPr fontId="33"/>
  </si>
  <si>
    <t>=3360/5*0.5　=336万台</t>
    <rPh sb="16" eb="18">
      <t>マンダイ</t>
    </rPh>
    <phoneticPr fontId="33"/>
  </si>
  <si>
    <t>目標は 1% 直近、前年からのアップとして、2万台を目標とする。</t>
    <rPh sb="0" eb="2">
      <t>モクヒョウ</t>
    </rPh>
    <rPh sb="7" eb="9">
      <t>チョッキン</t>
    </rPh>
    <rPh sb="10" eb="12">
      <t>ゼンネン</t>
    </rPh>
    <rPh sb="23" eb="25">
      <t>マンダイ</t>
    </rPh>
    <rPh sb="26" eb="28">
      <t>モクヒョウ</t>
    </rPh>
    <phoneticPr fontId="33"/>
  </si>
  <si>
    <t>2023年　3月発売開始（本来1月導入を目指していたが、先方都合上、遅延）</t>
    <rPh sb="4" eb="5">
      <t>ネン</t>
    </rPh>
    <rPh sb="7" eb="8">
      <t>ガツ</t>
    </rPh>
    <rPh sb="8" eb="10">
      <t>ハツバイ</t>
    </rPh>
    <rPh sb="10" eb="12">
      <t>カイシ</t>
    </rPh>
    <rPh sb="13" eb="15">
      <t>ホンライ</t>
    </rPh>
    <rPh sb="16" eb="17">
      <t>ガツ</t>
    </rPh>
    <rPh sb="17" eb="19">
      <t>ドウニュウ</t>
    </rPh>
    <rPh sb="20" eb="22">
      <t>メザ</t>
    </rPh>
    <rPh sb="28" eb="30">
      <t>センポウ</t>
    </rPh>
    <rPh sb="30" eb="32">
      <t>ツゴウ</t>
    </rPh>
    <rPh sb="32" eb="33">
      <t>ジョウ</t>
    </rPh>
    <rPh sb="34" eb="36">
      <t>チエン</t>
    </rPh>
    <phoneticPr fontId="33"/>
  </si>
  <si>
    <t>2024年　5月（次期CPUの切替タイミングで終息、2か月程度並行販売）</t>
    <rPh sb="4" eb="5">
      <t>ネン</t>
    </rPh>
    <rPh sb="7" eb="8">
      <t>ガツ</t>
    </rPh>
    <rPh sb="9" eb="11">
      <t>ジキ</t>
    </rPh>
    <rPh sb="15" eb="17">
      <t>キリカエ</t>
    </rPh>
    <rPh sb="23" eb="25">
      <t>シュウソク</t>
    </rPh>
    <rPh sb="28" eb="29">
      <t>ゲツ</t>
    </rPh>
    <rPh sb="29" eb="31">
      <t>テイド</t>
    </rPh>
    <rPh sb="31" eb="33">
      <t>ヘイコウ</t>
    </rPh>
    <rPh sb="33" eb="35">
      <t>ハンバイ</t>
    </rPh>
    <phoneticPr fontId="33"/>
  </si>
  <si>
    <t>在庫使用計画 (ノート全体試算) 数式見直し候補</t>
  </si>
  <si>
    <t>確認対象</t>
  </si>
  <si>
    <t>確認範囲</t>
  </si>
  <si>
    <t>C2:BT186</t>
  </si>
  <si>
    <t>結論</t>
  </si>
  <si>
    <t>大きな負荷源は AG:BT、L列、J:K列です。H/I/C2 は簡素化余地あり。SUM系の集計行は現状維持で問題ありません。</t>
  </si>
  <si>
    <t>優先度</t>
  </si>
  <si>
    <t>対象</t>
  </si>
  <si>
    <t>現行パターン</t>
  </si>
  <si>
    <t>懸念点</t>
  </si>
  <si>
    <t>候補方針</t>
  </si>
  <si>
    <t>期待効果</t>
  </si>
  <si>
    <t>例セル</t>
  </si>
  <si>
    <t>判定</t>
  </si>
  <si>
    <t>高</t>
  </si>
  <si>
    <t>AG:BT</t>
  </si>
  <si>
    <t>一般+法人を INDEX/MATCH で毎セル取得</t>
  </si>
  <si>
    <t>1セルあたり MATCH を複数回実行し横展開も多い</t>
  </si>
  <si>
    <t>行MATCH・列MATCHを helper 化し、本体は INDEX 合算だけにする</t>
  </si>
  <si>
    <t>再計算負荷の削減幅が最も大きい</t>
  </si>
  <si>
    <t>AG3, AQ81</t>
  </si>
  <si>
    <t>提案</t>
  </si>
  <si>
    <t>L列</t>
  </si>
  <si>
    <t>在庫枯渇月を LET+MMULT+XMATCH で判定</t>
  </si>
  <si>
    <t>TODAY・XMATCH・累計計算を毎行実行、MMULT が重い</t>
  </si>
  <si>
    <t>月位置を1回だけ計算し、累計は SCAN か helper 行へ分離する</t>
  </si>
  <si>
    <t>可読性と速度を同時に改善</t>
  </si>
  <si>
    <t>L3, L60</t>
  </si>
  <si>
    <t>J:K</t>
  </si>
  <si>
    <t>4ヶ月合計を OFFSET/MATCH で計算</t>
  </si>
  <si>
    <t>OFFSET は volatile、同じ月位置検索を何度も繰り返す</t>
  </si>
  <si>
    <t>INDEX:INDEX と開始月 helper に置換し、ROW 依存も外す</t>
  </si>
  <si>
    <t>再計算回数を抑えて読みやすくなる</t>
  </si>
  <si>
    <t>J3, K3</t>
  </si>
  <si>
    <t>中</t>
  </si>
  <si>
    <t>H列</t>
  </si>
  <si>
    <t>在庫+注残を SUMIFS 2本で計算</t>
  </si>
  <si>
    <t>同じ綽名条件を複数回評価、@_検索範囲 が冗長</t>
  </si>
  <si>
    <t>$B行を直接参照し、IO={1,5} を1式にまとめる</t>
  </si>
  <si>
    <t>式が短くなり保守しやすい</t>
  </si>
  <si>
    <t>H3</t>
  </si>
  <si>
    <t>I列</t>
  </si>
  <si>
    <t>在庫のみを LET+SUMIFS で計算</t>
  </si>
  <si>
    <t>配列変数 _検索範囲 が不要で読みにくい</t>
  </si>
  <si>
    <t>$B行を直接参照する単純な SUMIFS に寄せる</t>
  </si>
  <si>
    <t>可読性改善が中心</t>
  </si>
  <si>
    <t>I3</t>
  </si>
  <si>
    <t>C2</t>
  </si>
  <si>
    <t>XLOOKUP を IF と IFERROR で外側から包む</t>
  </si>
  <si>
    <t>not_found を IFERROR で代替しており冗長</t>
  </si>
  <si>
    <t>XLOOKUP の not_found 引数を使って簡素化する</t>
  </si>
  <si>
    <t>スピル式が読みやすくなる</t>
  </si>
  <si>
    <t>H56</t>
  </si>
  <si>
    <t>在庫確認を SUMIFS で全列参照</t>
  </si>
  <si>
    <t>全列走査で重く、@D:D も追いづらい</t>
  </si>
  <si>
    <t>テーブル参照か使用範囲固定で $D56 を条件にする</t>
  </si>
  <si>
    <t>無駄な走査を削減できる</t>
  </si>
  <si>
    <t>低</t>
  </si>
  <si>
    <t>合計行</t>
  </si>
  <si>
    <t>SUM で小計・合計を集計</t>
  </si>
  <si>
    <t>現状でも十分軽い</t>
  </si>
  <si>
    <t>変更不要</t>
  </si>
  <si>
    <t>触らない方が安全</t>
  </si>
  <si>
    <t>H54, J54, K54, K27</t>
  </si>
  <si>
    <t>維持</t>
  </si>
  <si>
    <t>←エラーチェック ≠0の場合はリスト漏れあり</t>
    <rPh sb="12" eb="14">
      <t>バアイ</t>
    </rPh>
    <rPh sb="18" eb="19">
      <t>モ</t>
    </rPh>
    <phoneticPr fontId="4"/>
  </si>
  <si>
    <t>←エラーチェック　少数の場合PVT他サンプルの可能性あり、多数の場合は漏れあり</t>
    <rPh sb="9" eb="11">
      <t>ショウスウ</t>
    </rPh>
    <rPh sb="12" eb="14">
      <t>バアイ</t>
    </rPh>
    <rPh sb="17" eb="18">
      <t>ホカ</t>
    </rPh>
    <rPh sb="23" eb="26">
      <t>カノウセイ</t>
    </rPh>
    <rPh sb="29" eb="31">
      <t>タスウ</t>
    </rPh>
    <rPh sb="32" eb="34">
      <t>バアイ</t>
    </rPh>
    <rPh sb="35" eb="36">
      <t>モ</t>
    </rPh>
    <phoneticPr fontId="4"/>
  </si>
  <si>
    <t>モデル名</t>
  </si>
  <si>
    <t>在庫月</t>
  </si>
  <si>
    <t>金額</t>
  </si>
  <si>
    <t>在庫単価</t>
  </si>
  <si>
    <t>終了予定</t>
  </si>
  <si>
    <t>現時点での見込み</t>
  </si>
  <si>
    <t>発注済み</t>
    <rPh sb="0" eb="2">
      <t>ハッチュウ</t>
    </rPh>
    <rPh sb="2" eb="3">
      <t>ズ</t>
    </rPh>
    <phoneticPr fontId="4"/>
  </si>
  <si>
    <t>発注予定</t>
    <rPh sb="0" eb="2">
      <t>ハッチュウ</t>
    </rPh>
    <rPh sb="2" eb="4">
      <t>ヨテイ</t>
    </rPh>
    <phoneticPr fontId="4"/>
  </si>
  <si>
    <t>在庫数</t>
    <rPh sb="0" eb="3">
      <t>ザイコスウ</t>
    </rPh>
    <phoneticPr fontId="4"/>
  </si>
  <si>
    <t xml:space="preserve">	組UNW X6FR57TK(GG 16WQXGA 9955HX 5070Ti 240W L6)</t>
    <phoneticPr fontId="4"/>
  </si>
  <si>
    <t>組UNW X6AR57TK(GG 16WQXGA 275HX 5070Ti 240W L6)</t>
    <phoneticPr fontId="4"/>
  </si>
  <si>
    <t>組UNW X6AR557K(GG 16WQXGA 255HX 5070 240W L6)</t>
    <phoneticPr fontId="4"/>
  </si>
  <si>
    <t xml:space="preserve">	組UNW X6AR556U(GG 16WQXGA 255HX 5060 240W L6)</t>
    <phoneticPr fontId="4"/>
  </si>
  <si>
    <t>組CLE V561KNN-TD(GG 16QHD+ 350 5060 180W L6)</t>
    <phoneticPr fontId="4"/>
  </si>
  <si>
    <t xml:space="preserve">	組CLE V350SNMQ(GG 15.6FHD 14650HX 5050 180W L6)</t>
    <phoneticPr fontId="4"/>
  </si>
  <si>
    <t>組UNW GM5PD5E(GG 15.6FHD 13620H 4050 230W L6)</t>
    <phoneticPr fontId="4"/>
  </si>
  <si>
    <t>組TFH GM5PGEE(GG 15.6FHD 13420H 3050 150W L6)</t>
    <phoneticPr fontId="4"/>
  </si>
  <si>
    <t>組CLE V545TNC(R1 GG 14QWXGA+ 155H 4050 180W L6)</t>
    <phoneticPr fontId="4"/>
  </si>
  <si>
    <t xml:space="preserve">	組CLE V370SNPQ(GC 17.3QHD 14900HX 5070 180W L6)</t>
    <phoneticPr fontId="4"/>
  </si>
  <si>
    <t>組MSH 15F5(GC 16WQXGA 255H 5060 240W L6)</t>
    <phoneticPr fontId="4"/>
  </si>
  <si>
    <t>組CLE V350SNNQ(GC 15.6QHD 14650HX 5060 180W L6)</t>
    <phoneticPr fontId="4"/>
  </si>
  <si>
    <t xml:space="preserve">	組CLE V350SNMQ(GC 15.6QHD 14650HX 5050 180W L6)</t>
    <phoneticPr fontId="4"/>
  </si>
  <si>
    <t>組CLE V545KU-TD(GC 14QWXGA+ HX370 UMA 90W L6)</t>
    <phoneticPr fontId="4"/>
  </si>
  <si>
    <t>DL7C-IG-C4</t>
    <phoneticPr fontId="4"/>
  </si>
  <si>
    <t xml:space="preserve">組CLE V561GNN-TD(GC 16WQUXGA HX470 5060 180WL6TPM)	</t>
    <phoneticPr fontId="4"/>
  </si>
  <si>
    <t>CLE-V56-AI9-470-5060-L6 Creator</t>
    <phoneticPr fontId="4"/>
  </si>
  <si>
    <t>Thirdwave</t>
  </si>
  <si>
    <t>組UNW X6RP556U(TW 16WQXGA 14650HX 5060 210W L6)</t>
    <phoneticPr fontId="4"/>
  </si>
  <si>
    <t>組CLE NL75AU(Thirdwave 17FHD1334U UMA45WL6 TPM)</t>
    <phoneticPr fontId="4"/>
  </si>
  <si>
    <t>組CLE L261TU-TD(R1 Thirdwave16FHD155U UMA65WL6 210</t>
    <phoneticPr fontId="4"/>
  </si>
  <si>
    <t>組CLE L261TU-TD(R2 Thirdwave16FHD155U UMA</t>
  </si>
  <si>
    <t>組CLE L261LU-TD(R1 Thirdwave16FHD+258V UM</t>
  </si>
  <si>
    <t>組QNT LGHC(Thirdwave 15.6FHD 155U UMA 65W</t>
  </si>
  <si>
    <t>組QNT LGHB(R1 Thirdwave 15.6FHD 1355U UMA 65W L6)</t>
    <phoneticPr fontId="4"/>
  </si>
  <si>
    <t xml:space="preserve">	組WZN 1051RL-PS(Thirdwave 15.6FHD 1355U UMA 65WL6)</t>
    <phoneticPr fontId="4"/>
  </si>
  <si>
    <t xml:space="preserve">	組WZN 1051RL-PS(R2 TW 15.6FHD 1355U UMA 65W L6)</t>
    <phoneticPr fontId="4"/>
  </si>
  <si>
    <t>組QNT LGHB(R1 Thirdwave 15.6FHD 1335U UMA 65W L6)</t>
    <phoneticPr fontId="4"/>
  </si>
  <si>
    <t>DX-R5S</t>
    <phoneticPr fontId="4"/>
  </si>
  <si>
    <t xml:space="preserve">	組WZN 1051RL-PS(Thirdwave 15.6FHD 1335U UMA 65WL6)</t>
    <phoneticPr fontId="4"/>
  </si>
  <si>
    <t>組WZN 1051RL-PS(R1 TW 15.6FHD 1335U UMA 65W L6)</t>
    <phoneticPr fontId="4"/>
  </si>
  <si>
    <t>組WZN 1051RL-PS(Thirdwave 15.6FHD 1334U UMA 65WL6)</t>
    <phoneticPr fontId="4"/>
  </si>
  <si>
    <t>DX-R3</t>
    <phoneticPr fontId="4"/>
  </si>
  <si>
    <t>組WZN 1051RL-PS(Thirdwave 15.6FHD 1315U U</t>
  </si>
  <si>
    <t>組WZN 1051RL-PS(Thirdwave 15.6FHD 1315U UMA L6 65W</t>
    <rPh sb="0" eb="1">
      <t>グミ</t>
    </rPh>
    <phoneticPr fontId="4"/>
  </si>
  <si>
    <t>組CLE L141AU(Thirdwave Pro 14FHD 1335U UM</t>
  </si>
  <si>
    <t>組CLE NL45AU1-TD(Thirdwave 14FHD 1355U UM</t>
  </si>
  <si>
    <t>組CLE NL45AU1-TD(R1 Thirdwave 14FHD1355U</t>
  </si>
  <si>
    <t>組CLE NL45AU1-TD(R1 TW 14FHD1355U UMA 45W</t>
  </si>
  <si>
    <t>組CLE NL45AU1-TD(Thirdwave 14FHD 1335U UM</t>
  </si>
  <si>
    <t>組CLE NL45AU1-TD(R1 Thirdwave 14FHD1335U</t>
  </si>
  <si>
    <t>組CLE NL45AU1-TD(R1 Thirdwave 14FHD1334U UMA 45WL6</t>
    <phoneticPr fontId="4"/>
  </si>
  <si>
    <t xml:space="preserve">	組CLE NL45AU1-TD(Thirdwave 14FHD1335U UMA45WL6 TPM</t>
    <phoneticPr fontId="4"/>
  </si>
  <si>
    <t>F-14RP5F-B</t>
    <phoneticPr fontId="4"/>
  </si>
  <si>
    <t xml:space="preserve">	組CLE NL45NU1-TD(Thirdwave 14FHD7430U UMA65WL6 TPM</t>
  </si>
  <si>
    <t>M9621</t>
    <phoneticPr fontId="4"/>
  </si>
  <si>
    <t>組MSH 15F3(Thirdwave 16UHD+ 185H 5000 240W L6)</t>
    <phoneticPr fontId="4"/>
  </si>
  <si>
    <t>組MSH 15F4(Thirdwave 16UHD+ 185H 2000 240W L6)</t>
    <phoneticPr fontId="4"/>
  </si>
  <si>
    <t>組CLE V561TND-STD(raytrek 16QHD+ 155H 406</t>
  </si>
  <si>
    <t>組UNW PH6PG02(raytrek 16WQXGA 13700H 4060</t>
  </si>
  <si>
    <t>組CLE V545TU(R2 raytrek 14QWXGA+ 155H UMA 90W L6)</t>
    <phoneticPr fontId="4"/>
  </si>
  <si>
    <t>組TFH GM5AGEE(R1 15.6FHD 12450H 3050 150W</t>
    <phoneticPr fontId="4"/>
  </si>
  <si>
    <t>RL7C-R46-C5N</t>
    <phoneticPr fontId="4"/>
  </si>
  <si>
    <t>XL7C-R46H(L9)</t>
  </si>
  <si>
    <t>組UNW PH6PG02(16WUXGA 13700H 4060 150W L9</t>
  </si>
  <si>
    <t>XL7C-R45H(L6)</t>
  </si>
  <si>
    <t>組UNW PH6PG52(16WUXGA 13700H 4050 150W L6</t>
  </si>
  <si>
    <t>XL7C-R46(L9)</t>
  </si>
  <si>
    <t>XL7C-R45(L9)</t>
  </si>
  <si>
    <t>組OEC 99C2JP(15.6FHD 12700H A730M L6 230W</t>
  </si>
  <si>
    <t>組OEC 99ANLT(15.6FHD 12700H A550M L6 180W</t>
  </si>
  <si>
    <t>RL7C-R45</t>
    <phoneticPr fontId="4"/>
  </si>
  <si>
    <t>組CLE NV45RNC-TD(14FHD 13700H 4050 180W L</t>
  </si>
  <si>
    <t>組TFH GK5MRFV(raytrek 15ngFHD10300H1650Ti</t>
  </si>
  <si>
    <t>DX-C5</t>
  </si>
  <si>
    <t>組QNT LGBA(15ngFHD,10210U,UMA,AX201,45W)</t>
  </si>
  <si>
    <t>DX-C7</t>
  </si>
  <si>
    <t>R7-ZF</t>
  </si>
  <si>
    <t>組TFH GM7AG7P(raytrek17ngQHD12900H3070Ti</t>
  </si>
  <si>
    <t>R5-AA5</t>
  </si>
  <si>
    <t>組TFH GM5AGEO(raytrek 15FHDsRGB 12700H 30</t>
  </si>
  <si>
    <t>R6-AA</t>
  </si>
  <si>
    <t>組UNW PH6AG02(raytrek 16WQXGA 12700H 3060</t>
  </si>
  <si>
    <t>組TFH GM5AGEE(raytrek 15.6QHD 12650H 3050</t>
  </si>
  <si>
    <t>組UNW PH4PRX2(raytrek 14WUXGA 13700H UMA</t>
  </si>
  <si>
    <t>組CLE V545TNC(GG 14QWXGA+ 155H 4050 180W L6)</t>
    <phoneticPr fontId="4"/>
  </si>
  <si>
    <t>組TFH GM5PG5O(15FHD 13700H 4050 230W L6)</t>
  </si>
  <si>
    <t>RL5C-R35(13500)</t>
  </si>
  <si>
    <t>組UNW GM5PD0O(GG 15.6FHD 13620H 4060 230W L6)</t>
    <phoneticPr fontId="4"/>
  </si>
  <si>
    <t>UL9C-R49</t>
    <phoneticPr fontId="4"/>
  </si>
  <si>
    <t>UNW-B-14900HX-4090-L6</t>
  </si>
  <si>
    <t>組UNW GM6IX7B(GG 16WQXGA 14900HX 4070 240</t>
    <phoneticPr fontId="4"/>
  </si>
  <si>
    <t>組UNW GM6IX0B(GG 16WQXGA 14900HX 4060 240</t>
    <phoneticPr fontId="4"/>
  </si>
  <si>
    <t>組UNW PH6PG02(16WUXGA 13700H 4060 150W L6</t>
  </si>
  <si>
    <t>組UNW PH6PG52(16WUXGA 13700H 4050 150W L9</t>
  </si>
  <si>
    <t>UNW-B-14900HX-4090-L6 Creator</t>
  </si>
  <si>
    <t>ZL9C-R47-C7</t>
    <phoneticPr fontId="4"/>
  </si>
  <si>
    <t>CLE-PD71-14900HX-4070-L6 Creator</t>
  </si>
  <si>
    <t>組CLE V545TU(R2 GC 14QWXGA+ 155H UMA 90W</t>
  </si>
  <si>
    <t>UNW-E-13620H-4050 Creator</t>
  </si>
  <si>
    <t>組UNW PH6PG02(GC 16WQXGA 13700H 4060 150W</t>
  </si>
  <si>
    <t>DL7C-IG-C6</t>
    <phoneticPr fontId="4"/>
  </si>
  <si>
    <t>CLE-V560-155H-UMA-L6</t>
  </si>
  <si>
    <t>組CLE V545TU(raytrek 14QWXGA+ 155H UMA 90</t>
  </si>
  <si>
    <t>組ｻCLE NL45NU1-TD(PVT Thirdwave 14FHD7430U UMA TPM</t>
  </si>
  <si>
    <t>組ｻCLE NL75AU(PVT Thirdwave 17FHD1334U UMA TPM)</t>
  </si>
  <si>
    <t>組ｻCLE NL75AU(PVT Thirdwave 17FHD1335U UMA TPM)</t>
  </si>
  <si>
    <t>組ｻCLE V350SNNQ(PVTGG 15.6FHD 14650HX 5060 L6)</t>
  </si>
  <si>
    <t>組ｻMSH 15F5(GC 16WQXGA 255H 5060 240W L6)</t>
  </si>
  <si>
    <t>組ｻCLE NL45AU1-TD(PVT Thirdwave 14FHD120U UMA TPM)</t>
  </si>
  <si>
    <t>組ｻCLE NL45AU1-TD(PVT Thirdwave 14FHD150U UMA TPM)</t>
  </si>
  <si>
    <t>組ｻMSH-15Fx_Acover(lasertest用)</t>
  </si>
  <si>
    <t>組CLE V755TU-2(TW 15.6FHD 155H UMA65W L6d</t>
  </si>
  <si>
    <t>$96,880.00</t>
  </si>
  <si>
    <t>組UNW X6AR556U(GG 16WQXGA 255HX 5060 240W</t>
  </si>
  <si>
    <t>Annaに依頼済⇒</t>
  </si>
  <si>
    <t>組UNW X6AR57TK(R1 GG 16WQXGA 275HX 5070Ti</t>
  </si>
  <si>
    <t>平塚*1</t>
  </si>
  <si>
    <t>平塚*2</t>
  </si>
  <si>
    <t>$852.00</t>
  </si>
  <si>
    <t>綾瀬*1/綾瀬(開発)*2</t>
  </si>
  <si>
    <t>$876.00</t>
  </si>
  <si>
    <t>秋葉原開発*1</t>
  </si>
  <si>
    <t>$1,314.00</t>
  </si>
  <si>
    <t>$2,190.00</t>
  </si>
  <si>
    <t>平塚*4/法*1</t>
  </si>
  <si>
    <t>LCL,最短
1st lot</t>
  </si>
  <si>
    <t>LCL</t>
  </si>
  <si>
    <t>2026/06/22</t>
  </si>
  <si>
    <t>20FT,最短
法人受注分</t>
  </si>
  <si>
    <t>2026/07/07</t>
  </si>
  <si>
    <t>2026/07/10</t>
  </si>
  <si>
    <t>EXF  確定</t>
  </si>
  <si>
    <t>元記載：7/23</t>
  </si>
  <si>
    <t>2026/07/17</t>
  </si>
  <si>
    <t>EXF　調整中</t>
  </si>
  <si>
    <t>元記載：8/13</t>
  </si>
  <si>
    <t>40FT,
在庫をみて
F/T　不使用？</t>
  </si>
  <si>
    <t>2026/07/24</t>
  </si>
  <si>
    <t>40FT
F/T　不使用？</t>
  </si>
  <si>
    <t>40FT、最短
1st Lot</t>
  </si>
  <si>
    <t>20FT,最短
1st lot</t>
  </si>
  <si>
    <t>元記載：8/27</t>
  </si>
  <si>
    <t>2026/07/31</t>
  </si>
  <si>
    <t>元記載：8/20</t>
  </si>
  <si>
    <t>元掲載：9/4</t>
  </si>
  <si>
    <t>組CLE NL75AU(R1 TW 17FHD1334U UMA45WL6 TPM)</t>
  </si>
  <si>
    <t>SAP取り消し済</t>
  </si>
  <si>
    <t>2026/06/25</t>
  </si>
  <si>
    <t>2026/06/29</t>
  </si>
  <si>
    <t>COSCO KIKU 232E</t>
  </si>
  <si>
    <t>6/28 WK⇒7/15:UNW start MP &amp; Ship DHL 5pcs</t>
  </si>
  <si>
    <t>2026/07/15</t>
  </si>
  <si>
    <t>7/5WK⇒7/12WK :Thirdwave検品 &amp; UNW Ship MP 1st LOT</t>
  </si>
  <si>
    <t>TW15MT1U5CS：大幅に上方修正しています。可能かも分からないのでご確認ください。</t>
    <rPh sb="12" eb="14">
      <t>オオハバ</t>
    </rPh>
    <rPh sb="15" eb="19">
      <t>ジョウホウシュウセイ</t>
    </rPh>
    <rPh sb="25" eb="27">
      <t>カノウ</t>
    </rPh>
    <rPh sb="29" eb="30">
      <t>ワ</t>
    </rPh>
    <rPh sb="37" eb="39">
      <t>カクニン</t>
    </rPh>
    <phoneticPr fontId="4"/>
  </si>
  <si>
    <t>TW14C5B</t>
    <phoneticPr fontId="4"/>
  </si>
  <si>
    <t>TW14C7B/TW14C5B/TW14A5B：上記同様</t>
    <rPh sb="24" eb="26">
      <t>ジョウキ</t>
    </rPh>
    <rPh sb="26" eb="28">
      <t>ドウヨウ</t>
    </rPh>
    <phoneticPr fontId="4"/>
  </si>
  <si>
    <t>販売加速が必要</t>
    <rPh sb="0" eb="2">
      <t>ハンバイ</t>
    </rPh>
    <rPh sb="2" eb="4">
      <t>カソク</t>
    </rPh>
    <rPh sb="5" eb="7">
      <t>ヒツヨウ</t>
    </rPh>
    <phoneticPr fontId="4"/>
  </si>
  <si>
    <t>広告流入増</t>
    <rPh sb="0" eb="2">
      <t>コウコク</t>
    </rPh>
    <rPh sb="2" eb="4">
      <t>リュウニュウ</t>
    </rPh>
    <rPh sb="4" eb="5">
      <t>ゾウ</t>
    </rPh>
    <phoneticPr fontId="4"/>
  </si>
  <si>
    <t>EOL</t>
    <phoneticPr fontId="4"/>
  </si>
  <si>
    <t>OK</t>
    <phoneticPr fontId="4"/>
  </si>
  <si>
    <t>8/20発売</t>
    <rPh sb="4" eb="6">
      <t>ハツバイ</t>
    </rPh>
    <phoneticPr fontId="4"/>
  </si>
  <si>
    <t>9/3発売</t>
    <rPh sb="3" eb="5">
      <t>ハツバイ</t>
    </rPh>
    <phoneticPr fontId="4"/>
  </si>
  <si>
    <t>旧金沢大学モデル</t>
    <rPh sb="0" eb="1">
      <t>キュウ</t>
    </rPh>
    <rPh sb="1" eb="5">
      <t>カナザワダイガク</t>
    </rPh>
    <phoneticPr fontId="4"/>
  </si>
  <si>
    <t>一般側でも販売再開90台</t>
    <rPh sb="0" eb="2">
      <t>イッパン</t>
    </rPh>
    <rPh sb="2" eb="3">
      <t>ガワ</t>
    </rPh>
    <rPh sb="5" eb="7">
      <t>ハンバイ</t>
    </rPh>
    <rPh sb="7" eb="9">
      <t>サイカイ</t>
    </rPh>
    <rPh sb="11" eb="12">
      <t>ダイ</t>
    </rPh>
    <phoneticPr fontId="4"/>
  </si>
  <si>
    <t>今月からペースアップ予定</t>
    <rPh sb="0" eb="2">
      <t>コンゲツ</t>
    </rPh>
    <rPh sb="10" eb="12">
      <t>ヨテイ</t>
    </rPh>
    <phoneticPr fontId="4"/>
  </si>
  <si>
    <t>mtgメモ</t>
    <phoneticPr fontId="4"/>
  </si>
  <si>
    <t>販売加速が必要</t>
    <rPh sb="0" eb="4">
      <t>ハ</t>
    </rPh>
    <rPh sb="5" eb="7">
      <t>ヒツヨウ</t>
    </rPh>
    <phoneticPr fontId="4"/>
  </si>
  <si>
    <t>9/3発売</t>
    <rPh sb="3" eb="5">
      <t>ハツ</t>
    </rPh>
    <phoneticPr fontId="4"/>
  </si>
  <si>
    <t>9/24発売</t>
    <rPh sb="4" eb="6">
      <t>ハツバイ</t>
    </rPh>
    <phoneticPr fontId="4"/>
  </si>
  <si>
    <t>販売加速が必要</t>
    <rPh sb="0" eb="4">
      <t>ハン</t>
    </rPh>
    <rPh sb="5" eb="7">
      <t>ヒ</t>
    </rPh>
    <phoneticPr fontId="4"/>
  </si>
  <si>
    <t>販売加速が必要（法人）</t>
    <rPh sb="0" eb="4">
      <t>ハン</t>
    </rPh>
    <rPh sb="5" eb="7">
      <t>ヒ</t>
    </rPh>
    <rPh sb="8" eb="10">
      <t>ホウジン</t>
    </rPh>
    <phoneticPr fontId="4"/>
  </si>
  <si>
    <t>OK。先週発注承認</t>
    <rPh sb="3" eb="5">
      <t>センシュウ</t>
    </rPh>
    <rPh sb="5" eb="7">
      <t>ハッチュウ</t>
    </rPh>
    <rPh sb="7" eb="9">
      <t>ショウニン</t>
    </rPh>
    <phoneticPr fontId="4"/>
  </si>
  <si>
    <t>104台は全て保守用でよいか</t>
    <rPh sb="3" eb="4">
      <t>ダイ</t>
    </rPh>
    <rPh sb="5" eb="6">
      <t>スベ</t>
    </rPh>
    <rPh sb="7" eb="9">
      <t>ホシュ</t>
    </rPh>
    <rPh sb="9" eb="10">
      <t>ヨウ</t>
    </rPh>
    <phoneticPr fontId="4"/>
  </si>
  <si>
    <t>61台は全て保守用でよいか</t>
    <rPh sb="2" eb="3">
      <t>ダイ</t>
    </rPh>
    <rPh sb="4" eb="5">
      <t>スベ</t>
    </rPh>
    <rPh sb="6" eb="8">
      <t>ホシュ</t>
    </rPh>
    <rPh sb="8" eb="9">
      <t>ヨウ</t>
    </rPh>
    <phoneticPr fontId="4"/>
  </si>
  <si>
    <t>計画数が不足</t>
    <rPh sb="0" eb="2">
      <t>ケイカク</t>
    </rPh>
    <rPh sb="2" eb="3">
      <t>スウ</t>
    </rPh>
    <rPh sb="4" eb="6">
      <t>フソク</t>
    </rPh>
    <phoneticPr fontId="4"/>
  </si>
  <si>
    <t>消化までの計画を記載ください（保守部材含む）</t>
    <rPh sb="0" eb="2">
      <t>ショウカ</t>
    </rPh>
    <rPh sb="5" eb="7">
      <t>ケイカク</t>
    </rPh>
    <rPh sb="8" eb="10">
      <t>キサイ</t>
    </rPh>
    <rPh sb="15" eb="17">
      <t>ホシュ</t>
    </rPh>
    <rPh sb="17" eb="19">
      <t>ブザイ</t>
    </rPh>
    <rPh sb="19" eb="20">
      <t>フク</t>
    </rPh>
    <phoneticPr fontId="4"/>
  </si>
  <si>
    <t>計画期間が遅延か</t>
    <rPh sb="0" eb="2">
      <t>ケイカク</t>
    </rPh>
    <rPh sb="2" eb="4">
      <t>キカン</t>
    </rPh>
    <rPh sb="5" eb="7">
      <t>チエン</t>
    </rPh>
    <phoneticPr fontId="4"/>
  </si>
  <si>
    <t>8/27発売</t>
    <rPh sb="4" eb="6">
      <t>ハツバイ</t>
    </rPh>
    <phoneticPr fontId="4"/>
  </si>
  <si>
    <t>一般が主</t>
    <rPh sb="0" eb="2">
      <t>イッパン</t>
    </rPh>
    <rPh sb="3" eb="4">
      <t>シュ</t>
    </rPh>
    <phoneticPr fontId="4"/>
  </si>
  <si>
    <t>計画数が不足。リペア移動との文言もあるが</t>
    <rPh sb="0" eb="2">
      <t>ケイカク</t>
    </rPh>
    <rPh sb="2" eb="3">
      <t>スウ</t>
    </rPh>
    <rPh sb="4" eb="6">
      <t>フソク</t>
    </rPh>
    <rPh sb="10" eb="12">
      <t>イドウ</t>
    </rPh>
    <rPh sb="14" eb="16">
      <t>モンゴン</t>
    </rPh>
    <phoneticPr fontId="4"/>
  </si>
  <si>
    <t>法人</t>
    <rPh sb="0" eb="2">
      <t>ホウジン</t>
    </rPh>
    <phoneticPr fontId="4"/>
  </si>
  <si>
    <t>6月途中からの販売のため</t>
    <rPh sb="1" eb="2">
      <t>ガツ</t>
    </rPh>
    <rPh sb="2" eb="4">
      <t>トチュウ</t>
    </rPh>
    <rPh sb="7" eb="9">
      <t>ハンバイ</t>
    </rPh>
    <phoneticPr fontId="4"/>
  </si>
  <si>
    <t>実績不足に見える</t>
    <rPh sb="0" eb="4">
      <t>ジッセキブソク</t>
    </rPh>
    <rPh sb="5" eb="6">
      <t>ミ</t>
    </rPh>
    <phoneticPr fontId="4"/>
  </si>
  <si>
    <t>販売加速が必要</t>
    <rPh sb="0" eb="4">
      <t>ハ</t>
    </rPh>
    <phoneticPr fontId="4"/>
  </si>
  <si>
    <t>計画数が不足</t>
    <rPh sb="0" eb="6">
      <t>ケイカクスウ</t>
    </rPh>
    <phoneticPr fontId="4"/>
  </si>
  <si>
    <t>計画数が不足</t>
    <rPh sb="0" eb="6">
      <t>ケイカ</t>
    </rPh>
    <phoneticPr fontId="4"/>
  </si>
  <si>
    <t>販売加速が必要</t>
    <rPh sb="0" eb="7">
      <t>ハンバイカ</t>
    </rPh>
    <phoneticPr fontId="4"/>
  </si>
  <si>
    <t>ZL9R含めても実績不足</t>
    <rPh sb="4" eb="5">
      <t>フク</t>
    </rPh>
    <rPh sb="8" eb="10">
      <t>ジッセキ</t>
    </rPh>
    <rPh sb="10" eb="12">
      <t>フソク</t>
    </rPh>
    <phoneticPr fontId="4"/>
  </si>
  <si>
    <t>EOL。後継に移行</t>
    <rPh sb="4" eb="6">
      <t>コウケイ</t>
    </rPh>
    <rPh sb="7" eb="9">
      <t>イコウ</t>
    </rPh>
    <phoneticPr fontId="4"/>
  </si>
  <si>
    <t>EOL。9Cに移行</t>
    <rPh sb="7" eb="9">
      <t>イコウ</t>
    </rPh>
    <phoneticPr fontId="4"/>
  </si>
  <si>
    <t>8/20まで最後のR56②</t>
    <phoneticPr fontId="4"/>
  </si>
  <si>
    <t>8/20まで最後のR56①</t>
    <rPh sb="6" eb="8">
      <t>サイゴ</t>
    </rPh>
    <phoneticPr fontId="4"/>
  </si>
  <si>
    <t>次回入荷8/21 問題があればDHLで加速可能</t>
    <rPh sb="0" eb="2">
      <t>ジカイ</t>
    </rPh>
    <rPh sb="2" eb="4">
      <t>ニュウカ</t>
    </rPh>
    <rPh sb="9" eb="11">
      <t>モンダイ</t>
    </rPh>
    <rPh sb="19" eb="21">
      <t>カソク</t>
    </rPh>
    <rPh sb="21" eb="23">
      <t>カノウ</t>
    </rPh>
    <phoneticPr fontId="4"/>
  </si>
  <si>
    <t>7月末に向けて在庫減（現在41）</t>
    <rPh sb="1" eb="2">
      <t>ガツ</t>
    </rPh>
    <rPh sb="2" eb="3">
      <t>マツ</t>
    </rPh>
    <rPh sb="4" eb="5">
      <t>ム</t>
    </rPh>
    <rPh sb="7" eb="9">
      <t>ザイコ</t>
    </rPh>
    <rPh sb="9" eb="10">
      <t>ゲン</t>
    </rPh>
    <rPh sb="11" eb="13">
      <t>ゲンザイ</t>
    </rPh>
    <phoneticPr fontId="4"/>
  </si>
  <si>
    <t>medusa TTM 厳しい？</t>
    <rPh sb="11" eb="12">
      <t>キビ</t>
    </rPh>
    <phoneticPr fontId="4"/>
  </si>
  <si>
    <t>150pc/月？→80</t>
    <rPh sb="6" eb="7">
      <t>ツキ</t>
    </rPh>
    <phoneticPr fontId="4"/>
  </si>
  <si>
    <t>必要なラインについて販売側からの情報が欲しい</t>
    <rPh sb="0" eb="2">
      <t>ヒツヨウ</t>
    </rPh>
    <rPh sb="10" eb="12">
      <t>ハンバイ</t>
    </rPh>
    <rPh sb="12" eb="13">
      <t>ガワ</t>
    </rPh>
    <rPh sb="16" eb="18">
      <t>ジョウホウ</t>
    </rPh>
    <rPh sb="19" eb="20">
      <t>ホ</t>
    </rPh>
    <phoneticPr fontId="4"/>
  </si>
  <si>
    <t>10月始めにディレイ</t>
    <rPh sb="2" eb="3">
      <t>ガツ</t>
    </rPh>
    <rPh sb="3" eb="4">
      <t>ハジ</t>
    </rPh>
    <phoneticPr fontId="4"/>
  </si>
  <si>
    <t>直近30日販売台数</t>
  </si>
  <si>
    <t>組WZN 1051RL-PS(Thirdwave 15.6FHD 1355U U</t>
  </si>
  <si>
    <t>組CLE NL45AU1-TD(R2 TW 14FHD1355U UMA 45W</t>
  </si>
  <si>
    <t>組CLE NL45AU1-TD(Thirdwave 14FHD1335U UMA</t>
  </si>
  <si>
    <t>台風で遅延⇒</t>
  </si>
  <si>
    <t>納品日確定</t>
  </si>
  <si>
    <t>2026/07/13</t>
  </si>
  <si>
    <t>7/6~7/9
(再檢品)</t>
  </si>
  <si>
    <t>20FT,最短
法人受注分同梱</t>
  </si>
  <si>
    <t>2026/07/08</t>
  </si>
  <si>
    <t>UNW：一週間のみ前倒し可能（WK7/19--&gt;WK7/12週へ変更）⇒</t>
  </si>
  <si>
    <t>40FT、最短
2nd Lot</t>
  </si>
  <si>
    <t>7/23予定</t>
  </si>
  <si>
    <t>2026/07/27</t>
  </si>
  <si>
    <t>企画：DHL➡OK</t>
  </si>
  <si>
    <t>$24,500.00</t>
  </si>
  <si>
    <t>元記載：7/30</t>
  </si>
  <si>
    <t>2026/08/05</t>
  </si>
  <si>
    <t>40FT、最短
新製品同梱</t>
  </si>
  <si>
    <t>7月内出荷で安い価格維持</t>
  </si>
  <si>
    <t>$22.00</t>
  </si>
  <si>
    <t>CLE-65W-(TYPE-C)</t>
  </si>
  <si>
    <t>$2,200.00</t>
  </si>
  <si>
    <t>UNW：三週間のみ前倒し可能（WK8/9--&gt;WK7/19週へ変更）⇒</t>
  </si>
  <si>
    <t>LCL?</t>
  </si>
  <si>
    <t>$49,000.00</t>
  </si>
  <si>
    <t>$283,480.00</t>
  </si>
  <si>
    <t>UNW：7/31への前倒し対応可能（WK8/16 ➔ WK7/26週へ変更）</t>
  </si>
  <si>
    <t>EXF 確認中</t>
  </si>
  <si>
    <t>40FT
F/T full？しない？</t>
  </si>
  <si>
    <t>$415.00</t>
  </si>
  <si>
    <t>$124,500.00</t>
  </si>
  <si>
    <t>2025/10/21</t>
  </si>
  <si>
    <t>4M初回(箱変更)</t>
  </si>
  <si>
    <t>20FT
F/T どうする？</t>
  </si>
  <si>
    <t>2026/08/21</t>
  </si>
  <si>
    <t>UNW:筐体部品の入庫遅延のため、納期の前倒しは対応不可⇒</t>
  </si>
  <si>
    <t>LCL
在庫わずか</t>
  </si>
  <si>
    <t>UNW：現行納期（WK8/16週）を維持</t>
  </si>
  <si>
    <t>$74,600.00</t>
  </si>
  <si>
    <t>【日次】ノート集計【2026年7月】_0702.xlsx</t>
  </si>
  <si>
    <t>累計発注数</t>
  </si>
  <si>
    <t>2024/06/28</t>
  </si>
  <si>
    <t>1509358</t>
  </si>
  <si>
    <t>$968.00</t>
  </si>
  <si>
    <t>$145,200.00</t>
  </si>
  <si>
    <t>2024/06/19</t>
  </si>
  <si>
    <t>2024/06/24</t>
  </si>
  <si>
    <t>内外</t>
  </si>
  <si>
    <t>納品済</t>
  </si>
  <si>
    <t xml:space="preserve">要C/N $0.14/pc_ 6H2_SSDねじボス導電 シール issue rework fee  </t>
  </si>
  <si>
    <t>$2,018.00</t>
  </si>
  <si>
    <t>$40,360.00</t>
  </si>
  <si>
    <t>2024/06/21</t>
  </si>
  <si>
    <t>2024/06/25</t>
  </si>
  <si>
    <t>$759.00</t>
  </si>
  <si>
    <t>TFH</t>
  </si>
  <si>
    <t>$113,850.00</t>
  </si>
  <si>
    <t>$536.00</t>
  </si>
  <si>
    <t>$58,960.00</t>
  </si>
  <si>
    <t>2024/06/20</t>
  </si>
  <si>
    <t>$2,009.00</t>
  </si>
  <si>
    <t>$20,090.00</t>
  </si>
  <si>
    <t>$761.00</t>
  </si>
  <si>
    <t>$76,100.00</t>
  </si>
  <si>
    <t>$563.00</t>
  </si>
  <si>
    <t>$39,410.00</t>
  </si>
  <si>
    <t>$858.00</t>
  </si>
  <si>
    <t>$85,800.00</t>
  </si>
  <si>
    <t>ﾗｲﾌ不要</t>
  </si>
  <si>
    <t>$891.00</t>
  </si>
  <si>
    <t>$133,650.00</t>
  </si>
  <si>
    <t>$666.00</t>
  </si>
  <si>
    <t>$173,160.00</t>
  </si>
  <si>
    <t>$658.00</t>
  </si>
  <si>
    <t>$131,600.00</t>
  </si>
  <si>
    <t>$649.00</t>
  </si>
  <si>
    <t>$12,980.00</t>
  </si>
  <si>
    <t>$80.00</t>
  </si>
  <si>
    <t>CLE-アダプタ-330W</t>
  </si>
  <si>
    <t>$800.00</t>
  </si>
  <si>
    <t>$2.00</t>
  </si>
  <si>
    <t>CLE-パワーコード-330W用</t>
  </si>
  <si>
    <t>$20.00</t>
  </si>
  <si>
    <t>$70.00</t>
  </si>
  <si>
    <t>CLE-アダプタ-280W</t>
  </si>
  <si>
    <t>$700.00</t>
  </si>
  <si>
    <t>CLE-パワーコード-280W用</t>
  </si>
  <si>
    <t>CLE-アダプタ-65W type-C</t>
  </si>
  <si>
    <t>$200.00</t>
  </si>
  <si>
    <t>CLE-USB cable-65W用</t>
  </si>
  <si>
    <t>$50.00</t>
  </si>
  <si>
    <t>CLE-アダプタ-180W</t>
  </si>
  <si>
    <t>$1,750.00</t>
  </si>
  <si>
    <t>CLE-パワーコード-90W/180W用</t>
  </si>
  <si>
    <t>$746.00</t>
  </si>
  <si>
    <t>CLE-V560-155H-UMA-L6 Creator</t>
  </si>
  <si>
    <t>$4,476.00</t>
  </si>
  <si>
    <t>日通AIR</t>
  </si>
  <si>
    <t>Rework</t>
  </si>
  <si>
    <t>CLE全費用負担</t>
  </si>
  <si>
    <t>$93,250.00</t>
  </si>
  <si>
    <t>$448.00</t>
  </si>
  <si>
    <t>$134,400.00</t>
  </si>
  <si>
    <t>4M変更</t>
  </si>
  <si>
    <t>1509601</t>
  </si>
  <si>
    <t>$377.00</t>
  </si>
  <si>
    <t>$113,100.00</t>
  </si>
  <si>
    <t>$3,295.00</t>
  </si>
  <si>
    <t>MSH-15F3-185H-5000-L6 sample</t>
  </si>
  <si>
    <t>2024/07/17</t>
  </si>
  <si>
    <t>本社</t>
  </si>
  <si>
    <t>法人・笠浪さん依頼／Quadroノート</t>
  </si>
  <si>
    <t>$1,642.00</t>
  </si>
  <si>
    <t>MSH-15F4-185H-2000-L6 sample</t>
  </si>
  <si>
    <t>$870.00</t>
  </si>
  <si>
    <t>$5,220.00</t>
  </si>
  <si>
    <t>2024/07/16</t>
  </si>
  <si>
    <t>2024/07/19</t>
  </si>
  <si>
    <t>本社/綾瀬/海老名</t>
  </si>
  <si>
    <t>先行出荷</t>
  </si>
  <si>
    <t>1510657</t>
  </si>
  <si>
    <t>$930.00</t>
  </si>
  <si>
    <t>$5,580.00</t>
  </si>
  <si>
    <t>$739.00</t>
  </si>
  <si>
    <t>UNW-O3-13620H-4060-L6 PVT</t>
  </si>
  <si>
    <t>$641.00</t>
  </si>
  <si>
    <t>UNW-E-13620H-4050-L6 PVT</t>
  </si>
  <si>
    <t>2024/07/24</t>
  </si>
  <si>
    <t>$575.95</t>
  </si>
  <si>
    <t>$3,455.70</t>
  </si>
  <si>
    <t>2024/07/23</t>
  </si>
  <si>
    <t>2024/07/25</t>
  </si>
  <si>
    <t>Copilot付き</t>
  </si>
  <si>
    <t>$731.00</t>
  </si>
  <si>
    <t>$141,814.00</t>
  </si>
  <si>
    <t>$10,000 C/N反映／$746⇒$731</t>
  </si>
  <si>
    <t>$133,200.00</t>
  </si>
  <si>
    <t>$10,000 C/N反映／$666⇒$659</t>
  </si>
  <si>
    <t>$653.10</t>
  </si>
  <si>
    <t>$391,860.00</t>
  </si>
  <si>
    <t>$10,000 C/N反映／$658⇒$653.1</t>
  </si>
  <si>
    <t>$982.00</t>
  </si>
  <si>
    <t>$122,750.00</t>
  </si>
  <si>
    <t>2024/06/26</t>
  </si>
  <si>
    <t>$10,000 C/N反映／$,1002⇒$982</t>
  </si>
  <si>
    <t>$753.00</t>
  </si>
  <si>
    <t>$112,950.00</t>
  </si>
  <si>
    <t>2024/06/27</t>
  </si>
  <si>
    <t>4M変更(AX211⇒210）</t>
  </si>
  <si>
    <t>$10,000 C/N反映／$753⇒$743</t>
  </si>
  <si>
    <t>2024/07/30</t>
  </si>
  <si>
    <t>$967.00</t>
  </si>
  <si>
    <t>$172,126.00</t>
  </si>
  <si>
    <t>$864,780.00</t>
  </si>
  <si>
    <t>〇／最短綾瀬</t>
  </si>
  <si>
    <t>$924,420.00</t>
  </si>
  <si>
    <t>2024/07/15</t>
  </si>
  <si>
    <t>$279,000.00</t>
  </si>
  <si>
    <t>$468.00</t>
  </si>
  <si>
    <t>$74,880.00</t>
  </si>
  <si>
    <t>$228,300.00</t>
  </si>
  <si>
    <t>$664.00</t>
  </si>
  <si>
    <t>$185,920.00</t>
  </si>
  <si>
    <t>$197,050.00</t>
  </si>
  <si>
    <t>$40,180.00</t>
  </si>
  <si>
    <t>2024/07/18</t>
  </si>
  <si>
    <t>1511730</t>
  </si>
  <si>
    <t>$312,010.00</t>
  </si>
  <si>
    <t>1510713</t>
  </si>
  <si>
    <t>$73,190.00</t>
  </si>
  <si>
    <t>$686,080.00</t>
  </si>
  <si>
    <t>$60,540.00</t>
  </si>
  <si>
    <t>$1,148.00</t>
  </si>
  <si>
    <t>UNW-B-14900HX-4070-L6</t>
  </si>
  <si>
    <t>$22,960.00</t>
  </si>
  <si>
    <t>$963.00</t>
  </si>
  <si>
    <t>UNW-B-14900HX-4060-L6</t>
  </si>
  <si>
    <t>$38,520.00</t>
  </si>
  <si>
    <t>$524.20</t>
  </si>
  <si>
    <t>$5,242.00</t>
  </si>
  <si>
    <t>2024/07/11</t>
  </si>
  <si>
    <t>$435.70</t>
  </si>
  <si>
    <t>$8,714.00</t>
  </si>
  <si>
    <t>2024/07/12</t>
  </si>
  <si>
    <t>$521.20</t>
  </si>
  <si>
    <t>$364,840.00</t>
  </si>
  <si>
    <t>＞1Kのため-$3</t>
  </si>
  <si>
    <t>$432.70</t>
  </si>
  <si>
    <t>$231,494.50</t>
  </si>
  <si>
    <t>$106,550.75</t>
  </si>
  <si>
    <t>2024/07/26</t>
  </si>
  <si>
    <t>$99,028.00</t>
  </si>
  <si>
    <t>$110,338.50</t>
  </si>
  <si>
    <t>$51,920.00</t>
  </si>
  <si>
    <t>$1,002.00</t>
  </si>
  <si>
    <t>$315,630.00</t>
  </si>
  <si>
    <t>データのみ、元PO♯4500006382</t>
  </si>
  <si>
    <t>4M変更(AX211⇒210⇒Copilot Key）</t>
  </si>
  <si>
    <t>193201⇒199321⇒202294</t>
  </si>
  <si>
    <t>$62,370.00</t>
  </si>
  <si>
    <t>$115,830.00</t>
  </si>
  <si>
    <t>$306,360.00</t>
  </si>
  <si>
    <t>$500.00</t>
  </si>
  <si>
    <t>$40.00</t>
  </si>
  <si>
    <t>CLE-アダプタ-90W</t>
  </si>
  <si>
    <t>$12.00</t>
  </si>
  <si>
    <t>CLE-アダプタ-45W</t>
  </si>
  <si>
    <t>$120.00</t>
  </si>
  <si>
    <t>CLE-パワーコード-45W/65W用</t>
  </si>
  <si>
    <t>$16.00</t>
  </si>
  <si>
    <t>CLE-NL45-天板 sample</t>
  </si>
  <si>
    <t>$160.00</t>
  </si>
  <si>
    <t>法人・荘司さん</t>
  </si>
  <si>
    <t>$91,840.00</t>
  </si>
  <si>
    <t>2024/08/02</t>
  </si>
  <si>
    <t>東京</t>
  </si>
  <si>
    <t>$67,410.00</t>
  </si>
  <si>
    <t>$53,760.00</t>
  </si>
  <si>
    <t>2024/07/31</t>
  </si>
  <si>
    <t>2024/08/09</t>
  </si>
  <si>
    <t>$90,480.00</t>
  </si>
  <si>
    <t>$4,434.00</t>
  </si>
  <si>
    <t>2024/08/30</t>
  </si>
  <si>
    <t>1510378</t>
  </si>
  <si>
    <t>$3,846.00</t>
  </si>
  <si>
    <t>$150,600.00</t>
  </si>
  <si>
    <t>2024/08/21</t>
  </si>
  <si>
    <t>$267,300.00</t>
  </si>
  <si>
    <t>4M変更／Copilot Key</t>
  </si>
  <si>
    <t>193186⇒199319</t>
  </si>
  <si>
    <t>$213,120.00</t>
  </si>
  <si>
    <t>193198⇒199322</t>
  </si>
  <si>
    <t>$38,940.00</t>
  </si>
  <si>
    <t>2024/08/20</t>
  </si>
  <si>
    <t>193716⇒199330</t>
  </si>
  <si>
    <t>$548,338.00</t>
  </si>
  <si>
    <t>2024/08/28</t>
  </si>
  <si>
    <t>〇/最短綾瀬</t>
  </si>
  <si>
    <t>Copilot Key</t>
  </si>
  <si>
    <t>$379,472.00</t>
  </si>
  <si>
    <t>2024/09/09</t>
  </si>
  <si>
    <t>CLE-NL45-天板 sample／ロゴ色8422C</t>
  </si>
  <si>
    <t>2024/09/13</t>
  </si>
  <si>
    <t>企画</t>
  </si>
  <si>
    <t>CLE-NL45-天板 sample／ロゴ色8180C</t>
  </si>
  <si>
    <t>CLE-NL45-天板 sample／ロゴ色8240C</t>
  </si>
  <si>
    <t>$866.00</t>
  </si>
  <si>
    <t>$79,672.00</t>
  </si>
  <si>
    <t>2024/09/19</t>
  </si>
  <si>
    <t>2024/09/20</t>
  </si>
  <si>
    <t>VWT</t>
  </si>
  <si>
    <t>1510847</t>
  </si>
  <si>
    <t>$841.00</t>
  </si>
  <si>
    <t>$119,422.00</t>
  </si>
  <si>
    <t>2024/09/18</t>
  </si>
  <si>
    <t>$726.00</t>
  </si>
  <si>
    <t>$139,392.00</t>
  </si>
  <si>
    <t>$3,464.00</t>
  </si>
  <si>
    <t>綾瀬/海老名</t>
  </si>
  <si>
    <t>$3,364.00</t>
  </si>
  <si>
    <t>$2,904.00</t>
  </si>
  <si>
    <t>2024/08/26</t>
  </si>
  <si>
    <t>2024/09/04</t>
  </si>
  <si>
    <t>$1,732.00</t>
  </si>
  <si>
    <t>2024/09/23</t>
  </si>
  <si>
    <t>海老名</t>
  </si>
  <si>
    <t>海老名・金子さん</t>
  </si>
  <si>
    <t>$1,682.00</t>
  </si>
  <si>
    <t>$1,452.00</t>
  </si>
  <si>
    <t>$5,183.55</t>
  </si>
  <si>
    <t>2024/08/27</t>
  </si>
  <si>
    <t>$5,212.00</t>
  </si>
  <si>
    <t>$4,327.00</t>
  </si>
  <si>
    <t>$57,019.05</t>
  </si>
  <si>
    <t>$99,598.00</t>
  </si>
  <si>
    <t>$1,995.00</t>
  </si>
  <si>
    <t>$39,900.00</t>
  </si>
  <si>
    <t>2024/09/05</t>
  </si>
  <si>
    <t>2024/09/10</t>
  </si>
  <si>
    <t>$737.00</t>
  </si>
  <si>
    <t>$88,440.00</t>
  </si>
  <si>
    <t>$51.00</t>
  </si>
  <si>
    <t>TFH-アダプタ-230W</t>
  </si>
  <si>
    <t>$714.00</t>
  </si>
  <si>
    <t>$3.00</t>
  </si>
  <si>
    <t>TFH(UNW)パワーコード,230/280/330W用</t>
  </si>
  <si>
    <t>$42.00</t>
  </si>
  <si>
    <t>$940.00</t>
  </si>
  <si>
    <t>$65,800.00</t>
  </si>
  <si>
    <t>$1,983.00</t>
  </si>
  <si>
    <t>$59,490.00</t>
  </si>
  <si>
    <t>$28.00</t>
  </si>
  <si>
    <t>TFH アダプター(180W)FSP</t>
  </si>
  <si>
    <t>$420.00</t>
  </si>
  <si>
    <t>TFH(UNW)パワーコード,65/95/120/150/180W/240W用</t>
  </si>
  <si>
    <t>$45.00</t>
  </si>
  <si>
    <t>$48.00</t>
  </si>
  <si>
    <t>$720.00</t>
  </si>
  <si>
    <t>$513.00</t>
  </si>
  <si>
    <t>$205,200.00</t>
  </si>
  <si>
    <t>2024/09/03</t>
  </si>
  <si>
    <t>$359.00</t>
  </si>
  <si>
    <t>CLE-NL45-1334U-UMA-L6 Thirdwave PVT</t>
  </si>
  <si>
    <t>2024/09/27</t>
  </si>
  <si>
    <t>1511629</t>
  </si>
  <si>
    <t xml:space="preserve"> </t>
  </si>
  <si>
    <t>$15,080.00</t>
  </si>
  <si>
    <t>2024/09/24</t>
  </si>
  <si>
    <t>$44,800.00</t>
  </si>
  <si>
    <t>1510323</t>
  </si>
  <si>
    <t>$37,700.00</t>
  </si>
  <si>
    <t>$738.00</t>
  </si>
  <si>
    <t>$295,200.00</t>
  </si>
  <si>
    <t>LCL/最短綾瀬</t>
  </si>
  <si>
    <t>$279,240.00</t>
  </si>
  <si>
    <t>2024/09/25</t>
  </si>
  <si>
    <t>2024/09/29</t>
  </si>
  <si>
    <t>$618.00</t>
  </si>
  <si>
    <t>$185,400.00</t>
  </si>
  <si>
    <t>2024/09/26</t>
  </si>
  <si>
    <t>$107,200.00</t>
  </si>
  <si>
    <t>$440.00</t>
  </si>
  <si>
    <t>CLE-NL45-1355U-UMA-L6-TPM Thirdwave PVT</t>
  </si>
  <si>
    <t>$880.00</t>
  </si>
  <si>
    <t>2024/10/16</t>
  </si>
  <si>
    <t>$57,400.00</t>
  </si>
  <si>
    <t>2024/10/18</t>
  </si>
  <si>
    <t>$1,098.00</t>
  </si>
  <si>
    <t>$10,980.00</t>
  </si>
  <si>
    <t>$53,600.00</t>
  </si>
  <si>
    <t>2024/10/08</t>
  </si>
  <si>
    <t>最短綾瀬</t>
  </si>
  <si>
    <t>$166,160.00</t>
  </si>
  <si>
    <t>$796.00</t>
  </si>
  <si>
    <t>CLE-L26-228V-UMA-32G-L7 Thirdwave PVT</t>
  </si>
  <si>
    <t>$1,592.00</t>
  </si>
  <si>
    <t>2024/10/23</t>
  </si>
  <si>
    <t>$771.00</t>
  </si>
  <si>
    <t>CLE-L24-228V-UMA-32G-L7 Thirdwave PVT</t>
  </si>
  <si>
    <t>$1,542.00</t>
  </si>
  <si>
    <t>$1,968.00</t>
  </si>
  <si>
    <t>$59,040.00</t>
  </si>
  <si>
    <t>$43,920.00</t>
  </si>
  <si>
    <t>$536,000.00</t>
  </si>
  <si>
    <t>2024/10/15</t>
  </si>
  <si>
    <t>$60,270.00</t>
  </si>
  <si>
    <t>2024/10/17</t>
  </si>
  <si>
    <t>$43,800.00</t>
  </si>
  <si>
    <t>$367.00</t>
  </si>
  <si>
    <t>$110,100.00</t>
  </si>
  <si>
    <t>$100.00</t>
  </si>
  <si>
    <t>WZN-1501-天板 sample</t>
  </si>
  <si>
    <t>$300.00</t>
  </si>
  <si>
    <t>2024/10/31</t>
  </si>
  <si>
    <t>SF Express</t>
  </si>
  <si>
    <t>香港</t>
  </si>
  <si>
    <t>企画・鈴木さん依頼／運賃先方負担</t>
  </si>
  <si>
    <t>$751.00</t>
  </si>
  <si>
    <t>$450,600.00</t>
  </si>
  <si>
    <t>2024/10/22</t>
  </si>
  <si>
    <t>2024/10/25</t>
  </si>
  <si>
    <t>$659.00</t>
  </si>
  <si>
    <t>$197,700.00</t>
  </si>
  <si>
    <t>$65,880.00</t>
  </si>
  <si>
    <t>2024/11/06</t>
  </si>
  <si>
    <t>2024/11/08</t>
  </si>
  <si>
    <t>$561.00</t>
  </si>
  <si>
    <t>$126,225.00</t>
  </si>
  <si>
    <t>2024/11/04</t>
  </si>
  <si>
    <t>$435,000.00</t>
  </si>
  <si>
    <t>2024/10/29</t>
  </si>
  <si>
    <t>$651,000.00</t>
  </si>
  <si>
    <t>$53,280.00</t>
  </si>
  <si>
    <t>4M変更／Copilot Key⇒EC更新</t>
  </si>
  <si>
    <t>193198⇒199322⇒208425</t>
  </si>
  <si>
    <t>$108,250.00</t>
  </si>
  <si>
    <t>2024/10/24</t>
  </si>
  <si>
    <t>CPU納期遅いため</t>
  </si>
  <si>
    <t>$147,175.00</t>
  </si>
  <si>
    <t>$217,800.00</t>
  </si>
  <si>
    <t>CPU 月末にintel⇒CLE</t>
  </si>
  <si>
    <t>$2,154.00</t>
  </si>
  <si>
    <t>不驗貨</t>
  </si>
  <si>
    <t>2024/11/12</t>
  </si>
  <si>
    <t>$32,940.00</t>
  </si>
  <si>
    <t>2024/11/14</t>
  </si>
  <si>
    <t>2024/11/15</t>
  </si>
  <si>
    <t>$210,375.00</t>
  </si>
  <si>
    <t>2024/11/07</t>
  </si>
  <si>
    <t>$78,720.00</t>
  </si>
  <si>
    <t>$150,200.00</t>
  </si>
  <si>
    <t>$98,175.00</t>
  </si>
  <si>
    <t>2024/11/05</t>
  </si>
  <si>
    <t>TFH-アダプタ-240W-Ultra Slim</t>
  </si>
  <si>
    <t>$59.00</t>
  </si>
  <si>
    <t>TFH-アダプタ-280W-Ultra Slim</t>
  </si>
  <si>
    <t>$590.00</t>
  </si>
  <si>
    <t>$36.00</t>
  </si>
  <si>
    <t>TFH-アダプタ-180W-Slim</t>
  </si>
  <si>
    <t>$2,124.00</t>
  </si>
  <si>
    <t>$3,417.00</t>
  </si>
  <si>
    <t>$32.00</t>
  </si>
  <si>
    <t>TFH-Adaptor-150W-Slim</t>
  </si>
  <si>
    <t>$320.00</t>
  </si>
  <si>
    <t>$231.00</t>
  </si>
  <si>
    <t>$237.00</t>
  </si>
  <si>
    <t>$729.00</t>
  </si>
  <si>
    <t>$524,880.00</t>
  </si>
  <si>
    <t>2024/10/28</t>
  </si>
  <si>
    <t>$635.00</t>
  </si>
  <si>
    <t>$520,700.00</t>
  </si>
  <si>
    <t>$534.00</t>
  </si>
  <si>
    <t>$448,560.00</t>
  </si>
  <si>
    <t>2024/10/30</t>
  </si>
  <si>
    <t>$329,500.00</t>
  </si>
  <si>
    <t>$4,776.00</t>
  </si>
  <si>
    <t>2024/11/20</t>
  </si>
  <si>
    <t>2024/11/22</t>
  </si>
  <si>
    <t>$4,626.00</t>
  </si>
  <si>
    <t>2024/11/19</t>
  </si>
  <si>
    <t>$112,200.00</t>
  </si>
  <si>
    <t>$98,820.00</t>
  </si>
  <si>
    <t>2024/11/13</t>
  </si>
  <si>
    <t>$364,650.00</t>
  </si>
  <si>
    <t>11/29綾瀬着荷</t>
  </si>
  <si>
    <t>$213,600.00</t>
  </si>
  <si>
    <t>$70,125.00</t>
  </si>
  <si>
    <t>$39,360.00</t>
  </si>
  <si>
    <t>$54,900.00</t>
  </si>
  <si>
    <t>$479.58</t>
  </si>
  <si>
    <t>$473,825.04</t>
  </si>
  <si>
    <t>$409.50</t>
  </si>
  <si>
    <t>$511,875.00</t>
  </si>
  <si>
    <t>$2,640.00</t>
  </si>
  <si>
    <t>2024/12/02</t>
  </si>
  <si>
    <t>$3,319.00</t>
  </si>
  <si>
    <t>$19,914.00</t>
  </si>
  <si>
    <t>2024/11/27</t>
  </si>
  <si>
    <t>2024/12/03</t>
  </si>
  <si>
    <t>1512195</t>
  </si>
  <si>
    <t>$1,671.00</t>
  </si>
  <si>
    <t>$10,026.00</t>
  </si>
  <si>
    <t>2024/11/18</t>
  </si>
  <si>
    <t>LCD BOE納期遅延</t>
  </si>
  <si>
    <t>$464,187.00</t>
  </si>
  <si>
    <t>2024/11/21</t>
  </si>
  <si>
    <t>TPM付き/2nd source LCD遅延</t>
  </si>
  <si>
    <t>$81,192.00</t>
  </si>
  <si>
    <t>$225,132.00</t>
  </si>
  <si>
    <t>$639.00</t>
  </si>
  <si>
    <t>$95,850.00</t>
  </si>
  <si>
    <t>EC更新 199328⇒209065</t>
  </si>
  <si>
    <t>$992.00</t>
  </si>
  <si>
    <t>$297,600.00</t>
  </si>
  <si>
    <t>EC更新　199330⇒209065</t>
  </si>
  <si>
    <t>$140,400.00</t>
  </si>
  <si>
    <t>$381,000.00</t>
  </si>
  <si>
    <t>2024/11/11</t>
  </si>
  <si>
    <t>$255,150.00</t>
  </si>
  <si>
    <t>$304,800.00</t>
  </si>
  <si>
    <t>$285,480.00</t>
  </si>
  <si>
    <t>カバー不良のため11/22⇒11/26</t>
  </si>
  <si>
    <t>$120,780.00</t>
  </si>
  <si>
    <t>$112,650.00</t>
  </si>
  <si>
    <t>1512478</t>
  </si>
  <si>
    <t>$129,030.00</t>
  </si>
  <si>
    <t>2024/11/28</t>
  </si>
  <si>
    <t>$140,250.00</t>
  </si>
  <si>
    <t>$457.25</t>
  </si>
  <si>
    <t>WZN-1051-1355U-UMA-L6 Thirdwave PVT</t>
  </si>
  <si>
    <t>$914.50</t>
  </si>
  <si>
    <t>2024/12/09</t>
  </si>
  <si>
    <t>1512151</t>
  </si>
  <si>
    <t>$380.25</t>
  </si>
  <si>
    <t>WZN-1051-1335U-UMA-L6 Thirdwave PVT</t>
  </si>
  <si>
    <t>$760.50</t>
  </si>
  <si>
    <t>$488,150.00</t>
  </si>
  <si>
    <t>$480,600.00</t>
  </si>
  <si>
    <t>2024/11/26</t>
  </si>
  <si>
    <t>$56,100.00</t>
  </si>
  <si>
    <t>$46,466.00</t>
  </si>
  <si>
    <t>$123,654.00</t>
  </si>
  <si>
    <t>$97.00</t>
  </si>
  <si>
    <t>MSH-アダプタ-240W</t>
  </si>
  <si>
    <t>$970.00</t>
  </si>
  <si>
    <t>2024/12/06</t>
  </si>
  <si>
    <t>$8.00</t>
  </si>
  <si>
    <t>MSH-パワーコード-240W用</t>
  </si>
  <si>
    <t>$318.25</t>
  </si>
  <si>
    <t>2024/12/18</t>
  </si>
  <si>
    <t>4M変更/Copilot Key</t>
  </si>
  <si>
    <t>1511711</t>
  </si>
  <si>
    <t>$636.50</t>
  </si>
  <si>
    <t>$748.00</t>
  </si>
  <si>
    <t>CLE-V54-HX370-UMA-L6 Creator PVT</t>
  </si>
  <si>
    <t>2024/12/20</t>
  </si>
  <si>
    <t>開発・向井</t>
  </si>
  <si>
    <t>2024/12/05</t>
  </si>
  <si>
    <t>$127,800.00</t>
  </si>
  <si>
    <t>2024/12/12</t>
  </si>
  <si>
    <t>4500008098⇒4500009281へ変更（品目CODE変更のため）</t>
  </si>
  <si>
    <t>$175,200.00</t>
  </si>
  <si>
    <t>LCD BOE納期遅延/TW納期後回し</t>
  </si>
  <si>
    <t>$173,360.00</t>
  </si>
  <si>
    <t>$5,754.96</t>
  </si>
  <si>
    <t>$61,425.00</t>
  </si>
  <si>
    <t>$116,640.00</t>
  </si>
  <si>
    <t>2024/12/04</t>
  </si>
  <si>
    <t>2024/12/10</t>
  </si>
  <si>
    <t>$31,750.00</t>
  </si>
  <si>
    <t>$56,160.00</t>
  </si>
  <si>
    <t>$225,300.00</t>
  </si>
  <si>
    <t>$469.58</t>
  </si>
  <si>
    <t>$137,586.94</t>
  </si>
  <si>
    <t>$399.50</t>
  </si>
  <si>
    <t>$319,600.00</t>
  </si>
  <si>
    <t>$307,615.00</t>
  </si>
  <si>
    <t>$1,632.00</t>
  </si>
  <si>
    <t>$684.00</t>
  </si>
  <si>
    <t>$26.00</t>
  </si>
  <si>
    <t>TFH-アダプタ-150W-Standard</t>
  </si>
  <si>
    <t>$260.00</t>
  </si>
  <si>
    <t>$96.00</t>
  </si>
  <si>
    <t>$87.00</t>
  </si>
  <si>
    <t>2024/12/13</t>
  </si>
  <si>
    <t>$480.00</t>
  </si>
  <si>
    <t>$851.00</t>
  </si>
  <si>
    <t>$85,100.00</t>
  </si>
  <si>
    <t>$15↓／台</t>
  </si>
  <si>
    <t>1512429</t>
  </si>
  <si>
    <t>$826.00</t>
  </si>
  <si>
    <t>$82,600.00</t>
  </si>
  <si>
    <t>$711.00</t>
  </si>
  <si>
    <t>$142,200.00</t>
  </si>
  <si>
    <t>$1,336.00</t>
  </si>
  <si>
    <t>$106,880.00</t>
  </si>
  <si>
    <t>2024/12/27</t>
  </si>
  <si>
    <t>1508887</t>
  </si>
  <si>
    <t>$172,320.00</t>
  </si>
  <si>
    <t>2024/12/11</t>
  </si>
  <si>
    <t>$437,980.00</t>
  </si>
  <si>
    <t>4M変更/LCD</t>
  </si>
  <si>
    <t>$781.00</t>
  </si>
  <si>
    <t>$148,390.00</t>
  </si>
  <si>
    <t>$756.00</t>
  </si>
  <si>
    <t>$302,400.00</t>
  </si>
  <si>
    <t>$1,496.00</t>
  </si>
  <si>
    <t>2025/01/07</t>
  </si>
  <si>
    <t>2024/01/08</t>
  </si>
  <si>
    <t>綾瀬</t>
  </si>
  <si>
    <t>$275,286.25</t>
  </si>
  <si>
    <t>2025/12/26</t>
  </si>
  <si>
    <t>2024/12/28</t>
  </si>
  <si>
    <t>$6.60</t>
  </si>
  <si>
    <t>WZN-アダプタ-65W(一体型)</t>
  </si>
  <si>
    <t>$66.00</t>
  </si>
  <si>
    <t>$375,500.00</t>
  </si>
  <si>
    <t>2024/12/16</t>
  </si>
  <si>
    <t>2025/01/03</t>
  </si>
  <si>
    <t>年越出荷だめ</t>
  </si>
  <si>
    <t>$228,888.00</t>
  </si>
  <si>
    <t>2025/01/10</t>
  </si>
  <si>
    <t>10/18 内示 1K</t>
  </si>
  <si>
    <t>$2,644.00</t>
  </si>
  <si>
    <t>CLE-X58-275HX-5090-L6 PVT</t>
  </si>
  <si>
    <t>2025/01/26</t>
  </si>
  <si>
    <t>$82,550.00</t>
  </si>
  <si>
    <t>2月出荷可</t>
  </si>
  <si>
    <t>2025/01/17</t>
  </si>
  <si>
    <t>$26,360.00</t>
  </si>
  <si>
    <t>2025/01/08</t>
  </si>
  <si>
    <t>2025/01/16</t>
  </si>
  <si>
    <t>$98,850.00</t>
  </si>
  <si>
    <t>$263,600.00</t>
  </si>
  <si>
    <t>1513541</t>
  </si>
  <si>
    <t>2025/01/14</t>
  </si>
  <si>
    <t>2025/01/13</t>
  </si>
  <si>
    <t>$19,680.00</t>
  </si>
  <si>
    <t>2025/01/15</t>
  </si>
  <si>
    <t>$90,120.00</t>
  </si>
  <si>
    <t>$46,800.00</t>
  </si>
  <si>
    <t>ラストバイ</t>
  </si>
  <si>
    <t>MB破損して修理不能のため</t>
  </si>
  <si>
    <t>$234,950.00</t>
  </si>
  <si>
    <t>2025/01/24</t>
  </si>
  <si>
    <t>$1,655.00</t>
  </si>
  <si>
    <t>$124,125.00</t>
  </si>
  <si>
    <t>2025/01/21</t>
  </si>
  <si>
    <t>$121,500.00</t>
  </si>
  <si>
    <t>$59,570.00</t>
  </si>
  <si>
    <t>2025/01/06</t>
  </si>
  <si>
    <t>EC更新 199328⇒209065／元PO#4500008099</t>
  </si>
  <si>
    <t>$393,660.00</t>
  </si>
  <si>
    <t>2025/01/22</t>
  </si>
  <si>
    <t>$9,840.00</t>
  </si>
  <si>
    <t>Cancel不可、12/6事前承認済</t>
  </si>
  <si>
    <t>$168,300.00</t>
  </si>
  <si>
    <t>$3,287.06</t>
  </si>
  <si>
    <t>$11,585.50</t>
  </si>
  <si>
    <t>$93,916.00</t>
  </si>
  <si>
    <t>180234⇒210491⇒ 180234</t>
  </si>
  <si>
    <t>$400.00</t>
  </si>
  <si>
    <t>$160,000.00</t>
  </si>
  <si>
    <t>180235⇒210492⇒ 180235</t>
  </si>
  <si>
    <t>$140,624.00</t>
  </si>
  <si>
    <t>2025/02/05</t>
  </si>
  <si>
    <t>2025/02/07</t>
  </si>
  <si>
    <t>10/18 内示 1K /3月末まで出荷</t>
  </si>
  <si>
    <t>$430,800.00</t>
  </si>
  <si>
    <t>2025/02/02</t>
  </si>
  <si>
    <t>最短※</t>
  </si>
  <si>
    <t>2/17WK前半着を目指す／大塚商会様</t>
  </si>
  <si>
    <t>1513523</t>
  </si>
  <si>
    <t>$87,840.00</t>
  </si>
  <si>
    <t>2025/02/20</t>
  </si>
  <si>
    <t>2025/02/21</t>
  </si>
  <si>
    <t>$2,743.50</t>
  </si>
  <si>
    <t>2/24特採</t>
  </si>
  <si>
    <t>2025/2/25</t>
  </si>
  <si>
    <t>$2,281.50</t>
  </si>
  <si>
    <t>2025/02/10</t>
  </si>
  <si>
    <t>2025/02/28</t>
  </si>
  <si>
    <t>熊川さん宛、JEITA3.0測定用</t>
  </si>
  <si>
    <t>$939.16</t>
  </si>
  <si>
    <t>2025/02/27</t>
  </si>
  <si>
    <t>4M変更/Copolit対応</t>
  </si>
  <si>
    <t>$799.00</t>
  </si>
  <si>
    <t>$527,050.00</t>
  </si>
  <si>
    <t>2025/02/19</t>
  </si>
  <si>
    <t>$89,760.00</t>
  </si>
  <si>
    <t>$336,600.00</t>
  </si>
  <si>
    <t>2025/02/18</t>
  </si>
  <si>
    <t>$72,900.00</t>
  </si>
  <si>
    <t>2025/02/11</t>
  </si>
  <si>
    <t>2025/02/17</t>
  </si>
  <si>
    <t>2025/02/12</t>
  </si>
  <si>
    <t>$30,135.00</t>
  </si>
  <si>
    <t>$58,168.00</t>
  </si>
  <si>
    <t>2025/03/06</t>
  </si>
  <si>
    <t>2025/03/09</t>
  </si>
  <si>
    <t>TTM、12/10内示済</t>
  </si>
  <si>
    <t>1514052</t>
  </si>
  <si>
    <t>$15,864.00</t>
  </si>
  <si>
    <t>2025/03/07</t>
  </si>
  <si>
    <t>$87,120.00</t>
  </si>
  <si>
    <t>$66,080.00</t>
  </si>
  <si>
    <t>$139,934.84</t>
  </si>
  <si>
    <t>$198,951.00</t>
  </si>
  <si>
    <t>$46,488.42</t>
  </si>
  <si>
    <t>$63,520.50</t>
  </si>
  <si>
    <t>2025/03/11</t>
  </si>
  <si>
    <t>2025/03/14</t>
  </si>
  <si>
    <t>法人分</t>
  </si>
  <si>
    <t>$379,080.00</t>
  </si>
  <si>
    <t>$0.80</t>
  </si>
  <si>
    <t>CLE-L245-Camera</t>
  </si>
  <si>
    <t>補修用／品管・南勇輝さん依頼</t>
  </si>
  <si>
    <t>CLE-L261-Camera</t>
  </si>
  <si>
    <t>法人30、一般10</t>
  </si>
  <si>
    <t>$256,060.00</t>
  </si>
  <si>
    <t>2025/03/03</t>
  </si>
  <si>
    <t>40'</t>
  </si>
  <si>
    <t>$395,460.00</t>
  </si>
  <si>
    <t>$1,331.00</t>
  </si>
  <si>
    <t>UNW-K-9955HX-5070Ti-L6 PVT</t>
  </si>
  <si>
    <t>$2,662.00</t>
  </si>
  <si>
    <t>工場で検品</t>
  </si>
  <si>
    <t>2025/03/21</t>
  </si>
  <si>
    <t>$72,930.00</t>
  </si>
  <si>
    <t>2025/03/04</t>
  </si>
  <si>
    <t>$84,150.00</t>
  </si>
  <si>
    <t>2025/03/05</t>
  </si>
  <si>
    <t>$34,689.25</t>
  </si>
  <si>
    <t>$198.00</t>
  </si>
  <si>
    <t>$65,386.75</t>
  </si>
  <si>
    <t>20'</t>
  </si>
  <si>
    <t>$49,432.50</t>
  </si>
  <si>
    <t>$1,702.00</t>
  </si>
  <si>
    <t>2025/03/27</t>
  </si>
  <si>
    <t>2025/03/28</t>
  </si>
  <si>
    <t>開発指示</t>
  </si>
  <si>
    <t>$1,036.00</t>
  </si>
  <si>
    <t>CLE-V56-350-5060-L6 PVT</t>
  </si>
  <si>
    <t>2025/04/04</t>
  </si>
  <si>
    <t>$71,800.00</t>
  </si>
  <si>
    <t>2025/03/19</t>
  </si>
  <si>
    <t>or 4/1</t>
  </si>
  <si>
    <t>X58用</t>
  </si>
  <si>
    <t>2025/03/20</t>
  </si>
  <si>
    <t>$97,630.00</t>
  </si>
  <si>
    <t>2025/03/18</t>
  </si>
  <si>
    <t>$107,700.00</t>
  </si>
  <si>
    <t>$259,112.00</t>
  </si>
  <si>
    <t>2025/3/20</t>
  </si>
  <si>
    <t>$127,670.00</t>
  </si>
  <si>
    <t>$1,326.00</t>
  </si>
  <si>
    <t>$540.00</t>
  </si>
  <si>
    <t>$78.00</t>
  </si>
  <si>
    <t>$75.00</t>
  </si>
  <si>
    <t>$723.00</t>
  </si>
  <si>
    <t>$289,200.00</t>
  </si>
  <si>
    <t>2025/04/02</t>
  </si>
  <si>
    <t>2025/04/03</t>
  </si>
  <si>
    <t>4/18⇒</t>
  </si>
  <si>
    <t>$132,200.00</t>
  </si>
  <si>
    <t>2025/03/25</t>
  </si>
  <si>
    <t>$105,760.00</t>
  </si>
  <si>
    <t>$323,100.00</t>
  </si>
  <si>
    <t>$706.00</t>
  </si>
  <si>
    <t>$282,400.00</t>
  </si>
  <si>
    <t>$125,948.00</t>
  </si>
  <si>
    <t>$374,000.00</t>
  </si>
  <si>
    <t>208299⇒216787</t>
  </si>
  <si>
    <t>$211,800.00</t>
  </si>
  <si>
    <t>2025/03/29</t>
  </si>
  <si>
    <t>$371,700.00</t>
  </si>
  <si>
    <t>2025/03/26</t>
  </si>
  <si>
    <t>$39,550.50</t>
  </si>
  <si>
    <t>$16,379.50</t>
  </si>
  <si>
    <t>$160,200.00</t>
  </si>
  <si>
    <t>2025/04/01</t>
  </si>
  <si>
    <t>$578,400.00</t>
  </si>
  <si>
    <t>$35,900.00</t>
  </si>
  <si>
    <t>2025/04/11</t>
  </si>
  <si>
    <t>$801.50</t>
  </si>
  <si>
    <t>CLE-V35-14650HX-5050-L6 PVT</t>
  </si>
  <si>
    <t>DHL♯1707213826</t>
  </si>
  <si>
    <t>2025/05/23</t>
  </si>
  <si>
    <t>$718.00</t>
  </si>
  <si>
    <t>DHL♯170 7213 896</t>
  </si>
  <si>
    <t>2025/04/25</t>
  </si>
  <si>
    <t>DHL♯170 7213 900</t>
  </si>
  <si>
    <t>$2,072.00</t>
  </si>
  <si>
    <t>2025/04/23</t>
  </si>
  <si>
    <t>2025/04/30</t>
  </si>
  <si>
    <t>$31,080.00</t>
  </si>
  <si>
    <t>展示機やプロモ</t>
  </si>
  <si>
    <t>2025/04/24</t>
  </si>
  <si>
    <t>$267,000.00</t>
  </si>
  <si>
    <t>2025/04/09</t>
  </si>
  <si>
    <t>本船遅延4/15⇒4/22</t>
  </si>
  <si>
    <t>$433,800.00</t>
  </si>
  <si>
    <t>DHL♯170 7213 981</t>
  </si>
  <si>
    <t>2025/04/29</t>
  </si>
  <si>
    <t>$66,550.00</t>
  </si>
  <si>
    <t>2025/4/30 条件付きOK</t>
  </si>
  <si>
    <t>TTM</t>
  </si>
  <si>
    <t>$1,110.00</t>
  </si>
  <si>
    <t>$2,220.00</t>
  </si>
  <si>
    <t>2/13 内示済</t>
  </si>
  <si>
    <t>検品なし</t>
  </si>
  <si>
    <t>2025/04/22</t>
  </si>
  <si>
    <t>$33,746.00</t>
  </si>
  <si>
    <t>2025/04/21</t>
  </si>
  <si>
    <t>$128,160.00</t>
  </si>
  <si>
    <t>$1,704.00</t>
  </si>
  <si>
    <t>2025/05/06</t>
  </si>
  <si>
    <t>CLE-V35-14650HX-5060-L6 Creator PVT</t>
  </si>
  <si>
    <t>$453,768.00</t>
  </si>
  <si>
    <t>CLE-V37-14900HX-5070-L6 Creator PVT</t>
  </si>
  <si>
    <t>$211,296.00</t>
  </si>
  <si>
    <t>WES SINA / 411E</t>
  </si>
  <si>
    <t>$130,980.00</t>
  </si>
  <si>
    <t>$159,720.00</t>
  </si>
  <si>
    <t>$26,620.00</t>
  </si>
  <si>
    <t>$127,000.00</t>
  </si>
  <si>
    <t>$101,600.00</t>
  </si>
  <si>
    <t>$745.00</t>
  </si>
  <si>
    <t>$149,000.00</t>
  </si>
  <si>
    <t>2025/04/27</t>
  </si>
  <si>
    <t>$6.00</t>
  </si>
  <si>
    <t>TFH-外箱 for GM5PG0O</t>
  </si>
  <si>
    <t>$60.00</t>
  </si>
  <si>
    <t>法人・鈴木由希子さん依頼分、綾瀬に保管</t>
  </si>
  <si>
    <t>2025/05/15</t>
  </si>
  <si>
    <t>$820.00</t>
  </si>
  <si>
    <t>CLE-V35-14650HX-5050-L6 Creator PVT</t>
  </si>
  <si>
    <t>$1,640.00</t>
  </si>
  <si>
    <t>$6,683.25</t>
  </si>
  <si>
    <t>2025/04/16</t>
  </si>
  <si>
    <t>2025/5/19</t>
  </si>
  <si>
    <t>$32,464.75</t>
  </si>
  <si>
    <t>2025/04/17</t>
  </si>
  <si>
    <t>$68,587.50</t>
  </si>
  <si>
    <t>$96,022.50</t>
  </si>
  <si>
    <t>4/11分と合わせて２回目として出荷</t>
  </si>
  <si>
    <t>$54,756.00</t>
  </si>
  <si>
    <t>$91,260.00</t>
  </si>
  <si>
    <t>$114,075.00</t>
  </si>
  <si>
    <t>2025/05/08</t>
  </si>
  <si>
    <t>2025/05/13</t>
  </si>
  <si>
    <t>遅延</t>
  </si>
  <si>
    <t>WES SINA/412E</t>
  </si>
  <si>
    <t>$1,361.00</t>
  </si>
  <si>
    <t>UNW-K-275HX-5070Ti-L6 PVT</t>
  </si>
  <si>
    <t>2025/05/26</t>
  </si>
  <si>
    <t>UNW-K-255HX-5070-L6 PVT</t>
  </si>
  <si>
    <t>ASIATIC QUEST 2529E</t>
  </si>
  <si>
    <t>$1,603.00</t>
  </si>
  <si>
    <t>2025/05/29</t>
  </si>
  <si>
    <t>2025/05/30</t>
  </si>
  <si>
    <t>$119,790.00</t>
  </si>
  <si>
    <t>2025/05/16</t>
  </si>
  <si>
    <t>2025/6/9</t>
  </si>
  <si>
    <t>F/T利用</t>
  </si>
  <si>
    <t>ASIATIC QUEST 2521E</t>
  </si>
  <si>
    <t>2025/05/20</t>
  </si>
  <si>
    <t>$88,000.00</t>
  </si>
  <si>
    <t>2025/05/27</t>
  </si>
  <si>
    <t>PO上　3/21</t>
  </si>
  <si>
    <t>ｺﾝﾃﾅ3：パーツ</t>
  </si>
  <si>
    <t>QING YUN HE 704E</t>
  </si>
  <si>
    <t>2025/06/03</t>
  </si>
  <si>
    <t>$561,050.00</t>
  </si>
  <si>
    <t>5/26~5/28</t>
  </si>
  <si>
    <t>2/28 内示済</t>
  </si>
  <si>
    <t>$221,400.00</t>
  </si>
  <si>
    <t>2025/05/14</t>
  </si>
  <si>
    <t>CLEVO QE検証のため</t>
  </si>
  <si>
    <t>$153,360.00</t>
  </si>
  <si>
    <t>検品NGのため</t>
  </si>
  <si>
    <t>$240,450.00</t>
  </si>
  <si>
    <t>ｺﾝﾃﾅ2,6/22</t>
  </si>
  <si>
    <t>$205,000.00</t>
  </si>
  <si>
    <t>$435.00</t>
  </si>
  <si>
    <t>TFH-E-13420H-3050-L6 PVT</t>
  </si>
  <si>
    <t>2025/06/16</t>
  </si>
  <si>
    <t>$1,022.00</t>
  </si>
  <si>
    <t>UNW-U-255HX-5060-L6 PVT</t>
  </si>
  <si>
    <t>2025/06/20</t>
  </si>
  <si>
    <t>DHL 9658751395</t>
  </si>
  <si>
    <t>$555.00</t>
  </si>
  <si>
    <t>前倒し出荷-$6</t>
  </si>
  <si>
    <t>$444,000.00</t>
  </si>
  <si>
    <t>2025/06/04</t>
  </si>
  <si>
    <t>2025/06/11</t>
  </si>
  <si>
    <t>QHD搭載版ラストバイ</t>
  </si>
  <si>
    <t>前航海遅延＆港混雑</t>
  </si>
  <si>
    <t>WES SINA 416E</t>
  </si>
  <si>
    <t>2025/06/13</t>
  </si>
  <si>
    <t>$111,000.00</t>
  </si>
  <si>
    <t>ASIATIC QUEST 2525E</t>
  </si>
  <si>
    <t>2025/06/17</t>
  </si>
  <si>
    <t>$53,400.00</t>
  </si>
  <si>
    <t>2025/06/05</t>
  </si>
  <si>
    <t>販促・最短</t>
  </si>
  <si>
    <t>2025/06/25</t>
  </si>
  <si>
    <t>DHL 4811873566</t>
  </si>
  <si>
    <t>$2,722.00</t>
  </si>
  <si>
    <t>2025/06/26</t>
  </si>
  <si>
    <t>DHL 4258076200</t>
  </si>
  <si>
    <t>DHL 4258072453</t>
  </si>
  <si>
    <t>2025/06/27</t>
  </si>
  <si>
    <t>DHL 8910575973</t>
  </si>
  <si>
    <t>2025/06/02</t>
  </si>
  <si>
    <t>2025/06/06</t>
  </si>
  <si>
    <t>2025/7/5</t>
  </si>
  <si>
    <t>F/T内でOK</t>
  </si>
  <si>
    <t>QING YUN HE 705E</t>
  </si>
  <si>
    <t>2025/06/10</t>
  </si>
  <si>
    <t>$359,000.00</t>
  </si>
  <si>
    <t>$627.00</t>
  </si>
  <si>
    <t>$300,960.00</t>
  </si>
  <si>
    <t>販促、急ぎ</t>
  </si>
  <si>
    <t>ASIATIC QUEST 2526E</t>
  </si>
  <si>
    <t>2025/06/24</t>
  </si>
  <si>
    <t>↑同梱</t>
  </si>
  <si>
    <t>$326,640.00</t>
  </si>
  <si>
    <t>ASIATIC QUEST 2527E</t>
  </si>
  <si>
    <t>2025/07/01</t>
  </si>
  <si>
    <t>$532.00</t>
  </si>
  <si>
    <t>$159,600.00</t>
  </si>
  <si>
    <t>$383,040.00</t>
  </si>
  <si>
    <t>販促、7/11までOK</t>
  </si>
  <si>
    <t>$1,133.13</t>
  </si>
  <si>
    <t>$2,266.26</t>
  </si>
  <si>
    <t>2025/07/11</t>
  </si>
  <si>
    <t>ID-U遅延ペナルティ反映</t>
  </si>
  <si>
    <t>DHL4632205152</t>
  </si>
  <si>
    <t>DHL1139523173</t>
  </si>
  <si>
    <t>DHL1139544324</t>
  </si>
  <si>
    <t>2025/7/21</t>
  </si>
  <si>
    <t>7/18までOK</t>
  </si>
  <si>
    <t>WES SINA 419E</t>
  </si>
  <si>
    <t>2025/07/04</t>
  </si>
  <si>
    <t>$85,200.00</t>
  </si>
  <si>
    <t>$360,675.00</t>
  </si>
  <si>
    <t>$123,000.00</t>
  </si>
  <si>
    <t>$3,303.00</t>
  </si>
  <si>
    <t>$6,606.00</t>
  </si>
  <si>
    <t>2025/07/16</t>
  </si>
  <si>
    <t>DHL 78 7802 6155</t>
  </si>
  <si>
    <t>DHL 25 0895 7651</t>
  </si>
  <si>
    <t>DHL 47 7577 3763</t>
  </si>
  <si>
    <t>$3,310.00</t>
  </si>
  <si>
    <t>$394,900.00</t>
  </si>
  <si>
    <t>2025/06/12</t>
  </si>
  <si>
    <t>MSH-15Fx_Acover(lasertest用)</t>
  </si>
  <si>
    <t>本社・北條さん</t>
  </si>
  <si>
    <t>$2,044.00</t>
  </si>
  <si>
    <t>2025/07/18</t>
  </si>
  <si>
    <t>DHL 6853813234</t>
  </si>
  <si>
    <t>DHL 7461027744</t>
  </si>
  <si>
    <t>DHL 1045227525</t>
  </si>
  <si>
    <t>$622.00</t>
  </si>
  <si>
    <t>$111,960.00</t>
  </si>
  <si>
    <t>2025/07/10</t>
  </si>
  <si>
    <t>2025/8/4</t>
  </si>
  <si>
    <t>販促・急ぎ40FT</t>
  </si>
  <si>
    <t>2025/7/15</t>
  </si>
  <si>
    <t>$528.00</t>
  </si>
  <si>
    <t>$443,520.00</t>
  </si>
  <si>
    <t>$456.25</t>
  </si>
  <si>
    <t>$456,250.00</t>
  </si>
  <si>
    <t>2025/07/09</t>
  </si>
  <si>
    <t>蛇口</t>
  </si>
  <si>
    <t>4M品207871からの</t>
  </si>
  <si>
    <t>新起動ロゴ、箱と本体カバー旧ロゴ</t>
  </si>
  <si>
    <t>ロゴ変更、主に法人案件</t>
  </si>
  <si>
    <t>HELGOLAND/017N</t>
  </si>
  <si>
    <t>$53,040.00</t>
  </si>
  <si>
    <t>2025/07/23</t>
  </si>
  <si>
    <t>2025/07/25</t>
  </si>
  <si>
    <t>成田</t>
  </si>
  <si>
    <t>$1,130.00</t>
  </si>
  <si>
    <t>$339,000.00</t>
  </si>
  <si>
    <t>2025/8/3</t>
  </si>
  <si>
    <t>綾瀬20FT</t>
  </si>
  <si>
    <t>$63,360.00</t>
  </si>
  <si>
    <t>2025/07/31</t>
  </si>
  <si>
    <t>本社・企画・大柿</t>
  </si>
  <si>
    <t>DHL　31 8424 8012</t>
  </si>
  <si>
    <t>$49,650.00</t>
  </si>
  <si>
    <t>2025/07/28</t>
  </si>
  <si>
    <t>DHL 31 8423 9925</t>
  </si>
  <si>
    <t>3年Warranty含む</t>
  </si>
  <si>
    <t>開発指示でEXF遅れる</t>
  </si>
  <si>
    <t>$253,440.00</t>
  </si>
  <si>
    <t>2025/07/17</t>
  </si>
  <si>
    <t>2025/8/7</t>
  </si>
  <si>
    <t>WES SINA 421E</t>
  </si>
  <si>
    <t>$640,782.00</t>
  </si>
  <si>
    <t>上海港混雑</t>
  </si>
  <si>
    <t>TS LIANYUNGANG 25030E</t>
  </si>
  <si>
    <t>$105,920.00</t>
  </si>
  <si>
    <t>$433.00</t>
  </si>
  <si>
    <t>2025/08/05</t>
  </si>
  <si>
    <t>DHL 65 9842 4044</t>
  </si>
  <si>
    <t>DHL 65 9842 1034</t>
  </si>
  <si>
    <t>$692,496.00</t>
  </si>
  <si>
    <t>6月価格調整対象</t>
  </si>
  <si>
    <t>8/4WKでOK・20FT</t>
  </si>
  <si>
    <t>$118,080.00</t>
  </si>
  <si>
    <t>$1,017.00</t>
  </si>
  <si>
    <t>$427,140.00</t>
  </si>
  <si>
    <t>利用しない</t>
  </si>
  <si>
    <t>〇/最短綾瀬、40FT①</t>
  </si>
  <si>
    <t>台風</t>
  </si>
  <si>
    <t>WES SINA 422E</t>
  </si>
  <si>
    <t>2025/07/29</t>
  </si>
  <si>
    <t>$240,000.00</t>
  </si>
  <si>
    <t>2025/07/15</t>
  </si>
  <si>
    <t>8/4WKでOK・20FT
法人受注済、8/E顧客に出す</t>
  </si>
  <si>
    <t>$106,080.00</t>
  </si>
  <si>
    <t>最短綾瀬、40FT①</t>
  </si>
  <si>
    <t>$559,800.00</t>
  </si>
  <si>
    <t>2025/8/15</t>
  </si>
  <si>
    <t>40FT②</t>
  </si>
  <si>
    <t>$633,600.00</t>
  </si>
  <si>
    <t>$318,240.00</t>
  </si>
  <si>
    <t>Pull in 8/7⇒7/25</t>
  </si>
  <si>
    <t>DHL 65 9842 2891</t>
  </si>
  <si>
    <t>$1,193.00</t>
  </si>
  <si>
    <t>MSH-15F5-255H-5060-L6 Creator PVT</t>
  </si>
  <si>
    <t>$2,386.00</t>
  </si>
  <si>
    <t>2025/08/08</t>
  </si>
  <si>
    <t>DHL 3665312991</t>
  </si>
  <si>
    <t>$813.00</t>
  </si>
  <si>
    <t>CLE-V35-14650HX-5060-L6 PVT</t>
  </si>
  <si>
    <t>$1,626.00</t>
  </si>
  <si>
    <t>北條さんの連絡➡</t>
  </si>
  <si>
    <t>DHL 170 7214 821</t>
  </si>
  <si>
    <t>$354.25</t>
  </si>
  <si>
    <t>$708.50</t>
  </si>
  <si>
    <t>2025/08/14</t>
  </si>
  <si>
    <t>2025/08/15</t>
  </si>
  <si>
    <t>DHL 76 7570 6124</t>
  </si>
  <si>
    <t>DHL 76 7570 6242</t>
  </si>
  <si>
    <t>DHL 76 7570 5026</t>
  </si>
  <si>
    <t>$786.00</t>
  </si>
  <si>
    <t>$157,200.00</t>
  </si>
  <si>
    <t>2025/08/18</t>
  </si>
  <si>
    <t>2025/08/19</t>
  </si>
  <si>
    <t>4M(203746→223058)</t>
  </si>
  <si>
    <t>CLE運賃負担</t>
  </si>
  <si>
    <t>$636.00</t>
  </si>
  <si>
    <t>$318,000.00</t>
  </si>
  <si>
    <t>4M(203750→223057)</t>
  </si>
  <si>
    <t>$103,920.00</t>
  </si>
  <si>
    <t>2025/08/07</t>
  </si>
  <si>
    <t>LCL・最短綾瀬</t>
  </si>
  <si>
    <t>前航海遅延及び悪天候</t>
  </si>
  <si>
    <t>ASIATIC SUN/094E</t>
  </si>
  <si>
    <t>$424.52</t>
  </si>
  <si>
    <t>$301,409.20</t>
  </si>
  <si>
    <t>2025/08/12</t>
  </si>
  <si>
    <t>20FT・最短</t>
  </si>
  <si>
    <t>ASIATIC QUEST 2535E</t>
  </si>
  <si>
    <t>2025/8/22</t>
  </si>
  <si>
    <t>$239,580.00</t>
  </si>
  <si>
    <t>LCL・最短8/29</t>
  </si>
  <si>
    <t>$334,766.25</t>
  </si>
  <si>
    <t>2025/08/22</t>
  </si>
  <si>
    <t>40FT・最短綾瀬9/3</t>
  </si>
  <si>
    <t>WAN HAI 372 N017</t>
  </si>
  <si>
    <t>2025/8/24</t>
  </si>
  <si>
    <t>$122,688.00</t>
  </si>
  <si>
    <t>2025/9/4</t>
  </si>
  <si>
    <t>20FT・F/Tフル</t>
  </si>
  <si>
    <t>HECAN 369E</t>
  </si>
  <si>
    <t>2025/8/19</t>
  </si>
  <si>
    <t>$755.00</t>
  </si>
  <si>
    <t>$434,880.00</t>
  </si>
  <si>
    <t>2025/08/11</t>
  </si>
  <si>
    <t>$624.00</t>
  </si>
  <si>
    <t>$499,200.00</t>
  </si>
  <si>
    <t>2025/08/26</t>
  </si>
  <si>
    <t>2025/08/29</t>
  </si>
  <si>
    <t>40FT　①　急ぎ</t>
  </si>
  <si>
    <t>HECAN 371E &gt;&gt;&gt; ASIATIC QUEST 2536E</t>
  </si>
  <si>
    <t>2025/9/2</t>
  </si>
  <si>
    <t>$1,105.00</t>
  </si>
  <si>
    <t>$132,600.00</t>
  </si>
  <si>
    <t>2025/9/13</t>
  </si>
  <si>
    <t>40FT、F/Tフル</t>
  </si>
  <si>
    <t>HECAN 370E</t>
  </si>
  <si>
    <t>2025/8/26</t>
  </si>
  <si>
    <t>$842.00</t>
  </si>
  <si>
    <t>$121,248.00</t>
  </si>
  <si>
    <t>$95,040.00</t>
  </si>
  <si>
    <t>4M(212292→223063)</t>
  </si>
  <si>
    <t>$122,040.00</t>
  </si>
  <si>
    <t>2025/08/20</t>
  </si>
  <si>
    <t>ASIATIC QUEST 2536E</t>
  </si>
  <si>
    <t>$733.00</t>
  </si>
  <si>
    <t>$211,104.00</t>
  </si>
  <si>
    <t>$1,356.00</t>
  </si>
  <si>
    <t>$81,360.00</t>
  </si>
  <si>
    <t>$135,600.00</t>
  </si>
  <si>
    <t>$532,000.00</t>
  </si>
  <si>
    <t>2025/08/27</t>
  </si>
  <si>
    <t>2025/9/17</t>
  </si>
  <si>
    <t>40FT　②、9/12〇</t>
  </si>
  <si>
    <t>$382.00</t>
  </si>
  <si>
    <t>CLE-NL75-1334U-UMA-L6-TPM Thirdwave PVT</t>
  </si>
  <si>
    <t>$764.00</t>
  </si>
  <si>
    <t>2025/09/15</t>
  </si>
  <si>
    <t>本社⇒海老名</t>
  </si>
  <si>
    <t>DHL 1259947006</t>
  </si>
  <si>
    <t>$282.00</t>
  </si>
  <si>
    <t>CLE-NL45-7430U-UMA-L6-TPM Thirdwave PVT</t>
  </si>
  <si>
    <t>2025/09/17</t>
  </si>
  <si>
    <t>DHL 51 8883 4534</t>
  </si>
  <si>
    <t>DHL 50 1430 6054</t>
  </si>
  <si>
    <t>DHL 51 8884 1501</t>
  </si>
  <si>
    <t>$35,790.00</t>
  </si>
  <si>
    <t>2025/09/18</t>
  </si>
  <si>
    <t>2025/09/22</t>
  </si>
  <si>
    <t>DHL 38 7472 0032</t>
  </si>
  <si>
    <t>$474.00</t>
  </si>
  <si>
    <t>CLE-NL45-150U-UMA-L6-TPM Thirdwave PVT</t>
  </si>
  <si>
    <t>DHL 1259947102</t>
  </si>
  <si>
    <t>DHL 1259947113</t>
  </si>
  <si>
    <t>$390.00</t>
  </si>
  <si>
    <t>CLE-NL45-120U-UMA-L6-TPM Thirdwave PVT</t>
  </si>
  <si>
    <t>2025/09/23</t>
  </si>
  <si>
    <t>DHL 1259947323</t>
  </si>
  <si>
    <t>DHL 1259947334</t>
  </si>
  <si>
    <t>DHL 1259947345</t>
  </si>
  <si>
    <t>$112,580.00</t>
  </si>
  <si>
    <t>2025/09/11</t>
  </si>
  <si>
    <t>2025/09/12</t>
  </si>
  <si>
    <t>10/2,利用しない</t>
  </si>
  <si>
    <t>40FT①急ぎ</t>
  </si>
  <si>
    <t>CONSIGNIA 106E</t>
  </si>
  <si>
    <t>2025/9/16</t>
  </si>
  <si>
    <t>2025/09/09</t>
  </si>
  <si>
    <t>20FT・9/26平塚</t>
  </si>
  <si>
    <t>$559.00</t>
  </si>
  <si>
    <t>$391,300.00</t>
  </si>
  <si>
    <t>2025/09/08</t>
  </si>
  <si>
    <t>価格交渉-$2</t>
  </si>
  <si>
    <t>一部AIR不要だと企画</t>
  </si>
  <si>
    <t>$981.00</t>
  </si>
  <si>
    <t>$125,568.00</t>
  </si>
  <si>
    <t>4M(212469→251110)</t>
  </si>
  <si>
    <t>$95,760.00</t>
  </si>
  <si>
    <t>9/08~9/10</t>
  </si>
  <si>
    <t>$55.00</t>
  </si>
  <si>
    <t>CLE-Battery(品管検証用)</t>
  </si>
  <si>
    <t>$4,400.00</t>
  </si>
  <si>
    <t>$161,787.00</t>
  </si>
  <si>
    <t>AIR</t>
  </si>
  <si>
    <t>AIRなら先方運賃負担、最短綾瀬</t>
  </si>
  <si>
    <t>$351.25</t>
  </si>
  <si>
    <t>$702.50</t>
  </si>
  <si>
    <t>2025/9/26 特採</t>
  </si>
  <si>
    <t>2025/09/28</t>
  </si>
  <si>
    <t>FEDEX</t>
  </si>
  <si>
    <t xml:space="preserve">FEDEX 8845 8680 2215 </t>
  </si>
  <si>
    <t>価格交渉-$3</t>
  </si>
  <si>
    <t>Weibu 運賃負担</t>
  </si>
  <si>
    <t>本船変更</t>
  </si>
  <si>
    <t>WAN HAI 362 N021</t>
  </si>
  <si>
    <t>2025/9/30</t>
  </si>
  <si>
    <t>$35,125.00</t>
  </si>
  <si>
    <t>DHL 47 2009 8062</t>
  </si>
  <si>
    <t>$529,692.00</t>
  </si>
  <si>
    <t>ASIATIC QUEST 2540E</t>
  </si>
  <si>
    <t>2025/9/26</t>
  </si>
  <si>
    <t>$446,880.00</t>
  </si>
  <si>
    <t>40FT②F/T予定</t>
  </si>
  <si>
    <t>HECAN 373E</t>
  </si>
  <si>
    <t>$319,440.00</t>
  </si>
  <si>
    <t>20FT⇒F/Tフル</t>
  </si>
  <si>
    <t>$163,320.00</t>
  </si>
  <si>
    <t>2025/09/10</t>
  </si>
  <si>
    <t>$204,300.00</t>
  </si>
  <si>
    <t>$453.25</t>
  </si>
  <si>
    <t>$453,250.00</t>
  </si>
  <si>
    <t>2025/10/7</t>
  </si>
  <si>
    <t>4M(223067から)</t>
  </si>
  <si>
    <t>新起動ロゴ、箱と本体カバー 新ロゴ</t>
  </si>
  <si>
    <t>INTERASIA VISION N084</t>
  </si>
  <si>
    <t>2025/9/11</t>
  </si>
  <si>
    <t>$266,000.00</t>
  </si>
  <si>
    <t>2025/10/12</t>
  </si>
  <si>
    <t>台風で遅延</t>
  </si>
  <si>
    <t>CONSIGNIA 107E</t>
  </si>
  <si>
    <t>2025/9/23</t>
  </si>
  <si>
    <t>$651.00</t>
  </si>
  <si>
    <t>$65,100.00</t>
  </si>
  <si>
    <t>価格交渉-$8</t>
  </si>
  <si>
    <t>$312,000.00</t>
  </si>
  <si>
    <t>2025/09/16</t>
  </si>
  <si>
    <t>20FT、F/Tフル</t>
  </si>
  <si>
    <t>$245,280.00</t>
  </si>
  <si>
    <t>$365,850.00</t>
  </si>
  <si>
    <t>2025/10/09</t>
  </si>
  <si>
    <t>2025/10/11</t>
  </si>
  <si>
    <t>$285,363.00</t>
  </si>
  <si>
    <t>2025/10/15</t>
  </si>
  <si>
    <t>先方AIR運賃負担</t>
  </si>
  <si>
    <t>$830.00</t>
  </si>
  <si>
    <t>$112,050.00</t>
  </si>
  <si>
    <t>使用新A蓋</t>
  </si>
  <si>
    <t>2025/10/17</t>
  </si>
  <si>
    <t>本社・久住さん</t>
  </si>
  <si>
    <t>DHL 2364249440</t>
  </si>
  <si>
    <t>$19,483.75</t>
  </si>
  <si>
    <t>2025/09/26</t>
  </si>
  <si>
    <t>2025/09/29</t>
  </si>
  <si>
    <t>40FT/最短10/21</t>
  </si>
  <si>
    <t>台風で本船大幅遅延</t>
  </si>
  <si>
    <t>$305,587.50</t>
  </si>
  <si>
    <t>$308.25</t>
  </si>
  <si>
    <t>$197,280.00</t>
  </si>
  <si>
    <t>$126,990.00</t>
  </si>
  <si>
    <t>2025/10/10</t>
  </si>
  <si>
    <t>$140,500.00</t>
  </si>
  <si>
    <t>2025/10/20</t>
  </si>
  <si>
    <t>FEDEX 8853 0381 1670</t>
  </si>
  <si>
    <t>2025/11/2</t>
  </si>
  <si>
    <t>$564.00</t>
  </si>
  <si>
    <t>2025/10/22</t>
  </si>
  <si>
    <t>DHL 1259947581</t>
  </si>
  <si>
    <t>DHL 1259947662</t>
  </si>
  <si>
    <t>DHL 1259947673</t>
  </si>
  <si>
    <t>$1,065.00</t>
  </si>
  <si>
    <t>CONSIGNIA 110E</t>
  </si>
  <si>
    <t>$772.00</t>
  </si>
  <si>
    <t>$166,752.00</t>
  </si>
  <si>
    <t>$158,328.00</t>
  </si>
  <si>
    <t>2025/10/14</t>
  </si>
  <si>
    <t>$78,600.00</t>
  </si>
  <si>
    <t>$222,908.00</t>
  </si>
  <si>
    <t>$948.00</t>
  </si>
  <si>
    <t>2025/10/29</t>
  </si>
  <si>
    <t>DHL 1259947710</t>
  </si>
  <si>
    <t>DHL 1259947721</t>
  </si>
  <si>
    <t>$780.00</t>
  </si>
  <si>
    <t>$187,200.00</t>
  </si>
  <si>
    <t>2025/10/31</t>
  </si>
  <si>
    <t>$132,540.00</t>
  </si>
  <si>
    <t>2025/10/16</t>
  </si>
  <si>
    <t>2025/10/24</t>
  </si>
  <si>
    <t>CONSIGNIA 112E</t>
  </si>
  <si>
    <t>2025/10/28</t>
  </si>
  <si>
    <t>$1,692.00</t>
  </si>
  <si>
    <t>2025/11/03</t>
  </si>
  <si>
    <t>DHL 1259947846</t>
  </si>
  <si>
    <t>$114,600.00</t>
  </si>
  <si>
    <t>DHL 1259947732</t>
  </si>
  <si>
    <t>$813,000.00</t>
  </si>
  <si>
    <t>2025/10/23</t>
  </si>
  <si>
    <t>11/3からPull in分</t>
  </si>
  <si>
    <t>$319,200.00</t>
  </si>
  <si>
    <t>2025/11/06</t>
  </si>
  <si>
    <t>2025/11/07</t>
  </si>
  <si>
    <t>DHL 125 9947 872</t>
  </si>
  <si>
    <t>法人AIR依頼</t>
  </si>
  <si>
    <t>UNW-U-14650HX-5060-L6 Thirdwave PVT</t>
  </si>
  <si>
    <t>2025/11/11</t>
  </si>
  <si>
    <t>本社・開発</t>
  </si>
  <si>
    <t>DHL 15 8461 9503</t>
  </si>
  <si>
    <t>$436,800.00</t>
  </si>
  <si>
    <t>$130,200.00</t>
  </si>
  <si>
    <t>$55,187.60</t>
  </si>
  <si>
    <t>2025/11/7</t>
  </si>
  <si>
    <t>$363.90</t>
  </si>
  <si>
    <t>$181,950.00</t>
  </si>
  <si>
    <t>ロゴ変更か？確認中</t>
  </si>
  <si>
    <t>$109.35</t>
  </si>
  <si>
    <t>ZYS-MiniPC-N150-L6 Thirdwave PVT</t>
  </si>
  <si>
    <t>ZYS</t>
  </si>
  <si>
    <t>$546.75</t>
  </si>
  <si>
    <t>2025/12/21</t>
  </si>
  <si>
    <t>本社開発</t>
  </si>
  <si>
    <t>DHL 6926541974</t>
  </si>
  <si>
    <t>$9,835.00</t>
  </si>
  <si>
    <t>不使用</t>
  </si>
  <si>
    <t>$110,970.00</t>
  </si>
  <si>
    <t>2025/10/27</t>
  </si>
  <si>
    <t>$201,617.50</t>
  </si>
  <si>
    <t>$20.50</t>
  </si>
  <si>
    <t>2025/11/18</t>
  </si>
  <si>
    <t>DHL 36 5415 1185</t>
  </si>
  <si>
    <t>$105,552.00</t>
  </si>
  <si>
    <t>$159,750.00</t>
  </si>
  <si>
    <t>$222,580.00</t>
  </si>
  <si>
    <t>2025/11/14</t>
  </si>
  <si>
    <t>$6,768.00</t>
  </si>
  <si>
    <t>$71,100.00</t>
  </si>
  <si>
    <t>$136,500.00</t>
  </si>
  <si>
    <t>$298,800.00</t>
  </si>
  <si>
    <t>2025/11/13</t>
  </si>
  <si>
    <t>企画AIR不要</t>
  </si>
  <si>
    <t>法人AIR不要</t>
  </si>
  <si>
    <t>$311.00</t>
  </si>
  <si>
    <t>2025/11/28</t>
  </si>
  <si>
    <t>本社1、海老名1➡海老名2</t>
  </si>
  <si>
    <t>DHL　1259947964</t>
  </si>
  <si>
    <t>$508.00</t>
  </si>
  <si>
    <t>$0.00</t>
  </si>
  <si>
    <t>F.O.C．</t>
  </si>
  <si>
    <t>本社+海老名➡海老名</t>
  </si>
  <si>
    <t>$960.00</t>
  </si>
  <si>
    <t>$122,880.00</t>
  </si>
  <si>
    <t>2025/11/21</t>
  </si>
  <si>
    <t>$127,200.00</t>
  </si>
  <si>
    <t>$542,640.00</t>
  </si>
  <si>
    <t>2025/11/17</t>
  </si>
  <si>
    <t>2025/11/24</t>
  </si>
  <si>
    <t>CONFIDENCE　003E</t>
  </si>
  <si>
    <t>2025/11/27</t>
  </si>
  <si>
    <t>$59,760.00</t>
  </si>
  <si>
    <t>$1,351.00</t>
  </si>
  <si>
    <t>$202,650.00</t>
  </si>
  <si>
    <t>$585,360.00</t>
  </si>
  <si>
    <t>$28,200.00</t>
  </si>
  <si>
    <t>2025/11/12</t>
  </si>
  <si>
    <t>$79,242.00</t>
  </si>
  <si>
    <t>FEDEX 886454046905</t>
  </si>
  <si>
    <t>DOA戻り品</t>
  </si>
  <si>
    <t>$525.00</t>
  </si>
  <si>
    <t>CLE-L24 TTM写真撮影用</t>
  </si>
  <si>
    <t>2025/12/05</t>
  </si>
  <si>
    <t>DHL 1259947986</t>
  </si>
  <si>
    <t>$630.00</t>
  </si>
  <si>
    <t>CLE-L26 TTM写真撮影用</t>
  </si>
  <si>
    <t>$67,923.20</t>
  </si>
  <si>
    <t>2025/11/19</t>
  </si>
  <si>
    <t>WES SINA/436E</t>
  </si>
  <si>
    <t>$160,843.80</t>
  </si>
  <si>
    <t>$124,800.00</t>
  </si>
  <si>
    <t>2025/11/26</t>
  </si>
  <si>
    <t>CLE-L26-U7-355-UMA-32G-L7 Thirdwave PVT</t>
  </si>
  <si>
    <t>2025/12/11</t>
  </si>
  <si>
    <t>Wifiモジュール無し-$20</t>
  </si>
  <si>
    <t>CLE-L24-U7-355-UMA-32G-L7 Thirdwave PVT</t>
  </si>
  <si>
    <t>DHL 1259948012</t>
  </si>
  <si>
    <t>CLE-L24-U5-325-UMA-16G-L7 Thirdwave PVT</t>
  </si>
  <si>
    <t>$1,400.00</t>
  </si>
  <si>
    <t>$392.00</t>
  </si>
  <si>
    <t>$1,176.00</t>
  </si>
  <si>
    <t>2025/12/16</t>
  </si>
  <si>
    <t>開発1、法人１、海老名1</t>
  </si>
  <si>
    <t>DHL：1259948034</t>
  </si>
  <si>
    <t>本社法人1</t>
  </si>
  <si>
    <t>企画写真撮影1</t>
  </si>
  <si>
    <t>$21,106.20</t>
  </si>
  <si>
    <t>10/29）Lack of LCD ~70pcs</t>
  </si>
  <si>
    <t>$2,600.00</t>
  </si>
  <si>
    <t>運賃先方負担</t>
  </si>
  <si>
    <t>$208,000.00</t>
  </si>
  <si>
    <t>2025/12/10</t>
  </si>
  <si>
    <t>$263,880.00</t>
  </si>
  <si>
    <t>12月11日</t>
  </si>
  <si>
    <t>2025/12/03</t>
  </si>
  <si>
    <t>QING YUN HE 730E</t>
  </si>
  <si>
    <t>2025/12/12</t>
  </si>
  <si>
    <t>$117,900.00</t>
  </si>
  <si>
    <t>2025/12/04</t>
  </si>
  <si>
    <t>$111,168.00</t>
  </si>
  <si>
    <t>12/29可能性もあり⇒</t>
  </si>
  <si>
    <t>2025/12/23</t>
  </si>
  <si>
    <t>DHL 2161159361</t>
  </si>
  <si>
    <t>$1,600.00</t>
  </si>
  <si>
    <t>DHL　2763298425</t>
  </si>
  <si>
    <t>DHL　2161166943</t>
  </si>
  <si>
    <t>CLE-V54-AI9-470-UMA-L6 Creator PVT</t>
  </si>
  <si>
    <t>本社開発1</t>
  </si>
  <si>
    <t>DHL 1259948126</t>
  </si>
  <si>
    <t>海老名1</t>
  </si>
  <si>
    <t>DHL 1259948130</t>
  </si>
  <si>
    <t>$1,250.00</t>
  </si>
  <si>
    <t>CLE-V56-AI9-470-5060-L6 Creator PVT</t>
  </si>
  <si>
    <t>DDR5海老名検証用</t>
  </si>
  <si>
    <t>休み前に入荷要</t>
  </si>
  <si>
    <t>2025/12/19</t>
  </si>
  <si>
    <t>海老名2台</t>
  </si>
  <si>
    <t>DHL 1259948045</t>
  </si>
  <si>
    <t>$7.08</t>
  </si>
  <si>
    <t>QNT-LGH-Acover印刷用</t>
  </si>
  <si>
    <t>$70.80</t>
  </si>
  <si>
    <t>2026/01/02</t>
  </si>
  <si>
    <t>DHL5651053516</t>
  </si>
  <si>
    <t>$886.00</t>
  </si>
  <si>
    <t>1st</t>
  </si>
  <si>
    <t>$1,772.00</t>
  </si>
  <si>
    <t>CPU 待ち ⇒TBC</t>
  </si>
  <si>
    <t>2026/02/25</t>
  </si>
  <si>
    <t>海老名2</t>
  </si>
  <si>
    <t>DHL1259948351</t>
  </si>
  <si>
    <t>2026/01/06</t>
  </si>
  <si>
    <t>綾瀬2</t>
  </si>
  <si>
    <t>DHL 1259948196</t>
  </si>
  <si>
    <t>本社1</t>
  </si>
  <si>
    <t>DHL 1259948200</t>
  </si>
  <si>
    <t>2025/12/27</t>
  </si>
  <si>
    <t>本社法人荘司さん依頼分</t>
  </si>
  <si>
    <t>DHL 1259948185</t>
  </si>
  <si>
    <t>4M(212292から)</t>
  </si>
  <si>
    <t>初回海老名検証2台</t>
  </si>
  <si>
    <t>$1,000.00</t>
  </si>
  <si>
    <t>$1,300.00</t>
  </si>
  <si>
    <t>$35.00</t>
  </si>
  <si>
    <t>2025/12/08</t>
  </si>
  <si>
    <t>COSCO KIKU 206E</t>
  </si>
  <si>
    <t>$9,132.50</t>
  </si>
  <si>
    <t>2025/12/22</t>
  </si>
  <si>
    <t>WAN HAI 291 N052</t>
  </si>
  <si>
    <t>2025/12/25</t>
  </si>
  <si>
    <t>$162,120.00</t>
  </si>
  <si>
    <t>2025/12/17</t>
  </si>
  <si>
    <t>QING YUN HE 731E</t>
  </si>
  <si>
    <t>2026/12/19</t>
  </si>
  <si>
    <t>$421,500.00</t>
  </si>
  <si>
    <t>2025/12/09</t>
  </si>
  <si>
    <t>$239,040.00</t>
  </si>
  <si>
    <t>$233,220.00</t>
  </si>
  <si>
    <t>12/22 PM</t>
  </si>
  <si>
    <t>$94,800.00</t>
  </si>
  <si>
    <t>2026/01/09</t>
  </si>
  <si>
    <t>$154,370.00</t>
  </si>
  <si>
    <t>40FT (1)・最短
IDU法人首單</t>
  </si>
  <si>
    <t>$560,000.00</t>
  </si>
  <si>
    <t>〇/最短平塚</t>
  </si>
  <si>
    <t>QING YUN HE 732E</t>
  </si>
  <si>
    <t>2025/12/30</t>
  </si>
  <si>
    <t>$675.00</t>
  </si>
  <si>
    <t>金沢工業大学案件
先方運賃負担でAIR</t>
  </si>
  <si>
    <t>$1,350.00</t>
  </si>
  <si>
    <t>2025/01/09</t>
  </si>
  <si>
    <t>FEDEX 8877 6127 5671</t>
  </si>
  <si>
    <t>金沢工業大学案件
LCD4Mの為商品コード変更199319→304067</t>
  </si>
  <si>
    <t>2026/01/07</t>
  </si>
  <si>
    <t>DHL 1259948233</t>
  </si>
  <si>
    <t>DHL 1259948255</t>
  </si>
  <si>
    <t>DHL 1259948270</t>
  </si>
  <si>
    <t>$2,500.00</t>
  </si>
  <si>
    <t>FEDEX 8877 6112 6270</t>
  </si>
  <si>
    <t>CLE-V56-Acover印刷用</t>
  </si>
  <si>
    <t>$31.00</t>
  </si>
  <si>
    <t>CLE-V37-Acover印刷用</t>
  </si>
  <si>
    <t>$620.00</t>
  </si>
  <si>
    <t>CLE-NL45-Acover印刷用</t>
  </si>
  <si>
    <t>CLE-L26-Acover印刷用</t>
  </si>
  <si>
    <t>$1,500.00</t>
  </si>
  <si>
    <t>40FT (2)</t>
  </si>
  <si>
    <t>2025/12/24</t>
  </si>
  <si>
    <t>40FT (3)</t>
  </si>
  <si>
    <t>40FT (4)</t>
  </si>
  <si>
    <t>$638,400.00</t>
  </si>
  <si>
    <t>$118,560.00</t>
  </si>
  <si>
    <t>$900.00</t>
  </si>
  <si>
    <t>2026/01/14</t>
  </si>
  <si>
    <t>$1,800.00</t>
  </si>
  <si>
    <t>綾瀬1</t>
  </si>
  <si>
    <t>DHL 1259948325</t>
  </si>
  <si>
    <t>$1,440.00</t>
  </si>
  <si>
    <t>$132,300.00</t>
  </si>
  <si>
    <t>FEDEX 8877 6055 3680</t>
  </si>
  <si>
    <t>$114,400.00</t>
  </si>
  <si>
    <t>2026/01/08</t>
  </si>
  <si>
    <t>2026/01/12</t>
  </si>
  <si>
    <t>Logisteed</t>
  </si>
  <si>
    <t>全数Air</t>
  </si>
  <si>
    <t>2026/01/20</t>
  </si>
  <si>
    <t>現地検証後発送→海老名</t>
  </si>
  <si>
    <t>DHL 1259948351</t>
  </si>
  <si>
    <t>$116,250.00</t>
  </si>
  <si>
    <t>$404,300.00</t>
  </si>
  <si>
    <t>〇/最短</t>
  </si>
  <si>
    <t>$351,000.00</t>
  </si>
  <si>
    <t>2026/01/05</t>
  </si>
  <si>
    <t>$60,912.00</t>
  </si>
  <si>
    <t>$2,700.00</t>
  </si>
  <si>
    <t>2026/01/16</t>
  </si>
  <si>
    <t>全数Air⇒平塚</t>
  </si>
  <si>
    <t>$20,160.00</t>
  </si>
  <si>
    <t>2026/01/21</t>
  </si>
  <si>
    <t>DHL 1259948410</t>
  </si>
  <si>
    <t>$784.00</t>
  </si>
  <si>
    <t>DHL 1259948406</t>
  </si>
  <si>
    <t>DHL 1259948421</t>
  </si>
  <si>
    <t>$114,300.00</t>
  </si>
  <si>
    <t>$142,128.00</t>
  </si>
  <si>
    <t>2025/01/12</t>
  </si>
  <si>
    <t>$540,000.00</t>
  </si>
  <si>
    <t>2026/01/19</t>
  </si>
  <si>
    <t>CLEVO:船便運賃負担
⇒CIF価格扱い</t>
  </si>
  <si>
    <t>COSCO KIKU 211E</t>
  </si>
  <si>
    <t>2026/1/27</t>
  </si>
  <si>
    <t>2026/01/13</t>
  </si>
  <si>
    <t>$302,000.00</t>
  </si>
  <si>
    <t>2026/01/15</t>
  </si>
  <si>
    <t>$274,400.00</t>
  </si>
  <si>
    <t>2026/01/23</t>
  </si>
  <si>
    <t>QING YUN HE 736E</t>
  </si>
  <si>
    <t>2026/1/28</t>
  </si>
  <si>
    <t>$195,300.00</t>
  </si>
  <si>
    <t>2/8</t>
  </si>
  <si>
    <t>COSCO KIKU 209E</t>
  </si>
  <si>
    <t>2026/1/20</t>
  </si>
  <si>
    <t>$748,800.00</t>
  </si>
  <si>
    <t>$380,640.00</t>
  </si>
  <si>
    <t>$162,750.00</t>
  </si>
  <si>
    <t>$400,000.00</t>
  </si>
  <si>
    <t>$1,321.00</t>
  </si>
  <si>
    <t>$158,520.00</t>
  </si>
  <si>
    <t>$1,125.00</t>
  </si>
  <si>
    <t>$225,000.00</t>
  </si>
  <si>
    <t>$620,360.00</t>
  </si>
  <si>
    <t>2026/01/29</t>
  </si>
  <si>
    <t>$1,950.00</t>
  </si>
  <si>
    <t>UNW-Y-290HXP-5080-L6-GG-PVT</t>
  </si>
  <si>
    <t>2026/02/13</t>
  </si>
  <si>
    <t>DHL：2251046136</t>
  </si>
  <si>
    <t>$80,000.00</t>
  </si>
  <si>
    <t>2026/01/30</t>
  </si>
  <si>
    <t>$125,000.00</t>
  </si>
  <si>
    <t>2026/01/28</t>
  </si>
  <si>
    <t>2026/01/27</t>
  </si>
  <si>
    <t>2026/02/02</t>
  </si>
  <si>
    <t>2/26</t>
  </si>
  <si>
    <t>COSCO KIKU 212E</t>
  </si>
  <si>
    <t>2026/2/4</t>
  </si>
  <si>
    <t>$226,500.00</t>
  </si>
  <si>
    <t>3rd</t>
  </si>
  <si>
    <t>$54,000.00</t>
  </si>
  <si>
    <t>2026/02/12</t>
  </si>
  <si>
    <t>2026/02/27</t>
  </si>
  <si>
    <t>DHL+棧板</t>
  </si>
  <si>
    <t>DHL 1259948561</t>
  </si>
  <si>
    <t>3st</t>
  </si>
  <si>
    <t>2026/02/24</t>
  </si>
  <si>
    <t>$82,398.00</t>
  </si>
  <si>
    <t>$23,922.00</t>
  </si>
  <si>
    <t>3nd</t>
  </si>
  <si>
    <t>$14,400.00</t>
  </si>
  <si>
    <t>$547.00</t>
  </si>
  <si>
    <t>$547,000.00</t>
  </si>
  <si>
    <t>2026/02/08</t>
  </si>
  <si>
    <t>3/5-3/6</t>
  </si>
  <si>
    <t>値上15ドル2K分</t>
  </si>
  <si>
    <t>HECAN 395E</t>
  </si>
  <si>
    <t>2026/2/19</t>
  </si>
  <si>
    <t>$166,500.00</t>
  </si>
  <si>
    <t>2026/02/09</t>
  </si>
  <si>
    <t>4rd</t>
  </si>
  <si>
    <t>$23,040.00</t>
  </si>
  <si>
    <t>2026/03/03</t>
  </si>
  <si>
    <t>2026/03/05</t>
  </si>
  <si>
    <t>DHL+2in1 PK</t>
  </si>
  <si>
    <t>DHL 
1259948583
1259948594</t>
  </si>
  <si>
    <t>$1,428.00</t>
  </si>
  <si>
    <t>$214,200.00</t>
  </si>
  <si>
    <t>+87ドル企画発注承認済</t>
  </si>
  <si>
    <t>UNW-Y-290HXP-5080-L6-GC-PVT</t>
  </si>
  <si>
    <t>2026/03/11</t>
  </si>
  <si>
    <t>秋葉原(開発)</t>
  </si>
  <si>
    <t>DHL 8972660432</t>
  </si>
  <si>
    <t>不驗</t>
  </si>
  <si>
    <t>2026/03/13</t>
  </si>
  <si>
    <t>本社*1</t>
  </si>
  <si>
    <t>DHL 1259948653</t>
  </si>
  <si>
    <t>212347のCPU変更版</t>
  </si>
  <si>
    <t>$5,280.00</t>
  </si>
  <si>
    <t>DHL 1259948675</t>
  </si>
  <si>
    <t>海老名*2</t>
  </si>
  <si>
    <t>DHL 1259948664</t>
  </si>
  <si>
    <t>2026/02/10</t>
  </si>
  <si>
    <t>LCD変更</t>
  </si>
  <si>
    <t>4M LCD変更286429→317450初回納品</t>
  </si>
  <si>
    <t>COSCO KIKU 215E</t>
  </si>
  <si>
    <t>2026/3/13</t>
  </si>
  <si>
    <t>$5,400.00</t>
  </si>
  <si>
    <t>$156,800.00</t>
  </si>
  <si>
    <t>+15ドル企画発注承認済</t>
  </si>
  <si>
    <t>法人用</t>
  </si>
  <si>
    <t>$80,100.00</t>
  </si>
  <si>
    <t>2026/03/17</t>
  </si>
  <si>
    <t>DHL 1259948690</t>
  </si>
  <si>
    <t>SEA fixed</t>
  </si>
  <si>
    <t>$13,200.00</t>
  </si>
  <si>
    <t>2026/02/11</t>
  </si>
  <si>
    <t>QING YUN HE 741Eへ変更</t>
  </si>
  <si>
    <t>2026/3/3</t>
  </si>
  <si>
    <t>$135,000.00</t>
  </si>
  <si>
    <t>2026/03/04</t>
  </si>
  <si>
    <t>2026/03/06</t>
  </si>
  <si>
    <t>4M LCD変更222644→317459初回</t>
  </si>
  <si>
    <t>$171,360.00</t>
  </si>
  <si>
    <t>$81,216.00</t>
  </si>
  <si>
    <t>4M LCD変更222644→317459</t>
  </si>
  <si>
    <t>SAP上変更済</t>
  </si>
  <si>
    <t>$104,000.00</t>
  </si>
  <si>
    <t>開発承認待ち次第⇒</t>
  </si>
  <si>
    <t>2026/03/19</t>
  </si>
  <si>
    <t>CPU変更予定、商品コード212347→318440初回</t>
  </si>
  <si>
    <t>2026/03/27</t>
  </si>
  <si>
    <t>秋葉原(開発)*1</t>
  </si>
  <si>
    <t>DHL 21 0819 2833</t>
  </si>
  <si>
    <t>$4,012.00</t>
  </si>
  <si>
    <t>綾瀬(開発)(開発)*2</t>
  </si>
  <si>
    <t>DHL 21 0819 6403</t>
  </si>
  <si>
    <t>DHL 21 0820 0312</t>
  </si>
  <si>
    <t>2026/03/23</t>
  </si>
  <si>
    <t>企画依頼より取り消し、SAP消し済</t>
  </si>
  <si>
    <t>$407.00</t>
  </si>
  <si>
    <t>$122,100.00</t>
  </si>
  <si>
    <t>2026/03/26</t>
  </si>
  <si>
    <t>SAP取消済</t>
  </si>
  <si>
    <t>$259.00</t>
  </si>
  <si>
    <t>$51,800.00</t>
  </si>
  <si>
    <t>$19,800.00</t>
  </si>
  <si>
    <t>2026/03/16</t>
  </si>
  <si>
    <t>COSCO KIKU 218E</t>
  </si>
  <si>
    <t>2026/3/19</t>
  </si>
  <si>
    <t>$90,000.00</t>
  </si>
  <si>
    <t>$20,378.00</t>
  </si>
  <si>
    <t>$86,400.00</t>
  </si>
  <si>
    <t>2026/03/10</t>
  </si>
  <si>
    <t>$58,374.00</t>
  </si>
  <si>
    <t>2026/03/09</t>
  </si>
  <si>
    <t>CPU確保のため、保留不可</t>
  </si>
  <si>
    <t>$1,602.00</t>
  </si>
  <si>
    <t>4M変更取消302887初回</t>
  </si>
  <si>
    <t>$158,598.00</t>
  </si>
  <si>
    <t>$638.00</t>
  </si>
  <si>
    <t>$1,276.00</t>
  </si>
  <si>
    <t>4M変更取消302886初回</t>
  </si>
  <si>
    <t>$285,824.00</t>
  </si>
  <si>
    <t>4M変更取消302886</t>
  </si>
  <si>
    <t>$136,512.00</t>
  </si>
  <si>
    <t>4M LCD変更286429→317450</t>
  </si>
  <si>
    <t>$79,200.00</t>
  </si>
  <si>
    <t>2026/03/24</t>
  </si>
  <si>
    <t>2026/03/25</t>
  </si>
  <si>
    <t>6th Memory不足</t>
  </si>
  <si>
    <t>$15,062.00</t>
  </si>
  <si>
    <t>5th</t>
  </si>
  <si>
    <t>$29,238.00</t>
  </si>
  <si>
    <t>$88,600.00</t>
  </si>
  <si>
    <t>$190,570.00</t>
  </si>
  <si>
    <t>2026/03/30</t>
  </si>
  <si>
    <t>$23,760.00</t>
  </si>
  <si>
    <t>2026/03/18</t>
  </si>
  <si>
    <t>$155,500.00</t>
  </si>
  <si>
    <t>4M CPU1334U→1335U　284150→319735初回</t>
  </si>
  <si>
    <t>$321.00</t>
  </si>
  <si>
    <t>$128,400.00</t>
  </si>
  <si>
    <t>4M 284150→319735</t>
  </si>
  <si>
    <t>$369.00</t>
  </si>
  <si>
    <t>$132,840.00</t>
  </si>
  <si>
    <t>2026/04/09</t>
  </si>
  <si>
    <t>2026/1/23発注取消(企画確認済)LCD変更初回/海老名と綾瀬の振り分け不要、開発に確認済</t>
  </si>
  <si>
    <t>DDR4/LCD変更</t>
  </si>
  <si>
    <t>SAP上削除済</t>
  </si>
  <si>
    <t>企画バッテーリー測定用</t>
  </si>
  <si>
    <t>CLE-V74-U7-155U-L6-TPM-DDR5-TW-DVT</t>
  </si>
  <si>
    <t>2026/04/16</t>
  </si>
  <si>
    <t>本社企画</t>
  </si>
  <si>
    <t>DHL 1259948885</t>
  </si>
  <si>
    <t>CLE-V74-U5-125U-L6-TPM-DDR5-TW-DVT</t>
  </si>
  <si>
    <t>CLE-V74-R5-7535HS-L6-TPM-DDR5-TW-DVT</t>
  </si>
  <si>
    <t>$58,608.00</t>
  </si>
  <si>
    <t>CLE-V74-U7-155U-L6-TPM-DDR5-TW-BL-PVT</t>
  </si>
  <si>
    <t>2026/04/24</t>
  </si>
  <si>
    <t>秋葉原 開発*2</t>
  </si>
  <si>
    <t xml:space="preserve">DHL 1259948900 </t>
  </si>
  <si>
    <t>CLE-V74-U5-125U-L6-TPM-DDR5-TW-RG-PVT</t>
  </si>
  <si>
    <t>CLE-V74-R5-7535HS-L6-TPM-DDR5-TW-BK-PVT</t>
  </si>
  <si>
    <t>秋葉原 企画1A40*3</t>
  </si>
  <si>
    <t>CLE-V74-R5-7535HS-L6-TPM-DDR5-TW-BL-PVT</t>
  </si>
  <si>
    <t>CLE-V74-R5-7535HS-L6-TPM-DDR5-TW-RG-PVT</t>
  </si>
  <si>
    <t>$300,850.00</t>
  </si>
  <si>
    <t>2026/04/07</t>
  </si>
  <si>
    <t>CPU確保のため出荷3末まで必須⇒</t>
  </si>
  <si>
    <t>QING YUN HE 747E</t>
  </si>
  <si>
    <t>2026/4/10</t>
  </si>
  <si>
    <t>$850.00</t>
  </si>
  <si>
    <t>$13,600.00</t>
  </si>
  <si>
    <t>+$69　法人確認済</t>
  </si>
  <si>
    <t>法人専用、出荷は最短では３末⇒</t>
  </si>
  <si>
    <t>$326,400.00</t>
  </si>
  <si>
    <t>2026/04/08</t>
  </si>
  <si>
    <t>2026/04/15</t>
  </si>
  <si>
    <t>2026/4/17</t>
  </si>
  <si>
    <t>$127,600.00</t>
  </si>
  <si>
    <t>$1,480.00</t>
  </si>
  <si>
    <t>$118,400.00</t>
  </si>
  <si>
    <t>2026/04/17</t>
  </si>
  <si>
    <t>vRAM price increase</t>
  </si>
  <si>
    <t>COSCO KIKU / 223E</t>
  </si>
  <si>
    <t>2026/4/27</t>
  </si>
  <si>
    <t>$325,200.00</t>
  </si>
  <si>
    <t>2026/04/22</t>
  </si>
  <si>
    <t>2026/04/30</t>
  </si>
  <si>
    <t>4M LCD変更222818→317460初回</t>
  </si>
  <si>
    <t>全数リワークのため、先方AIR運賃負担可能</t>
  </si>
  <si>
    <t>本船遅延
ETD 5/1⇒5/7</t>
  </si>
  <si>
    <t>COSCO KIKU 224E</t>
  </si>
  <si>
    <t>2026/5/7</t>
  </si>
  <si>
    <t>$17,720.00</t>
  </si>
  <si>
    <t>7thMemory値上対象外</t>
  </si>
  <si>
    <t>$1,076.00</t>
  </si>
  <si>
    <t>$75,320.00</t>
  </si>
  <si>
    <t>$168,000.00</t>
  </si>
  <si>
    <t>UNW-E-14450HX-5050-L6-DDR5-15.6-PVT</t>
  </si>
  <si>
    <t>2026/05/13</t>
  </si>
  <si>
    <t>秋葉原(1A20)*1</t>
  </si>
  <si>
    <t>DHL 25 8740 3136　⇒HQ・北條さん宛</t>
  </si>
  <si>
    <t>綾瀬(1A30)*1</t>
  </si>
  <si>
    <t>4M 284149→318394初回</t>
  </si>
  <si>
    <t>$231,120.00</t>
  </si>
  <si>
    <t>4M 319735→318395初回</t>
  </si>
  <si>
    <t xml:space="preserve">
4M変更初回
法人案件⇒6月内出荷⇒5月末納品必須</t>
  </si>
  <si>
    <t>QNT-NLT-240H-5060-L6-GC-PVT</t>
  </si>
  <si>
    <t>2026/05/20</t>
  </si>
  <si>
    <t>綾瀬(開発)1</t>
  </si>
  <si>
    <t>DHL 2737385092</t>
  </si>
  <si>
    <t>DHL 9330415054</t>
  </si>
  <si>
    <t>QNT-NLT-240H-5050-L6-GC-PVT</t>
  </si>
  <si>
    <t>本社1企画撮影用</t>
  </si>
  <si>
    <t>CLE-V75-155H-UMA-L6-TPM-DDR5-PVT</t>
  </si>
  <si>
    <t>2026/05/26</t>
  </si>
  <si>
    <t>DHL 1259949154</t>
  </si>
  <si>
    <t>DHL 1259949132</t>
  </si>
  <si>
    <t>秋葉原(1A40)*1</t>
  </si>
  <si>
    <t>UNW-2-14650HX-5060-L6-DDR5-15.3-PVT</t>
  </si>
  <si>
    <t>2026/06/05</t>
  </si>
  <si>
    <t>開発・北條さん</t>
  </si>
  <si>
    <t>DHL 51 0344 1114</t>
  </si>
  <si>
    <t>金子さん</t>
  </si>
  <si>
    <t>DHL 51 0347 8041　</t>
  </si>
  <si>
    <t>2026/06/12</t>
  </si>
  <si>
    <t>DHL 2597744015</t>
  </si>
  <si>
    <t>$912.44</t>
  </si>
  <si>
    <t>前送金済</t>
  </si>
  <si>
    <t>PGT-M16P-U7-356H-8GB-UMA-16-L7-PVT</t>
  </si>
  <si>
    <t>PGT</t>
  </si>
  <si>
    <t>台北</t>
  </si>
  <si>
    <t>秋葉原(開発部)</t>
  </si>
  <si>
    <t>DHL 11 6434 3401</t>
  </si>
  <si>
    <t>開発部検証用</t>
  </si>
  <si>
    <t>検品しない</t>
  </si>
  <si>
    <t>2026/06/16</t>
  </si>
  <si>
    <t>DHL 1259949353</t>
  </si>
  <si>
    <t>DHL 1259949261</t>
  </si>
  <si>
    <t>DHL 1259949272</t>
  </si>
  <si>
    <t>2026/06/18</t>
  </si>
  <si>
    <t>秋葉原（企画)</t>
  </si>
  <si>
    <t>企画指示1台を企画に納品</t>
  </si>
  <si>
    <t>$95,700.00</t>
  </si>
  <si>
    <t>2026/05/25</t>
  </si>
  <si>
    <t>2026/05/29</t>
  </si>
  <si>
    <t>COSCO KIKU 228E</t>
  </si>
  <si>
    <t>2026/6/2</t>
  </si>
  <si>
    <t>$1,090.00</t>
  </si>
  <si>
    <t>$43,600.00</t>
  </si>
  <si>
    <t>2026/05/12</t>
  </si>
  <si>
    <t>7thMemory値上対象</t>
  </si>
  <si>
    <t>$64,800.00</t>
  </si>
  <si>
    <t>2026/05/11</t>
  </si>
  <si>
    <t>ベトナム経由なし</t>
  </si>
  <si>
    <t>4M 319735→318395</t>
  </si>
  <si>
    <t>$361,080.00</t>
  </si>
  <si>
    <t>HECAN 411E</t>
  </si>
  <si>
    <t>$140,420.00</t>
  </si>
  <si>
    <t>$177,600.00</t>
  </si>
  <si>
    <t>2026/05/27</t>
  </si>
  <si>
    <t>4M変更初回LOT新箱</t>
  </si>
  <si>
    <t>累計発注数</t>
    <rPh sb="0" eb="5">
      <t>ルイ</t>
    </rPh>
    <phoneticPr fontId="4"/>
  </si>
  <si>
    <t>MOQ数量</t>
    <rPh sb="3" eb="5">
      <t>スウリョウ</t>
    </rPh>
    <phoneticPr fontId="4"/>
  </si>
  <si>
    <t>CLE-V74-U7-155U-L6-TPM-DDR5-TW-BK,CLE-V74-U5-125U-L6-TPM-DDR5-TW-BK,CLE-V74-R5-7535HS-L6-TPM-DDR5-TW-BK</t>
    <phoneticPr fontId="4"/>
  </si>
  <si>
    <t>CLE-V74-U7-155U-L6-TPM-DDR5-TW-BL,CLE-V74-U5-125U-L6-TPM-DDR5-TW-BL,CLE-V74-R5-7535HS-L6-TPM-DDR5-TW-BL</t>
    <phoneticPr fontId="4"/>
  </si>
  <si>
    <t>CLE-V74-U7-155U-L6-TPM-DDR5-TW-RG,CLE-V74-U5-125U-L6-TPM-DDR5-TW-RG,CLE-V74-R5-7535HS-L6-TPM-DDR5-TW-RG</t>
    <phoneticPr fontId="4"/>
  </si>
  <si>
    <t>累計発注数</t>
    <rPh sb="0" eb="5">
      <t>ルイケイ</t>
    </rPh>
    <phoneticPr fontId="4"/>
  </si>
  <si>
    <t>累計出荷数</t>
    <rPh sb="0" eb="2">
      <t>ルイケイ</t>
    </rPh>
    <rPh sb="2" eb="5">
      <t>シュッカスウ</t>
    </rPh>
    <phoneticPr fontId="4"/>
  </si>
  <si>
    <t>後継・代替</t>
  </si>
  <si>
    <t>荘司さん依頼</t>
  </si>
  <si>
    <t>本社1l20</t>
  </si>
  <si>
    <t>承認待ち</t>
  </si>
  <si>
    <t>法人荘司さん依頼分</t>
  </si>
  <si>
    <t>ID-7?</t>
  </si>
  <si>
    <t>CLE NP55/UNW ID-E(RTX 3050 4G)?</t>
  </si>
  <si>
    <t>TW15MT1H5CS</t>
  </si>
  <si>
    <t>TW15A5</t>
  </si>
  <si>
    <t>TW14C7</t>
  </si>
  <si>
    <t>TW14C5</t>
  </si>
  <si>
    <t>TW14A5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</si>
</sst>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0">
    <numFmt numFmtId="26" formatCode="\$#,##0.00_);[Red]\(\$#,##0.00\)"/>
    <numFmt numFmtId="176" formatCode="&quot;¥&quot;#,##0_);\(&quot;¥&quot;#,##0\)"/>
    <numFmt numFmtId="177" formatCode="&quot;¥&quot;#,##0_);[Red]\(&quot;¥&quot;#,##0\)"/>
    <numFmt numFmtId="178" formatCode="yy\-mm"/>
    <numFmt numFmtId="179" formatCode="0.0%"/>
    <numFmt numFmtId="180" formatCode="#,##0_ ;[Red]\-#,##0\ "/>
    <numFmt numFmtId="181" formatCode="[$$-409]#,##0.00;[$$-409]#,##0.00"/>
    <numFmt numFmtId="182" formatCode="yyyy/m/d;@"/>
    <numFmt numFmtId="183" formatCode="0_ ;[Red]\-0\ "/>
    <numFmt numFmtId="184" formatCode="0_ "/>
    <numFmt numFmtId="185" formatCode="0_);[Red]\(0\)"/>
    <numFmt numFmtId="186" formatCode="0;[Red]0"/>
    <numFmt numFmtId="187" formatCode="m&quot;月&quot;"/>
    <numFmt numFmtId="188" formatCode="yyyy&quot;年&quot;m&quot;月&quot;;@"/>
    <numFmt numFmtId="189" formatCode="0.00_);[Red]\(0.00\)"/>
    <numFmt numFmtId="190" formatCode="m/d;@"/>
    <numFmt numFmtId="191" formatCode="yyyy/m"/>
    <numFmt numFmtId="192" formatCode="[$$-409]#,##0.00;\-[$$-409]#,##0.00"/>
    <numFmt numFmtId="193" formatCode="m/d/yyyy"/>
    <numFmt numFmtId="194" formatCode="yyyy/m/d\ h:mm;@"/>
  </numFmts>
  <fonts count="107">
    <font>
      <sz val="11"/>
      <color theme="1"/>
      <name val="游ゴシック"/>
      <family val="2"/>
      <charset val="128"/>
      <scheme val="minor"/>
    </font>
    <font>
      <sz val="11"/>
      <color theme="1"/>
      <name val="游ゴシック"/>
      <family val="2"/>
      <charset val="128"/>
    </font>
    <font>
      <sz val="11"/>
      <color theme="1"/>
      <name val="游ゴシック"/>
      <family val="2"/>
      <charset val="128"/>
      <scheme val="minor"/>
    </font>
    <font>
      <sz val="11"/>
      <color theme="1"/>
      <name val="メイリオ"/>
      <family val="3"/>
      <charset val="128"/>
    </font>
    <font>
      <sz val="6"/>
      <name val="游ゴシック"/>
      <family val="2"/>
      <charset val="128"/>
      <scheme val="minor"/>
    </font>
    <font>
      <sz val="10"/>
      <color theme="1"/>
      <name val="メイリオ"/>
      <family val="3"/>
      <charset val="128"/>
    </font>
    <font>
      <sz val="10"/>
      <name val="メイリオ"/>
      <family val="3"/>
      <charset val="128"/>
    </font>
    <font>
      <sz val="6"/>
      <name val="ＭＳ Ｐゴシック"/>
      <family val="3"/>
      <charset val="128"/>
    </font>
    <font>
      <i/>
      <sz val="10"/>
      <name val="メイリオ"/>
      <family val="3"/>
      <charset val="128"/>
    </font>
    <font>
      <sz val="9"/>
      <color indexed="81"/>
      <name val="MS P ゴシック"/>
      <family val="3"/>
      <charset val="128"/>
    </font>
    <font>
      <b/>
      <sz val="9"/>
      <color indexed="81"/>
      <name val="MS P ゴシック"/>
      <family val="3"/>
      <charset val="128"/>
    </font>
    <font>
      <b/>
      <sz val="12"/>
      <color indexed="81"/>
      <name val="MS P ゴシック"/>
      <family val="3"/>
      <charset val="128"/>
    </font>
    <font>
      <b/>
      <sz val="14"/>
      <color indexed="81"/>
      <name val="MS P ゴシック"/>
      <family val="3"/>
      <charset val="128"/>
    </font>
    <font>
      <b/>
      <sz val="16"/>
      <color indexed="81"/>
      <name val="MS P ゴシック"/>
      <family val="3"/>
      <charset val="128"/>
    </font>
    <font>
      <sz val="10"/>
      <color indexed="8"/>
      <name val="ＭＳ ゴシック"/>
      <family val="3"/>
      <charset val="128"/>
    </font>
    <font>
      <sz val="10"/>
      <name val="ＭＳ ゴシック"/>
      <family val="3"/>
      <charset val="128"/>
    </font>
    <font>
      <sz val="10"/>
      <name val="Arial"/>
      <family val="2"/>
    </font>
    <font>
      <sz val="10"/>
      <name val="メイリオ"/>
      <family val="3"/>
    </font>
    <font>
      <sz val="10"/>
      <color rgb="FFFF0000"/>
      <name val="メイリオ"/>
      <family val="3"/>
      <charset val="128"/>
    </font>
    <font>
      <sz val="10"/>
      <color rgb="FF000000"/>
      <name val="メイリオ"/>
      <family val="3"/>
      <charset val="128"/>
    </font>
    <font>
      <sz val="11"/>
      <color rgb="FF000000"/>
      <name val="メイリオ"/>
      <family val="3"/>
      <charset val="128"/>
    </font>
    <font>
      <sz val="10"/>
      <color rgb="FF70AD47"/>
      <name val="メイリオ"/>
      <family val="3"/>
    </font>
    <font>
      <sz val="10"/>
      <color rgb="FF000000"/>
      <name val="メイリオ"/>
      <family val="3"/>
    </font>
    <font>
      <sz val="11"/>
      <color theme="1"/>
      <name val="メイリオ"/>
      <family val="3"/>
    </font>
    <font>
      <sz val="10"/>
      <color theme="1"/>
      <name val="メイリオ"/>
      <family val="3"/>
    </font>
    <font>
      <i/>
      <sz val="10"/>
      <name val="メイリオ"/>
      <family val="3"/>
    </font>
    <font>
      <sz val="11"/>
      <name val="メイリオ"/>
      <family val="3"/>
      <charset val="128"/>
    </font>
    <font>
      <sz val="11"/>
      <name val="游ゴシック"/>
      <family val="3"/>
      <charset val="128"/>
      <scheme val="minor"/>
    </font>
    <font>
      <i/>
      <sz val="11"/>
      <color theme="1"/>
      <name val="游ゴシック"/>
      <family val="3"/>
      <charset val="128"/>
      <scheme val="minor"/>
    </font>
    <font>
      <sz val="11"/>
      <name val="メイリオ"/>
      <family val="3"/>
    </font>
    <font>
      <sz val="11"/>
      <color theme="1"/>
      <name val="游ゴシック"/>
      <family val="3"/>
      <charset val="128"/>
      <scheme val="minor"/>
    </font>
    <font>
      <b/>
      <sz val="11"/>
      <color theme="1"/>
      <name val="游ゴシック"/>
      <family val="3"/>
      <charset val="128"/>
      <scheme val="minor"/>
    </font>
    <font>
      <b/>
      <sz val="11"/>
      <color rgb="FFFF0000"/>
      <name val="游ゴシック"/>
      <family val="3"/>
      <charset val="128"/>
      <scheme val="minor"/>
    </font>
    <font>
      <sz val="6"/>
      <name val="游ゴシック"/>
      <family val="3"/>
      <charset val="128"/>
      <scheme val="minor"/>
    </font>
    <font>
      <sz val="12"/>
      <name val="メイリオ"/>
      <family val="3"/>
      <charset val="128"/>
    </font>
    <font>
      <b/>
      <sz val="10"/>
      <color theme="1"/>
      <name val="メイリオ"/>
      <family val="3"/>
      <charset val="128"/>
    </font>
    <font>
      <b/>
      <sz val="10"/>
      <color rgb="FFFF0000"/>
      <name val="メイリオ"/>
      <family val="3"/>
      <charset val="128"/>
    </font>
    <font>
      <b/>
      <sz val="11"/>
      <color rgb="FFFF0000"/>
      <name val="メイリオ"/>
      <family val="3"/>
      <charset val="128"/>
    </font>
    <font>
      <b/>
      <sz val="10"/>
      <name val="メイリオ"/>
      <family val="3"/>
      <charset val="128"/>
    </font>
    <font>
      <u/>
      <sz val="11"/>
      <color theme="10"/>
      <name val="游ゴシック"/>
      <family val="2"/>
      <charset val="128"/>
      <scheme val="minor"/>
    </font>
    <font>
      <u/>
      <sz val="11"/>
      <color theme="10"/>
      <name val="游ゴシック"/>
      <family val="3"/>
      <charset val="128"/>
      <scheme val="minor"/>
    </font>
    <font>
      <sz val="10"/>
      <color theme="1"/>
      <name val="ＭＳ ゴシック"/>
      <family val="3"/>
      <charset val="128"/>
    </font>
    <font>
      <sz val="12"/>
      <name val="Arial"/>
      <family val="2"/>
    </font>
    <font>
      <strike/>
      <sz val="11"/>
      <name val="メイリオ"/>
      <family val="3"/>
      <charset val="128"/>
    </font>
    <font>
      <sz val="10"/>
      <color rgb="FFFF0000"/>
      <name val="ＭＳ ゴシック"/>
      <family val="3"/>
      <charset val="128"/>
    </font>
    <font>
      <b/>
      <sz val="10"/>
      <name val="メイリオ"/>
      <family val="3"/>
    </font>
    <font>
      <b/>
      <i/>
      <sz val="10"/>
      <name val="メイリオ"/>
      <family val="3"/>
      <charset val="128"/>
    </font>
    <font>
      <b/>
      <sz val="10"/>
      <color rgb="FF0070C0"/>
      <name val="ＭＳ ゴシック"/>
      <family val="3"/>
      <charset val="128"/>
    </font>
    <font>
      <sz val="10"/>
      <color indexed="8"/>
      <name val="游ゴシック"/>
      <family val="3"/>
      <charset val="128"/>
    </font>
    <font>
      <b/>
      <i/>
      <sz val="10"/>
      <name val="メイリオ"/>
      <family val="3"/>
    </font>
    <font>
      <sz val="10"/>
      <color rgb="FF0070C0"/>
      <name val="ＭＳ ゴシック"/>
      <family val="3"/>
      <charset val="128"/>
    </font>
    <font>
      <sz val="9"/>
      <color indexed="8"/>
      <name val="Verdana"/>
      <family val="2"/>
    </font>
    <font>
      <b/>
      <sz val="10"/>
      <name val="ＭＳ ゴシック"/>
      <family val="3"/>
      <charset val="128"/>
    </font>
    <font>
      <sz val="11"/>
      <color theme="1"/>
      <name val="Arial"/>
      <family val="2"/>
    </font>
    <font>
      <sz val="10"/>
      <color theme="1"/>
      <name val="ＭＳ Ｐゴシック"/>
      <family val="2"/>
      <charset val="128"/>
    </font>
    <font>
      <sz val="10"/>
      <color theme="1"/>
      <name val="Arial"/>
      <family val="2"/>
    </font>
    <font>
      <sz val="11"/>
      <name val="Arial"/>
      <family val="2"/>
    </font>
    <font>
      <sz val="10"/>
      <color theme="1"/>
      <name val="游ゴシック"/>
      <family val="2"/>
      <charset val="128"/>
    </font>
    <font>
      <sz val="12"/>
      <color theme="1"/>
      <name val="Arial"/>
      <family val="2"/>
    </font>
    <font>
      <b/>
      <sz val="10"/>
      <color rgb="FFFF0000"/>
      <name val="ＭＳ ゴシック"/>
      <family val="3"/>
      <charset val="128"/>
    </font>
    <font>
      <b/>
      <i/>
      <sz val="10"/>
      <name val="ＭＳ ゴシック"/>
      <family val="3"/>
      <charset val="128"/>
    </font>
    <font>
      <sz val="10"/>
      <name val="UD デジタル 教科書体 N-R"/>
      <family val="1"/>
      <charset val="128"/>
    </font>
    <font>
      <sz val="10"/>
      <color rgb="FFC00000"/>
      <name val="ＭＳ ゴシック"/>
      <family val="3"/>
      <charset val="128"/>
    </font>
    <font>
      <sz val="10"/>
      <name val="游ゴシック"/>
      <family val="3"/>
      <charset val="128"/>
    </font>
    <font>
      <sz val="8"/>
      <color rgb="FFC65911"/>
      <name val="UD デジタル 教科書体 N-R"/>
      <family val="1"/>
      <charset val="128"/>
    </font>
    <font>
      <sz val="10"/>
      <name val="HGS創英角ｺﾞｼｯｸUB"/>
      <family val="3"/>
      <charset val="128"/>
    </font>
    <font>
      <sz val="10"/>
      <color theme="1"/>
      <name val="游ゴシック"/>
      <family val="3"/>
      <charset val="128"/>
    </font>
    <font>
      <sz val="10"/>
      <color rgb="FFC85BF3"/>
      <name val="ＭＳ ゴシック"/>
      <family val="3"/>
      <charset val="128"/>
    </font>
    <font>
      <sz val="10"/>
      <color theme="7" tint="-0.249977111117893"/>
      <name val="ＭＳ ゴシック"/>
      <family val="3"/>
      <charset val="128"/>
    </font>
    <font>
      <sz val="10"/>
      <color rgb="FF00B0F0"/>
      <name val="ＭＳ ゴシック"/>
      <family val="3"/>
      <charset val="128"/>
    </font>
    <font>
      <sz val="9"/>
      <name val="UD デジタル 教科書体 N-R"/>
      <family val="1"/>
      <charset val="128"/>
    </font>
    <font>
      <sz val="10"/>
      <color theme="8" tint="-0.249977111117893"/>
      <name val="UD デジタル 教科書体 N-R"/>
      <family val="1"/>
      <charset val="128"/>
    </font>
    <font>
      <b/>
      <sz val="10"/>
      <color rgb="FF00B0F0"/>
      <name val="ＭＳ ゴシック"/>
      <family val="3"/>
      <charset val="128"/>
    </font>
    <font>
      <sz val="10"/>
      <color theme="8" tint="0.39997558519241921"/>
      <name val="ＭＳ ゴシック"/>
      <family val="3"/>
      <charset val="128"/>
    </font>
    <font>
      <sz val="10"/>
      <name val="Microsoft YaHei"/>
      <family val="3"/>
      <charset val="134"/>
    </font>
    <font>
      <sz val="10"/>
      <color rgb="FFC00000"/>
      <name val="UD デジタル 教科書体 N-R"/>
      <family val="1"/>
      <charset val="128"/>
    </font>
    <font>
      <sz val="10"/>
      <color theme="5" tint="-0.249977111117893"/>
      <name val="ＭＳ ゴシック"/>
      <family val="3"/>
      <charset val="128"/>
    </font>
    <font>
      <sz val="10"/>
      <color rgb="FF00B050"/>
      <name val="ＭＳ ゴシック"/>
      <family val="3"/>
      <charset val="128"/>
    </font>
    <font>
      <sz val="10"/>
      <color rgb="FF0070C0"/>
      <name val="UD デジタル 教科書体 N-R"/>
      <family val="1"/>
      <charset val="128"/>
    </font>
    <font>
      <b/>
      <sz val="10"/>
      <color rgb="FFFF0000"/>
      <name val="UD デジタル 教科書体 N-R"/>
      <family val="1"/>
      <charset val="128"/>
    </font>
    <font>
      <sz val="10"/>
      <color rgb="FFFF0000"/>
      <name val="UD デジタル 教科書体 N-R"/>
      <family val="1"/>
      <charset val="128"/>
    </font>
    <font>
      <b/>
      <sz val="9"/>
      <color theme="8" tint="-0.249977111117893"/>
      <name val="UD デジタル 教科書体 N-R"/>
      <family val="1"/>
      <charset val="128"/>
    </font>
    <font>
      <sz val="10"/>
      <name val="HGｺﾞｼｯｸE"/>
      <family val="3"/>
      <charset val="128"/>
    </font>
    <font>
      <b/>
      <sz val="10"/>
      <color theme="8" tint="-0.249977111117893"/>
      <name val="ＭＳ ゴシック"/>
      <family val="3"/>
      <charset val="128"/>
    </font>
    <font>
      <sz val="11"/>
      <color rgb="FF000000"/>
      <name val="Calibri"/>
      <family val="2"/>
    </font>
    <font>
      <i/>
      <sz val="10"/>
      <name val="ＭＳ ゴシック"/>
      <family val="3"/>
      <charset val="128"/>
    </font>
    <font>
      <b/>
      <sz val="10"/>
      <color theme="1"/>
      <name val="ＭＳ ゴシック"/>
      <family val="3"/>
      <charset val="128"/>
    </font>
    <font>
      <sz val="10"/>
      <color indexed="8"/>
      <name val="ＭＳ 明朝"/>
      <family val="1"/>
      <charset val="128"/>
    </font>
    <font>
      <sz val="9"/>
      <name val="ＭＳ ゴシック"/>
      <family val="3"/>
      <charset val="128"/>
    </font>
    <font>
      <sz val="10"/>
      <color theme="1"/>
      <name val="UD デジタル 教科書体 N-R"/>
      <family val="1"/>
      <charset val="128"/>
    </font>
    <font>
      <sz val="26"/>
      <color rgb="FFFFFF00"/>
      <name val="ＭＳ ゴシック"/>
      <family val="3"/>
      <charset val="128"/>
    </font>
    <font>
      <sz val="11"/>
      <color rgb="FF000000"/>
      <name val="游ゴシック"/>
      <family val="3"/>
      <charset val="128"/>
    </font>
    <font>
      <sz val="11"/>
      <name val="游ゴシック"/>
      <family val="2"/>
      <charset val="128"/>
      <scheme val="minor"/>
    </font>
    <font>
      <strike/>
      <u/>
      <sz val="11"/>
      <color theme="10"/>
      <name val="游ゴシック"/>
      <family val="2"/>
      <charset val="128"/>
      <scheme val="minor"/>
    </font>
    <font>
      <sz val="11"/>
      <color theme="2" tint="-9.9978637043366805E-2"/>
      <name val="游ゴシック"/>
      <family val="3"/>
      <charset val="128"/>
      <scheme val="minor"/>
    </font>
    <font>
      <i/>
      <sz val="11"/>
      <color theme="2" tint="-9.9978637043366805E-2"/>
      <name val="游ゴシック"/>
      <family val="3"/>
      <charset val="128"/>
      <scheme val="minor"/>
    </font>
    <font>
      <b/>
      <sz val="12"/>
      <color rgb="FFFFFFFF"/>
      <name val="Calibri"/>
      <family val="2"/>
    </font>
    <font>
      <b/>
      <sz val="11"/>
      <color rgb="FFFFFFFF"/>
      <name val="Calibri"/>
      <family val="2"/>
    </font>
    <font>
      <sz val="11"/>
      <color rgb="FF222222"/>
      <name val="Calibri"/>
      <family val="2"/>
    </font>
    <font>
      <b/>
      <sz val="10"/>
      <color theme="1"/>
      <name val="メイリオ"/>
      <family val="3"/>
    </font>
    <font>
      <b/>
      <sz val="10"/>
      <color rgb="FFFF0000"/>
      <name val="メイリオ"/>
      <family val="3"/>
    </font>
    <font>
      <sz val="11"/>
      <color rgb="FFFF0000"/>
      <name val="游ゴシック"/>
      <family val="2"/>
      <charset val="128"/>
      <scheme val="minor"/>
    </font>
    <font>
      <sz val="10"/>
      <color rgb="FFFF0000"/>
      <name val="メイリオ"/>
      <family val="3"/>
    </font>
    <font>
      <b/>
      <sz val="10"/>
      <color theme="0"/>
      <name val="ＭＳ ゴシック"/>
      <family val="3"/>
      <charset val="128"/>
    </font>
    <font>
      <b/>
      <sz val="10"/>
      <color theme="0"/>
      <name val="ＭＳ Ｐゴシック"/>
      <family val="2"/>
      <charset val="128"/>
    </font>
    <font>
      <sz val="10"/>
      <name val="ＭＳ Ｐゴシック"/>
      <family val="2"/>
      <charset val="128"/>
    </font>
    <font>
      <strike/>
      <sz val="10"/>
      <name val="メイリオ"/>
      <family val="3"/>
    </font>
  </fonts>
  <fills count="38">
    <fill>
      <patternFill patternType="none"/>
    </fill>
    <fill>
      <patternFill patternType="gray125"/>
    </fill>
    <fill>
      <patternFill patternType="solid">
        <fgColor theme="0" tint="-0.14999847407452621"/>
        <bgColor indexed="64"/>
      </patternFill>
    </fill>
    <fill>
      <patternFill patternType="solid">
        <fgColor rgb="FFFFFFCC"/>
        <bgColor indexed="64"/>
      </patternFill>
    </fill>
    <fill>
      <patternFill patternType="solid">
        <fgColor theme="0" tint="-0.34998626667073579"/>
        <bgColor indexed="64"/>
      </patternFill>
    </fill>
    <fill>
      <patternFill patternType="solid">
        <fgColor rgb="FFFFFF00"/>
        <bgColor indexed="64"/>
      </patternFill>
    </fill>
    <fill>
      <patternFill patternType="solid">
        <fgColor rgb="FFFF0000"/>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5" tint="0.39997558519241921"/>
        <bgColor indexed="64"/>
      </patternFill>
    </fill>
    <fill>
      <patternFill patternType="solid">
        <fgColor theme="2" tint="0.39997558519241921"/>
        <bgColor indexed="64"/>
      </patternFill>
    </fill>
    <fill>
      <patternFill patternType="solid">
        <fgColor theme="7" tint="0.79998168889431442"/>
        <bgColor indexed="64"/>
      </patternFill>
    </fill>
    <fill>
      <patternFill patternType="solid">
        <fgColor rgb="FFBFBFBF"/>
        <bgColor rgb="FF000000"/>
      </patternFill>
    </fill>
    <fill>
      <patternFill patternType="solid">
        <fgColor theme="2" tint="-9.9978637043366805E-2"/>
        <bgColor indexed="64"/>
      </patternFill>
    </fill>
    <fill>
      <patternFill patternType="solid">
        <fgColor theme="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rgb="FFD9D9D9"/>
        <bgColor rgb="FF000000"/>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rgb="FFFFCCFF"/>
        <bgColor indexed="64"/>
      </patternFill>
    </fill>
    <fill>
      <patternFill patternType="solid">
        <fgColor rgb="FF00B0F0"/>
        <bgColor indexed="64"/>
      </patternFill>
    </fill>
    <fill>
      <patternFill patternType="solid">
        <fgColor theme="4" tint="0.39997558519241921"/>
        <bgColor indexed="64"/>
      </patternFill>
    </fill>
    <fill>
      <patternFill patternType="solid">
        <fgColor theme="6" tint="0.39997558519241921"/>
        <bgColor indexed="64"/>
      </patternFill>
    </fill>
    <fill>
      <patternFill patternType="solid">
        <fgColor rgb="FFFFE5FF"/>
        <bgColor indexed="64"/>
      </patternFill>
    </fill>
    <fill>
      <patternFill patternType="solid">
        <fgColor theme="2" tint="0.59999389629810485"/>
        <bgColor indexed="64"/>
      </patternFill>
    </fill>
    <fill>
      <patternFill patternType="solid">
        <fgColor theme="7" tint="0.59999389629810485"/>
        <bgColor indexed="64"/>
      </patternFill>
    </fill>
    <fill>
      <patternFill patternType="solid">
        <fgColor rgb="FFA8F6F8"/>
        <bgColor indexed="64"/>
      </patternFill>
    </fill>
    <fill>
      <patternFill patternType="solid">
        <fgColor rgb="FFFFC000"/>
        <bgColor indexed="64"/>
      </patternFill>
    </fill>
    <fill>
      <patternFill patternType="solid">
        <fgColor rgb="FFD1FFFF"/>
        <bgColor indexed="64"/>
      </patternFill>
    </fill>
    <fill>
      <patternFill patternType="solid">
        <fgColor theme="6" tint="0.59999389629810485"/>
        <bgColor indexed="64"/>
      </patternFill>
    </fill>
    <fill>
      <patternFill patternType="solid">
        <fgColor theme="0" tint="-0.499984740745262"/>
        <bgColor indexed="64"/>
      </patternFill>
    </fill>
    <fill>
      <patternFill patternType="solid">
        <fgColor rgb="FF1D2330"/>
        <bgColor indexed="64"/>
      </patternFill>
    </fill>
    <fill>
      <patternFill patternType="solid">
        <fgColor rgb="FF1F4E78"/>
        <bgColor indexed="64"/>
      </patternFill>
    </fill>
    <fill>
      <patternFill patternType="solid">
        <fgColor rgb="FFFFFFFF"/>
        <bgColor indexed="64"/>
      </patternFill>
    </fill>
  </fills>
  <borders count="161">
    <border>
      <left/>
      <right/>
      <top/>
      <bottom/>
      <diagonal/>
    </border>
    <border>
      <left/>
      <right/>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medium">
        <color rgb="FF000000"/>
      </right>
      <top style="thin">
        <color indexed="64"/>
      </top>
      <bottom style="thin">
        <color indexed="64"/>
      </bottom>
      <diagonal/>
    </border>
    <border>
      <left style="medium">
        <color indexed="64"/>
      </left>
      <right style="thin">
        <color indexed="64"/>
      </right>
      <top/>
      <bottom/>
      <diagonal/>
    </border>
    <border>
      <left/>
      <right style="thin">
        <color indexed="64"/>
      </right>
      <top/>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medium">
        <color rgb="FF000000"/>
      </top>
      <bottom/>
      <diagonal/>
    </border>
    <border>
      <left style="thin">
        <color indexed="64"/>
      </left>
      <right/>
      <top style="medium">
        <color rgb="FF000000"/>
      </top>
      <bottom/>
      <diagonal/>
    </border>
    <border>
      <left style="thin">
        <color rgb="FF000000"/>
      </left>
      <right style="thin">
        <color rgb="FF000000"/>
      </right>
      <top style="medium">
        <color rgb="FF000000"/>
      </top>
      <bottom/>
      <diagonal/>
    </border>
    <border>
      <left style="medium">
        <color rgb="FF000000"/>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diagonal/>
    </border>
    <border>
      <left style="thin">
        <color indexed="64"/>
      </left>
      <right style="medium">
        <color indexed="64"/>
      </right>
      <top style="medium">
        <color indexed="64"/>
      </top>
      <bottom/>
      <diagonal/>
    </border>
    <border>
      <left style="thin">
        <color rgb="FF000000"/>
      </left>
      <right style="thin">
        <color rgb="FF000000"/>
      </right>
      <top style="thin">
        <color rgb="FF000000"/>
      </top>
      <bottom style="thin">
        <color indexed="64"/>
      </bottom>
      <diagonal/>
    </border>
    <border>
      <left/>
      <right style="thin">
        <color rgb="FF000000"/>
      </right>
      <top style="thin">
        <color rgb="FF000000"/>
      </top>
      <bottom/>
      <diagonal/>
    </border>
    <border>
      <left/>
      <right style="thin">
        <color rgb="FF000000"/>
      </right>
      <top style="thin">
        <color rgb="FF000000"/>
      </top>
      <bottom style="thin">
        <color indexed="64"/>
      </bottom>
      <diagonal/>
    </border>
    <border>
      <left style="thin">
        <color rgb="FF000000"/>
      </left>
      <right style="thin">
        <color rgb="FF000000"/>
      </right>
      <top style="thin">
        <color indexed="64"/>
      </top>
      <bottom style="medium">
        <color indexed="64"/>
      </bottom>
      <diagonal/>
    </border>
    <border>
      <left style="thin">
        <color rgb="FF000000"/>
      </left>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medium">
        <color rgb="FF000000"/>
      </left>
      <right style="thin">
        <color indexed="64"/>
      </right>
      <top/>
      <bottom style="medium">
        <color indexed="64"/>
      </bottom>
      <diagonal/>
    </border>
    <border>
      <left style="thin">
        <color rgb="FF000000"/>
      </left>
      <right/>
      <top style="medium">
        <color rgb="FF000000"/>
      </top>
      <bottom/>
      <diagonal/>
    </border>
    <border>
      <left style="thin">
        <color indexed="64"/>
      </left>
      <right style="thin">
        <color indexed="64"/>
      </right>
      <top style="thin">
        <color rgb="FF000000"/>
      </top>
      <bottom style="medium">
        <color rgb="FF000000"/>
      </bottom>
      <diagonal/>
    </border>
    <border>
      <left style="thin">
        <color indexed="64"/>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thin">
        <color indexed="64"/>
      </right>
      <top style="thin">
        <color indexed="64"/>
      </top>
      <bottom style="medium">
        <color indexed="64"/>
      </bottom>
      <diagonal/>
    </border>
    <border>
      <left/>
      <right/>
      <top style="thin">
        <color rgb="FF000000"/>
      </top>
      <bottom style="medium">
        <color rgb="FF000000"/>
      </bottom>
      <diagonal/>
    </border>
    <border>
      <left/>
      <right style="thin">
        <color indexed="64"/>
      </right>
      <top style="thin">
        <color rgb="FF000000"/>
      </top>
      <bottom style="medium">
        <color rgb="FF000000"/>
      </bottom>
      <diagonal/>
    </border>
    <border>
      <left/>
      <right/>
      <top/>
      <bottom style="medium">
        <color indexed="64"/>
      </bottom>
      <diagonal/>
    </border>
    <border>
      <left style="thin">
        <color rgb="FF000000"/>
      </left>
      <right/>
      <top style="thin">
        <color rgb="FF000000"/>
      </top>
      <bottom style="medium">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indexed="64"/>
      </left>
      <right/>
      <top style="medium">
        <color indexed="64"/>
      </top>
      <bottom/>
      <diagonal/>
    </border>
    <border>
      <left/>
      <right/>
      <top/>
      <bottom style="thin">
        <color auto="1"/>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style="medium">
        <color rgb="FF000000"/>
      </left>
      <right style="thin">
        <color indexed="64"/>
      </right>
      <top style="thin">
        <color indexed="64"/>
      </top>
      <bottom/>
      <diagonal/>
    </border>
    <border>
      <left style="thin">
        <color rgb="FF000000"/>
      </left>
      <right/>
      <top/>
      <bottom/>
      <diagonal/>
    </border>
    <border>
      <left style="medium">
        <color indexed="64"/>
      </left>
      <right style="thin">
        <color indexed="64"/>
      </right>
      <top style="medium">
        <color indexed="64"/>
      </top>
      <bottom/>
      <diagonal/>
    </border>
    <border>
      <left style="thin">
        <color rgb="FF000000"/>
      </left>
      <right style="thin">
        <color rgb="FF000000"/>
      </right>
      <top style="medium">
        <color indexed="64"/>
      </top>
      <bottom/>
      <diagonal/>
    </border>
    <border>
      <left style="thin">
        <color rgb="FF000000"/>
      </left>
      <right/>
      <top style="medium">
        <color indexed="64"/>
      </top>
      <bottom/>
      <diagonal/>
    </border>
    <border>
      <left style="medium">
        <color rgb="FF000000"/>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rgb="FF000000"/>
      </left>
      <right style="thin">
        <color rgb="FF000000"/>
      </right>
      <top style="medium">
        <color rgb="FF000000"/>
      </top>
      <bottom style="thin">
        <color rgb="FF000000"/>
      </bottom>
      <diagonal/>
    </border>
    <border>
      <left/>
      <right style="thin">
        <color rgb="FF000000"/>
      </right>
      <top style="medium">
        <color rgb="FF000000"/>
      </top>
      <bottom/>
      <diagonal/>
    </border>
    <border>
      <left style="thin">
        <color indexed="64"/>
      </left>
      <right/>
      <top style="medium">
        <color rgb="FF000000"/>
      </top>
      <bottom style="thin">
        <color indexed="64"/>
      </bottom>
      <diagonal/>
    </border>
    <border>
      <left style="thin">
        <color indexed="64"/>
      </left>
      <right/>
      <top style="thin">
        <color indexed="64"/>
      </top>
      <bottom style="medium">
        <color rgb="FF000000"/>
      </bottom>
      <diagonal/>
    </border>
    <border>
      <left style="thin">
        <color indexed="64"/>
      </left>
      <right/>
      <top style="thin">
        <color rgb="FF000000"/>
      </top>
      <bottom/>
      <diagonal/>
    </border>
    <border>
      <left style="thin">
        <color indexed="64"/>
      </left>
      <right style="thin">
        <color indexed="64"/>
      </right>
      <top style="thin">
        <color rgb="FF000000"/>
      </top>
      <bottom/>
      <diagonal/>
    </border>
    <border>
      <left style="thin">
        <color indexed="64"/>
      </left>
      <right style="medium">
        <color rgb="FF000000"/>
      </right>
      <top style="thin">
        <color indexed="64"/>
      </top>
      <bottom/>
      <diagonal/>
    </border>
    <border>
      <left style="thin">
        <color indexed="64"/>
      </left>
      <right style="medium">
        <color rgb="FF000000"/>
      </right>
      <top/>
      <bottom style="thin">
        <color indexed="64"/>
      </bottom>
      <diagonal/>
    </border>
    <border>
      <left style="thin">
        <color rgb="FF000000"/>
      </left>
      <right style="medium">
        <color rgb="FF000000"/>
      </right>
      <top style="thin">
        <color rgb="FF000000"/>
      </top>
      <bottom style="thin">
        <color rgb="FF000000"/>
      </bottom>
      <diagonal/>
    </border>
    <border>
      <left style="thin">
        <color indexed="64"/>
      </left>
      <right style="thin">
        <color indexed="64"/>
      </right>
      <top/>
      <bottom style="medium">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indexed="64"/>
      </left>
      <right style="thin">
        <color indexed="64"/>
      </right>
      <top style="thin">
        <color rgb="FF000000"/>
      </top>
      <bottom style="thin">
        <color rgb="FF000000"/>
      </bottom>
      <diagonal/>
    </border>
    <border>
      <left/>
      <right/>
      <top style="thin">
        <color rgb="FF000000"/>
      </top>
      <bottom/>
      <diagonal/>
    </border>
    <border>
      <left style="thin">
        <color rgb="FF000000"/>
      </left>
      <right style="medium">
        <color rgb="FF000000"/>
      </right>
      <top style="thin">
        <color rgb="FF000000"/>
      </top>
      <bottom/>
      <diagonal/>
    </border>
    <border>
      <left style="medium">
        <color indexed="64"/>
      </left>
      <right/>
      <top style="thin">
        <color rgb="FF000000"/>
      </top>
      <bottom style="medium">
        <color indexed="64"/>
      </bottom>
      <diagonal/>
    </border>
    <border>
      <left style="thin">
        <color indexed="64"/>
      </left>
      <right/>
      <top style="thin">
        <color rgb="FF000000"/>
      </top>
      <bottom style="medium">
        <color indexed="64"/>
      </bottom>
      <diagonal/>
    </border>
    <border>
      <left style="thin">
        <color indexed="64"/>
      </left>
      <right style="thin">
        <color indexed="64"/>
      </right>
      <top style="thin">
        <color rgb="FF000000"/>
      </top>
      <bottom style="medium">
        <color indexed="64"/>
      </bottom>
      <diagonal/>
    </border>
    <border>
      <left style="medium">
        <color indexed="64"/>
      </left>
      <right/>
      <top style="thin">
        <color indexed="64"/>
      </top>
      <bottom style="medium">
        <color indexed="64"/>
      </bottom>
      <diagonal/>
    </border>
    <border>
      <left style="thin">
        <color indexed="64"/>
      </left>
      <right style="medium">
        <color indexed="64"/>
      </right>
      <top style="medium">
        <color rgb="FF000000"/>
      </top>
      <bottom style="thin">
        <color indexed="64"/>
      </bottom>
      <diagonal/>
    </border>
    <border>
      <left/>
      <right/>
      <top style="thin">
        <color indexed="64"/>
      </top>
      <bottom/>
      <diagonal/>
    </border>
    <border>
      <left style="thin">
        <color rgb="FF000000"/>
      </left>
      <right style="thin">
        <color indexed="64"/>
      </right>
      <top style="thin">
        <color rgb="FF000000"/>
      </top>
      <bottom style="thin">
        <color indexed="64"/>
      </bottom>
      <diagonal/>
    </border>
    <border>
      <left style="thin">
        <color rgb="FF000000"/>
      </left>
      <right style="thin">
        <color indexed="64"/>
      </right>
      <top style="thin">
        <color indexed="64"/>
      </top>
      <bottom style="medium">
        <color indexed="64"/>
      </bottom>
      <diagonal/>
    </border>
    <border>
      <left style="thin">
        <color rgb="FF000000"/>
      </left>
      <right style="thin">
        <color indexed="64"/>
      </right>
      <top/>
      <bottom style="thin">
        <color rgb="FF000000"/>
      </bottom>
      <diagonal/>
    </border>
    <border>
      <left style="thin">
        <color rgb="FF000000"/>
      </left>
      <right/>
      <top style="thin">
        <color rgb="FF000000"/>
      </top>
      <bottom style="thin">
        <color indexed="64"/>
      </bottom>
      <diagonal/>
    </border>
    <border>
      <left style="thin">
        <color indexed="64"/>
      </left>
      <right/>
      <top/>
      <bottom style="medium">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style="thin">
        <color indexed="64"/>
      </top>
      <bottom style="medium">
        <color indexed="64"/>
      </bottom>
      <diagonal/>
    </border>
    <border>
      <left style="medium">
        <color indexed="64"/>
      </left>
      <right style="thin">
        <color rgb="FF000000"/>
      </right>
      <top/>
      <bottom style="thin">
        <color rgb="FF000000"/>
      </bottom>
      <diagonal/>
    </border>
    <border>
      <left style="thin">
        <color rgb="FF000000"/>
      </left>
      <right style="medium">
        <color indexed="64"/>
      </right>
      <top/>
      <bottom style="thin">
        <color rgb="FF000000"/>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rgb="FF000000"/>
      </top>
      <bottom style="medium">
        <color indexed="64"/>
      </bottom>
      <diagonal/>
    </border>
    <border>
      <left style="thin">
        <color indexed="64"/>
      </left>
      <right style="medium">
        <color indexed="64"/>
      </right>
      <top style="thin">
        <color rgb="FF000000"/>
      </top>
      <bottom style="medium">
        <color indexed="64"/>
      </bottom>
      <diagonal/>
    </border>
    <border>
      <left/>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style="thin">
        <color rgb="FF000000"/>
      </right>
      <top style="thin">
        <color rgb="FF000000"/>
      </top>
      <bottom style="thin">
        <color rgb="FF000000"/>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rgb="FF000000"/>
      </top>
      <bottom style="medium">
        <color rgb="FF000000"/>
      </bottom>
      <diagonal/>
    </border>
    <border>
      <left style="thin">
        <color indexed="64"/>
      </left>
      <right style="medium">
        <color indexed="64"/>
      </right>
      <top style="thin">
        <color rgb="FF000000"/>
      </top>
      <bottom style="medium">
        <color rgb="FF000000"/>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theme="6" tint="0.39997558519241921"/>
      </top>
      <bottom style="thin">
        <color theme="6" tint="0.39997558519241921"/>
      </bottom>
      <diagonal/>
    </border>
    <border>
      <left style="medium">
        <color rgb="FF000000"/>
      </left>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rgb="FF000000"/>
      </left>
      <right style="medium">
        <color indexed="64"/>
      </right>
      <top style="thin">
        <color rgb="FF000000"/>
      </top>
      <bottom style="thin">
        <color rgb="FF000000"/>
      </bottom>
      <diagonal/>
    </border>
    <border>
      <left style="thin">
        <color indexed="64"/>
      </left>
      <right style="medium">
        <color indexed="64"/>
      </right>
      <top/>
      <bottom/>
      <diagonal/>
    </border>
    <border>
      <left/>
      <right/>
      <top style="medium">
        <color rgb="FF000000"/>
      </top>
      <bottom/>
      <diagonal/>
    </border>
    <border>
      <left style="medium">
        <color indexed="64"/>
      </left>
      <right style="medium">
        <color indexed="64"/>
      </right>
      <top style="medium">
        <color indexed="64"/>
      </top>
      <bottom style="medium">
        <color indexed="64"/>
      </bottom>
      <diagonal/>
    </border>
    <border>
      <left/>
      <right/>
      <top style="medium">
        <color rgb="FF1D2330"/>
      </top>
      <bottom style="medium">
        <color rgb="FF1D2330"/>
      </bottom>
      <diagonal/>
    </border>
    <border>
      <left style="medium">
        <color rgb="FF1D2330"/>
      </left>
      <right/>
      <top style="medium">
        <color rgb="FF1D2330"/>
      </top>
      <bottom style="medium">
        <color rgb="FF1D2330"/>
      </bottom>
      <diagonal/>
    </border>
    <border>
      <left/>
      <right style="medium">
        <color rgb="FF1D2330"/>
      </right>
      <top style="medium">
        <color rgb="FF1D2330"/>
      </top>
      <bottom style="medium">
        <color rgb="FF1D2330"/>
      </bottom>
      <diagonal/>
    </border>
    <border>
      <left/>
      <right/>
      <top style="thin">
        <color rgb="FF1F4E78"/>
      </top>
      <bottom/>
      <diagonal/>
    </border>
    <border>
      <left style="thin">
        <color rgb="FF1F4E78"/>
      </left>
      <right/>
      <top style="thin">
        <color rgb="FF1F4E78"/>
      </top>
      <bottom/>
      <diagonal/>
    </border>
    <border>
      <left/>
      <right style="thin">
        <color rgb="FF1F4E78"/>
      </right>
      <top style="thin">
        <color rgb="FF1F4E78"/>
      </top>
      <bottom/>
      <diagonal/>
    </border>
    <border>
      <left/>
      <right/>
      <top/>
      <bottom style="thin">
        <color rgb="FFD9D9D9"/>
      </bottom>
      <diagonal/>
    </border>
    <border>
      <left style="thin">
        <color rgb="FFD9D9D9"/>
      </left>
      <right/>
      <top style="thin">
        <color rgb="FF1F4E78"/>
      </top>
      <bottom/>
      <diagonal/>
    </border>
    <border>
      <left style="thin">
        <color rgb="FFD9D9D9"/>
      </left>
      <right/>
      <top/>
      <bottom/>
      <diagonal/>
    </border>
    <border>
      <left style="thin">
        <color rgb="FFD9D9D9"/>
      </left>
      <right/>
      <top/>
      <bottom style="thin">
        <color rgb="FFD9D9D9"/>
      </bottom>
      <diagonal/>
    </border>
    <border>
      <left/>
      <right style="thin">
        <color rgb="FFD9D9D9"/>
      </right>
      <top style="thin">
        <color rgb="FF1F4E78"/>
      </top>
      <bottom/>
      <diagonal/>
    </border>
    <border>
      <left/>
      <right style="thin">
        <color rgb="FFD9D9D9"/>
      </right>
      <top/>
      <bottom/>
      <diagonal/>
    </border>
    <border>
      <left/>
      <right style="thin">
        <color rgb="FFD9D9D9"/>
      </right>
      <top/>
      <bottom style="thin">
        <color rgb="FFD9D9D9"/>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style="thin">
        <color indexed="64"/>
      </right>
      <top style="thin">
        <color rgb="FF000000"/>
      </top>
      <bottom style="medium">
        <color indexed="64"/>
      </bottom>
      <diagonal/>
    </border>
    <border>
      <left style="thin">
        <color indexed="64"/>
      </left>
      <right style="double">
        <color indexed="64"/>
      </right>
      <top style="thin">
        <color rgb="FF000000"/>
      </top>
      <bottom style="medium">
        <color indexed="64"/>
      </bottom>
      <diagonal/>
    </border>
    <border>
      <left style="thin">
        <color indexed="64"/>
      </left>
      <right style="medium">
        <color indexed="64"/>
      </right>
      <top/>
      <bottom style="medium">
        <color rgb="FF000000"/>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bottom style="thin">
        <color rgb="FF000000"/>
      </bottom>
      <diagonal/>
    </border>
    <border>
      <left style="medium">
        <color indexed="64"/>
      </left>
      <right style="medium">
        <color indexed="64"/>
      </right>
      <top style="medium">
        <color indexed="64"/>
      </top>
      <bottom/>
      <diagonal/>
    </border>
    <border>
      <left style="thin">
        <color indexed="64"/>
      </left>
      <right style="thin">
        <color indexed="64"/>
      </right>
      <top/>
      <bottom style="thin">
        <color rgb="FF000000"/>
      </bottom>
      <diagonal/>
    </border>
    <border>
      <left/>
      <right/>
      <top style="thin">
        <color rgb="FF000000"/>
      </top>
      <bottom style="medium">
        <color indexed="64"/>
      </bottom>
      <diagonal/>
    </border>
    <border>
      <left style="double">
        <color indexed="64"/>
      </left>
      <right style="thin">
        <color indexed="64"/>
      </right>
      <top style="medium">
        <color indexed="64"/>
      </top>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style="thin">
        <color rgb="FF000000"/>
      </top>
      <bottom style="medium">
        <color rgb="FF000000"/>
      </bottom>
      <diagonal/>
    </border>
    <border>
      <left style="double">
        <color indexed="64"/>
      </left>
      <right style="thin">
        <color indexed="64"/>
      </right>
      <top/>
      <bottom style="thin">
        <color rgb="FF000000"/>
      </bottom>
      <diagonal/>
    </border>
    <border>
      <left style="double">
        <color indexed="64"/>
      </left>
      <right style="thin">
        <color indexed="64"/>
      </right>
      <top style="thin">
        <color indexed="64"/>
      </top>
      <bottom style="thin">
        <color rgb="FF000000"/>
      </bottom>
      <diagonal/>
    </border>
    <border>
      <left style="double">
        <color indexed="64"/>
      </left>
      <right/>
      <top/>
      <bottom/>
      <diagonal/>
    </border>
  </borders>
  <cellStyleXfs count="5">
    <xf numFmtId="0" fontId="0" fillId="0" borderId="0">
      <alignment vertical="center"/>
    </xf>
    <xf numFmtId="9" fontId="2" fillId="0" borderId="0" applyFont="0" applyFill="0" applyBorder="0" applyAlignment="0" applyProtection="0">
      <alignment vertical="center"/>
    </xf>
    <xf numFmtId="0" fontId="16" fillId="0" borderId="0"/>
    <xf numFmtId="38" fontId="2" fillId="0" borderId="0" applyFont="0" applyFill="0" applyBorder="0" applyAlignment="0" applyProtection="0">
      <alignment vertical="center"/>
    </xf>
    <xf numFmtId="0" fontId="39" fillId="0" borderId="0" applyNumberFormat="0" applyFill="0" applyBorder="0" applyAlignment="0" applyProtection="0">
      <alignment vertical="center"/>
    </xf>
  </cellStyleXfs>
  <cellXfs count="2195">
    <xf numFmtId="0" fontId="0" fillId="0" borderId="0" xfId="0">
      <alignment vertical="center"/>
    </xf>
    <xf numFmtId="0" fontId="31" fillId="14" borderId="14" xfId="0" applyFont="1" applyFill="1" applyBorder="1" applyAlignment="1">
      <alignment horizontal="center" vertical="center"/>
    </xf>
    <xf numFmtId="0" fontId="31" fillId="14" borderId="34" xfId="0" applyFont="1" applyFill="1" applyBorder="1" applyAlignment="1">
      <alignment horizontal="center" vertical="center"/>
    </xf>
    <xf numFmtId="0" fontId="31" fillId="14" borderId="59" xfId="0" applyFont="1" applyFill="1" applyBorder="1" applyAlignment="1">
      <alignment horizontal="center" vertical="center"/>
    </xf>
    <xf numFmtId="0" fontId="31" fillId="17" borderId="11" xfId="0" applyFont="1" applyFill="1" applyBorder="1" applyAlignment="1">
      <alignment horizontal="center" vertical="center"/>
    </xf>
    <xf numFmtId="0" fontId="31" fillId="17" borderId="14" xfId="0" applyFont="1" applyFill="1" applyBorder="1" applyAlignment="1">
      <alignment horizontal="center" vertical="center"/>
    </xf>
    <xf numFmtId="0" fontId="31" fillId="17" borderId="34" xfId="0" applyFont="1" applyFill="1" applyBorder="1" applyAlignment="1">
      <alignment horizontal="center" vertical="center"/>
    </xf>
    <xf numFmtId="0" fontId="31" fillId="17" borderId="59" xfId="0" applyFont="1" applyFill="1" applyBorder="1" applyAlignment="1">
      <alignment horizontal="center" vertical="center"/>
    </xf>
    <xf numFmtId="0" fontId="31" fillId="18" borderId="14" xfId="0" applyFont="1" applyFill="1" applyBorder="1" applyAlignment="1">
      <alignment horizontal="center" vertical="center"/>
    </xf>
    <xf numFmtId="0" fontId="31" fillId="18" borderId="34" xfId="0" applyFont="1" applyFill="1" applyBorder="1" applyAlignment="1">
      <alignment horizontal="center" vertical="center"/>
    </xf>
    <xf numFmtId="0" fontId="31" fillId="18" borderId="59" xfId="0" applyFont="1" applyFill="1" applyBorder="1" applyAlignment="1">
      <alignment horizontal="center" vertical="center"/>
    </xf>
    <xf numFmtId="0" fontId="31" fillId="9" borderId="14" xfId="0" applyFont="1" applyFill="1" applyBorder="1" applyAlignment="1">
      <alignment horizontal="center" vertical="center"/>
    </xf>
    <xf numFmtId="0" fontId="31" fillId="9" borderId="34" xfId="0" applyFont="1" applyFill="1" applyBorder="1" applyAlignment="1">
      <alignment horizontal="center" vertical="center"/>
    </xf>
    <xf numFmtId="0" fontId="31" fillId="9" borderId="59" xfId="0" applyFont="1" applyFill="1" applyBorder="1" applyAlignment="1">
      <alignment horizontal="center" vertical="center"/>
    </xf>
    <xf numFmtId="0" fontId="17" fillId="5" borderId="12" xfId="0" applyFont="1" applyFill="1" applyBorder="1">
      <alignment vertical="center"/>
    </xf>
    <xf numFmtId="0" fontId="3" fillId="0" borderId="0" xfId="0" applyFont="1">
      <alignment vertical="center"/>
    </xf>
    <xf numFmtId="38" fontId="3" fillId="0" borderId="0" xfId="0" applyNumberFormat="1" applyFont="1">
      <alignment vertical="center"/>
    </xf>
    <xf numFmtId="38" fontId="3" fillId="0" borderId="1" xfId="0" applyNumberFormat="1" applyFont="1" applyBorder="1">
      <alignment vertical="center"/>
    </xf>
    <xf numFmtId="178" fontId="5" fillId="2" borderId="0" xfId="0" applyNumberFormat="1" applyFont="1" applyFill="1" applyAlignment="1">
      <alignment horizontal="center"/>
    </xf>
    <xf numFmtId="179" fontId="0" fillId="0" borderId="2" xfId="0" applyNumberFormat="1" applyBorder="1">
      <alignment vertical="center"/>
    </xf>
    <xf numFmtId="178" fontId="5" fillId="2" borderId="0" xfId="0" applyNumberFormat="1" applyFont="1" applyFill="1" applyAlignment="1">
      <alignment horizontal="left"/>
    </xf>
    <xf numFmtId="0" fontId="6" fillId="0" borderId="0" xfId="0" applyFont="1" applyAlignment="1">
      <alignment vertical="center" wrapText="1"/>
    </xf>
    <xf numFmtId="180" fontId="6" fillId="2" borderId="0" xfId="0" applyNumberFormat="1" applyFont="1" applyFill="1" applyAlignment="1">
      <alignment vertical="center" wrapText="1"/>
    </xf>
    <xf numFmtId="180" fontId="6" fillId="0" borderId="0" xfId="0" applyNumberFormat="1" applyFont="1" applyAlignment="1">
      <alignment vertical="center" wrapText="1"/>
    </xf>
    <xf numFmtId="0" fontId="6" fillId="0" borderId="2" xfId="0" applyFont="1" applyBorder="1" applyAlignment="1">
      <alignment horizontal="left" vertical="center" wrapText="1"/>
    </xf>
    <xf numFmtId="0" fontId="6" fillId="0" borderId="2" xfId="0" applyFont="1" applyBorder="1" applyAlignment="1">
      <alignment vertical="center" wrapText="1"/>
    </xf>
    <xf numFmtId="0" fontId="6" fillId="0" borderId="2" xfId="0" applyFont="1" applyBorder="1" applyAlignment="1">
      <alignment horizontal="left" vertical="center"/>
    </xf>
    <xf numFmtId="0" fontId="6" fillId="8" borderId="2" xfId="0" applyFont="1" applyFill="1" applyBorder="1" applyAlignment="1">
      <alignment horizontal="left" vertical="center" wrapText="1"/>
    </xf>
    <xf numFmtId="0" fontId="6" fillId="0" borderId="2" xfId="0" applyFont="1" applyBorder="1">
      <alignment vertical="center"/>
    </xf>
    <xf numFmtId="0" fontId="6" fillId="2" borderId="3" xfId="0" applyFont="1" applyFill="1" applyBorder="1" applyAlignment="1">
      <alignment horizontal="left" vertical="center"/>
    </xf>
    <xf numFmtId="0" fontId="6" fillId="2" borderId="4" xfId="0" applyFont="1" applyFill="1" applyBorder="1" applyAlignment="1">
      <alignment horizontal="center" vertical="center"/>
    </xf>
    <xf numFmtId="178" fontId="5" fillId="2" borderId="4" xfId="0" applyNumberFormat="1" applyFont="1" applyFill="1" applyBorder="1" applyAlignment="1">
      <alignment horizontal="left"/>
    </xf>
    <xf numFmtId="0" fontId="6" fillId="0" borderId="5" xfId="0" applyFont="1" applyBorder="1" applyAlignment="1">
      <alignment horizontal="left" vertical="center" wrapText="1"/>
    </xf>
    <xf numFmtId="0" fontId="6" fillId="0" borderId="5" xfId="0" applyFont="1" applyBorder="1" applyAlignment="1">
      <alignment horizontal="left" vertical="center"/>
    </xf>
    <xf numFmtId="0" fontId="5" fillId="0" borderId="2" xfId="0" applyFont="1" applyBorder="1" applyAlignment="1">
      <alignment horizontal="left" vertical="center" wrapText="1"/>
    </xf>
    <xf numFmtId="0" fontId="6" fillId="3" borderId="2" xfId="0" applyFont="1" applyFill="1" applyBorder="1" applyAlignment="1">
      <alignment horizontal="left" vertical="center" wrapText="1"/>
    </xf>
    <xf numFmtId="0" fontId="6" fillId="3" borderId="2" xfId="0" applyFont="1" applyFill="1" applyBorder="1" applyAlignment="1">
      <alignment vertical="center" wrapText="1"/>
    </xf>
    <xf numFmtId="0" fontId="6" fillId="3" borderId="2" xfId="0" applyFont="1" applyFill="1" applyBorder="1" applyAlignment="1">
      <alignment horizontal="left" vertical="center"/>
    </xf>
    <xf numFmtId="38" fontId="6" fillId="0" borderId="2" xfId="0" applyNumberFormat="1" applyFont="1" applyBorder="1" applyAlignment="1">
      <alignment horizontal="center" vertical="center" wrapText="1"/>
    </xf>
    <xf numFmtId="38" fontId="6" fillId="8" borderId="2" xfId="0" applyNumberFormat="1" applyFont="1" applyFill="1" applyBorder="1" applyAlignment="1">
      <alignment horizontal="center" vertical="center" wrapText="1"/>
    </xf>
    <xf numFmtId="38" fontId="6" fillId="2" borderId="4" xfId="0" applyNumberFormat="1" applyFont="1" applyFill="1" applyBorder="1" applyAlignment="1">
      <alignment horizontal="center" vertical="center"/>
    </xf>
    <xf numFmtId="38" fontId="6" fillId="2" borderId="4" xfId="0" applyNumberFormat="1" applyFont="1" applyFill="1" applyBorder="1" applyAlignment="1">
      <alignment vertical="center" wrapText="1"/>
    </xf>
    <xf numFmtId="38" fontId="6" fillId="3" borderId="2" xfId="0" applyNumberFormat="1" applyFont="1" applyFill="1" applyBorder="1" applyAlignment="1">
      <alignment horizontal="center" vertical="center" wrapText="1"/>
    </xf>
    <xf numFmtId="38" fontId="6" fillId="0" borderId="2" xfId="0" applyNumberFormat="1" applyFont="1" applyBorder="1" applyAlignment="1">
      <alignment horizontal="center" vertical="center"/>
    </xf>
    <xf numFmtId="38" fontId="6" fillId="0" borderId="2" xfId="0" applyNumberFormat="1" applyFont="1" applyBorder="1" applyAlignment="1">
      <alignment vertical="center" wrapText="1"/>
    </xf>
    <xf numFmtId="38" fontId="6" fillId="9" borderId="2" xfId="0" applyNumberFormat="1" applyFont="1" applyFill="1" applyBorder="1" applyAlignment="1">
      <alignment horizontal="center" vertical="center" wrapText="1"/>
    </xf>
    <xf numFmtId="0" fontId="3" fillId="10" borderId="0" xfId="0" applyFont="1" applyFill="1">
      <alignment vertical="center"/>
    </xf>
    <xf numFmtId="0" fontId="14" fillId="11" borderId="0" xfId="0" applyFont="1" applyFill="1" applyAlignment="1">
      <alignment horizontal="left" vertical="center"/>
    </xf>
    <xf numFmtId="0" fontId="14" fillId="0" borderId="0" xfId="0" applyFont="1">
      <alignment vertical="center"/>
    </xf>
    <xf numFmtId="0" fontId="0" fillId="0" borderId="0" xfId="0" applyAlignment="1">
      <alignment vertical="top"/>
    </xf>
    <xf numFmtId="3" fontId="0" fillId="0" borderId="0" xfId="0" applyNumberFormat="1">
      <alignment vertical="center"/>
    </xf>
    <xf numFmtId="0" fontId="6" fillId="0" borderId="10" xfId="0" applyFont="1" applyBorder="1" applyAlignment="1">
      <alignment vertical="center" wrapText="1"/>
    </xf>
    <xf numFmtId="0" fontId="6" fillId="0" borderId="10" xfId="0" applyFont="1" applyBorder="1">
      <alignment vertical="center"/>
    </xf>
    <xf numFmtId="0" fontId="6" fillId="0" borderId="10" xfId="0" applyFont="1" applyBorder="1" applyAlignment="1">
      <alignment horizontal="left" vertical="center" wrapText="1"/>
    </xf>
    <xf numFmtId="0" fontId="6" fillId="0" borderId="13" xfId="0" applyFont="1" applyBorder="1" applyAlignment="1">
      <alignment vertical="center" wrapText="1"/>
    </xf>
    <xf numFmtId="0" fontId="6" fillId="0" borderId="12" xfId="0" applyFont="1" applyBorder="1">
      <alignment vertical="center"/>
    </xf>
    <xf numFmtId="0" fontId="6" fillId="0" borderId="12" xfId="0" applyFont="1" applyBorder="1" applyAlignment="1">
      <alignment horizontal="left" vertical="center" wrapText="1"/>
    </xf>
    <xf numFmtId="0" fontId="6" fillId="0" borderId="12" xfId="0" applyFont="1" applyBorder="1" applyAlignment="1">
      <alignment vertical="center" wrapText="1"/>
    </xf>
    <xf numFmtId="0" fontId="6" fillId="0" borderId="12" xfId="0" applyFont="1" applyBorder="1" applyAlignment="1">
      <alignment horizontal="left" vertical="center"/>
    </xf>
    <xf numFmtId="0" fontId="6" fillId="0" borderId="13" xfId="0" applyFont="1" applyBorder="1">
      <alignment vertical="center"/>
    </xf>
    <xf numFmtId="0" fontId="8" fillId="0" borderId="12" xfId="0" applyFont="1" applyBorder="1" applyAlignment="1">
      <alignment vertical="center" wrapText="1"/>
    </xf>
    <xf numFmtId="0" fontId="3" fillId="0" borderId="0" xfId="0" applyFont="1" applyAlignment="1">
      <alignment horizontal="left" vertical="center"/>
    </xf>
    <xf numFmtId="0" fontId="17" fillId="0" borderId="2" xfId="0" applyFont="1" applyBorder="1" applyAlignment="1">
      <alignment vertical="center" wrapText="1"/>
    </xf>
    <xf numFmtId="0" fontId="17" fillId="0" borderId="12" xfId="0" applyFont="1" applyBorder="1" applyAlignment="1">
      <alignment vertical="center" wrapText="1"/>
    </xf>
    <xf numFmtId="0" fontId="17" fillId="0" borderId="10" xfId="0" applyFont="1" applyBorder="1" applyAlignment="1">
      <alignment horizontal="center" vertical="center" wrapText="1"/>
    </xf>
    <xf numFmtId="0" fontId="17" fillId="0" borderId="12" xfId="0" applyFont="1" applyBorder="1" applyAlignment="1">
      <alignment horizontal="center" vertical="center" wrapText="1"/>
    </xf>
    <xf numFmtId="38" fontId="6" fillId="7" borderId="9" xfId="0" applyNumberFormat="1" applyFont="1" applyFill="1" applyBorder="1" applyAlignment="1">
      <alignment vertical="center" wrapText="1"/>
    </xf>
    <xf numFmtId="0" fontId="5" fillId="0" borderId="5" xfId="0" applyFont="1" applyBorder="1" applyAlignment="1">
      <alignment horizontal="left" vertical="center"/>
    </xf>
    <xf numFmtId="0" fontId="5" fillId="0" borderId="2" xfId="0" applyFont="1" applyBorder="1" applyAlignment="1">
      <alignment horizontal="left" vertical="center"/>
    </xf>
    <xf numFmtId="38" fontId="5" fillId="0" borderId="2" xfId="0" applyNumberFormat="1" applyFont="1" applyBorder="1" applyAlignment="1">
      <alignment horizontal="center" vertical="center" wrapText="1"/>
    </xf>
    <xf numFmtId="0" fontId="5" fillId="0" borderId="0" xfId="0" applyFont="1" applyAlignment="1">
      <alignment vertical="center" wrapText="1"/>
    </xf>
    <xf numFmtId="0" fontId="5" fillId="0" borderId="5" xfId="0" applyFont="1" applyBorder="1" applyAlignment="1">
      <alignment horizontal="left" vertical="center" wrapText="1"/>
    </xf>
    <xf numFmtId="0" fontId="5" fillId="0" borderId="2" xfId="0" applyFont="1" applyBorder="1" applyAlignment="1">
      <alignment vertical="center" wrapText="1"/>
    </xf>
    <xf numFmtId="38" fontId="17" fillId="7" borderId="9" xfId="0" applyNumberFormat="1" applyFont="1" applyFill="1" applyBorder="1" applyAlignment="1">
      <alignment vertical="center" wrapText="1"/>
    </xf>
    <xf numFmtId="38" fontId="17" fillId="0" borderId="2" xfId="0" applyNumberFormat="1" applyFont="1" applyBorder="1" applyAlignment="1">
      <alignment horizontal="center" vertical="center" wrapText="1"/>
    </xf>
    <xf numFmtId="0" fontId="23" fillId="0" borderId="0" xfId="0" applyFont="1">
      <alignment vertical="center"/>
    </xf>
    <xf numFmtId="0" fontId="17" fillId="2" borderId="0" xfId="0" applyFont="1" applyFill="1" applyAlignment="1">
      <alignment vertical="center" wrapText="1"/>
    </xf>
    <xf numFmtId="0" fontId="17" fillId="0" borderId="0" xfId="0" applyFont="1" applyAlignment="1">
      <alignment vertical="center" wrapText="1"/>
    </xf>
    <xf numFmtId="0" fontId="24" fillId="0" borderId="0" xfId="0" applyFont="1" applyAlignment="1">
      <alignment vertical="center" wrapText="1"/>
    </xf>
    <xf numFmtId="0" fontId="24" fillId="8" borderId="0" xfId="0" applyFont="1" applyFill="1" applyAlignment="1">
      <alignment vertical="center" wrapText="1"/>
    </xf>
    <xf numFmtId="180" fontId="17" fillId="0" borderId="0" xfId="0" applyNumberFormat="1" applyFont="1" applyAlignment="1">
      <alignment vertical="center" wrapText="1"/>
    </xf>
    <xf numFmtId="0" fontId="17" fillId="2" borderId="3" xfId="0" applyFont="1" applyFill="1" applyBorder="1" applyAlignment="1">
      <alignment horizontal="left" vertical="center"/>
    </xf>
    <xf numFmtId="0" fontId="17" fillId="2" borderId="4" xfId="0" applyFont="1" applyFill="1" applyBorder="1" applyAlignment="1">
      <alignment horizontal="center" vertical="center"/>
    </xf>
    <xf numFmtId="178" fontId="24" fillId="2" borderId="4" xfId="0" applyNumberFormat="1" applyFont="1" applyFill="1" applyBorder="1" applyAlignment="1">
      <alignment horizontal="left"/>
    </xf>
    <xf numFmtId="178" fontId="24" fillId="2" borderId="0" xfId="0" applyNumberFormat="1" applyFont="1" applyFill="1" applyAlignment="1">
      <alignment horizontal="left"/>
    </xf>
    <xf numFmtId="0" fontId="17" fillId="0" borderId="5" xfId="0" applyFont="1" applyBorder="1" applyAlignment="1">
      <alignment horizontal="left" vertical="center" wrapText="1"/>
    </xf>
    <xf numFmtId="0" fontId="17" fillId="0" borderId="2" xfId="0" applyFont="1" applyBorder="1" applyAlignment="1">
      <alignment horizontal="left" vertical="center" wrapText="1"/>
    </xf>
    <xf numFmtId="0" fontId="17" fillId="0" borderId="2" xfId="0" applyFont="1" applyBorder="1" applyAlignment="1">
      <alignment horizontal="left" vertical="center"/>
    </xf>
    <xf numFmtId="38" fontId="17" fillId="0" borderId="2" xfId="0" applyNumberFormat="1" applyFont="1" applyBorder="1" applyAlignment="1">
      <alignment horizontal="left" vertical="center" wrapText="1"/>
    </xf>
    <xf numFmtId="0" fontId="17" fillId="8" borderId="2" xfId="0" applyFont="1" applyFill="1" applyBorder="1" applyAlignment="1">
      <alignment horizontal="left" vertical="center" wrapText="1"/>
    </xf>
    <xf numFmtId="0" fontId="17" fillId="8" borderId="2" xfId="0" applyFont="1" applyFill="1" applyBorder="1" applyAlignment="1">
      <alignment vertical="center" wrapText="1"/>
    </xf>
    <xf numFmtId="38" fontId="17" fillId="8" borderId="2" xfId="0" applyNumberFormat="1" applyFont="1" applyFill="1" applyBorder="1" applyAlignment="1">
      <alignment horizontal="center" vertical="center" wrapText="1"/>
    </xf>
    <xf numFmtId="0" fontId="24" fillId="8" borderId="5" xfId="0" applyFont="1" applyFill="1" applyBorder="1" applyAlignment="1">
      <alignment horizontal="left" vertical="center" wrapText="1"/>
    </xf>
    <xf numFmtId="0" fontId="24" fillId="8" borderId="2" xfId="0" applyFont="1" applyFill="1" applyBorder="1" applyAlignment="1">
      <alignment horizontal="left" vertical="center" wrapText="1"/>
    </xf>
    <xf numFmtId="38" fontId="17" fillId="0" borderId="2" xfId="0" applyNumberFormat="1" applyFont="1" applyBorder="1" applyAlignment="1">
      <alignment horizontal="left" vertical="center"/>
    </xf>
    <xf numFmtId="0" fontId="17" fillId="0" borderId="5" xfId="0" applyFont="1" applyBorder="1" applyAlignment="1">
      <alignment horizontal="left" vertical="center"/>
    </xf>
    <xf numFmtId="0" fontId="24" fillId="8" borderId="2" xfId="0" applyFont="1" applyFill="1" applyBorder="1" applyAlignment="1">
      <alignment horizontal="left" vertical="center"/>
    </xf>
    <xf numFmtId="0" fontId="17" fillId="0" borderId="2" xfId="0" applyFont="1" applyBorder="1">
      <alignment vertical="center"/>
    </xf>
    <xf numFmtId="38" fontId="17" fillId="7" borderId="2" xfId="0" applyNumberFormat="1" applyFont="1" applyFill="1" applyBorder="1" applyAlignment="1">
      <alignment horizontal="center" vertical="center" wrapText="1"/>
    </xf>
    <xf numFmtId="0" fontId="17" fillId="0" borderId="13" xfId="0" applyFont="1" applyBorder="1" applyAlignment="1">
      <alignment vertical="center" wrapText="1"/>
    </xf>
    <xf numFmtId="0" fontId="17" fillId="0" borderId="12" xfId="0" applyFont="1" applyBorder="1">
      <alignment vertical="center"/>
    </xf>
    <xf numFmtId="0" fontId="17" fillId="0" borderId="12" xfId="0" applyFont="1" applyBorder="1" applyAlignment="1">
      <alignment horizontal="left" vertical="center" wrapText="1"/>
    </xf>
    <xf numFmtId="0" fontId="17" fillId="0" borderId="12" xfId="0" applyFont="1" applyBorder="1" applyAlignment="1">
      <alignment horizontal="left" vertical="center"/>
    </xf>
    <xf numFmtId="14" fontId="0" fillId="0" borderId="0" xfId="0" applyNumberFormat="1">
      <alignment vertical="center"/>
    </xf>
    <xf numFmtId="38" fontId="24" fillId="8" borderId="2" xfId="0" applyNumberFormat="1" applyFont="1" applyFill="1" applyBorder="1" applyAlignment="1">
      <alignment horizontal="left" vertical="center" wrapText="1"/>
    </xf>
    <xf numFmtId="0" fontId="17" fillId="12" borderId="2" xfId="0" applyFont="1" applyFill="1" applyBorder="1" applyAlignment="1">
      <alignment horizontal="left" vertical="center"/>
    </xf>
    <xf numFmtId="0" fontId="19" fillId="0" borderId="12" xfId="0" applyFont="1" applyBorder="1" applyAlignment="1">
      <alignment horizontal="left" vertical="center"/>
    </xf>
    <xf numFmtId="0" fontId="24" fillId="0" borderId="5" xfId="0" applyFont="1" applyBorder="1" applyAlignment="1">
      <alignment horizontal="left" vertical="center" wrapText="1"/>
    </xf>
    <xf numFmtId="0" fontId="24" fillId="0" borderId="2" xfId="0" applyFont="1" applyBorder="1" applyAlignment="1">
      <alignment horizontal="left" vertical="center"/>
    </xf>
    <xf numFmtId="38" fontId="6" fillId="0" borderId="14" xfId="0" applyNumberFormat="1" applyFont="1" applyBorder="1" applyAlignment="1">
      <alignment horizontal="center" vertical="center" wrapText="1"/>
    </xf>
    <xf numFmtId="0" fontId="3" fillId="0" borderId="0" xfId="0" applyFont="1" applyAlignment="1">
      <alignment horizontal="center" vertical="center"/>
    </xf>
    <xf numFmtId="0" fontId="6" fillId="0" borderId="9" xfId="0" applyFont="1" applyBorder="1" applyAlignment="1">
      <alignment horizontal="left" vertical="center"/>
    </xf>
    <xf numFmtId="0" fontId="5" fillId="0" borderId="9" xfId="0" applyFont="1" applyBorder="1" applyAlignment="1">
      <alignment horizontal="left" vertical="center"/>
    </xf>
    <xf numFmtId="0" fontId="26" fillId="0" borderId="0" xfId="0" applyFont="1">
      <alignment vertical="center"/>
    </xf>
    <xf numFmtId="0" fontId="19" fillId="0" borderId="13" xfId="0" applyFont="1" applyBorder="1">
      <alignment vertical="center"/>
    </xf>
    <xf numFmtId="0" fontId="19" fillId="0" borderId="12" xfId="0" applyFont="1" applyBorder="1">
      <alignment vertical="center"/>
    </xf>
    <xf numFmtId="38" fontId="6" fillId="0" borderId="9" xfId="0" applyNumberFormat="1" applyFont="1" applyBorder="1" applyAlignment="1">
      <alignment horizontal="center" vertical="center" wrapText="1"/>
    </xf>
    <xf numFmtId="0" fontId="6" fillId="0" borderId="22" xfId="0" applyFont="1" applyBorder="1" applyAlignment="1">
      <alignment vertical="center" wrapText="1"/>
    </xf>
    <xf numFmtId="38" fontId="17" fillId="0" borderId="9" xfId="0" applyNumberFormat="1" applyFont="1" applyBorder="1" applyAlignment="1">
      <alignment horizontal="center" vertical="center" wrapText="1"/>
    </xf>
    <xf numFmtId="0" fontId="5" fillId="0" borderId="22" xfId="0" applyFont="1" applyBorder="1" applyAlignment="1">
      <alignment vertical="center" wrapText="1"/>
    </xf>
    <xf numFmtId="38" fontId="17" fillId="8" borderId="9" xfId="0" applyNumberFormat="1" applyFont="1" applyFill="1" applyBorder="1" applyAlignment="1">
      <alignment horizontal="center" vertical="center" wrapText="1"/>
    </xf>
    <xf numFmtId="38" fontId="17" fillId="0" borderId="22" xfId="0" applyNumberFormat="1" applyFont="1" applyBorder="1" applyAlignment="1">
      <alignment horizontal="center" vertical="center" wrapText="1"/>
    </xf>
    <xf numFmtId="38" fontId="6" fillId="0" borderId="22" xfId="0" applyNumberFormat="1" applyFont="1" applyBorder="1" applyAlignment="1">
      <alignment horizontal="center" vertical="center" wrapText="1"/>
    </xf>
    <xf numFmtId="38" fontId="6" fillId="0" borderId="23" xfId="0" applyNumberFormat="1" applyFont="1" applyBorder="1" applyAlignment="1">
      <alignment horizontal="center" vertical="center" wrapText="1"/>
    </xf>
    <xf numFmtId="0" fontId="5" fillId="0" borderId="27" xfId="0" applyFont="1" applyBorder="1" applyAlignment="1">
      <alignment horizontal="left" vertical="center" wrapText="1"/>
    </xf>
    <xf numFmtId="0" fontId="22" fillId="0" borderId="13" xfId="0" applyFont="1" applyBorder="1">
      <alignment vertical="center"/>
    </xf>
    <xf numFmtId="55" fontId="27" fillId="5" borderId="0" xfId="0" applyNumberFormat="1" applyFont="1" applyFill="1">
      <alignment vertical="center"/>
    </xf>
    <xf numFmtId="0" fontId="27" fillId="0" borderId="0" xfId="0" applyFont="1">
      <alignment vertical="center"/>
    </xf>
    <xf numFmtId="180" fontId="0" fillId="0" borderId="0" xfId="0" applyNumberFormat="1">
      <alignment vertical="center"/>
    </xf>
    <xf numFmtId="179" fontId="0" fillId="0" borderId="0" xfId="0" applyNumberFormat="1">
      <alignment vertical="center"/>
    </xf>
    <xf numFmtId="179" fontId="0" fillId="9" borderId="0" xfId="0" applyNumberFormat="1" applyFill="1">
      <alignment vertical="center"/>
    </xf>
    <xf numFmtId="180" fontId="27" fillId="5" borderId="0" xfId="0" applyNumberFormat="1" applyFont="1" applyFill="1">
      <alignment vertical="center"/>
    </xf>
    <xf numFmtId="180" fontId="27" fillId="0" borderId="0" xfId="0" applyNumberFormat="1" applyFont="1">
      <alignment vertical="center"/>
    </xf>
    <xf numFmtId="180" fontId="28" fillId="12" borderId="0" xfId="0" applyNumberFormat="1" applyFont="1" applyFill="1">
      <alignment vertical="center"/>
    </xf>
    <xf numFmtId="0" fontId="6" fillId="0" borderId="23" xfId="0" applyFont="1" applyBorder="1" applyAlignment="1">
      <alignment vertical="center" wrapText="1"/>
    </xf>
    <xf numFmtId="180" fontId="6" fillId="2" borderId="31" xfId="0" applyNumberFormat="1" applyFont="1" applyFill="1" applyBorder="1" applyAlignment="1">
      <alignment vertical="center" wrapText="1"/>
    </xf>
    <xf numFmtId="0" fontId="29" fillId="0" borderId="0" xfId="0" applyFont="1">
      <alignment vertical="center"/>
    </xf>
    <xf numFmtId="0" fontId="24" fillId="0" borderId="2" xfId="0" applyFont="1" applyBorder="1" applyAlignment="1">
      <alignment vertical="center" wrapText="1"/>
    </xf>
    <xf numFmtId="180" fontId="28" fillId="0" borderId="0" xfId="0" applyNumberFormat="1" applyFont="1">
      <alignment vertical="center"/>
    </xf>
    <xf numFmtId="179" fontId="30" fillId="0" borderId="0" xfId="0" applyNumberFormat="1" applyFont="1">
      <alignment vertical="center"/>
    </xf>
    <xf numFmtId="0" fontId="6" fillId="0" borderId="22" xfId="0" applyFont="1" applyBorder="1" applyAlignment="1">
      <alignment horizontal="center" vertical="center" wrapText="1"/>
    </xf>
    <xf numFmtId="0" fontId="0" fillId="0" borderId="2" xfId="0" applyBorder="1">
      <alignment vertical="center"/>
    </xf>
    <xf numFmtId="0" fontId="0" fillId="0" borderId="14" xfId="0" applyBorder="1">
      <alignment vertical="center"/>
    </xf>
    <xf numFmtId="0" fontId="0" fillId="0" borderId="33" xfId="0" applyBorder="1">
      <alignment vertical="center"/>
    </xf>
    <xf numFmtId="0" fontId="0" fillId="0" borderId="34" xfId="0" applyBorder="1">
      <alignment vertical="center"/>
    </xf>
    <xf numFmtId="0" fontId="30" fillId="0" borderId="34" xfId="0" applyFont="1" applyBorder="1">
      <alignment vertical="center"/>
    </xf>
    <xf numFmtId="0" fontId="30" fillId="0" borderId="14" xfId="0" applyFont="1" applyBorder="1">
      <alignment vertical="center"/>
    </xf>
    <xf numFmtId="0" fontId="30" fillId="0" borderId="0" xfId="0" applyFont="1">
      <alignment vertical="center"/>
    </xf>
    <xf numFmtId="0" fontId="0" fillId="0" borderId="34" xfId="0" quotePrefix="1" applyBorder="1">
      <alignment vertical="center"/>
    </xf>
    <xf numFmtId="38" fontId="17" fillId="7" borderId="2" xfId="0" applyNumberFormat="1" applyFont="1" applyFill="1" applyBorder="1" applyAlignment="1">
      <alignment vertical="center" wrapText="1"/>
    </xf>
    <xf numFmtId="0" fontId="26" fillId="12" borderId="0" xfId="0" applyFont="1" applyFill="1">
      <alignment vertical="center"/>
    </xf>
    <xf numFmtId="38" fontId="17" fillId="7" borderId="2" xfId="0" applyNumberFormat="1" applyFont="1" applyFill="1" applyBorder="1" applyAlignment="1">
      <alignment horizontal="left" vertical="center" wrapText="1"/>
    </xf>
    <xf numFmtId="0" fontId="6" fillId="9" borderId="2" xfId="0" applyFont="1" applyFill="1" applyBorder="1" applyAlignment="1">
      <alignment horizontal="left" vertical="center"/>
    </xf>
    <xf numFmtId="0" fontId="6" fillId="9" borderId="2" xfId="0" applyFont="1" applyFill="1" applyBorder="1" applyAlignment="1">
      <alignment vertical="center" wrapText="1"/>
    </xf>
    <xf numFmtId="38" fontId="17" fillId="9" borderId="2" xfId="0" applyNumberFormat="1" applyFont="1" applyFill="1" applyBorder="1" applyAlignment="1">
      <alignment horizontal="left" vertical="center" wrapText="1"/>
    </xf>
    <xf numFmtId="38" fontId="17" fillId="9" borderId="2" xfId="0" applyNumberFormat="1" applyFont="1" applyFill="1" applyBorder="1" applyAlignment="1">
      <alignment horizontal="center" vertical="center" wrapText="1"/>
    </xf>
    <xf numFmtId="0" fontId="22" fillId="9" borderId="13" xfId="0" applyFont="1" applyFill="1" applyBorder="1">
      <alignment vertical="center"/>
    </xf>
    <xf numFmtId="0" fontId="6" fillId="9" borderId="12" xfId="0" applyFont="1" applyFill="1" applyBorder="1">
      <alignment vertical="center"/>
    </xf>
    <xf numFmtId="0" fontId="6" fillId="9" borderId="12" xfId="0" applyFont="1" applyFill="1" applyBorder="1" applyAlignment="1">
      <alignment horizontal="left" vertical="center"/>
    </xf>
    <xf numFmtId="0" fontId="17" fillId="9" borderId="2" xfId="0" applyFont="1" applyFill="1" applyBorder="1" applyAlignment="1">
      <alignment vertical="center" wrapText="1"/>
    </xf>
    <xf numFmtId="0" fontId="6" fillId="9" borderId="5" xfId="0" applyFont="1" applyFill="1" applyBorder="1" applyAlignment="1">
      <alignment horizontal="left" vertical="center"/>
    </xf>
    <xf numFmtId="0" fontId="17" fillId="9" borderId="0" xfId="0" applyFont="1" applyFill="1" applyAlignment="1">
      <alignment vertical="center" wrapText="1"/>
    </xf>
    <xf numFmtId="0" fontId="17" fillId="9" borderId="5" xfId="0" applyFont="1" applyFill="1" applyBorder="1" applyAlignment="1">
      <alignment horizontal="left" vertical="center"/>
    </xf>
    <xf numFmtId="0" fontId="17" fillId="9" borderId="2" xfId="0" applyFont="1" applyFill="1" applyBorder="1" applyAlignment="1">
      <alignment horizontal="left" vertical="center"/>
    </xf>
    <xf numFmtId="38" fontId="17" fillId="9" borderId="2" xfId="0" applyNumberFormat="1" applyFont="1" applyFill="1" applyBorder="1" applyAlignment="1">
      <alignment horizontal="left" vertical="center"/>
    </xf>
    <xf numFmtId="178" fontId="5" fillId="2" borderId="35" xfId="0" applyNumberFormat="1" applyFont="1" applyFill="1" applyBorder="1" applyAlignment="1">
      <alignment horizontal="left"/>
    </xf>
    <xf numFmtId="38" fontId="24" fillId="0" borderId="2" xfId="0" applyNumberFormat="1" applyFont="1" applyBorder="1" applyAlignment="1">
      <alignment horizontal="left" vertical="center"/>
    </xf>
    <xf numFmtId="0" fontId="17" fillId="7" borderId="5" xfId="0" applyFont="1" applyFill="1" applyBorder="1" applyAlignment="1">
      <alignment horizontal="left" vertical="center"/>
    </xf>
    <xf numFmtId="0" fontId="17" fillId="7" borderId="2" xfId="0" applyFont="1" applyFill="1" applyBorder="1" applyAlignment="1">
      <alignment horizontal="left" vertical="center"/>
    </xf>
    <xf numFmtId="38" fontId="17" fillId="7" borderId="2" xfId="0" applyNumberFormat="1" applyFont="1" applyFill="1" applyBorder="1" applyAlignment="1">
      <alignment horizontal="left" vertical="center"/>
    </xf>
    <xf numFmtId="0" fontId="17" fillId="7" borderId="0" xfId="0" applyFont="1" applyFill="1" applyAlignment="1">
      <alignment vertical="center" wrapText="1"/>
    </xf>
    <xf numFmtId="38" fontId="17" fillId="6" borderId="2" xfId="0" applyNumberFormat="1" applyFont="1" applyFill="1" applyBorder="1" applyAlignment="1">
      <alignment horizontal="center" vertical="center" wrapText="1"/>
    </xf>
    <xf numFmtId="0" fontId="29" fillId="7" borderId="0" xfId="0" applyFont="1" applyFill="1">
      <alignment vertical="center"/>
    </xf>
    <xf numFmtId="0" fontId="29" fillId="8" borderId="0" xfId="0" applyFont="1" applyFill="1">
      <alignment vertical="center"/>
    </xf>
    <xf numFmtId="0" fontId="29" fillId="9" borderId="0" xfId="0" applyFont="1" applyFill="1">
      <alignment vertical="center"/>
    </xf>
    <xf numFmtId="0" fontId="29" fillId="6" borderId="0" xfId="0" applyFont="1" applyFill="1">
      <alignment vertical="center"/>
    </xf>
    <xf numFmtId="0" fontId="29" fillId="5" borderId="0" xfId="0" applyFont="1" applyFill="1">
      <alignment vertical="center"/>
    </xf>
    <xf numFmtId="0" fontId="6" fillId="2" borderId="2" xfId="0" applyFont="1" applyFill="1" applyBorder="1" applyAlignment="1">
      <alignment horizontal="left" vertical="center" wrapText="1"/>
    </xf>
    <xf numFmtId="0" fontId="6" fillId="2" borderId="2" xfId="0" applyFont="1" applyFill="1" applyBorder="1" applyAlignment="1">
      <alignment vertical="center" wrapText="1"/>
    </xf>
    <xf numFmtId="0" fontId="6" fillId="2" borderId="2" xfId="0" applyFont="1" applyFill="1" applyBorder="1" applyAlignment="1">
      <alignment horizontal="left" vertical="center"/>
    </xf>
    <xf numFmtId="38" fontId="17" fillId="2" borderId="2" xfId="0" applyNumberFormat="1" applyFont="1" applyFill="1" applyBorder="1" applyAlignment="1">
      <alignment horizontal="center" vertical="center" wrapText="1"/>
    </xf>
    <xf numFmtId="0" fontId="6" fillId="12" borderId="2" xfId="0" applyFont="1" applyFill="1" applyBorder="1" applyAlignment="1">
      <alignment horizontal="left" vertical="center"/>
    </xf>
    <xf numFmtId="0" fontId="5" fillId="0" borderId="22" xfId="0" applyFont="1" applyBorder="1" applyAlignment="1">
      <alignment horizontal="center" vertical="center" wrapText="1"/>
    </xf>
    <xf numFmtId="0" fontId="6" fillId="2" borderId="22" xfId="0" applyFont="1" applyFill="1" applyBorder="1" applyAlignment="1">
      <alignment horizontal="center" vertical="center" wrapText="1"/>
    </xf>
    <xf numFmtId="0" fontId="24" fillId="0" borderId="22" xfId="0" applyFont="1" applyBorder="1" applyAlignment="1">
      <alignment horizontal="center" vertical="center" wrapText="1"/>
    </xf>
    <xf numFmtId="0" fontId="21" fillId="9" borderId="2" xfId="0" applyFont="1" applyFill="1" applyBorder="1" applyAlignment="1">
      <alignment vertical="center" wrapText="1"/>
    </xf>
    <xf numFmtId="0" fontId="6" fillId="9" borderId="18" xfId="0" applyFont="1" applyFill="1" applyBorder="1">
      <alignment vertical="center"/>
    </xf>
    <xf numFmtId="0" fontId="6" fillId="9" borderId="19" xfId="0" applyFont="1" applyFill="1" applyBorder="1" applyAlignment="1">
      <alignment horizontal="left" vertical="center"/>
    </xf>
    <xf numFmtId="0" fontId="6" fillId="9" borderId="19" xfId="0" applyFont="1" applyFill="1" applyBorder="1">
      <alignment vertical="center"/>
    </xf>
    <xf numFmtId="0" fontId="6" fillId="9" borderId="42" xfId="0" applyFont="1" applyFill="1" applyBorder="1" applyAlignment="1">
      <alignment horizontal="left" vertical="center"/>
    </xf>
    <xf numFmtId="38" fontId="17" fillId="9" borderId="42" xfId="0" applyNumberFormat="1" applyFont="1" applyFill="1" applyBorder="1" applyAlignment="1">
      <alignment vertical="center" wrapText="1"/>
    </xf>
    <xf numFmtId="0" fontId="6" fillId="9" borderId="2" xfId="0" applyFont="1" applyFill="1" applyBorder="1">
      <alignment vertical="center"/>
    </xf>
    <xf numFmtId="0" fontId="17" fillId="0" borderId="22" xfId="0" applyFont="1" applyBorder="1" applyAlignment="1">
      <alignment horizontal="center" vertical="center" wrapText="1"/>
    </xf>
    <xf numFmtId="0" fontId="6" fillId="0" borderId="14" xfId="0" applyFont="1" applyBorder="1" applyAlignment="1">
      <alignment horizontal="center" vertical="center"/>
    </xf>
    <xf numFmtId="0" fontId="6" fillId="0" borderId="14" xfId="0" applyFont="1" applyBorder="1" applyAlignment="1">
      <alignment horizontal="left" vertical="center"/>
    </xf>
    <xf numFmtId="0" fontId="6" fillId="0" borderId="8" xfId="0" applyFont="1" applyBorder="1" applyAlignment="1">
      <alignment horizontal="center" vertical="center"/>
    </xf>
    <xf numFmtId="38" fontId="6" fillId="0" borderId="8" xfId="0" applyNumberFormat="1" applyFont="1" applyBorder="1" applyAlignment="1">
      <alignment horizontal="center" vertical="center" wrapText="1"/>
    </xf>
    <xf numFmtId="180" fontId="17" fillId="9" borderId="42" xfId="0" applyNumberFormat="1" applyFont="1" applyFill="1" applyBorder="1" applyAlignment="1">
      <alignment horizontal="center" vertical="center" wrapText="1"/>
    </xf>
    <xf numFmtId="180" fontId="17" fillId="9" borderId="43" xfId="0" applyNumberFormat="1" applyFont="1" applyFill="1" applyBorder="1" applyAlignment="1">
      <alignment horizontal="center" vertical="center" wrapText="1"/>
    </xf>
    <xf numFmtId="180" fontId="6" fillId="9" borderId="2" xfId="0" applyNumberFormat="1" applyFont="1" applyFill="1" applyBorder="1" applyAlignment="1">
      <alignment vertical="center" wrapText="1"/>
    </xf>
    <xf numFmtId="0" fontId="6" fillId="9" borderId="44" xfId="0" applyFont="1" applyFill="1" applyBorder="1" applyAlignment="1">
      <alignment horizontal="left" vertical="center" wrapText="1"/>
    </xf>
    <xf numFmtId="0" fontId="6" fillId="9" borderId="42" xfId="0" applyFont="1" applyFill="1" applyBorder="1" applyAlignment="1">
      <alignment vertical="center" wrapText="1"/>
    </xf>
    <xf numFmtId="38" fontId="6" fillId="9" borderId="42" xfId="0" applyNumberFormat="1" applyFont="1" applyFill="1" applyBorder="1" applyAlignment="1">
      <alignment horizontal="center" vertical="center" wrapText="1"/>
    </xf>
    <xf numFmtId="0" fontId="6" fillId="9" borderId="5" xfId="0" applyFont="1" applyFill="1" applyBorder="1" applyAlignment="1">
      <alignment horizontal="left" vertical="center" wrapText="1"/>
    </xf>
    <xf numFmtId="0" fontId="6" fillId="9" borderId="2" xfId="0" applyFont="1" applyFill="1" applyBorder="1" applyAlignment="1">
      <alignment horizontal="left" vertical="center" wrapText="1"/>
    </xf>
    <xf numFmtId="0" fontId="3" fillId="9" borderId="2" xfId="0" applyFont="1" applyFill="1" applyBorder="1">
      <alignment vertical="center"/>
    </xf>
    <xf numFmtId="0" fontId="26" fillId="9" borderId="2" xfId="0" applyFont="1" applyFill="1" applyBorder="1">
      <alignment vertical="center"/>
    </xf>
    <xf numFmtId="38" fontId="3" fillId="9" borderId="2" xfId="0" applyNumberFormat="1" applyFont="1" applyFill="1" applyBorder="1" applyAlignment="1">
      <alignment horizontal="center" vertical="center"/>
    </xf>
    <xf numFmtId="0" fontId="3" fillId="9" borderId="5" xfId="0" applyFont="1" applyFill="1" applyBorder="1">
      <alignment vertical="center"/>
    </xf>
    <xf numFmtId="0" fontId="3" fillId="9" borderId="18" xfId="0" applyFont="1" applyFill="1" applyBorder="1">
      <alignment vertical="center"/>
    </xf>
    <xf numFmtId="0" fontId="26" fillId="9" borderId="42" xfId="0" applyFont="1" applyFill="1" applyBorder="1">
      <alignment vertical="center"/>
    </xf>
    <xf numFmtId="0" fontId="3" fillId="9" borderId="42" xfId="0" applyFont="1" applyFill="1" applyBorder="1">
      <alignment vertical="center"/>
    </xf>
    <xf numFmtId="38" fontId="3" fillId="9" borderId="42" xfId="0" applyNumberFormat="1" applyFont="1" applyFill="1" applyBorder="1" applyAlignment="1">
      <alignment horizontal="center" vertical="center"/>
    </xf>
    <xf numFmtId="0" fontId="26" fillId="9" borderId="12" xfId="0" applyFont="1" applyFill="1" applyBorder="1">
      <alignment vertical="center"/>
    </xf>
    <xf numFmtId="0" fontId="20" fillId="9" borderId="12" xfId="0" applyFont="1" applyFill="1" applyBorder="1">
      <alignment vertical="center"/>
    </xf>
    <xf numFmtId="0" fontId="20" fillId="9" borderId="12" xfId="0" applyFont="1" applyFill="1" applyBorder="1" applyAlignment="1">
      <alignment horizontal="left" vertical="center"/>
    </xf>
    <xf numFmtId="178" fontId="5" fillId="2" borderId="2" xfId="0" applyNumberFormat="1" applyFont="1" applyFill="1" applyBorder="1" applyAlignment="1">
      <alignment horizontal="left"/>
    </xf>
    <xf numFmtId="0" fontId="17" fillId="0" borderId="2" xfId="0" applyFont="1" applyBorder="1" applyAlignment="1">
      <alignment horizontal="center" vertical="center" wrapText="1"/>
    </xf>
    <xf numFmtId="180" fontId="6" fillId="2" borderId="2" xfId="0" applyNumberFormat="1" applyFont="1" applyFill="1" applyBorder="1" applyAlignment="1">
      <alignment vertical="center" wrapText="1"/>
    </xf>
    <xf numFmtId="180" fontId="6" fillId="0" borderId="2" xfId="0" applyNumberFormat="1" applyFont="1" applyBorder="1" applyAlignment="1">
      <alignment horizontal="center" vertical="center" wrapText="1"/>
    </xf>
    <xf numFmtId="180" fontId="6" fillId="7" borderId="2" xfId="0" applyNumberFormat="1" applyFont="1" applyFill="1" applyBorder="1" applyAlignment="1">
      <alignment vertical="center" wrapText="1"/>
    </xf>
    <xf numFmtId="180" fontId="17" fillId="7" borderId="2" xfId="0" applyNumberFormat="1" applyFont="1" applyFill="1" applyBorder="1" applyAlignment="1">
      <alignment vertical="center" wrapText="1"/>
    </xf>
    <xf numFmtId="180" fontId="6" fillId="0" borderId="14" xfId="0" applyNumberFormat="1" applyFont="1" applyBorder="1" applyAlignment="1">
      <alignment horizontal="center" vertical="center" wrapText="1"/>
    </xf>
    <xf numFmtId="180" fontId="17" fillId="0" borderId="14" xfId="0" applyNumberFormat="1" applyFont="1" applyBorder="1" applyAlignment="1">
      <alignment horizontal="center" vertical="center" wrapText="1"/>
    </xf>
    <xf numFmtId="180" fontId="17" fillId="0" borderId="2" xfId="0" applyNumberFormat="1" applyFont="1" applyBorder="1" applyAlignment="1">
      <alignment horizontal="center" vertical="center" wrapText="1"/>
    </xf>
    <xf numFmtId="180" fontId="17" fillId="9" borderId="2" xfId="0" applyNumberFormat="1" applyFont="1" applyFill="1" applyBorder="1" applyAlignment="1">
      <alignment horizontal="center" vertical="center" wrapText="1"/>
    </xf>
    <xf numFmtId="180" fontId="17" fillId="9" borderId="2" xfId="0" applyNumberFormat="1" applyFont="1" applyFill="1" applyBorder="1" applyAlignment="1">
      <alignment vertical="center" wrapText="1"/>
    </xf>
    <xf numFmtId="180" fontId="17" fillId="9" borderId="9" xfId="0" applyNumberFormat="1" applyFont="1" applyFill="1" applyBorder="1" applyAlignment="1">
      <alignment vertical="center" wrapText="1"/>
    </xf>
    <xf numFmtId="180" fontId="17" fillId="9" borderId="22" xfId="0" applyNumberFormat="1" applyFont="1" applyFill="1" applyBorder="1" applyAlignment="1">
      <alignment vertical="center" wrapText="1"/>
    </xf>
    <xf numFmtId="180" fontId="6" fillId="9" borderId="22" xfId="0" applyNumberFormat="1" applyFont="1" applyFill="1" applyBorder="1" applyAlignment="1">
      <alignment vertical="center" wrapText="1"/>
    </xf>
    <xf numFmtId="180" fontId="21" fillId="9" borderId="2" xfId="0" applyNumberFormat="1" applyFont="1" applyFill="1" applyBorder="1" applyAlignment="1">
      <alignment vertical="center" wrapText="1"/>
    </xf>
    <xf numFmtId="180" fontId="6" fillId="2" borderId="4" xfId="0" applyNumberFormat="1" applyFont="1" applyFill="1" applyBorder="1" applyAlignment="1">
      <alignment vertical="center" wrapText="1"/>
    </xf>
    <xf numFmtId="180" fontId="6" fillId="8" borderId="2" xfId="0" applyNumberFormat="1" applyFont="1" applyFill="1" applyBorder="1" applyAlignment="1">
      <alignment horizontal="center" vertical="center" wrapText="1"/>
    </xf>
    <xf numFmtId="180" fontId="17" fillId="8" borderId="2" xfId="0" applyNumberFormat="1" applyFont="1" applyFill="1" applyBorder="1" applyAlignment="1">
      <alignment horizontal="center" vertical="center" wrapText="1"/>
    </xf>
    <xf numFmtId="180" fontId="6" fillId="3" borderId="2" xfId="0" applyNumberFormat="1" applyFont="1" applyFill="1" applyBorder="1" applyAlignment="1">
      <alignment horizontal="center" vertical="center" wrapText="1"/>
    </xf>
    <xf numFmtId="180" fontId="6" fillId="0" borderId="12" xfId="0" applyNumberFormat="1" applyFont="1" applyBorder="1" applyAlignment="1">
      <alignment vertical="center" wrapText="1"/>
    </xf>
    <xf numFmtId="180" fontId="3" fillId="9" borderId="42" xfId="0" applyNumberFormat="1" applyFont="1" applyFill="1" applyBorder="1" applyAlignment="1">
      <alignment horizontal="center" vertical="center"/>
    </xf>
    <xf numFmtId="180" fontId="17" fillId="0" borderId="9" xfId="0" applyNumberFormat="1" applyFont="1" applyBorder="1" applyAlignment="1">
      <alignment horizontal="center" vertical="center" wrapText="1"/>
    </xf>
    <xf numFmtId="180" fontId="6" fillId="0" borderId="2" xfId="0" applyNumberFormat="1" applyFont="1" applyBorder="1" applyAlignment="1">
      <alignment vertical="center" wrapText="1"/>
    </xf>
    <xf numFmtId="180" fontId="17" fillId="0" borderId="2" xfId="0" applyNumberFormat="1" applyFont="1" applyBorder="1" applyAlignment="1">
      <alignment vertical="center" wrapText="1"/>
    </xf>
    <xf numFmtId="180" fontId="17" fillId="7" borderId="9" xfId="0" applyNumberFormat="1" applyFont="1" applyFill="1" applyBorder="1" applyAlignment="1">
      <alignment vertical="center" wrapText="1"/>
    </xf>
    <xf numFmtId="180" fontId="17" fillId="0" borderId="8" xfId="0" applyNumberFormat="1" applyFont="1" applyBorder="1" applyAlignment="1">
      <alignment horizontal="center" vertical="center" wrapText="1"/>
    </xf>
    <xf numFmtId="180" fontId="6" fillId="9" borderId="23" xfId="0" applyNumberFormat="1" applyFont="1" applyFill="1" applyBorder="1" applyAlignment="1">
      <alignment vertical="center" wrapText="1"/>
    </xf>
    <xf numFmtId="180" fontId="6" fillId="9" borderId="9" xfId="0" applyNumberFormat="1" applyFont="1" applyFill="1" applyBorder="1" applyAlignment="1">
      <alignment vertical="center" wrapText="1"/>
    </xf>
    <xf numFmtId="180" fontId="17" fillId="0" borderId="10" xfId="0" applyNumberFormat="1" applyFont="1" applyBorder="1" applyAlignment="1">
      <alignment horizontal="center" vertical="center" wrapText="1"/>
    </xf>
    <xf numFmtId="180" fontId="17" fillId="0" borderId="10" xfId="0" applyNumberFormat="1" applyFont="1" applyBorder="1" applyAlignment="1">
      <alignment vertical="center" wrapText="1"/>
    </xf>
    <xf numFmtId="180" fontId="23" fillId="9" borderId="2" xfId="0" applyNumberFormat="1" applyFont="1" applyFill="1" applyBorder="1" applyAlignment="1">
      <alignment horizontal="center" vertical="center"/>
    </xf>
    <xf numFmtId="180" fontId="3" fillId="9" borderId="43" xfId="0" applyNumberFormat="1" applyFont="1" applyFill="1" applyBorder="1" applyAlignment="1">
      <alignment horizontal="center" vertical="center"/>
    </xf>
    <xf numFmtId="180" fontId="3" fillId="9" borderId="7" xfId="0" applyNumberFormat="1" applyFont="1" applyFill="1" applyBorder="1" applyAlignment="1">
      <alignment horizontal="center" vertical="center"/>
    </xf>
    <xf numFmtId="0" fontId="17" fillId="13" borderId="10" xfId="0" applyFont="1" applyFill="1" applyBorder="1" applyAlignment="1">
      <alignment horizontal="center" vertical="center" wrapText="1"/>
    </xf>
    <xf numFmtId="0" fontId="6" fillId="0" borderId="23" xfId="0" applyFont="1" applyBorder="1" applyAlignment="1">
      <alignment horizontal="center" vertical="center" wrapText="1"/>
    </xf>
    <xf numFmtId="0" fontId="17" fillId="13" borderId="2" xfId="0" applyFont="1" applyFill="1" applyBorder="1" applyAlignment="1">
      <alignment horizontal="center" vertical="center" wrapText="1"/>
    </xf>
    <xf numFmtId="0" fontId="17" fillId="0" borderId="28" xfId="0" applyFont="1" applyBorder="1" applyAlignment="1">
      <alignment horizontal="center" vertical="center" wrapText="1"/>
    </xf>
    <xf numFmtId="0" fontId="22" fillId="0" borderId="12" xfId="0" applyFont="1" applyBorder="1" applyAlignment="1">
      <alignment horizontal="center" vertical="center" wrapText="1"/>
    </xf>
    <xf numFmtId="0" fontId="22" fillId="0" borderId="2" xfId="0" applyFont="1" applyBorder="1" applyAlignment="1">
      <alignment horizontal="center" vertical="center" wrapText="1"/>
    </xf>
    <xf numFmtId="0" fontId="5" fillId="0" borderId="23" xfId="0" applyFont="1" applyBorder="1" applyAlignment="1">
      <alignment horizontal="center" vertical="center" wrapText="1"/>
    </xf>
    <xf numFmtId="0" fontId="21" fillId="0" borderId="12" xfId="0" applyFont="1" applyBorder="1" applyAlignment="1">
      <alignment horizontal="center" vertical="center" wrapText="1"/>
    </xf>
    <xf numFmtId="0" fontId="17" fillId="7" borderId="12" xfId="0" applyFont="1" applyFill="1" applyBorder="1" applyAlignment="1">
      <alignment horizontal="center" vertical="center" wrapText="1"/>
    </xf>
    <xf numFmtId="0" fontId="17" fillId="0" borderId="17" xfId="0" applyFont="1" applyBorder="1" applyAlignment="1">
      <alignment horizontal="center" vertical="center" wrapText="1"/>
    </xf>
    <xf numFmtId="0" fontId="17" fillId="0" borderId="9" xfId="0" applyFont="1" applyBorder="1" applyAlignment="1">
      <alignment horizontal="center" vertical="center" wrapText="1"/>
    </xf>
    <xf numFmtId="0" fontId="17" fillId="6" borderId="2" xfId="0" applyFont="1" applyFill="1" applyBorder="1" applyAlignment="1">
      <alignment horizontal="center" vertical="center" wrapText="1"/>
    </xf>
    <xf numFmtId="0" fontId="17" fillId="6" borderId="9" xfId="0" applyFont="1" applyFill="1" applyBorder="1" applyAlignment="1">
      <alignment horizontal="center" vertical="center" wrapText="1"/>
    </xf>
    <xf numFmtId="0" fontId="17" fillId="4" borderId="22" xfId="0" applyFont="1" applyFill="1" applyBorder="1" applyAlignment="1">
      <alignment horizontal="center" vertical="center" wrapText="1"/>
    </xf>
    <xf numFmtId="0" fontId="6" fillId="4" borderId="22" xfId="0" applyFont="1" applyFill="1" applyBorder="1" applyAlignment="1">
      <alignment horizontal="center" vertical="center" wrapText="1"/>
    </xf>
    <xf numFmtId="0" fontId="6" fillId="4" borderId="23" xfId="0" applyFont="1" applyFill="1" applyBorder="1" applyAlignment="1">
      <alignment horizontal="center" vertical="center" wrapText="1"/>
    </xf>
    <xf numFmtId="0" fontId="17" fillId="4" borderId="2" xfId="0" applyFont="1" applyFill="1" applyBorder="1" applyAlignment="1">
      <alignment horizontal="center" vertical="center" wrapText="1"/>
    </xf>
    <xf numFmtId="0" fontId="17" fillId="4" borderId="9" xfId="0" applyFont="1" applyFill="1" applyBorder="1" applyAlignment="1">
      <alignment horizontal="center" vertical="center" wrapText="1"/>
    </xf>
    <xf numFmtId="0" fontId="17" fillId="9" borderId="2" xfId="0" applyFont="1" applyFill="1" applyBorder="1" applyAlignment="1">
      <alignment horizontal="center" vertical="center" wrapText="1"/>
    </xf>
    <xf numFmtId="38" fontId="17" fillId="2" borderId="14" xfId="0" applyNumberFormat="1" applyFont="1" applyFill="1" applyBorder="1" applyAlignment="1">
      <alignment horizontal="center" vertical="center" wrapText="1"/>
    </xf>
    <xf numFmtId="38" fontId="17" fillId="2" borderId="8" xfId="0" applyNumberFormat="1" applyFont="1" applyFill="1" applyBorder="1" applyAlignment="1">
      <alignment horizontal="center" vertical="center" wrapText="1"/>
    </xf>
    <xf numFmtId="180" fontId="17" fillId="2" borderId="31" xfId="0" applyNumberFormat="1" applyFont="1" applyFill="1" applyBorder="1" applyAlignment="1">
      <alignment horizontal="center" vertical="center" wrapText="1"/>
    </xf>
    <xf numFmtId="38" fontId="23" fillId="9" borderId="2" xfId="0" applyNumberFormat="1" applyFont="1" applyFill="1" applyBorder="1" applyAlignment="1">
      <alignment horizontal="center" vertical="center"/>
    </xf>
    <xf numFmtId="178" fontId="24" fillId="2" borderId="20" xfId="0" applyNumberFormat="1" applyFont="1" applyFill="1" applyBorder="1" applyAlignment="1">
      <alignment horizontal="left"/>
    </xf>
    <xf numFmtId="38" fontId="17" fillId="7" borderId="9" xfId="0" applyNumberFormat="1" applyFont="1" applyFill="1" applyBorder="1" applyAlignment="1">
      <alignment horizontal="center" vertical="center" wrapText="1"/>
    </xf>
    <xf numFmtId="38" fontId="17" fillId="9" borderId="9" xfId="0" applyNumberFormat="1" applyFont="1" applyFill="1" applyBorder="1" applyAlignment="1">
      <alignment horizontal="center" vertical="center" wrapText="1"/>
    </xf>
    <xf numFmtId="178" fontId="24" fillId="2" borderId="2" xfId="0" applyNumberFormat="1" applyFont="1" applyFill="1" applyBorder="1" applyAlignment="1">
      <alignment horizontal="left"/>
    </xf>
    <xf numFmtId="180" fontId="24" fillId="8" borderId="2" xfId="0" applyNumberFormat="1" applyFont="1" applyFill="1" applyBorder="1" applyAlignment="1">
      <alignment horizontal="center" vertical="center" wrapText="1"/>
    </xf>
    <xf numFmtId="180" fontId="24" fillId="0" borderId="2" xfId="0" applyNumberFormat="1" applyFont="1" applyBorder="1" applyAlignment="1">
      <alignment horizontal="center" vertical="center" wrapText="1"/>
    </xf>
    <xf numFmtId="180" fontId="17" fillId="7" borderId="2" xfId="0" applyNumberFormat="1" applyFont="1" applyFill="1" applyBorder="1" applyAlignment="1">
      <alignment horizontal="center" vertical="center" wrapText="1"/>
    </xf>
    <xf numFmtId="38" fontId="36" fillId="9" borderId="2" xfId="0" applyNumberFormat="1" applyFont="1" applyFill="1" applyBorder="1" applyAlignment="1">
      <alignment horizontal="center" vertical="center" wrapText="1"/>
    </xf>
    <xf numFmtId="38" fontId="36" fillId="9" borderId="9" xfId="0" applyNumberFormat="1" applyFont="1" applyFill="1" applyBorder="1" applyAlignment="1">
      <alignment horizontal="center" vertical="center" wrapText="1"/>
    </xf>
    <xf numFmtId="180" fontId="36" fillId="9" borderId="2" xfId="0" applyNumberFormat="1" applyFont="1" applyFill="1" applyBorder="1" applyAlignment="1">
      <alignment horizontal="center" vertical="center" wrapText="1"/>
    </xf>
    <xf numFmtId="0" fontId="17" fillId="9" borderId="5" xfId="0" applyFont="1" applyFill="1" applyBorder="1" applyAlignment="1">
      <alignment horizontal="left" vertical="center" wrapText="1"/>
    </xf>
    <xf numFmtId="0" fontId="17" fillId="9" borderId="2" xfId="0" applyFont="1" applyFill="1" applyBorder="1" applyAlignment="1">
      <alignment horizontal="left" vertical="center" wrapText="1"/>
    </xf>
    <xf numFmtId="0" fontId="37" fillId="0" borderId="0" xfId="0" applyFont="1">
      <alignment vertical="center"/>
    </xf>
    <xf numFmtId="38" fontId="17" fillId="9" borderId="42" xfId="0" applyNumberFormat="1" applyFont="1" applyFill="1" applyBorder="1" applyAlignment="1">
      <alignment horizontal="center" vertical="center" wrapText="1"/>
    </xf>
    <xf numFmtId="38" fontId="38" fillId="0" borderId="22" xfId="0" applyNumberFormat="1" applyFont="1" applyBorder="1" applyAlignment="1">
      <alignment horizontal="center" vertical="center" wrapText="1"/>
    </xf>
    <xf numFmtId="38" fontId="38" fillId="0" borderId="23" xfId="0" applyNumberFormat="1" applyFont="1" applyBorder="1" applyAlignment="1">
      <alignment horizontal="center" vertical="center" wrapText="1"/>
    </xf>
    <xf numFmtId="0" fontId="22" fillId="15" borderId="12" xfId="0" applyFont="1" applyFill="1" applyBorder="1" applyAlignment="1">
      <alignment horizontal="center" vertical="center" wrapText="1"/>
    </xf>
    <xf numFmtId="0" fontId="17" fillId="15" borderId="12" xfId="0" applyFont="1" applyFill="1" applyBorder="1" applyAlignment="1">
      <alignment horizontal="center" vertical="center" wrapText="1"/>
    </xf>
    <xf numFmtId="0" fontId="17" fillId="0" borderId="31" xfId="0" applyFont="1" applyBorder="1" applyAlignment="1">
      <alignment horizontal="center" vertical="center" wrapText="1"/>
    </xf>
    <xf numFmtId="180" fontId="6" fillId="6" borderId="2" xfId="0" applyNumberFormat="1" applyFont="1" applyFill="1" applyBorder="1" applyAlignment="1">
      <alignment horizontal="center" vertical="center" wrapText="1"/>
    </xf>
    <xf numFmtId="180" fontId="17" fillId="6" borderId="2" xfId="0" applyNumberFormat="1" applyFont="1" applyFill="1" applyBorder="1" applyAlignment="1">
      <alignment horizontal="center" vertical="center" wrapText="1"/>
    </xf>
    <xf numFmtId="0" fontId="6" fillId="0" borderId="27" xfId="0" applyFont="1" applyBorder="1" applyAlignment="1">
      <alignment horizontal="left" vertical="center"/>
    </xf>
    <xf numFmtId="0" fontId="38" fillId="0" borderId="22" xfId="0" applyFont="1" applyBorder="1" applyAlignment="1">
      <alignment horizontal="center" vertical="center" wrapText="1"/>
    </xf>
    <xf numFmtId="0" fontId="38" fillId="0" borderId="23" xfId="0" applyFont="1" applyBorder="1" applyAlignment="1">
      <alignment horizontal="center" vertical="center" wrapText="1"/>
    </xf>
    <xf numFmtId="0" fontId="38" fillId="0" borderId="2" xfId="0" applyFont="1" applyBorder="1" applyAlignment="1">
      <alignment horizontal="center" vertical="center" wrapText="1"/>
    </xf>
    <xf numFmtId="180" fontId="6" fillId="16" borderId="2" xfId="0" applyNumberFormat="1" applyFont="1" applyFill="1" applyBorder="1" applyAlignment="1">
      <alignment horizontal="center" vertical="center" wrapText="1"/>
    </xf>
    <xf numFmtId="180" fontId="6" fillId="2" borderId="2" xfId="0" applyNumberFormat="1" applyFont="1" applyFill="1" applyBorder="1" applyAlignment="1">
      <alignment horizontal="center" vertical="center" wrapText="1"/>
    </xf>
    <xf numFmtId="180" fontId="17" fillId="2" borderId="2" xfId="0" applyNumberFormat="1" applyFont="1" applyFill="1" applyBorder="1" applyAlignment="1">
      <alignment horizontal="center" vertical="center" wrapText="1"/>
    </xf>
    <xf numFmtId="0" fontId="6" fillId="0" borderId="14" xfId="0" applyFont="1" applyBorder="1">
      <alignment vertical="center"/>
    </xf>
    <xf numFmtId="3" fontId="23" fillId="0" borderId="0" xfId="0" applyNumberFormat="1" applyFont="1">
      <alignment vertical="center"/>
    </xf>
    <xf numFmtId="38" fontId="17" fillId="9" borderId="2" xfId="0" applyNumberFormat="1" applyFont="1" applyFill="1" applyBorder="1" applyAlignment="1">
      <alignment vertical="center" wrapText="1"/>
    </xf>
    <xf numFmtId="0" fontId="24" fillId="0" borderId="27" xfId="0" applyFont="1" applyBorder="1" applyAlignment="1">
      <alignment horizontal="left" vertical="center" wrapText="1"/>
    </xf>
    <xf numFmtId="0" fontId="17" fillId="0" borderId="14" xfId="0" applyFont="1" applyBorder="1">
      <alignment vertical="center"/>
    </xf>
    <xf numFmtId="0" fontId="17" fillId="0" borderId="14" xfId="0" applyFont="1" applyBorder="1" applyAlignment="1">
      <alignment horizontal="left" vertical="center"/>
    </xf>
    <xf numFmtId="0" fontId="17" fillId="0" borderId="8" xfId="0" applyFont="1" applyBorder="1" applyAlignment="1">
      <alignment horizontal="center" vertical="center"/>
    </xf>
    <xf numFmtId="180" fontId="3" fillId="0" borderId="0" xfId="0" applyNumberFormat="1" applyFont="1">
      <alignment vertical="center"/>
    </xf>
    <xf numFmtId="38" fontId="6" fillId="0" borderId="12" xfId="0" applyNumberFormat="1" applyFont="1" applyBorder="1" applyAlignment="1">
      <alignment horizontal="center" vertical="center" wrapText="1"/>
    </xf>
    <xf numFmtId="0" fontId="40" fillId="0" borderId="0" xfId="0" applyFont="1">
      <alignment vertical="center"/>
    </xf>
    <xf numFmtId="0" fontId="17" fillId="0" borderId="29" xfId="0" applyFont="1" applyBorder="1" applyAlignment="1">
      <alignment horizontal="center" vertical="center" wrapText="1"/>
    </xf>
    <xf numFmtId="38" fontId="6" fillId="2" borderId="2" xfId="0" applyNumberFormat="1" applyFont="1" applyFill="1" applyBorder="1" applyAlignment="1">
      <alignment horizontal="center" vertical="center" wrapText="1"/>
    </xf>
    <xf numFmtId="0" fontId="6" fillId="2" borderId="2" xfId="0" applyFont="1" applyFill="1" applyBorder="1" applyAlignment="1">
      <alignment horizontal="center" vertical="center"/>
    </xf>
    <xf numFmtId="38" fontId="6" fillId="2" borderId="9" xfId="0" applyNumberFormat="1" applyFont="1" applyFill="1" applyBorder="1" applyAlignment="1">
      <alignment horizontal="center" vertical="center" wrapText="1"/>
    </xf>
    <xf numFmtId="0" fontId="6" fillId="0" borderId="9" xfId="0" applyFont="1" applyBorder="1" applyAlignment="1">
      <alignment vertical="center" wrapText="1"/>
    </xf>
    <xf numFmtId="0" fontId="5" fillId="0" borderId="9" xfId="0" applyFont="1" applyBorder="1" applyAlignment="1">
      <alignment vertical="center" wrapText="1"/>
    </xf>
    <xf numFmtId="180" fontId="6" fillId="9" borderId="46" xfId="0" applyNumberFormat="1" applyFont="1" applyFill="1" applyBorder="1" applyAlignment="1">
      <alignment horizontal="center" vertical="center" wrapText="1"/>
    </xf>
    <xf numFmtId="180" fontId="6" fillId="9" borderId="47" xfId="0" applyNumberFormat="1" applyFont="1" applyFill="1" applyBorder="1" applyAlignment="1">
      <alignment horizontal="center" vertical="center" wrapText="1"/>
    </xf>
    <xf numFmtId="38" fontId="0" fillId="9" borderId="46" xfId="0" applyNumberFormat="1" applyFill="1" applyBorder="1" applyAlignment="1">
      <alignment horizontal="center" vertical="center"/>
    </xf>
    <xf numFmtId="38" fontId="6" fillId="2" borderId="14" xfId="0" applyNumberFormat="1" applyFont="1" applyFill="1" applyBorder="1" applyAlignment="1">
      <alignment horizontal="center" vertical="center" wrapText="1"/>
    </xf>
    <xf numFmtId="38" fontId="6" fillId="2" borderId="8" xfId="0" applyNumberFormat="1" applyFont="1" applyFill="1" applyBorder="1" applyAlignment="1">
      <alignment horizontal="center" vertical="center" wrapText="1"/>
    </xf>
    <xf numFmtId="0" fontId="22" fillId="9" borderId="22" xfId="0" applyFont="1" applyFill="1" applyBorder="1">
      <alignment vertical="center"/>
    </xf>
    <xf numFmtId="180" fontId="5" fillId="9" borderId="2" xfId="0" applyNumberFormat="1" applyFont="1" applyFill="1" applyBorder="1" applyAlignment="1">
      <alignment vertical="center" wrapText="1"/>
    </xf>
    <xf numFmtId="0" fontId="6" fillId="9" borderId="46" xfId="0" applyFont="1" applyFill="1" applyBorder="1" applyAlignment="1">
      <alignment horizontal="left" vertical="center" wrapText="1"/>
    </xf>
    <xf numFmtId="0" fontId="6" fillId="9" borderId="47" xfId="0" applyFont="1" applyFill="1" applyBorder="1" applyAlignment="1">
      <alignment horizontal="left" vertical="center" wrapText="1"/>
    </xf>
    <xf numFmtId="38" fontId="6" fillId="9" borderId="46" xfId="0" applyNumberFormat="1" applyFont="1" applyFill="1" applyBorder="1" applyAlignment="1">
      <alignment horizontal="center" vertical="center" wrapText="1"/>
    </xf>
    <xf numFmtId="38" fontId="3" fillId="9" borderId="46" xfId="0" applyNumberFormat="1" applyFont="1" applyFill="1" applyBorder="1" applyAlignment="1">
      <alignment horizontal="center" vertical="center"/>
    </xf>
    <xf numFmtId="180" fontId="3" fillId="9" borderId="46" xfId="0" applyNumberFormat="1" applyFont="1" applyFill="1" applyBorder="1" applyAlignment="1">
      <alignment horizontal="center" vertical="center"/>
    </xf>
    <xf numFmtId="180" fontId="3" fillId="9" borderId="47" xfId="0" applyNumberFormat="1" applyFont="1" applyFill="1" applyBorder="1" applyAlignment="1">
      <alignment horizontal="center" vertical="center"/>
    </xf>
    <xf numFmtId="180" fontId="3" fillId="9" borderId="46" xfId="0" applyNumberFormat="1" applyFont="1" applyFill="1" applyBorder="1">
      <alignment vertical="center"/>
    </xf>
    <xf numFmtId="180" fontId="5" fillId="9" borderId="46" xfId="0" applyNumberFormat="1" applyFont="1" applyFill="1" applyBorder="1" applyAlignment="1">
      <alignment horizontal="center" vertical="center" wrapText="1"/>
    </xf>
    <xf numFmtId="180" fontId="5" fillId="9" borderId="46" xfId="0" applyNumberFormat="1" applyFont="1" applyFill="1" applyBorder="1" applyAlignment="1">
      <alignment vertical="center" wrapText="1"/>
    </xf>
    <xf numFmtId="180" fontId="24" fillId="9" borderId="46" xfId="0" applyNumberFormat="1" applyFont="1" applyFill="1" applyBorder="1" applyAlignment="1">
      <alignment vertical="center" wrapText="1"/>
    </xf>
    <xf numFmtId="180" fontId="6" fillId="0" borderId="22" xfId="0" applyNumberFormat="1" applyFont="1" applyBorder="1" applyAlignment="1">
      <alignment horizontal="center" vertical="center" wrapText="1"/>
    </xf>
    <xf numFmtId="180" fontId="5" fillId="0" borderId="22" xfId="0" applyNumberFormat="1" applyFont="1" applyBorder="1" applyAlignment="1">
      <alignment vertical="center" wrapText="1"/>
    </xf>
    <xf numFmtId="180" fontId="17" fillId="0" borderId="22" xfId="0" applyNumberFormat="1" applyFont="1" applyBorder="1" applyAlignment="1">
      <alignment horizontal="center" vertical="center" wrapText="1"/>
    </xf>
    <xf numFmtId="180" fontId="24" fillId="0" borderId="22" xfId="0" applyNumberFormat="1" applyFont="1" applyBorder="1" applyAlignment="1">
      <alignment vertical="center" wrapText="1"/>
    </xf>
    <xf numFmtId="180" fontId="17" fillId="9" borderId="52" xfId="0" applyNumberFormat="1" applyFont="1" applyFill="1" applyBorder="1" applyAlignment="1">
      <alignment horizontal="center" vertical="center" wrapText="1"/>
    </xf>
    <xf numFmtId="180" fontId="17" fillId="2" borderId="31" xfId="0" applyNumberFormat="1" applyFont="1" applyFill="1" applyBorder="1" applyAlignment="1">
      <alignment vertical="center" wrapText="1"/>
    </xf>
    <xf numFmtId="180" fontId="17" fillId="9" borderId="48" xfId="0" applyNumberFormat="1" applyFont="1" applyFill="1" applyBorder="1" applyAlignment="1">
      <alignment horizontal="center" vertical="center" wrapText="1"/>
    </xf>
    <xf numFmtId="180" fontId="6" fillId="9" borderId="48" xfId="0" applyNumberFormat="1" applyFont="1" applyFill="1" applyBorder="1" applyAlignment="1">
      <alignment horizontal="center" vertical="center" wrapText="1"/>
    </xf>
    <xf numFmtId="180" fontId="6" fillId="9" borderId="53" xfId="0" applyNumberFormat="1" applyFont="1" applyFill="1" applyBorder="1" applyAlignment="1">
      <alignment horizontal="center" vertical="center" wrapText="1"/>
    </xf>
    <xf numFmtId="0" fontId="24" fillId="2" borderId="2" xfId="0" applyFont="1" applyFill="1" applyBorder="1" applyAlignment="1">
      <alignment horizontal="left" vertical="center"/>
    </xf>
    <xf numFmtId="180" fontId="17" fillId="2" borderId="9" xfId="0" applyNumberFormat="1" applyFont="1" applyFill="1" applyBorder="1" applyAlignment="1">
      <alignment horizontal="center" vertical="center" wrapText="1"/>
    </xf>
    <xf numFmtId="0" fontId="6" fillId="2" borderId="12" xfId="0" applyFont="1" applyFill="1" applyBorder="1">
      <alignment vertical="center"/>
    </xf>
    <xf numFmtId="0" fontId="6" fillId="2" borderId="12" xfId="0" applyFont="1" applyFill="1" applyBorder="1" applyAlignment="1">
      <alignment horizontal="left" vertical="center"/>
    </xf>
    <xf numFmtId="0" fontId="6" fillId="9" borderId="46" xfId="0" applyFont="1" applyFill="1" applyBorder="1" applyAlignment="1">
      <alignment vertical="center" wrapText="1"/>
    </xf>
    <xf numFmtId="0" fontId="6" fillId="0" borderId="32" xfId="0" applyFont="1" applyBorder="1" applyAlignment="1">
      <alignment vertical="center" wrapText="1"/>
    </xf>
    <xf numFmtId="0" fontId="17" fillId="0" borderId="55" xfId="0" applyFont="1" applyBorder="1" applyAlignment="1">
      <alignment horizontal="center" vertical="center" wrapText="1"/>
    </xf>
    <xf numFmtId="180" fontId="17" fillId="0" borderId="0" xfId="0" applyNumberFormat="1" applyFont="1" applyAlignment="1">
      <alignment horizontal="center" vertical="center" wrapText="1"/>
    </xf>
    <xf numFmtId="180" fontId="6" fillId="0" borderId="12" xfId="0" applyNumberFormat="1" applyFont="1" applyBorder="1" applyAlignment="1">
      <alignment horizontal="center" vertical="center" wrapText="1"/>
    </xf>
    <xf numFmtId="180" fontId="17" fillId="0" borderId="12" xfId="0" applyNumberFormat="1" applyFont="1" applyBorder="1" applyAlignment="1">
      <alignment horizontal="center" vertical="center" wrapText="1"/>
    </xf>
    <xf numFmtId="38" fontId="6" fillId="2" borderId="2" xfId="0" applyNumberFormat="1" applyFont="1" applyFill="1" applyBorder="1" applyAlignment="1">
      <alignment horizontal="right" vertical="center" wrapText="1"/>
    </xf>
    <xf numFmtId="38" fontId="6" fillId="0" borderId="22" xfId="0" applyNumberFormat="1" applyFont="1" applyBorder="1" applyAlignment="1">
      <alignment horizontal="right" vertical="center" wrapText="1"/>
    </xf>
    <xf numFmtId="0" fontId="17" fillId="0" borderId="23" xfId="0" applyFont="1" applyBorder="1" applyAlignment="1">
      <alignment horizontal="center" vertical="center" wrapText="1"/>
    </xf>
    <xf numFmtId="38" fontId="5" fillId="0" borderId="2" xfId="0" applyNumberFormat="1" applyFont="1" applyBorder="1" applyAlignment="1">
      <alignment horizontal="center" vertical="center"/>
    </xf>
    <xf numFmtId="38" fontId="6" fillId="9" borderId="2" xfId="0" applyNumberFormat="1" applyFont="1" applyFill="1" applyBorder="1" applyAlignment="1">
      <alignment horizontal="center" vertical="center"/>
    </xf>
    <xf numFmtId="38" fontId="6" fillId="2" borderId="2" xfId="0" applyNumberFormat="1" applyFont="1" applyFill="1" applyBorder="1" applyAlignment="1">
      <alignment horizontal="center" vertical="center"/>
    </xf>
    <xf numFmtId="38" fontId="6" fillId="3" borderId="2" xfId="0" applyNumberFormat="1" applyFont="1" applyFill="1" applyBorder="1" applyAlignment="1">
      <alignment horizontal="center" vertical="center"/>
    </xf>
    <xf numFmtId="38" fontId="17" fillId="9" borderId="46" xfId="0" applyNumberFormat="1" applyFont="1" applyFill="1" applyBorder="1" applyAlignment="1">
      <alignment horizontal="center" vertical="center" wrapText="1"/>
    </xf>
    <xf numFmtId="180" fontId="30" fillId="0" borderId="0" xfId="0" applyNumberFormat="1" applyFont="1">
      <alignment vertical="center"/>
    </xf>
    <xf numFmtId="0" fontId="17" fillId="0" borderId="0" xfId="0" applyFont="1" applyAlignment="1">
      <alignment horizontal="center" vertical="center" wrapText="1"/>
    </xf>
    <xf numFmtId="0" fontId="15" fillId="0" borderId="0" xfId="0" applyFont="1">
      <alignment vertical="center"/>
    </xf>
    <xf numFmtId="181" fontId="15" fillId="0" borderId="0" xfId="0" applyNumberFormat="1" applyFont="1">
      <alignment vertical="center"/>
    </xf>
    <xf numFmtId="0" fontId="6" fillId="9" borderId="59" xfId="0" applyFont="1" applyFill="1" applyBorder="1" applyAlignment="1">
      <alignment horizontal="left" vertical="center"/>
    </xf>
    <xf numFmtId="38" fontId="6" fillId="9" borderId="59" xfId="0" applyNumberFormat="1" applyFont="1" applyFill="1" applyBorder="1" applyAlignment="1">
      <alignment horizontal="center" vertical="center" wrapText="1"/>
    </xf>
    <xf numFmtId="38" fontId="3" fillId="9" borderId="59" xfId="0" applyNumberFormat="1" applyFont="1" applyFill="1" applyBorder="1" applyAlignment="1">
      <alignment horizontal="center" vertical="center"/>
    </xf>
    <xf numFmtId="180" fontId="6" fillId="7" borderId="60" xfId="0" applyNumberFormat="1" applyFont="1" applyFill="1" applyBorder="1" applyAlignment="1">
      <alignment vertical="center" wrapText="1"/>
    </xf>
    <xf numFmtId="38" fontId="6" fillId="7" borderId="60" xfId="0" applyNumberFormat="1" applyFont="1" applyFill="1" applyBorder="1" applyAlignment="1">
      <alignment vertical="center" wrapText="1"/>
    </xf>
    <xf numFmtId="38" fontId="17" fillId="7" borderId="60" xfId="0" applyNumberFormat="1" applyFont="1" applyFill="1" applyBorder="1" applyAlignment="1">
      <alignment vertical="center" wrapText="1"/>
    </xf>
    <xf numFmtId="0" fontId="21" fillId="0" borderId="58" xfId="0" applyFont="1" applyBorder="1" applyAlignment="1">
      <alignment horizontal="center" vertical="center" wrapText="1"/>
    </xf>
    <xf numFmtId="0" fontId="17" fillId="0" borderId="58" xfId="0" applyFont="1" applyBorder="1" applyAlignment="1">
      <alignment horizontal="center" vertical="center" wrapText="1"/>
    </xf>
    <xf numFmtId="0" fontId="22" fillId="0" borderId="58" xfId="0" applyFont="1" applyBorder="1" applyAlignment="1">
      <alignment horizontal="center" vertical="center" wrapText="1"/>
    </xf>
    <xf numFmtId="0" fontId="6" fillId="0" borderId="59" xfId="0" applyFont="1" applyBorder="1" applyAlignment="1">
      <alignment vertical="center" wrapText="1"/>
    </xf>
    <xf numFmtId="0" fontId="6" fillId="9" borderId="59" xfId="0" applyFont="1" applyFill="1" applyBorder="1" applyAlignment="1">
      <alignment vertical="center" wrapText="1"/>
    </xf>
    <xf numFmtId="0" fontId="6" fillId="9" borderId="59" xfId="0" applyFont="1" applyFill="1" applyBorder="1" applyAlignment="1">
      <alignment horizontal="left" vertical="center" wrapText="1"/>
    </xf>
    <xf numFmtId="38" fontId="17" fillId="9" borderId="59" xfId="0" applyNumberFormat="1" applyFont="1" applyFill="1" applyBorder="1" applyAlignment="1">
      <alignment horizontal="center" vertical="center" wrapText="1"/>
    </xf>
    <xf numFmtId="0" fontId="17" fillId="0" borderId="60" xfId="0" applyFont="1" applyBorder="1" applyAlignment="1">
      <alignment horizontal="center" vertical="center" wrapText="1"/>
    </xf>
    <xf numFmtId="0" fontId="17" fillId="13" borderId="60" xfId="0" applyFont="1" applyFill="1" applyBorder="1" applyAlignment="1">
      <alignment horizontal="center" vertical="center" wrapText="1"/>
    </xf>
    <xf numFmtId="180" fontId="17" fillId="0" borderId="59" xfId="0" applyNumberFormat="1" applyFont="1" applyBorder="1" applyAlignment="1">
      <alignment horizontal="center" vertical="center" wrapText="1"/>
    </xf>
    <xf numFmtId="0" fontId="6" fillId="0" borderId="59" xfId="0" applyFont="1" applyBorder="1" applyAlignment="1">
      <alignment horizontal="left" vertical="center"/>
    </xf>
    <xf numFmtId="0" fontId="6" fillId="0" borderId="62" xfId="0" applyFont="1" applyBorder="1" applyAlignment="1">
      <alignment horizontal="left" vertical="center"/>
    </xf>
    <xf numFmtId="38" fontId="6" fillId="0" borderId="59" xfId="0" applyNumberFormat="1" applyFont="1" applyBorder="1" applyAlignment="1">
      <alignment horizontal="center" vertical="center" wrapText="1"/>
    </xf>
    <xf numFmtId="38" fontId="6" fillId="0" borderId="62" xfId="0" applyNumberFormat="1" applyFont="1" applyBorder="1" applyAlignment="1">
      <alignment horizontal="center" vertical="center" wrapText="1"/>
    </xf>
    <xf numFmtId="0" fontId="6" fillId="2" borderId="59" xfId="0" applyFont="1" applyFill="1" applyBorder="1" applyAlignment="1">
      <alignment vertical="center" wrapText="1"/>
    </xf>
    <xf numFmtId="0" fontId="0" fillId="0" borderId="59" xfId="0" applyBorder="1">
      <alignment vertical="center"/>
    </xf>
    <xf numFmtId="0" fontId="31" fillId="0" borderId="59" xfId="0" applyFont="1" applyBorder="1">
      <alignment vertical="center"/>
    </xf>
    <xf numFmtId="38" fontId="6" fillId="9" borderId="59" xfId="0" applyNumberFormat="1" applyFont="1" applyFill="1" applyBorder="1" applyAlignment="1">
      <alignment vertical="center" wrapText="1"/>
    </xf>
    <xf numFmtId="38" fontId="6" fillId="9" borderId="9" xfId="0" applyNumberFormat="1" applyFont="1" applyFill="1" applyBorder="1" applyAlignment="1">
      <alignment horizontal="center" vertical="center" wrapText="1"/>
    </xf>
    <xf numFmtId="0" fontId="6" fillId="2" borderId="41" xfId="0" applyFont="1" applyFill="1" applyBorder="1" applyAlignment="1">
      <alignment horizontal="center" vertical="center"/>
    </xf>
    <xf numFmtId="0" fontId="6" fillId="0" borderId="55" xfId="0" applyFont="1" applyBorder="1" applyAlignment="1">
      <alignment vertical="center" wrapText="1"/>
    </xf>
    <xf numFmtId="182" fontId="15" fillId="11" borderId="0" xfId="0" applyNumberFormat="1" applyFont="1" applyFill="1" applyAlignment="1">
      <alignment horizontal="left" vertical="center"/>
    </xf>
    <xf numFmtId="0" fontId="15" fillId="11" borderId="0" xfId="0" applyFont="1" applyFill="1" applyAlignment="1">
      <alignment horizontal="left" vertical="center"/>
    </xf>
    <xf numFmtId="14" fontId="15" fillId="11" borderId="0" xfId="0" applyNumberFormat="1" applyFont="1" applyFill="1" applyAlignment="1">
      <alignment horizontal="left" vertical="center"/>
    </xf>
    <xf numFmtId="184" fontId="15" fillId="11" borderId="0" xfId="0" applyNumberFormat="1" applyFont="1" applyFill="1" applyAlignment="1">
      <alignment horizontal="left" vertical="center"/>
    </xf>
    <xf numFmtId="26" fontId="15" fillId="11" borderId="0" xfId="0" applyNumberFormat="1" applyFont="1" applyFill="1" applyAlignment="1">
      <alignment horizontal="left" vertical="center"/>
    </xf>
    <xf numFmtId="14" fontId="14" fillId="2" borderId="0" xfId="0" applyNumberFormat="1" applyFont="1" applyFill="1" applyAlignment="1">
      <alignment horizontal="left" vertical="center"/>
    </xf>
    <xf numFmtId="182" fontId="15" fillId="0" borderId="0" xfId="0" applyNumberFormat="1" applyFont="1" applyAlignment="1">
      <alignment horizontal="left" vertical="center"/>
    </xf>
    <xf numFmtId="0" fontId="15" fillId="0" borderId="0" xfId="0" applyFont="1" applyAlignment="1">
      <alignment horizontal="center" vertical="center"/>
    </xf>
    <xf numFmtId="14" fontId="15" fillId="0" borderId="0" xfId="0" applyNumberFormat="1" applyFont="1">
      <alignment vertical="center"/>
    </xf>
    <xf numFmtId="0" fontId="15" fillId="0" borderId="0" xfId="0" applyFont="1" applyAlignment="1">
      <alignment horizontal="left" vertical="center"/>
    </xf>
    <xf numFmtId="184" fontId="15" fillId="0" borderId="0" xfId="0" applyNumberFormat="1" applyFont="1" applyAlignment="1">
      <alignment horizontal="right" vertical="center"/>
    </xf>
    <xf numFmtId="26" fontId="15" fillId="0" borderId="0" xfId="0" applyNumberFormat="1" applyFont="1" applyAlignment="1">
      <alignment horizontal="right" vertical="center"/>
    </xf>
    <xf numFmtId="0" fontId="15" fillId="0" borderId="0" xfId="0" applyFont="1" applyAlignment="1">
      <alignment horizontal="right" vertical="center"/>
    </xf>
    <xf numFmtId="0" fontId="14" fillId="0" borderId="0" xfId="0" applyFont="1" applyAlignment="1">
      <alignment horizontal="left" vertical="center"/>
    </xf>
    <xf numFmtId="14" fontId="15" fillId="0" borderId="0" xfId="0" applyNumberFormat="1" applyFont="1" applyAlignment="1">
      <alignment horizontal="right" vertical="center"/>
    </xf>
    <xf numFmtId="0" fontId="14" fillId="0" borderId="0" xfId="0" applyFont="1" applyAlignment="1">
      <alignment horizontal="center" vertical="center"/>
    </xf>
    <xf numFmtId="14" fontId="14" fillId="0" borderId="0" xfId="0" applyNumberFormat="1" applyFont="1">
      <alignment vertical="center"/>
    </xf>
    <xf numFmtId="0" fontId="5" fillId="0" borderId="2" xfId="0" applyFont="1" applyBorder="1" applyAlignment="1">
      <alignment horizontal="center" vertical="center" wrapText="1"/>
    </xf>
    <xf numFmtId="38" fontId="6" fillId="0" borderId="14" xfId="0" applyNumberFormat="1" applyFont="1" applyBorder="1" applyAlignment="1">
      <alignment vertical="center" wrapText="1"/>
    </xf>
    <xf numFmtId="38" fontId="17" fillId="0" borderId="2" xfId="0" applyNumberFormat="1" applyFont="1" applyBorder="1" applyAlignment="1">
      <alignment vertical="center" wrapText="1"/>
    </xf>
    <xf numFmtId="38" fontId="17" fillId="9" borderId="46" xfId="0" applyNumberFormat="1" applyFont="1" applyFill="1" applyBorder="1" applyAlignment="1">
      <alignment vertical="center" wrapText="1"/>
    </xf>
    <xf numFmtId="38" fontId="6" fillId="2" borderId="14" xfId="0" applyNumberFormat="1" applyFont="1" applyFill="1" applyBorder="1" applyAlignment="1">
      <alignment vertical="center" wrapText="1"/>
    </xf>
    <xf numFmtId="38" fontId="17" fillId="2" borderId="14" xfId="0" applyNumberFormat="1" applyFont="1" applyFill="1" applyBorder="1" applyAlignment="1">
      <alignment vertical="center" wrapText="1"/>
    </xf>
    <xf numFmtId="38" fontId="6" fillId="9" borderId="9" xfId="0" applyNumberFormat="1" applyFont="1" applyFill="1" applyBorder="1" applyAlignment="1">
      <alignment vertical="center" wrapText="1"/>
    </xf>
    <xf numFmtId="38" fontId="17" fillId="0" borderId="0" xfId="0" applyNumberFormat="1" applyFont="1" applyAlignment="1">
      <alignment vertical="center" wrapText="1"/>
    </xf>
    <xf numFmtId="0" fontId="6" fillId="0" borderId="2" xfId="0" applyFont="1" applyBorder="1" applyAlignment="1">
      <alignment horizontal="center" vertical="center" wrapText="1"/>
    </xf>
    <xf numFmtId="180" fontId="6" fillId="2" borderId="59" xfId="0" applyNumberFormat="1" applyFont="1" applyFill="1" applyBorder="1" applyAlignment="1">
      <alignment horizontal="center" vertical="center" wrapText="1"/>
    </xf>
    <xf numFmtId="180" fontId="17" fillId="9" borderId="10" xfId="0" applyNumberFormat="1" applyFont="1" applyFill="1" applyBorder="1" applyAlignment="1">
      <alignment horizontal="center" vertical="center" wrapText="1"/>
    </xf>
    <xf numFmtId="180" fontId="17" fillId="2" borderId="22" xfId="0" applyNumberFormat="1" applyFont="1" applyFill="1" applyBorder="1" applyAlignment="1">
      <alignment horizontal="center" vertical="center" wrapText="1"/>
    </xf>
    <xf numFmtId="180" fontId="5" fillId="2" borderId="22" xfId="0" applyNumberFormat="1" applyFont="1" applyFill="1" applyBorder="1" applyAlignment="1">
      <alignment vertical="center" wrapText="1"/>
    </xf>
    <xf numFmtId="180" fontId="24" fillId="2" borderId="22" xfId="0" applyNumberFormat="1" applyFont="1" applyFill="1" applyBorder="1" applyAlignment="1">
      <alignment vertical="center" wrapText="1"/>
    </xf>
    <xf numFmtId="38" fontId="17" fillId="0" borderId="0" xfId="0" applyNumberFormat="1" applyFont="1" applyAlignment="1">
      <alignment horizontal="center" vertical="center" wrapText="1"/>
    </xf>
    <xf numFmtId="38" fontId="6" fillId="0" borderId="0" xfId="0" applyNumberFormat="1" applyFont="1" applyAlignment="1">
      <alignment horizontal="center" vertical="center" wrapText="1"/>
    </xf>
    <xf numFmtId="179" fontId="28" fillId="12" borderId="0" xfId="0" applyNumberFormat="1" applyFont="1" applyFill="1">
      <alignment vertical="center"/>
    </xf>
    <xf numFmtId="180" fontId="0" fillId="2" borderId="0" xfId="0" applyNumberFormat="1" applyFill="1">
      <alignment vertical="center"/>
    </xf>
    <xf numFmtId="0" fontId="6" fillId="0" borderId="31" xfId="0" applyFont="1" applyBorder="1" applyAlignment="1">
      <alignment horizontal="center" vertical="center" wrapText="1"/>
    </xf>
    <xf numFmtId="0" fontId="6" fillId="0" borderId="32" xfId="0" applyFont="1" applyBorder="1" applyAlignment="1">
      <alignment horizontal="center" vertical="center" wrapText="1"/>
    </xf>
    <xf numFmtId="0" fontId="5" fillId="0" borderId="29" xfId="0" applyFont="1" applyBorder="1" applyAlignment="1">
      <alignment horizontal="center" vertical="center" wrapText="1"/>
    </xf>
    <xf numFmtId="0" fontId="5" fillId="0" borderId="30" xfId="0" applyFont="1" applyBorder="1" applyAlignment="1">
      <alignment horizontal="center" vertical="center" wrapText="1"/>
    </xf>
    <xf numFmtId="38" fontId="0" fillId="0" borderId="46" xfId="0" applyNumberFormat="1" applyBorder="1" applyAlignment="1">
      <alignment horizontal="center" vertical="center"/>
    </xf>
    <xf numFmtId="180" fontId="17" fillId="0" borderId="31" xfId="0" applyNumberFormat="1" applyFont="1" applyBorder="1" applyAlignment="1">
      <alignment horizontal="center" vertical="center" wrapText="1"/>
    </xf>
    <xf numFmtId="180" fontId="17" fillId="0" borderId="32" xfId="0" applyNumberFormat="1" applyFont="1" applyBorder="1" applyAlignment="1">
      <alignment horizontal="center" vertical="center" wrapText="1"/>
    </xf>
    <xf numFmtId="0" fontId="26" fillId="5" borderId="0" xfId="0" applyFont="1" applyFill="1">
      <alignment vertical="center"/>
    </xf>
    <xf numFmtId="180" fontId="17" fillId="6" borderId="8" xfId="0" applyNumberFormat="1" applyFont="1" applyFill="1" applyBorder="1" applyAlignment="1">
      <alignment horizontal="center" vertical="center" wrapText="1"/>
    </xf>
    <xf numFmtId="180" fontId="17" fillId="6" borderId="22" xfId="0" applyNumberFormat="1" applyFont="1" applyFill="1" applyBorder="1" applyAlignment="1">
      <alignment horizontal="center" vertical="center" wrapText="1"/>
    </xf>
    <xf numFmtId="180" fontId="17" fillId="6" borderId="9" xfId="0" applyNumberFormat="1" applyFont="1" applyFill="1" applyBorder="1" applyAlignment="1">
      <alignment horizontal="center" vertical="center" wrapText="1"/>
    </xf>
    <xf numFmtId="179" fontId="0" fillId="2" borderId="0" xfId="0" applyNumberFormat="1" applyFill="1">
      <alignment vertical="center"/>
    </xf>
    <xf numFmtId="180" fontId="17" fillId="5" borderId="22" xfId="0" applyNumberFormat="1" applyFont="1" applyFill="1" applyBorder="1" applyAlignment="1">
      <alignment horizontal="center" vertical="center" wrapText="1"/>
    </xf>
    <xf numFmtId="9" fontId="0" fillId="0" borderId="0" xfId="0" applyNumberFormat="1">
      <alignment vertical="center"/>
    </xf>
    <xf numFmtId="179" fontId="0" fillId="12" borderId="2" xfId="0" applyNumberFormat="1" applyFill="1" applyBorder="1" applyAlignment="1">
      <alignment horizontal="center" vertical="center"/>
    </xf>
    <xf numFmtId="0" fontId="24" fillId="0" borderId="28" xfId="0" applyFont="1" applyBorder="1" applyAlignment="1">
      <alignment horizontal="center" vertical="center" wrapText="1"/>
    </xf>
    <xf numFmtId="0" fontId="6" fillId="0" borderId="29" xfId="0" applyFont="1" applyBorder="1" applyAlignment="1">
      <alignment horizontal="center" vertical="center" wrapText="1"/>
    </xf>
    <xf numFmtId="0" fontId="6" fillId="0" borderId="30" xfId="0" applyFont="1" applyBorder="1" applyAlignment="1">
      <alignment horizontal="center" vertical="center" wrapText="1"/>
    </xf>
    <xf numFmtId="180" fontId="17" fillId="6" borderId="14" xfId="0" applyNumberFormat="1" applyFont="1" applyFill="1" applyBorder="1" applyAlignment="1">
      <alignment horizontal="center" vertical="center" wrapText="1"/>
    </xf>
    <xf numFmtId="0" fontId="6" fillId="17" borderId="5" xfId="0" applyFont="1" applyFill="1" applyBorder="1" applyAlignment="1">
      <alignment horizontal="left" vertical="center"/>
    </xf>
    <xf numFmtId="0" fontId="6" fillId="17" borderId="2" xfId="0" applyFont="1" applyFill="1" applyBorder="1" applyAlignment="1">
      <alignment horizontal="left" vertical="center"/>
    </xf>
    <xf numFmtId="0" fontId="6" fillId="17" borderId="2" xfId="0" applyFont="1" applyFill="1" applyBorder="1" applyAlignment="1">
      <alignment horizontal="left" vertical="center" wrapText="1"/>
    </xf>
    <xf numFmtId="38" fontId="6" fillId="17" borderId="2" xfId="0" applyNumberFormat="1" applyFont="1" applyFill="1" applyBorder="1" applyAlignment="1">
      <alignment horizontal="center" vertical="center" wrapText="1"/>
    </xf>
    <xf numFmtId="180" fontId="6" fillId="17" borderId="2" xfId="0" applyNumberFormat="1" applyFont="1" applyFill="1" applyBorder="1" applyAlignment="1">
      <alignment horizontal="center" vertical="center" wrapText="1"/>
    </xf>
    <xf numFmtId="180" fontId="6" fillId="17" borderId="14" xfId="0" applyNumberFormat="1" applyFont="1" applyFill="1" applyBorder="1" applyAlignment="1">
      <alignment horizontal="center" vertical="center" wrapText="1"/>
    </xf>
    <xf numFmtId="180" fontId="17" fillId="17" borderId="2" xfId="0" applyNumberFormat="1" applyFont="1" applyFill="1" applyBorder="1" applyAlignment="1">
      <alignment horizontal="center" vertical="center" wrapText="1"/>
    </xf>
    <xf numFmtId="0" fontId="6" fillId="17" borderId="2" xfId="0" applyFont="1" applyFill="1" applyBorder="1" applyAlignment="1">
      <alignment vertical="center" wrapText="1"/>
    </xf>
    <xf numFmtId="180" fontId="8" fillId="17" borderId="2" xfId="0" applyNumberFormat="1" applyFont="1" applyFill="1" applyBorder="1" applyAlignment="1">
      <alignment horizontal="center" vertical="center" wrapText="1"/>
    </xf>
    <xf numFmtId="0" fontId="6" fillId="17" borderId="12" xfId="0" applyFont="1" applyFill="1" applyBorder="1">
      <alignment vertical="center"/>
    </xf>
    <xf numFmtId="180" fontId="38" fillId="17" borderId="2" xfId="0" applyNumberFormat="1" applyFont="1" applyFill="1" applyBorder="1" applyAlignment="1">
      <alignment horizontal="center" vertical="center" wrapText="1"/>
    </xf>
    <xf numFmtId="0" fontId="6" fillId="17" borderId="14" xfId="0" applyFont="1" applyFill="1" applyBorder="1" applyAlignment="1">
      <alignment horizontal="left" vertical="center"/>
    </xf>
    <xf numFmtId="181" fontId="15" fillId="11" borderId="0" xfId="0" applyNumberFormat="1" applyFont="1" applyFill="1" applyAlignment="1">
      <alignment horizontal="left" vertical="center"/>
    </xf>
    <xf numFmtId="0" fontId="14" fillId="0" borderId="0" xfId="0" applyFont="1" applyAlignment="1">
      <alignment horizontal="right" vertical="center"/>
    </xf>
    <xf numFmtId="0" fontId="17" fillId="17" borderId="5" xfId="0" applyFont="1" applyFill="1" applyBorder="1" applyAlignment="1">
      <alignment horizontal="left" vertical="center"/>
    </xf>
    <xf numFmtId="0" fontId="17" fillId="17" borderId="2" xfId="0" applyFont="1" applyFill="1" applyBorder="1" applyAlignment="1">
      <alignment horizontal="left" vertical="center"/>
    </xf>
    <xf numFmtId="0" fontId="17" fillId="17" borderId="14" xfId="0" applyFont="1" applyFill="1" applyBorder="1" applyAlignment="1">
      <alignment horizontal="left" vertical="center"/>
    </xf>
    <xf numFmtId="0" fontId="17" fillId="17" borderId="2" xfId="0" applyFont="1" applyFill="1" applyBorder="1" applyAlignment="1">
      <alignment horizontal="left" vertical="center" wrapText="1"/>
    </xf>
    <xf numFmtId="38" fontId="17" fillId="17" borderId="2" xfId="0" applyNumberFormat="1" applyFont="1" applyFill="1" applyBorder="1" applyAlignment="1">
      <alignment horizontal="center" vertical="center" wrapText="1"/>
    </xf>
    <xf numFmtId="180" fontId="17" fillId="17" borderId="14" xfId="0" applyNumberFormat="1" applyFont="1" applyFill="1" applyBorder="1" applyAlignment="1">
      <alignment horizontal="center" vertical="center" wrapText="1"/>
    </xf>
    <xf numFmtId="180" fontId="25" fillId="17" borderId="2" xfId="0" applyNumberFormat="1" applyFont="1" applyFill="1" applyBorder="1" applyAlignment="1">
      <alignment horizontal="center" vertical="center" wrapText="1"/>
    </xf>
    <xf numFmtId="0" fontId="17" fillId="17" borderId="12" xfId="0" applyFont="1" applyFill="1" applyBorder="1" applyAlignment="1">
      <alignment vertical="center" wrapText="1"/>
    </xf>
    <xf numFmtId="180" fontId="8" fillId="0" borderId="14" xfId="0" applyNumberFormat="1" applyFont="1" applyBorder="1" applyAlignment="1">
      <alignment horizontal="center" vertical="center" wrapText="1"/>
    </xf>
    <xf numFmtId="180" fontId="8" fillId="0" borderId="2" xfId="0" applyNumberFormat="1" applyFont="1" applyBorder="1" applyAlignment="1">
      <alignment horizontal="center" vertical="center" wrapText="1"/>
    </xf>
    <xf numFmtId="180" fontId="8" fillId="0" borderId="8" xfId="0" applyNumberFormat="1" applyFont="1" applyBorder="1" applyAlignment="1">
      <alignment horizontal="center" vertical="center" wrapText="1"/>
    </xf>
    <xf numFmtId="180" fontId="17" fillId="12" borderId="8" xfId="0" applyNumberFormat="1" applyFont="1" applyFill="1" applyBorder="1" applyAlignment="1">
      <alignment horizontal="center" vertical="center" wrapText="1"/>
    </xf>
    <xf numFmtId="180" fontId="17" fillId="12" borderId="2" xfId="0" applyNumberFormat="1" applyFont="1" applyFill="1" applyBorder="1" applyAlignment="1">
      <alignment horizontal="center" vertical="center" wrapText="1"/>
    </xf>
    <xf numFmtId="38" fontId="6" fillId="12" borderId="2" xfId="0" applyNumberFormat="1" applyFont="1" applyFill="1" applyBorder="1" applyAlignment="1">
      <alignment horizontal="center" vertical="center" wrapText="1"/>
    </xf>
    <xf numFmtId="180" fontId="6" fillId="12" borderId="2" xfId="0" applyNumberFormat="1" applyFont="1" applyFill="1" applyBorder="1" applyAlignment="1">
      <alignment horizontal="center" vertical="center" wrapText="1"/>
    </xf>
    <xf numFmtId="180" fontId="17" fillId="12" borderId="9" xfId="0" applyNumberFormat="1" applyFont="1" applyFill="1" applyBorder="1" applyAlignment="1">
      <alignment horizontal="center" vertical="center" wrapText="1"/>
    </xf>
    <xf numFmtId="180" fontId="45" fillId="17" borderId="2" xfId="0" applyNumberFormat="1" applyFont="1" applyFill="1" applyBorder="1" applyAlignment="1">
      <alignment horizontal="center" vertical="center" wrapText="1"/>
    </xf>
    <xf numFmtId="180" fontId="8" fillId="2" borderId="2" xfId="0" applyNumberFormat="1" applyFont="1" applyFill="1" applyBorder="1" applyAlignment="1">
      <alignment horizontal="center" vertical="center" wrapText="1"/>
    </xf>
    <xf numFmtId="180" fontId="8" fillId="2" borderId="8" xfId="0" applyNumberFormat="1" applyFont="1" applyFill="1" applyBorder="1" applyAlignment="1">
      <alignment horizontal="center" vertical="center" wrapText="1"/>
    </xf>
    <xf numFmtId="180" fontId="25" fillId="2" borderId="2" xfId="0" applyNumberFormat="1" applyFont="1" applyFill="1" applyBorder="1" applyAlignment="1">
      <alignment horizontal="center" vertical="center" wrapText="1"/>
    </xf>
    <xf numFmtId="0" fontId="17" fillId="0" borderId="60" xfId="0" applyFont="1" applyBorder="1" applyAlignment="1">
      <alignment vertical="center" wrapText="1"/>
    </xf>
    <xf numFmtId="180" fontId="6" fillId="0" borderId="9" xfId="0" applyNumberFormat="1" applyFont="1" applyBorder="1" applyAlignment="1">
      <alignment horizontal="center" vertical="center" wrapText="1"/>
    </xf>
    <xf numFmtId="38" fontId="6" fillId="14" borderId="2" xfId="0" applyNumberFormat="1" applyFont="1" applyFill="1" applyBorder="1" applyAlignment="1">
      <alignment horizontal="center" vertical="center" wrapText="1"/>
    </xf>
    <xf numFmtId="0" fontId="24" fillId="0" borderId="2" xfId="0" applyFont="1" applyBorder="1" applyAlignment="1">
      <alignment horizontal="center" vertical="center" wrapText="1"/>
    </xf>
    <xf numFmtId="180" fontId="6" fillId="2" borderId="31" xfId="0" applyNumberFormat="1" applyFont="1" applyFill="1" applyBorder="1" applyAlignment="1">
      <alignment horizontal="center" vertical="center" wrapText="1"/>
    </xf>
    <xf numFmtId="180" fontId="6" fillId="2" borderId="32" xfId="0" applyNumberFormat="1" applyFont="1" applyFill="1" applyBorder="1" applyAlignment="1">
      <alignment horizontal="center" vertical="center" wrapText="1"/>
    </xf>
    <xf numFmtId="0" fontId="3" fillId="9" borderId="9" xfId="0" applyFont="1" applyFill="1" applyBorder="1" applyAlignment="1">
      <alignment horizontal="center" vertical="center"/>
    </xf>
    <xf numFmtId="0" fontId="3" fillId="9" borderId="7" xfId="0" applyFont="1" applyFill="1" applyBorder="1" applyAlignment="1">
      <alignment horizontal="center" vertical="center"/>
    </xf>
    <xf numFmtId="0" fontId="3" fillId="9" borderId="21" xfId="0" applyFont="1" applyFill="1" applyBorder="1" applyAlignment="1">
      <alignment horizontal="center" vertical="center"/>
    </xf>
    <xf numFmtId="0" fontId="47" fillId="0" borderId="0" xfId="0" applyFont="1" applyAlignment="1">
      <alignment horizontal="left" vertical="center"/>
    </xf>
    <xf numFmtId="0" fontId="44" fillId="0" borderId="0" xfId="0" applyFont="1" applyAlignment="1">
      <alignment horizontal="left" vertical="center"/>
    </xf>
    <xf numFmtId="0" fontId="6" fillId="0" borderId="9" xfId="0" applyFont="1" applyBorder="1" applyAlignment="1">
      <alignment horizontal="center" vertical="center" wrapText="1"/>
    </xf>
    <xf numFmtId="0" fontId="17" fillId="0" borderId="59" xfId="0" applyFont="1" applyBorder="1" applyAlignment="1">
      <alignment vertical="center" wrapText="1"/>
    </xf>
    <xf numFmtId="0" fontId="18" fillId="0" borderId="22" xfId="0" applyFont="1" applyBorder="1" applyAlignment="1">
      <alignment horizontal="center" vertical="center" wrapText="1"/>
    </xf>
    <xf numFmtId="0" fontId="18" fillId="0" borderId="23" xfId="0" applyFont="1" applyBorder="1" applyAlignment="1">
      <alignment horizontal="center" vertical="center" wrapText="1"/>
    </xf>
    <xf numFmtId="0" fontId="6" fillId="5" borderId="2" xfId="0" applyFont="1" applyFill="1" applyBorder="1" applyAlignment="1">
      <alignment horizontal="left" vertical="center"/>
    </xf>
    <xf numFmtId="0" fontId="6" fillId="0" borderId="29" xfId="0" applyFont="1" applyBorder="1" applyAlignment="1">
      <alignment vertical="center" wrapText="1"/>
    </xf>
    <xf numFmtId="178" fontId="5" fillId="0" borderId="14" xfId="0" applyNumberFormat="1" applyFont="1" applyBorder="1" applyAlignment="1">
      <alignment horizontal="left"/>
    </xf>
    <xf numFmtId="180" fontId="6" fillId="0" borderId="14" xfId="0" applyNumberFormat="1" applyFont="1" applyBorder="1" applyAlignment="1">
      <alignment vertical="center" wrapText="1"/>
    </xf>
    <xf numFmtId="180" fontId="6" fillId="0" borderId="31" xfId="0" applyNumberFormat="1" applyFont="1" applyBorder="1" applyAlignment="1">
      <alignment vertical="center" wrapText="1"/>
    </xf>
    <xf numFmtId="38" fontId="17" fillId="0" borderId="2" xfId="0" applyNumberFormat="1" applyFont="1" applyBorder="1" applyAlignment="1">
      <alignment horizontal="right" vertical="center" wrapText="1"/>
    </xf>
    <xf numFmtId="0" fontId="17" fillId="0" borderId="59" xfId="0" applyFont="1" applyBorder="1" applyAlignment="1">
      <alignment horizontal="left" vertical="center" wrapText="1"/>
    </xf>
    <xf numFmtId="38" fontId="6" fillId="2" borderId="34" xfId="0" applyNumberFormat="1" applyFont="1" applyFill="1" applyBorder="1" applyAlignment="1">
      <alignment horizontal="center" vertical="center" wrapText="1"/>
    </xf>
    <xf numFmtId="38" fontId="6" fillId="2" borderId="59" xfId="0" applyNumberFormat="1" applyFont="1" applyFill="1" applyBorder="1" applyAlignment="1">
      <alignment horizontal="center" vertical="center" wrapText="1"/>
    </xf>
    <xf numFmtId="180" fontId="6" fillId="0" borderId="59" xfId="0" applyNumberFormat="1" applyFont="1" applyBorder="1" applyAlignment="1">
      <alignment horizontal="center" vertical="center" wrapText="1"/>
    </xf>
    <xf numFmtId="180" fontId="6" fillId="0" borderId="34" xfId="0" applyNumberFormat="1" applyFont="1" applyBorder="1" applyAlignment="1">
      <alignment horizontal="center" vertical="center" wrapText="1"/>
    </xf>
    <xf numFmtId="180" fontId="6" fillId="0" borderId="29" xfId="0" applyNumberFormat="1" applyFont="1" applyBorder="1" applyAlignment="1">
      <alignment horizontal="center" vertical="center" wrapText="1"/>
    </xf>
    <xf numFmtId="0" fontId="17" fillId="5" borderId="2" xfId="0" applyFont="1" applyFill="1" applyBorder="1" applyAlignment="1">
      <alignment vertical="center" wrapText="1"/>
    </xf>
    <xf numFmtId="180" fontId="46" fillId="17" borderId="2" xfId="0" applyNumberFormat="1" applyFont="1" applyFill="1" applyBorder="1" applyAlignment="1">
      <alignment horizontal="center" vertical="center" wrapText="1"/>
    </xf>
    <xf numFmtId="180" fontId="6" fillId="0" borderId="8" xfId="0" applyNumberFormat="1" applyFont="1" applyBorder="1" applyAlignment="1">
      <alignment horizontal="center" vertical="center" wrapText="1"/>
    </xf>
    <xf numFmtId="38" fontId="0" fillId="0" borderId="0" xfId="0" applyNumberFormat="1">
      <alignment vertical="center"/>
    </xf>
    <xf numFmtId="180" fontId="6" fillId="5" borderId="2" xfId="0" applyNumberFormat="1" applyFont="1" applyFill="1" applyBorder="1" applyAlignment="1">
      <alignment horizontal="center" vertical="center" wrapText="1"/>
    </xf>
    <xf numFmtId="185" fontId="14" fillId="0" borderId="0" xfId="0" applyNumberFormat="1" applyFont="1">
      <alignment vertical="center"/>
    </xf>
    <xf numFmtId="0" fontId="48" fillId="0" borderId="0" xfId="0" applyFont="1">
      <alignment vertical="center"/>
    </xf>
    <xf numFmtId="182" fontId="15" fillId="0" borderId="0" xfId="0" applyNumberFormat="1" applyFont="1" applyAlignment="1">
      <alignment horizontal="right" vertical="center"/>
    </xf>
    <xf numFmtId="186" fontId="15" fillId="0" borderId="0" xfId="0" applyNumberFormat="1" applyFont="1" applyAlignment="1">
      <alignment horizontal="right" vertical="center"/>
    </xf>
    <xf numFmtId="182" fontId="15" fillId="21" borderId="0" xfId="0" applyNumberFormat="1" applyFont="1" applyFill="1" applyAlignment="1">
      <alignment horizontal="left" vertical="center"/>
    </xf>
    <xf numFmtId="0" fontId="6" fillId="0" borderId="0" xfId="0" applyFont="1" applyAlignment="1">
      <alignment horizontal="center" vertical="center" wrapText="1"/>
    </xf>
    <xf numFmtId="180" fontId="49" fillId="17" borderId="2" xfId="0" applyNumberFormat="1" applyFont="1" applyFill="1" applyBorder="1" applyAlignment="1">
      <alignment horizontal="center" vertical="center" wrapText="1"/>
    </xf>
    <xf numFmtId="14" fontId="14" fillId="21" borderId="0" xfId="0" applyNumberFormat="1" applyFont="1" applyFill="1">
      <alignment vertical="center"/>
    </xf>
    <xf numFmtId="182" fontId="14" fillId="21" borderId="0" xfId="0" applyNumberFormat="1" applyFont="1" applyFill="1" applyAlignment="1">
      <alignment horizontal="left" vertical="center"/>
    </xf>
    <xf numFmtId="185" fontId="14" fillId="22" borderId="0" xfId="0" applyNumberFormat="1" applyFont="1" applyFill="1" applyAlignment="1">
      <alignment horizontal="left" vertical="center"/>
    </xf>
    <xf numFmtId="14" fontId="14" fillId="21" borderId="0" xfId="0" applyNumberFormat="1" applyFont="1" applyFill="1" applyAlignment="1">
      <alignment horizontal="left" vertical="center"/>
    </xf>
    <xf numFmtId="182" fontId="14" fillId="2" borderId="0" xfId="0" applyNumberFormat="1" applyFont="1" applyFill="1" applyAlignment="1">
      <alignment horizontal="left" vertical="center"/>
    </xf>
    <xf numFmtId="182" fontId="14" fillId="0" borderId="0" xfId="0" applyNumberFormat="1" applyFont="1">
      <alignment vertical="center"/>
    </xf>
    <xf numFmtId="0" fontId="41" fillId="0" borderId="0" xfId="0" applyFont="1" applyAlignment="1">
      <alignment horizontal="left" vertical="center"/>
    </xf>
    <xf numFmtId="0" fontId="51" fillId="0" borderId="0" xfId="0" applyFont="1" applyAlignment="1">
      <alignment vertical="center" wrapText="1"/>
    </xf>
    <xf numFmtId="14" fontId="50" fillId="0" borderId="0" xfId="0" applyNumberFormat="1" applyFont="1">
      <alignment vertical="center"/>
    </xf>
    <xf numFmtId="180" fontId="38" fillId="0" borderId="8" xfId="0" applyNumberFormat="1" applyFont="1" applyBorder="1" applyAlignment="1">
      <alignment horizontal="center" vertical="center" wrapText="1"/>
    </xf>
    <xf numFmtId="14" fontId="48" fillId="21" borderId="0" xfId="0" applyNumberFormat="1" applyFont="1" applyFill="1" applyAlignment="1">
      <alignment horizontal="left" vertical="center"/>
    </xf>
    <xf numFmtId="180" fontId="38" fillId="0" borderId="2" xfId="0" applyNumberFormat="1" applyFont="1" applyBorder="1" applyAlignment="1">
      <alignment horizontal="center" vertical="center" wrapText="1"/>
    </xf>
    <xf numFmtId="38" fontId="6" fillId="0" borderId="0" xfId="0" applyNumberFormat="1" applyFont="1" applyAlignment="1">
      <alignment horizontal="right" vertical="center" wrapText="1"/>
    </xf>
    <xf numFmtId="0" fontId="6" fillId="0" borderId="14" xfId="0" applyFont="1" applyBorder="1" applyAlignment="1">
      <alignment vertical="center" wrapText="1"/>
    </xf>
    <xf numFmtId="180" fontId="6" fillId="0" borderId="0" xfId="0" applyNumberFormat="1" applyFont="1" applyAlignment="1">
      <alignment horizontal="center" vertical="center" wrapText="1"/>
    </xf>
    <xf numFmtId="180" fontId="6" fillId="9" borderId="2" xfId="0" applyNumberFormat="1" applyFont="1" applyFill="1" applyBorder="1" applyAlignment="1">
      <alignment horizontal="center" vertical="center" wrapText="1"/>
    </xf>
    <xf numFmtId="180" fontId="17" fillId="14" borderId="22" xfId="0" applyNumberFormat="1" applyFont="1" applyFill="1" applyBorder="1" applyAlignment="1">
      <alignment horizontal="center" vertical="center" wrapText="1"/>
    </xf>
    <xf numFmtId="180" fontId="6" fillId="0" borderId="10" xfId="0" applyNumberFormat="1" applyFont="1" applyBorder="1" applyAlignment="1">
      <alignment horizontal="center" vertical="center" wrapText="1"/>
    </xf>
    <xf numFmtId="180" fontId="5" fillId="0" borderId="2" xfId="0" applyNumberFormat="1" applyFont="1" applyBorder="1" applyAlignment="1">
      <alignment vertical="center" wrapText="1"/>
    </xf>
    <xf numFmtId="0" fontId="6" fillId="17" borderId="13" xfId="0" applyFont="1" applyFill="1" applyBorder="1" applyAlignment="1">
      <alignment horizontal="left" vertical="center"/>
    </xf>
    <xf numFmtId="0" fontId="6" fillId="17" borderId="12" xfId="0" applyFont="1" applyFill="1" applyBorder="1" applyAlignment="1">
      <alignment horizontal="left" vertical="center"/>
    </xf>
    <xf numFmtId="38" fontId="6" fillId="17" borderId="2" xfId="0" applyNumberFormat="1" applyFont="1" applyFill="1" applyBorder="1" applyAlignment="1">
      <alignment horizontal="center" vertical="center"/>
    </xf>
    <xf numFmtId="38" fontId="6" fillId="17" borderId="9" xfId="0" applyNumberFormat="1" applyFont="1" applyFill="1" applyBorder="1" applyAlignment="1">
      <alignment horizontal="center" vertical="center" wrapText="1"/>
    </xf>
    <xf numFmtId="0" fontId="22" fillId="9" borderId="31" xfId="0" applyFont="1" applyFill="1" applyBorder="1">
      <alignment vertical="center"/>
    </xf>
    <xf numFmtId="0" fontId="6" fillId="9" borderId="14" xfId="0" applyFont="1" applyFill="1" applyBorder="1" applyAlignment="1">
      <alignment horizontal="left" vertical="center"/>
    </xf>
    <xf numFmtId="0" fontId="6" fillId="9" borderId="14" xfId="0" applyFont="1" applyFill="1" applyBorder="1">
      <alignment vertical="center"/>
    </xf>
    <xf numFmtId="0" fontId="6" fillId="9" borderId="63" xfId="0" applyFont="1" applyFill="1" applyBorder="1" applyAlignment="1">
      <alignment horizontal="left" vertical="center"/>
    </xf>
    <xf numFmtId="38" fontId="6" fillId="9" borderId="59" xfId="0" applyNumberFormat="1" applyFont="1" applyFill="1" applyBorder="1" applyAlignment="1">
      <alignment horizontal="center" vertical="center"/>
    </xf>
    <xf numFmtId="38" fontId="6" fillId="9" borderId="84" xfId="0" applyNumberFormat="1" applyFont="1" applyFill="1" applyBorder="1" applyAlignment="1">
      <alignment horizontal="center" vertical="center" wrapText="1"/>
    </xf>
    <xf numFmtId="180" fontId="17" fillId="9" borderId="87" xfId="0" applyNumberFormat="1" applyFont="1" applyFill="1" applyBorder="1" applyAlignment="1">
      <alignment horizontal="center" vertical="center" wrapText="1"/>
    </xf>
    <xf numFmtId="180" fontId="6" fillId="9" borderId="87" xfId="0" applyNumberFormat="1" applyFont="1" applyFill="1" applyBorder="1" applyAlignment="1">
      <alignment horizontal="center" vertical="center" wrapText="1"/>
    </xf>
    <xf numFmtId="180" fontId="6" fillId="9" borderId="88" xfId="0" applyNumberFormat="1" applyFont="1" applyFill="1" applyBorder="1" applyAlignment="1">
      <alignment horizontal="center" vertical="center" wrapText="1"/>
    </xf>
    <xf numFmtId="180" fontId="6" fillId="9" borderId="84" xfId="0" applyNumberFormat="1" applyFont="1" applyFill="1" applyBorder="1" applyAlignment="1">
      <alignment horizontal="center" vertical="center" wrapText="1"/>
    </xf>
    <xf numFmtId="180" fontId="5" fillId="9" borderId="84" xfId="0" applyNumberFormat="1" applyFont="1" applyFill="1" applyBorder="1" applyAlignment="1">
      <alignment horizontal="center" vertical="center" wrapText="1"/>
    </xf>
    <xf numFmtId="38" fontId="6" fillId="17" borderId="34" xfId="0" applyNumberFormat="1" applyFont="1" applyFill="1" applyBorder="1" applyAlignment="1">
      <alignment horizontal="center" vertical="center" wrapText="1"/>
    </xf>
    <xf numFmtId="0" fontId="6" fillId="17" borderId="34" xfId="0" applyFont="1" applyFill="1" applyBorder="1" applyAlignment="1">
      <alignment horizontal="left" vertical="center" wrapText="1"/>
    </xf>
    <xf numFmtId="0" fontId="6" fillId="17" borderId="34" xfId="0" applyFont="1" applyFill="1" applyBorder="1" applyAlignment="1">
      <alignment vertical="center" wrapText="1"/>
    </xf>
    <xf numFmtId="0" fontId="6" fillId="17" borderId="11" xfId="0" applyFont="1" applyFill="1" applyBorder="1" applyAlignment="1">
      <alignment horizontal="left" vertical="center" wrapText="1"/>
    </xf>
    <xf numFmtId="38" fontId="6" fillId="17" borderId="11" xfId="0" applyNumberFormat="1" applyFont="1" applyFill="1" applyBorder="1" applyAlignment="1">
      <alignment horizontal="center" vertical="center" wrapText="1"/>
    </xf>
    <xf numFmtId="180" fontId="8" fillId="0" borderId="9" xfId="0" applyNumberFormat="1" applyFont="1" applyBorder="1" applyAlignment="1">
      <alignment horizontal="center" vertical="center" wrapText="1"/>
    </xf>
    <xf numFmtId="0" fontId="6" fillId="0" borderId="13" xfId="0" applyFont="1" applyBorder="1" applyAlignment="1">
      <alignment horizontal="left" vertical="center"/>
    </xf>
    <xf numFmtId="178" fontId="5" fillId="0" borderId="11" xfId="0" applyNumberFormat="1" applyFont="1" applyBorder="1" applyAlignment="1">
      <alignment horizontal="left"/>
    </xf>
    <xf numFmtId="178" fontId="5" fillId="0" borderId="0" xfId="0" applyNumberFormat="1" applyFont="1" applyAlignment="1">
      <alignment horizontal="left"/>
    </xf>
    <xf numFmtId="14" fontId="14" fillId="0" borderId="0" xfId="0" applyNumberFormat="1" applyFont="1" applyAlignment="1">
      <alignment horizontal="left" vertical="center"/>
    </xf>
    <xf numFmtId="0" fontId="39" fillId="0" borderId="0" xfId="0" applyFont="1">
      <alignment vertical="center"/>
    </xf>
    <xf numFmtId="179" fontId="0" fillId="12" borderId="0" xfId="0" applyNumberFormat="1" applyFill="1" applyAlignment="1">
      <alignment horizontal="center" vertical="center"/>
    </xf>
    <xf numFmtId="180" fontId="8" fillId="20" borderId="2" xfId="0" applyNumberFormat="1" applyFont="1" applyFill="1" applyBorder="1" applyAlignment="1">
      <alignment horizontal="center" vertical="center" wrapText="1"/>
    </xf>
    <xf numFmtId="0" fontId="53" fillId="0" borderId="0" xfId="0" applyFont="1">
      <alignment vertical="center"/>
    </xf>
    <xf numFmtId="187" fontId="54" fillId="0" borderId="9" xfId="0" applyNumberFormat="1" applyFont="1" applyBorder="1">
      <alignment vertical="center"/>
    </xf>
    <xf numFmtId="0" fontId="55" fillId="0" borderId="60" xfId="0" applyFont="1" applyBorder="1">
      <alignment vertical="center"/>
    </xf>
    <xf numFmtId="0" fontId="55" fillId="0" borderId="10" xfId="0" applyFont="1" applyBorder="1">
      <alignment vertical="center"/>
    </xf>
    <xf numFmtId="0" fontId="54" fillId="0" borderId="9" xfId="0" applyFont="1" applyBorder="1">
      <alignment vertical="center"/>
    </xf>
    <xf numFmtId="0" fontId="53" fillId="0" borderId="2" xfId="0" applyFont="1" applyBorder="1">
      <alignment vertical="center"/>
    </xf>
    <xf numFmtId="187" fontId="53" fillId="0" borderId="2" xfId="0" applyNumberFormat="1" applyFont="1" applyBorder="1">
      <alignment vertical="center"/>
    </xf>
    <xf numFmtId="177" fontId="53" fillId="0" borderId="2" xfId="0" applyNumberFormat="1" applyFont="1" applyBorder="1">
      <alignment vertical="center"/>
    </xf>
    <xf numFmtId="177" fontId="55" fillId="0" borderId="2" xfId="0" applyNumberFormat="1" applyFont="1" applyBorder="1">
      <alignment vertical="center"/>
    </xf>
    <xf numFmtId="179" fontId="53" fillId="0" borderId="2" xfId="0" applyNumberFormat="1" applyFont="1" applyBorder="1">
      <alignment vertical="center"/>
    </xf>
    <xf numFmtId="179" fontId="55" fillId="0" borderId="2" xfId="0" applyNumberFormat="1" applyFont="1" applyBorder="1">
      <alignment vertical="center"/>
    </xf>
    <xf numFmtId="180" fontId="56" fillId="0" borderId="2" xfId="0" applyNumberFormat="1" applyFont="1" applyBorder="1">
      <alignment vertical="center"/>
    </xf>
    <xf numFmtId="180" fontId="55" fillId="0" borderId="2" xfId="0" applyNumberFormat="1" applyFont="1" applyBorder="1">
      <alignment vertical="center"/>
    </xf>
    <xf numFmtId="180" fontId="53" fillId="0" borderId="2" xfId="0" applyNumberFormat="1" applyFont="1" applyBorder="1">
      <alignment vertical="center"/>
    </xf>
    <xf numFmtId="0" fontId="56" fillId="0" borderId="2" xfId="0" applyFont="1" applyBorder="1">
      <alignment vertical="center"/>
    </xf>
    <xf numFmtId="0" fontId="16" fillId="0" borderId="2" xfId="0" applyFont="1" applyBorder="1">
      <alignment vertical="center"/>
    </xf>
    <xf numFmtId="179" fontId="56" fillId="0" borderId="2" xfId="0" applyNumberFormat="1" applyFont="1" applyBorder="1">
      <alignment vertical="center"/>
    </xf>
    <xf numFmtId="179" fontId="16" fillId="0" borderId="2" xfId="0" applyNumberFormat="1" applyFont="1" applyBorder="1">
      <alignment vertical="center"/>
    </xf>
    <xf numFmtId="10" fontId="56" fillId="0" borderId="2" xfId="0" applyNumberFormat="1" applyFont="1" applyBorder="1">
      <alignment vertical="center"/>
    </xf>
    <xf numFmtId="10" fontId="16" fillId="0" borderId="2" xfId="0" applyNumberFormat="1" applyFont="1" applyBorder="1">
      <alignment vertical="center"/>
    </xf>
    <xf numFmtId="177" fontId="56" fillId="0" borderId="2" xfId="0" applyNumberFormat="1" applyFont="1" applyBorder="1">
      <alignment vertical="center"/>
    </xf>
    <xf numFmtId="177" fontId="16" fillId="0" borderId="2" xfId="0" applyNumberFormat="1" applyFont="1" applyBorder="1">
      <alignment vertical="center"/>
    </xf>
    <xf numFmtId="180" fontId="16" fillId="0" borderId="2" xfId="0" applyNumberFormat="1" applyFont="1" applyBorder="1">
      <alignment vertical="center"/>
    </xf>
    <xf numFmtId="9" fontId="53" fillId="0" borderId="0" xfId="0" applyNumberFormat="1" applyFont="1">
      <alignment vertical="center"/>
    </xf>
    <xf numFmtId="38" fontId="53" fillId="0" borderId="2" xfId="0" applyNumberFormat="1" applyFont="1" applyBorder="1">
      <alignment vertical="center"/>
    </xf>
    <xf numFmtId="176" fontId="56" fillId="0" borderId="2" xfId="0" applyNumberFormat="1" applyFont="1" applyBorder="1">
      <alignment vertical="center"/>
    </xf>
    <xf numFmtId="176" fontId="16" fillId="0" borderId="2" xfId="0" applyNumberFormat="1" applyFont="1" applyBorder="1">
      <alignment vertical="center"/>
    </xf>
    <xf numFmtId="0" fontId="0" fillId="0" borderId="10" xfId="0" applyBorder="1">
      <alignment vertical="center"/>
    </xf>
    <xf numFmtId="0" fontId="31" fillId="9" borderId="61" xfId="0" applyFont="1" applyFill="1" applyBorder="1" applyAlignment="1">
      <alignment horizontal="center" vertical="center"/>
    </xf>
    <xf numFmtId="0" fontId="31" fillId="9" borderId="17" xfId="0" applyFont="1" applyFill="1" applyBorder="1" applyAlignment="1">
      <alignment horizontal="center" vertical="center"/>
    </xf>
    <xf numFmtId="0" fontId="31" fillId="9" borderId="12" xfId="0" applyFont="1" applyFill="1" applyBorder="1" applyAlignment="1">
      <alignment horizontal="center" vertical="center"/>
    </xf>
    <xf numFmtId="0" fontId="55" fillId="0" borderId="0" xfId="0" applyFont="1">
      <alignment vertical="center"/>
    </xf>
    <xf numFmtId="0" fontId="55" fillId="0" borderId="2" xfId="0" applyFont="1" applyBorder="1">
      <alignment vertical="center"/>
    </xf>
    <xf numFmtId="177" fontId="42" fillId="0" borderId="2" xfId="0" applyNumberFormat="1" applyFont="1" applyBorder="1">
      <alignment vertical="center"/>
    </xf>
    <xf numFmtId="179" fontId="58" fillId="0" borderId="2" xfId="0" applyNumberFormat="1" applyFont="1" applyBorder="1">
      <alignment vertical="center"/>
    </xf>
    <xf numFmtId="180" fontId="42" fillId="0" borderId="2" xfId="0" applyNumberFormat="1" applyFont="1" applyBorder="1">
      <alignment vertical="center"/>
    </xf>
    <xf numFmtId="180" fontId="53" fillId="0" borderId="0" xfId="0" applyNumberFormat="1" applyFont="1">
      <alignment vertical="center"/>
    </xf>
    <xf numFmtId="0" fontId="42" fillId="0" borderId="2" xfId="0" applyFont="1" applyBorder="1">
      <alignment vertical="center"/>
    </xf>
    <xf numFmtId="176" fontId="42" fillId="0" borderId="2" xfId="0" applyNumberFormat="1" applyFont="1" applyBorder="1">
      <alignment vertical="center"/>
    </xf>
    <xf numFmtId="10" fontId="42" fillId="0" borderId="2" xfId="0" applyNumberFormat="1" applyFont="1" applyBorder="1">
      <alignment vertical="center"/>
    </xf>
    <xf numFmtId="179" fontId="42" fillId="0" borderId="2" xfId="0" applyNumberFormat="1" applyFont="1" applyBorder="1">
      <alignment vertical="center"/>
    </xf>
    <xf numFmtId="176" fontId="16" fillId="0" borderId="0" xfId="0" applyNumberFormat="1" applyFont="1">
      <alignment vertical="center"/>
    </xf>
    <xf numFmtId="10" fontId="0" fillId="0" borderId="0" xfId="0" applyNumberFormat="1">
      <alignment vertical="center"/>
    </xf>
    <xf numFmtId="10" fontId="53" fillId="0" borderId="0" xfId="0" applyNumberFormat="1" applyFont="1">
      <alignment vertical="center"/>
    </xf>
    <xf numFmtId="0" fontId="53" fillId="0" borderId="59" xfId="0" applyFont="1" applyBorder="1">
      <alignment vertical="center"/>
    </xf>
    <xf numFmtId="0" fontId="55" fillId="0" borderId="59" xfId="0" applyFont="1" applyBorder="1">
      <alignment vertical="center"/>
    </xf>
    <xf numFmtId="0" fontId="31" fillId="18" borderId="62" xfId="0" applyFont="1" applyFill="1" applyBorder="1" applyAlignment="1">
      <alignment horizontal="center" vertical="center"/>
    </xf>
    <xf numFmtId="0" fontId="0" fillId="0" borderId="9" xfId="0" applyBorder="1">
      <alignment vertical="center"/>
    </xf>
    <xf numFmtId="9" fontId="53" fillId="0" borderId="2" xfId="0" applyNumberFormat="1" applyFont="1" applyBorder="1">
      <alignment vertical="center"/>
    </xf>
    <xf numFmtId="0" fontId="31" fillId="18" borderId="11" xfId="0" applyFont="1" applyFill="1" applyBorder="1" applyAlignment="1">
      <alignment horizontal="center" vertical="center"/>
    </xf>
    <xf numFmtId="177" fontId="53" fillId="0" borderId="0" xfId="0" applyNumberFormat="1" applyFont="1">
      <alignment vertical="center"/>
    </xf>
    <xf numFmtId="0" fontId="0" fillId="0" borderId="60" xfId="0" applyBorder="1">
      <alignment vertical="center"/>
    </xf>
    <xf numFmtId="0" fontId="31" fillId="18" borderId="8" xfId="0" applyFont="1" applyFill="1" applyBorder="1" applyAlignment="1">
      <alignment horizontal="center" vertical="center"/>
    </xf>
    <xf numFmtId="0" fontId="31" fillId="17" borderId="62" xfId="0" applyFont="1" applyFill="1" applyBorder="1" applyAlignment="1">
      <alignment horizontal="center" vertical="center"/>
    </xf>
    <xf numFmtId="179" fontId="53" fillId="0" borderId="0" xfId="0" applyNumberFormat="1" applyFont="1">
      <alignment vertical="center"/>
    </xf>
    <xf numFmtId="0" fontId="31" fillId="17" borderId="8" xfId="0" applyFont="1" applyFill="1" applyBorder="1" applyAlignment="1">
      <alignment horizontal="center" vertical="center"/>
    </xf>
    <xf numFmtId="0" fontId="31" fillId="9" borderId="62" xfId="0" applyFont="1" applyFill="1" applyBorder="1" applyAlignment="1">
      <alignment horizontal="center" vertical="center"/>
    </xf>
    <xf numFmtId="0" fontId="31" fillId="9" borderId="11" xfId="0" applyFont="1" applyFill="1" applyBorder="1" applyAlignment="1">
      <alignment horizontal="center" vertical="center"/>
    </xf>
    <xf numFmtId="0" fontId="31" fillId="9" borderId="8" xfId="0" applyFont="1" applyFill="1" applyBorder="1" applyAlignment="1">
      <alignment horizontal="center" vertical="center"/>
    </xf>
    <xf numFmtId="0" fontId="6" fillId="0" borderId="0" xfId="0" applyFont="1" applyAlignment="1">
      <alignment horizontal="left" vertical="center"/>
    </xf>
    <xf numFmtId="0" fontId="0" fillId="0" borderId="0" xfId="0" quotePrefix="1">
      <alignment vertical="center"/>
    </xf>
    <xf numFmtId="0" fontId="6" fillId="0" borderId="55" xfId="0" applyFont="1" applyBorder="1" applyAlignment="1">
      <alignment horizontal="center" vertical="center" wrapText="1"/>
    </xf>
    <xf numFmtId="0" fontId="6" fillId="0" borderId="56"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8" xfId="0" applyFont="1" applyBorder="1" applyAlignment="1">
      <alignment horizontal="left" vertical="center"/>
    </xf>
    <xf numFmtId="38" fontId="6" fillId="0" borderId="14" xfId="0" applyNumberFormat="1" applyFont="1" applyBorder="1" applyAlignment="1">
      <alignment horizontal="center" vertical="center"/>
    </xf>
    <xf numFmtId="0" fontId="35" fillId="0" borderId="0" xfId="0" applyFont="1" applyAlignment="1">
      <alignment vertical="center" wrapText="1"/>
    </xf>
    <xf numFmtId="38" fontId="17" fillId="9" borderId="10" xfId="0" applyNumberFormat="1" applyFont="1" applyFill="1" applyBorder="1" applyAlignment="1">
      <alignment horizontal="center" vertical="center" wrapText="1"/>
    </xf>
    <xf numFmtId="180" fontId="6" fillId="9" borderId="21" xfId="0" applyNumberFormat="1" applyFont="1" applyFill="1" applyBorder="1" applyAlignment="1">
      <alignment horizontal="center" vertical="center" wrapText="1"/>
    </xf>
    <xf numFmtId="180" fontId="6" fillId="9" borderId="7" xfId="0" applyNumberFormat="1" applyFont="1" applyFill="1" applyBorder="1" applyAlignment="1">
      <alignment horizontal="center" vertical="center" wrapText="1"/>
    </xf>
    <xf numFmtId="38" fontId="5" fillId="9" borderId="21" xfId="0" applyNumberFormat="1" applyFont="1" applyFill="1" applyBorder="1" applyAlignment="1">
      <alignment vertical="center" wrapText="1"/>
    </xf>
    <xf numFmtId="180" fontId="24" fillId="9" borderId="2" xfId="0" applyNumberFormat="1" applyFont="1" applyFill="1" applyBorder="1" applyAlignment="1">
      <alignment vertical="center" wrapText="1"/>
    </xf>
    <xf numFmtId="180" fontId="17" fillId="9" borderId="46" xfId="0" applyNumberFormat="1" applyFont="1" applyFill="1" applyBorder="1" applyAlignment="1">
      <alignment horizontal="center" vertical="center" wrapText="1"/>
    </xf>
    <xf numFmtId="38" fontId="24" fillId="9" borderId="21" xfId="0" applyNumberFormat="1" applyFont="1" applyFill="1" applyBorder="1" applyAlignment="1">
      <alignment vertical="center" wrapText="1"/>
    </xf>
    <xf numFmtId="0" fontId="17" fillId="0" borderId="59" xfId="0" applyFont="1" applyBorder="1" applyAlignment="1">
      <alignment horizontal="left" vertical="center"/>
    </xf>
    <xf numFmtId="180" fontId="17" fillId="9" borderId="21" xfId="0" applyNumberFormat="1" applyFont="1" applyFill="1" applyBorder="1" applyAlignment="1">
      <alignment horizontal="center" vertical="center" wrapText="1"/>
    </xf>
    <xf numFmtId="180" fontId="17" fillId="9" borderId="7" xfId="0" applyNumberFormat="1" applyFont="1" applyFill="1" applyBorder="1" applyAlignment="1">
      <alignment horizontal="center" vertical="center" wrapText="1"/>
    </xf>
    <xf numFmtId="38" fontId="23" fillId="9" borderId="59" xfId="0" applyNumberFormat="1" applyFont="1" applyFill="1" applyBorder="1" applyAlignment="1">
      <alignment horizontal="center" vertical="center"/>
    </xf>
    <xf numFmtId="180" fontId="23" fillId="9" borderId="46" xfId="0" applyNumberFormat="1" applyFont="1" applyFill="1" applyBorder="1" applyAlignment="1">
      <alignment horizontal="center" vertical="center"/>
    </xf>
    <xf numFmtId="180" fontId="23" fillId="9" borderId="46" xfId="0" applyNumberFormat="1" applyFont="1" applyFill="1" applyBorder="1">
      <alignment vertical="center"/>
    </xf>
    <xf numFmtId="0" fontId="0" fillId="0" borderId="97" xfId="0" applyBorder="1">
      <alignment vertical="center"/>
    </xf>
    <xf numFmtId="0" fontId="6" fillId="17" borderId="10" xfId="0" applyFont="1" applyFill="1" applyBorder="1" applyAlignment="1">
      <alignment horizontal="left" vertical="center" wrapText="1"/>
    </xf>
    <xf numFmtId="180" fontId="25" fillId="2" borderId="8" xfId="0" applyNumberFormat="1" applyFont="1" applyFill="1" applyBorder="1" applyAlignment="1">
      <alignment horizontal="center" vertical="center" wrapText="1"/>
    </xf>
    <xf numFmtId="180" fontId="45" fillId="0" borderId="2" xfId="0" applyNumberFormat="1" applyFont="1" applyBorder="1" applyAlignment="1">
      <alignment horizontal="center" vertical="center" wrapText="1"/>
    </xf>
    <xf numFmtId="180" fontId="25" fillId="0" borderId="9" xfId="0" applyNumberFormat="1" applyFont="1" applyBorder="1" applyAlignment="1">
      <alignment horizontal="center" vertical="center" wrapText="1"/>
    </xf>
    <xf numFmtId="0" fontId="0" fillId="5" borderId="0" xfId="0" applyFill="1">
      <alignment vertical="center"/>
    </xf>
    <xf numFmtId="0" fontId="41" fillId="0" borderId="0" xfId="0" applyFont="1" applyAlignment="1">
      <alignment horizontal="right" vertical="center"/>
    </xf>
    <xf numFmtId="14" fontId="14" fillId="0" borderId="0" xfId="0" applyNumberFormat="1" applyFont="1" applyAlignment="1">
      <alignment horizontal="center" vertical="center"/>
    </xf>
    <xf numFmtId="181" fontId="63" fillId="0" borderId="0" xfId="0" applyNumberFormat="1" applyFont="1">
      <alignment vertical="center"/>
    </xf>
    <xf numFmtId="182" fontId="15" fillId="0" borderId="0" xfId="0" applyNumberFormat="1" applyFont="1">
      <alignment vertical="center"/>
    </xf>
    <xf numFmtId="184" fontId="15" fillId="0" borderId="0" xfId="0" applyNumberFormat="1" applyFont="1">
      <alignment vertical="center"/>
    </xf>
    <xf numFmtId="14" fontId="14" fillId="3" borderId="0" xfId="0" applyNumberFormat="1" applyFont="1" applyFill="1">
      <alignment vertical="center"/>
    </xf>
    <xf numFmtId="14" fontId="15" fillId="0" borderId="0" xfId="0" applyNumberFormat="1" applyFont="1" applyAlignment="1">
      <alignment horizontal="left" vertical="center"/>
    </xf>
    <xf numFmtId="0" fontId="14" fillId="0" borderId="0" xfId="0" applyFont="1" applyAlignment="1">
      <alignment vertical="center" wrapText="1"/>
    </xf>
    <xf numFmtId="182" fontId="14" fillId="0" borderId="0" xfId="0" applyNumberFormat="1" applyFont="1" applyAlignment="1">
      <alignment vertical="center" wrapText="1"/>
    </xf>
    <xf numFmtId="0" fontId="41" fillId="0" borderId="0" xfId="0" applyFont="1" applyAlignment="1">
      <alignment horizontal="center" vertical="center"/>
    </xf>
    <xf numFmtId="182" fontId="15" fillId="24" borderId="0" xfId="0" applyNumberFormat="1" applyFont="1" applyFill="1" applyAlignment="1">
      <alignment horizontal="left" vertical="center"/>
    </xf>
    <xf numFmtId="14" fontId="15" fillId="24" borderId="0" xfId="0" applyNumberFormat="1" applyFont="1" applyFill="1">
      <alignment vertical="center"/>
    </xf>
    <xf numFmtId="14" fontId="15" fillId="24" borderId="0" xfId="0" applyNumberFormat="1" applyFont="1" applyFill="1" applyAlignment="1">
      <alignment horizontal="right" vertical="center"/>
    </xf>
    <xf numFmtId="38" fontId="6" fillId="2" borderId="14" xfId="0" applyNumberFormat="1" applyFont="1" applyFill="1" applyBorder="1" applyAlignment="1">
      <alignment horizontal="center" vertical="center"/>
    </xf>
    <xf numFmtId="180" fontId="0" fillId="0" borderId="2" xfId="0" applyNumberFormat="1" applyBorder="1">
      <alignment vertical="center"/>
    </xf>
    <xf numFmtId="2" fontId="0" fillId="0" borderId="2" xfId="0" applyNumberFormat="1" applyBorder="1">
      <alignment vertical="center"/>
    </xf>
    <xf numFmtId="180" fontId="6" fillId="0" borderId="46" xfId="0" applyNumberFormat="1" applyFont="1" applyBorder="1" applyAlignment="1">
      <alignment horizontal="center" vertical="center" wrapText="1"/>
    </xf>
    <xf numFmtId="180" fontId="6" fillId="0" borderId="31" xfId="0" applyNumberFormat="1" applyFont="1" applyBorder="1" applyAlignment="1">
      <alignment horizontal="center" vertical="center" wrapText="1"/>
    </xf>
    <xf numFmtId="0" fontId="6" fillId="0" borderId="56" xfId="0" applyFont="1" applyBorder="1" applyAlignment="1">
      <alignment vertical="center" wrapText="1"/>
    </xf>
    <xf numFmtId="0" fontId="6" fillId="0" borderId="31" xfId="0" applyFont="1" applyBorder="1" applyAlignment="1">
      <alignment vertical="center" wrapText="1"/>
    </xf>
    <xf numFmtId="0" fontId="6" fillId="0" borderId="28" xfId="0" applyFont="1" applyBorder="1" applyAlignment="1">
      <alignment vertical="center" wrapText="1"/>
    </xf>
    <xf numFmtId="180" fontId="26" fillId="0" borderId="2" xfId="0" applyNumberFormat="1" applyFont="1" applyBorder="1" applyAlignment="1">
      <alignment horizontal="center" vertical="center"/>
    </xf>
    <xf numFmtId="0" fontId="26" fillId="0" borderId="9" xfId="0" applyFont="1" applyBorder="1" applyAlignment="1">
      <alignment horizontal="center" vertical="center"/>
    </xf>
    <xf numFmtId="0" fontId="26" fillId="0" borderId="7" xfId="0" applyFont="1" applyBorder="1" applyAlignment="1">
      <alignment horizontal="center" vertical="center"/>
    </xf>
    <xf numFmtId="0" fontId="26" fillId="0" borderId="21" xfId="0" applyFont="1" applyBorder="1" applyAlignment="1">
      <alignment horizontal="center" vertical="center"/>
    </xf>
    <xf numFmtId="0" fontId="26" fillId="0" borderId="2" xfId="0" applyFont="1" applyBorder="1">
      <alignment vertical="center"/>
    </xf>
    <xf numFmtId="180" fontId="6" fillId="2" borderId="14" xfId="0" applyNumberFormat="1" applyFont="1" applyFill="1" applyBorder="1" applyAlignment="1">
      <alignment horizontal="center" vertical="center" wrapText="1"/>
    </xf>
    <xf numFmtId="180" fontId="17" fillId="2" borderId="14" xfId="0" applyNumberFormat="1" applyFont="1" applyFill="1" applyBorder="1" applyAlignment="1">
      <alignment horizontal="center" vertical="center" wrapText="1"/>
    </xf>
    <xf numFmtId="38" fontId="6" fillId="0" borderId="2" xfId="0" applyNumberFormat="1" applyFont="1" applyBorder="1" applyAlignment="1">
      <alignment horizontal="right" vertical="center" wrapText="1"/>
    </xf>
    <xf numFmtId="38" fontId="6" fillId="9" borderId="2" xfId="0" applyNumberFormat="1" applyFont="1" applyFill="1" applyBorder="1" applyAlignment="1">
      <alignment horizontal="right" vertical="center" wrapText="1"/>
    </xf>
    <xf numFmtId="38" fontId="6" fillId="0" borderId="14" xfId="0" applyNumberFormat="1" applyFont="1" applyBorder="1" applyAlignment="1">
      <alignment horizontal="right" vertical="center" wrapText="1"/>
    </xf>
    <xf numFmtId="185" fontId="15" fillId="0" borderId="0" xfId="0" applyNumberFormat="1" applyFont="1" applyAlignment="1">
      <alignment horizontal="right" vertical="center"/>
    </xf>
    <xf numFmtId="26" fontId="15" fillId="0" borderId="0" xfId="0" applyNumberFormat="1" applyFont="1">
      <alignment vertical="center"/>
    </xf>
    <xf numFmtId="185" fontId="14" fillId="0" borderId="0" xfId="0" applyNumberFormat="1" applyFont="1" applyAlignment="1">
      <alignment horizontal="right" vertical="center"/>
    </xf>
    <xf numFmtId="0" fontId="64" fillId="0" borderId="0" xfId="0" applyFont="1" applyAlignment="1">
      <alignment vertical="center" wrapText="1"/>
    </xf>
    <xf numFmtId="14" fontId="65" fillId="0" borderId="0" xfId="0" applyNumberFormat="1" applyFont="1" applyAlignment="1">
      <alignment horizontal="right" vertical="center"/>
    </xf>
    <xf numFmtId="189" fontId="15" fillId="0" borderId="0" xfId="0" applyNumberFormat="1" applyFont="1">
      <alignment vertical="center"/>
    </xf>
    <xf numFmtId="185" fontId="41" fillId="0" borderId="0" xfId="0" applyNumberFormat="1" applyFont="1" applyAlignment="1">
      <alignment horizontal="right" vertical="center"/>
    </xf>
    <xf numFmtId="0" fontId="41" fillId="0" borderId="0" xfId="0" applyFont="1">
      <alignment vertical="center"/>
    </xf>
    <xf numFmtId="26" fontId="41" fillId="0" borderId="0" xfId="0" applyNumberFormat="1" applyFont="1" applyAlignment="1">
      <alignment horizontal="right" vertical="center"/>
    </xf>
    <xf numFmtId="14" fontId="41" fillId="0" borderId="0" xfId="0" applyNumberFormat="1" applyFont="1">
      <alignment vertical="center"/>
    </xf>
    <xf numFmtId="182" fontId="41" fillId="0" borderId="0" xfId="0" applyNumberFormat="1" applyFont="1" applyAlignment="1">
      <alignment horizontal="right" vertical="center"/>
    </xf>
    <xf numFmtId="14" fontId="41" fillId="0" borderId="0" xfId="0" applyNumberFormat="1" applyFont="1" applyAlignment="1">
      <alignment horizontal="right" vertical="center"/>
    </xf>
    <xf numFmtId="185" fontId="41" fillId="0" borderId="0" xfId="0" applyNumberFormat="1" applyFont="1">
      <alignment vertical="center"/>
    </xf>
    <xf numFmtId="181" fontId="41" fillId="0" borderId="0" xfId="0" applyNumberFormat="1" applyFont="1">
      <alignment vertical="center"/>
    </xf>
    <xf numFmtId="0" fontId="66" fillId="0" borderId="0" xfId="0" applyFont="1">
      <alignment vertical="center"/>
    </xf>
    <xf numFmtId="182" fontId="41" fillId="0" borderId="0" xfId="0" applyNumberFormat="1" applyFont="1">
      <alignment vertical="center"/>
    </xf>
    <xf numFmtId="182" fontId="41" fillId="0" borderId="0" xfId="0" applyNumberFormat="1" applyFont="1" applyAlignment="1">
      <alignment horizontal="left" vertical="center"/>
    </xf>
    <xf numFmtId="38" fontId="6" fillId="9" borderId="34" xfId="0" applyNumberFormat="1" applyFont="1" applyFill="1" applyBorder="1" applyAlignment="1">
      <alignment horizontal="center" vertical="center" wrapText="1"/>
    </xf>
    <xf numFmtId="190" fontId="6" fillId="0" borderId="2" xfId="0" applyNumberFormat="1" applyFont="1" applyBorder="1" applyAlignment="1">
      <alignment horizontal="center" vertical="center" wrapText="1"/>
    </xf>
    <xf numFmtId="0" fontId="17" fillId="5" borderId="12" xfId="0" applyFont="1" applyFill="1" applyBorder="1" applyAlignment="1">
      <alignment horizontal="left" vertical="center" wrapText="1"/>
    </xf>
    <xf numFmtId="0" fontId="17" fillId="5" borderId="12" xfId="0" applyFont="1" applyFill="1" applyBorder="1" applyAlignment="1">
      <alignment vertical="center" wrapText="1"/>
    </xf>
    <xf numFmtId="180" fontId="6" fillId="0" borderId="58" xfId="0" applyNumberFormat="1" applyFont="1" applyBorder="1" applyAlignment="1">
      <alignment horizontal="center" vertical="center" wrapText="1"/>
    </xf>
    <xf numFmtId="0" fontId="17" fillId="5" borderId="12" xfId="0" applyFont="1" applyFill="1" applyBorder="1" applyAlignment="1">
      <alignment horizontal="left" vertical="center"/>
    </xf>
    <xf numFmtId="38" fontId="17" fillId="2" borderId="12" xfId="0" applyNumberFormat="1" applyFont="1" applyFill="1" applyBorder="1" applyAlignment="1">
      <alignment horizontal="center" vertical="center" wrapText="1"/>
    </xf>
    <xf numFmtId="180" fontId="17" fillId="2" borderId="12" xfId="0" applyNumberFormat="1" applyFont="1" applyFill="1" applyBorder="1" applyAlignment="1">
      <alignment horizontal="center" vertical="center" wrapText="1"/>
    </xf>
    <xf numFmtId="180" fontId="17" fillId="0" borderId="58" xfId="0" applyNumberFormat="1" applyFont="1" applyBorder="1" applyAlignment="1">
      <alignment horizontal="center" vertical="center" wrapText="1"/>
    </xf>
    <xf numFmtId="180" fontId="17" fillId="14" borderId="0" xfId="0" applyNumberFormat="1" applyFont="1" applyFill="1" applyAlignment="1">
      <alignment horizontal="center" vertical="center" wrapText="1"/>
    </xf>
    <xf numFmtId="180" fontId="17" fillId="14" borderId="2" xfId="0" applyNumberFormat="1" applyFont="1" applyFill="1" applyBorder="1" applyAlignment="1">
      <alignment horizontal="center" vertical="center" wrapText="1"/>
    </xf>
    <xf numFmtId="180" fontId="17" fillId="14" borderId="9" xfId="0" applyNumberFormat="1" applyFont="1" applyFill="1" applyBorder="1" applyAlignment="1">
      <alignment horizontal="center" vertical="center" wrapText="1"/>
    </xf>
    <xf numFmtId="0" fontId="28" fillId="0" borderId="0" xfId="0" applyFont="1">
      <alignment vertical="center"/>
    </xf>
    <xf numFmtId="0" fontId="6" fillId="5" borderId="14" xfId="0" applyFont="1" applyFill="1" applyBorder="1">
      <alignment vertical="center"/>
    </xf>
    <xf numFmtId="0" fontId="6" fillId="5" borderId="14" xfId="0" applyFont="1" applyFill="1" applyBorder="1" applyAlignment="1">
      <alignment horizontal="left" vertical="center"/>
    </xf>
    <xf numFmtId="0" fontId="6" fillId="5" borderId="8" xfId="0" applyFont="1" applyFill="1" applyBorder="1" applyAlignment="1">
      <alignment horizontal="center" vertical="center"/>
    </xf>
    <xf numFmtId="180" fontId="6" fillId="2" borderId="100" xfId="0" applyNumberFormat="1" applyFont="1" applyFill="1" applyBorder="1" applyAlignment="1">
      <alignment horizontal="center" vertical="center" wrapText="1"/>
    </xf>
    <xf numFmtId="0" fontId="6" fillId="5" borderId="2" xfId="0" applyFont="1" applyFill="1" applyBorder="1" applyAlignment="1">
      <alignment vertical="center" wrapText="1"/>
    </xf>
    <xf numFmtId="0" fontId="17" fillId="5" borderId="14" xfId="0" applyFont="1" applyFill="1" applyBorder="1" applyAlignment="1">
      <alignment horizontal="left" vertical="center"/>
    </xf>
    <xf numFmtId="182" fontId="67" fillId="0" borderId="0" xfId="0" applyNumberFormat="1" applyFont="1" applyAlignment="1">
      <alignment horizontal="center" vertical="center"/>
    </xf>
    <xf numFmtId="0" fontId="69" fillId="0" borderId="0" xfId="0" applyFont="1" applyAlignment="1">
      <alignment horizontal="right" vertical="center"/>
    </xf>
    <xf numFmtId="182" fontId="71" fillId="0" borderId="0" xfId="0" applyNumberFormat="1" applyFont="1" applyAlignment="1">
      <alignment horizontal="left" vertical="center"/>
    </xf>
    <xf numFmtId="0" fontId="72" fillId="0" borderId="0" xfId="0" applyFont="1" applyAlignment="1">
      <alignment horizontal="left" vertical="center"/>
    </xf>
    <xf numFmtId="0" fontId="52" fillId="0" borderId="0" xfId="0" applyFont="1" applyAlignment="1">
      <alignment horizontal="center" vertical="center"/>
    </xf>
    <xf numFmtId="0" fontId="73" fillId="0" borderId="0" xfId="0" applyFont="1" applyAlignment="1">
      <alignment horizontal="right" vertical="center"/>
    </xf>
    <xf numFmtId="14" fontId="70" fillId="0" borderId="0" xfId="0" applyNumberFormat="1" applyFont="1" applyAlignment="1">
      <alignment vertical="center" wrapText="1"/>
    </xf>
    <xf numFmtId="14" fontId="15" fillId="21" borderId="0" xfId="0" applyNumberFormat="1" applyFont="1" applyFill="1" applyAlignment="1">
      <alignment horizontal="left" vertical="center"/>
    </xf>
    <xf numFmtId="14" fontId="74" fillId="0" borderId="0" xfId="0" applyNumberFormat="1" applyFont="1">
      <alignment vertical="center"/>
    </xf>
    <xf numFmtId="182" fontId="14" fillId="0" borderId="0" xfId="0" applyNumberFormat="1" applyFont="1" applyAlignment="1">
      <alignment horizontal="left" vertical="center"/>
    </xf>
    <xf numFmtId="181" fontId="15" fillId="25" borderId="0" xfId="0" applyNumberFormat="1" applyFont="1" applyFill="1">
      <alignment vertical="center"/>
    </xf>
    <xf numFmtId="14" fontId="61" fillId="0" borderId="0" xfId="0" applyNumberFormat="1" applyFont="1" applyAlignment="1">
      <alignment vertical="center" wrapText="1"/>
    </xf>
    <xf numFmtId="14" fontId="44" fillId="21" borderId="0" xfId="0" applyNumberFormat="1" applyFont="1" applyFill="1" applyAlignment="1">
      <alignment horizontal="left" vertical="center"/>
    </xf>
    <xf numFmtId="14" fontId="59" fillId="21" borderId="0" xfId="0" applyNumberFormat="1" applyFont="1" applyFill="1" applyAlignment="1">
      <alignment horizontal="left" vertical="center"/>
    </xf>
    <xf numFmtId="189" fontId="52" fillId="0" borderId="0" xfId="0" applyNumberFormat="1" applyFont="1" applyAlignment="1">
      <alignment vertical="center" wrapText="1"/>
    </xf>
    <xf numFmtId="38" fontId="6" fillId="0" borderId="12" xfId="0" applyNumberFormat="1" applyFont="1" applyBorder="1" applyAlignment="1">
      <alignment horizontal="left" vertical="center"/>
    </xf>
    <xf numFmtId="0" fontId="6" fillId="0" borderId="28" xfId="0" applyFont="1" applyBorder="1">
      <alignment vertical="center"/>
    </xf>
    <xf numFmtId="0" fontId="6" fillId="0" borderId="22" xfId="0" applyFont="1" applyBorder="1" applyAlignment="1">
      <alignment horizontal="left" vertical="center"/>
    </xf>
    <xf numFmtId="0" fontId="6" fillId="0" borderId="100" xfId="0" applyFont="1" applyBorder="1" applyAlignment="1">
      <alignment horizontal="center" vertical="center" wrapText="1"/>
    </xf>
    <xf numFmtId="0" fontId="6" fillId="0" borderId="58" xfId="0" applyFont="1" applyBorder="1" applyAlignment="1">
      <alignment horizontal="left" vertical="center"/>
    </xf>
    <xf numFmtId="38" fontId="6" fillId="0" borderId="28" xfId="0" applyNumberFormat="1" applyFont="1" applyBorder="1" applyAlignment="1">
      <alignment horizontal="center" vertical="center" wrapText="1"/>
    </xf>
    <xf numFmtId="0" fontId="6" fillId="0" borderId="8" xfId="0" applyFont="1" applyBorder="1">
      <alignment vertical="center"/>
    </xf>
    <xf numFmtId="0" fontId="6" fillId="0" borderId="12" xfId="0" applyFont="1" applyBorder="1" applyAlignment="1">
      <alignment horizontal="center" vertical="center" wrapText="1"/>
    </xf>
    <xf numFmtId="0" fontId="6" fillId="0" borderId="28" xfId="0" applyFont="1" applyBorder="1" applyAlignment="1">
      <alignment horizontal="center" vertical="center" wrapText="1"/>
    </xf>
    <xf numFmtId="0" fontId="6" fillId="0" borderId="58" xfId="0" applyFont="1" applyBorder="1" applyAlignment="1">
      <alignment horizontal="center" vertical="center" wrapText="1"/>
    </xf>
    <xf numFmtId="3" fontId="6" fillId="0" borderId="2" xfId="0" applyNumberFormat="1" applyFont="1" applyBorder="1" applyAlignment="1">
      <alignment horizontal="center" vertical="center" wrapText="1"/>
    </xf>
    <xf numFmtId="0" fontId="6" fillId="0" borderId="17" xfId="0" applyFont="1" applyBorder="1" applyAlignment="1">
      <alignment horizontal="center" vertical="center" wrapText="1"/>
    </xf>
    <xf numFmtId="178" fontId="6" fillId="0" borderId="29" xfId="0" applyNumberFormat="1" applyFont="1" applyBorder="1" applyAlignment="1">
      <alignment horizontal="left"/>
    </xf>
    <xf numFmtId="178" fontId="6" fillId="0" borderId="30" xfId="0" applyNumberFormat="1" applyFont="1" applyBorder="1" applyAlignment="1">
      <alignment horizontal="left"/>
    </xf>
    <xf numFmtId="178" fontId="6" fillId="0" borderId="2" xfId="0" applyNumberFormat="1" applyFont="1" applyBorder="1" applyAlignment="1">
      <alignment horizontal="left"/>
    </xf>
    <xf numFmtId="0" fontId="6" fillId="0" borderId="54" xfId="0" applyFont="1" applyBorder="1" applyAlignment="1">
      <alignment vertical="center" wrapText="1"/>
    </xf>
    <xf numFmtId="0" fontId="6" fillId="0" borderId="60" xfId="0" applyFont="1" applyBorder="1" applyAlignment="1">
      <alignment vertical="center" wrapText="1"/>
    </xf>
    <xf numFmtId="178" fontId="6" fillId="0" borderId="31" xfId="0" applyNumberFormat="1" applyFont="1" applyBorder="1" applyAlignment="1">
      <alignment horizontal="center"/>
    </xf>
    <xf numFmtId="178" fontId="6" fillId="0" borderId="85" xfId="0" applyNumberFormat="1" applyFont="1" applyBorder="1" applyAlignment="1">
      <alignment horizontal="center"/>
    </xf>
    <xf numFmtId="178" fontId="6" fillId="0" borderId="86" xfId="0" applyNumberFormat="1" applyFont="1" applyBorder="1" applyAlignment="1">
      <alignment horizontal="center"/>
    </xf>
    <xf numFmtId="178" fontId="6" fillId="0" borderId="65" xfId="0" applyNumberFormat="1" applyFont="1" applyBorder="1" applyAlignment="1">
      <alignment horizontal="center"/>
    </xf>
    <xf numFmtId="178" fontId="6" fillId="0" borderId="86" xfId="0" applyNumberFormat="1" applyFont="1" applyBorder="1" applyAlignment="1">
      <alignment horizontal="center" vertical="center"/>
    </xf>
    <xf numFmtId="178" fontId="6" fillId="0" borderId="85" xfId="0" applyNumberFormat="1" applyFont="1" applyBorder="1" applyAlignment="1">
      <alignment horizontal="left"/>
    </xf>
    <xf numFmtId="178" fontId="6" fillId="0" borderId="0" xfId="0" applyNumberFormat="1" applyFont="1" applyAlignment="1">
      <alignment horizontal="left"/>
    </xf>
    <xf numFmtId="178" fontId="6" fillId="0" borderId="14" xfId="0" applyNumberFormat="1" applyFont="1" applyBorder="1" applyAlignment="1">
      <alignment horizontal="left"/>
    </xf>
    <xf numFmtId="178" fontId="6" fillId="0" borderId="58" xfId="0" applyNumberFormat="1" applyFont="1" applyBorder="1" applyAlignment="1">
      <alignment horizontal="left"/>
    </xf>
    <xf numFmtId="180" fontId="6" fillId="0" borderId="62" xfId="0" applyNumberFormat="1" applyFont="1" applyBorder="1" applyAlignment="1">
      <alignment horizontal="center" vertical="center" wrapText="1"/>
    </xf>
    <xf numFmtId="0" fontId="6" fillId="0" borderId="58" xfId="0" applyFont="1" applyBorder="1" applyAlignment="1">
      <alignment vertical="center" wrapText="1"/>
    </xf>
    <xf numFmtId="0" fontId="6" fillId="0" borderId="37" xfId="0" applyFont="1" applyBorder="1" applyAlignment="1">
      <alignment horizontal="center" vertical="center" wrapText="1"/>
    </xf>
    <xf numFmtId="0" fontId="17" fillId="0" borderId="100" xfId="0" applyFont="1" applyBorder="1" applyAlignment="1">
      <alignment horizontal="center" vertical="center" wrapText="1"/>
    </xf>
    <xf numFmtId="178" fontId="17" fillId="0" borderId="14" xfId="0" applyNumberFormat="1" applyFont="1" applyBorder="1" applyAlignment="1">
      <alignment horizontal="left"/>
    </xf>
    <xf numFmtId="180" fontId="17" fillId="2" borderId="100" xfId="0" applyNumberFormat="1" applyFont="1" applyFill="1" applyBorder="1" applyAlignment="1">
      <alignment horizontal="center" vertical="center" wrapText="1"/>
    </xf>
    <xf numFmtId="180" fontId="17" fillId="2" borderId="32" xfId="0" applyNumberFormat="1" applyFont="1" applyFill="1" applyBorder="1" applyAlignment="1">
      <alignment horizontal="center" vertical="center" wrapText="1"/>
    </xf>
    <xf numFmtId="38" fontId="17" fillId="9" borderId="34" xfId="0" applyNumberFormat="1" applyFont="1" applyFill="1" applyBorder="1" applyAlignment="1">
      <alignment horizontal="center" vertical="center" wrapText="1"/>
    </xf>
    <xf numFmtId="180" fontId="17" fillId="9" borderId="36" xfId="0" applyNumberFormat="1" applyFont="1" applyFill="1" applyBorder="1" applyAlignment="1">
      <alignment horizontal="center" vertical="center" wrapText="1"/>
    </xf>
    <xf numFmtId="0" fontId="6" fillId="9" borderId="58" xfId="0" applyFont="1" applyFill="1" applyBorder="1" applyAlignment="1">
      <alignment horizontal="left" vertical="center"/>
    </xf>
    <xf numFmtId="0" fontId="6" fillId="9" borderId="22" xfId="0" applyFont="1" applyFill="1" applyBorder="1">
      <alignment vertical="center"/>
    </xf>
    <xf numFmtId="0" fontId="6" fillId="9" borderId="22" xfId="0" applyFont="1" applyFill="1" applyBorder="1" applyAlignment="1">
      <alignment horizontal="left" vertical="center"/>
    </xf>
    <xf numFmtId="38" fontId="6" fillId="9" borderId="10" xfId="0" applyNumberFormat="1" applyFont="1" applyFill="1" applyBorder="1" applyAlignment="1">
      <alignment vertical="center" wrapText="1"/>
    </xf>
    <xf numFmtId="0" fontId="6" fillId="9" borderId="2" xfId="0" applyFont="1" applyFill="1" applyBorder="1" applyAlignment="1">
      <alignment horizontal="center" vertical="center" wrapText="1"/>
    </xf>
    <xf numFmtId="0" fontId="6" fillId="9" borderId="60" xfId="0" applyFont="1" applyFill="1" applyBorder="1" applyAlignment="1">
      <alignment horizontal="left" vertical="center"/>
    </xf>
    <xf numFmtId="0" fontId="6" fillId="9" borderId="38" xfId="0" applyFont="1" applyFill="1" applyBorder="1" applyAlignment="1">
      <alignment horizontal="center" vertical="center" wrapText="1"/>
    </xf>
    <xf numFmtId="0" fontId="6" fillId="9" borderId="36" xfId="0" applyFont="1" applyFill="1" applyBorder="1" applyAlignment="1">
      <alignment horizontal="center" vertical="center" wrapText="1"/>
    </xf>
    <xf numFmtId="0" fontId="6" fillId="9" borderId="101" xfId="0" applyFont="1" applyFill="1" applyBorder="1" applyAlignment="1">
      <alignment horizontal="center" vertical="center" wrapText="1"/>
    </xf>
    <xf numFmtId="0" fontId="6" fillId="9" borderId="98" xfId="0" applyFont="1" applyFill="1" applyBorder="1" applyAlignment="1">
      <alignment horizontal="center" vertical="center" wrapText="1"/>
    </xf>
    <xf numFmtId="0" fontId="17" fillId="9" borderId="98" xfId="0" applyFont="1" applyFill="1" applyBorder="1" applyAlignment="1">
      <alignment horizontal="center" vertical="center" wrapText="1"/>
    </xf>
    <xf numFmtId="0" fontId="6" fillId="9" borderId="29" xfId="0" applyFont="1" applyFill="1" applyBorder="1">
      <alignment vertical="center"/>
    </xf>
    <xf numFmtId="0" fontId="6" fillId="9" borderId="0" xfId="0" applyFont="1" applyFill="1" applyAlignment="1">
      <alignment horizontal="left" vertical="center"/>
    </xf>
    <xf numFmtId="0" fontId="6" fillId="9" borderId="29" xfId="0" applyFont="1" applyFill="1" applyBorder="1" applyAlignment="1">
      <alignment horizontal="left" vertical="center"/>
    </xf>
    <xf numFmtId="38" fontId="6" fillId="9" borderId="17" xfId="0" applyNumberFormat="1" applyFont="1" applyFill="1" applyBorder="1" applyAlignment="1">
      <alignment vertical="center" wrapText="1"/>
    </xf>
    <xf numFmtId="0" fontId="6" fillId="9" borderId="48" xfId="0" applyFont="1" applyFill="1" applyBorder="1">
      <alignment vertical="center"/>
    </xf>
    <xf numFmtId="0" fontId="6" fillId="9" borderId="50" xfId="0" applyFont="1" applyFill="1" applyBorder="1" applyAlignment="1">
      <alignment horizontal="left" vertical="center"/>
    </xf>
    <xf numFmtId="0" fontId="6" fillId="9" borderId="48" xfId="0" applyFont="1" applyFill="1" applyBorder="1" applyAlignment="1">
      <alignment horizontal="left" vertical="center"/>
    </xf>
    <xf numFmtId="38" fontId="6" fillId="9" borderId="51" xfId="0" applyNumberFormat="1" applyFont="1" applyFill="1" applyBorder="1" applyAlignment="1">
      <alignment vertical="center" wrapText="1"/>
    </xf>
    <xf numFmtId="38" fontId="6" fillId="9" borderId="7" xfId="0" applyNumberFormat="1" applyFont="1" applyFill="1" applyBorder="1" applyAlignment="1">
      <alignment horizontal="center" vertical="center" wrapText="1"/>
    </xf>
    <xf numFmtId="38" fontId="6" fillId="9" borderId="21" xfId="0" applyNumberFormat="1" applyFont="1" applyFill="1" applyBorder="1" applyAlignment="1">
      <alignment horizontal="center" vertical="center" wrapText="1"/>
    </xf>
    <xf numFmtId="0" fontId="6" fillId="9" borderId="39" xfId="0" applyFont="1" applyFill="1" applyBorder="1" applyAlignment="1">
      <alignment horizontal="center" vertical="center" wrapText="1"/>
    </xf>
    <xf numFmtId="0" fontId="6" fillId="9" borderId="40" xfId="0" applyFont="1" applyFill="1" applyBorder="1" applyAlignment="1">
      <alignment horizontal="center" vertical="center" wrapText="1"/>
    </xf>
    <xf numFmtId="1" fontId="6" fillId="9" borderId="39" xfId="0" applyNumberFormat="1" applyFont="1" applyFill="1" applyBorder="1" applyAlignment="1">
      <alignment horizontal="center" vertical="center" wrapText="1"/>
    </xf>
    <xf numFmtId="1" fontId="6" fillId="9" borderId="99" xfId="0" applyNumberFormat="1" applyFont="1" applyFill="1" applyBorder="1" applyAlignment="1">
      <alignment horizontal="center" vertical="center" wrapText="1"/>
    </xf>
    <xf numFmtId="1" fontId="17" fillId="9" borderId="99" xfId="0" applyNumberFormat="1" applyFont="1" applyFill="1" applyBorder="1" applyAlignment="1">
      <alignment horizontal="center" vertical="center" wrapText="1"/>
    </xf>
    <xf numFmtId="0" fontId="23" fillId="9" borderId="2" xfId="0" applyFont="1" applyFill="1" applyBorder="1" applyAlignment="1">
      <alignment horizontal="center" vertical="center"/>
    </xf>
    <xf numFmtId="0" fontId="23" fillId="9" borderId="7" xfId="0" applyFont="1" applyFill="1" applyBorder="1" applyAlignment="1">
      <alignment horizontal="center" vertical="center"/>
    </xf>
    <xf numFmtId="180" fontId="6" fillId="0" borderId="9" xfId="0" applyNumberFormat="1" applyFont="1" applyBorder="1" applyAlignment="1">
      <alignment vertical="center" wrapText="1"/>
    </xf>
    <xf numFmtId="180" fontId="5" fillId="0" borderId="9" xfId="0" applyNumberFormat="1" applyFont="1" applyBorder="1" applyAlignment="1">
      <alignment vertical="center" wrapText="1"/>
    </xf>
    <xf numFmtId="180" fontId="17" fillId="9" borderId="9" xfId="0" applyNumberFormat="1" applyFont="1" applyFill="1" applyBorder="1" applyAlignment="1">
      <alignment horizontal="center" vertical="center" wrapText="1"/>
    </xf>
    <xf numFmtId="180" fontId="17" fillId="2" borderId="32" xfId="0" applyNumberFormat="1" applyFont="1" applyFill="1" applyBorder="1" applyAlignment="1">
      <alignment vertical="center" wrapText="1"/>
    </xf>
    <xf numFmtId="38" fontId="23" fillId="9" borderId="62" xfId="0" applyNumberFormat="1" applyFont="1" applyFill="1" applyBorder="1" applyAlignment="1">
      <alignment horizontal="center" vertical="center"/>
    </xf>
    <xf numFmtId="180" fontId="23" fillId="9" borderId="47" xfId="0" applyNumberFormat="1" applyFont="1" applyFill="1" applyBorder="1">
      <alignment vertical="center"/>
    </xf>
    <xf numFmtId="178" fontId="5" fillId="2" borderId="103" xfId="0" applyNumberFormat="1" applyFont="1" applyFill="1" applyBorder="1" applyAlignment="1">
      <alignment horizontal="left"/>
    </xf>
    <xf numFmtId="178" fontId="5" fillId="2" borderId="104" xfId="0" applyNumberFormat="1" applyFont="1" applyFill="1" applyBorder="1" applyAlignment="1">
      <alignment horizontal="left"/>
    </xf>
    <xf numFmtId="180" fontId="17" fillId="0" borderId="5" xfId="0" applyNumberFormat="1" applyFont="1" applyBorder="1" applyAlignment="1">
      <alignment horizontal="center" vertical="center" wrapText="1"/>
    </xf>
    <xf numFmtId="180" fontId="17" fillId="0" borderId="6" xfId="0" applyNumberFormat="1" applyFont="1" applyBorder="1" applyAlignment="1">
      <alignment horizontal="center" vertical="center" wrapText="1"/>
    </xf>
    <xf numFmtId="180" fontId="17" fillId="9" borderId="5" xfId="0" applyNumberFormat="1" applyFont="1" applyFill="1" applyBorder="1" applyAlignment="1">
      <alignment horizontal="center" vertical="center" wrapText="1"/>
    </xf>
    <xf numFmtId="180" fontId="17" fillId="9" borderId="6" xfId="0" applyNumberFormat="1" applyFont="1" applyFill="1" applyBorder="1" applyAlignment="1">
      <alignment horizontal="center" vertical="center" wrapText="1"/>
    </xf>
    <xf numFmtId="38" fontId="17" fillId="9" borderId="5" xfId="0" applyNumberFormat="1" applyFont="1" applyFill="1" applyBorder="1" applyAlignment="1">
      <alignment horizontal="center" vertical="center" wrapText="1"/>
    </xf>
    <xf numFmtId="38" fontId="17" fillId="9" borderId="6" xfId="0" applyNumberFormat="1" applyFont="1" applyFill="1" applyBorder="1" applyAlignment="1">
      <alignment horizontal="center" vertical="center" wrapText="1"/>
    </xf>
    <xf numFmtId="38" fontId="24" fillId="9" borderId="95" xfId="0" applyNumberFormat="1" applyFont="1" applyFill="1" applyBorder="1" applyAlignment="1">
      <alignment vertical="center" wrapText="1"/>
    </xf>
    <xf numFmtId="38" fontId="24" fillId="9" borderId="106" xfId="0" applyNumberFormat="1" applyFont="1" applyFill="1" applyBorder="1" applyAlignment="1">
      <alignment vertical="center" wrapText="1"/>
    </xf>
    <xf numFmtId="180" fontId="17" fillId="2" borderId="107" xfId="0" applyNumberFormat="1" applyFont="1" applyFill="1" applyBorder="1" applyAlignment="1">
      <alignment vertical="center" wrapText="1"/>
    </xf>
    <xf numFmtId="180" fontId="17" fillId="2" borderId="108" xfId="0" applyNumberFormat="1" applyFont="1" applyFill="1" applyBorder="1" applyAlignment="1">
      <alignment vertical="center" wrapText="1"/>
    </xf>
    <xf numFmtId="180" fontId="17" fillId="9" borderId="109" xfId="0" applyNumberFormat="1" applyFont="1" applyFill="1" applyBorder="1" applyAlignment="1">
      <alignment horizontal="center" vertical="center" wrapText="1"/>
    </xf>
    <xf numFmtId="180" fontId="17" fillId="9" borderId="106" xfId="0" applyNumberFormat="1" applyFont="1" applyFill="1" applyBorder="1" applyAlignment="1">
      <alignment horizontal="center" vertical="center" wrapText="1"/>
    </xf>
    <xf numFmtId="38" fontId="23" fillId="9" borderId="63" xfId="0" applyNumberFormat="1" applyFont="1" applyFill="1" applyBorder="1" applyAlignment="1">
      <alignment horizontal="center" vertical="center"/>
    </xf>
    <xf numFmtId="38" fontId="23" fillId="9" borderId="110" xfId="0" applyNumberFormat="1" applyFont="1" applyFill="1" applyBorder="1" applyAlignment="1">
      <alignment horizontal="center" vertical="center"/>
    </xf>
    <xf numFmtId="180" fontId="23" fillId="9" borderId="111" xfId="0" applyNumberFormat="1" applyFont="1" applyFill="1" applyBorder="1">
      <alignment vertical="center"/>
    </xf>
    <xf numFmtId="180" fontId="23" fillId="9" borderId="94" xfId="0" applyNumberFormat="1" applyFont="1" applyFill="1" applyBorder="1">
      <alignment vertical="center"/>
    </xf>
    <xf numFmtId="180" fontId="23" fillId="9" borderId="112" xfId="0" applyNumberFormat="1" applyFont="1" applyFill="1" applyBorder="1">
      <alignment vertical="center"/>
    </xf>
    <xf numFmtId="180" fontId="5" fillId="9" borderId="9" xfId="0" applyNumberFormat="1" applyFont="1" applyFill="1" applyBorder="1" applyAlignment="1">
      <alignment vertical="center" wrapText="1"/>
    </xf>
    <xf numFmtId="180" fontId="6" fillId="2" borderId="32" xfId="0" applyNumberFormat="1" applyFont="1" applyFill="1" applyBorder="1" applyAlignment="1">
      <alignment vertical="center" wrapText="1"/>
    </xf>
    <xf numFmtId="180" fontId="17" fillId="0" borderId="23" xfId="0" applyNumberFormat="1" applyFont="1" applyBorder="1" applyAlignment="1">
      <alignment horizontal="center" vertical="center" wrapText="1"/>
    </xf>
    <xf numFmtId="180" fontId="17" fillId="2" borderId="23" xfId="0" applyNumberFormat="1" applyFont="1" applyFill="1" applyBorder="1" applyAlignment="1">
      <alignment horizontal="center" vertical="center" wrapText="1"/>
    </xf>
    <xf numFmtId="180" fontId="24" fillId="0" borderId="23" xfId="0" applyNumberFormat="1" applyFont="1" applyBorder="1" applyAlignment="1">
      <alignment vertical="center" wrapText="1"/>
    </xf>
    <xf numFmtId="180" fontId="6" fillId="2" borderId="9" xfId="0" applyNumberFormat="1" applyFont="1" applyFill="1" applyBorder="1" applyAlignment="1">
      <alignment vertical="center" wrapText="1"/>
    </xf>
    <xf numFmtId="180" fontId="17" fillId="0" borderId="30" xfId="0" applyNumberFormat="1" applyFont="1" applyBorder="1" applyAlignment="1">
      <alignment horizontal="center" vertical="center" wrapText="1"/>
    </xf>
    <xf numFmtId="38" fontId="3" fillId="9" borderId="62" xfId="0" applyNumberFormat="1" applyFont="1" applyFill="1" applyBorder="1" applyAlignment="1">
      <alignment horizontal="center" vertical="center"/>
    </xf>
    <xf numFmtId="38" fontId="24" fillId="9" borderId="113" xfId="0" applyNumberFormat="1" applyFont="1" applyFill="1" applyBorder="1" applyAlignment="1">
      <alignment vertical="center" wrapText="1"/>
    </xf>
    <xf numFmtId="180" fontId="17" fillId="2" borderId="55" xfId="0" applyNumberFormat="1" applyFont="1" applyFill="1" applyBorder="1" applyAlignment="1">
      <alignment vertical="center" wrapText="1"/>
    </xf>
    <xf numFmtId="180" fontId="17" fillId="9" borderId="49" xfId="0" applyNumberFormat="1" applyFont="1" applyFill="1" applyBorder="1" applyAlignment="1">
      <alignment horizontal="center" vertical="center" wrapText="1"/>
    </xf>
    <xf numFmtId="38" fontId="23" fillId="9" borderId="61" xfId="0" applyNumberFormat="1" applyFont="1" applyFill="1" applyBorder="1" applyAlignment="1">
      <alignment horizontal="center" vertical="center"/>
    </xf>
    <xf numFmtId="180" fontId="23" fillId="9" borderId="51" xfId="0" applyNumberFormat="1" applyFont="1" applyFill="1" applyBorder="1">
      <alignment vertical="center"/>
    </xf>
    <xf numFmtId="178" fontId="5" fillId="2" borderId="105" xfId="0" applyNumberFormat="1" applyFont="1" applyFill="1" applyBorder="1" applyAlignment="1">
      <alignment horizontal="left"/>
    </xf>
    <xf numFmtId="180" fontId="6" fillId="0" borderId="5" xfId="0" applyNumberFormat="1" applyFont="1" applyBorder="1" applyAlignment="1">
      <alignment horizontal="center" vertical="center" wrapText="1"/>
    </xf>
    <xf numFmtId="38" fontId="6" fillId="9" borderId="5" xfId="0" applyNumberFormat="1" applyFont="1" applyFill="1" applyBorder="1" applyAlignment="1">
      <alignment horizontal="center" vertical="center" wrapText="1"/>
    </xf>
    <xf numFmtId="180" fontId="5" fillId="9" borderId="5" xfId="0" applyNumberFormat="1" applyFont="1" applyFill="1" applyBorder="1" applyAlignment="1">
      <alignment vertical="center" wrapText="1"/>
    </xf>
    <xf numFmtId="180" fontId="17" fillId="0" borderId="114" xfId="0" applyNumberFormat="1" applyFont="1" applyBorder="1" applyAlignment="1">
      <alignment horizontal="center" vertical="center" wrapText="1"/>
    </xf>
    <xf numFmtId="38" fontId="6" fillId="9" borderId="6" xfId="0" applyNumberFormat="1" applyFont="1" applyFill="1" applyBorder="1" applyAlignment="1">
      <alignment horizontal="center" vertical="center" wrapText="1"/>
    </xf>
    <xf numFmtId="180" fontId="5" fillId="9" borderId="6" xfId="0" applyNumberFormat="1" applyFont="1" applyFill="1" applyBorder="1" applyAlignment="1">
      <alignment vertical="center" wrapText="1"/>
    </xf>
    <xf numFmtId="38" fontId="5" fillId="9" borderId="95" xfId="0" applyNumberFormat="1" applyFont="1" applyFill="1" applyBorder="1" applyAlignment="1">
      <alignment vertical="center" wrapText="1"/>
    </xf>
    <xf numFmtId="38" fontId="5" fillId="9" borderId="106" xfId="0" applyNumberFormat="1" applyFont="1" applyFill="1" applyBorder="1" applyAlignment="1">
      <alignment vertical="center" wrapText="1"/>
    </xf>
    <xf numFmtId="180" fontId="6" fillId="2" borderId="107" xfId="0" applyNumberFormat="1" applyFont="1" applyFill="1" applyBorder="1" applyAlignment="1">
      <alignment vertical="center" wrapText="1"/>
    </xf>
    <xf numFmtId="180" fontId="6" fillId="2" borderId="108" xfId="0" applyNumberFormat="1" applyFont="1" applyFill="1" applyBorder="1" applyAlignment="1">
      <alignment vertical="center" wrapText="1"/>
    </xf>
    <xf numFmtId="180" fontId="17" fillId="0" borderId="115" xfId="0" applyNumberFormat="1" applyFont="1" applyBorder="1" applyAlignment="1">
      <alignment horizontal="center" vertical="center" wrapText="1"/>
    </xf>
    <xf numFmtId="180" fontId="24" fillId="0" borderId="115" xfId="0" applyNumberFormat="1" applyFont="1" applyBorder="1" applyAlignment="1">
      <alignment vertical="center" wrapText="1"/>
    </xf>
    <xf numFmtId="180" fontId="6" fillId="0" borderId="5" xfId="0" applyNumberFormat="1" applyFont="1" applyBorder="1" applyAlignment="1">
      <alignment vertical="center" wrapText="1"/>
    </xf>
    <xf numFmtId="180" fontId="6" fillId="2" borderId="5" xfId="0" applyNumberFormat="1" applyFont="1" applyFill="1" applyBorder="1" applyAlignment="1">
      <alignment vertical="center" wrapText="1"/>
    </xf>
    <xf numFmtId="180" fontId="6" fillId="9" borderId="109" xfId="0" applyNumberFormat="1" applyFont="1" applyFill="1" applyBorder="1" applyAlignment="1">
      <alignment horizontal="center" vertical="center" wrapText="1"/>
    </xf>
    <xf numFmtId="180" fontId="6" fillId="9" borderId="106" xfId="0" applyNumberFormat="1" applyFont="1" applyFill="1" applyBorder="1" applyAlignment="1">
      <alignment horizontal="center" vertical="center" wrapText="1"/>
    </xf>
    <xf numFmtId="38" fontId="3" fillId="9" borderId="63" xfId="0" applyNumberFormat="1" applyFont="1" applyFill="1" applyBorder="1" applyAlignment="1">
      <alignment horizontal="center" vertical="center"/>
    </xf>
    <xf numFmtId="38" fontId="3" fillId="9" borderId="110" xfId="0" applyNumberFormat="1" applyFont="1" applyFill="1" applyBorder="1" applyAlignment="1">
      <alignment horizontal="center" vertical="center"/>
    </xf>
    <xf numFmtId="180" fontId="3" fillId="9" borderId="111" xfId="0" applyNumberFormat="1" applyFont="1" applyFill="1" applyBorder="1">
      <alignment vertical="center"/>
    </xf>
    <xf numFmtId="180" fontId="3" fillId="9" borderId="94" xfId="0" applyNumberFormat="1" applyFont="1" applyFill="1" applyBorder="1">
      <alignment vertical="center"/>
    </xf>
    <xf numFmtId="180" fontId="3" fillId="9" borderId="112" xfId="0" applyNumberFormat="1" applyFont="1" applyFill="1" applyBorder="1">
      <alignment vertical="center"/>
    </xf>
    <xf numFmtId="177" fontId="68" fillId="0" borderId="0" xfId="0" applyNumberFormat="1" applyFont="1" applyAlignment="1">
      <alignment horizontal="center" vertical="center"/>
    </xf>
    <xf numFmtId="177" fontId="62" fillId="0" borderId="0" xfId="0" applyNumberFormat="1" applyFont="1">
      <alignment vertical="center"/>
    </xf>
    <xf numFmtId="177" fontId="15" fillId="28" borderId="0" xfId="0" applyNumberFormat="1" applyFont="1" applyFill="1">
      <alignment vertical="center"/>
    </xf>
    <xf numFmtId="177" fontId="15" fillId="0" borderId="0" xfId="0" applyNumberFormat="1" applyFont="1">
      <alignment vertical="center"/>
    </xf>
    <xf numFmtId="0" fontId="67" fillId="0" borderId="0" xfId="0" applyFont="1" applyAlignment="1">
      <alignment horizontal="right" vertical="center"/>
    </xf>
    <xf numFmtId="177" fontId="50" fillId="26" borderId="0" xfId="0" applyNumberFormat="1" applyFont="1" applyFill="1">
      <alignment vertical="center"/>
    </xf>
    <xf numFmtId="0" fontId="77" fillId="0" borderId="0" xfId="0" applyFont="1" applyAlignment="1">
      <alignment horizontal="right" vertical="center"/>
    </xf>
    <xf numFmtId="177" fontId="15" fillId="22" borderId="0" xfId="0" applyNumberFormat="1" applyFont="1" applyFill="1" applyAlignment="1">
      <alignment vertical="center" wrapText="1"/>
    </xf>
    <xf numFmtId="0" fontId="50" fillId="0" borderId="0" xfId="0" applyFont="1" applyAlignment="1">
      <alignment horizontal="left" vertical="center"/>
    </xf>
    <xf numFmtId="56" fontId="78" fillId="0" borderId="0" xfId="0" applyNumberFormat="1" applyFont="1" applyAlignment="1">
      <alignment horizontal="center" vertical="center"/>
    </xf>
    <xf numFmtId="14" fontId="52" fillId="0" borderId="0" xfId="0" applyNumberFormat="1" applyFont="1" applyAlignment="1">
      <alignment horizontal="right" vertical="center"/>
    </xf>
    <xf numFmtId="177" fontId="15" fillId="27" borderId="0" xfId="0" applyNumberFormat="1" applyFont="1" applyFill="1" applyAlignment="1">
      <alignment horizontal="center" vertical="center"/>
    </xf>
    <xf numFmtId="177" fontId="15" fillId="29" borderId="0" xfId="0" applyNumberFormat="1" applyFont="1" applyFill="1">
      <alignment vertical="center"/>
    </xf>
    <xf numFmtId="56" fontId="79" fillId="0" borderId="0" xfId="0" applyNumberFormat="1" applyFont="1" applyAlignment="1">
      <alignment horizontal="center" vertical="center"/>
    </xf>
    <xf numFmtId="177" fontId="15" fillId="0" borderId="0" xfId="0" applyNumberFormat="1" applyFont="1" applyAlignment="1">
      <alignment horizontal="center" vertical="center"/>
    </xf>
    <xf numFmtId="177" fontId="15" fillId="9" borderId="0" xfId="0" applyNumberFormat="1" applyFont="1" applyFill="1" applyAlignment="1">
      <alignment horizontal="center" vertical="center"/>
    </xf>
    <xf numFmtId="177" fontId="15" fillId="9" borderId="0" xfId="0" applyNumberFormat="1" applyFont="1" applyFill="1">
      <alignment vertical="center"/>
    </xf>
    <xf numFmtId="177" fontId="61" fillId="30" borderId="0" xfId="0" applyNumberFormat="1" applyFont="1" applyFill="1" applyAlignment="1">
      <alignment vertical="center" wrapText="1"/>
    </xf>
    <xf numFmtId="177" fontId="72" fillId="30" borderId="0" xfId="0" applyNumberFormat="1" applyFont="1" applyFill="1" applyAlignment="1">
      <alignment vertical="center" wrapText="1"/>
    </xf>
    <xf numFmtId="182" fontId="80" fillId="0" borderId="0" xfId="0" applyNumberFormat="1" applyFont="1" applyAlignment="1">
      <alignment horizontal="left" vertical="center"/>
    </xf>
    <xf numFmtId="180" fontId="17" fillId="0" borderId="5" xfId="0" applyNumberFormat="1" applyFont="1" applyBorder="1" applyAlignment="1">
      <alignment vertical="center" wrapText="1"/>
    </xf>
    <xf numFmtId="0" fontId="15" fillId="0" borderId="58" xfId="0" applyFont="1" applyBorder="1" applyAlignment="1">
      <alignment horizontal="right" vertical="center"/>
    </xf>
    <xf numFmtId="14" fontId="15" fillId="0" borderId="58" xfId="0" applyNumberFormat="1" applyFont="1" applyBorder="1" applyAlignment="1">
      <alignment horizontal="left" vertical="center"/>
    </xf>
    <xf numFmtId="0" fontId="15" fillId="0" borderId="58" xfId="0" applyFont="1" applyBorder="1" applyAlignment="1">
      <alignment horizontal="center" vertical="center"/>
    </xf>
    <xf numFmtId="14" fontId="15" fillId="0" borderId="58" xfId="0" applyNumberFormat="1" applyFont="1" applyBorder="1">
      <alignment vertical="center"/>
    </xf>
    <xf numFmtId="0" fontId="15" fillId="0" borderId="58" xfId="0" applyFont="1" applyBorder="1" applyAlignment="1">
      <alignment horizontal="left" vertical="center"/>
    </xf>
    <xf numFmtId="184" fontId="15" fillId="0" borderId="58" xfId="0" applyNumberFormat="1" applyFont="1" applyBorder="1" applyAlignment="1">
      <alignment horizontal="right" vertical="center"/>
    </xf>
    <xf numFmtId="26" fontId="15" fillId="0" borderId="58" xfId="0" applyNumberFormat="1" applyFont="1" applyBorder="1" applyAlignment="1">
      <alignment horizontal="right" vertical="center"/>
    </xf>
    <xf numFmtId="14" fontId="15" fillId="0" borderId="58" xfId="0" applyNumberFormat="1" applyFont="1" applyBorder="1" applyAlignment="1">
      <alignment horizontal="right" vertical="center"/>
    </xf>
    <xf numFmtId="0" fontId="15" fillId="0" borderId="58" xfId="0" applyFont="1" applyBorder="1">
      <alignment vertical="center"/>
    </xf>
    <xf numFmtId="182" fontId="15" fillId="0" borderId="58" xfId="0" applyNumberFormat="1" applyFont="1" applyBorder="1" applyAlignment="1">
      <alignment horizontal="right" vertical="center"/>
    </xf>
    <xf numFmtId="180" fontId="17" fillId="20" borderId="2" xfId="0" applyNumberFormat="1" applyFont="1" applyFill="1" applyBorder="1" applyAlignment="1">
      <alignment horizontal="center" vertical="center" wrapText="1"/>
    </xf>
    <xf numFmtId="180" fontId="17" fillId="2" borderId="8" xfId="0" applyNumberFormat="1" applyFont="1" applyFill="1" applyBorder="1" applyAlignment="1">
      <alignment horizontal="center" vertical="center" wrapText="1"/>
    </xf>
    <xf numFmtId="180" fontId="17" fillId="17" borderId="9" xfId="0" applyNumberFormat="1" applyFont="1" applyFill="1" applyBorder="1" applyAlignment="1">
      <alignment horizontal="center" vertical="center" wrapText="1"/>
    </xf>
    <xf numFmtId="180" fontId="8" fillId="17" borderId="9" xfId="0" applyNumberFormat="1" applyFont="1" applyFill="1" applyBorder="1" applyAlignment="1">
      <alignment horizontal="center" vertical="center" wrapText="1"/>
    </xf>
    <xf numFmtId="180" fontId="5" fillId="9" borderId="47" xfId="0" applyNumberFormat="1" applyFont="1" applyFill="1" applyBorder="1" applyAlignment="1">
      <alignment vertical="center" wrapText="1"/>
    </xf>
    <xf numFmtId="180" fontId="25" fillId="17" borderId="9" xfId="0" applyNumberFormat="1" applyFont="1" applyFill="1" applyBorder="1" applyAlignment="1">
      <alignment horizontal="center" vertical="center" wrapText="1"/>
    </xf>
    <xf numFmtId="180" fontId="6" fillId="9" borderId="9" xfId="0" applyNumberFormat="1" applyFont="1" applyFill="1" applyBorder="1" applyAlignment="1">
      <alignment horizontal="center" vertical="center" wrapText="1"/>
    </xf>
    <xf numFmtId="178" fontId="5" fillId="0" borderId="116" xfId="0" applyNumberFormat="1" applyFont="1" applyBorder="1" applyAlignment="1">
      <alignment horizontal="left"/>
    </xf>
    <xf numFmtId="178" fontId="5" fillId="0" borderId="117" xfId="0" applyNumberFormat="1" applyFont="1" applyBorder="1" applyAlignment="1">
      <alignment horizontal="left"/>
    </xf>
    <xf numFmtId="180" fontId="17" fillId="17" borderId="5" xfId="0" applyNumberFormat="1" applyFont="1" applyFill="1" applyBorder="1" applyAlignment="1">
      <alignment horizontal="center" vertical="center" wrapText="1"/>
    </xf>
    <xf numFmtId="180" fontId="17" fillId="17" borderId="6" xfId="0" applyNumberFormat="1" applyFont="1" applyFill="1" applyBorder="1" applyAlignment="1">
      <alignment horizontal="center" vertical="center" wrapText="1"/>
    </xf>
    <xf numFmtId="180" fontId="8" fillId="17" borderId="5" xfId="0" applyNumberFormat="1" applyFont="1" applyFill="1" applyBorder="1" applyAlignment="1">
      <alignment horizontal="center" vertical="center" wrapText="1"/>
    </xf>
    <xf numFmtId="180" fontId="8" fillId="17" borderId="6" xfId="0" applyNumberFormat="1" applyFont="1" applyFill="1" applyBorder="1" applyAlignment="1">
      <alignment horizontal="center" vertical="center" wrapText="1"/>
    </xf>
    <xf numFmtId="38" fontId="6" fillId="17" borderId="5" xfId="0" applyNumberFormat="1" applyFont="1" applyFill="1" applyBorder="1" applyAlignment="1">
      <alignment horizontal="center" vertical="center" wrapText="1"/>
    </xf>
    <xf numFmtId="180" fontId="24" fillId="9" borderId="118" xfId="0" applyNumberFormat="1" applyFont="1" applyFill="1" applyBorder="1" applyAlignment="1">
      <alignment vertical="center" wrapText="1"/>
    </xf>
    <xf numFmtId="180" fontId="24" fillId="9" borderId="119" xfId="0" applyNumberFormat="1" applyFont="1" applyFill="1" applyBorder="1" applyAlignment="1">
      <alignment vertical="center" wrapText="1"/>
    </xf>
    <xf numFmtId="180" fontId="25" fillId="17" borderId="5" xfId="0" applyNumberFormat="1" applyFont="1" applyFill="1" applyBorder="1" applyAlignment="1">
      <alignment horizontal="center" vertical="center" wrapText="1"/>
    </xf>
    <xf numFmtId="180" fontId="6" fillId="9" borderId="5" xfId="0" applyNumberFormat="1" applyFont="1" applyFill="1" applyBorder="1" applyAlignment="1">
      <alignment horizontal="center" vertical="center" wrapText="1"/>
    </xf>
    <xf numFmtId="180" fontId="6" fillId="9" borderId="118" xfId="0" applyNumberFormat="1" applyFont="1" applyFill="1" applyBorder="1" applyAlignment="1">
      <alignment horizontal="center" vertical="center" wrapText="1"/>
    </xf>
    <xf numFmtId="180" fontId="6" fillId="9" borderId="119" xfId="0" applyNumberFormat="1" applyFont="1" applyFill="1" applyBorder="1" applyAlignment="1">
      <alignment horizontal="center" vertical="center" wrapText="1"/>
    </xf>
    <xf numFmtId="180" fontId="17" fillId="0" borderId="13" xfId="0" applyNumberFormat="1" applyFont="1" applyBorder="1" applyAlignment="1">
      <alignment horizontal="center" vertical="center" wrapText="1"/>
    </xf>
    <xf numFmtId="0" fontId="6" fillId="2" borderId="4" xfId="0" applyFont="1" applyFill="1" applyBorder="1" applyAlignment="1">
      <alignment horizontal="center" vertical="center" shrinkToFit="1"/>
    </xf>
    <xf numFmtId="180" fontId="46" fillId="0" borderId="2" xfId="0" applyNumberFormat="1" applyFont="1" applyBorder="1" applyAlignment="1">
      <alignment horizontal="center" vertical="center" wrapText="1"/>
    </xf>
    <xf numFmtId="180" fontId="25" fillId="0" borderId="2" xfId="0" applyNumberFormat="1" applyFont="1" applyBorder="1" applyAlignment="1">
      <alignment horizontal="center" vertical="center" wrapText="1"/>
    </xf>
    <xf numFmtId="0" fontId="6" fillId="5" borderId="12" xfId="0" applyFont="1" applyFill="1" applyBorder="1" applyAlignment="1">
      <alignment vertical="center" wrapText="1"/>
    </xf>
    <xf numFmtId="38" fontId="6" fillId="0" borderId="58" xfId="0" applyNumberFormat="1" applyFont="1" applyBorder="1" applyAlignment="1">
      <alignment horizontal="center" vertical="center" wrapText="1"/>
    </xf>
    <xf numFmtId="178" fontId="5" fillId="2" borderId="4" xfId="0" applyNumberFormat="1" applyFont="1" applyFill="1" applyBorder="1" applyAlignment="1">
      <alignment horizontal="center"/>
    </xf>
    <xf numFmtId="178" fontId="5" fillId="2" borderId="20" xfId="0" applyNumberFormat="1" applyFont="1" applyFill="1" applyBorder="1" applyAlignment="1">
      <alignment horizontal="center"/>
    </xf>
    <xf numFmtId="178" fontId="5" fillId="2" borderId="22" xfId="0" applyNumberFormat="1" applyFont="1" applyFill="1" applyBorder="1" applyAlignment="1">
      <alignment horizontal="center"/>
    </xf>
    <xf numFmtId="178" fontId="24" fillId="2" borderId="29" xfId="0" applyNumberFormat="1" applyFont="1" applyFill="1" applyBorder="1" applyAlignment="1">
      <alignment horizontal="center"/>
    </xf>
    <xf numFmtId="178" fontId="17" fillId="0" borderId="29" xfId="0" applyNumberFormat="1" applyFont="1" applyBorder="1" applyAlignment="1">
      <alignment horizontal="center"/>
    </xf>
    <xf numFmtId="178" fontId="17" fillId="0" borderId="30" xfId="0" applyNumberFormat="1" applyFont="1" applyBorder="1" applyAlignment="1">
      <alignment horizontal="center"/>
    </xf>
    <xf numFmtId="178" fontId="17" fillId="0" borderId="2" xfId="0" applyNumberFormat="1" applyFont="1" applyBorder="1" applyAlignment="1">
      <alignment horizontal="center"/>
    </xf>
    <xf numFmtId="178" fontId="24" fillId="2" borderId="2" xfId="0" applyNumberFormat="1" applyFont="1" applyFill="1" applyBorder="1" applyAlignment="1">
      <alignment horizontal="center"/>
    </xf>
    <xf numFmtId="178" fontId="5" fillId="2" borderId="35" xfId="0" applyNumberFormat="1" applyFont="1" applyFill="1" applyBorder="1" applyAlignment="1">
      <alignment horizontal="center"/>
    </xf>
    <xf numFmtId="178" fontId="5" fillId="2" borderId="103" xfId="0" applyNumberFormat="1" applyFont="1" applyFill="1" applyBorder="1" applyAlignment="1">
      <alignment horizontal="center"/>
    </xf>
    <xf numFmtId="178" fontId="5" fillId="2" borderId="104" xfId="0" applyNumberFormat="1" applyFont="1" applyFill="1" applyBorder="1" applyAlignment="1">
      <alignment horizontal="center"/>
    </xf>
    <xf numFmtId="178" fontId="5" fillId="2" borderId="105" xfId="0" applyNumberFormat="1" applyFont="1" applyFill="1" applyBorder="1" applyAlignment="1">
      <alignment horizontal="center"/>
    </xf>
    <xf numFmtId="178" fontId="24" fillId="2" borderId="104" xfId="0" applyNumberFormat="1" applyFont="1" applyFill="1" applyBorder="1" applyAlignment="1">
      <alignment horizontal="center"/>
    </xf>
    <xf numFmtId="178" fontId="24" fillId="2" borderId="105" xfId="0" applyNumberFormat="1" applyFont="1" applyFill="1" applyBorder="1" applyAlignment="1">
      <alignment horizontal="center"/>
    </xf>
    <xf numFmtId="0" fontId="6" fillId="2" borderId="0" xfId="0" applyFont="1" applyFill="1" applyAlignment="1">
      <alignment horizontal="center" vertical="center" wrapText="1"/>
    </xf>
    <xf numFmtId="0" fontId="0" fillId="0" borderId="0" xfId="0" applyAlignment="1">
      <alignment horizontal="center" vertical="center"/>
    </xf>
    <xf numFmtId="0" fontId="6" fillId="9" borderId="46" xfId="0" applyFont="1" applyFill="1" applyBorder="1" applyAlignment="1">
      <alignment horizontal="left" vertical="center"/>
    </xf>
    <xf numFmtId="0" fontId="34" fillId="0" borderId="0" xfId="0" applyFont="1">
      <alignment vertical="center"/>
    </xf>
    <xf numFmtId="38" fontId="6" fillId="0" borderId="17" xfId="0" applyNumberFormat="1" applyFont="1" applyBorder="1" applyAlignment="1">
      <alignment horizontal="center" vertical="center" wrapText="1"/>
    </xf>
    <xf numFmtId="180" fontId="6" fillId="0" borderId="17" xfId="0" applyNumberFormat="1" applyFont="1" applyBorder="1" applyAlignment="1">
      <alignment horizontal="center" vertical="center" wrapText="1"/>
    </xf>
    <xf numFmtId="38" fontId="6" fillId="0" borderId="59" xfId="0" applyNumberFormat="1" applyFont="1" applyBorder="1" applyAlignment="1">
      <alignment horizontal="right" vertical="center" wrapText="1"/>
    </xf>
    <xf numFmtId="38" fontId="6" fillId="0" borderId="2" xfId="0" applyNumberFormat="1" applyFont="1" applyBorder="1" applyAlignment="1">
      <alignment horizontal="left" vertical="center"/>
    </xf>
    <xf numFmtId="178" fontId="17" fillId="0" borderId="2" xfId="0" applyNumberFormat="1" applyFont="1" applyBorder="1" applyAlignment="1">
      <alignment horizontal="left"/>
    </xf>
    <xf numFmtId="0" fontId="0" fillId="0" borderId="103" xfId="0" applyBorder="1">
      <alignment vertical="center"/>
    </xf>
    <xf numFmtId="0" fontId="0" fillId="0" borderId="104" xfId="0" applyBorder="1">
      <alignment vertical="center"/>
    </xf>
    <xf numFmtId="180" fontId="0" fillId="0" borderId="104" xfId="0" applyNumberFormat="1" applyBorder="1">
      <alignment vertical="center"/>
    </xf>
    <xf numFmtId="180" fontId="0" fillId="0" borderId="105" xfId="0" applyNumberFormat="1" applyBorder="1">
      <alignment vertical="center"/>
    </xf>
    <xf numFmtId="0" fontId="0" fillId="0" borderId="116" xfId="0" applyBorder="1">
      <alignment vertical="center"/>
    </xf>
    <xf numFmtId="180" fontId="27" fillId="5" borderId="117" xfId="0" applyNumberFormat="1" applyFont="1" applyFill="1" applyBorder="1">
      <alignment vertical="center"/>
    </xf>
    <xf numFmtId="179" fontId="0" fillId="9" borderId="117" xfId="0" applyNumberFormat="1" applyFill="1" applyBorder="1">
      <alignment vertical="center"/>
    </xf>
    <xf numFmtId="180" fontId="0" fillId="0" borderId="117" xfId="0" applyNumberFormat="1" applyBorder="1">
      <alignment vertical="center"/>
    </xf>
    <xf numFmtId="0" fontId="0" fillId="0" borderId="120" xfId="0" applyBorder="1">
      <alignment vertical="center"/>
    </xf>
    <xf numFmtId="0" fontId="27" fillId="0" borderId="52" xfId="0" applyFont="1" applyBorder="1">
      <alignment vertical="center"/>
    </xf>
    <xf numFmtId="0" fontId="0" fillId="0" borderId="52" xfId="0" applyBorder="1">
      <alignment vertical="center"/>
    </xf>
    <xf numFmtId="179" fontId="0" fillId="9" borderId="52" xfId="0" applyNumberFormat="1" applyFill="1" applyBorder="1">
      <alignment vertical="center"/>
    </xf>
    <xf numFmtId="179" fontId="0" fillId="9" borderId="121" xfId="0" applyNumberFormat="1" applyFill="1" applyBorder="1">
      <alignment vertical="center"/>
    </xf>
    <xf numFmtId="0" fontId="27" fillId="0" borderId="116" xfId="0" applyFont="1" applyBorder="1">
      <alignment vertical="center"/>
    </xf>
    <xf numFmtId="0" fontId="27" fillId="0" borderId="120" xfId="0" applyFont="1" applyBorder="1">
      <alignment vertical="center"/>
    </xf>
    <xf numFmtId="14" fontId="81" fillId="0" borderId="0" xfId="0" applyNumberFormat="1" applyFont="1" applyAlignment="1">
      <alignment vertical="center" wrapText="1"/>
    </xf>
    <xf numFmtId="14" fontId="83" fillId="0" borderId="0" xfId="0" applyNumberFormat="1" applyFont="1">
      <alignment vertical="center"/>
    </xf>
    <xf numFmtId="14" fontId="52" fillId="27" borderId="0" xfId="0" applyNumberFormat="1" applyFont="1" applyFill="1" applyAlignment="1">
      <alignment horizontal="right" vertical="center"/>
    </xf>
    <xf numFmtId="0" fontId="15" fillId="0" borderId="0" xfId="0" quotePrefix="1" applyFont="1" applyAlignment="1">
      <alignment horizontal="left" vertical="center"/>
    </xf>
    <xf numFmtId="0" fontId="41" fillId="0" borderId="58" xfId="0" applyFont="1" applyBorder="1" applyAlignment="1">
      <alignment horizontal="center" vertical="center"/>
    </xf>
    <xf numFmtId="0" fontId="84" fillId="0" borderId="0" xfId="0" applyFont="1" applyAlignment="1">
      <alignment vertical="top" wrapText="1"/>
    </xf>
    <xf numFmtId="14" fontId="85" fillId="31" borderId="0" xfId="0" applyNumberFormat="1" applyFont="1" applyFill="1" applyAlignment="1">
      <alignment horizontal="left" vertical="center"/>
    </xf>
    <xf numFmtId="184" fontId="52" fillId="23" borderId="0" xfId="0" applyNumberFormat="1" applyFont="1" applyFill="1" applyAlignment="1">
      <alignment horizontal="right" vertical="center"/>
    </xf>
    <xf numFmtId="0" fontId="86" fillId="23" borderId="0" xfId="0" applyFont="1" applyFill="1" applyAlignment="1">
      <alignment horizontal="center" vertical="center"/>
    </xf>
    <xf numFmtId="0" fontId="52" fillId="0" borderId="0" xfId="0" applyFont="1" applyAlignment="1">
      <alignment horizontal="left" vertical="center"/>
    </xf>
    <xf numFmtId="14" fontId="60" fillId="0" borderId="0" xfId="0" applyNumberFormat="1" applyFont="1" applyAlignment="1">
      <alignment horizontal="right" vertical="center"/>
    </xf>
    <xf numFmtId="0" fontId="87" fillId="0" borderId="0" xfId="0" applyFont="1" applyAlignment="1">
      <alignment horizontal="left" vertical="center"/>
    </xf>
    <xf numFmtId="0" fontId="15" fillId="23" borderId="0" xfId="0" quotePrefix="1" applyFont="1" applyFill="1" applyAlignment="1">
      <alignment horizontal="left" vertical="center"/>
    </xf>
    <xf numFmtId="0" fontId="0" fillId="0" borderId="122" xfId="0" applyBorder="1">
      <alignment vertical="center"/>
    </xf>
    <xf numFmtId="188" fontId="0" fillId="0" borderId="2" xfId="0" applyNumberFormat="1" applyBorder="1">
      <alignment vertical="center"/>
    </xf>
    <xf numFmtId="1" fontId="0" fillId="0" borderId="0" xfId="0" applyNumberFormat="1">
      <alignment vertical="center"/>
    </xf>
    <xf numFmtId="1" fontId="0" fillId="0" borderId="2" xfId="0" applyNumberFormat="1" applyBorder="1">
      <alignment vertical="center"/>
    </xf>
    <xf numFmtId="191" fontId="0" fillId="0" borderId="0" xfId="0" applyNumberFormat="1">
      <alignment vertical="center"/>
    </xf>
    <xf numFmtId="49" fontId="6" fillId="2" borderId="3" xfId="0" applyNumberFormat="1" applyFont="1" applyFill="1" applyBorder="1" applyAlignment="1">
      <alignment horizontal="left" vertical="center"/>
    </xf>
    <xf numFmtId="49" fontId="6" fillId="2" borderId="4" xfId="0" applyNumberFormat="1" applyFont="1" applyFill="1" applyBorder="1" applyAlignment="1">
      <alignment horizontal="center" vertical="center"/>
    </xf>
    <xf numFmtId="49" fontId="17" fillId="2" borderId="4" xfId="0" applyNumberFormat="1" applyFont="1" applyFill="1" applyBorder="1" applyAlignment="1">
      <alignment horizontal="center" vertical="center"/>
    </xf>
    <xf numFmtId="49" fontId="6" fillId="0" borderId="0" xfId="0" applyNumberFormat="1" applyFont="1" applyAlignment="1">
      <alignment vertical="center" wrapText="1"/>
    </xf>
    <xf numFmtId="185" fontId="15" fillId="11" borderId="0" xfId="3" applyNumberFormat="1" applyFont="1" applyFill="1" applyBorder="1" applyAlignment="1">
      <alignment horizontal="right" vertical="center"/>
    </xf>
    <xf numFmtId="26" fontId="15" fillId="11" borderId="0" xfId="3" applyNumberFormat="1" applyFont="1" applyFill="1" applyBorder="1" applyAlignment="1">
      <alignment horizontal="left" vertical="center"/>
    </xf>
    <xf numFmtId="181" fontId="15" fillId="11" borderId="0" xfId="3" applyNumberFormat="1" applyFont="1" applyFill="1" applyBorder="1" applyAlignment="1">
      <alignment horizontal="left" vertical="center"/>
    </xf>
    <xf numFmtId="38" fontId="15" fillId="11" borderId="0" xfId="3" applyFont="1" applyFill="1" applyBorder="1" applyAlignment="1">
      <alignment horizontal="left" vertical="center"/>
    </xf>
    <xf numFmtId="185" fontId="15" fillId="0" borderId="0" xfId="3" applyNumberFormat="1" applyFont="1" applyFill="1" applyBorder="1" applyAlignment="1">
      <alignment horizontal="right" vertical="center"/>
    </xf>
    <xf numFmtId="26" fontId="15" fillId="0" borderId="0" xfId="3" applyNumberFormat="1" applyFont="1" applyFill="1" applyBorder="1" applyAlignment="1">
      <alignment vertical="center"/>
    </xf>
    <xf numFmtId="177" fontId="15" fillId="32" borderId="0" xfId="3" applyNumberFormat="1" applyFont="1" applyFill="1" applyBorder="1" applyAlignment="1">
      <alignment vertical="center" wrapText="1"/>
    </xf>
    <xf numFmtId="38" fontId="15" fillId="0" borderId="0" xfId="3" applyFont="1" applyFill="1" applyBorder="1" applyAlignment="1">
      <alignment vertical="center"/>
    </xf>
    <xf numFmtId="177" fontId="61" fillId="33" borderId="0" xfId="3" applyNumberFormat="1" applyFont="1" applyFill="1" applyBorder="1" applyAlignment="1">
      <alignment vertical="center" wrapText="1"/>
    </xf>
    <xf numFmtId="181" fontId="15" fillId="0" borderId="0" xfId="3" applyNumberFormat="1" applyFont="1" applyFill="1" applyBorder="1" applyAlignment="1">
      <alignment vertical="center"/>
    </xf>
    <xf numFmtId="177" fontId="88" fillId="0" borderId="0" xfId="3" applyNumberFormat="1" applyFont="1" applyFill="1" applyBorder="1" applyAlignment="1">
      <alignment vertical="center" wrapText="1"/>
    </xf>
    <xf numFmtId="185" fontId="47" fillId="0" borderId="0" xfId="3" applyNumberFormat="1" applyFont="1" applyFill="1" applyBorder="1" applyAlignment="1">
      <alignment horizontal="right" vertical="center"/>
    </xf>
    <xf numFmtId="177" fontId="82" fillId="33" borderId="0" xfId="3" applyNumberFormat="1" applyFont="1" applyFill="1" applyBorder="1" applyAlignment="1">
      <alignment vertical="center"/>
    </xf>
    <xf numFmtId="177" fontId="15" fillId="0" borderId="0" xfId="3" applyNumberFormat="1" applyFont="1" applyFill="1" applyBorder="1" applyAlignment="1">
      <alignment vertical="center"/>
    </xf>
    <xf numFmtId="14" fontId="85" fillId="0" borderId="0" xfId="0" applyNumberFormat="1" applyFont="1" applyAlignment="1">
      <alignment horizontal="left" vertical="center"/>
    </xf>
    <xf numFmtId="184" fontId="52" fillId="0" borderId="0" xfId="0" applyNumberFormat="1" applyFont="1" applyAlignment="1">
      <alignment horizontal="right" vertical="center"/>
    </xf>
    <xf numFmtId="182" fontId="89" fillId="0" borderId="0" xfId="0" applyNumberFormat="1" applyFont="1" applyAlignment="1">
      <alignment horizontal="left" vertical="center"/>
    </xf>
    <xf numFmtId="177" fontId="62" fillId="0" borderId="0" xfId="3" applyNumberFormat="1" applyFont="1" applyFill="1" applyBorder="1" applyAlignment="1">
      <alignment vertical="center"/>
    </xf>
    <xf numFmtId="0" fontId="86" fillId="0" borderId="0" xfId="0" applyFont="1" applyAlignment="1">
      <alignment horizontal="center" vertical="center"/>
    </xf>
    <xf numFmtId="177" fontId="15" fillId="10" borderId="0" xfId="3" applyNumberFormat="1" applyFont="1" applyFill="1" applyBorder="1" applyAlignment="1">
      <alignment vertical="center"/>
    </xf>
    <xf numFmtId="177" fontId="76" fillId="0" borderId="0" xfId="3" applyNumberFormat="1" applyFont="1" applyFill="1" applyBorder="1" applyAlignment="1">
      <alignment vertical="center"/>
    </xf>
    <xf numFmtId="185" fontId="15" fillId="0" borderId="58" xfId="3" applyNumberFormat="1" applyFont="1" applyFill="1" applyBorder="1" applyAlignment="1">
      <alignment horizontal="right" vertical="center"/>
    </xf>
    <xf numFmtId="26" fontId="15" fillId="0" borderId="58" xfId="3" applyNumberFormat="1" applyFont="1" applyFill="1" applyBorder="1" applyAlignment="1">
      <alignment vertical="center"/>
    </xf>
    <xf numFmtId="14" fontId="85" fillId="31" borderId="58" xfId="0" applyNumberFormat="1" applyFont="1" applyFill="1" applyBorder="1" applyAlignment="1">
      <alignment horizontal="left" vertical="center"/>
    </xf>
    <xf numFmtId="38" fontId="15" fillId="0" borderId="58" xfId="3" applyFont="1" applyFill="1" applyBorder="1" applyAlignment="1">
      <alignment vertical="center"/>
    </xf>
    <xf numFmtId="177" fontId="15" fillId="0" borderId="58" xfId="3" applyNumberFormat="1" applyFont="1" applyFill="1" applyBorder="1" applyAlignment="1">
      <alignment vertical="center"/>
    </xf>
    <xf numFmtId="26" fontId="14" fillId="0" borderId="0" xfId="0" applyNumberFormat="1" applyFont="1">
      <alignment vertical="center"/>
    </xf>
    <xf numFmtId="0" fontId="90" fillId="6" borderId="0" xfId="0" applyFont="1" applyFill="1" applyAlignment="1">
      <alignment horizontal="left" vertical="center"/>
    </xf>
    <xf numFmtId="185" fontId="90" fillId="6" borderId="0" xfId="3" applyNumberFormat="1" applyFont="1" applyFill="1" applyBorder="1" applyAlignment="1">
      <alignment horizontal="right" vertical="center"/>
    </xf>
    <xf numFmtId="26" fontId="90" fillId="6" borderId="0" xfId="3" applyNumberFormat="1" applyFont="1" applyFill="1" applyBorder="1" applyAlignment="1">
      <alignment horizontal="left" vertical="center"/>
    </xf>
    <xf numFmtId="177" fontId="90" fillId="6" borderId="0" xfId="3" applyNumberFormat="1" applyFont="1" applyFill="1" applyBorder="1" applyAlignment="1">
      <alignment horizontal="left" vertical="center"/>
    </xf>
    <xf numFmtId="14" fontId="90" fillId="6" borderId="0" xfId="0" applyNumberFormat="1" applyFont="1" applyFill="1" applyAlignment="1">
      <alignment horizontal="left" vertical="center"/>
    </xf>
    <xf numFmtId="38" fontId="15" fillId="6" borderId="0" xfId="3" applyFont="1" applyFill="1" applyBorder="1" applyAlignment="1">
      <alignment vertical="center"/>
    </xf>
    <xf numFmtId="0" fontId="15" fillId="6" borderId="0" xfId="0" applyFont="1" applyFill="1" applyAlignment="1">
      <alignment horizontal="left" vertical="center"/>
    </xf>
    <xf numFmtId="0" fontId="15" fillId="6" borderId="0" xfId="0" applyFont="1" applyFill="1" applyAlignment="1">
      <alignment horizontal="center" vertical="center"/>
    </xf>
    <xf numFmtId="184" fontId="15" fillId="6" borderId="0" xfId="0" applyNumberFormat="1" applyFont="1" applyFill="1" applyAlignment="1">
      <alignment horizontal="right" vertical="center"/>
    </xf>
    <xf numFmtId="26" fontId="15" fillId="6" borderId="0" xfId="0" applyNumberFormat="1" applyFont="1" applyFill="1" applyAlignment="1">
      <alignment horizontal="right" vertical="center"/>
    </xf>
    <xf numFmtId="14" fontId="15" fillId="6" borderId="0" xfId="0" applyNumberFormat="1" applyFont="1" applyFill="1">
      <alignment vertical="center"/>
    </xf>
    <xf numFmtId="0" fontId="15" fillId="6" borderId="0" xfId="0" applyFont="1" applyFill="1">
      <alignment vertical="center"/>
    </xf>
    <xf numFmtId="182" fontId="15" fillId="6" borderId="0" xfId="0" applyNumberFormat="1" applyFont="1" applyFill="1" applyAlignment="1">
      <alignment horizontal="right" vertical="center"/>
    </xf>
    <xf numFmtId="0" fontId="14" fillId="6" borderId="0" xfId="0" applyFont="1" applyFill="1" applyAlignment="1">
      <alignment horizontal="right" vertical="center"/>
    </xf>
    <xf numFmtId="0" fontId="14" fillId="6" borderId="0" xfId="0" applyFont="1" applyFill="1" applyAlignment="1">
      <alignment horizontal="left" vertical="center"/>
    </xf>
    <xf numFmtId="0" fontId="14" fillId="6" borderId="0" xfId="0" applyFont="1" applyFill="1" applyAlignment="1">
      <alignment horizontal="center" vertical="center"/>
    </xf>
    <xf numFmtId="14" fontId="14" fillId="6" borderId="0" xfId="0" applyNumberFormat="1" applyFont="1" applyFill="1">
      <alignment vertical="center"/>
    </xf>
    <xf numFmtId="182" fontId="14" fillId="6" borderId="0" xfId="0" applyNumberFormat="1" applyFont="1" applyFill="1">
      <alignment vertical="center"/>
    </xf>
    <xf numFmtId="185" fontId="14" fillId="6" borderId="0" xfId="0" applyNumberFormat="1" applyFont="1" applyFill="1">
      <alignment vertical="center"/>
    </xf>
    <xf numFmtId="181" fontId="15" fillId="6" borderId="0" xfId="3" applyNumberFormat="1" applyFont="1" applyFill="1" applyBorder="1" applyAlignment="1">
      <alignment vertical="center"/>
    </xf>
    <xf numFmtId="0" fontId="48" fillId="6" borderId="0" xfId="0" applyFont="1" applyFill="1">
      <alignment vertical="center"/>
    </xf>
    <xf numFmtId="0" fontId="14" fillId="6" borderId="0" xfId="0" applyFont="1" applyFill="1">
      <alignment vertical="center"/>
    </xf>
    <xf numFmtId="0" fontId="15" fillId="11" borderId="0" xfId="0" applyFont="1" applyFill="1" applyAlignment="1">
      <alignment horizontal="center" vertical="center"/>
    </xf>
    <xf numFmtId="0" fontId="14" fillId="11" borderId="0" xfId="0" applyFont="1" applyFill="1" applyAlignment="1">
      <alignment horizontal="right" vertical="center"/>
    </xf>
    <xf numFmtId="182" fontId="15" fillId="0" borderId="0" xfId="3" applyNumberFormat="1" applyFont="1" applyFill="1" applyBorder="1" applyAlignment="1">
      <alignment vertical="center"/>
    </xf>
    <xf numFmtId="181" fontId="63" fillId="0" borderId="0" xfId="3" applyNumberFormat="1" applyFont="1" applyFill="1" applyBorder="1" applyAlignment="1">
      <alignment vertical="center"/>
    </xf>
    <xf numFmtId="185" fontId="41" fillId="0" borderId="0" xfId="3" applyNumberFormat="1" applyFont="1" applyFill="1" applyBorder="1" applyAlignment="1">
      <alignment horizontal="right" vertical="center"/>
    </xf>
    <xf numFmtId="0" fontId="41" fillId="0" borderId="0" xfId="3" applyNumberFormat="1" applyFont="1" applyFill="1" applyBorder="1" applyAlignment="1">
      <alignment vertical="center"/>
    </xf>
    <xf numFmtId="38" fontId="41" fillId="0" borderId="0" xfId="3" applyFont="1" applyFill="1" applyBorder="1" applyAlignment="1">
      <alignment vertical="center"/>
    </xf>
    <xf numFmtId="181" fontId="41" fillId="0" borderId="0" xfId="3" applyNumberFormat="1" applyFont="1" applyFill="1" applyBorder="1" applyAlignment="1">
      <alignment vertical="center"/>
    </xf>
    <xf numFmtId="192" fontId="14" fillId="0" borderId="0" xfId="0" applyNumberFormat="1" applyFont="1">
      <alignment vertical="center"/>
    </xf>
    <xf numFmtId="0" fontId="39" fillId="0" borderId="0" xfId="4">
      <alignment vertical="center"/>
    </xf>
    <xf numFmtId="185" fontId="6" fillId="0" borderId="2" xfId="3" applyNumberFormat="1" applyFont="1" applyBorder="1" applyAlignment="1">
      <alignment vertical="center" wrapText="1"/>
    </xf>
    <xf numFmtId="185" fontId="17" fillId="5" borderId="14" xfId="3" applyNumberFormat="1" applyFont="1" applyFill="1" applyBorder="1" applyAlignment="1">
      <alignment horizontal="right" vertical="center"/>
    </xf>
    <xf numFmtId="185" fontId="17" fillId="5" borderId="2" xfId="3" applyNumberFormat="1" applyFont="1" applyFill="1" applyBorder="1" applyAlignment="1">
      <alignment vertical="center" wrapText="1"/>
    </xf>
    <xf numFmtId="185" fontId="17" fillId="0" borderId="2" xfId="3" applyNumberFormat="1" applyFont="1" applyBorder="1" applyAlignment="1">
      <alignment vertical="center" wrapText="1"/>
    </xf>
    <xf numFmtId="185" fontId="6" fillId="5" borderId="2" xfId="3" applyNumberFormat="1" applyFont="1" applyFill="1" applyBorder="1" applyAlignment="1">
      <alignment vertical="center" wrapText="1"/>
    </xf>
    <xf numFmtId="185" fontId="17" fillId="0" borderId="2" xfId="3" applyNumberFormat="1" applyFont="1" applyBorder="1" applyAlignment="1">
      <alignment horizontal="left" vertical="center" wrapText="1"/>
    </xf>
    <xf numFmtId="0" fontId="6" fillId="0" borderId="17" xfId="0" applyFont="1" applyBorder="1" applyAlignment="1">
      <alignment horizontal="left" vertical="center" wrapText="1"/>
    </xf>
    <xf numFmtId="38" fontId="6" fillId="0" borderId="29" xfId="0" applyNumberFormat="1" applyFont="1" applyBorder="1" applyAlignment="1">
      <alignment horizontal="center" vertical="center" wrapText="1"/>
    </xf>
    <xf numFmtId="38" fontId="6" fillId="0" borderId="29" xfId="0" applyNumberFormat="1" applyFont="1" applyBorder="1" applyAlignment="1">
      <alignment horizontal="right" vertical="center" wrapText="1"/>
    </xf>
    <xf numFmtId="38" fontId="6" fillId="0" borderId="30" xfId="0" applyNumberFormat="1" applyFont="1" applyBorder="1" applyAlignment="1">
      <alignment horizontal="right" vertical="center" wrapText="1"/>
    </xf>
    <xf numFmtId="0" fontId="6" fillId="0" borderId="86" xfId="0" applyFont="1" applyBorder="1" applyAlignment="1">
      <alignment vertical="center" wrapText="1"/>
    </xf>
    <xf numFmtId="0" fontId="6" fillId="0" borderId="85" xfId="0" applyFont="1" applyBorder="1" applyAlignment="1">
      <alignment vertical="center" wrapText="1"/>
    </xf>
    <xf numFmtId="9" fontId="6" fillId="0" borderId="14" xfId="0" applyNumberFormat="1" applyFont="1" applyBorder="1" applyAlignment="1">
      <alignment horizontal="center" vertical="center" wrapText="1"/>
    </xf>
    <xf numFmtId="9" fontId="6" fillId="0" borderId="8" xfId="0" applyNumberFormat="1" applyFont="1" applyBorder="1" applyAlignment="1">
      <alignment horizontal="center" vertical="center" wrapText="1"/>
    </xf>
    <xf numFmtId="38" fontId="6" fillId="0" borderId="34" xfId="0" applyNumberFormat="1" applyFont="1" applyBorder="1" applyAlignment="1">
      <alignment horizontal="center" vertical="center" wrapText="1"/>
    </xf>
    <xf numFmtId="38" fontId="6" fillId="0" borderId="11" xfId="0" applyNumberFormat="1" applyFont="1" applyBorder="1" applyAlignment="1">
      <alignment horizontal="center" vertical="center" wrapText="1"/>
    </xf>
    <xf numFmtId="0" fontId="6" fillId="0" borderId="34" xfId="0" applyFont="1" applyBorder="1" applyAlignment="1">
      <alignment vertical="center" wrapText="1"/>
    </xf>
    <xf numFmtId="180" fontId="6" fillId="0" borderId="60" xfId="0" applyNumberFormat="1" applyFont="1" applyBorder="1" applyAlignment="1">
      <alignment horizontal="center" vertical="center" wrapText="1"/>
    </xf>
    <xf numFmtId="180" fontId="17" fillId="0" borderId="60" xfId="0" applyNumberFormat="1" applyFont="1" applyBorder="1" applyAlignment="1">
      <alignment horizontal="center" vertical="center" wrapText="1"/>
    </xf>
    <xf numFmtId="38" fontId="6" fillId="0" borderId="60" xfId="0" applyNumberFormat="1" applyFont="1" applyBorder="1" applyAlignment="1">
      <alignment horizontal="center" vertical="center" wrapText="1"/>
    </xf>
    <xf numFmtId="38" fontId="6" fillId="0" borderId="60" xfId="0" applyNumberFormat="1" applyFont="1" applyBorder="1" applyAlignment="1">
      <alignment horizontal="right" vertical="center" wrapText="1"/>
    </xf>
    <xf numFmtId="0" fontId="17" fillId="0" borderId="62" xfId="0" applyFont="1" applyBorder="1" applyAlignment="1">
      <alignment horizontal="left" vertical="center"/>
    </xf>
    <xf numFmtId="38" fontId="17" fillId="0" borderId="60" xfId="0" applyNumberFormat="1" applyFont="1" applyBorder="1" applyAlignment="1">
      <alignment horizontal="center" vertical="center" wrapText="1"/>
    </xf>
    <xf numFmtId="38" fontId="17" fillId="0" borderId="60" xfId="0" applyNumberFormat="1" applyFont="1" applyBorder="1" applyAlignment="1">
      <alignment horizontal="right" vertical="center" wrapText="1"/>
    </xf>
    <xf numFmtId="0" fontId="17" fillId="0" borderId="14" xfId="0" applyFont="1" applyBorder="1" applyAlignment="1">
      <alignment horizontal="left" vertical="center" wrapText="1"/>
    </xf>
    <xf numFmtId="0" fontId="6" fillId="5" borderId="2" xfId="0" applyFont="1" applyFill="1" applyBorder="1">
      <alignment vertical="center"/>
    </xf>
    <xf numFmtId="0" fontId="6" fillId="2" borderId="3" xfId="0" applyFont="1" applyFill="1" applyBorder="1" applyAlignment="1">
      <alignment horizontal="center" vertical="center" shrinkToFit="1"/>
    </xf>
    <xf numFmtId="0" fontId="6" fillId="0" borderId="5" xfId="0" applyFont="1" applyBorder="1" applyAlignment="1">
      <alignment horizontal="left" vertical="center" shrinkToFit="1"/>
    </xf>
    <xf numFmtId="0" fontId="6" fillId="0" borderId="27" xfId="0" applyFont="1" applyBorder="1" applyAlignment="1">
      <alignment horizontal="left" vertical="center" shrinkToFit="1"/>
    </xf>
    <xf numFmtId="0" fontId="5" fillId="0" borderId="5" xfId="0" applyFont="1" applyBorder="1" applyAlignment="1">
      <alignment horizontal="left" vertical="center" shrinkToFit="1"/>
    </xf>
    <xf numFmtId="0" fontId="6" fillId="9" borderId="5" xfId="0" applyFont="1" applyFill="1" applyBorder="1" applyAlignment="1">
      <alignment horizontal="left" vertical="center" shrinkToFit="1"/>
    </xf>
    <xf numFmtId="0" fontId="22" fillId="9" borderId="13" xfId="0" applyFont="1" applyFill="1" applyBorder="1" applyAlignment="1">
      <alignment vertical="center" shrinkToFit="1"/>
    </xf>
    <xf numFmtId="0" fontId="22" fillId="9" borderId="22" xfId="0" applyFont="1" applyFill="1" applyBorder="1" applyAlignment="1">
      <alignment vertical="center" shrinkToFit="1"/>
    </xf>
    <xf numFmtId="0" fontId="6" fillId="9" borderId="18" xfId="0" applyFont="1" applyFill="1" applyBorder="1" applyAlignment="1">
      <alignment vertical="center" shrinkToFit="1"/>
    </xf>
    <xf numFmtId="0" fontId="6" fillId="2" borderId="3" xfId="0" applyFont="1" applyFill="1" applyBorder="1" applyAlignment="1">
      <alignment horizontal="left" vertical="center" shrinkToFit="1"/>
    </xf>
    <xf numFmtId="0" fontId="17" fillId="0" borderId="13" xfId="0" applyFont="1" applyBorder="1" applyAlignment="1">
      <alignment vertical="center" shrinkToFit="1"/>
    </xf>
    <xf numFmtId="0" fontId="6" fillId="0" borderId="12" xfId="0" applyFont="1" applyBorder="1" applyAlignment="1">
      <alignment vertical="center" shrinkToFit="1"/>
    </xf>
    <xf numFmtId="0" fontId="6" fillId="0" borderId="12" xfId="0" applyFont="1" applyBorder="1" applyAlignment="1">
      <alignment horizontal="left" vertical="center" shrinkToFit="1"/>
    </xf>
    <xf numFmtId="0" fontId="5" fillId="0" borderId="27" xfId="0" applyFont="1" applyBorder="1" applyAlignment="1">
      <alignment horizontal="left" vertical="center" shrinkToFit="1"/>
    </xf>
    <xf numFmtId="0" fontId="5" fillId="0" borderId="10" xfId="0" applyFont="1" applyBorder="1" applyAlignment="1">
      <alignment horizontal="left" vertical="center" shrinkToFit="1"/>
    </xf>
    <xf numFmtId="0" fontId="5" fillId="0" borderId="114" xfId="0" applyFont="1" applyBorder="1" applyAlignment="1">
      <alignment horizontal="left" vertical="center" shrinkToFit="1"/>
    </xf>
    <xf numFmtId="0" fontId="24" fillId="0" borderId="5" xfId="0" applyFont="1" applyBorder="1" applyAlignment="1">
      <alignment horizontal="left" vertical="center" shrinkToFit="1"/>
    </xf>
    <xf numFmtId="0" fontId="6" fillId="9" borderId="44" xfId="0" applyFont="1" applyFill="1" applyBorder="1" applyAlignment="1">
      <alignment horizontal="left" vertical="center" shrinkToFit="1"/>
    </xf>
    <xf numFmtId="0" fontId="6" fillId="0" borderId="13" xfId="0" applyFont="1" applyBorder="1" applyAlignment="1">
      <alignment vertical="center" shrinkToFit="1"/>
    </xf>
    <xf numFmtId="0" fontId="19" fillId="0" borderId="13" xfId="0" applyFont="1" applyBorder="1" applyAlignment="1">
      <alignment vertical="center" shrinkToFit="1"/>
    </xf>
    <xf numFmtId="0" fontId="3" fillId="9" borderId="5" xfId="0" applyFont="1" applyFill="1" applyBorder="1" applyAlignment="1">
      <alignment vertical="center" shrinkToFit="1"/>
    </xf>
    <xf numFmtId="0" fontId="3" fillId="9" borderId="18" xfId="0" applyFont="1" applyFill="1" applyBorder="1" applyAlignment="1">
      <alignment vertical="center" shrinkToFit="1"/>
    </xf>
    <xf numFmtId="0" fontId="3" fillId="0" borderId="0" xfId="0" applyFont="1" applyAlignment="1">
      <alignment vertical="center" shrinkToFit="1"/>
    </xf>
    <xf numFmtId="0" fontId="17" fillId="0" borderId="5" xfId="0" applyFont="1" applyBorder="1" applyAlignment="1">
      <alignment horizontal="left" vertical="center" shrinkToFit="1"/>
    </xf>
    <xf numFmtId="0" fontId="6" fillId="0" borderId="2" xfId="0" applyFont="1" applyBorder="1" applyAlignment="1">
      <alignment vertical="center" shrinkToFit="1"/>
    </xf>
    <xf numFmtId="0" fontId="6" fillId="0" borderId="5" xfId="0" applyFont="1" applyBorder="1" applyAlignment="1">
      <alignment vertical="center" shrinkToFit="1"/>
    </xf>
    <xf numFmtId="0" fontId="6" fillId="2" borderId="5" xfId="0" applyFont="1" applyFill="1" applyBorder="1" applyAlignment="1">
      <alignment horizontal="left" vertical="center" shrinkToFit="1"/>
    </xf>
    <xf numFmtId="0" fontId="6" fillId="0" borderId="13" xfId="0" applyFont="1" applyBorder="1" applyAlignment="1">
      <alignment horizontal="left" vertical="center" shrinkToFit="1"/>
    </xf>
    <xf numFmtId="0" fontId="6" fillId="9" borderId="31" xfId="0" applyFont="1" applyFill="1" applyBorder="1" applyAlignment="1">
      <alignment vertical="center" shrinkToFit="1"/>
    </xf>
    <xf numFmtId="0" fontId="6" fillId="9" borderId="22" xfId="0" applyFont="1" applyFill="1" applyBorder="1" applyAlignment="1">
      <alignment vertical="center" shrinkToFit="1"/>
    </xf>
    <xf numFmtId="0" fontId="6" fillId="9" borderId="29" xfId="0" applyFont="1" applyFill="1" applyBorder="1" applyAlignment="1">
      <alignment vertical="center" shrinkToFit="1"/>
    </xf>
    <xf numFmtId="0" fontId="6" fillId="9" borderId="48" xfId="0" applyFont="1" applyFill="1" applyBorder="1" applyAlignment="1">
      <alignment vertical="center" shrinkToFit="1"/>
    </xf>
    <xf numFmtId="0" fontId="6" fillId="0" borderId="123" xfId="0" applyFont="1" applyBorder="1" applyAlignment="1">
      <alignment horizontal="left" vertical="center" shrinkToFit="1"/>
    </xf>
    <xf numFmtId="0" fontId="17" fillId="0" borderId="27" xfId="0" applyFont="1" applyBorder="1" applyAlignment="1">
      <alignment horizontal="left" vertical="center" shrinkToFit="1"/>
    </xf>
    <xf numFmtId="0" fontId="6" fillId="0" borderId="61" xfId="0" applyFont="1" applyBorder="1" applyAlignment="1">
      <alignment horizontal="left" vertical="center" shrinkToFit="1"/>
    </xf>
    <xf numFmtId="0" fontId="6" fillId="9" borderId="59" xfId="0" applyFont="1" applyFill="1" applyBorder="1" applyAlignment="1">
      <alignment vertical="center" shrinkToFit="1"/>
    </xf>
    <xf numFmtId="0" fontId="6" fillId="9" borderId="46" xfId="0" applyFont="1" applyFill="1" applyBorder="1" applyAlignment="1">
      <alignment horizontal="left" vertical="center" shrinkToFit="1"/>
    </xf>
    <xf numFmtId="0" fontId="6" fillId="2" borderId="13" xfId="0" applyFont="1" applyFill="1" applyBorder="1" applyAlignment="1">
      <alignment vertical="center" shrinkToFit="1"/>
    </xf>
    <xf numFmtId="0" fontId="20" fillId="9" borderId="13" xfId="0" applyFont="1" applyFill="1" applyBorder="1" applyAlignment="1">
      <alignment vertical="center" shrinkToFit="1"/>
    </xf>
    <xf numFmtId="0" fontId="22" fillId="0" borderId="13" xfId="0" applyFont="1" applyBorder="1" applyAlignment="1">
      <alignment vertical="center" shrinkToFit="1"/>
    </xf>
    <xf numFmtId="0" fontId="24" fillId="0" borderId="27" xfId="0" applyFont="1" applyBorder="1" applyAlignment="1">
      <alignment horizontal="left" vertical="center" shrinkToFit="1"/>
    </xf>
    <xf numFmtId="0" fontId="6" fillId="5" borderId="2" xfId="0" applyFont="1" applyFill="1" applyBorder="1" applyAlignment="1">
      <alignment horizontal="left" vertical="center" wrapText="1"/>
    </xf>
    <xf numFmtId="0" fontId="6" fillId="5" borderId="5" xfId="0" applyFont="1" applyFill="1" applyBorder="1" applyAlignment="1">
      <alignment horizontal="left" vertical="center" shrinkToFit="1"/>
    </xf>
    <xf numFmtId="0" fontId="6" fillId="5" borderId="10" xfId="0" applyFont="1" applyFill="1" applyBorder="1" applyAlignment="1">
      <alignment horizontal="left" vertical="center" shrinkToFit="1"/>
    </xf>
    <xf numFmtId="0" fontId="5" fillId="0" borderId="0" xfId="0" applyFont="1" applyAlignment="1">
      <alignment horizontal="left" vertical="center"/>
    </xf>
    <xf numFmtId="0" fontId="6" fillId="0" borderId="0" xfId="0" applyFont="1" applyAlignment="1">
      <alignment horizontal="left" vertical="center" wrapText="1"/>
    </xf>
    <xf numFmtId="0" fontId="6" fillId="0" borderId="65" xfId="0" applyFont="1" applyBorder="1" applyAlignment="1">
      <alignment horizontal="center" vertical="center" wrapText="1"/>
    </xf>
    <xf numFmtId="14" fontId="6" fillId="0" borderId="2" xfId="0" applyNumberFormat="1" applyFont="1" applyBorder="1" applyAlignment="1">
      <alignment horizontal="center" vertical="center"/>
    </xf>
    <xf numFmtId="14" fontId="6" fillId="0" borderId="2" xfId="0" applyNumberFormat="1" applyFont="1" applyBorder="1" applyAlignment="1">
      <alignment horizontal="center" vertical="center" wrapText="1"/>
    </xf>
    <xf numFmtId="14" fontId="6" fillId="9" borderId="2" xfId="0" applyNumberFormat="1" applyFont="1" applyFill="1" applyBorder="1" applyAlignment="1">
      <alignment horizontal="center" vertical="center"/>
    </xf>
    <xf numFmtId="14" fontId="6" fillId="17" borderId="2" xfId="0" applyNumberFormat="1" applyFont="1" applyFill="1" applyBorder="1" applyAlignment="1">
      <alignment horizontal="center" vertical="center"/>
    </xf>
    <xf numFmtId="14" fontId="6" fillId="9" borderId="2" xfId="0" applyNumberFormat="1" applyFont="1" applyFill="1" applyBorder="1" applyAlignment="1">
      <alignment horizontal="center" vertical="center" wrapText="1"/>
    </xf>
    <xf numFmtId="14" fontId="5" fillId="0" borderId="2" xfId="0" applyNumberFormat="1" applyFont="1" applyBorder="1" applyAlignment="1">
      <alignment horizontal="center" vertical="center"/>
    </xf>
    <xf numFmtId="14" fontId="6" fillId="9" borderId="59" xfId="0" applyNumberFormat="1" applyFont="1" applyFill="1" applyBorder="1" applyAlignment="1">
      <alignment horizontal="center" vertical="center"/>
    </xf>
    <xf numFmtId="14" fontId="6" fillId="9" borderId="84" xfId="0" applyNumberFormat="1" applyFont="1" applyFill="1" applyBorder="1" applyAlignment="1">
      <alignment horizontal="center" vertical="center" wrapText="1"/>
    </xf>
    <xf numFmtId="14" fontId="6" fillId="2" borderId="14" xfId="0" applyNumberFormat="1" applyFont="1" applyFill="1" applyBorder="1" applyAlignment="1">
      <alignment horizontal="center" vertical="center"/>
    </xf>
    <xf numFmtId="14" fontId="6" fillId="0" borderId="12" xfId="0" applyNumberFormat="1" applyFont="1" applyBorder="1" applyAlignment="1">
      <alignment horizontal="center" vertical="center" wrapText="1"/>
    </xf>
    <xf numFmtId="14" fontId="6" fillId="17" borderId="34" xfId="0" applyNumberFormat="1" applyFont="1" applyFill="1" applyBorder="1" applyAlignment="1">
      <alignment horizontal="center" vertical="center" wrapText="1"/>
    </xf>
    <xf numFmtId="14" fontId="17" fillId="9" borderId="46" xfId="0" applyNumberFormat="1" applyFont="1" applyFill="1" applyBorder="1" applyAlignment="1">
      <alignment horizontal="center" vertical="center" wrapText="1"/>
    </xf>
    <xf numFmtId="191" fontId="6" fillId="0" borderId="14" xfId="0" applyNumberFormat="1" applyFont="1" applyBorder="1" applyAlignment="1">
      <alignment horizontal="center" vertical="center" shrinkToFit="1"/>
    </xf>
    <xf numFmtId="0" fontId="92" fillId="0" borderId="0" xfId="4" applyFont="1">
      <alignment vertical="center"/>
    </xf>
    <xf numFmtId="9" fontId="0" fillId="0" borderId="0" xfId="1" applyFont="1">
      <alignment vertical="center"/>
    </xf>
    <xf numFmtId="9" fontId="0" fillId="5" borderId="0" xfId="1" applyFont="1" applyFill="1">
      <alignment vertical="center"/>
    </xf>
    <xf numFmtId="1" fontId="0" fillId="5" borderId="0" xfId="0" applyNumberFormat="1" applyFill="1">
      <alignment vertical="center"/>
    </xf>
    <xf numFmtId="0" fontId="0" fillId="8" borderId="103" xfId="0" applyFill="1" applyBorder="1">
      <alignment vertical="center"/>
    </xf>
    <xf numFmtId="0" fontId="6" fillId="5" borderId="9" xfId="0" applyFont="1" applyFill="1" applyBorder="1">
      <alignment vertical="center"/>
    </xf>
    <xf numFmtId="0" fontId="17" fillId="5" borderId="2" xfId="0" applyFont="1" applyFill="1" applyBorder="1" applyAlignment="1">
      <alignment horizontal="left" vertical="center" wrapText="1"/>
    </xf>
    <xf numFmtId="0" fontId="17" fillId="5" borderId="9" xfId="0" applyFont="1" applyFill="1" applyBorder="1">
      <alignment vertical="center"/>
    </xf>
    <xf numFmtId="0" fontId="17" fillId="5" borderId="2" xfId="0" applyFont="1" applyFill="1" applyBorder="1">
      <alignment vertical="center"/>
    </xf>
    <xf numFmtId="0" fontId="17" fillId="5" borderId="14" xfId="0" applyFont="1" applyFill="1" applyBorder="1">
      <alignment vertical="center"/>
    </xf>
    <xf numFmtId="0" fontId="6" fillId="0" borderId="10" xfId="0" applyFont="1" applyBorder="1" applyAlignment="1">
      <alignment horizontal="left" vertical="center" shrinkToFit="1"/>
    </xf>
    <xf numFmtId="9" fontId="6" fillId="0" borderId="59" xfId="1" applyFont="1" applyBorder="1" applyAlignment="1">
      <alignment horizontal="right" vertical="center" wrapText="1"/>
    </xf>
    <xf numFmtId="38" fontId="6" fillId="9" borderId="62" xfId="0" applyNumberFormat="1" applyFont="1" applyFill="1" applyBorder="1" applyAlignment="1">
      <alignment horizontal="center" vertical="center" wrapText="1"/>
    </xf>
    <xf numFmtId="38" fontId="38" fillId="0" borderId="2" xfId="0" applyNumberFormat="1" applyFont="1" applyBorder="1" applyAlignment="1">
      <alignment horizontal="right" vertical="center" wrapText="1"/>
    </xf>
    <xf numFmtId="38" fontId="6" fillId="9" borderId="62" xfId="0" applyNumberFormat="1" applyFont="1" applyFill="1" applyBorder="1" applyAlignment="1">
      <alignment horizontal="right" vertical="center" wrapText="1"/>
    </xf>
    <xf numFmtId="38" fontId="6" fillId="9" borderId="79" xfId="0" applyNumberFormat="1" applyFont="1" applyFill="1" applyBorder="1" applyAlignment="1">
      <alignment horizontal="right" vertical="center" wrapText="1"/>
    </xf>
    <xf numFmtId="0" fontId="6" fillId="2" borderId="24" xfId="0" applyFont="1" applyFill="1" applyBorder="1" applyAlignment="1">
      <alignment horizontal="center" vertical="center"/>
    </xf>
    <xf numFmtId="0" fontId="6" fillId="2" borderId="25" xfId="0" applyFont="1" applyFill="1" applyBorder="1" applyAlignment="1">
      <alignment horizontal="center" vertical="center"/>
    </xf>
    <xf numFmtId="0" fontId="6" fillId="0" borderId="17" xfId="0" applyFont="1" applyBorder="1" applyAlignment="1">
      <alignment vertical="center" wrapText="1"/>
    </xf>
    <xf numFmtId="180" fontId="6" fillId="14" borderId="2" xfId="0" applyNumberFormat="1" applyFont="1" applyFill="1" applyBorder="1" applyAlignment="1">
      <alignment horizontal="center" vertical="center" wrapText="1"/>
    </xf>
    <xf numFmtId="38" fontId="6" fillId="9" borderId="59" xfId="0" applyNumberFormat="1" applyFont="1" applyFill="1" applyBorder="1" applyAlignment="1">
      <alignment horizontal="right" vertical="center" wrapText="1"/>
    </xf>
    <xf numFmtId="38" fontId="6" fillId="9" borderId="80" xfId="0" applyNumberFormat="1" applyFont="1" applyFill="1" applyBorder="1" applyAlignment="1">
      <alignment horizontal="right" vertical="center" wrapText="1"/>
    </xf>
    <xf numFmtId="0" fontId="5" fillId="0" borderId="0" xfId="0" applyFont="1" applyAlignment="1">
      <alignment horizontal="center" vertical="center"/>
    </xf>
    <xf numFmtId="0" fontId="5" fillId="0" borderId="0" xfId="0" applyFont="1">
      <alignment vertical="center"/>
    </xf>
    <xf numFmtId="9" fontId="5" fillId="0" borderId="0" xfId="1" applyFont="1">
      <alignment vertical="center"/>
    </xf>
    <xf numFmtId="0" fontId="6" fillId="9" borderId="74" xfId="0" applyFont="1" applyFill="1" applyBorder="1">
      <alignment vertical="center"/>
    </xf>
    <xf numFmtId="0" fontId="5" fillId="0" borderId="0" xfId="0" applyFont="1" applyAlignment="1">
      <alignment vertical="center" shrinkToFit="1"/>
    </xf>
    <xf numFmtId="0" fontId="6" fillId="0" borderId="0" xfId="0" applyFont="1">
      <alignment vertical="center"/>
    </xf>
    <xf numFmtId="0" fontId="5" fillId="0" borderId="0" xfId="0" applyFont="1" applyAlignment="1">
      <alignment horizontal="right" vertical="center"/>
    </xf>
    <xf numFmtId="0" fontId="5" fillId="0" borderId="0" xfId="0" applyFont="1" applyAlignment="1">
      <alignment horizontal="center"/>
    </xf>
    <xf numFmtId="180" fontId="17" fillId="31" borderId="2" xfId="0" applyNumberFormat="1" applyFont="1" applyFill="1" applyBorder="1" applyAlignment="1">
      <alignment horizontal="center" wrapText="1"/>
    </xf>
    <xf numFmtId="180" fontId="17" fillId="31" borderId="6" xfId="0" applyNumberFormat="1" applyFont="1" applyFill="1" applyBorder="1" applyAlignment="1">
      <alignment horizontal="center" wrapText="1"/>
    </xf>
    <xf numFmtId="180" fontId="17" fillId="0" borderId="10" xfId="0" applyNumberFormat="1" applyFont="1" applyBorder="1" applyAlignment="1">
      <alignment horizontal="center" wrapText="1"/>
    </xf>
    <xf numFmtId="180" fontId="17" fillId="0" borderId="6" xfId="0" applyNumberFormat="1" applyFont="1" applyBorder="1" applyAlignment="1">
      <alignment horizontal="center" wrapText="1"/>
    </xf>
    <xf numFmtId="180" fontId="17" fillId="0" borderId="2" xfId="0" applyNumberFormat="1" applyFont="1" applyBorder="1" applyAlignment="1">
      <alignment horizontal="center" wrapText="1"/>
    </xf>
    <xf numFmtId="180" fontId="17" fillId="5" borderId="2" xfId="0" applyNumberFormat="1" applyFont="1" applyFill="1" applyBorder="1" applyAlignment="1">
      <alignment horizontal="center" wrapText="1"/>
    </xf>
    <xf numFmtId="180" fontId="6" fillId="2" borderId="22" xfId="0" applyNumberFormat="1" applyFont="1" applyFill="1" applyBorder="1" applyAlignment="1">
      <alignment horizontal="center" vertical="center" wrapText="1"/>
    </xf>
    <xf numFmtId="0" fontId="45" fillId="0" borderId="2" xfId="0" applyFont="1" applyBorder="1" applyAlignment="1">
      <alignment horizontal="center" vertical="center" wrapText="1"/>
    </xf>
    <xf numFmtId="0" fontId="6" fillId="2" borderId="2" xfId="0" applyFont="1" applyFill="1" applyBorder="1" applyAlignment="1">
      <alignment horizontal="center" vertical="center" wrapText="1"/>
    </xf>
    <xf numFmtId="0" fontId="6" fillId="2" borderId="31" xfId="0" applyFont="1" applyFill="1" applyBorder="1" applyAlignment="1">
      <alignment horizontal="center" vertical="center" wrapText="1"/>
    </xf>
    <xf numFmtId="0" fontId="6" fillId="2" borderId="89" xfId="0" applyFont="1" applyFill="1" applyBorder="1" applyAlignment="1">
      <alignment horizontal="center" vertical="center" wrapText="1"/>
    </xf>
    <xf numFmtId="0" fontId="6" fillId="2" borderId="29" xfId="0" applyFont="1" applyFill="1" applyBorder="1" applyAlignment="1">
      <alignment horizontal="center" vertical="center" wrapText="1"/>
    </xf>
    <xf numFmtId="180" fontId="6" fillId="2" borderId="62" xfId="0" applyNumberFormat="1" applyFont="1" applyFill="1" applyBorder="1" applyAlignment="1">
      <alignment horizontal="center" vertical="center" wrapText="1"/>
    </xf>
    <xf numFmtId="0" fontId="6" fillId="0" borderId="9" xfId="0" applyFont="1" applyBorder="1">
      <alignment vertical="center"/>
    </xf>
    <xf numFmtId="0" fontId="17" fillId="0" borderId="9" xfId="0" applyFont="1" applyBorder="1">
      <alignment vertical="center"/>
    </xf>
    <xf numFmtId="0" fontId="43" fillId="0" borderId="0" xfId="0" applyFont="1">
      <alignment vertical="center"/>
    </xf>
    <xf numFmtId="0" fontId="17" fillId="0" borderId="9" xfId="0" applyFont="1" applyBorder="1" applyAlignment="1">
      <alignment horizontal="left" vertical="center"/>
    </xf>
    <xf numFmtId="38" fontId="6" fillId="0" borderId="10" xfId="0" applyNumberFormat="1" applyFont="1" applyBorder="1" applyAlignment="1">
      <alignment horizontal="center" vertical="center" wrapText="1"/>
    </xf>
    <xf numFmtId="14" fontId="6" fillId="0" borderId="6" xfId="0" applyNumberFormat="1" applyFont="1" applyBorder="1" applyAlignment="1">
      <alignment horizontal="center" vertical="center"/>
    </xf>
    <xf numFmtId="0" fontId="93" fillId="0" borderId="0" xfId="0" applyFont="1">
      <alignment vertical="center"/>
    </xf>
    <xf numFmtId="38" fontId="24" fillId="5" borderId="2" xfId="0" applyNumberFormat="1" applyFont="1" applyFill="1" applyBorder="1" applyAlignment="1">
      <alignment horizontal="center" wrapText="1"/>
    </xf>
    <xf numFmtId="0" fontId="24" fillId="0" borderId="2" xfId="0" applyFont="1" applyBorder="1" applyAlignment="1">
      <alignment horizontal="center" wrapText="1"/>
    </xf>
    <xf numFmtId="38" fontId="24" fillId="5" borderId="2" xfId="3" applyFont="1" applyFill="1" applyBorder="1" applyAlignment="1">
      <alignment horizontal="center" wrapText="1"/>
    </xf>
    <xf numFmtId="180" fontId="17" fillId="34" borderId="2" xfId="0" applyNumberFormat="1" applyFont="1" applyFill="1" applyBorder="1" applyAlignment="1">
      <alignment horizontal="center" wrapText="1"/>
    </xf>
    <xf numFmtId="38" fontId="6" fillId="0" borderId="127" xfId="0" applyNumberFormat="1" applyFont="1" applyBorder="1" applyAlignment="1">
      <alignment horizontal="right" vertical="center" wrapText="1"/>
    </xf>
    <xf numFmtId="0" fontId="24" fillId="0" borderId="10" xfId="0" applyFont="1" applyBorder="1" applyAlignment="1">
      <alignment horizontal="center" wrapText="1"/>
    </xf>
    <xf numFmtId="38" fontId="6" fillId="0" borderId="2" xfId="3" applyFont="1" applyFill="1" applyBorder="1" applyAlignment="1">
      <alignment horizontal="center" vertical="center" wrapText="1"/>
    </xf>
    <xf numFmtId="9" fontId="17" fillId="0" borderId="2" xfId="1" applyFont="1" applyBorder="1" applyAlignment="1">
      <alignment horizontal="center" vertical="center" wrapText="1"/>
    </xf>
    <xf numFmtId="9" fontId="17" fillId="0" borderId="5" xfId="1" applyFont="1" applyBorder="1" applyAlignment="1">
      <alignment horizontal="center" vertical="center" wrapText="1"/>
    </xf>
    <xf numFmtId="9" fontId="17" fillId="0" borderId="6" xfId="1" applyFont="1" applyBorder="1" applyAlignment="1">
      <alignment horizontal="center" vertical="center" wrapText="1"/>
    </xf>
    <xf numFmtId="9" fontId="6" fillId="0" borderId="2" xfId="1" applyFont="1" applyBorder="1" applyAlignment="1">
      <alignment horizontal="center" vertical="center" wrapText="1"/>
    </xf>
    <xf numFmtId="9" fontId="6" fillId="0" borderId="6" xfId="1" applyFont="1" applyBorder="1" applyAlignment="1">
      <alignment horizontal="center" vertical="center" wrapText="1"/>
    </xf>
    <xf numFmtId="179" fontId="5" fillId="12" borderId="2" xfId="0" applyNumberFormat="1" applyFont="1" applyFill="1" applyBorder="1" applyAlignment="1">
      <alignment horizontal="center" vertical="center"/>
    </xf>
    <xf numFmtId="179" fontId="5" fillId="12" borderId="9" xfId="0" applyNumberFormat="1" applyFont="1" applyFill="1" applyBorder="1" applyAlignment="1">
      <alignment horizontal="center" vertical="center"/>
    </xf>
    <xf numFmtId="179" fontId="5" fillId="12" borderId="5" xfId="0" applyNumberFormat="1" applyFont="1" applyFill="1" applyBorder="1" applyAlignment="1">
      <alignment horizontal="center" vertical="center"/>
    </xf>
    <xf numFmtId="9" fontId="5" fillId="0" borderId="5" xfId="1" applyFont="1" applyBorder="1" applyAlignment="1">
      <alignment horizontal="center" vertical="center"/>
    </xf>
    <xf numFmtId="9" fontId="5" fillId="0" borderId="2" xfId="1" applyFont="1" applyBorder="1" applyAlignment="1">
      <alignment horizontal="center" vertical="center"/>
    </xf>
    <xf numFmtId="9" fontId="0" fillId="12" borderId="2" xfId="1" applyFont="1" applyFill="1" applyBorder="1" applyAlignment="1">
      <alignment horizontal="center" vertical="center"/>
    </xf>
    <xf numFmtId="9" fontId="0" fillId="12" borderId="9" xfId="1" applyFont="1" applyFill="1" applyBorder="1" applyAlignment="1">
      <alignment horizontal="center" vertical="center"/>
    </xf>
    <xf numFmtId="9" fontId="53" fillId="17" borderId="2" xfId="1" applyFont="1" applyFill="1" applyBorder="1">
      <alignment vertical="center"/>
    </xf>
    <xf numFmtId="9" fontId="53" fillId="17" borderId="72" xfId="1" applyFont="1" applyFill="1" applyBorder="1">
      <alignment vertical="center"/>
    </xf>
    <xf numFmtId="9" fontId="53" fillId="17" borderId="10" xfId="1" applyFont="1" applyFill="1" applyBorder="1">
      <alignment vertical="center"/>
    </xf>
    <xf numFmtId="9" fontId="0" fillId="12" borderId="6" xfId="1" applyFont="1" applyFill="1" applyBorder="1" applyAlignment="1">
      <alignment horizontal="center" vertical="center"/>
    </xf>
    <xf numFmtId="9" fontId="0" fillId="12" borderId="10" xfId="1" applyFont="1" applyFill="1" applyBorder="1" applyAlignment="1">
      <alignment horizontal="center" vertical="center"/>
    </xf>
    <xf numFmtId="9" fontId="6" fillId="0" borderId="5" xfId="1" applyFont="1" applyBorder="1" applyAlignment="1">
      <alignment horizontal="center" vertical="center" wrapText="1"/>
    </xf>
    <xf numFmtId="1" fontId="17" fillId="0" borderId="2" xfId="0" applyNumberFormat="1" applyFont="1" applyBorder="1" applyAlignment="1">
      <alignment horizontal="center" wrapText="1"/>
    </xf>
    <xf numFmtId="0" fontId="17" fillId="0" borderId="2" xfId="0" applyFont="1" applyBorder="1" applyAlignment="1">
      <alignment horizontal="center" wrapText="1"/>
    </xf>
    <xf numFmtId="180" fontId="27" fillId="5" borderId="97" xfId="0" applyNumberFormat="1" applyFont="1" applyFill="1" applyBorder="1">
      <alignment vertical="center"/>
    </xf>
    <xf numFmtId="180" fontId="0" fillId="0" borderId="97" xfId="0" applyNumberFormat="1" applyBorder="1">
      <alignment vertical="center"/>
    </xf>
    <xf numFmtId="55" fontId="27" fillId="5" borderId="97" xfId="0" applyNumberFormat="1" applyFont="1" applyFill="1" applyBorder="1">
      <alignment vertical="center"/>
    </xf>
    <xf numFmtId="38" fontId="0" fillId="0" borderId="0" xfId="3" applyFont="1">
      <alignment vertical="center"/>
    </xf>
    <xf numFmtId="0" fontId="0" fillId="0" borderId="62" xfId="0" applyBorder="1">
      <alignment vertical="center"/>
    </xf>
    <xf numFmtId="0" fontId="0" fillId="0" borderId="61" xfId="0" applyBorder="1">
      <alignment vertical="center"/>
    </xf>
    <xf numFmtId="14" fontId="0" fillId="0" borderId="10" xfId="0" applyNumberFormat="1" applyBorder="1">
      <alignment vertical="center"/>
    </xf>
    <xf numFmtId="14" fontId="0" fillId="0" borderId="58" xfId="0" applyNumberFormat="1" applyBorder="1">
      <alignment vertical="center"/>
    </xf>
    <xf numFmtId="0" fontId="0" fillId="5" borderId="128" xfId="0" applyFill="1" applyBorder="1">
      <alignment vertical="center"/>
    </xf>
    <xf numFmtId="0" fontId="94" fillId="0" borderId="0" xfId="0" applyFont="1">
      <alignment vertical="center"/>
    </xf>
    <xf numFmtId="180" fontId="94" fillId="0" borderId="0" xfId="0" applyNumberFormat="1" applyFont="1">
      <alignment vertical="center"/>
    </xf>
    <xf numFmtId="180" fontId="95" fillId="12" borderId="0" xfId="0" applyNumberFormat="1" applyFont="1" applyFill="1">
      <alignment vertical="center"/>
    </xf>
    <xf numFmtId="179" fontId="94" fillId="0" borderId="0" xfId="0" applyNumberFormat="1" applyFont="1">
      <alignment vertical="center"/>
    </xf>
    <xf numFmtId="179" fontId="95" fillId="12" borderId="0" xfId="0" applyNumberFormat="1" applyFont="1" applyFill="1">
      <alignment vertical="center"/>
    </xf>
    <xf numFmtId="179" fontId="94" fillId="9" borderId="0" xfId="0" applyNumberFormat="1" applyFont="1" applyFill="1">
      <alignment vertical="center"/>
    </xf>
    <xf numFmtId="38" fontId="0" fillId="0" borderId="122" xfId="3" applyFont="1" applyBorder="1">
      <alignment vertical="center"/>
    </xf>
    <xf numFmtId="193" fontId="0" fillId="0" borderId="0" xfId="0" applyNumberFormat="1">
      <alignment vertical="center"/>
    </xf>
    <xf numFmtId="38" fontId="6" fillId="0" borderId="9" xfId="0" applyNumberFormat="1" applyFont="1" applyBorder="1" applyAlignment="1">
      <alignment horizontal="left" vertical="center"/>
    </xf>
    <xf numFmtId="0" fontId="6" fillId="14" borderId="2" xfId="0" applyFont="1" applyFill="1" applyBorder="1" applyAlignment="1">
      <alignment horizontal="left" vertical="center"/>
    </xf>
    <xf numFmtId="180" fontId="17" fillId="14" borderId="5" xfId="0" applyNumberFormat="1" applyFont="1" applyFill="1" applyBorder="1" applyAlignment="1">
      <alignment horizontal="center" vertical="center" wrapText="1"/>
    </xf>
    <xf numFmtId="180" fontId="17" fillId="14" borderId="6" xfId="0" applyNumberFormat="1" applyFont="1" applyFill="1" applyBorder="1" applyAlignment="1">
      <alignment horizontal="center" vertical="center" wrapText="1"/>
    </xf>
    <xf numFmtId="180" fontId="17" fillId="14" borderId="10" xfId="0" applyNumberFormat="1" applyFont="1" applyFill="1" applyBorder="1" applyAlignment="1">
      <alignment horizontal="center" vertical="center" wrapText="1"/>
    </xf>
    <xf numFmtId="0" fontId="6" fillId="14" borderId="10" xfId="0" applyFont="1" applyFill="1" applyBorder="1" applyAlignment="1">
      <alignment horizontal="left" vertical="center" shrinkToFit="1"/>
    </xf>
    <xf numFmtId="9" fontId="3" fillId="17" borderId="2" xfId="1" applyFont="1" applyFill="1" applyBorder="1" applyAlignment="1">
      <alignment horizontal="left" vertical="center" shrinkToFit="1"/>
    </xf>
    <xf numFmtId="9" fontId="26" fillId="17" borderId="2" xfId="1" applyFont="1" applyFill="1" applyBorder="1" applyAlignment="1">
      <alignment horizontal="left" vertical="center"/>
    </xf>
    <xf numFmtId="9" fontId="26" fillId="17" borderId="2" xfId="1" applyFont="1" applyFill="1" applyBorder="1" applyAlignment="1">
      <alignment vertical="center" wrapText="1"/>
    </xf>
    <xf numFmtId="9" fontId="3" fillId="17" borderId="2" xfId="1" applyFont="1" applyFill="1" applyBorder="1" applyAlignment="1">
      <alignment horizontal="left" vertical="center"/>
    </xf>
    <xf numFmtId="9" fontId="29" fillId="17" borderId="2" xfId="1" applyFont="1" applyFill="1" applyBorder="1" applyAlignment="1">
      <alignment horizontal="right" vertical="center" wrapText="1"/>
    </xf>
    <xf numFmtId="9" fontId="26" fillId="17" borderId="2" xfId="1" applyFont="1" applyFill="1" applyBorder="1" applyAlignment="1">
      <alignment horizontal="right" vertical="center" wrapText="1"/>
    </xf>
    <xf numFmtId="9" fontId="29" fillId="17" borderId="2" xfId="1" applyFont="1" applyFill="1" applyBorder="1" applyAlignment="1">
      <alignment horizontal="center" vertical="center" wrapText="1"/>
    </xf>
    <xf numFmtId="9" fontId="3" fillId="17" borderId="2" xfId="1" applyFont="1" applyFill="1" applyBorder="1" applyAlignment="1">
      <alignment horizontal="center" vertical="center" wrapText="1"/>
    </xf>
    <xf numFmtId="9" fontId="3" fillId="17" borderId="2" xfId="1" applyFont="1" applyFill="1" applyBorder="1" applyAlignment="1">
      <alignment vertical="center" wrapText="1"/>
    </xf>
    <xf numFmtId="9" fontId="3" fillId="17" borderId="9" xfId="1" applyFont="1" applyFill="1" applyBorder="1" applyAlignment="1">
      <alignment vertical="center" wrapText="1"/>
    </xf>
    <xf numFmtId="9" fontId="2" fillId="0" borderId="0" xfId="1" applyFont="1">
      <alignment vertical="center"/>
    </xf>
    <xf numFmtId="9" fontId="26" fillId="0" borderId="2" xfId="1" applyFont="1" applyBorder="1" applyAlignment="1">
      <alignment horizontal="left" vertical="center"/>
    </xf>
    <xf numFmtId="9" fontId="26" fillId="0" borderId="0" xfId="1" applyFont="1" applyAlignment="1">
      <alignment vertical="center" wrapText="1"/>
    </xf>
    <xf numFmtId="9" fontId="3" fillId="0" borderId="0" xfId="1" applyFont="1">
      <alignment vertical="center"/>
    </xf>
    <xf numFmtId="9" fontId="26" fillId="0" borderId="5" xfId="1" applyFont="1" applyBorder="1" applyAlignment="1">
      <alignment horizontal="left" vertical="center" shrinkToFit="1"/>
    </xf>
    <xf numFmtId="9" fontId="26" fillId="0" borderId="2" xfId="1" applyFont="1" applyBorder="1" applyAlignment="1">
      <alignment horizontal="center" vertical="center" wrapText="1"/>
    </xf>
    <xf numFmtId="9" fontId="29" fillId="0" borderId="2" xfId="1" applyFont="1" applyBorder="1" applyAlignment="1">
      <alignment horizontal="center" vertical="center" wrapText="1"/>
    </xf>
    <xf numFmtId="9" fontId="29" fillId="0" borderId="9" xfId="1" applyFont="1" applyBorder="1" applyAlignment="1">
      <alignment horizontal="center" vertical="center" wrapText="1"/>
    </xf>
    <xf numFmtId="9" fontId="29" fillId="0" borderId="5" xfId="1" applyFont="1" applyBorder="1" applyAlignment="1">
      <alignment horizontal="center" vertical="center" wrapText="1"/>
    </xf>
    <xf numFmtId="9" fontId="29" fillId="0" borderId="6" xfId="1" applyFont="1" applyBorder="1" applyAlignment="1">
      <alignment horizontal="center" vertical="center" wrapText="1"/>
    </xf>
    <xf numFmtId="9" fontId="29" fillId="0" borderId="10" xfId="1" applyFont="1" applyBorder="1" applyAlignment="1">
      <alignment horizontal="center" vertical="center" wrapText="1"/>
    </xf>
    <xf numFmtId="9" fontId="3" fillId="0" borderId="5" xfId="1" applyFont="1" applyBorder="1" applyAlignment="1">
      <alignment horizontal="left" vertical="center" shrinkToFit="1"/>
    </xf>
    <xf numFmtId="9" fontId="26" fillId="0" borderId="59" xfId="1" applyFont="1" applyBorder="1" applyAlignment="1">
      <alignment horizontal="left" vertical="center"/>
    </xf>
    <xf numFmtId="9" fontId="26" fillId="0" borderId="12" xfId="1" applyFont="1" applyBorder="1" applyAlignment="1">
      <alignment vertical="center" wrapText="1"/>
    </xf>
    <xf numFmtId="9" fontId="3" fillId="0" borderId="2" xfId="1" applyFont="1" applyBorder="1" applyAlignment="1">
      <alignment horizontal="left" vertical="center"/>
    </xf>
    <xf numFmtId="9" fontId="3" fillId="0" borderId="0" xfId="1" applyFont="1" applyAlignment="1">
      <alignment vertical="center" wrapText="1"/>
    </xf>
    <xf numFmtId="0" fontId="96" fillId="35" borderId="129" xfId="0" applyFont="1" applyFill="1" applyBorder="1" applyAlignment="1">
      <alignment horizontal="left" vertical="center"/>
    </xf>
    <xf numFmtId="0" fontId="96" fillId="35" borderId="130" xfId="0" applyFont="1" applyFill="1" applyBorder="1" applyAlignment="1">
      <alignment horizontal="left" vertical="center"/>
    </xf>
    <xf numFmtId="0" fontId="96" fillId="35" borderId="131" xfId="0" applyFont="1" applyFill="1" applyBorder="1" applyAlignment="1">
      <alignment horizontal="left" vertical="center"/>
    </xf>
    <xf numFmtId="0" fontId="97" fillId="36" borderId="132" xfId="0" applyFont="1" applyFill="1" applyBorder="1" applyAlignment="1">
      <alignment horizontal="center" vertical="center"/>
    </xf>
    <xf numFmtId="0" fontId="98" fillId="37" borderId="0" xfId="0" applyFont="1" applyFill="1" applyAlignment="1">
      <alignment horizontal="left" vertical="center"/>
    </xf>
    <xf numFmtId="0" fontId="97" fillId="36" borderId="133" xfId="0" applyFont="1" applyFill="1" applyBorder="1" applyAlignment="1">
      <alignment horizontal="center" vertical="center"/>
    </xf>
    <xf numFmtId="0" fontId="97" fillId="36" borderId="134" xfId="0" applyFont="1" applyFill="1" applyBorder="1" applyAlignment="1">
      <alignment horizontal="center" vertical="center"/>
    </xf>
    <xf numFmtId="0" fontId="98" fillId="37" borderId="132" xfId="0" applyFont="1" applyFill="1" applyBorder="1" applyAlignment="1">
      <alignment horizontal="left" vertical="center"/>
    </xf>
    <xf numFmtId="0" fontId="98" fillId="37" borderId="135" xfId="0" applyFont="1" applyFill="1" applyBorder="1" applyAlignment="1">
      <alignment horizontal="left" vertical="center"/>
    </xf>
    <xf numFmtId="0" fontId="98" fillId="37" borderId="136" xfId="0" applyFont="1" applyFill="1" applyBorder="1" applyAlignment="1">
      <alignment horizontal="left" vertical="center"/>
    </xf>
    <xf numFmtId="0" fontId="98" fillId="37" borderId="137" xfId="0" applyFont="1" applyFill="1" applyBorder="1" applyAlignment="1">
      <alignment horizontal="left" vertical="center"/>
    </xf>
    <xf numFmtId="0" fontId="98" fillId="37" borderId="138" xfId="0" applyFont="1" applyFill="1" applyBorder="1" applyAlignment="1">
      <alignment horizontal="left" vertical="center"/>
    </xf>
    <xf numFmtId="0" fontId="98" fillId="37" borderId="139" xfId="0" applyFont="1" applyFill="1" applyBorder="1" applyAlignment="1">
      <alignment horizontal="left" vertical="center"/>
    </xf>
    <xf numFmtId="0" fontId="98" fillId="37" borderId="140" xfId="0" applyFont="1" applyFill="1" applyBorder="1" applyAlignment="1">
      <alignment horizontal="left" vertical="center"/>
    </xf>
    <xf numFmtId="0" fontId="98" fillId="37" borderId="141" xfId="0" applyFont="1" applyFill="1" applyBorder="1" applyAlignment="1">
      <alignment horizontal="left" vertical="center"/>
    </xf>
    <xf numFmtId="0" fontId="6" fillId="0" borderId="10" xfId="0" applyFont="1" applyBorder="1" applyAlignment="1">
      <alignment horizontal="left" vertical="center"/>
    </xf>
    <xf numFmtId="0" fontId="6" fillId="0" borderId="142" xfId="0" applyFont="1" applyBorder="1" applyAlignment="1">
      <alignment horizontal="left" vertical="center"/>
    </xf>
    <xf numFmtId="0" fontId="6" fillId="0" borderId="143" xfId="0" applyFont="1" applyBorder="1" applyAlignment="1">
      <alignment horizontal="left" vertical="center"/>
    </xf>
    <xf numFmtId="0" fontId="6" fillId="17" borderId="9" xfId="0" applyFont="1" applyFill="1" applyBorder="1" applyAlignment="1">
      <alignment horizontal="left" vertical="center"/>
    </xf>
    <xf numFmtId="0" fontId="6" fillId="17" borderId="10" xfId="0" applyFont="1" applyFill="1" applyBorder="1" applyAlignment="1">
      <alignment horizontal="left" vertical="center"/>
    </xf>
    <xf numFmtId="0" fontId="6" fillId="0" borderId="144" xfId="0" applyFont="1" applyBorder="1" applyAlignment="1">
      <alignment horizontal="left" vertical="center"/>
    </xf>
    <xf numFmtId="0" fontId="6" fillId="0" borderId="142" xfId="0" applyFont="1" applyBorder="1" applyAlignment="1">
      <alignment vertical="center" wrapText="1"/>
    </xf>
    <xf numFmtId="0" fontId="6" fillId="17" borderId="143" xfId="0" applyFont="1" applyFill="1" applyBorder="1" applyAlignment="1">
      <alignment vertical="center" wrapText="1"/>
    </xf>
    <xf numFmtId="0" fontId="6" fillId="17" borderId="59" xfId="0" applyFont="1" applyFill="1" applyBorder="1" applyAlignment="1">
      <alignment horizontal="left" vertical="center"/>
    </xf>
    <xf numFmtId="0" fontId="5" fillId="0" borderId="10" xfId="0" applyFont="1" applyBorder="1" applyAlignment="1">
      <alignment horizontal="left" vertical="center"/>
    </xf>
    <xf numFmtId="180" fontId="17" fillId="0" borderId="2" xfId="0" applyNumberFormat="1" applyFont="1" applyBorder="1" applyAlignment="1">
      <alignment horizontal="center"/>
    </xf>
    <xf numFmtId="0" fontId="22" fillId="0" borderId="9" xfId="0" applyFont="1" applyBorder="1" applyAlignment="1">
      <alignment horizontal="center"/>
    </xf>
    <xf numFmtId="0" fontId="17" fillId="0" borderId="9" xfId="0" applyFont="1" applyBorder="1" applyAlignment="1">
      <alignment horizontal="center" wrapText="1"/>
    </xf>
    <xf numFmtId="0" fontId="22" fillId="0" borderId="9" xfId="0" applyFont="1" applyBorder="1" applyAlignment="1">
      <alignment horizontal="left"/>
    </xf>
    <xf numFmtId="180" fontId="24" fillId="9" borderId="47" xfId="0" applyNumberFormat="1" applyFont="1" applyFill="1" applyBorder="1" applyAlignment="1">
      <alignment vertical="center" wrapText="1"/>
    </xf>
    <xf numFmtId="180" fontId="3" fillId="9" borderId="93" xfId="0" applyNumberFormat="1" applyFont="1" applyFill="1" applyBorder="1">
      <alignment vertical="center"/>
    </xf>
    <xf numFmtId="0" fontId="6" fillId="17" borderId="34" xfId="0" applyFont="1" applyFill="1" applyBorder="1" applyAlignment="1">
      <alignment horizontal="left" vertical="center"/>
    </xf>
    <xf numFmtId="0" fontId="6" fillId="17" borderId="145" xfId="0" applyFont="1" applyFill="1" applyBorder="1" applyAlignment="1">
      <alignment horizontal="left" vertical="center"/>
    </xf>
    <xf numFmtId="0" fontId="17" fillId="0" borderId="8" xfId="0" applyFont="1" applyBorder="1">
      <alignment vertical="center"/>
    </xf>
    <xf numFmtId="0" fontId="17" fillId="17" borderId="9" xfId="0" applyFont="1" applyFill="1" applyBorder="1" applyAlignment="1">
      <alignment horizontal="left" vertical="center"/>
    </xf>
    <xf numFmtId="0" fontId="17" fillId="17" borderId="10" xfId="0" applyFont="1" applyFill="1" applyBorder="1" applyAlignment="1">
      <alignment horizontal="left" vertical="center"/>
    </xf>
    <xf numFmtId="0" fontId="17" fillId="0" borderId="142" xfId="0" applyFont="1" applyBorder="1" applyAlignment="1">
      <alignment horizontal="left" vertical="center"/>
    </xf>
    <xf numFmtId="0" fontId="17" fillId="17" borderId="145" xfId="0" applyFont="1" applyFill="1" applyBorder="1" applyAlignment="1">
      <alignment horizontal="left" vertical="center"/>
    </xf>
    <xf numFmtId="0" fontId="6" fillId="17" borderId="59" xfId="0" applyFont="1" applyFill="1" applyBorder="1" applyAlignment="1">
      <alignment vertical="center" wrapText="1"/>
    </xf>
    <xf numFmtId="0" fontId="6" fillId="17" borderId="144" xfId="0" applyFont="1" applyFill="1" applyBorder="1" applyAlignment="1">
      <alignment vertical="center" wrapText="1"/>
    </xf>
    <xf numFmtId="0" fontId="17" fillId="0" borderId="10" xfId="0" applyFont="1" applyBorder="1" applyAlignment="1">
      <alignment vertical="center" wrapText="1"/>
    </xf>
    <xf numFmtId="0" fontId="6" fillId="0" borderId="143" xfId="0" applyFont="1" applyBorder="1" applyAlignment="1">
      <alignment vertical="center" wrapText="1"/>
    </xf>
    <xf numFmtId="180" fontId="24" fillId="14" borderId="2" xfId="0" applyNumberFormat="1" applyFont="1" applyFill="1" applyBorder="1" applyAlignment="1">
      <alignment horizontal="center" wrapText="1"/>
    </xf>
    <xf numFmtId="180" fontId="24" fillId="14" borderId="10" xfId="0" applyNumberFormat="1" applyFont="1" applyFill="1" applyBorder="1" applyAlignment="1">
      <alignment horizontal="center" wrapText="1"/>
    </xf>
    <xf numFmtId="14" fontId="0" fillId="0" borderId="2" xfId="0" applyNumberFormat="1" applyBorder="1">
      <alignment vertical="center"/>
    </xf>
    <xf numFmtId="9" fontId="0" fillId="0" borderId="2" xfId="1" applyFont="1" applyBorder="1">
      <alignment vertical="center"/>
    </xf>
    <xf numFmtId="9" fontId="6" fillId="0" borderId="10" xfId="1" applyFont="1" applyBorder="1" applyAlignment="1">
      <alignment horizontal="center" vertical="center" wrapText="1"/>
    </xf>
    <xf numFmtId="180" fontId="8" fillId="17" borderId="10" xfId="0" applyNumberFormat="1" applyFont="1" applyFill="1" applyBorder="1" applyAlignment="1">
      <alignment horizontal="center" vertical="center" wrapText="1"/>
    </xf>
    <xf numFmtId="180" fontId="5" fillId="9" borderId="10" xfId="0" applyNumberFormat="1" applyFont="1" applyFill="1" applyBorder="1" applyAlignment="1">
      <alignment vertical="center" wrapText="1"/>
    </xf>
    <xf numFmtId="180" fontId="17" fillId="17" borderId="10" xfId="0" applyNumberFormat="1" applyFont="1" applyFill="1" applyBorder="1" applyAlignment="1">
      <alignment horizontal="center" vertical="center" wrapText="1"/>
    </xf>
    <xf numFmtId="38" fontId="6" fillId="9" borderId="10" xfId="0" applyNumberFormat="1" applyFont="1" applyFill="1" applyBorder="1" applyAlignment="1">
      <alignment horizontal="center" vertical="center" wrapText="1"/>
    </xf>
    <xf numFmtId="180" fontId="24" fillId="9" borderId="51" xfId="0" applyNumberFormat="1" applyFont="1" applyFill="1" applyBorder="1" applyAlignment="1">
      <alignment vertical="center" wrapText="1"/>
    </xf>
    <xf numFmtId="180" fontId="6" fillId="9" borderId="51" xfId="0" applyNumberFormat="1" applyFont="1" applyFill="1" applyBorder="1" applyAlignment="1">
      <alignment horizontal="center" vertical="center" wrapText="1"/>
    </xf>
    <xf numFmtId="180" fontId="6" fillId="2" borderId="55" xfId="0" applyNumberFormat="1" applyFont="1" applyFill="1" applyBorder="1" applyAlignment="1">
      <alignment vertical="center" wrapText="1"/>
    </xf>
    <xf numFmtId="38" fontId="3" fillId="9" borderId="61" xfId="0" applyNumberFormat="1" applyFont="1" applyFill="1" applyBorder="1" applyAlignment="1">
      <alignment horizontal="center" vertical="center"/>
    </xf>
    <xf numFmtId="180" fontId="3" fillId="9" borderId="146" xfId="0" applyNumberFormat="1" applyFont="1" applyFill="1" applyBorder="1">
      <alignment vertical="center"/>
    </xf>
    <xf numFmtId="180" fontId="3" fillId="9" borderId="147" xfId="0" applyNumberFormat="1" applyFont="1" applyFill="1" applyBorder="1">
      <alignment vertical="center"/>
    </xf>
    <xf numFmtId="0" fontId="3" fillId="0" borderId="104" xfId="0" applyFont="1" applyBorder="1">
      <alignment vertical="center"/>
    </xf>
    <xf numFmtId="0" fontId="6" fillId="0" borderId="4" xfId="0" applyFont="1" applyBorder="1" applyAlignment="1">
      <alignment vertical="center" wrapText="1"/>
    </xf>
    <xf numFmtId="0" fontId="6" fillId="17" borderId="7" xfId="0" applyFont="1" applyFill="1" applyBorder="1" applyAlignment="1">
      <alignment vertical="center" wrapText="1"/>
    </xf>
    <xf numFmtId="38" fontId="6" fillId="0" borderId="86" xfId="3" applyFont="1" applyFill="1" applyBorder="1" applyAlignment="1">
      <alignment horizontal="center" vertical="center" wrapText="1"/>
    </xf>
    <xf numFmtId="38" fontId="6" fillId="0" borderId="34" xfId="3" applyFont="1" applyFill="1" applyBorder="1" applyAlignment="1">
      <alignment horizontal="center" vertical="center" wrapText="1"/>
    </xf>
    <xf numFmtId="0" fontId="6" fillId="0" borderId="17" xfId="0" applyFont="1" applyBorder="1">
      <alignment vertical="center"/>
    </xf>
    <xf numFmtId="14" fontId="6" fillId="0" borderId="14" xfId="0" applyNumberFormat="1" applyFont="1" applyBorder="1" applyAlignment="1">
      <alignment horizontal="center" vertical="center" wrapText="1"/>
    </xf>
    <xf numFmtId="180" fontId="17" fillId="0" borderId="9" xfId="0" applyNumberFormat="1" applyFont="1" applyBorder="1" applyAlignment="1">
      <alignment vertical="center" wrapText="1"/>
    </xf>
    <xf numFmtId="180" fontId="5" fillId="0" borderId="5" xfId="0" applyNumberFormat="1" applyFont="1" applyBorder="1" applyAlignment="1">
      <alignment vertical="center" wrapText="1"/>
    </xf>
    <xf numFmtId="180" fontId="5" fillId="0" borderId="10" xfId="0" applyNumberFormat="1" applyFont="1" applyBorder="1" applyAlignment="1">
      <alignment vertical="center" wrapText="1"/>
    </xf>
    <xf numFmtId="180" fontId="5" fillId="0" borderId="6" xfId="0" applyNumberFormat="1" applyFont="1" applyBorder="1" applyAlignment="1">
      <alignment vertical="center" wrapText="1"/>
    </xf>
    <xf numFmtId="191" fontId="6" fillId="2" borderId="14" xfId="0" applyNumberFormat="1" applyFont="1" applyFill="1" applyBorder="1" applyAlignment="1">
      <alignment horizontal="center" vertical="center" shrinkToFit="1"/>
    </xf>
    <xf numFmtId="178" fontId="6" fillId="2" borderId="2" xfId="0" applyNumberFormat="1" applyFont="1" applyFill="1" applyBorder="1" applyAlignment="1">
      <alignment horizontal="center" vertical="center" wrapText="1"/>
    </xf>
    <xf numFmtId="178" fontId="17" fillId="2" borderId="2" xfId="0" applyNumberFormat="1" applyFont="1" applyFill="1" applyBorder="1" applyAlignment="1">
      <alignment horizontal="center" vertical="center" wrapText="1"/>
    </xf>
    <xf numFmtId="178" fontId="17" fillId="2" borderId="9" xfId="0" applyNumberFormat="1" applyFont="1" applyFill="1" applyBorder="1" applyAlignment="1">
      <alignment horizontal="center" vertical="center" wrapText="1"/>
    </xf>
    <xf numFmtId="178" fontId="17" fillId="2" borderId="10" xfId="0" applyNumberFormat="1" applyFont="1" applyFill="1" applyBorder="1" applyAlignment="1">
      <alignment horizontal="center" vertical="center" wrapText="1"/>
    </xf>
    <xf numFmtId="178" fontId="17" fillId="2" borderId="6" xfId="0" applyNumberFormat="1" applyFont="1" applyFill="1" applyBorder="1" applyAlignment="1">
      <alignment horizontal="center" vertical="center" wrapText="1"/>
    </xf>
    <xf numFmtId="178" fontId="17" fillId="0" borderId="2" xfId="0" applyNumberFormat="1" applyFont="1" applyBorder="1" applyAlignment="1">
      <alignment horizontal="center" vertical="center" wrapText="1"/>
    </xf>
    <xf numFmtId="178" fontId="17" fillId="0" borderId="6" xfId="0" applyNumberFormat="1" applyFont="1" applyBorder="1" applyAlignment="1">
      <alignment horizontal="center" vertical="center" wrapText="1"/>
    </xf>
    <xf numFmtId="0" fontId="5" fillId="0" borderId="0" xfId="0" applyFont="1" applyAlignment="1">
      <alignment horizontal="center" vertical="center" wrapText="1"/>
    </xf>
    <xf numFmtId="178" fontId="5" fillId="2" borderId="20" xfId="0" applyNumberFormat="1" applyFont="1" applyFill="1" applyBorder="1" applyAlignment="1">
      <alignment horizontal="left"/>
    </xf>
    <xf numFmtId="178" fontId="5" fillId="0" borderId="8" xfId="0" applyNumberFormat="1" applyFont="1" applyBorder="1" applyAlignment="1">
      <alignment horizontal="left"/>
    </xf>
    <xf numFmtId="0" fontId="17" fillId="9" borderId="9" xfId="0" applyFont="1" applyFill="1" applyBorder="1" applyAlignment="1">
      <alignment vertical="center" wrapText="1"/>
    </xf>
    <xf numFmtId="0" fontId="17" fillId="0" borderId="9" xfId="0" applyFont="1" applyBorder="1" applyAlignment="1">
      <alignment vertical="center" wrapText="1"/>
    </xf>
    <xf numFmtId="178" fontId="6" fillId="2" borderId="9" xfId="0" applyNumberFormat="1" applyFont="1" applyFill="1" applyBorder="1" applyAlignment="1">
      <alignment horizontal="center" vertical="center" wrapText="1"/>
    </xf>
    <xf numFmtId="38" fontId="17" fillId="0" borderId="23" xfId="0" applyNumberFormat="1" applyFont="1" applyBorder="1" applyAlignment="1">
      <alignment horizontal="center" vertical="center" wrapText="1"/>
    </xf>
    <xf numFmtId="0" fontId="21" fillId="9" borderId="9" xfId="0" applyFont="1" applyFill="1" applyBorder="1" applyAlignment="1">
      <alignment vertical="center" wrapText="1"/>
    </xf>
    <xf numFmtId="38" fontId="17" fillId="9" borderId="43" xfId="0" applyNumberFormat="1" applyFont="1" applyFill="1" applyBorder="1" applyAlignment="1">
      <alignment horizontal="center" vertical="center" wrapText="1"/>
    </xf>
    <xf numFmtId="38" fontId="17" fillId="2" borderId="9" xfId="0" applyNumberFormat="1" applyFont="1" applyFill="1" applyBorder="1" applyAlignment="1">
      <alignment horizontal="center" vertical="center" wrapText="1"/>
    </xf>
    <xf numFmtId="38" fontId="17" fillId="17" borderId="9" xfId="0" applyNumberFormat="1" applyFont="1" applyFill="1" applyBorder="1" applyAlignment="1">
      <alignment horizontal="center" vertical="center" wrapText="1"/>
    </xf>
    <xf numFmtId="38" fontId="6" fillId="9" borderId="47" xfId="0" applyNumberFormat="1" applyFont="1" applyFill="1" applyBorder="1" applyAlignment="1">
      <alignment horizontal="center" vertical="center" wrapText="1"/>
    </xf>
    <xf numFmtId="38" fontId="6" fillId="2" borderId="20" xfId="0" applyNumberFormat="1" applyFont="1" applyFill="1" applyBorder="1" applyAlignment="1">
      <alignment vertical="center" wrapText="1"/>
    </xf>
    <xf numFmtId="38" fontId="3" fillId="9" borderId="47" xfId="0" applyNumberFormat="1" applyFont="1" applyFill="1" applyBorder="1" applyAlignment="1">
      <alignment horizontal="center" vertical="center"/>
    </xf>
    <xf numFmtId="179" fontId="5" fillId="12" borderId="10" xfId="0" applyNumberFormat="1" applyFont="1" applyFill="1" applyBorder="1" applyAlignment="1">
      <alignment horizontal="center" vertical="center"/>
    </xf>
    <xf numFmtId="180" fontId="6" fillId="9" borderId="10" xfId="0" applyNumberFormat="1" applyFont="1" applyFill="1" applyBorder="1" applyAlignment="1">
      <alignment vertical="center" wrapText="1"/>
    </xf>
    <xf numFmtId="180" fontId="6" fillId="0" borderId="10" xfId="0" applyNumberFormat="1" applyFont="1" applyBorder="1" applyAlignment="1">
      <alignment vertical="center" wrapText="1"/>
    </xf>
    <xf numFmtId="180" fontId="8" fillId="0" borderId="10" xfId="0" applyNumberFormat="1" applyFont="1" applyBorder="1" applyAlignment="1">
      <alignment horizontal="center" vertical="center" wrapText="1"/>
    </xf>
    <xf numFmtId="38" fontId="6" fillId="17" borderId="10" xfId="0" applyNumberFormat="1" applyFont="1" applyFill="1" applyBorder="1" applyAlignment="1">
      <alignment horizontal="center" vertical="center" wrapText="1"/>
    </xf>
    <xf numFmtId="180" fontId="5" fillId="9" borderId="51" xfId="0" applyNumberFormat="1" applyFont="1" applyFill="1" applyBorder="1" applyAlignment="1">
      <alignment vertical="center" wrapText="1"/>
    </xf>
    <xf numFmtId="180" fontId="17" fillId="0" borderId="28" xfId="0" applyNumberFormat="1" applyFont="1" applyBorder="1" applyAlignment="1">
      <alignment horizontal="center" vertical="center" wrapText="1"/>
    </xf>
    <xf numFmtId="180" fontId="25" fillId="17" borderId="10" xfId="0" applyNumberFormat="1" applyFont="1" applyFill="1" applyBorder="1" applyAlignment="1">
      <alignment horizontal="center" vertical="center" wrapText="1"/>
    </xf>
    <xf numFmtId="180" fontId="6" fillId="0" borderId="28" xfId="0" applyNumberFormat="1" applyFont="1" applyBorder="1" applyAlignment="1">
      <alignment horizontal="center" vertical="center" wrapText="1"/>
    </xf>
    <xf numFmtId="180" fontId="17" fillId="2" borderId="28" xfId="0" applyNumberFormat="1" applyFont="1" applyFill="1" applyBorder="1" applyAlignment="1">
      <alignment horizontal="center" vertical="center" wrapText="1"/>
    </xf>
    <xf numFmtId="180" fontId="5" fillId="0" borderId="28" xfId="0" applyNumberFormat="1" applyFont="1" applyBorder="1" applyAlignment="1">
      <alignment vertical="center" wrapText="1"/>
    </xf>
    <xf numFmtId="180" fontId="6" fillId="5" borderId="10" xfId="0" applyNumberFormat="1" applyFont="1" applyFill="1" applyBorder="1" applyAlignment="1">
      <alignment horizontal="center" vertical="center" wrapText="1"/>
    </xf>
    <xf numFmtId="180" fontId="25" fillId="0" borderId="10" xfId="0" applyNumberFormat="1" applyFont="1" applyBorder="1" applyAlignment="1">
      <alignment horizontal="center" vertical="center" wrapText="1"/>
    </xf>
    <xf numFmtId="180" fontId="6" fillId="9" borderId="10" xfId="0" applyNumberFormat="1" applyFont="1" applyFill="1" applyBorder="1" applyAlignment="1">
      <alignment horizontal="center" vertical="center" wrapText="1"/>
    </xf>
    <xf numFmtId="180" fontId="3" fillId="9" borderId="51" xfId="0" applyNumberFormat="1" applyFont="1" applyFill="1" applyBorder="1" applyAlignment="1">
      <alignment horizontal="center" vertical="center"/>
    </xf>
    <xf numFmtId="178" fontId="5" fillId="2" borderId="3" xfId="0" applyNumberFormat="1" applyFont="1" applyFill="1" applyBorder="1" applyAlignment="1">
      <alignment horizontal="left"/>
    </xf>
    <xf numFmtId="178" fontId="5" fillId="0" borderId="13" xfId="0" applyNumberFormat="1" applyFont="1" applyBorder="1" applyAlignment="1">
      <alignment horizontal="left"/>
    </xf>
    <xf numFmtId="38" fontId="6" fillId="0" borderId="5" xfId="0" applyNumberFormat="1" applyFont="1" applyBorder="1" applyAlignment="1">
      <alignment horizontal="center" vertical="center" wrapText="1"/>
    </xf>
    <xf numFmtId="180" fontId="8" fillId="0" borderId="6" xfId="0" applyNumberFormat="1" applyFont="1" applyBorder="1" applyAlignment="1">
      <alignment horizontal="center" vertical="center" wrapText="1"/>
    </xf>
    <xf numFmtId="0" fontId="6" fillId="0" borderId="117" xfId="0" applyFont="1" applyBorder="1" applyAlignment="1">
      <alignment vertical="center" wrapText="1"/>
    </xf>
    <xf numFmtId="38" fontId="6" fillId="2" borderId="5" xfId="0" applyNumberFormat="1" applyFont="1" applyFill="1" applyBorder="1" applyAlignment="1">
      <alignment horizontal="center" vertical="center" wrapText="1"/>
    </xf>
    <xf numFmtId="179" fontId="5" fillId="12" borderId="6" xfId="0" applyNumberFormat="1" applyFont="1" applyFill="1" applyBorder="1" applyAlignment="1">
      <alignment horizontal="center" vertical="center"/>
    </xf>
    <xf numFmtId="38" fontId="6" fillId="17" borderId="0" xfId="0" applyNumberFormat="1" applyFont="1" applyFill="1" applyAlignment="1">
      <alignment horizontal="center" vertical="center" wrapText="1"/>
    </xf>
    <xf numFmtId="0" fontId="17" fillId="9" borderId="5" xfId="0" applyFont="1" applyFill="1" applyBorder="1" applyAlignment="1">
      <alignment vertical="center" wrapText="1"/>
    </xf>
    <xf numFmtId="180" fontId="6" fillId="9" borderId="6" xfId="0" applyNumberFormat="1" applyFont="1" applyFill="1" applyBorder="1" applyAlignment="1">
      <alignment vertical="center" wrapText="1"/>
    </xf>
    <xf numFmtId="0" fontId="17" fillId="0" borderId="5" xfId="0" applyFont="1" applyBorder="1" applyAlignment="1">
      <alignment vertical="center" wrapText="1"/>
    </xf>
    <xf numFmtId="180" fontId="6" fillId="0" borderId="6" xfId="0" applyNumberFormat="1" applyFont="1" applyBorder="1" applyAlignment="1">
      <alignment vertical="center" wrapText="1"/>
    </xf>
    <xf numFmtId="178" fontId="6" fillId="2" borderId="5" xfId="0" applyNumberFormat="1" applyFont="1" applyFill="1" applyBorder="1" applyAlignment="1">
      <alignment horizontal="center" vertical="center" wrapText="1"/>
    </xf>
    <xf numFmtId="38" fontId="17" fillId="0" borderId="115" xfId="0" applyNumberFormat="1" applyFont="1" applyBorder="1" applyAlignment="1">
      <alignment horizontal="center" vertical="center" wrapText="1"/>
    </xf>
    <xf numFmtId="179" fontId="0" fillId="12" borderId="6" xfId="0" applyNumberFormat="1" applyFill="1" applyBorder="1" applyAlignment="1">
      <alignment horizontal="center" vertical="center"/>
    </xf>
    <xf numFmtId="0" fontId="21" fillId="9" borderId="5" xfId="0" applyFont="1" applyFill="1" applyBorder="1" applyAlignment="1">
      <alignment vertical="center" wrapText="1"/>
    </xf>
    <xf numFmtId="38" fontId="6" fillId="9" borderId="63" xfId="0" applyNumberFormat="1" applyFont="1" applyFill="1" applyBorder="1" applyAlignment="1">
      <alignment horizontal="center" vertical="center" wrapText="1"/>
    </xf>
    <xf numFmtId="38" fontId="6" fillId="9" borderId="110" xfId="0" applyNumberFormat="1" applyFont="1" applyFill="1" applyBorder="1" applyAlignment="1">
      <alignment horizontal="center" vertical="center" wrapText="1"/>
    </xf>
    <xf numFmtId="38" fontId="6" fillId="17" borderId="6" xfId="0" applyNumberFormat="1" applyFont="1" applyFill="1" applyBorder="1" applyAlignment="1">
      <alignment horizontal="center" vertical="center" wrapText="1"/>
    </xf>
    <xf numFmtId="180" fontId="17" fillId="9" borderId="18" xfId="0" applyNumberFormat="1" applyFont="1" applyFill="1" applyBorder="1" applyAlignment="1">
      <alignment horizontal="center" vertical="center" wrapText="1"/>
    </xf>
    <xf numFmtId="180" fontId="5" fillId="9" borderId="148" xfId="0" applyNumberFormat="1" applyFont="1" applyFill="1" applyBorder="1" applyAlignment="1">
      <alignment horizontal="center" vertical="center" wrapText="1"/>
    </xf>
    <xf numFmtId="38" fontId="17" fillId="2" borderId="5" xfId="0" applyNumberFormat="1" applyFont="1" applyFill="1" applyBorder="1" applyAlignment="1">
      <alignment horizontal="center" vertical="center" wrapText="1"/>
    </xf>
    <xf numFmtId="180" fontId="17" fillId="0" borderId="125" xfId="0" applyNumberFormat="1" applyFont="1" applyBorder="1" applyAlignment="1">
      <alignment horizontal="center" vertical="center" wrapText="1"/>
    </xf>
    <xf numFmtId="38" fontId="17" fillId="17" borderId="5" xfId="0" applyNumberFormat="1" applyFont="1" applyFill="1" applyBorder="1" applyAlignment="1">
      <alignment horizontal="center" vertical="center" wrapText="1"/>
    </xf>
    <xf numFmtId="180" fontId="25" fillId="17" borderId="6" xfId="0" applyNumberFormat="1" applyFont="1" applyFill="1" applyBorder="1" applyAlignment="1">
      <alignment horizontal="center" vertical="center" wrapText="1"/>
    </xf>
    <xf numFmtId="180" fontId="6" fillId="0" borderId="125" xfId="0" applyNumberFormat="1" applyFont="1" applyBorder="1" applyAlignment="1">
      <alignment horizontal="center" vertical="center" wrapText="1"/>
    </xf>
    <xf numFmtId="180" fontId="5" fillId="0" borderId="125" xfId="0" applyNumberFormat="1" applyFont="1" applyBorder="1" applyAlignment="1">
      <alignment vertical="center" wrapText="1"/>
    </xf>
    <xf numFmtId="180" fontId="6" fillId="2" borderId="5" xfId="0" applyNumberFormat="1" applyFont="1" applyFill="1" applyBorder="1" applyAlignment="1">
      <alignment horizontal="center" vertical="center" wrapText="1"/>
    </xf>
    <xf numFmtId="180" fontId="6" fillId="5" borderId="6" xfId="0" applyNumberFormat="1" applyFont="1" applyFill="1" applyBorder="1" applyAlignment="1">
      <alignment horizontal="center" vertical="center" wrapText="1"/>
    </xf>
    <xf numFmtId="180" fontId="6" fillId="0" borderId="6" xfId="0" applyNumberFormat="1" applyFont="1" applyBorder="1" applyAlignment="1">
      <alignment horizontal="center" vertical="center" wrapText="1"/>
    </xf>
    <xf numFmtId="38" fontId="17" fillId="0" borderId="5" xfId="0" applyNumberFormat="1" applyFont="1" applyBorder="1" applyAlignment="1">
      <alignment horizontal="center" vertical="center" wrapText="1"/>
    </xf>
    <xf numFmtId="180" fontId="25" fillId="0" borderId="6" xfId="0" applyNumberFormat="1" applyFont="1" applyBorder="1" applyAlignment="1">
      <alignment horizontal="center" vertical="center" wrapText="1"/>
    </xf>
    <xf numFmtId="180" fontId="6" fillId="9" borderId="6" xfId="0" applyNumberFormat="1" applyFont="1" applyFill="1" applyBorder="1" applyAlignment="1">
      <alignment horizontal="center" vertical="center" wrapText="1"/>
    </xf>
    <xf numFmtId="38" fontId="6" fillId="17" borderId="16" xfId="0" applyNumberFormat="1" applyFont="1" applyFill="1" applyBorder="1" applyAlignment="1">
      <alignment horizontal="center" vertical="center" wrapText="1"/>
    </xf>
    <xf numFmtId="38" fontId="6" fillId="9" borderId="118" xfId="0" applyNumberFormat="1" applyFont="1" applyFill="1" applyBorder="1" applyAlignment="1">
      <alignment horizontal="center" vertical="center" wrapText="1"/>
    </xf>
    <xf numFmtId="38" fontId="6" fillId="2" borderId="3" xfId="0" applyNumberFormat="1" applyFont="1" applyFill="1" applyBorder="1" applyAlignment="1">
      <alignment vertical="center" wrapText="1"/>
    </xf>
    <xf numFmtId="180" fontId="17" fillId="0" borderId="6" xfId="0" applyNumberFormat="1" applyFont="1" applyBorder="1" applyAlignment="1">
      <alignment vertical="center" wrapText="1"/>
    </xf>
    <xf numFmtId="38" fontId="3" fillId="9" borderId="111" xfId="0" applyNumberFormat="1" applyFont="1" applyFill="1" applyBorder="1" applyAlignment="1">
      <alignment horizontal="center" vertical="center"/>
    </xf>
    <xf numFmtId="180" fontId="3" fillId="9" borderId="94" xfId="0" applyNumberFormat="1" applyFont="1" applyFill="1" applyBorder="1" applyAlignment="1">
      <alignment horizontal="center" vertical="center"/>
    </xf>
    <xf numFmtId="180" fontId="3" fillId="9" borderId="93" xfId="0" applyNumberFormat="1" applyFont="1" applyFill="1" applyBorder="1" applyAlignment="1">
      <alignment horizontal="center" vertical="center"/>
    </xf>
    <xf numFmtId="180" fontId="3" fillId="9" borderId="112" xfId="0" applyNumberFormat="1" applyFont="1" applyFill="1" applyBorder="1" applyAlignment="1">
      <alignment horizontal="center" vertical="center"/>
    </xf>
    <xf numFmtId="38" fontId="6" fillId="2" borderId="2" xfId="0" applyNumberFormat="1" applyFont="1" applyFill="1" applyBorder="1" applyAlignment="1">
      <alignment horizontal="center" vertical="center" shrinkToFit="1"/>
    </xf>
    <xf numFmtId="0" fontId="24" fillId="0" borderId="0" xfId="0" applyFont="1" applyAlignment="1">
      <alignment horizontal="center"/>
    </xf>
    <xf numFmtId="38" fontId="6" fillId="0" borderId="59" xfId="0" applyNumberFormat="1" applyFont="1" applyBorder="1" applyAlignment="1">
      <alignment vertical="center" wrapText="1"/>
    </xf>
    <xf numFmtId="0" fontId="17" fillId="0" borderId="61" xfId="0" applyFont="1" applyBorder="1" applyAlignment="1">
      <alignment vertical="center" wrapText="1"/>
    </xf>
    <xf numFmtId="38" fontId="24" fillId="5" borderId="59" xfId="3" applyFont="1" applyFill="1" applyBorder="1" applyAlignment="1">
      <alignment horizontal="center" wrapText="1"/>
    </xf>
    <xf numFmtId="38" fontId="24" fillId="5" borderId="14" xfId="3" applyFont="1" applyFill="1" applyBorder="1" applyAlignment="1">
      <alignment horizontal="center" wrapText="1"/>
    </xf>
    <xf numFmtId="0" fontId="24" fillId="0" borderId="2" xfId="0" applyFont="1" applyBorder="1" applyAlignment="1">
      <alignment horizontal="center"/>
    </xf>
    <xf numFmtId="38" fontId="24" fillId="0" borderId="34" xfId="3" applyFont="1" applyBorder="1" applyAlignment="1">
      <alignment horizontal="center" wrapText="1"/>
    </xf>
    <xf numFmtId="180" fontId="24" fillId="31" borderId="2" xfId="0" applyNumberFormat="1" applyFont="1" applyFill="1" applyBorder="1" applyAlignment="1">
      <alignment horizontal="center" wrapText="1"/>
    </xf>
    <xf numFmtId="180" fontId="24" fillId="31" borderId="10" xfId="0" applyNumberFormat="1" applyFont="1" applyFill="1" applyBorder="1" applyAlignment="1">
      <alignment horizontal="center" wrapText="1"/>
    </xf>
    <xf numFmtId="183" fontId="24" fillId="31" borderId="2" xfId="0" applyNumberFormat="1" applyFont="1" applyFill="1" applyBorder="1" applyAlignment="1">
      <alignment horizontal="center" wrapText="1"/>
    </xf>
    <xf numFmtId="180" fontId="99" fillId="31" borderId="2" xfId="0" applyNumberFormat="1" applyFont="1" applyFill="1" applyBorder="1" applyAlignment="1">
      <alignment horizontal="center" wrapText="1"/>
    </xf>
    <xf numFmtId="180" fontId="6" fillId="0" borderId="23" xfId="0" applyNumberFormat="1" applyFont="1" applyBorder="1" applyAlignment="1">
      <alignment horizontal="center" vertical="center" wrapText="1"/>
    </xf>
    <xf numFmtId="38" fontId="6" fillId="0" borderId="2" xfId="0" applyNumberFormat="1" applyFont="1" applyBorder="1">
      <alignment vertical="center"/>
    </xf>
    <xf numFmtId="0" fontId="6" fillId="0" borderId="86" xfId="0" applyFont="1" applyBorder="1" applyAlignment="1">
      <alignment horizontal="center" vertical="center" wrapText="1"/>
    </xf>
    <xf numFmtId="38" fontId="17" fillId="0" borderId="2" xfId="3" applyFont="1" applyFill="1" applyBorder="1" applyAlignment="1">
      <alignment horizontal="center" vertical="center" wrapText="1"/>
    </xf>
    <xf numFmtId="0" fontId="38" fillId="0" borderId="9" xfId="0" applyFont="1" applyBorder="1" applyAlignment="1">
      <alignment horizontal="center" vertical="center" wrapText="1"/>
    </xf>
    <xf numFmtId="180" fontId="6" fillId="0" borderId="11" xfId="0" applyNumberFormat="1" applyFont="1" applyBorder="1" applyAlignment="1">
      <alignment horizontal="center" vertical="center" wrapText="1"/>
    </xf>
    <xf numFmtId="38" fontId="6" fillId="0" borderId="2" xfId="0" applyNumberFormat="1" applyFont="1" applyBorder="1" applyAlignment="1">
      <alignment horizontal="left" vertical="center" wrapText="1"/>
    </xf>
    <xf numFmtId="0" fontId="6" fillId="8" borderId="2" xfId="0" applyFont="1" applyFill="1" applyBorder="1" applyAlignment="1">
      <alignment horizontal="left" vertical="center"/>
    </xf>
    <xf numFmtId="180" fontId="24" fillId="0" borderId="2" xfId="0" applyNumberFormat="1" applyFont="1" applyBorder="1" applyAlignment="1">
      <alignment horizontal="center" wrapText="1"/>
    </xf>
    <xf numFmtId="191" fontId="6" fillId="0" borderId="2" xfId="0" applyNumberFormat="1" applyFont="1" applyBorder="1" applyAlignment="1">
      <alignment horizontal="center" vertical="center" shrinkToFit="1"/>
    </xf>
    <xf numFmtId="191" fontId="5" fillId="2" borderId="4" xfId="0" applyNumberFormat="1" applyFont="1" applyFill="1" applyBorder="1" applyAlignment="1">
      <alignment horizontal="center" shrinkToFit="1"/>
    </xf>
    <xf numFmtId="191" fontId="17" fillId="0" borderId="12" xfId="0" applyNumberFormat="1" applyFont="1" applyBorder="1" applyAlignment="1">
      <alignment horizontal="center" vertical="center" shrinkToFit="1"/>
    </xf>
    <xf numFmtId="191" fontId="17" fillId="0" borderId="2" xfId="0" applyNumberFormat="1" applyFont="1" applyBorder="1" applyAlignment="1">
      <alignment horizontal="center" vertical="center" shrinkToFit="1"/>
    </xf>
    <xf numFmtId="191" fontId="45" fillId="0" borderId="2" xfId="0" applyNumberFormat="1" applyFont="1" applyBorder="1" applyAlignment="1">
      <alignment horizontal="center" vertical="center" shrinkToFit="1"/>
    </xf>
    <xf numFmtId="191" fontId="29" fillId="17" borderId="2" xfId="1" applyNumberFormat="1" applyFont="1" applyFill="1" applyBorder="1" applyAlignment="1">
      <alignment horizontal="center" vertical="center" shrinkToFit="1"/>
    </xf>
    <xf numFmtId="191" fontId="6" fillId="9" borderId="2" xfId="0" applyNumberFormat="1" applyFont="1" applyFill="1" applyBorder="1" applyAlignment="1">
      <alignment horizontal="center" vertical="center" shrinkToFit="1"/>
    </xf>
    <xf numFmtId="191" fontId="6" fillId="9" borderId="49" xfId="0" applyNumberFormat="1" applyFont="1" applyFill="1" applyBorder="1" applyAlignment="1">
      <alignment horizontal="center" vertical="center" shrinkToFit="1"/>
    </xf>
    <xf numFmtId="191" fontId="6" fillId="0" borderId="12" xfId="0" applyNumberFormat="1" applyFont="1" applyBorder="1" applyAlignment="1">
      <alignment horizontal="center" vertical="center" shrinkToFit="1"/>
    </xf>
    <xf numFmtId="191" fontId="17" fillId="9" borderId="59" xfId="0" applyNumberFormat="1" applyFont="1" applyFill="1" applyBorder="1" applyAlignment="1">
      <alignment horizontal="center" vertical="center" shrinkToFit="1"/>
    </xf>
    <xf numFmtId="191" fontId="6" fillId="9" borderId="46" xfId="0" applyNumberFormat="1" applyFont="1" applyFill="1" applyBorder="1" applyAlignment="1">
      <alignment horizontal="center" vertical="center" shrinkToFit="1"/>
    </xf>
    <xf numFmtId="191" fontId="17" fillId="2" borderId="14" xfId="0" applyNumberFormat="1" applyFont="1" applyFill="1" applyBorder="1" applyAlignment="1">
      <alignment horizontal="center" vertical="center" shrinkToFit="1"/>
    </xf>
    <xf numFmtId="191" fontId="22" fillId="0" borderId="12" xfId="0" applyNumberFormat="1" applyFont="1" applyBorder="1" applyAlignment="1">
      <alignment horizontal="center" vertical="center" shrinkToFit="1"/>
    </xf>
    <xf numFmtId="191" fontId="23" fillId="9" borderId="2" xfId="0" applyNumberFormat="1" applyFont="1" applyFill="1" applyBorder="1" applyAlignment="1">
      <alignment horizontal="center" vertical="center" shrinkToFit="1"/>
    </xf>
    <xf numFmtId="191" fontId="3" fillId="9" borderId="42" xfId="0" applyNumberFormat="1" applyFont="1" applyFill="1" applyBorder="1" applyAlignment="1">
      <alignment horizontal="center" vertical="center" shrinkToFit="1"/>
    </xf>
    <xf numFmtId="191" fontId="3" fillId="0" borderId="0" xfId="0" applyNumberFormat="1" applyFont="1" applyAlignment="1">
      <alignment vertical="center" shrinkToFit="1"/>
    </xf>
    <xf numFmtId="191" fontId="5" fillId="2" borderId="0" xfId="0" applyNumberFormat="1" applyFont="1" applyFill="1" applyAlignment="1">
      <alignment horizontal="left" shrinkToFit="1"/>
    </xf>
    <xf numFmtId="191" fontId="3" fillId="0" borderId="1" xfId="0" applyNumberFormat="1" applyFont="1" applyBorder="1" applyAlignment="1">
      <alignment vertical="center" shrinkToFit="1"/>
    </xf>
    <xf numFmtId="191" fontId="5" fillId="2" borderId="0" xfId="0" applyNumberFormat="1" applyFont="1" applyFill="1" applyAlignment="1">
      <alignment horizontal="center" shrinkToFit="1"/>
    </xf>
    <xf numFmtId="191" fontId="17" fillId="0" borderId="10" xfId="0" applyNumberFormat="1" applyFont="1" applyBorder="1" applyAlignment="1">
      <alignment horizontal="center" vertical="center" shrinkToFit="1"/>
    </xf>
    <xf numFmtId="191" fontId="17" fillId="0" borderId="17" xfId="0" applyNumberFormat="1" applyFont="1" applyBorder="1" applyAlignment="1">
      <alignment horizontal="center" vertical="center" shrinkToFit="1"/>
    </xf>
    <xf numFmtId="191" fontId="21" fillId="0" borderId="12" xfId="0" applyNumberFormat="1" applyFont="1" applyBorder="1" applyAlignment="1">
      <alignment horizontal="center" vertical="center" shrinkToFit="1"/>
    </xf>
    <xf numFmtId="191" fontId="17" fillId="7" borderId="2" xfId="0" applyNumberFormat="1" applyFont="1" applyFill="1" applyBorder="1" applyAlignment="1">
      <alignment horizontal="center" vertical="center" shrinkToFit="1"/>
    </xf>
    <xf numFmtId="191" fontId="5" fillId="0" borderId="0" xfId="0" applyNumberFormat="1" applyFont="1" applyAlignment="1">
      <alignment horizontal="center" vertical="center" shrinkToFit="1"/>
    </xf>
    <xf numFmtId="0" fontId="6" fillId="5" borderId="128" xfId="0" applyFont="1" applyFill="1" applyBorder="1" applyAlignment="1">
      <alignment horizontal="left" vertical="center"/>
    </xf>
    <xf numFmtId="0" fontId="6" fillId="0" borderId="128" xfId="0" applyFont="1" applyBorder="1" applyAlignment="1">
      <alignment vertical="center" wrapText="1"/>
    </xf>
    <xf numFmtId="38" fontId="6" fillId="14" borderId="10" xfId="0" applyNumberFormat="1" applyFont="1" applyFill="1" applyBorder="1" applyAlignment="1">
      <alignment horizontal="center" vertical="center" wrapText="1"/>
    </xf>
    <xf numFmtId="38" fontId="6" fillId="5" borderId="17" xfId="0" applyNumberFormat="1" applyFont="1" applyFill="1" applyBorder="1" applyAlignment="1">
      <alignment horizontal="left" vertical="center"/>
    </xf>
    <xf numFmtId="0" fontId="6" fillId="5" borderId="14" xfId="0" applyFont="1" applyFill="1" applyBorder="1" applyAlignment="1">
      <alignment vertical="center" wrapText="1"/>
    </xf>
    <xf numFmtId="0" fontId="6" fillId="0" borderId="128" xfId="0" applyFont="1" applyBorder="1" applyAlignment="1">
      <alignment horizontal="left" vertical="center"/>
    </xf>
    <xf numFmtId="0" fontId="6" fillId="5" borderId="128" xfId="0" applyFont="1" applyFill="1" applyBorder="1" applyAlignment="1">
      <alignment vertical="center" wrapText="1"/>
    </xf>
    <xf numFmtId="0" fontId="6" fillId="8" borderId="59" xfId="0" applyFont="1" applyFill="1" applyBorder="1" applyAlignment="1">
      <alignment horizontal="left" vertical="center"/>
    </xf>
    <xf numFmtId="38" fontId="23" fillId="0" borderId="0" xfId="0" applyNumberFormat="1" applyFont="1" applyAlignment="1">
      <alignment horizontal="center" vertical="center"/>
    </xf>
    <xf numFmtId="0" fontId="23" fillId="0" borderId="0" xfId="0" applyFont="1" applyAlignment="1">
      <alignment horizontal="center" vertical="center"/>
    </xf>
    <xf numFmtId="38" fontId="24" fillId="0" borderId="2" xfId="3" applyFont="1" applyBorder="1" applyAlignment="1">
      <alignment horizontal="center" wrapText="1"/>
    </xf>
    <xf numFmtId="0" fontId="6" fillId="8" borderId="14" xfId="0" applyFont="1" applyFill="1" applyBorder="1" applyAlignment="1">
      <alignment vertical="center" wrapText="1"/>
    </xf>
    <xf numFmtId="0" fontId="17" fillId="5" borderId="10" xfId="0" applyFont="1" applyFill="1" applyBorder="1" applyAlignment="1">
      <alignment horizontal="left" vertical="center" wrapText="1"/>
    </xf>
    <xf numFmtId="0" fontId="6" fillId="5" borderId="59" xfId="0" applyFont="1" applyFill="1" applyBorder="1" applyAlignment="1">
      <alignment vertical="center" wrapText="1"/>
    </xf>
    <xf numFmtId="0" fontId="17" fillId="5" borderId="59" xfId="0" applyFont="1" applyFill="1" applyBorder="1" applyAlignment="1">
      <alignment vertical="center" wrapText="1"/>
    </xf>
    <xf numFmtId="0" fontId="6" fillId="0" borderId="14" xfId="0" applyFont="1" applyBorder="1" applyAlignment="1">
      <alignment horizontal="left" vertical="center" wrapText="1"/>
    </xf>
    <xf numFmtId="0" fontId="17" fillId="5" borderId="128" xfId="0" applyFont="1" applyFill="1" applyBorder="1" applyAlignment="1">
      <alignment vertical="center" wrapText="1"/>
    </xf>
    <xf numFmtId="0" fontId="17" fillId="5" borderId="128" xfId="0" applyFont="1" applyFill="1" applyBorder="1" applyAlignment="1">
      <alignment horizontal="left" vertical="center" wrapText="1"/>
    </xf>
    <xf numFmtId="38" fontId="3" fillId="0" borderId="0" xfId="0" applyNumberFormat="1" applyFont="1" applyAlignment="1">
      <alignment vertical="center" shrinkToFit="1"/>
    </xf>
    <xf numFmtId="0" fontId="6" fillId="0" borderId="61" xfId="0" applyFont="1" applyBorder="1" applyAlignment="1">
      <alignment vertical="center" wrapText="1"/>
    </xf>
    <xf numFmtId="178" fontId="5" fillId="2" borderId="57" xfId="0" applyNumberFormat="1" applyFont="1" applyFill="1" applyBorder="1" applyAlignment="1">
      <alignment horizontal="left"/>
    </xf>
    <xf numFmtId="180" fontId="6" fillId="2" borderId="151" xfId="0" applyNumberFormat="1" applyFont="1" applyFill="1" applyBorder="1" applyAlignment="1">
      <alignment vertical="center" wrapText="1"/>
    </xf>
    <xf numFmtId="0" fontId="6" fillId="0" borderId="4" xfId="0" applyFont="1" applyBorder="1" applyAlignment="1">
      <alignment horizontal="center" vertical="center" shrinkToFit="1"/>
    </xf>
    <xf numFmtId="191" fontId="3" fillId="0" borderId="0" xfId="0" applyNumberFormat="1" applyFont="1" applyAlignment="1">
      <alignment horizontal="center" vertical="center"/>
    </xf>
    <xf numFmtId="178" fontId="17" fillId="0" borderId="14" xfId="0" applyNumberFormat="1" applyFont="1" applyBorder="1" applyAlignment="1">
      <alignment horizontal="center" vertical="center" shrinkToFit="1"/>
    </xf>
    <xf numFmtId="38" fontId="17" fillId="14" borderId="9" xfId="0" applyNumberFormat="1" applyFont="1" applyFill="1" applyBorder="1" applyAlignment="1">
      <alignment horizontal="center" vertical="center" wrapText="1"/>
    </xf>
    <xf numFmtId="38" fontId="17" fillId="14" borderId="2" xfId="0" applyNumberFormat="1" applyFont="1" applyFill="1" applyBorder="1" applyAlignment="1">
      <alignment horizontal="center" vertical="center" wrapText="1"/>
    </xf>
    <xf numFmtId="178" fontId="17" fillId="14" borderId="14" xfId="0" applyNumberFormat="1" applyFont="1" applyFill="1" applyBorder="1" applyAlignment="1">
      <alignment horizontal="center" vertical="center" shrinkToFit="1"/>
    </xf>
    <xf numFmtId="191" fontId="17" fillId="0" borderId="14" xfId="0" applyNumberFormat="1" applyFont="1" applyBorder="1" applyAlignment="1">
      <alignment horizontal="center" vertical="center" shrinkToFit="1"/>
    </xf>
    <xf numFmtId="0" fontId="17" fillId="2" borderId="66" xfId="0" applyFont="1" applyFill="1" applyBorder="1" applyAlignment="1">
      <alignment horizontal="center" vertical="center" shrinkToFit="1"/>
    </xf>
    <xf numFmtId="0" fontId="17" fillId="2" borderId="41" xfId="0" applyFont="1" applyFill="1" applyBorder="1" applyAlignment="1">
      <alignment horizontal="center" vertical="center"/>
    </xf>
    <xf numFmtId="191" fontId="24" fillId="2" borderId="41" xfId="0" applyNumberFormat="1" applyFont="1" applyFill="1" applyBorder="1" applyAlignment="1">
      <alignment horizontal="center" shrinkToFit="1"/>
    </xf>
    <xf numFmtId="178" fontId="24" fillId="2" borderId="41" xfId="0" applyNumberFormat="1" applyFont="1" applyFill="1" applyBorder="1" applyAlignment="1">
      <alignment horizontal="center"/>
    </xf>
    <xf numFmtId="178" fontId="24" fillId="2" borderId="57" xfId="0" applyNumberFormat="1" applyFont="1" applyFill="1" applyBorder="1" applyAlignment="1">
      <alignment horizontal="center"/>
    </xf>
    <xf numFmtId="178" fontId="24" fillId="2" borderId="67" xfId="0" applyNumberFormat="1" applyFont="1" applyFill="1" applyBorder="1" applyAlignment="1">
      <alignment horizontal="center"/>
    </xf>
    <xf numFmtId="178" fontId="24" fillId="2" borderId="67" xfId="0" applyNumberFormat="1" applyFont="1" applyFill="1" applyBorder="1" applyAlignment="1">
      <alignment horizontal="center" vertical="center"/>
    </xf>
    <xf numFmtId="178" fontId="24" fillId="2" borderId="68" xfId="0" applyNumberFormat="1" applyFont="1" applyFill="1" applyBorder="1" applyAlignment="1">
      <alignment horizontal="center"/>
    </xf>
    <xf numFmtId="178" fontId="24" fillId="2" borderId="4" xfId="0" applyNumberFormat="1" applyFont="1" applyFill="1" applyBorder="1" applyAlignment="1">
      <alignment horizontal="center"/>
    </xf>
    <xf numFmtId="178" fontId="24" fillId="2" borderId="20" xfId="0" applyNumberFormat="1" applyFont="1" applyFill="1" applyBorder="1" applyAlignment="1">
      <alignment horizontal="center"/>
    </xf>
    <xf numFmtId="178" fontId="24" fillId="2" borderId="8" xfId="0" applyNumberFormat="1" applyFont="1" applyFill="1" applyBorder="1" applyAlignment="1">
      <alignment horizontal="center"/>
    </xf>
    <xf numFmtId="178" fontId="24" fillId="2" borderId="3" xfId="0" applyNumberFormat="1" applyFont="1" applyFill="1" applyBorder="1" applyAlignment="1">
      <alignment horizontal="center"/>
    </xf>
    <xf numFmtId="178" fontId="24" fillId="2" borderId="124" xfId="0" applyNumberFormat="1" applyFont="1" applyFill="1" applyBorder="1" applyAlignment="1">
      <alignment horizontal="center"/>
    </xf>
    <xf numFmtId="178" fontId="24" fillId="2" borderId="10" xfId="0" applyNumberFormat="1" applyFont="1" applyFill="1" applyBorder="1" applyAlignment="1">
      <alignment horizontal="center"/>
    </xf>
    <xf numFmtId="180" fontId="100" fillId="0" borderId="2" xfId="0" applyNumberFormat="1" applyFont="1" applyBorder="1" applyAlignment="1">
      <alignment horizontal="center" vertical="center" wrapText="1"/>
    </xf>
    <xf numFmtId="180" fontId="17" fillId="0" borderId="5" xfId="0" applyNumberFormat="1" applyFont="1" applyBorder="1" applyAlignment="1">
      <alignment horizontal="center" wrapText="1"/>
    </xf>
    <xf numFmtId="0" fontId="17" fillId="5" borderId="5" xfId="0" applyFont="1" applyFill="1" applyBorder="1" applyAlignment="1">
      <alignment horizontal="left" vertical="center" shrinkToFit="1"/>
    </xf>
    <xf numFmtId="0" fontId="17" fillId="5" borderId="2" xfId="0" applyFont="1" applyFill="1" applyBorder="1" applyAlignment="1">
      <alignment horizontal="left" vertical="center"/>
    </xf>
    <xf numFmtId="0" fontId="17" fillId="5" borderId="128" xfId="0" applyFont="1" applyFill="1" applyBorder="1" applyAlignment="1">
      <alignment horizontal="left" vertical="center"/>
    </xf>
    <xf numFmtId="0" fontId="17" fillId="0" borderId="10" xfId="0" applyFont="1" applyBorder="1" applyAlignment="1">
      <alignment horizontal="left" vertical="center"/>
    </xf>
    <xf numFmtId="180" fontId="100" fillId="0" borderId="14" xfId="0" applyNumberFormat="1" applyFont="1" applyBorder="1" applyAlignment="1">
      <alignment horizontal="center" vertical="center" wrapText="1"/>
    </xf>
    <xf numFmtId="180" fontId="100" fillId="0" borderId="8" xfId="0" applyNumberFormat="1" applyFont="1" applyBorder="1" applyAlignment="1">
      <alignment horizontal="center" vertical="center" wrapText="1"/>
    </xf>
    <xf numFmtId="180" fontId="17" fillId="31" borderId="2" xfId="0" applyNumberFormat="1" applyFont="1" applyFill="1" applyBorder="1" applyAlignment="1">
      <alignment horizontal="center"/>
    </xf>
    <xf numFmtId="191" fontId="17" fillId="0" borderId="59" xfId="0" applyNumberFormat="1" applyFont="1" applyBorder="1" applyAlignment="1">
      <alignment horizontal="center" vertical="center" shrinkToFit="1"/>
    </xf>
    <xf numFmtId="38" fontId="17" fillId="0" borderId="59" xfId="0" applyNumberFormat="1" applyFont="1" applyBorder="1" applyAlignment="1">
      <alignment horizontal="center" vertical="center" wrapText="1"/>
    </xf>
    <xf numFmtId="38" fontId="17" fillId="0" borderId="62" xfId="0" applyNumberFormat="1" applyFont="1" applyBorder="1" applyAlignment="1">
      <alignment horizontal="center" vertical="center" wrapText="1"/>
    </xf>
    <xf numFmtId="38" fontId="17" fillId="0" borderId="29" xfId="0" applyNumberFormat="1" applyFont="1" applyBorder="1" applyAlignment="1">
      <alignment horizontal="center" vertical="center" wrapText="1"/>
    </xf>
    <xf numFmtId="180" fontId="17" fillId="0" borderId="29" xfId="0" applyNumberFormat="1" applyFont="1" applyBorder="1" applyAlignment="1">
      <alignment horizontal="center" vertical="center" wrapText="1"/>
    </xf>
    <xf numFmtId="180" fontId="17" fillId="0" borderId="61" xfId="0" applyNumberFormat="1" applyFont="1" applyBorder="1" applyAlignment="1">
      <alignment horizontal="center" vertical="center" wrapText="1"/>
    </xf>
    <xf numFmtId="180" fontId="17" fillId="2" borderId="59" xfId="0" applyNumberFormat="1" applyFont="1" applyFill="1" applyBorder="1" applyAlignment="1">
      <alignment horizontal="center" vertical="center" wrapText="1"/>
    </xf>
    <xf numFmtId="180" fontId="17" fillId="0" borderId="62" xfId="0" applyNumberFormat="1" applyFont="1" applyBorder="1" applyAlignment="1">
      <alignment horizontal="center" vertical="center" wrapText="1"/>
    </xf>
    <xf numFmtId="0" fontId="17" fillId="0" borderId="128" xfId="0" applyFont="1" applyBorder="1" applyAlignment="1">
      <alignment vertical="center" wrapText="1"/>
    </xf>
    <xf numFmtId="38" fontId="17" fillId="0" borderId="28" xfId="0" applyNumberFormat="1" applyFont="1" applyBorder="1" applyAlignment="1">
      <alignment horizontal="center" vertical="center" wrapText="1"/>
    </xf>
    <xf numFmtId="0" fontId="17" fillId="0" borderId="14" xfId="0" applyFont="1" applyBorder="1" applyAlignment="1">
      <alignment vertical="center" wrapText="1"/>
    </xf>
    <xf numFmtId="38" fontId="17" fillId="0" borderId="14" xfId="0" applyNumberFormat="1" applyFont="1" applyBorder="1" applyAlignment="1">
      <alignment horizontal="center" vertical="center" wrapText="1"/>
    </xf>
    <xf numFmtId="38" fontId="17" fillId="0" borderId="8" xfId="0" applyNumberFormat="1" applyFont="1" applyBorder="1" applyAlignment="1">
      <alignment horizontal="center" vertical="center" wrapText="1"/>
    </xf>
    <xf numFmtId="180" fontId="17" fillId="0" borderId="9" xfId="0" applyNumberFormat="1" applyFont="1" applyBorder="1" applyAlignment="1">
      <alignment horizontal="center" vertical="center"/>
    </xf>
    <xf numFmtId="180" fontId="17" fillId="5" borderId="59" xfId="0" applyNumberFormat="1" applyFont="1" applyFill="1" applyBorder="1" applyAlignment="1">
      <alignment horizontal="center" wrapText="1"/>
    </xf>
    <xf numFmtId="180" fontId="17" fillId="5" borderId="9" xfId="0" applyNumberFormat="1" applyFont="1" applyFill="1" applyBorder="1" applyAlignment="1">
      <alignment horizontal="center" wrapText="1"/>
    </xf>
    <xf numFmtId="180" fontId="17" fillId="5" borderId="22" xfId="0" applyNumberFormat="1" applyFont="1" applyFill="1" applyBorder="1" applyAlignment="1">
      <alignment horizontal="center" wrapText="1"/>
    </xf>
    <xf numFmtId="180" fontId="17" fillId="5" borderId="10" xfId="0" applyNumberFormat="1" applyFont="1" applyFill="1" applyBorder="1" applyAlignment="1">
      <alignment horizontal="center" wrapText="1"/>
    </xf>
    <xf numFmtId="183" fontId="24" fillId="0" borderId="5" xfId="0" applyNumberFormat="1" applyFont="1" applyBorder="1" applyAlignment="1">
      <alignment horizontal="left" vertical="center" shrinkToFit="1"/>
    </xf>
    <xf numFmtId="183" fontId="17" fillId="0" borderId="2" xfId="0" applyNumberFormat="1" applyFont="1" applyBorder="1" applyAlignment="1">
      <alignment horizontal="left" vertical="center"/>
    </xf>
    <xf numFmtId="183" fontId="17" fillId="0" borderId="2" xfId="0" applyNumberFormat="1" applyFont="1" applyBorder="1" applyAlignment="1">
      <alignment vertical="center" wrapText="1"/>
    </xf>
    <xf numFmtId="183" fontId="24" fillId="0" borderId="2" xfId="0" applyNumberFormat="1" applyFont="1" applyBorder="1" applyAlignment="1">
      <alignment horizontal="left" vertical="center"/>
    </xf>
    <xf numFmtId="183" fontId="24" fillId="0" borderId="9" xfId="0" applyNumberFormat="1" applyFont="1" applyBorder="1" applyAlignment="1">
      <alignment horizontal="left" vertical="center"/>
    </xf>
    <xf numFmtId="38" fontId="17" fillId="0" borderId="59" xfId="0" applyNumberFormat="1" applyFont="1" applyBorder="1" applyAlignment="1">
      <alignment horizontal="right" vertical="center" wrapText="1"/>
    </xf>
    <xf numFmtId="183" fontId="17" fillId="0" borderId="2" xfId="0" applyNumberFormat="1" applyFont="1" applyBorder="1" applyAlignment="1">
      <alignment horizontal="center" vertical="center" wrapText="1"/>
    </xf>
    <xf numFmtId="183" fontId="17" fillId="0" borderId="9" xfId="0" applyNumberFormat="1" applyFont="1" applyBorder="1" applyAlignment="1">
      <alignment horizontal="center" vertical="center" wrapText="1"/>
    </xf>
    <xf numFmtId="183" fontId="17" fillId="0" borderId="22" xfId="0" applyNumberFormat="1" applyFont="1" applyBorder="1" applyAlignment="1">
      <alignment horizontal="center" vertical="center" wrapText="1"/>
    </xf>
    <xf numFmtId="183" fontId="17" fillId="0" borderId="23" xfId="0" applyNumberFormat="1" applyFont="1" applyBorder="1" applyAlignment="1">
      <alignment horizontal="center" vertical="center" wrapText="1"/>
    </xf>
    <xf numFmtId="183" fontId="24" fillId="0" borderId="22" xfId="0" applyNumberFormat="1" applyFont="1" applyBorder="1" applyAlignment="1">
      <alignment horizontal="center" vertical="center" wrapText="1"/>
    </xf>
    <xf numFmtId="1" fontId="17" fillId="0" borderId="0" xfId="0" applyNumberFormat="1" applyFont="1" applyAlignment="1">
      <alignment horizontal="center" vertical="center"/>
    </xf>
    <xf numFmtId="1" fontId="17" fillId="0" borderId="2" xfId="0" applyNumberFormat="1" applyFont="1" applyBorder="1" applyAlignment="1">
      <alignment horizontal="center" vertical="center"/>
    </xf>
    <xf numFmtId="183" fontId="24" fillId="0" borderId="2" xfId="0" applyNumberFormat="1" applyFont="1" applyBorder="1" applyAlignment="1">
      <alignment horizontal="center" vertical="center" wrapText="1"/>
    </xf>
    <xf numFmtId="183" fontId="24" fillId="0" borderId="9" xfId="0" applyNumberFormat="1" applyFont="1" applyBorder="1" applyAlignment="1">
      <alignment vertical="center" wrapText="1"/>
    </xf>
    <xf numFmtId="180" fontId="24" fillId="0" borderId="2" xfId="0" applyNumberFormat="1" applyFont="1" applyBorder="1" applyAlignment="1">
      <alignment vertical="center" wrapText="1"/>
    </xf>
    <xf numFmtId="180" fontId="24" fillId="0" borderId="9" xfId="0" applyNumberFormat="1" applyFont="1" applyBorder="1" applyAlignment="1">
      <alignment vertical="center" wrapText="1"/>
    </xf>
    <xf numFmtId="180" fontId="24" fillId="0" borderId="5" xfId="0" applyNumberFormat="1" applyFont="1" applyBorder="1" applyAlignment="1">
      <alignment horizontal="center" wrapText="1"/>
    </xf>
    <xf numFmtId="180" fontId="24" fillId="0" borderId="6" xfId="0" applyNumberFormat="1" applyFont="1" applyBorder="1" applyAlignment="1">
      <alignment horizontal="center" wrapText="1"/>
    </xf>
    <xf numFmtId="180" fontId="24" fillId="0" borderId="10" xfId="0" applyNumberFormat="1" applyFont="1" applyBorder="1" applyAlignment="1">
      <alignment horizontal="center" wrapText="1"/>
    </xf>
    <xf numFmtId="183" fontId="24" fillId="0" borderId="2" xfId="0" applyNumberFormat="1" applyFont="1" applyBorder="1" applyAlignment="1">
      <alignment horizontal="center" wrapText="1"/>
    </xf>
    <xf numFmtId="183" fontId="24" fillId="14" borderId="5" xfId="0" applyNumberFormat="1" applyFont="1" applyFill="1" applyBorder="1" applyAlignment="1">
      <alignment horizontal="left" vertical="center" shrinkToFit="1"/>
    </xf>
    <xf numFmtId="183" fontId="17" fillId="14" borderId="2" xfId="0" applyNumberFormat="1" applyFont="1" applyFill="1" applyBorder="1" applyAlignment="1">
      <alignment horizontal="left" vertical="center"/>
    </xf>
    <xf numFmtId="183" fontId="17" fillId="14" borderId="2" xfId="0" applyNumberFormat="1" applyFont="1" applyFill="1" applyBorder="1" applyAlignment="1">
      <alignment vertical="center" wrapText="1"/>
    </xf>
    <xf numFmtId="183" fontId="24" fillId="14" borderId="2" xfId="0" applyNumberFormat="1" applyFont="1" applyFill="1" applyBorder="1" applyAlignment="1">
      <alignment horizontal="left" vertical="center"/>
    </xf>
    <xf numFmtId="183" fontId="24" fillId="14" borderId="9" xfId="0" applyNumberFormat="1" applyFont="1" applyFill="1" applyBorder="1" applyAlignment="1">
      <alignment horizontal="left" vertical="center"/>
    </xf>
    <xf numFmtId="38" fontId="17" fillId="14" borderId="9" xfId="0" applyNumberFormat="1" applyFont="1" applyFill="1" applyBorder="1" applyAlignment="1">
      <alignment horizontal="right" vertical="center" wrapText="1"/>
    </xf>
    <xf numFmtId="38" fontId="17" fillId="14" borderId="2" xfId="0" applyNumberFormat="1" applyFont="1" applyFill="1" applyBorder="1" applyAlignment="1">
      <alignment horizontal="right" vertical="center" wrapText="1"/>
    </xf>
    <xf numFmtId="38" fontId="17" fillId="14" borderId="10" xfId="0" applyNumberFormat="1" applyFont="1" applyFill="1" applyBorder="1" applyAlignment="1">
      <alignment horizontal="right" vertical="center" wrapText="1"/>
    </xf>
    <xf numFmtId="191" fontId="17" fillId="14" borderId="2" xfId="0" applyNumberFormat="1" applyFont="1" applyFill="1" applyBorder="1" applyAlignment="1">
      <alignment horizontal="center" vertical="center" shrinkToFit="1"/>
    </xf>
    <xf numFmtId="183" fontId="17" fillId="14" borderId="2" xfId="0" applyNumberFormat="1" applyFont="1" applyFill="1" applyBorder="1" applyAlignment="1">
      <alignment horizontal="center" vertical="center" wrapText="1"/>
    </xf>
    <xf numFmtId="183" fontId="17" fillId="14" borderId="9" xfId="0" applyNumberFormat="1" applyFont="1" applyFill="1" applyBorder="1" applyAlignment="1">
      <alignment horizontal="center" vertical="center" wrapText="1"/>
    </xf>
    <xf numFmtId="183" fontId="17" fillId="14" borderId="22" xfId="0" applyNumberFormat="1" applyFont="1" applyFill="1" applyBorder="1" applyAlignment="1">
      <alignment horizontal="center" vertical="center" wrapText="1"/>
    </xf>
    <xf numFmtId="183" fontId="17" fillId="14" borderId="23" xfId="0" applyNumberFormat="1" applyFont="1" applyFill="1" applyBorder="1" applyAlignment="1">
      <alignment horizontal="center" vertical="center" wrapText="1"/>
    </xf>
    <xf numFmtId="183" fontId="24" fillId="14" borderId="22" xfId="0" applyNumberFormat="1" applyFont="1" applyFill="1" applyBorder="1" applyAlignment="1">
      <alignment horizontal="center" vertical="center" wrapText="1"/>
    </xf>
    <xf numFmtId="38" fontId="17" fillId="14" borderId="22" xfId="0" applyNumberFormat="1" applyFont="1" applyFill="1" applyBorder="1" applyAlignment="1">
      <alignment horizontal="center" vertical="center" wrapText="1"/>
    </xf>
    <xf numFmtId="1" fontId="17" fillId="14" borderId="0" xfId="0" applyNumberFormat="1" applyFont="1" applyFill="1" applyAlignment="1">
      <alignment horizontal="center" vertical="center"/>
    </xf>
    <xf numFmtId="1" fontId="17" fillId="14" borderId="2" xfId="0" applyNumberFormat="1" applyFont="1" applyFill="1" applyBorder="1" applyAlignment="1">
      <alignment horizontal="center" vertical="center"/>
    </xf>
    <xf numFmtId="183" fontId="24" fillId="14" borderId="2" xfId="0" applyNumberFormat="1" applyFont="1" applyFill="1" applyBorder="1" applyAlignment="1">
      <alignment horizontal="center" vertical="center" wrapText="1"/>
    </xf>
    <xf numFmtId="183" fontId="24" fillId="14" borderId="9" xfId="0" applyNumberFormat="1" applyFont="1" applyFill="1" applyBorder="1" applyAlignment="1">
      <alignment vertical="center" wrapText="1"/>
    </xf>
    <xf numFmtId="180" fontId="24" fillId="14" borderId="2" xfId="0" applyNumberFormat="1" applyFont="1" applyFill="1" applyBorder="1" applyAlignment="1">
      <alignment vertical="center" wrapText="1"/>
    </xf>
    <xf numFmtId="180" fontId="24" fillId="14" borderId="9" xfId="0" applyNumberFormat="1" applyFont="1" applyFill="1" applyBorder="1" applyAlignment="1">
      <alignment vertical="center" wrapText="1"/>
    </xf>
    <xf numFmtId="180" fontId="24" fillId="14" borderId="5" xfId="0" applyNumberFormat="1" applyFont="1" applyFill="1" applyBorder="1" applyAlignment="1">
      <alignment horizontal="center" wrapText="1"/>
    </xf>
    <xf numFmtId="183" fontId="24" fillId="14" borderId="2" xfId="0" applyNumberFormat="1" applyFont="1" applyFill="1" applyBorder="1" applyAlignment="1">
      <alignment horizontal="center" wrapText="1"/>
    </xf>
    <xf numFmtId="38" fontId="17" fillId="0" borderId="14" xfId="0" applyNumberFormat="1" applyFont="1" applyBorder="1" applyAlignment="1">
      <alignment horizontal="right" vertical="center" wrapText="1"/>
    </xf>
    <xf numFmtId="0" fontId="17" fillId="0" borderId="22" xfId="0" applyFont="1" applyBorder="1" applyAlignment="1">
      <alignment vertical="center" wrapText="1"/>
    </xf>
    <xf numFmtId="0" fontId="17" fillId="0" borderId="23" xfId="0" applyFont="1" applyBorder="1" applyAlignment="1">
      <alignment vertical="center" wrapText="1"/>
    </xf>
    <xf numFmtId="1" fontId="17" fillId="0" borderId="9" xfId="0" applyNumberFormat="1" applyFont="1" applyBorder="1" applyAlignment="1">
      <alignment horizontal="center" vertical="center" wrapText="1"/>
    </xf>
    <xf numFmtId="183" fontId="24" fillId="5" borderId="5" xfId="0" applyNumberFormat="1" applyFont="1" applyFill="1" applyBorder="1" applyAlignment="1">
      <alignment horizontal="left" vertical="center" shrinkToFit="1"/>
    </xf>
    <xf numFmtId="183" fontId="17" fillId="5" borderId="2" xfId="0" applyNumberFormat="1" applyFont="1" applyFill="1" applyBorder="1" applyAlignment="1">
      <alignment horizontal="left" vertical="center"/>
    </xf>
    <xf numFmtId="183" fontId="17" fillId="5" borderId="128" xfId="0" applyNumberFormat="1" applyFont="1" applyFill="1" applyBorder="1" applyAlignment="1">
      <alignment vertical="center" wrapText="1"/>
    </xf>
    <xf numFmtId="183" fontId="24" fillId="0" borderId="10" xfId="0" applyNumberFormat="1" applyFont="1" applyBorder="1" applyAlignment="1">
      <alignment horizontal="left" vertical="center"/>
    </xf>
    <xf numFmtId="1" fontId="17" fillId="0" borderId="2" xfId="0" applyNumberFormat="1" applyFont="1" applyBorder="1" applyAlignment="1">
      <alignment horizontal="center" vertical="center" wrapText="1"/>
    </xf>
    <xf numFmtId="1" fontId="17" fillId="0" borderId="22" xfId="0" applyNumberFormat="1" applyFont="1" applyBorder="1" applyAlignment="1">
      <alignment horizontal="center" vertical="center" wrapText="1"/>
    </xf>
    <xf numFmtId="1" fontId="17" fillId="0" borderId="23" xfId="0" applyNumberFormat="1" applyFont="1" applyBorder="1" applyAlignment="1">
      <alignment horizontal="center" vertical="center" wrapText="1"/>
    </xf>
    <xf numFmtId="1" fontId="17" fillId="0" borderId="9" xfId="0" applyNumberFormat="1" applyFont="1" applyBorder="1" applyAlignment="1">
      <alignment horizontal="center" vertical="center"/>
    </xf>
    <xf numFmtId="180" fontId="17" fillId="5" borderId="9" xfId="0" applyNumberFormat="1" applyFont="1" applyFill="1" applyBorder="1" applyAlignment="1">
      <alignment horizontal="center"/>
    </xf>
    <xf numFmtId="38" fontId="17" fillId="5" borderId="2" xfId="0" applyNumberFormat="1" applyFont="1" applyFill="1" applyBorder="1" applyAlignment="1">
      <alignment horizontal="center" wrapText="1"/>
    </xf>
    <xf numFmtId="38" fontId="45" fillId="0" borderId="2" xfId="0" applyNumberFormat="1" applyFont="1" applyBorder="1" applyAlignment="1">
      <alignment horizontal="center" vertical="center" wrapText="1"/>
    </xf>
    <xf numFmtId="38" fontId="45" fillId="0" borderId="9" xfId="0" applyNumberFormat="1" applyFont="1" applyBorder="1" applyAlignment="1">
      <alignment horizontal="center" vertical="center" wrapText="1"/>
    </xf>
    <xf numFmtId="38" fontId="45" fillId="0" borderId="22" xfId="0" applyNumberFormat="1" applyFont="1" applyBorder="1" applyAlignment="1">
      <alignment horizontal="center" vertical="center" wrapText="1"/>
    </xf>
    <xf numFmtId="183" fontId="45" fillId="0" borderId="22" xfId="0" applyNumberFormat="1" applyFont="1" applyBorder="1" applyAlignment="1">
      <alignment horizontal="center" vertical="center" wrapText="1"/>
    </xf>
    <xf numFmtId="183" fontId="45" fillId="0" borderId="23" xfId="0" applyNumberFormat="1" applyFont="1" applyBorder="1" applyAlignment="1">
      <alignment horizontal="center" vertical="center" wrapText="1"/>
    </xf>
    <xf numFmtId="183" fontId="99" fillId="0" borderId="22" xfId="0" applyNumberFormat="1" applyFont="1" applyBorder="1" applyAlignment="1">
      <alignment horizontal="center" vertical="center" wrapText="1"/>
    </xf>
    <xf numFmtId="1" fontId="45" fillId="0" borderId="22" xfId="0" applyNumberFormat="1" applyFont="1" applyBorder="1" applyAlignment="1">
      <alignment horizontal="center" vertical="center" wrapText="1"/>
    </xf>
    <xf numFmtId="1" fontId="45" fillId="0" borderId="23" xfId="0" applyNumberFormat="1" applyFont="1" applyBorder="1" applyAlignment="1">
      <alignment horizontal="center" vertical="center"/>
    </xf>
    <xf numFmtId="1" fontId="45" fillId="0" borderId="9" xfId="0" applyNumberFormat="1" applyFont="1" applyBorder="1" applyAlignment="1">
      <alignment horizontal="center" vertical="center"/>
    </xf>
    <xf numFmtId="180" fontId="45" fillId="0" borderId="9" xfId="0" applyNumberFormat="1" applyFont="1" applyBorder="1" applyAlignment="1">
      <alignment horizontal="center" vertical="center"/>
    </xf>
    <xf numFmtId="180" fontId="100" fillId="5" borderId="2" xfId="0" applyNumberFormat="1" applyFont="1" applyFill="1" applyBorder="1" applyAlignment="1">
      <alignment horizontal="center" wrapText="1"/>
    </xf>
    <xf numFmtId="0" fontId="99" fillId="0" borderId="2" xfId="0" applyFont="1" applyBorder="1" applyAlignment="1">
      <alignment horizontal="center" wrapText="1"/>
    </xf>
    <xf numFmtId="0" fontId="24" fillId="0" borderId="9" xfId="0" applyFont="1" applyBorder="1" applyAlignment="1">
      <alignment horizontal="left" vertical="center"/>
    </xf>
    <xf numFmtId="183" fontId="17" fillId="0" borderId="23" xfId="0" applyNumberFormat="1" applyFont="1" applyBorder="1" applyAlignment="1">
      <alignment horizontal="center" vertical="center"/>
    </xf>
    <xf numFmtId="183" fontId="17" fillId="0" borderId="2" xfId="0" applyNumberFormat="1" applyFont="1" applyBorder="1" applyAlignment="1">
      <alignment horizontal="center" vertical="center"/>
    </xf>
    <xf numFmtId="183" fontId="17" fillId="0" borderId="2" xfId="0" applyNumberFormat="1" applyFont="1" applyBorder="1">
      <alignment vertical="center"/>
    </xf>
    <xf numFmtId="0" fontId="24" fillId="0" borderId="9" xfId="0" applyFont="1" applyBorder="1" applyAlignment="1">
      <alignment vertical="center" wrapText="1"/>
    </xf>
    <xf numFmtId="9" fontId="24" fillId="0" borderId="63" xfId="1" applyFont="1" applyBorder="1" applyAlignment="1">
      <alignment horizontal="left" vertical="center" shrinkToFit="1"/>
    </xf>
    <xf numFmtId="9" fontId="17" fillId="0" borderId="59" xfId="1" applyFont="1" applyBorder="1" applyAlignment="1">
      <alignment horizontal="left" vertical="center"/>
    </xf>
    <xf numFmtId="9" fontId="17" fillId="0" borderId="59" xfId="1" applyFont="1" applyBorder="1" applyAlignment="1">
      <alignment vertical="center" wrapText="1"/>
    </xf>
    <xf numFmtId="9" fontId="24" fillId="0" borderId="59" xfId="1" applyFont="1" applyBorder="1" applyAlignment="1">
      <alignment horizontal="left" vertical="center"/>
    </xf>
    <xf numFmtId="9" fontId="24" fillId="0" borderId="62" xfId="1" applyFont="1" applyBorder="1" applyAlignment="1">
      <alignment horizontal="left" vertical="center"/>
    </xf>
    <xf numFmtId="9" fontId="17" fillId="0" borderId="59" xfId="1" applyFont="1" applyBorder="1" applyAlignment="1">
      <alignment horizontal="right" vertical="center" wrapText="1"/>
    </xf>
    <xf numFmtId="191" fontId="17" fillId="0" borderId="59" xfId="1" applyNumberFormat="1" applyFont="1" applyBorder="1" applyAlignment="1">
      <alignment horizontal="center" vertical="center" shrinkToFit="1"/>
    </xf>
    <xf numFmtId="9" fontId="17" fillId="0" borderId="59" xfId="1" applyFont="1" applyBorder="1" applyAlignment="1">
      <alignment horizontal="center" vertical="center" wrapText="1"/>
    </xf>
    <xf numFmtId="9" fontId="17" fillId="0" borderId="62" xfId="1" applyFont="1" applyBorder="1" applyAlignment="1">
      <alignment horizontal="center" vertical="center" wrapText="1"/>
    </xf>
    <xf numFmtId="9" fontId="17" fillId="0" borderId="29" xfId="1" applyFont="1" applyBorder="1" applyAlignment="1">
      <alignment horizontal="center" vertical="center" wrapText="1"/>
    </xf>
    <xf numFmtId="9" fontId="17" fillId="0" borderId="30" xfId="1" applyFont="1" applyBorder="1" applyAlignment="1">
      <alignment horizontal="center" vertical="center" wrapText="1"/>
    </xf>
    <xf numFmtId="9" fontId="24" fillId="0" borderId="29" xfId="1" applyFont="1" applyBorder="1" applyAlignment="1">
      <alignment horizontal="center" vertical="center" wrapText="1"/>
    </xf>
    <xf numFmtId="9" fontId="24" fillId="0" borderId="29" xfId="1" applyFont="1" applyBorder="1" applyAlignment="1">
      <alignment vertical="center" wrapText="1"/>
    </xf>
    <xf numFmtId="9" fontId="24" fillId="0" borderId="30" xfId="1" applyFont="1" applyBorder="1" applyAlignment="1">
      <alignment vertical="center" wrapText="1"/>
    </xf>
    <xf numFmtId="9" fontId="24" fillId="0" borderId="59" xfId="1" applyFont="1" applyBorder="1" applyAlignment="1">
      <alignment vertical="center" wrapText="1"/>
    </xf>
    <xf numFmtId="9" fontId="24" fillId="0" borderId="62" xfId="1" applyFont="1" applyBorder="1" applyAlignment="1">
      <alignment vertical="center" wrapText="1"/>
    </xf>
    <xf numFmtId="9" fontId="24" fillId="0" borderId="63" xfId="1" applyFont="1" applyBorder="1" applyAlignment="1">
      <alignment horizontal="center" wrapText="1"/>
    </xf>
    <xf numFmtId="9" fontId="24" fillId="0" borderId="59" xfId="1" applyFont="1" applyBorder="1" applyAlignment="1">
      <alignment horizontal="center" wrapText="1"/>
    </xf>
    <xf numFmtId="9" fontId="24" fillId="0" borderId="110" xfId="1" applyFont="1" applyBorder="1" applyAlignment="1">
      <alignment horizontal="center" wrapText="1"/>
    </xf>
    <xf numFmtId="9" fontId="24" fillId="0" borderId="10" xfId="1" applyFont="1" applyBorder="1" applyAlignment="1">
      <alignment horizontal="center" wrapText="1"/>
    </xf>
    <xf numFmtId="9" fontId="24" fillId="0" borderId="2" xfId="1" applyFont="1" applyBorder="1" applyAlignment="1">
      <alignment horizontal="center" wrapText="1"/>
    </xf>
    <xf numFmtId="9" fontId="23" fillId="17" borderId="2" xfId="1" applyFont="1" applyFill="1" applyBorder="1" applyAlignment="1">
      <alignment horizontal="left" vertical="center" shrinkToFit="1"/>
    </xf>
    <xf numFmtId="9" fontId="29" fillId="17" borderId="2" xfId="1" applyFont="1" applyFill="1" applyBorder="1" applyAlignment="1">
      <alignment horizontal="left" vertical="center"/>
    </xf>
    <xf numFmtId="9" fontId="29" fillId="17" borderId="2" xfId="1" applyFont="1" applyFill="1" applyBorder="1" applyAlignment="1">
      <alignment vertical="center" wrapText="1"/>
    </xf>
    <xf numFmtId="9" fontId="23" fillId="17" borderId="2" xfId="1" applyFont="1" applyFill="1" applyBorder="1" applyAlignment="1">
      <alignment horizontal="left" vertical="center"/>
    </xf>
    <xf numFmtId="9" fontId="23" fillId="17" borderId="2" xfId="1" applyFont="1" applyFill="1" applyBorder="1" applyAlignment="1">
      <alignment horizontal="center" vertical="center" wrapText="1"/>
    </xf>
    <xf numFmtId="9" fontId="23" fillId="17" borderId="2" xfId="1" applyFont="1" applyFill="1" applyBorder="1" applyAlignment="1">
      <alignment vertical="center" wrapText="1"/>
    </xf>
    <xf numFmtId="9" fontId="23" fillId="17" borderId="2" xfId="1" applyFont="1" applyFill="1" applyBorder="1">
      <alignment vertical="center"/>
    </xf>
    <xf numFmtId="9" fontId="23" fillId="17" borderId="9" xfId="1" applyFont="1" applyFill="1" applyBorder="1">
      <alignment vertical="center"/>
    </xf>
    <xf numFmtId="9" fontId="23" fillId="17" borderId="5" xfId="1" applyFont="1" applyFill="1" applyBorder="1" applyAlignment="1">
      <alignment horizontal="center"/>
    </xf>
    <xf numFmtId="9" fontId="23" fillId="17" borderId="2" xfId="1" applyFont="1" applyFill="1" applyBorder="1" applyAlignment="1">
      <alignment horizontal="center"/>
    </xf>
    <xf numFmtId="9" fontId="23" fillId="17" borderId="2" xfId="1" applyFont="1" applyFill="1" applyBorder="1" applyAlignment="1">
      <alignment horizontal="center" wrapText="1"/>
    </xf>
    <xf numFmtId="9" fontId="23" fillId="17" borderId="6" xfId="1" applyFont="1" applyFill="1" applyBorder="1" applyAlignment="1">
      <alignment horizontal="center" wrapText="1"/>
    </xf>
    <xf numFmtId="9" fontId="23" fillId="17" borderId="10" xfId="1" applyFont="1" applyFill="1" applyBorder="1" applyAlignment="1">
      <alignment horizontal="center" wrapText="1"/>
    </xf>
    <xf numFmtId="0" fontId="24" fillId="9" borderId="5" xfId="0" applyFont="1" applyFill="1" applyBorder="1" applyAlignment="1">
      <alignment horizontal="left" vertical="center" shrinkToFit="1"/>
    </xf>
    <xf numFmtId="0" fontId="24" fillId="9" borderId="2" xfId="0" applyFont="1" applyFill="1" applyBorder="1" applyAlignment="1">
      <alignment horizontal="left" vertical="center"/>
    </xf>
    <xf numFmtId="0" fontId="24" fillId="9" borderId="9" xfId="0" applyFont="1" applyFill="1" applyBorder="1" applyAlignment="1">
      <alignment horizontal="left" vertical="center"/>
    </xf>
    <xf numFmtId="38" fontId="17" fillId="9" borderId="2" xfId="0" applyNumberFormat="1" applyFont="1" applyFill="1" applyBorder="1" applyAlignment="1">
      <alignment horizontal="right" vertical="center" wrapText="1"/>
    </xf>
    <xf numFmtId="38" fontId="17" fillId="9" borderId="62" xfId="0" applyNumberFormat="1" applyFont="1" applyFill="1" applyBorder="1" applyAlignment="1">
      <alignment horizontal="center" vertical="center" wrapText="1"/>
    </xf>
    <xf numFmtId="38" fontId="17" fillId="9" borderId="5" xfId="0" applyNumberFormat="1" applyFont="1" applyFill="1" applyBorder="1" applyAlignment="1">
      <alignment horizontal="center" wrapText="1"/>
    </xf>
    <xf numFmtId="38" fontId="17" fillId="9" borderId="2" xfId="0" applyNumberFormat="1" applyFont="1" applyFill="1" applyBorder="1" applyAlignment="1">
      <alignment horizontal="center" wrapText="1"/>
    </xf>
    <xf numFmtId="38" fontId="17" fillId="9" borderId="6" xfId="0" applyNumberFormat="1" applyFont="1" applyFill="1" applyBorder="1" applyAlignment="1">
      <alignment horizontal="center" wrapText="1"/>
    </xf>
    <xf numFmtId="38" fontId="17" fillId="9" borderId="60" xfId="0" applyNumberFormat="1" applyFont="1" applyFill="1" applyBorder="1" applyAlignment="1">
      <alignment horizontal="center" wrapText="1"/>
    </xf>
    <xf numFmtId="38" fontId="17" fillId="9" borderId="9" xfId="0" applyNumberFormat="1" applyFont="1" applyFill="1" applyBorder="1" applyAlignment="1">
      <alignment horizontal="center" wrapText="1"/>
    </xf>
    <xf numFmtId="0" fontId="17" fillId="9" borderId="12" xfId="0" applyFont="1" applyFill="1" applyBorder="1" applyAlignment="1">
      <alignment horizontal="left" vertical="center"/>
    </xf>
    <xf numFmtId="0" fontId="17" fillId="9" borderId="12" xfId="0" applyFont="1" applyFill="1" applyBorder="1">
      <alignment vertical="center"/>
    </xf>
    <xf numFmtId="191" fontId="17" fillId="9" borderId="2" xfId="0" applyNumberFormat="1" applyFont="1" applyFill="1" applyBorder="1" applyAlignment="1">
      <alignment horizontal="center" vertical="center" shrinkToFit="1"/>
    </xf>
    <xf numFmtId="1" fontId="17" fillId="9" borderId="2" xfId="0" applyNumberFormat="1" applyFont="1" applyFill="1" applyBorder="1" applyAlignment="1">
      <alignment horizontal="center" vertical="center" wrapText="1"/>
    </xf>
    <xf numFmtId="1" fontId="17" fillId="9" borderId="9" xfId="0" applyNumberFormat="1" applyFont="1" applyFill="1" applyBorder="1" applyAlignment="1">
      <alignment horizontal="center" vertical="center" wrapText="1"/>
    </xf>
    <xf numFmtId="1" fontId="17" fillId="9" borderId="22" xfId="0" applyNumberFormat="1" applyFont="1" applyFill="1" applyBorder="1" applyAlignment="1">
      <alignment horizontal="center" vertical="center" wrapText="1"/>
    </xf>
    <xf numFmtId="1" fontId="17" fillId="9" borderId="23" xfId="0" applyNumberFormat="1" applyFont="1" applyFill="1" applyBorder="1" applyAlignment="1">
      <alignment horizontal="center" vertical="center" wrapText="1"/>
    </xf>
    <xf numFmtId="1" fontId="24" fillId="9" borderId="2" xfId="0" applyNumberFormat="1" applyFont="1" applyFill="1" applyBorder="1" applyAlignment="1">
      <alignment horizontal="center" vertical="center" wrapText="1"/>
    </xf>
    <xf numFmtId="0" fontId="24" fillId="9" borderId="9" xfId="0" applyFont="1" applyFill="1" applyBorder="1" applyAlignment="1">
      <alignment vertical="center" wrapText="1"/>
    </xf>
    <xf numFmtId="0" fontId="24" fillId="9" borderId="2" xfId="0" applyFont="1" applyFill="1" applyBorder="1" applyAlignment="1">
      <alignment vertical="center" wrapText="1"/>
    </xf>
    <xf numFmtId="0" fontId="24" fillId="9" borderId="5" xfId="0" applyFont="1" applyFill="1" applyBorder="1" applyAlignment="1">
      <alignment horizontal="center" wrapText="1"/>
    </xf>
    <xf numFmtId="0" fontId="24" fillId="9" borderId="2" xfId="0" applyFont="1" applyFill="1" applyBorder="1" applyAlignment="1">
      <alignment horizontal="center" wrapText="1"/>
    </xf>
    <xf numFmtId="0" fontId="24" fillId="9" borderId="6" xfId="0" applyFont="1" applyFill="1" applyBorder="1" applyAlignment="1">
      <alignment horizontal="center" wrapText="1"/>
    </xf>
    <xf numFmtId="0" fontId="24" fillId="9" borderId="60" xfId="0" applyFont="1" applyFill="1" applyBorder="1" applyAlignment="1">
      <alignment horizontal="center" wrapText="1"/>
    </xf>
    <xf numFmtId="0" fontId="24" fillId="9" borderId="9" xfId="0" applyFont="1" applyFill="1" applyBorder="1" applyAlignment="1">
      <alignment horizontal="center" wrapText="1"/>
    </xf>
    <xf numFmtId="0" fontId="24" fillId="0" borderId="5" xfId="0" applyFont="1" applyBorder="1" applyAlignment="1">
      <alignment horizontal="center" wrapText="1"/>
    </xf>
    <xf numFmtId="0" fontId="24" fillId="0" borderId="6" xfId="0" applyFont="1" applyBorder="1" applyAlignment="1">
      <alignment horizontal="center" wrapText="1"/>
    </xf>
    <xf numFmtId="0" fontId="24" fillId="0" borderId="2" xfId="0" applyFont="1" applyBorder="1" applyAlignment="1">
      <alignment horizontal="left" vertical="center" wrapText="1"/>
    </xf>
    <xf numFmtId="38" fontId="45" fillId="0" borderId="2" xfId="0" applyNumberFormat="1" applyFont="1" applyBorder="1" applyAlignment="1">
      <alignment horizontal="right" vertical="center" wrapText="1"/>
    </xf>
    <xf numFmtId="0" fontId="45" fillId="0" borderId="22" xfId="0" applyFont="1" applyBorder="1" applyAlignment="1">
      <alignment horizontal="center" vertical="center" wrapText="1"/>
    </xf>
    <xf numFmtId="0" fontId="45" fillId="0" borderId="23" xfId="0" applyFont="1" applyBorder="1" applyAlignment="1">
      <alignment horizontal="center" vertical="center" wrapText="1"/>
    </xf>
    <xf numFmtId="0" fontId="24" fillId="5" borderId="2" xfId="0" applyFont="1" applyFill="1" applyBorder="1" applyAlignment="1">
      <alignment horizontal="center" vertical="center" wrapText="1"/>
    </xf>
    <xf numFmtId="0" fontId="24" fillId="0" borderId="9" xfId="0" applyFont="1" applyBorder="1" applyAlignment="1">
      <alignment horizontal="center" vertical="center" wrapText="1"/>
    </xf>
    <xf numFmtId="38" fontId="24" fillId="0" borderId="2" xfId="0" applyNumberFormat="1" applyFont="1" applyBorder="1" applyAlignment="1">
      <alignment horizontal="center" vertical="center" wrapText="1"/>
    </xf>
    <xf numFmtId="38" fontId="24" fillId="0" borderId="9" xfId="0" applyNumberFormat="1" applyFont="1" applyBorder="1" applyAlignment="1">
      <alignment horizontal="center" vertical="center" wrapText="1"/>
    </xf>
    <xf numFmtId="38" fontId="24" fillId="0" borderId="5" xfId="0" applyNumberFormat="1" applyFont="1" applyBorder="1" applyAlignment="1">
      <alignment horizontal="center" wrapText="1"/>
    </xf>
    <xf numFmtId="38" fontId="17" fillId="0" borderId="5" xfId="0" applyNumberFormat="1" applyFont="1" applyBorder="1" applyAlignment="1">
      <alignment horizontal="center" wrapText="1"/>
    </xf>
    <xf numFmtId="0" fontId="24" fillId="0" borderId="10" xfId="0" applyFont="1" applyBorder="1" applyAlignment="1">
      <alignment horizontal="left" vertical="center"/>
    </xf>
    <xf numFmtId="0" fontId="99" fillId="0" borderId="22" xfId="0" applyFont="1" applyBorder="1" applyAlignment="1">
      <alignment horizontal="center" vertical="center" wrapText="1"/>
    </xf>
    <xf numFmtId="0" fontId="17" fillId="0" borderId="2" xfId="0" applyFont="1" applyBorder="1" applyAlignment="1">
      <alignment horizontal="center" vertical="center"/>
    </xf>
    <xf numFmtId="38" fontId="17" fillId="0" borderId="2" xfId="0" applyNumberFormat="1" applyFont="1" applyBorder="1" applyAlignment="1">
      <alignment horizontal="center" vertical="center"/>
    </xf>
    <xf numFmtId="38" fontId="99" fillId="5" borderId="2" xfId="0" applyNumberFormat="1" applyFont="1" applyFill="1" applyBorder="1" applyAlignment="1">
      <alignment horizontal="center" vertical="center" wrapText="1"/>
    </xf>
    <xf numFmtId="38" fontId="17" fillId="0" borderId="9" xfId="0" applyNumberFormat="1" applyFont="1" applyBorder="1" applyAlignment="1">
      <alignment horizontal="center" vertical="center"/>
    </xf>
    <xf numFmtId="38" fontId="17" fillId="0" borderId="5" xfId="0" applyNumberFormat="1" applyFont="1" applyBorder="1" applyAlignment="1">
      <alignment horizontal="center"/>
    </xf>
    <xf numFmtId="38" fontId="17" fillId="5" borderId="9" xfId="0" applyNumberFormat="1" applyFont="1" applyFill="1" applyBorder="1" applyAlignment="1">
      <alignment horizontal="center"/>
    </xf>
    <xf numFmtId="0" fontId="99" fillId="0" borderId="2" xfId="0" applyFont="1" applyBorder="1" applyAlignment="1">
      <alignment horizontal="center"/>
    </xf>
    <xf numFmtId="38" fontId="17" fillId="0" borderId="63" xfId="0" applyNumberFormat="1" applyFont="1" applyBorder="1" applyAlignment="1">
      <alignment horizontal="center"/>
    </xf>
    <xf numFmtId="0" fontId="24" fillId="0" borderId="23" xfId="0" applyFont="1" applyBorder="1" applyAlignment="1">
      <alignment horizontal="center" vertical="center" wrapText="1"/>
    </xf>
    <xf numFmtId="38" fontId="24" fillId="0" borderId="2" xfId="0" applyNumberFormat="1" applyFont="1" applyBorder="1" applyAlignment="1">
      <alignment horizontal="center" wrapText="1"/>
    </xf>
    <xf numFmtId="38" fontId="24" fillId="0" borderId="9" xfId="0" applyNumberFormat="1" applyFont="1" applyBorder="1" applyAlignment="1">
      <alignment horizontal="center" wrapText="1"/>
    </xf>
    <xf numFmtId="0" fontId="99" fillId="5" borderId="2" xfId="0" applyFont="1" applyFill="1" applyBorder="1" applyAlignment="1">
      <alignment horizontal="center"/>
    </xf>
    <xf numFmtId="0" fontId="24" fillId="0" borderId="9" xfId="0" applyFont="1" applyBorder="1" applyAlignment="1">
      <alignment horizontal="center" wrapText="1"/>
    </xf>
    <xf numFmtId="0" fontId="24" fillId="0" borderId="14" xfId="0" applyFont="1" applyBorder="1" applyAlignment="1">
      <alignment horizontal="center" wrapText="1"/>
    </xf>
    <xf numFmtId="0" fontId="24" fillId="0" borderId="150" xfId="0" applyFont="1" applyBorder="1" applyAlignment="1">
      <alignment horizontal="center" wrapText="1"/>
    </xf>
    <xf numFmtId="38" fontId="17" fillId="0" borderId="62" xfId="0" applyNumberFormat="1" applyFont="1" applyBorder="1" applyAlignment="1">
      <alignment horizontal="center"/>
    </xf>
    <xf numFmtId="0" fontId="24" fillId="0" borderId="59" xfId="0" applyFont="1" applyBorder="1" applyAlignment="1">
      <alignment horizontal="center" wrapText="1"/>
    </xf>
    <xf numFmtId="0" fontId="24" fillId="0" borderId="63" xfId="0" applyFont="1" applyBorder="1" applyAlignment="1">
      <alignment horizontal="left" vertical="center" shrinkToFit="1"/>
    </xf>
    <xf numFmtId="0" fontId="24" fillId="0" borderId="59" xfId="0" applyFont="1" applyBorder="1" applyAlignment="1">
      <alignment horizontal="left" vertical="center"/>
    </xf>
    <xf numFmtId="0" fontId="17" fillId="0" borderId="62" xfId="0" applyFont="1" applyBorder="1" applyAlignment="1">
      <alignment horizontal="left" vertical="center" wrapText="1"/>
    </xf>
    <xf numFmtId="0" fontId="24" fillId="0" borderId="110" xfId="0" applyFont="1" applyBorder="1" applyAlignment="1">
      <alignment horizontal="center" wrapText="1"/>
    </xf>
    <xf numFmtId="0" fontId="24" fillId="0" borderId="63" xfId="0" applyFont="1" applyBorder="1" applyAlignment="1">
      <alignment horizontal="center" wrapText="1"/>
    </xf>
    <xf numFmtId="38" fontId="17" fillId="9" borderId="115" xfId="0" applyNumberFormat="1" applyFont="1" applyFill="1" applyBorder="1" applyAlignment="1">
      <alignment horizontal="center" wrapText="1"/>
    </xf>
    <xf numFmtId="38" fontId="17" fillId="9" borderId="22" xfId="0" applyNumberFormat="1" applyFont="1" applyFill="1" applyBorder="1" applyAlignment="1">
      <alignment horizontal="center" wrapText="1"/>
    </xf>
    <xf numFmtId="38" fontId="17" fillId="9" borderId="125" xfId="0" applyNumberFormat="1" applyFont="1" applyFill="1" applyBorder="1" applyAlignment="1">
      <alignment horizontal="center" wrapText="1"/>
    </xf>
    <xf numFmtId="38" fontId="17" fillId="9" borderId="54" xfId="0" applyNumberFormat="1" applyFont="1" applyFill="1" applyBorder="1" applyAlignment="1">
      <alignment horizontal="center" wrapText="1"/>
    </xf>
    <xf numFmtId="38" fontId="17" fillId="9" borderId="23" xfId="0" applyNumberFormat="1" applyFont="1" applyFill="1" applyBorder="1" applyAlignment="1">
      <alignment horizontal="center" wrapText="1"/>
    </xf>
    <xf numFmtId="0" fontId="22" fillId="9" borderId="5" xfId="0" applyFont="1" applyFill="1" applyBorder="1" applyAlignment="1">
      <alignment vertical="center" shrinkToFit="1"/>
    </xf>
    <xf numFmtId="0" fontId="17" fillId="9" borderId="2" xfId="0" applyFont="1" applyFill="1" applyBorder="1">
      <alignment vertical="center"/>
    </xf>
    <xf numFmtId="191" fontId="21" fillId="9" borderId="59" xfId="0" applyNumberFormat="1" applyFont="1" applyFill="1" applyBorder="1" applyAlignment="1">
      <alignment vertical="center" shrinkToFit="1"/>
    </xf>
    <xf numFmtId="0" fontId="21" fillId="9" borderId="59" xfId="0" applyFont="1" applyFill="1" applyBorder="1" applyAlignment="1">
      <alignment vertical="center" wrapText="1"/>
    </xf>
    <xf numFmtId="1" fontId="99" fillId="9" borderId="2" xfId="0" applyNumberFormat="1" applyFont="1" applyFill="1" applyBorder="1" applyAlignment="1">
      <alignment horizontal="center" vertical="center" wrapText="1"/>
    </xf>
    <xf numFmtId="0" fontId="24" fillId="9" borderId="16" xfId="0" applyFont="1" applyFill="1" applyBorder="1" applyAlignment="1">
      <alignment horizontal="center" wrapText="1"/>
    </xf>
    <xf numFmtId="0" fontId="24" fillId="9" borderId="34" xfId="0" applyFont="1" applyFill="1" applyBorder="1" applyAlignment="1">
      <alignment horizontal="center" wrapText="1"/>
    </xf>
    <xf numFmtId="0" fontId="24" fillId="9" borderId="126" xfId="0" applyFont="1" applyFill="1" applyBorder="1" applyAlignment="1">
      <alignment horizontal="center" wrapText="1"/>
    </xf>
    <xf numFmtId="0" fontId="24" fillId="9" borderId="0" xfId="0" applyFont="1" applyFill="1" applyAlignment="1">
      <alignment horizontal="center" wrapText="1"/>
    </xf>
    <xf numFmtId="0" fontId="24" fillId="9" borderId="11" xfId="0" applyFont="1" applyFill="1" applyBorder="1" applyAlignment="1">
      <alignment horizontal="center" wrapText="1"/>
    </xf>
    <xf numFmtId="0" fontId="17" fillId="9" borderId="5" xfId="0" applyFont="1" applyFill="1" applyBorder="1" applyAlignment="1">
      <alignment horizontal="left" vertical="center" shrinkToFit="1"/>
    </xf>
    <xf numFmtId="38" fontId="17" fillId="9" borderId="62" xfId="0" applyNumberFormat="1" applyFont="1" applyFill="1" applyBorder="1" applyAlignment="1">
      <alignment horizontal="right" vertical="center" wrapText="1"/>
    </xf>
    <xf numFmtId="191" fontId="17" fillId="9" borderId="29" xfId="0" applyNumberFormat="1" applyFont="1" applyFill="1" applyBorder="1" applyAlignment="1">
      <alignment horizontal="center" vertical="center" shrinkToFit="1"/>
    </xf>
    <xf numFmtId="38" fontId="17" fillId="9" borderId="29" xfId="0" applyNumberFormat="1" applyFont="1" applyFill="1" applyBorder="1" applyAlignment="1">
      <alignment horizontal="center" vertical="center" wrapText="1"/>
    </xf>
    <xf numFmtId="38" fontId="17" fillId="9" borderId="61" xfId="0" applyNumberFormat="1" applyFont="1" applyFill="1" applyBorder="1" applyAlignment="1">
      <alignment horizontal="center" vertical="center" wrapText="1"/>
    </xf>
    <xf numFmtId="0" fontId="17" fillId="9" borderId="16" xfId="0" applyFont="1" applyFill="1" applyBorder="1" applyAlignment="1">
      <alignment vertical="center" shrinkToFit="1"/>
    </xf>
    <xf numFmtId="0" fontId="17" fillId="9" borderId="17" xfId="0" applyFont="1" applyFill="1" applyBorder="1" applyAlignment="1">
      <alignment horizontal="left" vertical="center"/>
    </xf>
    <xf numFmtId="0" fontId="17" fillId="9" borderId="17" xfId="0" applyFont="1" applyFill="1" applyBorder="1">
      <alignment vertical="center"/>
    </xf>
    <xf numFmtId="0" fontId="17" fillId="9" borderId="34" xfId="0" applyFont="1" applyFill="1" applyBorder="1" applyAlignment="1">
      <alignment horizontal="left" vertical="center"/>
    </xf>
    <xf numFmtId="38" fontId="17" fillId="9" borderId="34" xfId="0" applyNumberFormat="1" applyFont="1" applyFill="1" applyBorder="1" applyAlignment="1">
      <alignment horizontal="right" vertical="center" wrapText="1"/>
    </xf>
    <xf numFmtId="38" fontId="17" fillId="9" borderId="79" xfId="0" applyNumberFormat="1" applyFont="1" applyFill="1" applyBorder="1" applyAlignment="1">
      <alignment horizontal="right" vertical="center" wrapText="1"/>
    </xf>
    <xf numFmtId="191" fontId="17" fillId="9" borderId="80" xfId="0" applyNumberFormat="1" applyFont="1" applyFill="1" applyBorder="1" applyAlignment="1">
      <alignment vertical="center" shrinkToFit="1"/>
    </xf>
    <xf numFmtId="38" fontId="17" fillId="9" borderId="80" xfId="0" applyNumberFormat="1" applyFont="1" applyFill="1" applyBorder="1" applyAlignment="1">
      <alignment vertical="center" wrapText="1"/>
    </xf>
    <xf numFmtId="38" fontId="17" fillId="9" borderId="61" xfId="0" applyNumberFormat="1" applyFont="1" applyFill="1" applyBorder="1" applyAlignment="1">
      <alignment vertical="center" wrapText="1"/>
    </xf>
    <xf numFmtId="38" fontId="17" fillId="9" borderId="59" xfId="0" applyNumberFormat="1" applyFont="1" applyFill="1" applyBorder="1" applyAlignment="1">
      <alignment vertical="center" wrapText="1"/>
    </xf>
    <xf numFmtId="180" fontId="17" fillId="9" borderId="59" xfId="0" applyNumberFormat="1" applyFont="1" applyFill="1" applyBorder="1" applyAlignment="1">
      <alignment horizontal="center" vertical="center" wrapText="1"/>
    </xf>
    <xf numFmtId="38" fontId="24" fillId="9" borderId="79" xfId="0" applyNumberFormat="1" applyFont="1" applyFill="1" applyBorder="1" applyAlignment="1">
      <alignment vertical="center" wrapText="1"/>
    </xf>
    <xf numFmtId="38" fontId="24" fillId="9" borderId="78" xfId="0" applyNumberFormat="1" applyFont="1" applyFill="1" applyBorder="1" applyAlignment="1">
      <alignment vertical="center" wrapText="1"/>
    </xf>
    <xf numFmtId="38" fontId="24" fillId="9" borderId="92" xfId="0" applyNumberFormat="1" applyFont="1" applyFill="1" applyBorder="1" applyAlignment="1">
      <alignment horizontal="center" wrapText="1"/>
    </xf>
    <xf numFmtId="38" fontId="24" fillId="9" borderId="93" xfId="0" applyNumberFormat="1" applyFont="1" applyFill="1" applyBorder="1" applyAlignment="1">
      <alignment horizontal="center" wrapText="1"/>
    </xf>
    <xf numFmtId="38" fontId="24" fillId="9" borderId="94" xfId="0" applyNumberFormat="1" applyFont="1" applyFill="1" applyBorder="1" applyAlignment="1">
      <alignment horizontal="center" wrapText="1"/>
    </xf>
    <xf numFmtId="0" fontId="24" fillId="9" borderId="42" xfId="0" applyFont="1" applyFill="1" applyBorder="1" applyAlignment="1">
      <alignment horizontal="center" wrapText="1"/>
    </xf>
    <xf numFmtId="0" fontId="24" fillId="9" borderId="112" xfId="0" applyFont="1" applyFill="1" applyBorder="1" applyAlignment="1">
      <alignment horizontal="center" wrapText="1"/>
    </xf>
    <xf numFmtId="0" fontId="24" fillId="9" borderId="146" xfId="0" applyFont="1" applyFill="1" applyBorder="1" applyAlignment="1">
      <alignment horizontal="center" wrapText="1"/>
    </xf>
    <xf numFmtId="0" fontId="24" fillId="9" borderId="102" xfId="0" applyFont="1" applyFill="1" applyBorder="1" applyAlignment="1">
      <alignment horizontal="center" wrapText="1"/>
    </xf>
    <xf numFmtId="0" fontId="17" fillId="2" borderId="69" xfId="0" applyFont="1" applyFill="1" applyBorder="1" applyAlignment="1">
      <alignment horizontal="left" vertical="center" shrinkToFit="1"/>
    </xf>
    <xf numFmtId="0" fontId="17" fillId="2" borderId="70" xfId="0" applyFont="1" applyFill="1" applyBorder="1" applyAlignment="1">
      <alignment horizontal="center" vertical="center"/>
    </xf>
    <xf numFmtId="0" fontId="17" fillId="2" borderId="24" xfId="0" applyFont="1" applyFill="1" applyBorder="1" applyAlignment="1">
      <alignment horizontal="center" vertical="center"/>
    </xf>
    <xf numFmtId="0" fontId="17" fillId="2" borderId="25" xfId="0" applyFont="1" applyFill="1" applyBorder="1" applyAlignment="1">
      <alignment horizontal="center" vertical="center"/>
    </xf>
    <xf numFmtId="191" fontId="24" fillId="2" borderId="75" xfId="0" applyNumberFormat="1" applyFont="1" applyFill="1" applyBorder="1" applyAlignment="1">
      <alignment horizontal="center" shrinkToFit="1"/>
    </xf>
    <xf numFmtId="178" fontId="24" fillId="2" borderId="75" xfId="0" applyNumberFormat="1" applyFont="1" applyFill="1" applyBorder="1" applyAlignment="1">
      <alignment horizontal="center"/>
    </xf>
    <xf numFmtId="178" fontId="24" fillId="2" borderId="76" xfId="0" applyNumberFormat="1" applyFont="1" applyFill="1" applyBorder="1" applyAlignment="1">
      <alignment horizontal="center"/>
    </xf>
    <xf numFmtId="178" fontId="24" fillId="2" borderId="26" xfId="0" applyNumberFormat="1" applyFont="1" applyFill="1" applyBorder="1" applyAlignment="1">
      <alignment horizontal="center"/>
    </xf>
    <xf numFmtId="178" fontId="24" fillId="2" borderId="26" xfId="0" applyNumberFormat="1" applyFont="1" applyFill="1" applyBorder="1" applyAlignment="1">
      <alignment horizontal="center" vertical="center"/>
    </xf>
    <xf numFmtId="178" fontId="24" fillId="2" borderId="26" xfId="0" applyNumberFormat="1" applyFont="1" applyFill="1" applyBorder="1" applyAlignment="1">
      <alignment horizontal="left"/>
    </xf>
    <xf numFmtId="178" fontId="24" fillId="2" borderId="45" xfId="0" applyNumberFormat="1" applyFont="1" applyFill="1" applyBorder="1" applyAlignment="1">
      <alignment horizontal="left"/>
    </xf>
    <xf numFmtId="178" fontId="24" fillId="2" borderId="70" xfId="0" applyNumberFormat="1" applyFont="1" applyFill="1" applyBorder="1" applyAlignment="1">
      <alignment horizontal="left"/>
    </xf>
    <xf numFmtId="178" fontId="24" fillId="2" borderId="77" xfId="0" applyNumberFormat="1" applyFont="1" applyFill="1" applyBorder="1" applyAlignment="1">
      <alignment horizontal="left"/>
    </xf>
    <xf numFmtId="178" fontId="24" fillId="2" borderId="71" xfId="0" applyNumberFormat="1" applyFont="1" applyFill="1" applyBorder="1" applyAlignment="1">
      <alignment horizontal="left"/>
    </xf>
    <xf numFmtId="178" fontId="24" fillId="2" borderId="12" xfId="0" applyNumberFormat="1" applyFont="1" applyFill="1" applyBorder="1" applyAlignment="1">
      <alignment horizontal="center"/>
    </xf>
    <xf numFmtId="178" fontId="24" fillId="2" borderId="14" xfId="0" applyNumberFormat="1" applyFont="1" applyFill="1" applyBorder="1" applyAlignment="1">
      <alignment horizontal="center"/>
    </xf>
    <xf numFmtId="0" fontId="17" fillId="0" borderId="83" xfId="0" applyFont="1" applyBorder="1" applyAlignment="1">
      <alignment horizontal="center" vertical="center" wrapText="1"/>
    </xf>
    <xf numFmtId="0" fontId="17" fillId="0" borderId="54" xfId="0" applyFont="1" applyBorder="1" applyAlignment="1">
      <alignment horizontal="center" wrapText="1"/>
    </xf>
    <xf numFmtId="0" fontId="17" fillId="0" borderId="8" xfId="0" applyFont="1" applyBorder="1" applyAlignment="1">
      <alignment horizontal="center" wrapText="1"/>
    </xf>
    <xf numFmtId="0" fontId="17" fillId="0" borderId="14" xfId="0" applyFont="1" applyBorder="1" applyAlignment="1">
      <alignment horizontal="center" wrapText="1"/>
    </xf>
    <xf numFmtId="0" fontId="17" fillId="0" borderId="91" xfId="0" applyFont="1" applyBorder="1" applyAlignment="1">
      <alignment horizontal="center" vertical="center" wrapText="1"/>
    </xf>
    <xf numFmtId="0" fontId="17" fillId="0" borderId="90" xfId="0" applyFont="1" applyBorder="1" applyAlignment="1">
      <alignment horizontal="center" wrapText="1"/>
    </xf>
    <xf numFmtId="0" fontId="17" fillId="0" borderId="59" xfId="0" applyFont="1" applyBorder="1" applyAlignment="1">
      <alignment horizontal="center" wrapText="1"/>
    </xf>
    <xf numFmtId="0" fontId="17" fillId="0" borderId="56" xfId="0" applyFont="1" applyBorder="1" applyAlignment="1">
      <alignment horizontal="center" vertical="center" wrapText="1"/>
    </xf>
    <xf numFmtId="0" fontId="17" fillId="0" borderId="72" xfId="0" applyFont="1" applyBorder="1" applyAlignment="1">
      <alignment horizontal="center" vertical="center" wrapText="1"/>
    </xf>
    <xf numFmtId="0" fontId="17" fillId="0" borderId="10" xfId="0" applyFont="1" applyBorder="1" applyAlignment="1">
      <alignment horizontal="center" wrapText="1"/>
    </xf>
    <xf numFmtId="0" fontId="17" fillId="0" borderId="12" xfId="0" applyFont="1" applyBorder="1" applyAlignment="1">
      <alignment vertical="center" shrinkToFit="1"/>
    </xf>
    <xf numFmtId="0" fontId="17" fillId="0" borderId="12" xfId="0" applyFont="1" applyBorder="1" applyAlignment="1">
      <alignment horizontal="left" vertical="center" shrinkToFit="1"/>
    </xf>
    <xf numFmtId="38" fontId="17" fillId="2" borderId="22" xfId="0" applyNumberFormat="1" applyFont="1" applyFill="1" applyBorder="1" applyAlignment="1">
      <alignment horizontal="center" vertical="center" wrapText="1"/>
    </xf>
    <xf numFmtId="38" fontId="17" fillId="2" borderId="28" xfId="0" applyNumberFormat="1" applyFont="1" applyFill="1" applyBorder="1" applyAlignment="1">
      <alignment horizontal="center" vertical="center" wrapText="1"/>
    </xf>
    <xf numFmtId="38" fontId="17" fillId="0" borderId="22" xfId="0" applyNumberFormat="1" applyFont="1" applyBorder="1" applyAlignment="1">
      <alignment horizontal="right" vertical="center" wrapText="1"/>
    </xf>
    <xf numFmtId="0" fontId="17" fillId="0" borderId="28" xfId="0" applyFont="1" applyBorder="1" applyAlignment="1">
      <alignment vertical="center" wrapText="1"/>
    </xf>
    <xf numFmtId="0" fontId="17" fillId="0" borderId="54" xfId="0" applyFont="1" applyBorder="1" applyAlignment="1">
      <alignment vertical="center" wrapText="1"/>
    </xf>
    <xf numFmtId="0" fontId="17" fillId="0" borderId="72" xfId="0" applyFont="1" applyBorder="1" applyAlignment="1">
      <alignment vertical="center" wrapText="1"/>
    </xf>
    <xf numFmtId="0" fontId="17" fillId="0" borderId="14" xfId="0" applyFont="1" applyBorder="1" applyAlignment="1">
      <alignment horizontal="center" vertical="center"/>
    </xf>
    <xf numFmtId="178" fontId="24" fillId="0" borderId="31" xfId="0" applyNumberFormat="1" applyFont="1" applyBorder="1" applyAlignment="1">
      <alignment horizontal="center"/>
    </xf>
    <xf numFmtId="178" fontId="24" fillId="0" borderId="85" xfId="0" applyNumberFormat="1" applyFont="1" applyBorder="1" applyAlignment="1">
      <alignment horizontal="center"/>
    </xf>
    <xf numFmtId="178" fontId="24" fillId="0" borderId="86" xfId="0" applyNumberFormat="1" applyFont="1" applyBorder="1" applyAlignment="1">
      <alignment horizontal="center"/>
    </xf>
    <xf numFmtId="178" fontId="24" fillId="0" borderId="65" xfId="0" applyNumberFormat="1" applyFont="1" applyBorder="1" applyAlignment="1">
      <alignment horizontal="center"/>
    </xf>
    <xf numFmtId="178" fontId="24" fillId="0" borderId="86" xfId="0" applyNumberFormat="1" applyFont="1" applyBorder="1" applyAlignment="1">
      <alignment horizontal="center" vertical="center"/>
    </xf>
    <xf numFmtId="178" fontId="24" fillId="0" borderId="85" xfId="0" applyNumberFormat="1" applyFont="1" applyBorder="1" applyAlignment="1">
      <alignment horizontal="left"/>
    </xf>
    <xf numFmtId="178" fontId="24" fillId="0" borderId="0" xfId="0" applyNumberFormat="1" applyFont="1" applyAlignment="1">
      <alignment horizontal="left"/>
    </xf>
    <xf numFmtId="178" fontId="24" fillId="0" borderId="14" xfId="0" applyNumberFormat="1" applyFont="1" applyBorder="1" applyAlignment="1">
      <alignment horizontal="left"/>
    </xf>
    <xf numFmtId="178" fontId="24" fillId="0" borderId="12" xfId="0" applyNumberFormat="1" applyFont="1" applyBorder="1" applyAlignment="1">
      <alignment horizontal="left"/>
    </xf>
    <xf numFmtId="178" fontId="24" fillId="0" borderId="58" xfId="0" applyNumberFormat="1" applyFont="1" applyBorder="1" applyAlignment="1">
      <alignment horizontal="left"/>
    </xf>
    <xf numFmtId="178" fontId="24" fillId="0" borderId="82" xfId="0" applyNumberFormat="1" applyFont="1" applyBorder="1" applyAlignment="1">
      <alignment horizontal="left"/>
    </xf>
    <xf numFmtId="178" fontId="24" fillId="0" borderId="12" xfId="0" applyNumberFormat="1" applyFont="1" applyBorder="1" applyAlignment="1">
      <alignment horizontal="center"/>
    </xf>
    <xf numFmtId="178" fontId="24" fillId="0" borderId="14" xfId="0" applyNumberFormat="1" applyFont="1" applyBorder="1" applyAlignment="1">
      <alignment horizontal="center"/>
    </xf>
    <xf numFmtId="178" fontId="24" fillId="0" borderId="8" xfId="0" applyNumberFormat="1" applyFont="1" applyBorder="1" applyAlignment="1">
      <alignment horizontal="center"/>
    </xf>
    <xf numFmtId="38" fontId="17" fillId="2" borderId="2" xfId="0" applyNumberFormat="1" applyFont="1" applyFill="1" applyBorder="1" applyAlignment="1">
      <alignment horizontal="right" vertical="center" wrapText="1"/>
    </xf>
    <xf numFmtId="0" fontId="17" fillId="0" borderId="55" xfId="0" applyFont="1" applyBorder="1" applyAlignment="1">
      <alignment vertical="center" wrapText="1"/>
    </xf>
    <xf numFmtId="0" fontId="17" fillId="0" borderId="56" xfId="0" applyFont="1" applyBorder="1" applyAlignment="1">
      <alignment vertical="center" wrapText="1"/>
    </xf>
    <xf numFmtId="0" fontId="17" fillId="0" borderId="58" xfId="0" applyFont="1" applyBorder="1" applyAlignment="1">
      <alignment vertical="center" wrapText="1"/>
    </xf>
    <xf numFmtId="0" fontId="17" fillId="0" borderId="32" xfId="0" applyFont="1" applyBorder="1" applyAlignment="1">
      <alignment vertical="center" wrapText="1"/>
    </xf>
    <xf numFmtId="0" fontId="22" fillId="0" borderId="31" xfId="0" applyFont="1" applyBorder="1" applyAlignment="1">
      <alignment vertical="center" wrapText="1"/>
    </xf>
    <xf numFmtId="0" fontId="22" fillId="0" borderId="55" xfId="0" applyFont="1" applyBorder="1" applyAlignment="1">
      <alignment vertical="center" wrapText="1"/>
    </xf>
    <xf numFmtId="0" fontId="22" fillId="2" borderId="10" xfId="0" applyFont="1" applyFill="1" applyBorder="1" applyAlignment="1">
      <alignment horizontal="center" wrapText="1"/>
    </xf>
    <xf numFmtId="0" fontId="24" fillId="2" borderId="2" xfId="0" applyFont="1" applyFill="1" applyBorder="1" applyAlignment="1">
      <alignment horizontal="center" wrapText="1"/>
    </xf>
    <xf numFmtId="0" fontId="24" fillId="2" borderId="9" xfId="0" applyFont="1" applyFill="1" applyBorder="1" applyAlignment="1">
      <alignment horizontal="center" wrapText="1"/>
    </xf>
    <xf numFmtId="0" fontId="17" fillId="5" borderId="8" xfId="0" applyFont="1" applyFill="1" applyBorder="1" applyAlignment="1">
      <alignment horizontal="center" vertical="center"/>
    </xf>
    <xf numFmtId="180" fontId="17" fillId="0" borderId="72" xfId="0" applyNumberFormat="1" applyFont="1" applyBorder="1" applyAlignment="1">
      <alignment horizontal="center" vertical="center" wrapText="1"/>
    </xf>
    <xf numFmtId="0" fontId="22" fillId="0" borderId="56" xfId="0" applyFont="1" applyBorder="1" applyAlignment="1">
      <alignment vertical="center" wrapText="1"/>
    </xf>
    <xf numFmtId="0" fontId="22" fillId="0" borderId="14" xfId="0" applyFont="1" applyBorder="1" applyAlignment="1">
      <alignment vertical="center" wrapText="1"/>
    </xf>
    <xf numFmtId="0" fontId="22" fillId="0" borderId="12" xfId="0" applyFont="1" applyBorder="1" applyAlignment="1">
      <alignment vertical="center" wrapText="1"/>
    </xf>
    <xf numFmtId="0" fontId="22" fillId="2" borderId="58" xfId="0" applyFont="1" applyFill="1" applyBorder="1" applyAlignment="1">
      <alignment vertical="center" wrapText="1"/>
    </xf>
    <xf numFmtId="0" fontId="22" fillId="2" borderId="2" xfId="0" applyFont="1" applyFill="1" applyBorder="1" applyAlignment="1">
      <alignment vertical="center" wrapText="1"/>
    </xf>
    <xf numFmtId="0" fontId="22" fillId="2" borderId="72" xfId="0" applyFont="1" applyFill="1" applyBorder="1" applyAlignment="1">
      <alignment vertical="center" wrapText="1"/>
    </xf>
    <xf numFmtId="0" fontId="17" fillId="0" borderId="31" xfId="0" applyFont="1" applyBorder="1" applyAlignment="1">
      <alignment vertical="center" wrapText="1"/>
    </xf>
    <xf numFmtId="0" fontId="17" fillId="2" borderId="58" xfId="0" applyFont="1" applyFill="1" applyBorder="1" applyAlignment="1">
      <alignment vertical="center" wrapText="1"/>
    </xf>
    <xf numFmtId="0" fontId="22" fillId="0" borderId="2" xfId="0" applyFont="1" applyBorder="1" applyAlignment="1">
      <alignment vertical="center" wrapText="1"/>
    </xf>
    <xf numFmtId="0" fontId="22" fillId="0" borderId="72" xfId="0" applyFont="1" applyBorder="1" applyAlignment="1">
      <alignment vertical="center" wrapText="1"/>
    </xf>
    <xf numFmtId="0" fontId="22" fillId="0" borderId="10" xfId="0" applyFont="1" applyBorder="1" applyAlignment="1">
      <alignment horizontal="center" wrapText="1"/>
    </xf>
    <xf numFmtId="180" fontId="17" fillId="2" borderId="2" xfId="0" applyNumberFormat="1" applyFont="1" applyFill="1" applyBorder="1" applyAlignment="1">
      <alignment horizontal="right" vertical="center" wrapText="1"/>
    </xf>
    <xf numFmtId="0" fontId="17" fillId="19" borderId="14" xfId="0" applyFont="1" applyFill="1" applyBorder="1" applyAlignment="1">
      <alignment vertical="center" wrapText="1"/>
    </xf>
    <xf numFmtId="0" fontId="17" fillId="19" borderId="17" xfId="0" applyFont="1" applyFill="1" applyBorder="1" applyAlignment="1">
      <alignment vertical="center" wrapText="1"/>
    </xf>
    <xf numFmtId="0" fontId="17" fillId="0" borderId="17" xfId="0" applyFont="1" applyBorder="1" applyAlignment="1">
      <alignment vertical="center" wrapText="1"/>
    </xf>
    <xf numFmtId="0" fontId="17" fillId="0" borderId="85" xfId="0" applyFont="1" applyBorder="1" applyAlignment="1">
      <alignment vertical="center" wrapText="1"/>
    </xf>
    <xf numFmtId="0" fontId="17" fillId="2" borderId="2" xfId="0" applyFont="1" applyFill="1" applyBorder="1" applyAlignment="1">
      <alignment horizontal="center"/>
    </xf>
    <xf numFmtId="0" fontId="17" fillId="2" borderId="2" xfId="0" applyFont="1" applyFill="1" applyBorder="1" applyAlignment="1">
      <alignment horizontal="center" wrapText="1"/>
    </xf>
    <xf numFmtId="0" fontId="17" fillId="2" borderId="9" xfId="0" applyFont="1" applyFill="1" applyBorder="1" applyAlignment="1">
      <alignment horizontal="center" wrapText="1"/>
    </xf>
    <xf numFmtId="0" fontId="22" fillId="14" borderId="2" xfId="0" applyFont="1" applyFill="1" applyBorder="1" applyAlignment="1">
      <alignment vertical="center" wrapText="1"/>
    </xf>
    <xf numFmtId="0" fontId="17" fillId="14" borderId="2" xfId="0" applyFont="1" applyFill="1" applyBorder="1" applyAlignment="1">
      <alignment vertical="center" wrapText="1"/>
    </xf>
    <xf numFmtId="0" fontId="17" fillId="19" borderId="8" xfId="0" applyFont="1" applyFill="1" applyBorder="1" applyAlignment="1">
      <alignment vertical="center" wrapText="1"/>
    </xf>
    <xf numFmtId="0" fontId="17" fillId="19" borderId="2" xfId="0" applyFont="1" applyFill="1" applyBorder="1" applyAlignment="1">
      <alignment vertical="center" wrapText="1"/>
    </xf>
    <xf numFmtId="0" fontId="102" fillId="0" borderId="2" xfId="0" applyFont="1" applyBorder="1" applyAlignment="1">
      <alignment vertical="center" wrapText="1"/>
    </xf>
    <xf numFmtId="0" fontId="22" fillId="14" borderId="72" xfId="0" applyFont="1" applyFill="1" applyBorder="1" applyAlignment="1">
      <alignment vertical="center" wrapText="1"/>
    </xf>
    <xf numFmtId="0" fontId="22" fillId="14" borderId="10" xfId="0" applyFont="1" applyFill="1" applyBorder="1" applyAlignment="1">
      <alignment horizontal="center" wrapText="1"/>
    </xf>
    <xf numFmtId="0" fontId="22" fillId="14" borderId="2" xfId="0" applyFont="1" applyFill="1" applyBorder="1" applyAlignment="1">
      <alignment horizontal="center" wrapText="1"/>
    </xf>
    <xf numFmtId="38" fontId="17" fillId="2" borderId="0" xfId="0" applyNumberFormat="1" applyFont="1" applyFill="1" applyAlignment="1">
      <alignment horizontal="center" vertical="center" wrapText="1"/>
    </xf>
    <xf numFmtId="180" fontId="17" fillId="2" borderId="0" xfId="0" applyNumberFormat="1" applyFont="1" applyFill="1" applyAlignment="1">
      <alignment horizontal="center" vertical="center" wrapText="1"/>
    </xf>
    <xf numFmtId="180" fontId="17" fillId="2" borderId="0" xfId="0" applyNumberFormat="1" applyFont="1" applyFill="1" applyAlignment="1">
      <alignment horizontal="right" vertical="center" wrapText="1"/>
    </xf>
    <xf numFmtId="0" fontId="17" fillId="19" borderId="0" xfId="0" applyFont="1" applyFill="1" applyAlignment="1">
      <alignment vertical="center" wrapText="1"/>
    </xf>
    <xf numFmtId="0" fontId="17" fillId="2" borderId="2" xfId="0" applyFont="1" applyFill="1" applyBorder="1" applyAlignment="1">
      <alignment horizontal="left"/>
    </xf>
    <xf numFmtId="0" fontId="22" fillId="0" borderId="10" xfId="0" applyFont="1" applyBorder="1" applyAlignment="1">
      <alignment vertical="center" wrapText="1"/>
    </xf>
    <xf numFmtId="0" fontId="17" fillId="0" borderId="9" xfId="0" applyFont="1" applyBorder="1" applyAlignment="1">
      <alignment horizontal="left" vertical="center" wrapText="1"/>
    </xf>
    <xf numFmtId="0" fontId="17" fillId="0" borderId="34" xfId="0" applyFont="1" applyBorder="1" applyAlignment="1">
      <alignment vertical="center" wrapText="1"/>
    </xf>
    <xf numFmtId="38" fontId="17" fillId="2" borderId="2" xfId="0" applyNumberFormat="1" applyFont="1" applyFill="1" applyBorder="1" applyAlignment="1">
      <alignment horizontal="left" vertical="center" wrapText="1"/>
    </xf>
    <xf numFmtId="38" fontId="22" fillId="0" borderId="2" xfId="0" applyNumberFormat="1" applyFont="1" applyBorder="1" applyAlignment="1">
      <alignment horizontal="right" vertical="center" wrapText="1"/>
    </xf>
    <xf numFmtId="0" fontId="22" fillId="0" borderId="60" xfId="0" applyFont="1" applyBorder="1" applyAlignment="1">
      <alignment vertical="center" wrapText="1"/>
    </xf>
    <xf numFmtId="0" fontId="22" fillId="0" borderId="22" xfId="0" applyFont="1" applyBorder="1" applyAlignment="1">
      <alignment vertical="center" wrapText="1"/>
    </xf>
    <xf numFmtId="0" fontId="22" fillId="0" borderId="15" xfId="0" applyFont="1" applyBorder="1" applyAlignment="1">
      <alignment vertical="center" wrapText="1"/>
    </xf>
    <xf numFmtId="38" fontId="22" fillId="2" borderId="2" xfId="0" applyNumberFormat="1" applyFont="1" applyFill="1" applyBorder="1" applyAlignment="1">
      <alignment horizontal="right" vertical="center" wrapText="1"/>
    </xf>
    <xf numFmtId="0" fontId="22" fillId="0" borderId="17" xfId="0" applyFont="1" applyBorder="1" applyAlignment="1">
      <alignment vertical="center" wrapText="1"/>
    </xf>
    <xf numFmtId="0" fontId="22" fillId="0" borderId="58" xfId="0" applyFont="1" applyBorder="1" applyAlignment="1">
      <alignment vertical="center" wrapText="1"/>
    </xf>
    <xf numFmtId="0" fontId="22" fillId="0" borderId="11" xfId="0" applyFont="1" applyBorder="1" applyAlignment="1">
      <alignment vertical="center" wrapText="1"/>
    </xf>
    <xf numFmtId="0" fontId="17" fillId="19" borderId="55" xfId="0" applyFont="1" applyFill="1" applyBorder="1" applyAlignment="1">
      <alignment vertical="center" wrapText="1"/>
    </xf>
    <xf numFmtId="0" fontId="17" fillId="19" borderId="56" xfId="0" applyFont="1" applyFill="1" applyBorder="1" applyAlignment="1">
      <alignment vertical="center" wrapText="1"/>
    </xf>
    <xf numFmtId="180" fontId="102" fillId="0" borderId="2" xfId="0" applyNumberFormat="1" applyFont="1" applyBorder="1" applyAlignment="1">
      <alignment horizontal="center" wrapText="1"/>
    </xf>
    <xf numFmtId="38" fontId="17" fillId="2" borderId="22" xfId="0" applyNumberFormat="1" applyFont="1" applyFill="1" applyBorder="1" applyAlignment="1">
      <alignment horizontal="right" vertical="center" wrapText="1"/>
    </xf>
    <xf numFmtId="38" fontId="17" fillId="2" borderId="23" xfId="0" applyNumberFormat="1" applyFont="1" applyFill="1" applyBorder="1" applyAlignment="1">
      <alignment horizontal="right" vertical="center" wrapText="1"/>
    </xf>
    <xf numFmtId="0" fontId="17" fillId="19" borderId="31" xfId="0" applyFont="1" applyFill="1" applyBorder="1" applyAlignment="1">
      <alignment vertical="center" wrapText="1"/>
    </xf>
    <xf numFmtId="0" fontId="24" fillId="0" borderId="9" xfId="0" applyFont="1" applyBorder="1" applyAlignment="1">
      <alignment horizontal="center"/>
    </xf>
    <xf numFmtId="38" fontId="17" fillId="0" borderId="12" xfId="0" applyNumberFormat="1" applyFont="1" applyBorder="1" applyAlignment="1">
      <alignment horizontal="center" vertical="center" wrapText="1"/>
    </xf>
    <xf numFmtId="38" fontId="17" fillId="2" borderId="58" xfId="0" applyNumberFormat="1" applyFont="1" applyFill="1" applyBorder="1" applyAlignment="1">
      <alignment horizontal="center" vertical="center" wrapText="1"/>
    </xf>
    <xf numFmtId="0" fontId="24" fillId="0" borderId="85" xfId="0" applyFont="1" applyBorder="1" applyAlignment="1">
      <alignment vertical="center" wrapText="1"/>
    </xf>
    <xf numFmtId="0" fontId="102" fillId="0" borderId="59" xfId="0" applyFont="1" applyBorder="1" applyAlignment="1">
      <alignment vertical="center" wrapText="1"/>
    </xf>
    <xf numFmtId="0" fontId="17" fillId="0" borderId="62" xfId="0" applyFont="1" applyBorder="1" applyAlignment="1">
      <alignment horizontal="center" wrapText="1"/>
    </xf>
    <xf numFmtId="180" fontId="24" fillId="0" borderId="2" xfId="0" applyNumberFormat="1" applyFont="1" applyBorder="1" applyAlignment="1">
      <alignment horizontal="left"/>
    </xf>
    <xf numFmtId="0" fontId="24" fillId="0" borderId="62" xfId="0" applyFont="1" applyBorder="1" applyAlignment="1">
      <alignment horizontal="center" wrapText="1"/>
    </xf>
    <xf numFmtId="0" fontId="24" fillId="0" borderId="123" xfId="0" applyFont="1" applyBorder="1" applyAlignment="1">
      <alignment horizontal="left" vertical="center" shrinkToFit="1"/>
    </xf>
    <xf numFmtId="38" fontId="17" fillId="2" borderId="59" xfId="0" applyNumberFormat="1" applyFont="1" applyFill="1" applyBorder="1" applyAlignment="1">
      <alignment horizontal="center" vertical="center" wrapText="1"/>
    </xf>
    <xf numFmtId="38" fontId="17" fillId="2" borderId="62" xfId="0" applyNumberFormat="1" applyFont="1" applyFill="1" applyBorder="1" applyAlignment="1">
      <alignment horizontal="center" vertical="center" wrapText="1"/>
    </xf>
    <xf numFmtId="38" fontId="17" fillId="2" borderId="29" xfId="0" applyNumberFormat="1" applyFont="1" applyFill="1" applyBorder="1" applyAlignment="1">
      <alignment horizontal="center" vertical="center" wrapText="1"/>
    </xf>
    <xf numFmtId="38" fontId="17" fillId="2" borderId="29" xfId="0" applyNumberFormat="1" applyFont="1" applyFill="1" applyBorder="1" applyAlignment="1">
      <alignment horizontal="right" vertical="center" wrapText="1"/>
    </xf>
    <xf numFmtId="38" fontId="17" fillId="2" borderId="30" xfId="0" applyNumberFormat="1" applyFont="1" applyFill="1" applyBorder="1" applyAlignment="1">
      <alignment horizontal="right" vertical="center" wrapText="1"/>
    </xf>
    <xf numFmtId="0" fontId="17" fillId="19" borderId="86" xfId="0" applyFont="1" applyFill="1" applyBorder="1" applyAlignment="1">
      <alignment vertical="center" wrapText="1"/>
    </xf>
    <xf numFmtId="0" fontId="17" fillId="5" borderId="81" xfId="0" applyFont="1" applyFill="1" applyBorder="1" applyAlignment="1">
      <alignment vertical="center" wrapText="1"/>
    </xf>
    <xf numFmtId="0" fontId="17" fillId="0" borderId="61" xfId="0" applyFont="1" applyBorder="1" applyAlignment="1">
      <alignment horizontal="center" wrapText="1"/>
    </xf>
    <xf numFmtId="0" fontId="17" fillId="5" borderId="2" xfId="0" applyFont="1" applyFill="1" applyBorder="1" applyAlignment="1">
      <alignment horizontal="center" wrapText="1"/>
    </xf>
    <xf numFmtId="38" fontId="17" fillId="0" borderId="0" xfId="0" applyNumberFormat="1" applyFont="1" applyAlignment="1">
      <alignment horizontal="right" vertical="center" wrapText="1"/>
    </xf>
    <xf numFmtId="0" fontId="17" fillId="0" borderId="97" xfId="0" applyFont="1" applyBorder="1" applyAlignment="1">
      <alignment vertical="center" wrapText="1"/>
    </xf>
    <xf numFmtId="0" fontId="102" fillId="0" borderId="97" xfId="0" applyFont="1" applyBorder="1" applyAlignment="1">
      <alignment vertical="center" wrapText="1"/>
    </xf>
    <xf numFmtId="0" fontId="17" fillId="0" borderId="81" xfId="0" applyFont="1" applyBorder="1" applyAlignment="1">
      <alignment vertical="center" wrapText="1"/>
    </xf>
    <xf numFmtId="0" fontId="17" fillId="0" borderId="60" xfId="0" applyFont="1" applyBorder="1" applyAlignment="1">
      <alignment horizontal="center" wrapText="1"/>
    </xf>
    <xf numFmtId="38" fontId="17" fillId="2" borderId="60" xfId="0" applyNumberFormat="1" applyFont="1" applyFill="1" applyBorder="1" applyAlignment="1">
      <alignment horizontal="center" vertical="center" wrapText="1"/>
    </xf>
    <xf numFmtId="38" fontId="17" fillId="2" borderId="60" xfId="0" applyNumberFormat="1" applyFont="1" applyFill="1" applyBorder="1" applyAlignment="1">
      <alignment horizontal="right" vertical="center" wrapText="1"/>
    </xf>
    <xf numFmtId="0" fontId="17" fillId="19" borderId="60" xfId="0" applyFont="1" applyFill="1" applyBorder="1" applyAlignment="1">
      <alignment vertical="center" wrapText="1"/>
    </xf>
    <xf numFmtId="0" fontId="102" fillId="0" borderId="60" xfId="0" applyFont="1" applyBorder="1" applyAlignment="1">
      <alignment vertical="center" wrapText="1"/>
    </xf>
    <xf numFmtId="0" fontId="17" fillId="5" borderId="72" xfId="0" applyFont="1" applyFill="1" applyBorder="1" applyAlignment="1">
      <alignment vertical="center" wrapText="1"/>
    </xf>
    <xf numFmtId="0" fontId="17" fillId="5" borderId="10" xfId="0" applyFont="1" applyFill="1" applyBorder="1" applyAlignment="1">
      <alignment horizontal="center" wrapText="1"/>
    </xf>
    <xf numFmtId="0" fontId="17" fillId="5" borderId="10" xfId="0" applyFont="1" applyFill="1" applyBorder="1" applyAlignment="1">
      <alignment horizontal="center"/>
    </xf>
    <xf numFmtId="0" fontId="17" fillId="5" borderId="60" xfId="0" applyFont="1" applyFill="1" applyBorder="1" applyAlignment="1">
      <alignment horizontal="center" wrapText="1"/>
    </xf>
    <xf numFmtId="0" fontId="24" fillId="0" borderId="64" xfId="0" applyFont="1" applyBorder="1" applyAlignment="1">
      <alignment horizontal="left" vertical="center" shrinkToFit="1"/>
    </xf>
    <xf numFmtId="0" fontId="17" fillId="0" borderId="34" xfId="0" applyFont="1" applyBorder="1" applyAlignment="1">
      <alignment horizontal="left" vertical="center"/>
    </xf>
    <xf numFmtId="0" fontId="17" fillId="0" borderId="34" xfId="0" applyFont="1" applyBorder="1" applyAlignment="1">
      <alignment horizontal="left" vertical="center" wrapText="1"/>
    </xf>
    <xf numFmtId="0" fontId="24" fillId="0" borderId="34" xfId="0" applyFont="1" applyBorder="1" applyAlignment="1">
      <alignment horizontal="left" vertical="center" wrapText="1"/>
    </xf>
    <xf numFmtId="0" fontId="24" fillId="0" borderId="62" xfId="0" applyFont="1" applyBorder="1" applyAlignment="1">
      <alignment horizontal="left" vertical="center"/>
    </xf>
    <xf numFmtId="0" fontId="22" fillId="0" borderId="0" xfId="0" applyFont="1" applyAlignment="1">
      <alignment vertical="center" wrapText="1"/>
    </xf>
    <xf numFmtId="0" fontId="22" fillId="0" borderId="82" xfId="0" applyFont="1" applyBorder="1" applyAlignment="1">
      <alignment vertical="center" wrapText="1"/>
    </xf>
    <xf numFmtId="0" fontId="22" fillId="0" borderId="12" xfId="0" applyFont="1" applyBorder="1" applyAlignment="1">
      <alignment horizontal="center" wrapText="1"/>
    </xf>
    <xf numFmtId="0" fontId="24" fillId="0" borderId="12" xfId="0" applyFont="1" applyBorder="1" applyAlignment="1">
      <alignment horizontal="center" wrapText="1"/>
    </xf>
    <xf numFmtId="0" fontId="24" fillId="0" borderId="60" xfId="0" applyFont="1" applyBorder="1" applyAlignment="1">
      <alignment horizontal="center" wrapText="1"/>
    </xf>
    <xf numFmtId="9" fontId="23" fillId="17" borderId="72" xfId="1" applyFont="1" applyFill="1" applyBorder="1">
      <alignment vertical="center"/>
    </xf>
    <xf numFmtId="9" fontId="23" fillId="17" borderId="10" xfId="1" applyFont="1" applyFill="1" applyBorder="1" applyAlignment="1">
      <alignment horizontal="center"/>
    </xf>
    <xf numFmtId="9" fontId="23" fillId="17" borderId="9" xfId="1" applyFont="1" applyFill="1" applyBorder="1" applyAlignment="1">
      <alignment horizontal="center" wrapText="1"/>
    </xf>
    <xf numFmtId="9" fontId="23" fillId="17" borderId="59" xfId="1" applyFont="1" applyFill="1" applyBorder="1" applyAlignment="1">
      <alignment horizontal="center" wrapText="1"/>
    </xf>
    <xf numFmtId="0" fontId="17" fillId="9" borderId="64" xfId="0" applyFont="1" applyFill="1" applyBorder="1" applyAlignment="1">
      <alignment horizontal="left" vertical="center" shrinkToFit="1"/>
    </xf>
    <xf numFmtId="0" fontId="17" fillId="9" borderId="59" xfId="0" applyFont="1" applyFill="1" applyBorder="1" applyAlignment="1">
      <alignment horizontal="left" vertical="center"/>
    </xf>
    <xf numFmtId="0" fontId="17" fillId="9" borderId="59" xfId="0" applyFont="1" applyFill="1" applyBorder="1" applyAlignment="1">
      <alignment vertical="center" wrapText="1"/>
    </xf>
    <xf numFmtId="0" fontId="17" fillId="9" borderId="59" xfId="0" applyFont="1" applyFill="1" applyBorder="1" applyAlignment="1">
      <alignment horizontal="left" vertical="center" wrapText="1"/>
    </xf>
    <xf numFmtId="0" fontId="17" fillId="9" borderId="62" xfId="0" applyFont="1" applyFill="1" applyBorder="1" applyAlignment="1">
      <alignment horizontal="left" vertical="center" wrapText="1"/>
    </xf>
    <xf numFmtId="38" fontId="17" fillId="9" borderId="59" xfId="0" applyNumberFormat="1" applyFont="1" applyFill="1" applyBorder="1" applyAlignment="1">
      <alignment horizontal="right" vertical="center" wrapText="1"/>
    </xf>
    <xf numFmtId="180" fontId="17" fillId="9" borderId="62" xfId="0" applyNumberFormat="1" applyFont="1" applyFill="1" applyBorder="1" applyAlignment="1">
      <alignment horizontal="center" vertical="center" wrapText="1"/>
    </xf>
    <xf numFmtId="180" fontId="17" fillId="9" borderId="72" xfId="0" applyNumberFormat="1" applyFont="1" applyFill="1" applyBorder="1" applyAlignment="1">
      <alignment horizontal="center" vertical="center" wrapText="1"/>
    </xf>
    <xf numFmtId="180" fontId="17" fillId="9" borderId="10" xfId="0" applyNumberFormat="1" applyFont="1" applyFill="1" applyBorder="1" applyAlignment="1">
      <alignment horizontal="center" wrapText="1"/>
    </xf>
    <xf numFmtId="38" fontId="17" fillId="9" borderId="80" xfId="0" applyNumberFormat="1" applyFont="1" applyFill="1" applyBorder="1" applyAlignment="1">
      <alignment horizontal="right" vertical="center" wrapText="1"/>
    </xf>
    <xf numFmtId="38" fontId="24" fillId="9" borderId="59" xfId="0" applyNumberFormat="1" applyFont="1" applyFill="1" applyBorder="1" applyAlignment="1">
      <alignment horizontal="center" vertical="center"/>
    </xf>
    <xf numFmtId="38" fontId="24" fillId="9" borderId="80" xfId="0" applyNumberFormat="1" applyFont="1" applyFill="1" applyBorder="1" applyAlignment="1">
      <alignment horizontal="center" vertical="center"/>
    </xf>
    <xf numFmtId="180" fontId="17" fillId="9" borderId="79" xfId="0" applyNumberFormat="1" applyFont="1" applyFill="1" applyBorder="1" applyAlignment="1">
      <alignment horizontal="center" vertical="center" wrapText="1"/>
    </xf>
    <xf numFmtId="180" fontId="17" fillId="9" borderId="95" xfId="0" applyNumberFormat="1" applyFont="1" applyFill="1" applyBorder="1" applyAlignment="1">
      <alignment horizontal="center" wrapText="1"/>
    </xf>
    <xf numFmtId="180" fontId="17" fillId="9" borderId="21" xfId="0" applyNumberFormat="1" applyFont="1" applyFill="1" applyBorder="1" applyAlignment="1">
      <alignment horizontal="center" wrapText="1"/>
    </xf>
    <xf numFmtId="180" fontId="17" fillId="9" borderId="7" xfId="0" applyNumberFormat="1" applyFont="1" applyFill="1" applyBorder="1" applyAlignment="1">
      <alignment horizontal="center" wrapText="1"/>
    </xf>
    <xf numFmtId="180" fontId="17" fillId="9" borderId="74" xfId="0" applyNumberFormat="1" applyFont="1" applyFill="1" applyBorder="1" applyAlignment="1">
      <alignment horizontal="center" wrapText="1"/>
    </xf>
    <xf numFmtId="180" fontId="17" fillId="9" borderId="78" xfId="0" applyNumberFormat="1" applyFont="1" applyFill="1" applyBorder="1" applyAlignment="1">
      <alignment horizontal="center" wrapText="1"/>
    </xf>
    <xf numFmtId="191" fontId="24" fillId="2" borderId="24" xfId="0" applyNumberFormat="1" applyFont="1" applyFill="1" applyBorder="1" applyAlignment="1">
      <alignment horizontal="center" shrinkToFit="1"/>
    </xf>
    <xf numFmtId="178" fontId="24" fillId="2" borderId="24" xfId="0" applyNumberFormat="1" applyFont="1" applyFill="1" applyBorder="1" applyAlignment="1">
      <alignment horizontal="center"/>
    </xf>
    <xf numFmtId="178" fontId="24" fillId="2" borderId="25" xfId="0" applyNumberFormat="1" applyFont="1" applyFill="1" applyBorder="1" applyAlignment="1">
      <alignment horizontal="center"/>
    </xf>
    <xf numFmtId="178" fontId="24" fillId="2" borderId="96" xfId="0" applyNumberFormat="1" applyFont="1" applyFill="1" applyBorder="1" applyAlignment="1">
      <alignment horizontal="left"/>
    </xf>
    <xf numFmtId="0" fontId="17" fillId="2" borderId="27" xfId="0" applyFont="1" applyFill="1" applyBorder="1" applyAlignment="1">
      <alignment horizontal="left" vertical="center" shrinkToFit="1"/>
    </xf>
    <xf numFmtId="0" fontId="17" fillId="2" borderId="2" xfId="0" applyFont="1" applyFill="1" applyBorder="1" applyAlignment="1">
      <alignment horizontal="left" vertical="center"/>
    </xf>
    <xf numFmtId="0" fontId="17" fillId="2" borderId="2" xfId="0" applyFont="1" applyFill="1" applyBorder="1" applyAlignment="1">
      <alignment vertical="center" wrapText="1"/>
    </xf>
    <xf numFmtId="0" fontId="17" fillId="2" borderId="2" xfId="0" applyFont="1" applyFill="1" applyBorder="1" applyAlignment="1">
      <alignment horizontal="left" vertical="center" wrapText="1"/>
    </xf>
    <xf numFmtId="0" fontId="17" fillId="2" borderId="9" xfId="0" applyFont="1" applyFill="1" applyBorder="1" applyAlignment="1">
      <alignment horizontal="left" vertical="center" wrapText="1"/>
    </xf>
    <xf numFmtId="38" fontId="17" fillId="2" borderId="23" xfId="0" applyNumberFormat="1" applyFont="1" applyFill="1" applyBorder="1" applyAlignment="1">
      <alignment horizontal="center" vertical="center" wrapText="1"/>
    </xf>
    <xf numFmtId="0" fontId="17" fillId="2" borderId="22" xfId="0" applyFont="1" applyFill="1" applyBorder="1" applyAlignment="1">
      <alignment horizontal="center" vertical="center" wrapText="1"/>
    </xf>
    <xf numFmtId="0" fontId="17" fillId="2" borderId="22" xfId="0" applyFont="1" applyFill="1" applyBorder="1" applyAlignment="1">
      <alignment vertical="center" wrapText="1"/>
    </xf>
    <xf numFmtId="0" fontId="17" fillId="2" borderId="23" xfId="0" applyFont="1" applyFill="1" applyBorder="1" applyAlignment="1">
      <alignment vertical="center" wrapText="1"/>
    </xf>
    <xf numFmtId="0" fontId="17" fillId="2" borderId="9" xfId="0" applyFont="1" applyFill="1" applyBorder="1" applyAlignment="1">
      <alignment vertical="center" wrapText="1"/>
    </xf>
    <xf numFmtId="0" fontId="17" fillId="2" borderId="6" xfId="0" applyFont="1" applyFill="1" applyBorder="1" applyAlignment="1">
      <alignment vertical="center" wrapText="1"/>
    </xf>
    <xf numFmtId="0" fontId="17" fillId="2" borderId="10" xfId="0" applyFont="1" applyFill="1" applyBorder="1" applyAlignment="1">
      <alignment horizontal="center" wrapText="1"/>
    </xf>
    <xf numFmtId="0" fontId="17" fillId="2" borderId="9" xfId="0" applyFont="1" applyFill="1" applyBorder="1" applyAlignment="1">
      <alignment horizontal="left" vertical="center"/>
    </xf>
    <xf numFmtId="38" fontId="17" fillId="2" borderId="22" xfId="0" applyNumberFormat="1" applyFont="1" applyFill="1" applyBorder="1" applyAlignment="1">
      <alignment vertical="center" wrapText="1"/>
    </xf>
    <xf numFmtId="38" fontId="17" fillId="2" borderId="23" xfId="0" applyNumberFormat="1" applyFont="1" applyFill="1" applyBorder="1" applyAlignment="1">
      <alignment vertical="center" wrapText="1"/>
    </xf>
    <xf numFmtId="0" fontId="24" fillId="2" borderId="27" xfId="0" applyFont="1" applyFill="1" applyBorder="1" applyAlignment="1">
      <alignment horizontal="left" vertical="center" shrinkToFit="1"/>
    </xf>
    <xf numFmtId="0" fontId="24" fillId="2" borderId="9" xfId="0" applyFont="1" applyFill="1" applyBorder="1" applyAlignment="1">
      <alignment horizontal="left" vertical="center"/>
    </xf>
    <xf numFmtId="0" fontId="24" fillId="2" borderId="22" xfId="0" applyFont="1" applyFill="1" applyBorder="1" applyAlignment="1">
      <alignment horizontal="center" vertical="center" wrapText="1"/>
    </xf>
    <xf numFmtId="0" fontId="24" fillId="2" borderId="22" xfId="0" applyFont="1" applyFill="1" applyBorder="1" applyAlignment="1">
      <alignment vertical="center" wrapText="1"/>
    </xf>
    <xf numFmtId="0" fontId="24" fillId="2" borderId="23" xfId="0" applyFont="1" applyFill="1" applyBorder="1" applyAlignment="1">
      <alignment vertical="center" wrapText="1"/>
    </xf>
    <xf numFmtId="0" fontId="24" fillId="2" borderId="2" xfId="0" applyFont="1" applyFill="1" applyBorder="1" applyAlignment="1">
      <alignment vertical="center" wrapText="1"/>
    </xf>
    <xf numFmtId="0" fontId="24" fillId="2" borderId="9" xfId="0" applyFont="1" applyFill="1" applyBorder="1" applyAlignment="1">
      <alignment vertical="center" wrapText="1"/>
    </xf>
    <xf numFmtId="0" fontId="24" fillId="2" borderId="6" xfId="0" applyFont="1" applyFill="1" applyBorder="1" applyAlignment="1">
      <alignment vertical="center" wrapText="1"/>
    </xf>
    <xf numFmtId="0" fontId="24" fillId="2" borderId="10" xfId="0" applyFont="1" applyFill="1" applyBorder="1" applyAlignment="1">
      <alignment horizontal="center" wrapText="1"/>
    </xf>
    <xf numFmtId="0" fontId="17" fillId="2" borderId="2" xfId="0" applyFont="1" applyFill="1" applyBorder="1" applyAlignment="1">
      <alignment horizontal="center" vertical="center"/>
    </xf>
    <xf numFmtId="0" fontId="17" fillId="2" borderId="9" xfId="0" applyFont="1" applyFill="1" applyBorder="1" applyAlignment="1">
      <alignment horizontal="center" vertical="center"/>
    </xf>
    <xf numFmtId="0" fontId="25" fillId="2" borderId="2" xfId="0" applyFont="1" applyFill="1" applyBorder="1" applyAlignment="1">
      <alignment vertical="center" wrapText="1"/>
    </xf>
    <xf numFmtId="0" fontId="25" fillId="2" borderId="2" xfId="0" applyFont="1" applyFill="1" applyBorder="1" applyAlignment="1">
      <alignment horizontal="left" vertical="center" wrapText="1"/>
    </xf>
    <xf numFmtId="0" fontId="24" fillId="2" borderId="64" xfId="0" applyFont="1" applyFill="1" applyBorder="1" applyAlignment="1">
      <alignment horizontal="left" vertical="center" shrinkToFit="1"/>
    </xf>
    <xf numFmtId="0" fontId="17" fillId="2" borderId="59" xfId="0" applyFont="1" applyFill="1" applyBorder="1" applyAlignment="1">
      <alignment horizontal="left" vertical="center"/>
    </xf>
    <xf numFmtId="0" fontId="17" fillId="2" borderId="59" xfId="0" applyFont="1" applyFill="1" applyBorder="1" applyAlignment="1">
      <alignment vertical="center" wrapText="1"/>
    </xf>
    <xf numFmtId="0" fontId="24" fillId="2" borderId="59" xfId="0" applyFont="1" applyFill="1" applyBorder="1" applyAlignment="1">
      <alignment horizontal="left" vertical="center"/>
    </xf>
    <xf numFmtId="0" fontId="24" fillId="2" borderId="62" xfId="0" applyFont="1" applyFill="1" applyBorder="1" applyAlignment="1">
      <alignment horizontal="left" vertical="center"/>
    </xf>
    <xf numFmtId="38" fontId="17" fillId="2" borderId="59" xfId="0" applyNumberFormat="1" applyFont="1" applyFill="1" applyBorder="1" applyAlignment="1">
      <alignment horizontal="right" vertical="center" wrapText="1"/>
    </xf>
    <xf numFmtId="0" fontId="24" fillId="9" borderId="27" xfId="0" applyFont="1" applyFill="1" applyBorder="1" applyAlignment="1">
      <alignment vertical="center" shrinkToFit="1"/>
    </xf>
    <xf numFmtId="191" fontId="17" fillId="9" borderId="2" xfId="0" applyNumberFormat="1" applyFont="1" applyFill="1" applyBorder="1" applyAlignment="1">
      <alignment vertical="center" shrinkToFit="1"/>
    </xf>
    <xf numFmtId="0" fontId="17" fillId="9" borderId="2" xfId="0" applyFont="1" applyFill="1" applyBorder="1" applyAlignment="1">
      <alignment horizontal="center"/>
    </xf>
    <xf numFmtId="0" fontId="24" fillId="9" borderId="73" xfId="0" applyFont="1" applyFill="1" applyBorder="1" applyAlignment="1">
      <alignment vertical="center" shrinkToFit="1"/>
    </xf>
    <xf numFmtId="0" fontId="17" fillId="9" borderId="74" xfId="0" applyFont="1" applyFill="1" applyBorder="1">
      <alignment vertical="center"/>
    </xf>
    <xf numFmtId="191" fontId="17" fillId="9" borderId="74" xfId="0" applyNumberFormat="1" applyFont="1" applyFill="1" applyBorder="1" applyAlignment="1">
      <alignment vertical="center" shrinkToFit="1"/>
    </xf>
    <xf numFmtId="0" fontId="17" fillId="9" borderId="74" xfId="0" applyFont="1" applyFill="1" applyBorder="1" applyAlignment="1">
      <alignment horizontal="center"/>
    </xf>
    <xf numFmtId="0" fontId="24" fillId="0" borderId="0" xfId="0" applyFont="1" applyAlignment="1">
      <alignment vertical="center" shrinkToFit="1"/>
    </xf>
    <xf numFmtId="0" fontId="17" fillId="0" borderId="0" xfId="0" applyFont="1">
      <alignment vertical="center"/>
    </xf>
    <xf numFmtId="0" fontId="24" fillId="0" borderId="0" xfId="0" applyFont="1">
      <alignment vertical="center"/>
    </xf>
    <xf numFmtId="0" fontId="24" fillId="0" borderId="0" xfId="0" applyFont="1" applyAlignment="1">
      <alignment horizontal="right" vertical="center"/>
    </xf>
    <xf numFmtId="191" fontId="24" fillId="0" borderId="0" xfId="0" applyNumberFormat="1" applyFont="1" applyAlignment="1">
      <alignment horizontal="center" vertical="center" shrinkToFit="1"/>
    </xf>
    <xf numFmtId="191" fontId="24" fillId="0" borderId="0" xfId="0" applyNumberFormat="1" applyFont="1" applyAlignment="1">
      <alignment horizontal="center" shrinkToFit="1"/>
    </xf>
    <xf numFmtId="0" fontId="24" fillId="10" borderId="0" xfId="0" applyFont="1" applyFill="1">
      <alignment vertical="center"/>
    </xf>
    <xf numFmtId="0" fontId="17" fillId="7" borderId="0" xfId="0" applyFont="1" applyFill="1">
      <alignment vertical="center"/>
    </xf>
    <xf numFmtId="0" fontId="17" fillId="8" borderId="0" xfId="0" applyFont="1" applyFill="1">
      <alignment vertical="center"/>
    </xf>
    <xf numFmtId="0" fontId="17" fillId="9" borderId="0" xfId="0" applyFont="1" applyFill="1">
      <alignment vertical="center"/>
    </xf>
    <xf numFmtId="38" fontId="24" fillId="0" borderId="0" xfId="0" applyNumberFormat="1" applyFont="1" applyAlignment="1">
      <alignment horizontal="center"/>
    </xf>
    <xf numFmtId="0" fontId="17" fillId="6" borderId="0" xfId="0" applyFont="1" applyFill="1">
      <alignment vertical="center"/>
    </xf>
    <xf numFmtId="0" fontId="17" fillId="5" borderId="0" xfId="0" applyFont="1" applyFill="1">
      <alignment vertical="center"/>
    </xf>
    <xf numFmtId="191" fontId="17" fillId="2" borderId="2" xfId="0" applyNumberFormat="1" applyFont="1" applyFill="1" applyBorder="1" applyAlignment="1">
      <alignment horizontal="center" vertical="center" shrinkToFit="1"/>
    </xf>
    <xf numFmtId="191" fontId="17" fillId="2" borderId="2" xfId="0" applyNumberFormat="1" applyFont="1" applyFill="1" applyBorder="1" applyAlignment="1">
      <alignment horizontal="right" vertical="center" shrinkToFit="1"/>
    </xf>
    <xf numFmtId="38" fontId="17" fillId="0" borderId="23" xfId="0" applyNumberFormat="1" applyFont="1" applyBorder="1" applyAlignment="1">
      <alignment horizontal="right" vertical="center" wrapText="1"/>
    </xf>
    <xf numFmtId="0" fontId="17" fillId="0" borderId="62" xfId="0" applyFont="1" applyBorder="1" applyAlignment="1">
      <alignment vertical="center" wrapText="1"/>
    </xf>
    <xf numFmtId="0" fontId="24" fillId="0" borderId="72" xfId="0" applyFont="1" applyBorder="1" applyAlignment="1">
      <alignment vertical="center" wrapText="1"/>
    </xf>
    <xf numFmtId="0" fontId="17" fillId="19" borderId="12" xfId="0" applyFont="1" applyFill="1" applyBorder="1" applyAlignment="1">
      <alignment vertical="center" wrapText="1"/>
    </xf>
    <xf numFmtId="0" fontId="17" fillId="19" borderId="58" xfId="0" applyFont="1" applyFill="1" applyBorder="1" applyAlignment="1">
      <alignment vertical="center" wrapText="1"/>
    </xf>
    <xf numFmtId="0" fontId="17" fillId="19" borderId="82" xfId="0" applyFont="1" applyFill="1" applyBorder="1" applyAlignment="1">
      <alignment vertical="center" wrapText="1"/>
    </xf>
    <xf numFmtId="0" fontId="17" fillId="19" borderId="12" xfId="0" applyFont="1" applyFill="1" applyBorder="1" applyAlignment="1">
      <alignment horizontal="center" wrapText="1"/>
    </xf>
    <xf numFmtId="0" fontId="17" fillId="2" borderId="14" xfId="0" applyFont="1" applyFill="1" applyBorder="1" applyAlignment="1">
      <alignment horizontal="center" wrapText="1"/>
    </xf>
    <xf numFmtId="0" fontId="17" fillId="2" borderId="8" xfId="0" applyFont="1" applyFill="1" applyBorder="1" applyAlignment="1">
      <alignment horizontal="center" wrapText="1"/>
    </xf>
    <xf numFmtId="0" fontId="17" fillId="19" borderId="32" xfId="0" applyFont="1" applyFill="1" applyBorder="1" applyAlignment="1">
      <alignment vertical="center" wrapText="1"/>
    </xf>
    <xf numFmtId="0" fontId="17" fillId="19" borderId="72" xfId="0" applyFont="1" applyFill="1" applyBorder="1" applyAlignment="1">
      <alignment vertical="center" wrapText="1"/>
    </xf>
    <xf numFmtId="0" fontId="17" fillId="19" borderId="10" xfId="0" applyFont="1" applyFill="1" applyBorder="1" applyAlignment="1">
      <alignment horizontal="center" wrapText="1"/>
    </xf>
    <xf numFmtId="0" fontId="24" fillId="14" borderId="2" xfId="0" applyFont="1" applyFill="1" applyBorder="1" applyAlignment="1">
      <alignment horizontal="center" wrapText="1"/>
    </xf>
    <xf numFmtId="0" fontId="17" fillId="0" borderId="72" xfId="0" applyFont="1" applyBorder="1" applyAlignment="1">
      <alignment horizontal="center" wrapText="1"/>
    </xf>
    <xf numFmtId="0" fontId="17" fillId="0" borderId="0" xfId="0" applyFont="1" applyAlignment="1">
      <alignment horizontal="center" wrapText="1"/>
    </xf>
    <xf numFmtId="183" fontId="24" fillId="0" borderId="2" xfId="0" applyNumberFormat="1" applyFont="1" applyBorder="1" applyAlignment="1">
      <alignment vertical="center" wrapText="1"/>
    </xf>
    <xf numFmtId="183" fontId="24" fillId="0" borderId="72" xfId="0" applyNumberFormat="1" applyFont="1" applyBorder="1" applyAlignment="1">
      <alignment horizontal="center" wrapText="1"/>
    </xf>
    <xf numFmtId="183" fontId="24" fillId="0" borderId="0" xfId="0" applyNumberFormat="1" applyFont="1" applyAlignment="1">
      <alignment horizontal="center" wrapText="1"/>
    </xf>
    <xf numFmtId="38" fontId="17" fillId="0" borderId="31" xfId="0" applyNumberFormat="1" applyFont="1" applyBorder="1" applyAlignment="1">
      <alignment horizontal="center" vertical="center" wrapText="1"/>
    </xf>
    <xf numFmtId="38" fontId="17" fillId="0" borderId="32" xfId="0" applyNumberFormat="1" applyFont="1" applyBorder="1" applyAlignment="1">
      <alignment horizontal="center" vertical="center" wrapText="1"/>
    </xf>
    <xf numFmtId="183" fontId="17" fillId="0" borderId="31" xfId="0" applyNumberFormat="1" applyFont="1" applyBorder="1" applyAlignment="1">
      <alignment horizontal="center" vertical="center" wrapText="1"/>
    </xf>
    <xf numFmtId="183" fontId="17" fillId="0" borderId="32" xfId="0" applyNumberFormat="1" applyFont="1" applyBorder="1" applyAlignment="1">
      <alignment horizontal="center" vertical="center" wrapText="1"/>
    </xf>
    <xf numFmtId="0" fontId="17" fillId="0" borderId="8" xfId="0" applyFont="1" applyBorder="1" applyAlignment="1">
      <alignment vertical="center" wrapText="1"/>
    </xf>
    <xf numFmtId="180" fontId="17" fillId="0" borderId="72" xfId="0" applyNumberFormat="1" applyFont="1" applyBorder="1" applyAlignment="1">
      <alignment vertical="center" wrapText="1"/>
    </xf>
    <xf numFmtId="180" fontId="17" fillId="0" borderId="14" xfId="0" applyNumberFormat="1" applyFont="1" applyBorder="1" applyAlignment="1">
      <alignment horizontal="center" wrapText="1"/>
    </xf>
    <xf numFmtId="180" fontId="17" fillId="0" borderId="72" xfId="0" applyNumberFormat="1" applyFont="1" applyBorder="1" applyAlignment="1">
      <alignment horizontal="center" wrapText="1"/>
    </xf>
    <xf numFmtId="180" fontId="17" fillId="0" borderId="0" xfId="0" applyNumberFormat="1" applyFont="1" applyAlignment="1">
      <alignment horizontal="center" wrapText="1"/>
    </xf>
    <xf numFmtId="180" fontId="24" fillId="0" borderId="72" xfId="0" applyNumberFormat="1" applyFont="1" applyBorder="1" applyAlignment="1">
      <alignment vertical="center" wrapText="1"/>
    </xf>
    <xf numFmtId="180" fontId="24" fillId="0" borderId="72" xfId="0" applyNumberFormat="1" applyFont="1" applyBorder="1" applyAlignment="1">
      <alignment horizontal="center" wrapText="1"/>
    </xf>
    <xf numFmtId="180" fontId="24" fillId="0" borderId="0" xfId="0" applyNumberFormat="1" applyFont="1" applyAlignment="1">
      <alignment horizontal="center" wrapText="1"/>
    </xf>
    <xf numFmtId="22" fontId="0" fillId="0" borderId="0" xfId="0" applyNumberFormat="1">
      <alignment vertical="center"/>
    </xf>
    <xf numFmtId="0" fontId="24" fillId="5" borderId="2" xfId="0" applyFont="1" applyFill="1" applyBorder="1" applyAlignment="1">
      <alignment horizontal="center" wrapText="1"/>
    </xf>
    <xf numFmtId="9" fontId="26" fillId="17" borderId="59" xfId="1" applyFont="1" applyFill="1" applyBorder="1" applyAlignment="1">
      <alignment horizontal="right" vertical="center" wrapText="1"/>
    </xf>
    <xf numFmtId="9" fontId="26" fillId="17" borderId="5" xfId="1" applyFont="1" applyFill="1" applyBorder="1" applyAlignment="1">
      <alignment horizontal="left" vertical="center" shrinkToFit="1"/>
    </xf>
    <xf numFmtId="9" fontId="26" fillId="17" borderId="2" xfId="1" applyFont="1" applyFill="1" applyBorder="1">
      <alignment vertical="center"/>
    </xf>
    <xf numFmtId="9" fontId="29" fillId="17" borderId="2" xfId="1" applyFont="1" applyFill="1" applyBorder="1" applyAlignment="1">
      <alignment horizontal="left" vertical="center" wrapText="1"/>
    </xf>
    <xf numFmtId="9" fontId="26" fillId="17" borderId="2" xfId="1" applyFont="1" applyFill="1" applyBorder="1" applyAlignment="1">
      <alignment horizontal="center" vertical="center" wrapText="1"/>
    </xf>
    <xf numFmtId="9" fontId="26" fillId="17" borderId="9" xfId="1" applyFont="1" applyFill="1" applyBorder="1" applyAlignment="1">
      <alignment horizontal="center" vertical="center" wrapText="1"/>
    </xf>
    <xf numFmtId="9" fontId="26" fillId="17" borderId="5" xfId="1" applyFont="1" applyFill="1" applyBorder="1" applyAlignment="1">
      <alignment horizontal="center" vertical="center" wrapText="1"/>
    </xf>
    <xf numFmtId="9" fontId="26" fillId="17" borderId="6" xfId="1" applyFont="1" applyFill="1" applyBorder="1" applyAlignment="1">
      <alignment horizontal="center" vertical="center" wrapText="1"/>
    </xf>
    <xf numFmtId="9" fontId="29" fillId="17" borderId="5" xfId="1" applyFont="1" applyFill="1" applyBorder="1" applyAlignment="1">
      <alignment horizontal="center" vertical="center" wrapText="1"/>
    </xf>
    <xf numFmtId="9" fontId="29" fillId="17" borderId="6" xfId="1" applyFont="1" applyFill="1" applyBorder="1" applyAlignment="1">
      <alignment horizontal="center" vertical="center" wrapText="1"/>
    </xf>
    <xf numFmtId="9" fontId="26" fillId="17" borderId="61" xfId="1" applyFont="1" applyFill="1" applyBorder="1" applyAlignment="1">
      <alignment horizontal="left" vertical="center" shrinkToFit="1"/>
    </xf>
    <xf numFmtId="9" fontId="26" fillId="17" borderId="61" xfId="1" applyFont="1" applyFill="1" applyBorder="1" applyAlignment="1">
      <alignment horizontal="left" vertical="center" wrapText="1"/>
    </xf>
    <xf numFmtId="9" fontId="26" fillId="17" borderId="62" xfId="1" applyFont="1" applyFill="1" applyBorder="1" applyAlignment="1">
      <alignment horizontal="left" vertical="center"/>
    </xf>
    <xf numFmtId="191" fontId="26" fillId="17" borderId="59" xfId="1" applyNumberFormat="1" applyFont="1" applyFill="1" applyBorder="1" applyAlignment="1">
      <alignment horizontal="center" vertical="center" shrinkToFit="1"/>
    </xf>
    <xf numFmtId="9" fontId="26" fillId="17" borderId="59" xfId="1" applyFont="1" applyFill="1" applyBorder="1" applyAlignment="1">
      <alignment horizontal="center" vertical="center" wrapText="1"/>
    </xf>
    <xf numFmtId="9" fontId="26" fillId="17" borderId="62" xfId="1" applyFont="1" applyFill="1" applyBorder="1" applyAlignment="1">
      <alignment horizontal="center" vertical="center" wrapText="1"/>
    </xf>
    <xf numFmtId="9" fontId="26" fillId="17" borderId="0" xfId="1" applyFont="1" applyFill="1" applyAlignment="1">
      <alignment horizontal="center" vertical="center" wrapText="1"/>
    </xf>
    <xf numFmtId="9" fontId="26" fillId="17" borderId="0" xfId="1" applyFont="1" applyFill="1" applyAlignment="1">
      <alignment horizontal="right" vertical="center" wrapText="1"/>
    </xf>
    <xf numFmtId="9" fontId="26" fillId="17" borderId="0" xfId="1" applyFont="1" applyFill="1" applyAlignment="1">
      <alignment vertical="center" wrapText="1"/>
    </xf>
    <xf numFmtId="9" fontId="26" fillId="17" borderId="59" xfId="1" applyFont="1" applyFill="1" applyBorder="1" applyAlignment="1">
      <alignment vertical="center" wrapText="1"/>
    </xf>
    <xf numFmtId="9" fontId="29" fillId="17" borderId="59" xfId="1" applyFont="1" applyFill="1" applyBorder="1" applyAlignment="1">
      <alignment horizontal="center" vertical="center" wrapText="1"/>
    </xf>
    <xf numFmtId="9" fontId="3" fillId="17" borderId="0" xfId="1" applyFont="1" applyFill="1">
      <alignment vertical="center"/>
    </xf>
    <xf numFmtId="38" fontId="26" fillId="0" borderId="5" xfId="3" applyFont="1" applyBorder="1" applyAlignment="1">
      <alignment horizontal="left" vertical="center" shrinkToFit="1"/>
    </xf>
    <xf numFmtId="38" fontId="26" fillId="0" borderId="2" xfId="3" applyFont="1" applyBorder="1">
      <alignment vertical="center"/>
    </xf>
    <xf numFmtId="38" fontId="29" fillId="0" borderId="2" xfId="3" applyFont="1" applyBorder="1" applyAlignment="1">
      <alignment horizontal="left" vertical="center" wrapText="1"/>
    </xf>
    <xf numFmtId="38" fontId="29" fillId="0" borderId="2" xfId="3" applyFont="1" applyBorder="1" applyAlignment="1">
      <alignment vertical="center" wrapText="1"/>
    </xf>
    <xf numFmtId="38" fontId="26" fillId="0" borderId="2" xfId="3" applyFont="1" applyBorder="1" applyAlignment="1">
      <alignment horizontal="left" vertical="center"/>
    </xf>
    <xf numFmtId="38" fontId="26" fillId="0" borderId="2" xfId="3" applyFont="1" applyBorder="1" applyAlignment="1">
      <alignment horizontal="center" vertical="center" wrapText="1"/>
    </xf>
    <xf numFmtId="38" fontId="26" fillId="2" borderId="2" xfId="3" applyFont="1" applyFill="1" applyBorder="1" applyAlignment="1">
      <alignment horizontal="center" vertical="center" wrapText="1"/>
    </xf>
    <xf numFmtId="38" fontId="26" fillId="0" borderId="9" xfId="3" applyFont="1" applyBorder="1" applyAlignment="1">
      <alignment horizontal="center" vertical="center" wrapText="1"/>
    </xf>
    <xf numFmtId="38" fontId="26" fillId="0" borderId="5" xfId="3" applyFont="1" applyBorder="1" applyAlignment="1">
      <alignment horizontal="center" vertical="center" wrapText="1"/>
    </xf>
    <xf numFmtId="38" fontId="26" fillId="0" borderId="6" xfId="3" applyFont="1" applyBorder="1" applyAlignment="1">
      <alignment horizontal="center" vertical="center" wrapText="1"/>
    </xf>
    <xf numFmtId="38" fontId="26" fillId="0" borderId="10" xfId="3" applyFont="1" applyBorder="1" applyAlignment="1">
      <alignment horizontal="center" vertical="center" wrapText="1"/>
    </xf>
    <xf numFmtId="38" fontId="29" fillId="0" borderId="5" xfId="3" applyFont="1" applyBorder="1" applyAlignment="1">
      <alignment horizontal="center" vertical="center" wrapText="1"/>
    </xf>
    <xf numFmtId="38" fontId="29" fillId="0" borderId="2" xfId="3" applyFont="1" applyBorder="1" applyAlignment="1">
      <alignment horizontal="center" vertical="center" wrapText="1"/>
    </xf>
    <xf numFmtId="38" fontId="29" fillId="0" borderId="6" xfId="3" applyFont="1" applyBorder="1" applyAlignment="1">
      <alignment horizontal="center" vertical="center" wrapText="1"/>
    </xf>
    <xf numFmtId="38" fontId="26" fillId="0" borderId="0" xfId="3" applyFont="1" applyAlignment="1">
      <alignment vertical="center" wrapText="1"/>
    </xf>
    <xf numFmtId="38" fontId="2" fillId="0" borderId="0" xfId="3" applyFont="1">
      <alignment vertical="center"/>
    </xf>
    <xf numFmtId="38" fontId="26" fillId="0" borderId="61" xfId="3" applyFont="1" applyBorder="1" applyAlignment="1">
      <alignment horizontal="left" vertical="center" shrinkToFit="1"/>
    </xf>
    <xf numFmtId="38" fontId="26" fillId="0" borderId="61" xfId="3" applyFont="1" applyBorder="1" applyAlignment="1">
      <alignment horizontal="left" vertical="center" wrapText="1"/>
    </xf>
    <xf numFmtId="38" fontId="26" fillId="0" borderId="59" xfId="3" applyFont="1" applyBorder="1" applyAlignment="1">
      <alignment vertical="center" wrapText="1"/>
    </xf>
    <xf numFmtId="38" fontId="26" fillId="0" borderId="59" xfId="3" applyFont="1" applyBorder="1" applyAlignment="1">
      <alignment horizontal="left" vertical="center"/>
    </xf>
    <xf numFmtId="38" fontId="26" fillId="0" borderId="62" xfId="3" applyFont="1" applyBorder="1" applyAlignment="1">
      <alignment horizontal="left" vertical="center"/>
    </xf>
    <xf numFmtId="38" fontId="26" fillId="0" borderId="59" xfId="3" applyFont="1" applyBorder="1" applyAlignment="1">
      <alignment horizontal="right" vertical="center" wrapText="1"/>
    </xf>
    <xf numFmtId="38" fontId="26" fillId="0" borderId="2" xfId="3" applyFont="1" applyBorder="1" applyAlignment="1">
      <alignment horizontal="right" vertical="center" wrapText="1"/>
    </xf>
    <xf numFmtId="38" fontId="26" fillId="17" borderId="59" xfId="3" applyFont="1" applyFill="1" applyBorder="1" applyAlignment="1">
      <alignment horizontal="right" vertical="center" wrapText="1"/>
    </xf>
    <xf numFmtId="38" fontId="26" fillId="0" borderId="59" xfId="3" applyFont="1" applyBorder="1" applyAlignment="1">
      <alignment horizontal="center" vertical="center" shrinkToFit="1"/>
    </xf>
    <xf numFmtId="38" fontId="26" fillId="0" borderId="59" xfId="3" applyFont="1" applyBorder="1" applyAlignment="1">
      <alignment horizontal="center" vertical="center" wrapText="1"/>
    </xf>
    <xf numFmtId="38" fontId="26" fillId="0" borderId="62" xfId="3" applyFont="1" applyBorder="1" applyAlignment="1">
      <alignment horizontal="center" vertical="center" wrapText="1"/>
    </xf>
    <xf numFmtId="38" fontId="26" fillId="0" borderId="0" xfId="3" applyFont="1" applyAlignment="1">
      <alignment horizontal="center" vertical="center" wrapText="1"/>
    </xf>
    <xf numFmtId="38" fontId="26" fillId="0" borderId="0" xfId="3" applyFont="1" applyAlignment="1">
      <alignment horizontal="right" vertical="center" wrapText="1"/>
    </xf>
    <xf numFmtId="38" fontId="29" fillId="0" borderId="59" xfId="3" applyFont="1" applyBorder="1" applyAlignment="1">
      <alignment horizontal="center" vertical="center" wrapText="1"/>
    </xf>
    <xf numFmtId="38" fontId="23" fillId="17" borderId="61" xfId="3" applyFont="1" applyFill="1" applyBorder="1" applyAlignment="1">
      <alignment horizontal="left" vertical="center" shrinkToFit="1"/>
    </xf>
    <xf numFmtId="38" fontId="29" fillId="17" borderId="59" xfId="3" applyFont="1" applyFill="1" applyBorder="1" applyAlignment="1">
      <alignment horizontal="left" vertical="center"/>
    </xf>
    <xf numFmtId="38" fontId="29" fillId="17" borderId="59" xfId="3" applyFont="1" applyFill="1" applyBorder="1" applyAlignment="1">
      <alignment vertical="center" wrapText="1"/>
    </xf>
    <xf numFmtId="38" fontId="23" fillId="17" borderId="59" xfId="3" applyFont="1" applyFill="1" applyBorder="1" applyAlignment="1">
      <alignment horizontal="left" vertical="center"/>
    </xf>
    <xf numFmtId="38" fontId="23" fillId="17" borderId="62" xfId="3" applyFont="1" applyFill="1" applyBorder="1" applyAlignment="1">
      <alignment horizontal="left" vertical="center"/>
    </xf>
    <xf numFmtId="38" fontId="29" fillId="17" borderId="59" xfId="3" applyFont="1" applyFill="1" applyBorder="1" applyAlignment="1">
      <alignment horizontal="right" vertical="center" wrapText="1"/>
    </xf>
    <xf numFmtId="38" fontId="29" fillId="17" borderId="2" xfId="3" applyFont="1" applyFill="1" applyBorder="1" applyAlignment="1">
      <alignment horizontal="right" vertical="center" wrapText="1"/>
    </xf>
    <xf numFmtId="38" fontId="29" fillId="17" borderId="2" xfId="3" applyFont="1" applyFill="1" applyBorder="1" applyAlignment="1">
      <alignment horizontal="center" vertical="center" shrinkToFit="1"/>
    </xf>
    <xf numFmtId="38" fontId="29" fillId="17" borderId="2" xfId="3" applyFont="1" applyFill="1" applyBorder="1" applyAlignment="1">
      <alignment horizontal="center" vertical="center" wrapText="1"/>
    </xf>
    <xf numFmtId="38" fontId="23" fillId="17" borderId="2" xfId="3" applyFont="1" applyFill="1" applyBorder="1" applyAlignment="1">
      <alignment horizontal="center" vertical="center" wrapText="1"/>
    </xf>
    <xf numFmtId="38" fontId="23" fillId="17" borderId="2" xfId="3" applyFont="1" applyFill="1" applyBorder="1" applyAlignment="1">
      <alignment vertical="center" wrapText="1"/>
    </xf>
    <xf numFmtId="38" fontId="23" fillId="17" borderId="59" xfId="3" applyFont="1" applyFill="1" applyBorder="1" applyAlignment="1">
      <alignment vertical="center" wrapText="1"/>
    </xf>
    <xf numFmtId="38" fontId="23" fillId="17" borderId="62" xfId="3" applyFont="1" applyFill="1" applyBorder="1">
      <alignment vertical="center"/>
    </xf>
    <xf numFmtId="38" fontId="23" fillId="17" borderId="2" xfId="3" applyFont="1" applyFill="1" applyBorder="1">
      <alignment vertical="center"/>
    </xf>
    <xf numFmtId="38" fontId="23" fillId="17" borderId="72" xfId="3" applyFont="1" applyFill="1" applyBorder="1">
      <alignment vertical="center"/>
    </xf>
    <xf numFmtId="38" fontId="23" fillId="17" borderId="10" xfId="3" applyFont="1" applyFill="1" applyBorder="1" applyAlignment="1">
      <alignment horizontal="center"/>
    </xf>
    <xf numFmtId="38" fontId="23" fillId="17" borderId="10" xfId="3" applyFont="1" applyFill="1" applyBorder="1" applyAlignment="1">
      <alignment horizontal="center" wrapText="1"/>
    </xf>
    <xf numFmtId="38" fontId="23" fillId="17" borderId="60" xfId="3" applyFont="1" applyFill="1" applyBorder="1" applyAlignment="1">
      <alignment horizontal="center" wrapText="1"/>
    </xf>
    <xf numFmtId="38" fontId="23" fillId="17" borderId="59" xfId="3" applyFont="1" applyFill="1" applyBorder="1" applyAlignment="1">
      <alignment horizontal="center" wrapText="1"/>
    </xf>
    <xf numFmtId="38" fontId="3" fillId="0" borderId="0" xfId="3" applyFont="1">
      <alignment vertical="center"/>
    </xf>
    <xf numFmtId="0" fontId="16" fillId="5" borderId="0" xfId="0" applyFont="1" applyFill="1" applyAlignment="1">
      <alignment vertical="top"/>
    </xf>
    <xf numFmtId="38" fontId="99" fillId="0" borderId="2" xfId="3" applyFont="1" applyBorder="1" applyAlignment="1">
      <alignment horizontal="center" wrapText="1"/>
    </xf>
    <xf numFmtId="38" fontId="99" fillId="5" borderId="2" xfId="3" applyFont="1" applyFill="1" applyBorder="1" applyAlignment="1">
      <alignment horizontal="center" wrapText="1"/>
    </xf>
    <xf numFmtId="0" fontId="17" fillId="5" borderId="9" xfId="0" applyFont="1" applyFill="1" applyBorder="1" applyAlignment="1">
      <alignment horizontal="left" vertical="center"/>
    </xf>
    <xf numFmtId="0" fontId="6" fillId="0" borderId="58" xfId="0" applyFont="1" applyBorder="1">
      <alignment vertical="center"/>
    </xf>
    <xf numFmtId="0" fontId="17" fillId="0" borderId="152" xfId="0" applyFont="1" applyBorder="1" applyAlignment="1">
      <alignment vertical="center" wrapText="1"/>
    </xf>
    <xf numFmtId="0" fontId="6" fillId="0" borderId="152" xfId="0" applyFont="1" applyBorder="1" applyAlignment="1">
      <alignment vertical="center" wrapText="1"/>
    </xf>
    <xf numFmtId="0" fontId="17" fillId="5" borderId="149" xfId="0" applyFont="1" applyFill="1" applyBorder="1" applyAlignment="1">
      <alignment vertical="center" wrapText="1"/>
    </xf>
    <xf numFmtId="0" fontId="6" fillId="0" borderId="149" xfId="0" applyFont="1" applyBorder="1" applyAlignment="1">
      <alignment vertical="center" wrapText="1"/>
    </xf>
    <xf numFmtId="38" fontId="17" fillId="0" borderId="128" xfId="0" applyNumberFormat="1" applyFont="1" applyBorder="1" applyAlignment="1">
      <alignment horizontal="left" vertical="center"/>
    </xf>
    <xf numFmtId="38" fontId="6" fillId="0" borderId="128" xfId="0" applyNumberFormat="1" applyFont="1" applyBorder="1" applyAlignment="1">
      <alignment horizontal="left" vertical="center"/>
    </xf>
    <xf numFmtId="0" fontId="6" fillId="0" borderId="128" xfId="0" applyFont="1" applyBorder="1">
      <alignment vertical="center"/>
    </xf>
    <xf numFmtId="0" fontId="5" fillId="5" borderId="5" xfId="0" applyFont="1" applyFill="1" applyBorder="1" applyAlignment="1">
      <alignment horizontal="left" vertical="center" shrinkToFit="1"/>
    </xf>
    <xf numFmtId="0" fontId="24" fillId="5" borderId="5" xfId="0" applyFont="1" applyFill="1" applyBorder="1" applyAlignment="1">
      <alignment horizontal="left" vertical="center" shrinkToFit="1"/>
    </xf>
    <xf numFmtId="0" fontId="17" fillId="5" borderId="13" xfId="0" applyFont="1" applyFill="1" applyBorder="1" applyAlignment="1">
      <alignment vertical="center" shrinkToFit="1"/>
    </xf>
    <xf numFmtId="0" fontId="6" fillId="5" borderId="12" xfId="0" applyFont="1" applyFill="1" applyBorder="1" applyAlignment="1">
      <alignment horizontal="left" vertical="center" shrinkToFit="1"/>
    </xf>
    <xf numFmtId="0" fontId="5" fillId="5" borderId="114" xfId="0" applyFont="1" applyFill="1" applyBorder="1" applyAlignment="1">
      <alignment horizontal="left" vertical="center" shrinkToFit="1"/>
    </xf>
    <xf numFmtId="0" fontId="5" fillId="5" borderId="27" xfId="0" applyFont="1" applyFill="1" applyBorder="1" applyAlignment="1">
      <alignment horizontal="left" vertical="center" shrinkToFit="1"/>
    </xf>
    <xf numFmtId="0" fontId="6" fillId="5" borderId="128" xfId="0" applyFont="1" applyFill="1" applyBorder="1">
      <alignment vertical="center"/>
    </xf>
    <xf numFmtId="0" fontId="17" fillId="0" borderId="128" xfId="0" applyFont="1" applyBorder="1">
      <alignment vertical="center"/>
    </xf>
    <xf numFmtId="0" fontId="24" fillId="0" borderId="61" xfId="0" applyFont="1" applyBorder="1" applyAlignment="1">
      <alignment horizontal="left" vertical="center"/>
    </xf>
    <xf numFmtId="38" fontId="17" fillId="0" borderId="86" xfId="3" applyFont="1" applyFill="1" applyBorder="1" applyAlignment="1">
      <alignment horizontal="center" vertical="center" wrapText="1"/>
    </xf>
    <xf numFmtId="0" fontId="24" fillId="5" borderId="59" xfId="0" applyFont="1" applyFill="1" applyBorder="1" applyAlignment="1">
      <alignment horizontal="center" wrapText="1"/>
    </xf>
    <xf numFmtId="0" fontId="24" fillId="5" borderId="110" xfId="0" applyFont="1" applyFill="1" applyBorder="1" applyAlignment="1">
      <alignment horizontal="center" wrapText="1"/>
    </xf>
    <xf numFmtId="0" fontId="24" fillId="5" borderId="10" xfId="0" applyFont="1" applyFill="1" applyBorder="1" applyAlignment="1">
      <alignment horizontal="center" wrapText="1"/>
    </xf>
    <xf numFmtId="0" fontId="6" fillId="9" borderId="2" xfId="0" applyFont="1" applyFill="1" applyBorder="1" applyAlignment="1">
      <alignment horizontal="left" vertical="center" shrinkToFit="1"/>
    </xf>
    <xf numFmtId="0" fontId="6" fillId="9" borderId="2" xfId="0" applyFont="1" applyFill="1" applyBorder="1" applyAlignment="1">
      <alignment vertical="center" shrinkToFit="1"/>
    </xf>
    <xf numFmtId="38" fontId="6" fillId="9" borderId="2" xfId="0" applyNumberFormat="1" applyFont="1" applyFill="1" applyBorder="1" applyAlignment="1">
      <alignment horizontal="center" vertical="center" shrinkToFit="1"/>
    </xf>
    <xf numFmtId="0" fontId="21" fillId="9" borderId="2" xfId="0" applyFont="1" applyFill="1" applyBorder="1" applyAlignment="1">
      <alignment vertical="center" shrinkToFit="1"/>
    </xf>
    <xf numFmtId="180" fontId="21" fillId="9" borderId="2" xfId="0" applyNumberFormat="1" applyFont="1" applyFill="1" applyBorder="1" applyAlignment="1">
      <alignment vertical="center" shrinkToFit="1"/>
    </xf>
    <xf numFmtId="180" fontId="17" fillId="9" borderId="2" xfId="0" applyNumberFormat="1" applyFont="1" applyFill="1" applyBorder="1" applyAlignment="1">
      <alignment vertical="center" shrinkToFit="1"/>
    </xf>
    <xf numFmtId="180" fontId="6" fillId="9" borderId="2" xfId="0" applyNumberFormat="1" applyFont="1" applyFill="1" applyBorder="1" applyAlignment="1">
      <alignment vertical="center" shrinkToFit="1"/>
    </xf>
    <xf numFmtId="180" fontId="6" fillId="9" borderId="9" xfId="0" applyNumberFormat="1" applyFont="1" applyFill="1" applyBorder="1" applyAlignment="1">
      <alignment vertical="center" shrinkToFit="1"/>
    </xf>
    <xf numFmtId="180" fontId="5" fillId="9" borderId="2" xfId="0" applyNumberFormat="1" applyFont="1" applyFill="1" applyBorder="1" applyAlignment="1">
      <alignment vertical="center" shrinkToFit="1"/>
    </xf>
    <xf numFmtId="180" fontId="24" fillId="9" borderId="9" xfId="0" applyNumberFormat="1" applyFont="1" applyFill="1" applyBorder="1" applyAlignment="1">
      <alignment vertical="center" shrinkToFit="1"/>
    </xf>
    <xf numFmtId="180" fontId="24" fillId="9" borderId="5" xfId="0" applyNumberFormat="1" applyFont="1" applyFill="1" applyBorder="1" applyAlignment="1">
      <alignment vertical="center" shrinkToFit="1"/>
    </xf>
    <xf numFmtId="180" fontId="24" fillId="9" borderId="6" xfId="0" applyNumberFormat="1" applyFont="1" applyFill="1" applyBorder="1" applyAlignment="1">
      <alignment vertical="center" shrinkToFit="1"/>
    </xf>
    <xf numFmtId="180" fontId="24" fillId="9" borderId="10" xfId="0" applyNumberFormat="1" applyFont="1" applyFill="1" applyBorder="1" applyAlignment="1">
      <alignment vertical="center" shrinkToFit="1"/>
    </xf>
    <xf numFmtId="180" fontId="24" fillId="9" borderId="2" xfId="0" applyNumberFormat="1" applyFont="1" applyFill="1" applyBorder="1" applyAlignment="1">
      <alignment vertical="center" shrinkToFit="1"/>
    </xf>
    <xf numFmtId="0" fontId="0" fillId="0" borderId="0" xfId="0" applyAlignment="1">
      <alignment vertical="center" shrinkToFit="1"/>
    </xf>
    <xf numFmtId="0" fontId="6" fillId="9" borderId="12" xfId="0" applyFont="1" applyFill="1" applyBorder="1" applyAlignment="1">
      <alignment horizontal="left" vertical="center" shrinkToFit="1"/>
    </xf>
    <xf numFmtId="0" fontId="6" fillId="9" borderId="12" xfId="0" applyFont="1" applyFill="1" applyBorder="1" applyAlignment="1">
      <alignment vertical="center" shrinkToFit="1"/>
    </xf>
    <xf numFmtId="0" fontId="17" fillId="9" borderId="2" xfId="0" applyFont="1" applyFill="1" applyBorder="1" applyAlignment="1">
      <alignment vertical="center" shrinkToFit="1"/>
    </xf>
    <xf numFmtId="180" fontId="17" fillId="9" borderId="9" xfId="0" applyNumberFormat="1" applyFont="1" applyFill="1" applyBorder="1" applyAlignment="1">
      <alignment vertical="center" shrinkToFit="1"/>
    </xf>
    <xf numFmtId="180" fontId="17" fillId="9" borderId="22" xfId="0" applyNumberFormat="1" applyFont="1" applyFill="1" applyBorder="1" applyAlignment="1">
      <alignment vertical="center" shrinkToFit="1"/>
    </xf>
    <xf numFmtId="180" fontId="6" fillId="9" borderId="22" xfId="0" applyNumberFormat="1" applyFont="1" applyFill="1" applyBorder="1" applyAlignment="1">
      <alignment vertical="center" shrinkToFit="1"/>
    </xf>
    <xf numFmtId="180" fontId="6" fillId="9" borderId="23" xfId="0" applyNumberFormat="1" applyFont="1" applyFill="1" applyBorder="1" applyAlignment="1">
      <alignment vertical="center" shrinkToFit="1"/>
    </xf>
    <xf numFmtId="180" fontId="17" fillId="9" borderId="2" xfId="0" applyNumberFormat="1" applyFont="1" applyFill="1" applyBorder="1" applyAlignment="1">
      <alignment horizontal="center" vertical="center" shrinkToFit="1"/>
    </xf>
    <xf numFmtId="180" fontId="17" fillId="9" borderId="6" xfId="0" applyNumberFormat="1" applyFont="1" applyFill="1" applyBorder="1" applyAlignment="1">
      <alignment horizontal="center" vertical="center" shrinkToFit="1"/>
    </xf>
    <xf numFmtId="180" fontId="17" fillId="9" borderId="10" xfId="0" applyNumberFormat="1" applyFont="1" applyFill="1" applyBorder="1" applyAlignment="1">
      <alignment horizontal="center" vertical="center" shrinkToFit="1"/>
    </xf>
    <xf numFmtId="180" fontId="17" fillId="9" borderId="9" xfId="0" applyNumberFormat="1" applyFont="1" applyFill="1" applyBorder="1" applyAlignment="1">
      <alignment horizontal="center" vertical="center" shrinkToFit="1"/>
    </xf>
    <xf numFmtId="180" fontId="17" fillId="9" borderId="5" xfId="0" applyNumberFormat="1" applyFont="1" applyFill="1" applyBorder="1" applyAlignment="1">
      <alignment horizontal="center" vertical="center" shrinkToFit="1"/>
    </xf>
    <xf numFmtId="38" fontId="17" fillId="5" borderId="2" xfId="0" applyNumberFormat="1" applyFont="1" applyFill="1" applyBorder="1" applyAlignment="1">
      <alignment horizontal="center" vertical="center" wrapText="1"/>
    </xf>
    <xf numFmtId="191" fontId="106" fillId="0" borderId="2" xfId="0" applyNumberFormat="1" applyFont="1" applyBorder="1" applyAlignment="1">
      <alignment horizontal="center" vertical="center" shrinkToFit="1"/>
    </xf>
    <xf numFmtId="38" fontId="17" fillId="9" borderId="2" xfId="0" applyNumberFormat="1" applyFont="1" applyFill="1" applyBorder="1" applyAlignment="1">
      <alignment horizontal="center" vertical="center" shrinkToFit="1"/>
    </xf>
    <xf numFmtId="194" fontId="0" fillId="0" borderId="0" xfId="0" applyNumberFormat="1">
      <alignment vertical="center"/>
    </xf>
    <xf numFmtId="38" fontId="17" fillId="0" borderId="9" xfId="0" applyNumberFormat="1" applyFont="1" applyBorder="1" applyAlignment="1">
      <alignment vertical="center" wrapText="1"/>
    </xf>
    <xf numFmtId="38" fontId="17" fillId="0" borderId="10" xfId="0" applyNumberFormat="1" applyFont="1" applyBorder="1" applyAlignment="1">
      <alignment horizontal="right" vertical="center" wrapText="1"/>
    </xf>
    <xf numFmtId="0" fontId="6" fillId="5" borderId="9" xfId="0" applyFont="1" applyFill="1" applyBorder="1" applyAlignment="1">
      <alignment horizontal="left" vertical="center"/>
    </xf>
    <xf numFmtId="0" fontId="22" fillId="5" borderId="9" xfId="0" applyFont="1" applyFill="1" applyBorder="1" applyAlignment="1">
      <alignment horizontal="center"/>
    </xf>
    <xf numFmtId="178" fontId="5" fillId="2" borderId="41" xfId="0" applyNumberFormat="1" applyFont="1" applyFill="1" applyBorder="1" applyAlignment="1">
      <alignment horizontal="left"/>
    </xf>
    <xf numFmtId="178" fontId="5" fillId="0" borderId="34" xfId="0" applyNumberFormat="1" applyFont="1" applyBorder="1" applyAlignment="1">
      <alignment horizontal="left"/>
    </xf>
    <xf numFmtId="180" fontId="6" fillId="2" borderId="153" xfId="0" applyNumberFormat="1" applyFont="1" applyFill="1" applyBorder="1" applyAlignment="1">
      <alignment vertical="center" wrapText="1"/>
    </xf>
    <xf numFmtId="9" fontId="6" fillId="0" borderId="60" xfId="1" applyFont="1" applyBorder="1" applyAlignment="1">
      <alignment horizontal="center" vertical="center" wrapText="1"/>
    </xf>
    <xf numFmtId="180" fontId="17" fillId="9" borderId="60" xfId="0" applyNumberFormat="1" applyFont="1" applyFill="1" applyBorder="1" applyAlignment="1">
      <alignment horizontal="center" vertical="center" wrapText="1"/>
    </xf>
    <xf numFmtId="180" fontId="8" fillId="17" borderId="60" xfId="0" applyNumberFormat="1" applyFont="1" applyFill="1" applyBorder="1" applyAlignment="1">
      <alignment horizontal="center" vertical="center" wrapText="1"/>
    </xf>
    <xf numFmtId="180" fontId="5" fillId="9" borderId="60" xfId="0" applyNumberFormat="1" applyFont="1" applyFill="1" applyBorder="1" applyAlignment="1">
      <alignment vertical="center" wrapText="1"/>
    </xf>
    <xf numFmtId="180" fontId="5" fillId="0" borderId="60" xfId="0" applyNumberFormat="1" applyFont="1" applyBorder="1" applyAlignment="1">
      <alignment vertical="center" wrapText="1"/>
    </xf>
    <xf numFmtId="178" fontId="17" fillId="2" borderId="60" xfId="0" applyNumberFormat="1" applyFont="1" applyFill="1" applyBorder="1" applyAlignment="1">
      <alignment horizontal="center" vertical="center" wrapText="1"/>
    </xf>
    <xf numFmtId="180" fontId="17" fillId="17" borderId="60" xfId="0" applyNumberFormat="1" applyFont="1" applyFill="1" applyBorder="1" applyAlignment="1">
      <alignment horizontal="center" vertical="center" wrapText="1"/>
    </xf>
    <xf numFmtId="9" fontId="0" fillId="12" borderId="60" xfId="1" applyFont="1" applyFill="1" applyBorder="1" applyAlignment="1">
      <alignment horizontal="center" vertical="center"/>
    </xf>
    <xf numFmtId="38" fontId="6" fillId="9" borderId="60" xfId="0" applyNumberFormat="1" applyFont="1" applyFill="1" applyBorder="1" applyAlignment="1">
      <alignment horizontal="center" vertical="center" wrapText="1"/>
    </xf>
    <xf numFmtId="180" fontId="24" fillId="9" borderId="50" xfId="0" applyNumberFormat="1" applyFont="1" applyFill="1" applyBorder="1" applyAlignment="1">
      <alignment vertical="center" wrapText="1"/>
    </xf>
    <xf numFmtId="180" fontId="6" fillId="9" borderId="50" xfId="0" applyNumberFormat="1" applyFont="1" applyFill="1" applyBorder="1" applyAlignment="1">
      <alignment horizontal="center" vertical="center" wrapText="1"/>
    </xf>
    <xf numFmtId="180" fontId="6" fillId="2" borderId="56" xfId="0" applyNumberFormat="1" applyFont="1" applyFill="1" applyBorder="1" applyAlignment="1">
      <alignment vertical="center" wrapText="1"/>
    </xf>
    <xf numFmtId="38" fontId="3" fillId="9" borderId="97" xfId="0" applyNumberFormat="1" applyFont="1" applyFill="1" applyBorder="1" applyAlignment="1">
      <alignment horizontal="center" vertical="center"/>
    </xf>
    <xf numFmtId="180" fontId="3" fillId="9" borderId="154" xfId="0" applyNumberFormat="1" applyFont="1" applyFill="1" applyBorder="1">
      <alignment vertical="center"/>
    </xf>
    <xf numFmtId="178" fontId="5" fillId="2" borderId="155" xfId="0" applyNumberFormat="1" applyFont="1" applyFill="1" applyBorder="1" applyAlignment="1">
      <alignment horizontal="left"/>
    </xf>
    <xf numFmtId="180" fontId="17" fillId="0" borderId="156" xfId="0" applyNumberFormat="1" applyFont="1" applyBorder="1" applyAlignment="1">
      <alignment horizontal="center" vertical="center" wrapText="1"/>
    </xf>
    <xf numFmtId="9" fontId="6" fillId="0" borderId="156" xfId="1" applyFont="1" applyBorder="1" applyAlignment="1">
      <alignment horizontal="center" vertical="center" wrapText="1"/>
    </xf>
    <xf numFmtId="180" fontId="17" fillId="9" borderId="156" xfId="0" applyNumberFormat="1" applyFont="1" applyFill="1" applyBorder="1" applyAlignment="1">
      <alignment horizontal="center" vertical="center" wrapText="1"/>
    </xf>
    <xf numFmtId="180" fontId="8" fillId="17" borderId="156" xfId="0" applyNumberFormat="1" applyFont="1" applyFill="1" applyBorder="1" applyAlignment="1">
      <alignment horizontal="center" vertical="center" wrapText="1"/>
    </xf>
    <xf numFmtId="180" fontId="5" fillId="9" borderId="156" xfId="0" applyNumberFormat="1" applyFont="1" applyFill="1" applyBorder="1" applyAlignment="1">
      <alignment vertical="center" wrapText="1"/>
    </xf>
    <xf numFmtId="180" fontId="5" fillId="0" borderId="156" xfId="0" applyNumberFormat="1" applyFont="1" applyBorder="1" applyAlignment="1">
      <alignment vertical="center" wrapText="1"/>
    </xf>
    <xf numFmtId="178" fontId="17" fillId="2" borderId="156" xfId="0" applyNumberFormat="1" applyFont="1" applyFill="1" applyBorder="1" applyAlignment="1">
      <alignment horizontal="center" vertical="center" wrapText="1"/>
    </xf>
    <xf numFmtId="180" fontId="17" fillId="17" borderId="156" xfId="0" applyNumberFormat="1" applyFont="1" applyFill="1" applyBorder="1" applyAlignment="1">
      <alignment horizontal="center" vertical="center" wrapText="1"/>
    </xf>
    <xf numFmtId="9" fontId="0" fillId="12" borderId="156" xfId="1" applyFont="1" applyFill="1" applyBorder="1" applyAlignment="1">
      <alignment horizontal="center" vertical="center"/>
    </xf>
    <xf numFmtId="38" fontId="6" fillId="9" borderId="156" xfId="0" applyNumberFormat="1" applyFont="1" applyFill="1" applyBorder="1" applyAlignment="1">
      <alignment horizontal="center" vertical="center" wrapText="1"/>
    </xf>
    <xf numFmtId="180" fontId="24" fillId="9" borderId="157" xfId="0" applyNumberFormat="1" applyFont="1" applyFill="1" applyBorder="1" applyAlignment="1">
      <alignment vertical="center" wrapText="1"/>
    </xf>
    <xf numFmtId="180" fontId="6" fillId="9" borderId="157" xfId="0" applyNumberFormat="1" applyFont="1" applyFill="1" applyBorder="1" applyAlignment="1">
      <alignment horizontal="center" vertical="center" wrapText="1"/>
    </xf>
    <xf numFmtId="180" fontId="6" fillId="2" borderId="158" xfId="0" applyNumberFormat="1" applyFont="1" applyFill="1" applyBorder="1" applyAlignment="1">
      <alignment vertical="center" wrapText="1"/>
    </xf>
    <xf numFmtId="38" fontId="3" fillId="9" borderId="159" xfId="0" applyNumberFormat="1" applyFont="1" applyFill="1" applyBorder="1" applyAlignment="1">
      <alignment horizontal="center" vertical="center"/>
    </xf>
    <xf numFmtId="0" fontId="6" fillId="2" borderId="5" xfId="0" applyFont="1" applyFill="1" applyBorder="1" applyAlignment="1">
      <alignment horizontal="center" vertical="center" shrinkToFit="1"/>
    </xf>
    <xf numFmtId="0" fontId="6" fillId="2" borderId="59" xfId="0" applyFont="1" applyFill="1" applyBorder="1" applyAlignment="1">
      <alignment horizontal="center" vertical="center" wrapText="1"/>
    </xf>
    <xf numFmtId="0" fontId="0" fillId="0" borderId="0" xfId="0" applyAlignment="1">
      <alignment horizontal="center" vertical="center" shrinkToFit="1"/>
    </xf>
    <xf numFmtId="0" fontId="6" fillId="2" borderId="3" xfId="0" applyFont="1" applyFill="1" applyBorder="1" applyAlignment="1">
      <alignment horizontal="center" vertical="center"/>
    </xf>
    <xf numFmtId="178" fontId="5" fillId="0" borderId="160" xfId="0" applyNumberFormat="1" applyFont="1" applyBorder="1" applyAlignment="1">
      <alignment horizontal="left"/>
    </xf>
    <xf numFmtId="180" fontId="17" fillId="0" borderId="150" xfId="0" applyNumberFormat="1" applyFont="1" applyBorder="1" applyAlignment="1">
      <alignment horizontal="center" vertical="center" wrapText="1"/>
    </xf>
    <xf numFmtId="178" fontId="5" fillId="0" borderId="150" xfId="0" applyNumberFormat="1" applyFont="1" applyBorder="1" applyAlignment="1">
      <alignment horizontal="left"/>
    </xf>
    <xf numFmtId="0" fontId="91" fillId="0" borderId="9" xfId="0" applyFont="1" applyBorder="1">
      <alignment vertical="center"/>
    </xf>
    <xf numFmtId="38" fontId="6" fillId="2" borderId="4" xfId="3" applyFont="1" applyFill="1" applyBorder="1" applyAlignment="1">
      <alignment horizontal="right" vertical="center"/>
    </xf>
    <xf numFmtId="38" fontId="6" fillId="0" borderId="2" xfId="3" applyFont="1" applyBorder="1" applyAlignment="1">
      <alignment horizontal="right" vertical="center"/>
    </xf>
    <xf numFmtId="38" fontId="6" fillId="0" borderId="2" xfId="3" applyFont="1" applyBorder="1" applyAlignment="1">
      <alignment horizontal="right" vertical="center" wrapText="1"/>
    </xf>
    <xf numFmtId="38" fontId="6" fillId="14" borderId="2" xfId="3" applyFont="1" applyFill="1" applyBorder="1" applyAlignment="1">
      <alignment horizontal="right" vertical="center"/>
    </xf>
    <xf numFmtId="38" fontId="5" fillId="0" borderId="2" xfId="3" applyFont="1" applyBorder="1" applyAlignment="1">
      <alignment horizontal="right" vertical="center"/>
    </xf>
    <xf numFmtId="38" fontId="26" fillId="0" borderId="2" xfId="3" applyFont="1" applyBorder="1" applyAlignment="1">
      <alignment horizontal="right" vertical="center"/>
    </xf>
    <xf numFmtId="38" fontId="6" fillId="9" borderId="2" xfId="3" applyFont="1" applyFill="1" applyBorder="1" applyAlignment="1">
      <alignment horizontal="right" vertical="center"/>
    </xf>
    <xf numFmtId="38" fontId="6" fillId="9" borderId="12" xfId="3" applyFont="1" applyFill="1" applyBorder="1" applyAlignment="1">
      <alignment horizontal="right" vertical="center" shrinkToFit="1"/>
    </xf>
    <xf numFmtId="38" fontId="5" fillId="0" borderId="2" xfId="3" applyFont="1" applyBorder="1" applyAlignment="1">
      <alignment horizontal="right" vertical="center" wrapText="1"/>
    </xf>
    <xf numFmtId="38" fontId="3" fillId="0" borderId="2" xfId="3" applyFont="1" applyBorder="1" applyAlignment="1">
      <alignment horizontal="right" vertical="center"/>
    </xf>
    <xf numFmtId="38" fontId="6" fillId="9" borderId="2" xfId="3" applyFont="1" applyFill="1" applyBorder="1" applyAlignment="1">
      <alignment horizontal="right" vertical="center" shrinkToFit="1"/>
    </xf>
    <xf numFmtId="38" fontId="6" fillId="9" borderId="19" xfId="3" applyFont="1" applyFill="1" applyBorder="1" applyAlignment="1">
      <alignment horizontal="right" vertical="center"/>
    </xf>
    <xf numFmtId="38" fontId="17" fillId="0" borderId="12" xfId="3" applyFont="1" applyBorder="1" applyAlignment="1">
      <alignment horizontal="right" vertical="center"/>
    </xf>
    <xf numFmtId="38" fontId="6" fillId="0" borderId="14" xfId="3" applyFont="1" applyBorder="1" applyAlignment="1">
      <alignment horizontal="right" vertical="center"/>
    </xf>
    <xf numFmtId="38" fontId="6" fillId="5" borderId="14" xfId="3" applyFont="1" applyFill="1" applyBorder="1" applyAlignment="1">
      <alignment horizontal="right" vertical="center"/>
    </xf>
    <xf numFmtId="38" fontId="17" fillId="0" borderId="2" xfId="3" applyFont="1" applyBorder="1" applyAlignment="1">
      <alignment horizontal="right" vertical="center"/>
    </xf>
    <xf numFmtId="38" fontId="6" fillId="0" borderId="12" xfId="3" applyFont="1" applyBorder="1" applyAlignment="1">
      <alignment horizontal="right" vertical="center"/>
    </xf>
    <xf numFmtId="38" fontId="6" fillId="0" borderId="59" xfId="3" applyFont="1" applyBorder="1" applyAlignment="1">
      <alignment horizontal="right" vertical="center"/>
    </xf>
    <xf numFmtId="38" fontId="17" fillId="0" borderId="59" xfId="3" applyFont="1" applyBorder="1" applyAlignment="1">
      <alignment horizontal="right" vertical="center"/>
    </xf>
    <xf numFmtId="38" fontId="26" fillId="17" borderId="2" xfId="3" applyFont="1" applyFill="1" applyBorder="1" applyAlignment="1">
      <alignment horizontal="right" vertical="center"/>
    </xf>
    <xf numFmtId="38" fontId="6" fillId="9" borderId="2" xfId="3" applyFont="1" applyFill="1" applyBorder="1" applyAlignment="1">
      <alignment horizontal="right" vertical="center" wrapText="1"/>
    </xf>
    <xf numFmtId="38" fontId="6" fillId="9" borderId="46" xfId="3" applyFont="1" applyFill="1" applyBorder="1" applyAlignment="1">
      <alignment horizontal="right" vertical="center" wrapText="1"/>
    </xf>
    <xf numFmtId="38" fontId="6" fillId="0" borderId="12" xfId="3" applyFont="1" applyBorder="1" applyAlignment="1">
      <alignment horizontal="right" vertical="center" wrapText="1"/>
    </xf>
    <xf numFmtId="38" fontId="19" fillId="0" borderId="12" xfId="3" applyFont="1" applyBorder="1" applyAlignment="1">
      <alignment horizontal="right" vertical="center"/>
    </xf>
    <xf numFmtId="38" fontId="3" fillId="9" borderId="2" xfId="3" applyFont="1" applyFill="1" applyBorder="1" applyAlignment="1">
      <alignment horizontal="right" vertical="center"/>
    </xf>
    <xf numFmtId="38" fontId="3" fillId="9" borderId="42" xfId="3" applyFont="1" applyFill="1" applyBorder="1" applyAlignment="1">
      <alignment horizontal="right" vertical="center"/>
    </xf>
    <xf numFmtId="38" fontId="3" fillId="0" borderId="0" xfId="3" applyFont="1" applyAlignment="1">
      <alignment horizontal="right" vertical="center"/>
    </xf>
    <xf numFmtId="38" fontId="17" fillId="0" borderId="2" xfId="3" applyFont="1" applyBorder="1" applyAlignment="1">
      <alignment horizontal="right" vertical="center" wrapText="1"/>
    </xf>
    <xf numFmtId="38" fontId="6" fillId="2" borderId="2" xfId="3" applyFont="1" applyFill="1" applyBorder="1" applyAlignment="1">
      <alignment horizontal="right" vertical="center"/>
    </xf>
    <xf numFmtId="0" fontId="17" fillId="5" borderId="2" xfId="0" applyFont="1" applyFill="1" applyBorder="1" applyAlignment="1">
      <alignment horizontal="center" vertical="center" wrapText="1"/>
    </xf>
    <xf numFmtId="0" fontId="31" fillId="14" borderId="59" xfId="0" applyFont="1" applyFill="1" applyBorder="1" applyAlignment="1">
      <alignment horizontal="center" vertical="center"/>
    </xf>
    <xf numFmtId="0" fontId="31" fillId="14" borderId="34" xfId="0" applyFont="1" applyFill="1" applyBorder="1" applyAlignment="1">
      <alignment horizontal="center" vertical="center"/>
    </xf>
    <xf numFmtId="0" fontId="31" fillId="14" borderId="14" xfId="0" applyFont="1" applyFill="1" applyBorder="1" applyAlignment="1">
      <alignment horizontal="center" vertical="center"/>
    </xf>
    <xf numFmtId="0" fontId="31" fillId="18" borderId="59" xfId="0" applyFont="1" applyFill="1" applyBorder="1" applyAlignment="1">
      <alignment horizontal="center" vertical="center"/>
    </xf>
    <xf numFmtId="0" fontId="31" fillId="18" borderId="34" xfId="0" applyFont="1" applyFill="1" applyBorder="1" applyAlignment="1">
      <alignment horizontal="center" vertical="center"/>
    </xf>
    <xf numFmtId="0" fontId="31" fillId="18" borderId="14" xfId="0" applyFont="1" applyFill="1" applyBorder="1" applyAlignment="1">
      <alignment horizontal="center" vertical="center"/>
    </xf>
    <xf numFmtId="0" fontId="31" fillId="17" borderId="59" xfId="0" applyFont="1" applyFill="1" applyBorder="1" applyAlignment="1">
      <alignment horizontal="center" vertical="center"/>
    </xf>
    <xf numFmtId="0" fontId="31" fillId="17" borderId="34" xfId="0" applyFont="1" applyFill="1" applyBorder="1" applyAlignment="1">
      <alignment horizontal="center" vertical="center"/>
    </xf>
    <xf numFmtId="0" fontId="31" fillId="17" borderId="11" xfId="0" applyFont="1" applyFill="1" applyBorder="1" applyAlignment="1">
      <alignment horizontal="center" vertical="center"/>
    </xf>
    <xf numFmtId="0" fontId="31" fillId="17" borderId="14" xfId="0" applyFont="1" applyFill="1" applyBorder="1" applyAlignment="1">
      <alignment horizontal="center" vertical="center"/>
    </xf>
    <xf numFmtId="0" fontId="31" fillId="9" borderId="59" xfId="0" applyFont="1" applyFill="1" applyBorder="1" applyAlignment="1">
      <alignment horizontal="center" vertical="center"/>
    </xf>
    <xf numFmtId="0" fontId="31" fillId="9" borderId="34" xfId="0" applyFont="1" applyFill="1" applyBorder="1" applyAlignment="1">
      <alignment horizontal="center" vertical="center"/>
    </xf>
    <xf numFmtId="0" fontId="31" fillId="9" borderId="14" xfId="0" applyFont="1" applyFill="1" applyBorder="1" applyAlignment="1">
      <alignment horizontal="center" vertical="center"/>
    </xf>
  </cellXfs>
  <cellStyles count="5">
    <cellStyle name="パーセント" xfId="1" builtinId="5"/>
    <cellStyle name="ハイパーリンク" xfId="4" builtinId="8"/>
    <cellStyle name="桁区切り" xfId="3" builtinId="6"/>
    <cellStyle name="標準" xfId="0" builtinId="0"/>
    <cellStyle name="標準 2" xfId="2" xr:uid="{ADFD4684-6B35-407C-A832-23DFC8B92973}"/>
  </cellStyles>
  <dxfs count="144">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strike val="0"/>
        <u/>
        <color rgb="FFFF0000"/>
      </font>
      <border>
        <left style="thin">
          <color rgb="FFFF0000"/>
        </left>
        <right style="thin">
          <color rgb="FFFF0000"/>
        </right>
        <top style="thin">
          <color rgb="FFFF0000"/>
        </top>
        <bottom style="thin">
          <color rgb="FFFF0000"/>
        </bottom>
        <vertical/>
        <horizontal/>
      </border>
    </dxf>
    <dxf>
      <font>
        <b/>
        <i val="0"/>
        <color rgb="FFFF0000"/>
      </font>
    </dxf>
    <dxf>
      <font>
        <b/>
        <i val="0"/>
        <color rgb="FFFF0000"/>
      </font>
    </dxf>
    <dxf>
      <font>
        <b/>
        <i val="0"/>
        <color rgb="FFFF0000"/>
      </font>
    </dxf>
    <dxf>
      <font>
        <color rgb="FF9C5700"/>
      </font>
      <fill>
        <patternFill>
          <bgColor rgb="FFFFEB9C"/>
        </patternFill>
      </fill>
    </dxf>
    <dxf>
      <font>
        <b/>
        <i val="0"/>
        <color rgb="FFFF0000"/>
      </font>
    </dxf>
    <dxf>
      <font>
        <b/>
        <i val="0"/>
        <color rgb="FFFF0000"/>
      </font>
    </dxf>
    <dxf>
      <font>
        <color rgb="FF9C5700"/>
      </font>
      <fill>
        <patternFill>
          <bgColor rgb="FFFFEB9C"/>
        </patternFill>
      </fill>
    </dxf>
    <dxf>
      <font>
        <b/>
        <i val="0"/>
        <color rgb="FFFF0000"/>
      </font>
    </dxf>
    <dxf>
      <font>
        <color rgb="FF9C5700"/>
      </font>
      <fill>
        <patternFill>
          <bgColor rgb="FFFFEB9C"/>
        </patternFill>
      </fill>
    </dxf>
    <dxf>
      <font>
        <color rgb="FF9C5700"/>
      </font>
      <fill>
        <patternFill>
          <bgColor rgb="FFFFEB9C"/>
        </patternFill>
      </fill>
    </dxf>
    <dxf>
      <fill>
        <patternFill>
          <fgColor auto="1"/>
          <bgColor rgb="FFFF9999"/>
        </patternFill>
      </fill>
    </dxf>
    <dxf>
      <font>
        <b/>
        <i val="0"/>
        <strike val="0"/>
        <color rgb="FFFF0000"/>
      </font>
    </dxf>
    <dxf>
      <font>
        <b/>
        <i val="0"/>
        <color rgb="FFFF0000"/>
      </font>
    </dxf>
    <dxf>
      <font>
        <b/>
        <i val="0"/>
        <strike val="0"/>
        <color rgb="FFFF0000"/>
      </font>
    </dxf>
    <dxf>
      <font>
        <b/>
        <i val="0"/>
        <strike val="0"/>
        <color rgb="FFFF0000"/>
      </font>
    </dxf>
    <dxf>
      <font>
        <b/>
        <i val="0"/>
        <color rgb="FFFF0000"/>
      </font>
    </dxf>
    <dxf>
      <font>
        <b/>
        <i val="0"/>
        <color rgb="FFFF0000"/>
      </font>
    </dxf>
    <dxf>
      <font>
        <b/>
        <i val="0"/>
        <color rgb="FFFF0000"/>
      </font>
    </dxf>
    <dxf>
      <font>
        <b/>
        <i val="0"/>
        <color rgb="FFFF0000"/>
      </font>
    </dxf>
    <dxf>
      <fill>
        <patternFill>
          <bgColor rgb="FFFF0000"/>
        </patternFill>
      </fill>
    </dxf>
    <dxf>
      <fill>
        <patternFill>
          <bgColor rgb="FFFF0000"/>
        </patternFill>
      </fill>
    </dxf>
    <dxf>
      <fill>
        <patternFill>
          <bgColor rgb="FFFF0000"/>
        </patternFill>
      </fill>
    </dxf>
    <dxf>
      <font>
        <strike val="0"/>
        <u/>
        <color rgb="FFFF0000"/>
      </font>
      <border>
        <left style="thin">
          <color rgb="FFFF0000"/>
        </left>
        <right style="thin">
          <color rgb="FFFF0000"/>
        </right>
        <top style="thin">
          <color rgb="FFFF0000"/>
        </top>
        <bottom style="thin">
          <color rgb="FFFF0000"/>
        </bottom>
        <vertical/>
        <horizontal/>
      </border>
    </dxf>
    <dxf>
      <font>
        <strike val="0"/>
        <u/>
        <color rgb="FFFF0000"/>
      </font>
      <border>
        <left style="thin">
          <color rgb="FFFF0000"/>
        </left>
        <right style="thin">
          <color rgb="FFFF0000"/>
        </right>
        <top style="thin">
          <color rgb="FFFF0000"/>
        </top>
        <bottom style="thin">
          <color rgb="FFFF0000"/>
        </bottom>
        <vertical/>
        <horizontal/>
      </border>
    </dxf>
    <dxf>
      <font>
        <b/>
        <i val="0"/>
        <color rgb="FFFF0000"/>
      </font>
    </dxf>
    <dxf>
      <font>
        <b/>
        <i val="0"/>
        <color rgb="FFFF0000"/>
      </font>
    </dxf>
    <dxf>
      <font>
        <b/>
        <i val="0"/>
        <color rgb="FFFF0000"/>
      </font>
    </dxf>
    <dxf>
      <font>
        <b/>
        <i val="0"/>
        <color rgb="FFFF0000"/>
      </font>
    </dxf>
    <dxf>
      <font>
        <color rgb="FF9C5700"/>
      </font>
      <fill>
        <patternFill>
          <bgColor rgb="FFFFEB9C"/>
        </patternFill>
      </fill>
    </dxf>
    <dxf>
      <fill>
        <patternFill>
          <fgColor auto="1"/>
          <bgColor rgb="FFFF9999"/>
        </patternFill>
      </fill>
    </dxf>
    <dxf>
      <font>
        <b/>
        <i val="0"/>
        <strike val="0"/>
        <color rgb="FFFF0000"/>
      </font>
    </dxf>
    <dxf>
      <font>
        <b/>
        <i val="0"/>
        <color rgb="FFFF0000"/>
      </font>
    </dxf>
    <dxf>
      <font>
        <b/>
        <i val="0"/>
        <color rgb="FFFF0000"/>
      </font>
    </dxf>
    <dxf>
      <font>
        <b/>
        <i val="0"/>
        <color rgb="FFFF0000"/>
      </font>
    </dxf>
    <dxf>
      <font>
        <strike val="0"/>
        <u/>
        <color rgb="FFFF0000"/>
      </font>
      <border>
        <left style="thin">
          <color rgb="FFFF0000"/>
        </left>
        <right style="thin">
          <color rgb="FFFF0000"/>
        </right>
        <top style="thin">
          <color rgb="FFFF0000"/>
        </top>
        <bottom style="thin">
          <color rgb="FFFF0000"/>
        </bottom>
        <vertical/>
        <horizontal/>
      </border>
    </dxf>
    <dxf>
      <fill>
        <patternFill>
          <bgColor theme="7" tint="0.39994506668294322"/>
        </patternFill>
      </fill>
    </dxf>
    <dxf>
      <font>
        <b/>
        <i val="0"/>
        <color rgb="FFFF0000"/>
      </font>
    </dxf>
    <dxf>
      <font>
        <b/>
        <i val="0"/>
        <color rgb="FFFF0000"/>
      </font>
    </dxf>
    <dxf>
      <font>
        <b/>
        <i val="0"/>
        <color rgb="FFFF0000"/>
      </font>
    </dxf>
    <dxf>
      <font>
        <color rgb="FF9C5700"/>
      </font>
      <fill>
        <patternFill>
          <bgColor rgb="FFFFEB9C"/>
        </patternFill>
      </fill>
    </dxf>
    <dxf>
      <fill>
        <patternFill>
          <fgColor auto="1"/>
          <bgColor rgb="FFFF9999"/>
        </patternFill>
      </fill>
    </dxf>
    <dxf>
      <fill>
        <patternFill>
          <fgColor auto="1"/>
          <bgColor rgb="FFFF9999"/>
        </patternFill>
      </fill>
    </dxf>
    <dxf>
      <font>
        <b/>
        <i val="0"/>
        <color rgb="FFFF0000"/>
      </font>
    </dxf>
    <dxf>
      <fill>
        <patternFill>
          <bgColor rgb="FFFF0000"/>
        </patternFill>
      </fill>
    </dxf>
    <dxf>
      <fill>
        <patternFill>
          <bgColor rgb="FFFF000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b/>
        <i val="0"/>
        <color rgb="FFFF0000"/>
      </font>
    </dxf>
    <dxf>
      <font>
        <b/>
        <i val="0"/>
        <color rgb="FFFF0000"/>
      </font>
    </dxf>
    <dxf>
      <font>
        <b/>
        <i val="0"/>
        <color rgb="FFFF0000"/>
      </font>
    </dxf>
    <dxf>
      <font>
        <b/>
        <i val="0"/>
        <color rgb="FFFF0000"/>
      </font>
    </dxf>
    <dxf>
      <font>
        <color rgb="FF9C5700"/>
      </font>
      <fill>
        <patternFill>
          <bgColor rgb="FFFFEB9C"/>
        </patternFill>
      </fill>
    </dxf>
    <dxf>
      <fill>
        <patternFill>
          <fgColor auto="1"/>
          <bgColor rgb="FFFF9999"/>
        </patternFill>
      </fill>
    </dxf>
    <dxf>
      <fill>
        <patternFill>
          <bgColor theme="8" tint="0.39994506668294322"/>
        </patternFill>
      </fill>
    </dxf>
    <dxf>
      <fill>
        <patternFill>
          <bgColor theme="7" tint="0.79998168889431442"/>
        </patternFill>
      </fill>
    </dxf>
    <dxf>
      <font>
        <b/>
        <i val="0"/>
        <color rgb="FFFF0000"/>
      </font>
    </dxf>
    <dxf>
      <fill>
        <patternFill>
          <bgColor theme="9"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i val="0"/>
        <color rgb="FFFF0000"/>
      </font>
    </dxf>
    <dxf>
      <font>
        <b/>
        <i val="0"/>
        <color rgb="FFFF0000"/>
      </font>
    </dxf>
    <dxf>
      <font>
        <b/>
        <i val="0"/>
        <color rgb="FFFF0000"/>
      </font>
    </dxf>
    <dxf>
      <font>
        <b/>
        <i val="0"/>
        <color rgb="FFFF0000"/>
      </font>
    </dxf>
    <dxf>
      <fill>
        <patternFill>
          <bgColor rgb="FFFF0000"/>
        </patternFill>
      </fill>
    </dxf>
    <dxf>
      <fill>
        <patternFill>
          <bgColor theme="9" tint="0.59996337778862885"/>
        </patternFill>
      </fill>
    </dxf>
    <dxf>
      <fill>
        <patternFill>
          <bgColor theme="7" tint="0.79998168889431442"/>
        </patternFill>
      </fill>
    </dxf>
    <dxf>
      <font>
        <b/>
        <i val="0"/>
        <color rgb="FFFF0000"/>
      </font>
    </dxf>
    <dxf>
      <font>
        <b/>
        <i val="0"/>
        <color rgb="FFFF0000"/>
      </font>
    </dxf>
    <dxf>
      <font>
        <b/>
        <i val="0"/>
        <color rgb="FFFF0000"/>
      </font>
    </dxf>
    <dxf>
      <font>
        <b/>
        <i val="0"/>
        <color rgb="FFFF0000"/>
      </font>
    </dxf>
    <dxf>
      <fill>
        <patternFill>
          <bgColor rgb="FFFF0000"/>
        </patternFill>
      </fill>
    </dxf>
    <dxf>
      <fill>
        <patternFill>
          <bgColor theme="9" tint="0.59996337778862885"/>
        </patternFill>
      </fill>
    </dxf>
    <dxf>
      <fill>
        <patternFill>
          <bgColor theme="7" tint="0.79998168889431442"/>
        </patternFill>
      </fill>
    </dxf>
    <dxf>
      <font>
        <b/>
        <i val="0"/>
        <color rgb="FFFF0000"/>
      </font>
    </dxf>
    <dxf>
      <font>
        <strike val="0"/>
      </font>
      <fill>
        <patternFill>
          <bgColor theme="9" tint="0.59996337778862885"/>
        </patternFill>
      </fill>
    </dxf>
    <dxf>
      <font>
        <b/>
        <i val="0"/>
        <strike val="0"/>
        <color theme="8"/>
      </font>
    </dxf>
    <dxf>
      <fill>
        <patternFill>
          <bgColor rgb="FFFF0000"/>
        </patternFill>
      </fill>
    </dxf>
    <dxf>
      <font>
        <color rgb="FF9C5700"/>
      </font>
      <fill>
        <patternFill>
          <bgColor rgb="FFFFEB9C"/>
        </patternFill>
      </fill>
    </dxf>
    <dxf>
      <font>
        <color rgb="FF9C5700"/>
      </font>
      <fill>
        <patternFill>
          <bgColor rgb="FFFFEB9C"/>
        </patternFill>
      </fill>
    </dxf>
    <dxf>
      <fill>
        <patternFill>
          <bgColor rgb="FFFF0000"/>
        </patternFill>
      </fill>
    </dxf>
    <dxf>
      <fill>
        <patternFill>
          <bgColor rgb="FFFF0000"/>
        </patternFill>
      </fill>
    </dxf>
    <dxf>
      <fill>
        <patternFill>
          <bgColor rgb="FF00B050"/>
        </patternFill>
      </fill>
    </dxf>
    <dxf>
      <font>
        <color rgb="FF9C5700"/>
      </font>
      <fill>
        <patternFill>
          <bgColor rgb="FFFFEB9C"/>
        </patternFill>
      </fill>
    </dxf>
    <dxf>
      <font>
        <b/>
        <i val="0"/>
        <color rgb="FFFF0000"/>
      </font>
    </dxf>
    <dxf>
      <numFmt numFmtId="19" formatCode="yyyy/m/d"/>
    </dxf>
    <dxf>
      <numFmt numFmtId="19" formatCode="yyyy/m/d"/>
    </dxf>
    <dxf>
      <numFmt numFmtId="193" formatCode="m/d/yyyy"/>
    </dxf>
    <dxf>
      <numFmt numFmtId="19" formatCode="yyyy/m/d"/>
    </dxf>
    <dxf>
      <fill>
        <patternFill patternType="solid">
          <fgColor indexed="64"/>
          <bgColor rgb="FFFFFF00"/>
        </patternFill>
      </fill>
    </dxf>
    <dxf>
      <numFmt numFmtId="27" formatCode="yyyy/m/d\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8E0C1066-660C-4900-84DE-4A5FAABA173E}"/>
  </tableStyles>
  <colors>
    <mruColors>
      <color rgb="FFFFFFCC"/>
      <color rgb="FFFF9999"/>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36"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powerPivotData" Target="model/item.data"/><Relationship Id="rId35" Type="http://schemas.openxmlformats.org/officeDocument/2006/relationships/customXml" Target="../customXml/item3.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ja-JP"/>
              <a:t>[GG]</a:t>
            </a:r>
            <a:r>
              <a:rPr lang="ja-JP" altLang="en-US"/>
              <a:t>各月販売台数の年販売台数における割合</a:t>
            </a:r>
            <a:endParaRPr lang="en-US" altLang="ja-JP"/>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ja-JP"/>
        </a:p>
      </c:txPr>
    </c:title>
    <c:autoTitleDeleted val="0"/>
    <c:plotArea>
      <c:layout/>
      <c:lineChart>
        <c:grouping val="standard"/>
        <c:varyColors val="0"/>
        <c:ser>
          <c:idx val="0"/>
          <c:order val="0"/>
          <c:tx>
            <c:strRef>
              <c:f>'参考資料(係数 通販+店舗　台数実績)'!$S$26</c:f>
              <c:strCache>
                <c:ptCount val="1"/>
                <c:pt idx="0">
                  <c:v>平均</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cat>
            <c:strRef>
              <c:f>'参考資料(係数 通販+店舗　台数実績)'!$T$13:$AE$13</c:f>
              <c:strCache>
                <c:ptCount val="12"/>
                <c:pt idx="0">
                  <c:v>8月</c:v>
                </c:pt>
                <c:pt idx="1">
                  <c:v>9月</c:v>
                </c:pt>
                <c:pt idx="2">
                  <c:v>10月</c:v>
                </c:pt>
                <c:pt idx="3">
                  <c:v>11月</c:v>
                </c:pt>
                <c:pt idx="4">
                  <c:v>12月</c:v>
                </c:pt>
                <c:pt idx="5">
                  <c:v>1月</c:v>
                </c:pt>
                <c:pt idx="6">
                  <c:v>2月</c:v>
                </c:pt>
                <c:pt idx="7">
                  <c:v>3月</c:v>
                </c:pt>
                <c:pt idx="8">
                  <c:v>4月</c:v>
                </c:pt>
                <c:pt idx="9">
                  <c:v>5月</c:v>
                </c:pt>
                <c:pt idx="10">
                  <c:v>6月</c:v>
                </c:pt>
                <c:pt idx="11">
                  <c:v>7月</c:v>
                </c:pt>
              </c:strCache>
            </c:strRef>
          </c:cat>
          <c:val>
            <c:numRef>
              <c:f>'参考資料(係数 通販+店舗　台数実績)'!$T$26:$AE$26</c:f>
              <c:numCache>
                <c:formatCode>0.0%</c:formatCode>
                <c:ptCount val="12"/>
                <c:pt idx="0">
                  <c:v>7.7930623544956515E-2</c:v>
                </c:pt>
                <c:pt idx="1">
                  <c:v>6.6439835729864283E-2</c:v>
                </c:pt>
                <c:pt idx="2">
                  <c:v>5.8971221821107922E-2</c:v>
                </c:pt>
                <c:pt idx="3">
                  <c:v>6.1617304429839127E-2</c:v>
                </c:pt>
                <c:pt idx="4">
                  <c:v>0.10533441820111511</c:v>
                </c:pt>
                <c:pt idx="5">
                  <c:v>8.9186271751413887E-2</c:v>
                </c:pt>
                <c:pt idx="6">
                  <c:v>7.7489590369837005E-2</c:v>
                </c:pt>
                <c:pt idx="7">
                  <c:v>0.10994168871397217</c:v>
                </c:pt>
                <c:pt idx="8">
                  <c:v>9.0830302262081913E-2</c:v>
                </c:pt>
                <c:pt idx="9">
                  <c:v>7.786307421987812E-2</c:v>
                </c:pt>
                <c:pt idx="10">
                  <c:v>8.6126408186382092E-2</c:v>
                </c:pt>
                <c:pt idx="11">
                  <c:v>9.826926076955185E-2</c:v>
                </c:pt>
              </c:numCache>
            </c:numRef>
          </c:val>
          <c:smooth val="1"/>
          <c:extLst>
            <c:ext xmlns:c16="http://schemas.microsoft.com/office/drawing/2014/chart" uri="{C3380CC4-5D6E-409C-BE32-E72D297353CC}">
              <c16:uniqueId val="{00000000-72D8-4C7B-9B69-5113604E2D30}"/>
            </c:ext>
          </c:extLst>
        </c:ser>
        <c:ser>
          <c:idx val="1"/>
          <c:order val="1"/>
          <c:tx>
            <c:strRef>
              <c:f>'参考資料(係数 通販+店舗　台数実績)'!$S$27</c:f>
              <c:strCache>
                <c:ptCount val="1"/>
                <c:pt idx="0">
                  <c:v>中央値</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cat>
            <c:strRef>
              <c:f>'参考資料(係数 通販+店舗　台数実績)'!$T$13:$AE$13</c:f>
              <c:strCache>
                <c:ptCount val="12"/>
                <c:pt idx="0">
                  <c:v>8月</c:v>
                </c:pt>
                <c:pt idx="1">
                  <c:v>9月</c:v>
                </c:pt>
                <c:pt idx="2">
                  <c:v>10月</c:v>
                </c:pt>
                <c:pt idx="3">
                  <c:v>11月</c:v>
                </c:pt>
                <c:pt idx="4">
                  <c:v>12月</c:v>
                </c:pt>
                <c:pt idx="5">
                  <c:v>1月</c:v>
                </c:pt>
                <c:pt idx="6">
                  <c:v>2月</c:v>
                </c:pt>
                <c:pt idx="7">
                  <c:v>3月</c:v>
                </c:pt>
                <c:pt idx="8">
                  <c:v>4月</c:v>
                </c:pt>
                <c:pt idx="9">
                  <c:v>5月</c:v>
                </c:pt>
                <c:pt idx="10">
                  <c:v>6月</c:v>
                </c:pt>
                <c:pt idx="11">
                  <c:v>7月</c:v>
                </c:pt>
              </c:strCache>
            </c:strRef>
          </c:cat>
          <c:val>
            <c:numRef>
              <c:f>'参考資料(係数 通販+店舗　台数実績)'!$T$28:$AE$28</c:f>
              <c:numCache>
                <c:formatCode>0.0%</c:formatCode>
                <c:ptCount val="12"/>
                <c:pt idx="0">
                  <c:v>8.3546434658825108E-2</c:v>
                </c:pt>
                <c:pt idx="1">
                  <c:v>6.735886251329995E-2</c:v>
                </c:pt>
                <c:pt idx="2">
                  <c:v>5.8564134729833746E-2</c:v>
                </c:pt>
                <c:pt idx="3">
                  <c:v>6.6556830686113941E-2</c:v>
                </c:pt>
                <c:pt idx="4">
                  <c:v>0.10464919324673715</c:v>
                </c:pt>
                <c:pt idx="5">
                  <c:v>8.7506691464705522E-2</c:v>
                </c:pt>
                <c:pt idx="6">
                  <c:v>7.8773200499049095E-2</c:v>
                </c:pt>
                <c:pt idx="7">
                  <c:v>0.1133387048888473</c:v>
                </c:pt>
                <c:pt idx="8">
                  <c:v>8.7243409602257627E-2</c:v>
                </c:pt>
                <c:pt idx="9">
                  <c:v>6.9647980667117623E-2</c:v>
                </c:pt>
                <c:pt idx="10">
                  <c:v>8.0590324886373924E-2</c:v>
                </c:pt>
                <c:pt idx="11">
                  <c:v>0.10222423215683894</c:v>
                </c:pt>
              </c:numCache>
            </c:numRef>
          </c:val>
          <c:smooth val="1"/>
          <c:extLst>
            <c:ext xmlns:c16="http://schemas.microsoft.com/office/drawing/2014/chart" uri="{C3380CC4-5D6E-409C-BE32-E72D297353CC}">
              <c16:uniqueId val="{00000001-72D8-4C7B-9B69-5113604E2D30}"/>
            </c:ext>
          </c:extLst>
        </c:ser>
        <c:dLbls>
          <c:showLegendKey val="0"/>
          <c:showVal val="0"/>
          <c:showCatName val="0"/>
          <c:showSerName val="0"/>
          <c:showPercent val="0"/>
          <c:showBubbleSize val="0"/>
        </c:dLbls>
        <c:marker val="1"/>
        <c:smooth val="0"/>
        <c:axId val="1154216736"/>
        <c:axId val="1154218176"/>
      </c:lineChart>
      <c:catAx>
        <c:axId val="11542167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154218176"/>
        <c:crosses val="autoZero"/>
        <c:auto val="1"/>
        <c:lblAlgn val="ctr"/>
        <c:lblOffset val="100"/>
        <c:noMultiLvlLbl val="0"/>
      </c:catAx>
      <c:valAx>
        <c:axId val="1154218176"/>
        <c:scaling>
          <c:orientation val="minMax"/>
          <c:min val="5.000000000000001E-2"/>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154216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sz="1400" b="0" i="0" u="none" strike="noStrike" baseline="0"/>
              <a:t>指数平滑法：</a:t>
            </a:r>
            <a:r>
              <a:rPr lang="en-US" altLang="ja-JP" sz="1400" b="0" i="0" u="none" strike="noStrike" baseline="0"/>
              <a:t>FORECAST.ETS</a:t>
            </a:r>
            <a:r>
              <a:rPr lang="ja-JP" altLang="en-US" sz="1400" b="0" i="0" u="none" strike="noStrike" baseline="0"/>
              <a:t>の検証</a:t>
            </a:r>
            <a:endParaRPr lang="ja-JP"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ltLang="en-US"/>
        </a:p>
      </c:txPr>
    </c:title>
    <c:autoTitleDeleted val="0"/>
    <c:plotArea>
      <c:layout/>
      <c:scatterChart>
        <c:scatterStyle val="smoothMarker"/>
        <c:varyColors val="0"/>
        <c:ser>
          <c:idx val="0"/>
          <c:order val="0"/>
          <c:tx>
            <c:strRef>
              <c:f>'参考資料(係数 通販+店舗　台数実績)'!$AK$6</c:f>
              <c:strCache>
                <c:ptCount val="1"/>
                <c:pt idx="0">
                  <c:v>実績</c:v>
                </c:pt>
              </c:strCache>
            </c:strRef>
          </c:tx>
          <c:spPr>
            <a:ln w="50800" cap="rnd">
              <a:solidFill>
                <a:schemeClr val="accent1"/>
              </a:solidFill>
              <a:round/>
            </a:ln>
            <a:effectLst/>
          </c:spPr>
          <c:marker>
            <c:symbol val="circle"/>
            <c:size val="5"/>
            <c:spPr>
              <a:solidFill>
                <a:schemeClr val="accent1"/>
              </a:solidFill>
              <a:ln w="9525">
                <a:solidFill>
                  <a:schemeClr val="accent1"/>
                </a:solidFill>
              </a:ln>
              <a:effectLst/>
            </c:spPr>
          </c:marker>
          <c:xVal>
            <c:numRef>
              <c:f>'参考資料(係数 通販+店舗　台数実績)'!$AJ$7:$AJ$159</c:f>
              <c:numCache>
                <c:formatCode>yyyy/m</c:formatCode>
                <c:ptCount val="138"/>
                <c:pt idx="0">
                  <c:v>42736</c:v>
                </c:pt>
                <c:pt idx="1">
                  <c:v>42767</c:v>
                </c:pt>
                <c:pt idx="2">
                  <c:v>42826</c:v>
                </c:pt>
                <c:pt idx="3">
                  <c:v>42795</c:v>
                </c:pt>
                <c:pt idx="4">
                  <c:v>42856</c:v>
                </c:pt>
                <c:pt idx="5">
                  <c:v>42887</c:v>
                </c:pt>
                <c:pt idx="6">
                  <c:v>42917</c:v>
                </c:pt>
                <c:pt idx="7">
                  <c:v>42948</c:v>
                </c:pt>
                <c:pt idx="8">
                  <c:v>42979</c:v>
                </c:pt>
                <c:pt idx="9">
                  <c:v>43009</c:v>
                </c:pt>
                <c:pt idx="10">
                  <c:v>43040</c:v>
                </c:pt>
                <c:pt idx="11">
                  <c:v>43070</c:v>
                </c:pt>
                <c:pt idx="12">
                  <c:v>43101</c:v>
                </c:pt>
                <c:pt idx="13">
                  <c:v>43132</c:v>
                </c:pt>
                <c:pt idx="14">
                  <c:v>43160</c:v>
                </c:pt>
                <c:pt idx="15">
                  <c:v>43191</c:v>
                </c:pt>
                <c:pt idx="16">
                  <c:v>43221</c:v>
                </c:pt>
                <c:pt idx="17">
                  <c:v>43221</c:v>
                </c:pt>
                <c:pt idx="18">
                  <c:v>43252</c:v>
                </c:pt>
                <c:pt idx="19">
                  <c:v>43282</c:v>
                </c:pt>
                <c:pt idx="20">
                  <c:v>43313</c:v>
                </c:pt>
                <c:pt idx="21">
                  <c:v>43344</c:v>
                </c:pt>
                <c:pt idx="22">
                  <c:v>43374</c:v>
                </c:pt>
                <c:pt idx="23">
                  <c:v>43862</c:v>
                </c:pt>
                <c:pt idx="24">
                  <c:v>43891</c:v>
                </c:pt>
                <c:pt idx="25">
                  <c:v>43922</c:v>
                </c:pt>
                <c:pt idx="26">
                  <c:v>43952</c:v>
                </c:pt>
                <c:pt idx="27">
                  <c:v>43983</c:v>
                </c:pt>
                <c:pt idx="28">
                  <c:v>44013</c:v>
                </c:pt>
                <c:pt idx="29">
                  <c:v>44044</c:v>
                </c:pt>
                <c:pt idx="30">
                  <c:v>44075</c:v>
                </c:pt>
                <c:pt idx="31">
                  <c:v>44105</c:v>
                </c:pt>
                <c:pt idx="32">
                  <c:v>44136</c:v>
                </c:pt>
                <c:pt idx="33">
                  <c:v>44166</c:v>
                </c:pt>
                <c:pt idx="34">
                  <c:v>44197</c:v>
                </c:pt>
                <c:pt idx="35">
                  <c:v>44228</c:v>
                </c:pt>
                <c:pt idx="36">
                  <c:v>44256</c:v>
                </c:pt>
                <c:pt idx="37">
                  <c:v>44287</c:v>
                </c:pt>
                <c:pt idx="38">
                  <c:v>44317</c:v>
                </c:pt>
                <c:pt idx="39">
                  <c:v>44348</c:v>
                </c:pt>
                <c:pt idx="40">
                  <c:v>44378</c:v>
                </c:pt>
                <c:pt idx="41">
                  <c:v>44409</c:v>
                </c:pt>
                <c:pt idx="42">
                  <c:v>44440</c:v>
                </c:pt>
                <c:pt idx="43">
                  <c:v>44470</c:v>
                </c:pt>
                <c:pt idx="44">
                  <c:v>44501</c:v>
                </c:pt>
                <c:pt idx="45">
                  <c:v>44531</c:v>
                </c:pt>
                <c:pt idx="46">
                  <c:v>44562</c:v>
                </c:pt>
                <c:pt idx="47">
                  <c:v>44593</c:v>
                </c:pt>
                <c:pt idx="48">
                  <c:v>44621</c:v>
                </c:pt>
                <c:pt idx="49">
                  <c:v>44652</c:v>
                </c:pt>
                <c:pt idx="50">
                  <c:v>44682</c:v>
                </c:pt>
                <c:pt idx="51">
                  <c:v>44713</c:v>
                </c:pt>
                <c:pt idx="52">
                  <c:v>44743</c:v>
                </c:pt>
                <c:pt idx="53">
                  <c:v>44774</c:v>
                </c:pt>
                <c:pt idx="54">
                  <c:v>44805</c:v>
                </c:pt>
                <c:pt idx="55">
                  <c:v>44835</c:v>
                </c:pt>
                <c:pt idx="56">
                  <c:v>44866</c:v>
                </c:pt>
                <c:pt idx="57">
                  <c:v>44896</c:v>
                </c:pt>
                <c:pt idx="58">
                  <c:v>44927</c:v>
                </c:pt>
                <c:pt idx="59">
                  <c:v>44958</c:v>
                </c:pt>
                <c:pt idx="60">
                  <c:v>44986</c:v>
                </c:pt>
                <c:pt idx="61">
                  <c:v>45017</c:v>
                </c:pt>
                <c:pt idx="62">
                  <c:v>45047</c:v>
                </c:pt>
                <c:pt idx="63">
                  <c:v>45078</c:v>
                </c:pt>
                <c:pt idx="64">
                  <c:v>45108</c:v>
                </c:pt>
                <c:pt idx="65">
                  <c:v>45139</c:v>
                </c:pt>
                <c:pt idx="66">
                  <c:v>45170</c:v>
                </c:pt>
                <c:pt idx="67">
                  <c:v>45200</c:v>
                </c:pt>
                <c:pt idx="68">
                  <c:v>45231</c:v>
                </c:pt>
                <c:pt idx="69">
                  <c:v>45261</c:v>
                </c:pt>
                <c:pt idx="70">
                  <c:v>45292</c:v>
                </c:pt>
                <c:pt idx="71">
                  <c:v>45323</c:v>
                </c:pt>
                <c:pt idx="72">
                  <c:v>45352</c:v>
                </c:pt>
                <c:pt idx="73">
                  <c:v>45383</c:v>
                </c:pt>
                <c:pt idx="74">
                  <c:v>45413</c:v>
                </c:pt>
                <c:pt idx="75">
                  <c:v>45444</c:v>
                </c:pt>
                <c:pt idx="76">
                  <c:v>45474</c:v>
                </c:pt>
                <c:pt idx="77">
                  <c:v>45505</c:v>
                </c:pt>
                <c:pt idx="78">
                  <c:v>45536</c:v>
                </c:pt>
                <c:pt idx="79">
                  <c:v>45566</c:v>
                </c:pt>
                <c:pt idx="80">
                  <c:v>45597</c:v>
                </c:pt>
                <c:pt idx="81">
                  <c:v>45627</c:v>
                </c:pt>
                <c:pt idx="82">
                  <c:v>45658</c:v>
                </c:pt>
                <c:pt idx="83">
                  <c:v>45689</c:v>
                </c:pt>
                <c:pt idx="84">
                  <c:v>45717</c:v>
                </c:pt>
                <c:pt idx="85">
                  <c:v>45748</c:v>
                </c:pt>
                <c:pt idx="86">
                  <c:v>45778</c:v>
                </c:pt>
                <c:pt idx="87">
                  <c:v>45809</c:v>
                </c:pt>
                <c:pt idx="88">
                  <c:v>45839</c:v>
                </c:pt>
                <c:pt idx="89">
                  <c:v>45870</c:v>
                </c:pt>
                <c:pt idx="90">
                  <c:v>45901</c:v>
                </c:pt>
                <c:pt idx="91">
                  <c:v>45931</c:v>
                </c:pt>
                <c:pt idx="92">
                  <c:v>45962</c:v>
                </c:pt>
                <c:pt idx="93">
                  <c:v>45992</c:v>
                </c:pt>
                <c:pt idx="94">
                  <c:v>46023</c:v>
                </c:pt>
                <c:pt idx="95">
                  <c:v>46054</c:v>
                </c:pt>
                <c:pt idx="96">
                  <c:v>46082</c:v>
                </c:pt>
                <c:pt idx="97">
                  <c:v>46113</c:v>
                </c:pt>
                <c:pt idx="98">
                  <c:v>46143</c:v>
                </c:pt>
                <c:pt idx="99">
                  <c:v>46174</c:v>
                </c:pt>
                <c:pt idx="100">
                  <c:v>46204</c:v>
                </c:pt>
                <c:pt idx="101">
                  <c:v>46235</c:v>
                </c:pt>
                <c:pt idx="102">
                  <c:v>46266</c:v>
                </c:pt>
                <c:pt idx="103">
                  <c:v>46296</c:v>
                </c:pt>
                <c:pt idx="104">
                  <c:v>46327</c:v>
                </c:pt>
                <c:pt idx="105">
                  <c:v>46357</c:v>
                </c:pt>
                <c:pt idx="106">
                  <c:v>46388</c:v>
                </c:pt>
                <c:pt idx="107">
                  <c:v>46419</c:v>
                </c:pt>
                <c:pt idx="108">
                  <c:v>46447</c:v>
                </c:pt>
                <c:pt idx="109">
                  <c:v>46478</c:v>
                </c:pt>
                <c:pt idx="110">
                  <c:v>46508</c:v>
                </c:pt>
                <c:pt idx="111">
                  <c:v>46539</c:v>
                </c:pt>
                <c:pt idx="112">
                  <c:v>46569</c:v>
                </c:pt>
                <c:pt idx="113">
                  <c:v>46600</c:v>
                </c:pt>
                <c:pt idx="114">
                  <c:v>46631</c:v>
                </c:pt>
                <c:pt idx="115">
                  <c:v>46661</c:v>
                </c:pt>
                <c:pt idx="116">
                  <c:v>46692</c:v>
                </c:pt>
                <c:pt idx="117">
                  <c:v>46722</c:v>
                </c:pt>
                <c:pt idx="118">
                  <c:v>46753</c:v>
                </c:pt>
                <c:pt idx="119">
                  <c:v>46784</c:v>
                </c:pt>
                <c:pt idx="120">
                  <c:v>46813</c:v>
                </c:pt>
                <c:pt idx="121">
                  <c:v>46844</c:v>
                </c:pt>
                <c:pt idx="122">
                  <c:v>46874</c:v>
                </c:pt>
                <c:pt idx="123">
                  <c:v>46905</c:v>
                </c:pt>
                <c:pt idx="124">
                  <c:v>46935</c:v>
                </c:pt>
                <c:pt idx="125">
                  <c:v>46966</c:v>
                </c:pt>
                <c:pt idx="126">
                  <c:v>46997</c:v>
                </c:pt>
                <c:pt idx="127">
                  <c:v>47027</c:v>
                </c:pt>
                <c:pt idx="128">
                  <c:v>47058</c:v>
                </c:pt>
                <c:pt idx="129">
                  <c:v>47088</c:v>
                </c:pt>
                <c:pt idx="130">
                  <c:v>47119</c:v>
                </c:pt>
                <c:pt idx="131">
                  <c:v>47150</c:v>
                </c:pt>
                <c:pt idx="132">
                  <c:v>47178</c:v>
                </c:pt>
                <c:pt idx="133">
                  <c:v>47209</c:v>
                </c:pt>
                <c:pt idx="134">
                  <c:v>47239</c:v>
                </c:pt>
                <c:pt idx="135">
                  <c:v>47270</c:v>
                </c:pt>
                <c:pt idx="136">
                  <c:v>47300</c:v>
                </c:pt>
                <c:pt idx="137">
                  <c:v>47331</c:v>
                </c:pt>
              </c:numCache>
            </c:numRef>
          </c:xVal>
          <c:yVal>
            <c:numRef>
              <c:f>'参考資料(係数 通販+店舗　台数実績)'!$AK$7:$AK$159</c:f>
              <c:numCache>
                <c:formatCode>#,##0_ ;[Red]\-#,##0\ </c:formatCode>
                <c:ptCount val="138"/>
                <c:pt idx="0">
                  <c:v>829</c:v>
                </c:pt>
                <c:pt idx="1">
                  <c:v>765</c:v>
                </c:pt>
                <c:pt idx="2">
                  <c:v>866</c:v>
                </c:pt>
                <c:pt idx="3">
                  <c:v>883</c:v>
                </c:pt>
                <c:pt idx="4">
                  <c:v>724</c:v>
                </c:pt>
                <c:pt idx="5">
                  <c:v>642</c:v>
                </c:pt>
                <c:pt idx="6">
                  <c:v>912</c:v>
                </c:pt>
                <c:pt idx="7">
                  <c:v>787</c:v>
                </c:pt>
                <c:pt idx="8">
                  <c:v>630</c:v>
                </c:pt>
                <c:pt idx="9">
                  <c:v>564</c:v>
                </c:pt>
                <c:pt idx="10">
                  <c:v>568</c:v>
                </c:pt>
                <c:pt idx="11">
                  <c:v>844</c:v>
                </c:pt>
                <c:pt idx="12">
                  <c:v>546</c:v>
                </c:pt>
                <c:pt idx="13">
                  <c:v>387</c:v>
                </c:pt>
                <c:pt idx="14">
                  <c:v>540</c:v>
                </c:pt>
                <c:pt idx="15">
                  <c:v>355</c:v>
                </c:pt>
                <c:pt idx="16">
                  <c:v>450</c:v>
                </c:pt>
                <c:pt idx="17">
                  <c:v>450</c:v>
                </c:pt>
                <c:pt idx="18">
                  <c:v>498</c:v>
                </c:pt>
                <c:pt idx="19">
                  <c:v>605</c:v>
                </c:pt>
                <c:pt idx="20">
                  <c:v>576</c:v>
                </c:pt>
                <c:pt idx="21">
                  <c:v>512</c:v>
                </c:pt>
                <c:pt idx="22">
                  <c:v>508</c:v>
                </c:pt>
                <c:pt idx="23">
                  <c:v>2289</c:v>
                </c:pt>
                <c:pt idx="24">
                  <c:v>3288</c:v>
                </c:pt>
                <c:pt idx="25">
                  <c:v>4355</c:v>
                </c:pt>
                <c:pt idx="26">
                  <c:v>3267</c:v>
                </c:pt>
                <c:pt idx="27">
                  <c:v>4259</c:v>
                </c:pt>
                <c:pt idx="28">
                  <c:v>3772</c:v>
                </c:pt>
                <c:pt idx="29">
                  <c:v>3654</c:v>
                </c:pt>
                <c:pt idx="30">
                  <c:v>2894</c:v>
                </c:pt>
                <c:pt idx="31">
                  <c:v>2141</c:v>
                </c:pt>
                <c:pt idx="32">
                  <c:v>2874</c:v>
                </c:pt>
                <c:pt idx="33">
                  <c:v>4904</c:v>
                </c:pt>
                <c:pt idx="34">
                  <c:v>4359</c:v>
                </c:pt>
                <c:pt idx="35">
                  <c:v>4286</c:v>
                </c:pt>
                <c:pt idx="36">
                  <c:v>4970</c:v>
                </c:pt>
                <c:pt idx="37">
                  <c:v>2854</c:v>
                </c:pt>
                <c:pt idx="38">
                  <c:v>2515</c:v>
                </c:pt>
                <c:pt idx="39">
                  <c:v>3027</c:v>
                </c:pt>
                <c:pt idx="40">
                  <c:v>2843</c:v>
                </c:pt>
                <c:pt idx="41">
                  <c:v>2728</c:v>
                </c:pt>
                <c:pt idx="42">
                  <c:v>2753</c:v>
                </c:pt>
                <c:pt idx="43">
                  <c:v>2990</c:v>
                </c:pt>
                <c:pt idx="44">
                  <c:v>3128</c:v>
                </c:pt>
                <c:pt idx="45">
                  <c:v>5797</c:v>
                </c:pt>
                <c:pt idx="46">
                  <c:v>3906</c:v>
                </c:pt>
                <c:pt idx="47">
                  <c:v>3109</c:v>
                </c:pt>
                <c:pt idx="48">
                  <c:v>4658</c:v>
                </c:pt>
                <c:pt idx="49">
                  <c:v>3039</c:v>
                </c:pt>
                <c:pt idx="50">
                  <c:v>2571</c:v>
                </c:pt>
                <c:pt idx="51">
                  <c:v>2137</c:v>
                </c:pt>
                <c:pt idx="52">
                  <c:v>2232</c:v>
                </c:pt>
                <c:pt idx="53">
                  <c:v>1856</c:v>
                </c:pt>
                <c:pt idx="54">
                  <c:v>1458</c:v>
                </c:pt>
                <c:pt idx="55">
                  <c:v>1338</c:v>
                </c:pt>
                <c:pt idx="56">
                  <c:v>1124</c:v>
                </c:pt>
                <c:pt idx="57">
                  <c:v>1717</c:v>
                </c:pt>
                <c:pt idx="58">
                  <c:v>1513</c:v>
                </c:pt>
                <c:pt idx="59">
                  <c:v>1053</c:v>
                </c:pt>
                <c:pt idx="60">
                  <c:v>2946</c:v>
                </c:pt>
                <c:pt idx="61">
                  <c:v>2746</c:v>
                </c:pt>
                <c:pt idx="62">
                  <c:v>2281</c:v>
                </c:pt>
                <c:pt idx="63">
                  <c:v>2275</c:v>
                </c:pt>
                <c:pt idx="64">
                  <c:v>2939</c:v>
                </c:pt>
                <c:pt idx="65">
                  <c:v>2302</c:v>
                </c:pt>
                <c:pt idx="66">
                  <c:v>1968</c:v>
                </c:pt>
                <c:pt idx="67">
                  <c:v>1799</c:v>
                </c:pt>
                <c:pt idx="68">
                  <c:v>1894</c:v>
                </c:pt>
                <c:pt idx="69">
                  <c:v>2688</c:v>
                </c:pt>
                <c:pt idx="70">
                  <c:v>2997</c:v>
                </c:pt>
                <c:pt idx="71">
                  <c:v>2607</c:v>
                </c:pt>
                <c:pt idx="72">
                  <c:v>2922</c:v>
                </c:pt>
                <c:pt idx="73">
                  <c:v>1795</c:v>
                </c:pt>
                <c:pt idx="74">
                  <c:v>1319</c:v>
                </c:pt>
                <c:pt idx="75">
                  <c:v>1799</c:v>
                </c:pt>
                <c:pt idx="76">
                  <c:v>3044</c:v>
                </c:pt>
                <c:pt idx="77">
                  <c:v>2335</c:v>
                </c:pt>
                <c:pt idx="78">
                  <c:v>1700</c:v>
                </c:pt>
                <c:pt idx="79">
                  <c:v>1352</c:v>
                </c:pt>
                <c:pt idx="80">
                  <c:v>1111</c:v>
                </c:pt>
                <c:pt idx="81">
                  <c:v>2482</c:v>
                </c:pt>
                <c:pt idx="82">
                  <c:v>2150</c:v>
                </c:pt>
                <c:pt idx="83">
                  <c:v>2050</c:v>
                </c:pt>
                <c:pt idx="84">
                  <c:v>3129</c:v>
                </c:pt>
                <c:pt idx="85">
                  <c:v>2551</c:v>
                </c:pt>
                <c:pt idx="86">
                  <c:v>1920</c:v>
                </c:pt>
                <c:pt idx="87">
                  <c:v>2661</c:v>
                </c:pt>
                <c:pt idx="88">
                  <c:v>3657</c:v>
                </c:pt>
                <c:pt idx="89" formatCode="General">
                  <c:v>2318</c:v>
                </c:pt>
                <c:pt idx="90" formatCode="General">
                  <c:v>2270</c:v>
                </c:pt>
                <c:pt idx="91" formatCode="General">
                  <c:v>0</c:v>
                </c:pt>
                <c:pt idx="92" formatCode="General">
                  <c:v>0</c:v>
                </c:pt>
              </c:numCache>
            </c:numRef>
          </c:yVal>
          <c:smooth val="1"/>
          <c:extLst>
            <c:ext xmlns:c16="http://schemas.microsoft.com/office/drawing/2014/chart" uri="{C3380CC4-5D6E-409C-BE32-E72D297353CC}">
              <c16:uniqueId val="{00000000-78AC-489E-83F7-9CF15A213A13}"/>
            </c:ext>
          </c:extLst>
        </c:ser>
        <c:ser>
          <c:idx val="1"/>
          <c:order val="1"/>
          <c:tx>
            <c:strRef>
              <c:f>'参考資料(係数 通販+店舗　台数実績)'!$AL$6</c:f>
              <c:strCache>
                <c:ptCount val="1"/>
                <c:pt idx="0">
                  <c:v>指数平滑法予測</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'参考資料(係数 通販+店舗　台数実績)'!$AJ$7:$AJ$159</c:f>
              <c:numCache>
                <c:formatCode>yyyy/m</c:formatCode>
                <c:ptCount val="138"/>
                <c:pt idx="0">
                  <c:v>42736</c:v>
                </c:pt>
                <c:pt idx="1">
                  <c:v>42767</c:v>
                </c:pt>
                <c:pt idx="2">
                  <c:v>42826</c:v>
                </c:pt>
                <c:pt idx="3">
                  <c:v>42795</c:v>
                </c:pt>
                <c:pt idx="4">
                  <c:v>42856</c:v>
                </c:pt>
                <c:pt idx="5">
                  <c:v>42887</c:v>
                </c:pt>
                <c:pt idx="6">
                  <c:v>42917</c:v>
                </c:pt>
                <c:pt idx="7">
                  <c:v>42948</c:v>
                </c:pt>
                <c:pt idx="8">
                  <c:v>42979</c:v>
                </c:pt>
                <c:pt idx="9">
                  <c:v>43009</c:v>
                </c:pt>
                <c:pt idx="10">
                  <c:v>43040</c:v>
                </c:pt>
                <c:pt idx="11">
                  <c:v>43070</c:v>
                </c:pt>
                <c:pt idx="12">
                  <c:v>43101</c:v>
                </c:pt>
                <c:pt idx="13">
                  <c:v>43132</c:v>
                </c:pt>
                <c:pt idx="14">
                  <c:v>43160</c:v>
                </c:pt>
                <c:pt idx="15">
                  <c:v>43191</c:v>
                </c:pt>
                <c:pt idx="16">
                  <c:v>43221</c:v>
                </c:pt>
                <c:pt idx="17">
                  <c:v>43221</c:v>
                </c:pt>
                <c:pt idx="18">
                  <c:v>43252</c:v>
                </c:pt>
                <c:pt idx="19">
                  <c:v>43282</c:v>
                </c:pt>
                <c:pt idx="20">
                  <c:v>43313</c:v>
                </c:pt>
                <c:pt idx="21">
                  <c:v>43344</c:v>
                </c:pt>
                <c:pt idx="22">
                  <c:v>43374</c:v>
                </c:pt>
                <c:pt idx="23">
                  <c:v>43862</c:v>
                </c:pt>
                <c:pt idx="24">
                  <c:v>43891</c:v>
                </c:pt>
                <c:pt idx="25">
                  <c:v>43922</c:v>
                </c:pt>
                <c:pt idx="26">
                  <c:v>43952</c:v>
                </c:pt>
                <c:pt idx="27">
                  <c:v>43983</c:v>
                </c:pt>
                <c:pt idx="28">
                  <c:v>44013</c:v>
                </c:pt>
                <c:pt idx="29">
                  <c:v>44044</c:v>
                </c:pt>
                <c:pt idx="30">
                  <c:v>44075</c:v>
                </c:pt>
                <c:pt idx="31">
                  <c:v>44105</c:v>
                </c:pt>
                <c:pt idx="32">
                  <c:v>44136</c:v>
                </c:pt>
                <c:pt idx="33">
                  <c:v>44166</c:v>
                </c:pt>
                <c:pt idx="34">
                  <c:v>44197</c:v>
                </c:pt>
                <c:pt idx="35">
                  <c:v>44228</c:v>
                </c:pt>
                <c:pt idx="36">
                  <c:v>44256</c:v>
                </c:pt>
                <c:pt idx="37">
                  <c:v>44287</c:v>
                </c:pt>
                <c:pt idx="38">
                  <c:v>44317</c:v>
                </c:pt>
                <c:pt idx="39">
                  <c:v>44348</c:v>
                </c:pt>
                <c:pt idx="40">
                  <c:v>44378</c:v>
                </c:pt>
                <c:pt idx="41">
                  <c:v>44409</c:v>
                </c:pt>
                <c:pt idx="42">
                  <c:v>44440</c:v>
                </c:pt>
                <c:pt idx="43">
                  <c:v>44470</c:v>
                </c:pt>
                <c:pt idx="44">
                  <c:v>44501</c:v>
                </c:pt>
                <c:pt idx="45">
                  <c:v>44531</c:v>
                </c:pt>
                <c:pt idx="46">
                  <c:v>44562</c:v>
                </c:pt>
                <c:pt idx="47">
                  <c:v>44593</c:v>
                </c:pt>
                <c:pt idx="48">
                  <c:v>44621</c:v>
                </c:pt>
                <c:pt idx="49">
                  <c:v>44652</c:v>
                </c:pt>
                <c:pt idx="50">
                  <c:v>44682</c:v>
                </c:pt>
                <c:pt idx="51">
                  <c:v>44713</c:v>
                </c:pt>
                <c:pt idx="52">
                  <c:v>44743</c:v>
                </c:pt>
                <c:pt idx="53">
                  <c:v>44774</c:v>
                </c:pt>
                <c:pt idx="54">
                  <c:v>44805</c:v>
                </c:pt>
                <c:pt idx="55">
                  <c:v>44835</c:v>
                </c:pt>
                <c:pt idx="56">
                  <c:v>44866</c:v>
                </c:pt>
                <c:pt idx="57">
                  <c:v>44896</c:v>
                </c:pt>
                <c:pt idx="58">
                  <c:v>44927</c:v>
                </c:pt>
                <c:pt idx="59">
                  <c:v>44958</c:v>
                </c:pt>
                <c:pt idx="60">
                  <c:v>44986</c:v>
                </c:pt>
                <c:pt idx="61">
                  <c:v>45017</c:v>
                </c:pt>
                <c:pt idx="62">
                  <c:v>45047</c:v>
                </c:pt>
                <c:pt idx="63">
                  <c:v>45078</c:v>
                </c:pt>
                <c:pt idx="64">
                  <c:v>45108</c:v>
                </c:pt>
                <c:pt idx="65">
                  <c:v>45139</c:v>
                </c:pt>
                <c:pt idx="66">
                  <c:v>45170</c:v>
                </c:pt>
                <c:pt idx="67">
                  <c:v>45200</c:v>
                </c:pt>
                <c:pt idx="68">
                  <c:v>45231</c:v>
                </c:pt>
                <c:pt idx="69">
                  <c:v>45261</c:v>
                </c:pt>
                <c:pt idx="70">
                  <c:v>45292</c:v>
                </c:pt>
                <c:pt idx="71">
                  <c:v>45323</c:v>
                </c:pt>
                <c:pt idx="72">
                  <c:v>45352</c:v>
                </c:pt>
                <c:pt idx="73">
                  <c:v>45383</c:v>
                </c:pt>
                <c:pt idx="74">
                  <c:v>45413</c:v>
                </c:pt>
                <c:pt idx="75">
                  <c:v>45444</c:v>
                </c:pt>
                <c:pt idx="76">
                  <c:v>45474</c:v>
                </c:pt>
                <c:pt idx="77">
                  <c:v>45505</c:v>
                </c:pt>
                <c:pt idx="78">
                  <c:v>45536</c:v>
                </c:pt>
                <c:pt idx="79">
                  <c:v>45566</c:v>
                </c:pt>
                <c:pt idx="80">
                  <c:v>45597</c:v>
                </c:pt>
                <c:pt idx="81">
                  <c:v>45627</c:v>
                </c:pt>
                <c:pt idx="82">
                  <c:v>45658</c:v>
                </c:pt>
                <c:pt idx="83">
                  <c:v>45689</c:v>
                </c:pt>
                <c:pt idx="84">
                  <c:v>45717</c:v>
                </c:pt>
                <c:pt idx="85">
                  <c:v>45748</c:v>
                </c:pt>
                <c:pt idx="86">
                  <c:v>45778</c:v>
                </c:pt>
                <c:pt idx="87">
                  <c:v>45809</c:v>
                </c:pt>
                <c:pt idx="88">
                  <c:v>45839</c:v>
                </c:pt>
                <c:pt idx="89">
                  <c:v>45870</c:v>
                </c:pt>
                <c:pt idx="90">
                  <c:v>45901</c:v>
                </c:pt>
                <c:pt idx="91">
                  <c:v>45931</c:v>
                </c:pt>
                <c:pt idx="92">
                  <c:v>45962</c:v>
                </c:pt>
                <c:pt idx="93">
                  <c:v>45992</c:v>
                </c:pt>
                <c:pt idx="94">
                  <c:v>46023</c:v>
                </c:pt>
                <c:pt idx="95">
                  <c:v>46054</c:v>
                </c:pt>
                <c:pt idx="96">
                  <c:v>46082</c:v>
                </c:pt>
                <c:pt idx="97">
                  <c:v>46113</c:v>
                </c:pt>
                <c:pt idx="98">
                  <c:v>46143</c:v>
                </c:pt>
                <c:pt idx="99">
                  <c:v>46174</c:v>
                </c:pt>
                <c:pt idx="100">
                  <c:v>46204</c:v>
                </c:pt>
                <c:pt idx="101">
                  <c:v>46235</c:v>
                </c:pt>
                <c:pt idx="102">
                  <c:v>46266</c:v>
                </c:pt>
                <c:pt idx="103">
                  <c:v>46296</c:v>
                </c:pt>
                <c:pt idx="104">
                  <c:v>46327</c:v>
                </c:pt>
                <c:pt idx="105">
                  <c:v>46357</c:v>
                </c:pt>
                <c:pt idx="106">
                  <c:v>46388</c:v>
                </c:pt>
                <c:pt idx="107">
                  <c:v>46419</c:v>
                </c:pt>
                <c:pt idx="108">
                  <c:v>46447</c:v>
                </c:pt>
                <c:pt idx="109">
                  <c:v>46478</c:v>
                </c:pt>
                <c:pt idx="110">
                  <c:v>46508</c:v>
                </c:pt>
                <c:pt idx="111">
                  <c:v>46539</c:v>
                </c:pt>
                <c:pt idx="112">
                  <c:v>46569</c:v>
                </c:pt>
                <c:pt idx="113">
                  <c:v>46600</c:v>
                </c:pt>
                <c:pt idx="114">
                  <c:v>46631</c:v>
                </c:pt>
                <c:pt idx="115">
                  <c:v>46661</c:v>
                </c:pt>
                <c:pt idx="116">
                  <c:v>46692</c:v>
                </c:pt>
                <c:pt idx="117">
                  <c:v>46722</c:v>
                </c:pt>
                <c:pt idx="118">
                  <c:v>46753</c:v>
                </c:pt>
                <c:pt idx="119">
                  <c:v>46784</c:v>
                </c:pt>
                <c:pt idx="120">
                  <c:v>46813</c:v>
                </c:pt>
                <c:pt idx="121">
                  <c:v>46844</c:v>
                </c:pt>
                <c:pt idx="122">
                  <c:v>46874</c:v>
                </c:pt>
                <c:pt idx="123">
                  <c:v>46905</c:v>
                </c:pt>
                <c:pt idx="124">
                  <c:v>46935</c:v>
                </c:pt>
                <c:pt idx="125">
                  <c:v>46966</c:v>
                </c:pt>
                <c:pt idx="126">
                  <c:v>46997</c:v>
                </c:pt>
                <c:pt idx="127">
                  <c:v>47027</c:v>
                </c:pt>
                <c:pt idx="128">
                  <c:v>47058</c:v>
                </c:pt>
                <c:pt idx="129">
                  <c:v>47088</c:v>
                </c:pt>
                <c:pt idx="130">
                  <c:v>47119</c:v>
                </c:pt>
                <c:pt idx="131">
                  <c:v>47150</c:v>
                </c:pt>
                <c:pt idx="132">
                  <c:v>47178</c:v>
                </c:pt>
                <c:pt idx="133">
                  <c:v>47209</c:v>
                </c:pt>
                <c:pt idx="134">
                  <c:v>47239</c:v>
                </c:pt>
                <c:pt idx="135">
                  <c:v>47270</c:v>
                </c:pt>
                <c:pt idx="136">
                  <c:v>47300</c:v>
                </c:pt>
                <c:pt idx="137">
                  <c:v>47331</c:v>
                </c:pt>
              </c:numCache>
            </c:numRef>
          </c:xVal>
          <c:yVal>
            <c:numRef>
              <c:f>'参考資料(係数 通販+店舗　台数実績)'!$AL$7:$AL$159</c:f>
              <c:numCache>
                <c:formatCode>0</c:formatCode>
                <c:ptCount val="138"/>
                <c:pt idx="0">
                  <c:v>1077.0421186134154</c:v>
                </c:pt>
                <c:pt idx="1">
                  <c:v>890.0526012365516</c:v>
                </c:pt>
                <c:pt idx="2">
                  <c:v>1538.5921272943538</c:v>
                </c:pt>
                <c:pt idx="3">
                  <c:v>1279.4139338044488</c:v>
                </c:pt>
                <c:pt idx="4">
                  <c:v>1159.2990396132877</c:v>
                </c:pt>
                <c:pt idx="5">
                  <c:v>1073.8621079834888</c:v>
                </c:pt>
                <c:pt idx="6">
                  <c:v>1110.0467567589981</c:v>
                </c:pt>
                <c:pt idx="7">
                  <c:v>1114.4348943040791</c:v>
                </c:pt>
                <c:pt idx="8">
                  <c:v>1057.727521684586</c:v>
                </c:pt>
                <c:pt idx="9">
                  <c:v>838.74723490036877</c:v>
                </c:pt>
                <c:pt idx="10">
                  <c:v>910.82828673762197</c:v>
                </c:pt>
                <c:pt idx="11">
                  <c:v>1487.67879097936</c:v>
                </c:pt>
                <c:pt idx="12">
                  <c:v>1317.1951186361032</c:v>
                </c:pt>
                <c:pt idx="13">
                  <c:v>1130.2056012592393</c:v>
                </c:pt>
                <c:pt idx="14">
                  <c:v>1519.5669338271368</c:v>
                </c:pt>
                <c:pt idx="15">
                  <c:v>1778.7451273170418</c:v>
                </c:pt>
                <c:pt idx="16">
                  <c:v>1399.4520396359756</c:v>
                </c:pt>
                <c:pt idx="17">
                  <c:v>1399.4520396359756</c:v>
                </c:pt>
                <c:pt idx="18">
                  <c:v>1314.0151080061767</c:v>
                </c:pt>
                <c:pt idx="19">
                  <c:v>1350.1997567816859</c:v>
                </c:pt>
                <c:pt idx="20">
                  <c:v>1354.5878943267671</c:v>
                </c:pt>
                <c:pt idx="21">
                  <c:v>1297.8805217072741</c:v>
                </c:pt>
                <c:pt idx="22">
                  <c:v>1078.9002349230566</c:v>
                </c:pt>
                <c:pt idx="23">
                  <c:v>1610.5116013046154</c:v>
                </c:pt>
                <c:pt idx="24">
                  <c:v>1999.8729338725127</c:v>
                </c:pt>
                <c:pt idx="25">
                  <c:v>2259.0511273624174</c:v>
                </c:pt>
                <c:pt idx="26">
                  <c:v>1879.7580396813516</c:v>
                </c:pt>
                <c:pt idx="27">
                  <c:v>1794.3211080515525</c:v>
                </c:pt>
                <c:pt idx="28">
                  <c:v>1830.5057568270618</c:v>
                </c:pt>
                <c:pt idx="29">
                  <c:v>1834.893894372143</c:v>
                </c:pt>
                <c:pt idx="30">
                  <c:v>1778.1865217526499</c:v>
                </c:pt>
                <c:pt idx="31">
                  <c:v>1559.2062349684327</c:v>
                </c:pt>
                <c:pt idx="32">
                  <c:v>1631.2872868056857</c:v>
                </c:pt>
                <c:pt idx="33">
                  <c:v>2208.1377910474239</c:v>
                </c:pt>
                <c:pt idx="34">
                  <c:v>2037.6541187041671</c:v>
                </c:pt>
                <c:pt idx="35">
                  <c:v>1850.6646013273034</c:v>
                </c:pt>
                <c:pt idx="36">
                  <c:v>2240.025933895201</c:v>
                </c:pt>
                <c:pt idx="37">
                  <c:v>2499.2041273851055</c:v>
                </c:pt>
                <c:pt idx="38">
                  <c:v>2119.9110397040395</c:v>
                </c:pt>
                <c:pt idx="39">
                  <c:v>2034.4741080742406</c:v>
                </c:pt>
                <c:pt idx="40">
                  <c:v>2070.6587568497498</c:v>
                </c:pt>
                <c:pt idx="41">
                  <c:v>2075.0468943948313</c:v>
                </c:pt>
                <c:pt idx="42">
                  <c:v>2018.339521775338</c:v>
                </c:pt>
                <c:pt idx="43">
                  <c:v>1799.3592349911207</c:v>
                </c:pt>
                <c:pt idx="44">
                  <c:v>1871.4402868283739</c:v>
                </c:pt>
                <c:pt idx="45">
                  <c:v>2448.2907910701119</c:v>
                </c:pt>
                <c:pt idx="46">
                  <c:v>2277.8071187268552</c:v>
                </c:pt>
                <c:pt idx="47">
                  <c:v>2090.817601349991</c:v>
                </c:pt>
                <c:pt idx="48">
                  <c:v>2480.1789339178886</c:v>
                </c:pt>
                <c:pt idx="49">
                  <c:v>2739.3571274077935</c:v>
                </c:pt>
                <c:pt idx="50">
                  <c:v>2360.0640397267275</c:v>
                </c:pt>
                <c:pt idx="51">
                  <c:v>2274.6271080969286</c:v>
                </c:pt>
                <c:pt idx="52">
                  <c:v>2310.8117568724379</c:v>
                </c:pt>
                <c:pt idx="53">
                  <c:v>2315.1998944175189</c:v>
                </c:pt>
                <c:pt idx="54">
                  <c:v>2258.4925217980253</c:v>
                </c:pt>
                <c:pt idx="55">
                  <c:v>2039.5122350138083</c:v>
                </c:pt>
                <c:pt idx="56">
                  <c:v>2111.5932868510613</c:v>
                </c:pt>
                <c:pt idx="57">
                  <c:v>2688.4437910928</c:v>
                </c:pt>
                <c:pt idx="58">
                  <c:v>2517.9601187495432</c:v>
                </c:pt>
                <c:pt idx="59">
                  <c:v>2330.9706013726791</c:v>
                </c:pt>
                <c:pt idx="60">
                  <c:v>2720.3319339405766</c:v>
                </c:pt>
                <c:pt idx="61">
                  <c:v>2979.5101274304816</c:v>
                </c:pt>
                <c:pt idx="62">
                  <c:v>2600.2170397494156</c:v>
                </c:pt>
                <c:pt idx="63">
                  <c:v>2514.7801081196167</c:v>
                </c:pt>
                <c:pt idx="64">
                  <c:v>2550.9647568951259</c:v>
                </c:pt>
                <c:pt idx="65">
                  <c:v>2555.3528944402069</c:v>
                </c:pt>
                <c:pt idx="66">
                  <c:v>2498.6455218207134</c:v>
                </c:pt>
                <c:pt idx="67">
                  <c:v>2279.6652350364966</c:v>
                </c:pt>
                <c:pt idx="68">
                  <c:v>2351.7462868737493</c:v>
                </c:pt>
                <c:pt idx="69">
                  <c:v>2928.596791115488</c:v>
                </c:pt>
                <c:pt idx="70">
                  <c:v>2758.1131187722312</c:v>
                </c:pt>
                <c:pt idx="71">
                  <c:v>2571.1236013953671</c:v>
                </c:pt>
                <c:pt idx="72">
                  <c:v>2960.4849339632647</c:v>
                </c:pt>
                <c:pt idx="73">
                  <c:v>3219.6631274531692</c:v>
                </c:pt>
                <c:pt idx="74">
                  <c:v>2840.3700397721032</c:v>
                </c:pt>
                <c:pt idx="75">
                  <c:v>2754.9331081423043</c:v>
                </c:pt>
                <c:pt idx="76">
                  <c:v>2791.1177569178135</c:v>
                </c:pt>
                <c:pt idx="77">
                  <c:v>2795.505894462895</c:v>
                </c:pt>
                <c:pt idx="78">
                  <c:v>2738.7985218434014</c:v>
                </c:pt>
                <c:pt idx="79">
                  <c:v>2519.8182350591842</c:v>
                </c:pt>
                <c:pt idx="80">
                  <c:v>2591.8992868964374</c:v>
                </c:pt>
                <c:pt idx="81">
                  <c:v>3168.7497911381761</c:v>
                </c:pt>
                <c:pt idx="82">
                  <c:v>2998.2661187949193</c:v>
                </c:pt>
                <c:pt idx="83">
                  <c:v>2811.2766014180552</c:v>
                </c:pt>
                <c:pt idx="84">
                  <c:v>3200.6379339859523</c:v>
                </c:pt>
                <c:pt idx="85">
                  <c:v>3459.8161274758572</c:v>
                </c:pt>
                <c:pt idx="86">
                  <c:v>3080.5230397947912</c:v>
                </c:pt>
                <c:pt idx="87">
                  <c:v>2995.0861081649923</c:v>
                </c:pt>
                <c:pt idx="88">
                  <c:v>3031.2707569405015</c:v>
                </c:pt>
                <c:pt idx="89">
                  <c:v>3035.658894485583</c:v>
                </c:pt>
                <c:pt idx="90">
                  <c:v>2978.9515218660895</c:v>
                </c:pt>
                <c:pt idx="91">
                  <c:v>2759.9712350818727</c:v>
                </c:pt>
                <c:pt idx="92">
                  <c:v>2832.0522869191254</c:v>
                </c:pt>
                <c:pt idx="93">
                  <c:v>3408.9027911608637</c:v>
                </c:pt>
                <c:pt idx="94">
                  <c:v>3238.4191188176069</c:v>
                </c:pt>
                <c:pt idx="95">
                  <c:v>3051.4296014407428</c:v>
                </c:pt>
                <c:pt idx="96">
                  <c:v>3440.7909340086403</c:v>
                </c:pt>
                <c:pt idx="97">
                  <c:v>3699.9691274985453</c:v>
                </c:pt>
                <c:pt idx="98">
                  <c:v>3320.6760398174792</c:v>
                </c:pt>
                <c:pt idx="99">
                  <c:v>3235.2391081876804</c:v>
                </c:pt>
                <c:pt idx="100">
                  <c:v>3271.4237569631896</c:v>
                </c:pt>
                <c:pt idx="101">
                  <c:v>3275.8118945082711</c:v>
                </c:pt>
                <c:pt idx="102">
                  <c:v>3219.1045218887775</c:v>
                </c:pt>
                <c:pt idx="103">
                  <c:v>3000.1242351045603</c:v>
                </c:pt>
                <c:pt idx="104">
                  <c:v>3072.205286941813</c:v>
                </c:pt>
                <c:pt idx="105">
                  <c:v>3649.0557911835517</c:v>
                </c:pt>
                <c:pt idx="106">
                  <c:v>3478.5721188402949</c:v>
                </c:pt>
                <c:pt idx="107">
                  <c:v>3291.5826014634308</c:v>
                </c:pt>
                <c:pt idx="108">
                  <c:v>3680.9439340313284</c:v>
                </c:pt>
                <c:pt idx="109">
                  <c:v>3940.1221275212333</c:v>
                </c:pt>
                <c:pt idx="110">
                  <c:v>3560.8290398401673</c:v>
                </c:pt>
                <c:pt idx="111">
                  <c:v>3475.3921082103684</c:v>
                </c:pt>
                <c:pt idx="112">
                  <c:v>3511.5767569858772</c:v>
                </c:pt>
                <c:pt idx="113">
                  <c:v>3515.9648945309586</c:v>
                </c:pt>
                <c:pt idx="114">
                  <c:v>3459.2575219114651</c:v>
                </c:pt>
                <c:pt idx="115">
                  <c:v>3240.2772351272479</c:v>
                </c:pt>
                <c:pt idx="116">
                  <c:v>3312.3582869645011</c:v>
                </c:pt>
                <c:pt idx="117">
                  <c:v>3889.2087912062398</c:v>
                </c:pt>
                <c:pt idx="118">
                  <c:v>3718.725118862983</c:v>
                </c:pt>
                <c:pt idx="119">
                  <c:v>3531.7356014861189</c:v>
                </c:pt>
                <c:pt idx="120">
                  <c:v>3921.0969340540164</c:v>
                </c:pt>
                <c:pt idx="121">
                  <c:v>4180.2751275439214</c:v>
                </c:pt>
                <c:pt idx="122">
                  <c:v>3800.9820398628553</c:v>
                </c:pt>
                <c:pt idx="123">
                  <c:v>3715.5451082330565</c:v>
                </c:pt>
                <c:pt idx="124">
                  <c:v>3751.7297570085652</c:v>
                </c:pt>
                <c:pt idx="125">
                  <c:v>3756.1178945536467</c:v>
                </c:pt>
                <c:pt idx="126">
                  <c:v>3699.4105219341532</c:v>
                </c:pt>
                <c:pt idx="127">
                  <c:v>3480.4302351499364</c:v>
                </c:pt>
                <c:pt idx="128">
                  <c:v>3552.5112869871891</c:v>
                </c:pt>
                <c:pt idx="129">
                  <c:v>4129.3617912289274</c:v>
                </c:pt>
                <c:pt idx="130">
                  <c:v>3958.878118885671</c:v>
                </c:pt>
                <c:pt idx="131">
                  <c:v>3771.8886015088069</c:v>
                </c:pt>
                <c:pt idx="132">
                  <c:v>4161.2499340767044</c:v>
                </c:pt>
                <c:pt idx="133">
                  <c:v>4420.428127566609</c:v>
                </c:pt>
                <c:pt idx="134">
                  <c:v>4041.1350398855429</c:v>
                </c:pt>
                <c:pt idx="135">
                  <c:v>3955.698108255744</c:v>
                </c:pt>
                <c:pt idx="136">
                  <c:v>3991.8827570312533</c:v>
                </c:pt>
                <c:pt idx="137">
                  <c:v>3996.2708945763347</c:v>
                </c:pt>
              </c:numCache>
            </c:numRef>
          </c:yVal>
          <c:smooth val="1"/>
          <c:extLst>
            <c:ext xmlns:c16="http://schemas.microsoft.com/office/drawing/2014/chart" uri="{C3380CC4-5D6E-409C-BE32-E72D297353CC}">
              <c16:uniqueId val="{00000001-78AC-489E-83F7-9CF15A213A13}"/>
            </c:ext>
          </c:extLst>
        </c:ser>
        <c:ser>
          <c:idx val="2"/>
          <c:order val="2"/>
          <c:tx>
            <c:strRef>
              <c:f>'参考資料(係数 通販+店舗　台数実績)'!$AM$6</c:f>
              <c:strCache>
                <c:ptCount val="1"/>
                <c:pt idx="0">
                  <c:v>40期以降抜粋予測</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'参考資料(係数 通販+店舗　台数実績)'!$AJ$7:$AJ$159</c:f>
              <c:numCache>
                <c:formatCode>yyyy/m</c:formatCode>
                <c:ptCount val="138"/>
                <c:pt idx="0">
                  <c:v>42736</c:v>
                </c:pt>
                <c:pt idx="1">
                  <c:v>42767</c:v>
                </c:pt>
                <c:pt idx="2">
                  <c:v>42826</c:v>
                </c:pt>
                <c:pt idx="3">
                  <c:v>42795</c:v>
                </c:pt>
                <c:pt idx="4">
                  <c:v>42856</c:v>
                </c:pt>
                <c:pt idx="5">
                  <c:v>42887</c:v>
                </c:pt>
                <c:pt idx="6">
                  <c:v>42917</c:v>
                </c:pt>
                <c:pt idx="7">
                  <c:v>42948</c:v>
                </c:pt>
                <c:pt idx="8">
                  <c:v>42979</c:v>
                </c:pt>
                <c:pt idx="9">
                  <c:v>43009</c:v>
                </c:pt>
                <c:pt idx="10">
                  <c:v>43040</c:v>
                </c:pt>
                <c:pt idx="11">
                  <c:v>43070</c:v>
                </c:pt>
                <c:pt idx="12">
                  <c:v>43101</c:v>
                </c:pt>
                <c:pt idx="13">
                  <c:v>43132</c:v>
                </c:pt>
                <c:pt idx="14">
                  <c:v>43160</c:v>
                </c:pt>
                <c:pt idx="15">
                  <c:v>43191</c:v>
                </c:pt>
                <c:pt idx="16">
                  <c:v>43221</c:v>
                </c:pt>
                <c:pt idx="17">
                  <c:v>43221</c:v>
                </c:pt>
                <c:pt idx="18">
                  <c:v>43252</c:v>
                </c:pt>
                <c:pt idx="19">
                  <c:v>43282</c:v>
                </c:pt>
                <c:pt idx="20">
                  <c:v>43313</c:v>
                </c:pt>
                <c:pt idx="21">
                  <c:v>43344</c:v>
                </c:pt>
                <c:pt idx="22">
                  <c:v>43374</c:v>
                </c:pt>
                <c:pt idx="23">
                  <c:v>43862</c:v>
                </c:pt>
                <c:pt idx="24">
                  <c:v>43891</c:v>
                </c:pt>
                <c:pt idx="25">
                  <c:v>43922</c:v>
                </c:pt>
                <c:pt idx="26">
                  <c:v>43952</c:v>
                </c:pt>
                <c:pt idx="27">
                  <c:v>43983</c:v>
                </c:pt>
                <c:pt idx="28">
                  <c:v>44013</c:v>
                </c:pt>
                <c:pt idx="29">
                  <c:v>44044</c:v>
                </c:pt>
                <c:pt idx="30">
                  <c:v>44075</c:v>
                </c:pt>
                <c:pt idx="31">
                  <c:v>44105</c:v>
                </c:pt>
                <c:pt idx="32">
                  <c:v>44136</c:v>
                </c:pt>
                <c:pt idx="33">
                  <c:v>44166</c:v>
                </c:pt>
                <c:pt idx="34">
                  <c:v>44197</c:v>
                </c:pt>
                <c:pt idx="35">
                  <c:v>44228</c:v>
                </c:pt>
                <c:pt idx="36">
                  <c:v>44256</c:v>
                </c:pt>
                <c:pt idx="37">
                  <c:v>44287</c:v>
                </c:pt>
                <c:pt idx="38">
                  <c:v>44317</c:v>
                </c:pt>
                <c:pt idx="39">
                  <c:v>44348</c:v>
                </c:pt>
                <c:pt idx="40">
                  <c:v>44378</c:v>
                </c:pt>
                <c:pt idx="41">
                  <c:v>44409</c:v>
                </c:pt>
                <c:pt idx="42">
                  <c:v>44440</c:v>
                </c:pt>
                <c:pt idx="43">
                  <c:v>44470</c:v>
                </c:pt>
                <c:pt idx="44">
                  <c:v>44501</c:v>
                </c:pt>
                <c:pt idx="45">
                  <c:v>44531</c:v>
                </c:pt>
                <c:pt idx="46">
                  <c:v>44562</c:v>
                </c:pt>
                <c:pt idx="47">
                  <c:v>44593</c:v>
                </c:pt>
                <c:pt idx="48">
                  <c:v>44621</c:v>
                </c:pt>
                <c:pt idx="49">
                  <c:v>44652</c:v>
                </c:pt>
                <c:pt idx="50">
                  <c:v>44682</c:v>
                </c:pt>
                <c:pt idx="51">
                  <c:v>44713</c:v>
                </c:pt>
                <c:pt idx="52">
                  <c:v>44743</c:v>
                </c:pt>
                <c:pt idx="53">
                  <c:v>44774</c:v>
                </c:pt>
                <c:pt idx="54">
                  <c:v>44805</c:v>
                </c:pt>
                <c:pt idx="55">
                  <c:v>44835</c:v>
                </c:pt>
                <c:pt idx="56">
                  <c:v>44866</c:v>
                </c:pt>
                <c:pt idx="57">
                  <c:v>44896</c:v>
                </c:pt>
                <c:pt idx="58">
                  <c:v>44927</c:v>
                </c:pt>
                <c:pt idx="59">
                  <c:v>44958</c:v>
                </c:pt>
                <c:pt idx="60">
                  <c:v>44986</c:v>
                </c:pt>
                <c:pt idx="61">
                  <c:v>45017</c:v>
                </c:pt>
                <c:pt idx="62">
                  <c:v>45047</c:v>
                </c:pt>
                <c:pt idx="63">
                  <c:v>45078</c:v>
                </c:pt>
                <c:pt idx="64">
                  <c:v>45108</c:v>
                </c:pt>
                <c:pt idx="65">
                  <c:v>45139</c:v>
                </c:pt>
                <c:pt idx="66">
                  <c:v>45170</c:v>
                </c:pt>
                <c:pt idx="67">
                  <c:v>45200</c:v>
                </c:pt>
                <c:pt idx="68">
                  <c:v>45231</c:v>
                </c:pt>
                <c:pt idx="69">
                  <c:v>45261</c:v>
                </c:pt>
                <c:pt idx="70">
                  <c:v>45292</c:v>
                </c:pt>
                <c:pt idx="71">
                  <c:v>45323</c:v>
                </c:pt>
                <c:pt idx="72">
                  <c:v>45352</c:v>
                </c:pt>
                <c:pt idx="73">
                  <c:v>45383</c:v>
                </c:pt>
                <c:pt idx="74">
                  <c:v>45413</c:v>
                </c:pt>
                <c:pt idx="75">
                  <c:v>45444</c:v>
                </c:pt>
                <c:pt idx="76">
                  <c:v>45474</c:v>
                </c:pt>
                <c:pt idx="77">
                  <c:v>45505</c:v>
                </c:pt>
                <c:pt idx="78">
                  <c:v>45536</c:v>
                </c:pt>
                <c:pt idx="79">
                  <c:v>45566</c:v>
                </c:pt>
                <c:pt idx="80">
                  <c:v>45597</c:v>
                </c:pt>
                <c:pt idx="81">
                  <c:v>45627</c:v>
                </c:pt>
                <c:pt idx="82">
                  <c:v>45658</c:v>
                </c:pt>
                <c:pt idx="83">
                  <c:v>45689</c:v>
                </c:pt>
                <c:pt idx="84">
                  <c:v>45717</c:v>
                </c:pt>
                <c:pt idx="85">
                  <c:v>45748</c:v>
                </c:pt>
                <c:pt idx="86">
                  <c:v>45778</c:v>
                </c:pt>
                <c:pt idx="87">
                  <c:v>45809</c:v>
                </c:pt>
                <c:pt idx="88">
                  <c:v>45839</c:v>
                </c:pt>
                <c:pt idx="89">
                  <c:v>45870</c:v>
                </c:pt>
                <c:pt idx="90">
                  <c:v>45901</c:v>
                </c:pt>
                <c:pt idx="91">
                  <c:v>45931</c:v>
                </c:pt>
                <c:pt idx="92">
                  <c:v>45962</c:v>
                </c:pt>
                <c:pt idx="93">
                  <c:v>45992</c:v>
                </c:pt>
                <c:pt idx="94">
                  <c:v>46023</c:v>
                </c:pt>
                <c:pt idx="95">
                  <c:v>46054</c:v>
                </c:pt>
                <c:pt idx="96">
                  <c:v>46082</c:v>
                </c:pt>
                <c:pt idx="97">
                  <c:v>46113</c:v>
                </c:pt>
                <c:pt idx="98">
                  <c:v>46143</c:v>
                </c:pt>
                <c:pt idx="99">
                  <c:v>46174</c:v>
                </c:pt>
                <c:pt idx="100">
                  <c:v>46204</c:v>
                </c:pt>
                <c:pt idx="101">
                  <c:v>46235</c:v>
                </c:pt>
                <c:pt idx="102">
                  <c:v>46266</c:v>
                </c:pt>
                <c:pt idx="103">
                  <c:v>46296</c:v>
                </c:pt>
                <c:pt idx="104">
                  <c:v>46327</c:v>
                </c:pt>
                <c:pt idx="105">
                  <c:v>46357</c:v>
                </c:pt>
                <c:pt idx="106">
                  <c:v>46388</c:v>
                </c:pt>
                <c:pt idx="107">
                  <c:v>46419</c:v>
                </c:pt>
                <c:pt idx="108">
                  <c:v>46447</c:v>
                </c:pt>
                <c:pt idx="109">
                  <c:v>46478</c:v>
                </c:pt>
                <c:pt idx="110">
                  <c:v>46508</c:v>
                </c:pt>
                <c:pt idx="111">
                  <c:v>46539</c:v>
                </c:pt>
                <c:pt idx="112">
                  <c:v>46569</c:v>
                </c:pt>
                <c:pt idx="113">
                  <c:v>46600</c:v>
                </c:pt>
                <c:pt idx="114">
                  <c:v>46631</c:v>
                </c:pt>
                <c:pt idx="115">
                  <c:v>46661</c:v>
                </c:pt>
                <c:pt idx="116">
                  <c:v>46692</c:v>
                </c:pt>
                <c:pt idx="117">
                  <c:v>46722</c:v>
                </c:pt>
                <c:pt idx="118">
                  <c:v>46753</c:v>
                </c:pt>
                <c:pt idx="119">
                  <c:v>46784</c:v>
                </c:pt>
                <c:pt idx="120">
                  <c:v>46813</c:v>
                </c:pt>
                <c:pt idx="121">
                  <c:v>46844</c:v>
                </c:pt>
                <c:pt idx="122">
                  <c:v>46874</c:v>
                </c:pt>
                <c:pt idx="123">
                  <c:v>46905</c:v>
                </c:pt>
                <c:pt idx="124">
                  <c:v>46935</c:v>
                </c:pt>
                <c:pt idx="125">
                  <c:v>46966</c:v>
                </c:pt>
                <c:pt idx="126">
                  <c:v>46997</c:v>
                </c:pt>
                <c:pt idx="127">
                  <c:v>47027</c:v>
                </c:pt>
                <c:pt idx="128">
                  <c:v>47058</c:v>
                </c:pt>
                <c:pt idx="129">
                  <c:v>47088</c:v>
                </c:pt>
                <c:pt idx="130">
                  <c:v>47119</c:v>
                </c:pt>
                <c:pt idx="131">
                  <c:v>47150</c:v>
                </c:pt>
                <c:pt idx="132">
                  <c:v>47178</c:v>
                </c:pt>
                <c:pt idx="133">
                  <c:v>47209</c:v>
                </c:pt>
                <c:pt idx="134">
                  <c:v>47239</c:v>
                </c:pt>
                <c:pt idx="135">
                  <c:v>47270</c:v>
                </c:pt>
                <c:pt idx="136">
                  <c:v>47300</c:v>
                </c:pt>
                <c:pt idx="137">
                  <c:v>47331</c:v>
                </c:pt>
              </c:numCache>
            </c:numRef>
          </c:xVal>
          <c:yVal>
            <c:numRef>
              <c:f>'参考資料(係数 通販+店舗　台数実績)'!$AM$7:$AM$159</c:f>
              <c:numCache>
                <c:formatCode>0</c:formatCode>
                <c:ptCount val="138"/>
                <c:pt idx="53">
                  <c:v>2600.628338007275</c:v>
                </c:pt>
                <c:pt idx="54">
                  <c:v>2236.2782417931217</c:v>
                </c:pt>
                <c:pt idx="55">
                  <c:v>2098.1400458996013</c:v>
                </c:pt>
                <c:pt idx="56">
                  <c:v>2174.6915231865555</c:v>
                </c:pt>
                <c:pt idx="57">
                  <c:v>3060.2184661160381</c:v>
                </c:pt>
                <c:pt idx="58">
                  <c:v>2734.8437627426965</c:v>
                </c:pt>
                <c:pt idx="59">
                  <c:v>2280.2036644146392</c:v>
                </c:pt>
                <c:pt idx="60">
                  <c:v>3335.9044485200975</c:v>
                </c:pt>
                <c:pt idx="61">
                  <c:v>2694.0620499872034</c:v>
                </c:pt>
                <c:pt idx="62">
                  <c:v>2217.7373543628605</c:v>
                </c:pt>
                <c:pt idx="63">
                  <c:v>2524.4073788209244</c:v>
                </c:pt>
                <c:pt idx="64">
                  <c:v>3413.1925427155857</c:v>
                </c:pt>
                <c:pt idx="65">
                  <c:v>2722.4722347784814</c:v>
                </c:pt>
                <c:pt idx="66">
                  <c:v>2358.1221385643285</c:v>
                </c:pt>
                <c:pt idx="67">
                  <c:v>2219.9839426708077</c:v>
                </c:pt>
                <c:pt idx="68">
                  <c:v>2296.5354199577619</c:v>
                </c:pt>
                <c:pt idx="69">
                  <c:v>3182.0623628872445</c:v>
                </c:pt>
                <c:pt idx="70">
                  <c:v>2856.6876595139029</c:v>
                </c:pt>
                <c:pt idx="71">
                  <c:v>2402.0475611858456</c:v>
                </c:pt>
                <c:pt idx="72">
                  <c:v>3457.7483452913038</c:v>
                </c:pt>
                <c:pt idx="73">
                  <c:v>2815.9059467584102</c:v>
                </c:pt>
                <c:pt idx="74">
                  <c:v>2339.5812511340669</c:v>
                </c:pt>
                <c:pt idx="75">
                  <c:v>2646.2512755921307</c:v>
                </c:pt>
                <c:pt idx="76">
                  <c:v>3535.0364394867929</c:v>
                </c:pt>
                <c:pt idx="77">
                  <c:v>2844.3161315496877</c:v>
                </c:pt>
                <c:pt idx="78">
                  <c:v>2479.9660353355348</c:v>
                </c:pt>
                <c:pt idx="79">
                  <c:v>2341.8278394420145</c:v>
                </c:pt>
                <c:pt idx="80">
                  <c:v>2418.3793167289682</c:v>
                </c:pt>
                <c:pt idx="81">
                  <c:v>3303.9062596584508</c:v>
                </c:pt>
                <c:pt idx="82">
                  <c:v>2978.5315562851097</c:v>
                </c:pt>
                <c:pt idx="83">
                  <c:v>2523.8914579570524</c:v>
                </c:pt>
                <c:pt idx="84">
                  <c:v>3579.5922420625102</c:v>
                </c:pt>
                <c:pt idx="85">
                  <c:v>2937.7498435296166</c:v>
                </c:pt>
                <c:pt idx="86">
                  <c:v>2461.4251479052737</c:v>
                </c:pt>
                <c:pt idx="87">
                  <c:v>2768.095172363337</c:v>
                </c:pt>
                <c:pt idx="88">
                  <c:v>3656.8803362579993</c:v>
                </c:pt>
                <c:pt idx="89">
                  <c:v>2966.1600283208945</c:v>
                </c:pt>
                <c:pt idx="90">
                  <c:v>2601.8099321067411</c:v>
                </c:pt>
                <c:pt idx="91">
                  <c:v>2463.6717362132208</c:v>
                </c:pt>
                <c:pt idx="92">
                  <c:v>2540.223213500175</c:v>
                </c:pt>
                <c:pt idx="93">
                  <c:v>3425.7501564296572</c:v>
                </c:pt>
                <c:pt idx="94">
                  <c:v>3100.375453056316</c:v>
                </c:pt>
                <c:pt idx="95">
                  <c:v>2645.7353547282587</c:v>
                </c:pt>
                <c:pt idx="96">
                  <c:v>3701.436138833717</c:v>
                </c:pt>
                <c:pt idx="97">
                  <c:v>3059.5937403008229</c:v>
                </c:pt>
                <c:pt idx="98">
                  <c:v>2583.26904467648</c:v>
                </c:pt>
                <c:pt idx="99">
                  <c:v>2889.9390691345434</c:v>
                </c:pt>
                <c:pt idx="100">
                  <c:v>3778.7242330292056</c:v>
                </c:pt>
                <c:pt idx="101">
                  <c:v>3088.0039250921009</c:v>
                </c:pt>
                <c:pt idx="102">
                  <c:v>2723.6538288779479</c:v>
                </c:pt>
                <c:pt idx="103">
                  <c:v>2585.5156329844272</c:v>
                </c:pt>
                <c:pt idx="104">
                  <c:v>2662.0671102713814</c:v>
                </c:pt>
                <c:pt idx="105">
                  <c:v>3547.5940532008635</c:v>
                </c:pt>
                <c:pt idx="106">
                  <c:v>3222.2193498275228</c:v>
                </c:pt>
                <c:pt idx="107">
                  <c:v>2767.579251499465</c:v>
                </c:pt>
                <c:pt idx="108">
                  <c:v>3823.2800356049233</c:v>
                </c:pt>
                <c:pt idx="109">
                  <c:v>3181.4376370720297</c:v>
                </c:pt>
                <c:pt idx="110">
                  <c:v>2705.1129414476864</c:v>
                </c:pt>
                <c:pt idx="111">
                  <c:v>3011.7829659057497</c:v>
                </c:pt>
                <c:pt idx="112">
                  <c:v>3900.568129800412</c:v>
                </c:pt>
                <c:pt idx="113">
                  <c:v>3209.8478218633072</c:v>
                </c:pt>
                <c:pt idx="114">
                  <c:v>2845.4977256491543</c:v>
                </c:pt>
                <c:pt idx="115">
                  <c:v>2707.359529755634</c:v>
                </c:pt>
                <c:pt idx="116">
                  <c:v>2783.9110070425877</c:v>
                </c:pt>
                <c:pt idx="117">
                  <c:v>3669.4379499720699</c:v>
                </c:pt>
                <c:pt idx="118">
                  <c:v>3344.0632465987292</c:v>
                </c:pt>
                <c:pt idx="119">
                  <c:v>2889.4231482706714</c:v>
                </c:pt>
                <c:pt idx="120">
                  <c:v>3945.1239323761297</c:v>
                </c:pt>
                <c:pt idx="121">
                  <c:v>3303.281533843236</c:v>
                </c:pt>
                <c:pt idx="122">
                  <c:v>2826.9568382188932</c:v>
                </c:pt>
                <c:pt idx="123">
                  <c:v>3133.6268626769561</c:v>
                </c:pt>
                <c:pt idx="124">
                  <c:v>4022.4120265716183</c:v>
                </c:pt>
                <c:pt idx="125">
                  <c:v>3331.691718634514</c:v>
                </c:pt>
                <c:pt idx="126">
                  <c:v>2967.3416224203606</c:v>
                </c:pt>
                <c:pt idx="127">
                  <c:v>2829.2034265268403</c:v>
                </c:pt>
                <c:pt idx="128">
                  <c:v>2905.7549038137945</c:v>
                </c:pt>
                <c:pt idx="129">
                  <c:v>3791.2818467432771</c:v>
                </c:pt>
                <c:pt idx="130">
                  <c:v>3465.9071433699355</c:v>
                </c:pt>
                <c:pt idx="131">
                  <c:v>3011.2670450418782</c:v>
                </c:pt>
                <c:pt idx="132">
                  <c:v>4066.9678291473365</c:v>
                </c:pt>
                <c:pt idx="133">
                  <c:v>3425.1254306144424</c:v>
                </c:pt>
                <c:pt idx="134">
                  <c:v>2948.8007349900995</c:v>
                </c:pt>
                <c:pt idx="135">
                  <c:v>3255.4707594481633</c:v>
                </c:pt>
                <c:pt idx="136">
                  <c:v>4144.2559233428246</c:v>
                </c:pt>
                <c:pt idx="137">
                  <c:v>3453.5356154057204</c:v>
                </c:pt>
              </c:numCache>
            </c:numRef>
          </c:yVal>
          <c:smooth val="1"/>
          <c:extLst>
            <c:ext xmlns:c16="http://schemas.microsoft.com/office/drawing/2014/chart" uri="{C3380CC4-5D6E-409C-BE32-E72D297353CC}">
              <c16:uniqueId val="{00000002-78AC-489E-83F7-9CF15A213A13}"/>
            </c:ext>
          </c:extLst>
        </c:ser>
        <c:ser>
          <c:idx val="3"/>
          <c:order val="3"/>
          <c:tx>
            <c:strRef>
              <c:f>'参考資料(係数 通販+店舗　台数実績)'!$AN$6</c:f>
              <c:strCache>
                <c:ptCount val="1"/>
                <c:pt idx="0">
                  <c:v>41期以降抜粋予測</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'参考資料(係数 通販+店舗　台数実績)'!$AJ$7:$AJ$159</c:f>
              <c:numCache>
                <c:formatCode>yyyy/m</c:formatCode>
                <c:ptCount val="138"/>
                <c:pt idx="0">
                  <c:v>42736</c:v>
                </c:pt>
                <c:pt idx="1">
                  <c:v>42767</c:v>
                </c:pt>
                <c:pt idx="2">
                  <c:v>42826</c:v>
                </c:pt>
                <c:pt idx="3">
                  <c:v>42795</c:v>
                </c:pt>
                <c:pt idx="4">
                  <c:v>42856</c:v>
                </c:pt>
                <c:pt idx="5">
                  <c:v>42887</c:v>
                </c:pt>
                <c:pt idx="6">
                  <c:v>42917</c:v>
                </c:pt>
                <c:pt idx="7">
                  <c:v>42948</c:v>
                </c:pt>
                <c:pt idx="8">
                  <c:v>42979</c:v>
                </c:pt>
                <c:pt idx="9">
                  <c:v>43009</c:v>
                </c:pt>
                <c:pt idx="10">
                  <c:v>43040</c:v>
                </c:pt>
                <c:pt idx="11">
                  <c:v>43070</c:v>
                </c:pt>
                <c:pt idx="12">
                  <c:v>43101</c:v>
                </c:pt>
                <c:pt idx="13">
                  <c:v>43132</c:v>
                </c:pt>
                <c:pt idx="14">
                  <c:v>43160</c:v>
                </c:pt>
                <c:pt idx="15">
                  <c:v>43191</c:v>
                </c:pt>
                <c:pt idx="16">
                  <c:v>43221</c:v>
                </c:pt>
                <c:pt idx="17">
                  <c:v>43221</c:v>
                </c:pt>
                <c:pt idx="18">
                  <c:v>43252</c:v>
                </c:pt>
                <c:pt idx="19">
                  <c:v>43282</c:v>
                </c:pt>
                <c:pt idx="20">
                  <c:v>43313</c:v>
                </c:pt>
                <c:pt idx="21">
                  <c:v>43344</c:v>
                </c:pt>
                <c:pt idx="22">
                  <c:v>43374</c:v>
                </c:pt>
                <c:pt idx="23">
                  <c:v>43862</c:v>
                </c:pt>
                <c:pt idx="24">
                  <c:v>43891</c:v>
                </c:pt>
                <c:pt idx="25">
                  <c:v>43922</c:v>
                </c:pt>
                <c:pt idx="26">
                  <c:v>43952</c:v>
                </c:pt>
                <c:pt idx="27">
                  <c:v>43983</c:v>
                </c:pt>
                <c:pt idx="28">
                  <c:v>44013</c:v>
                </c:pt>
                <c:pt idx="29">
                  <c:v>44044</c:v>
                </c:pt>
                <c:pt idx="30">
                  <c:v>44075</c:v>
                </c:pt>
                <c:pt idx="31">
                  <c:v>44105</c:v>
                </c:pt>
                <c:pt idx="32">
                  <c:v>44136</c:v>
                </c:pt>
                <c:pt idx="33">
                  <c:v>44166</c:v>
                </c:pt>
                <c:pt idx="34">
                  <c:v>44197</c:v>
                </c:pt>
                <c:pt idx="35">
                  <c:v>44228</c:v>
                </c:pt>
                <c:pt idx="36">
                  <c:v>44256</c:v>
                </c:pt>
                <c:pt idx="37">
                  <c:v>44287</c:v>
                </c:pt>
                <c:pt idx="38">
                  <c:v>44317</c:v>
                </c:pt>
                <c:pt idx="39">
                  <c:v>44348</c:v>
                </c:pt>
                <c:pt idx="40">
                  <c:v>44378</c:v>
                </c:pt>
                <c:pt idx="41">
                  <c:v>44409</c:v>
                </c:pt>
                <c:pt idx="42">
                  <c:v>44440</c:v>
                </c:pt>
                <c:pt idx="43">
                  <c:v>44470</c:v>
                </c:pt>
                <c:pt idx="44">
                  <c:v>44501</c:v>
                </c:pt>
                <c:pt idx="45">
                  <c:v>44531</c:v>
                </c:pt>
                <c:pt idx="46">
                  <c:v>44562</c:v>
                </c:pt>
                <c:pt idx="47">
                  <c:v>44593</c:v>
                </c:pt>
                <c:pt idx="48">
                  <c:v>44621</c:v>
                </c:pt>
                <c:pt idx="49">
                  <c:v>44652</c:v>
                </c:pt>
                <c:pt idx="50">
                  <c:v>44682</c:v>
                </c:pt>
                <c:pt idx="51">
                  <c:v>44713</c:v>
                </c:pt>
                <c:pt idx="52">
                  <c:v>44743</c:v>
                </c:pt>
                <c:pt idx="53">
                  <c:v>44774</c:v>
                </c:pt>
                <c:pt idx="54">
                  <c:v>44805</c:v>
                </c:pt>
                <c:pt idx="55">
                  <c:v>44835</c:v>
                </c:pt>
                <c:pt idx="56">
                  <c:v>44866</c:v>
                </c:pt>
                <c:pt idx="57">
                  <c:v>44896</c:v>
                </c:pt>
                <c:pt idx="58">
                  <c:v>44927</c:v>
                </c:pt>
                <c:pt idx="59">
                  <c:v>44958</c:v>
                </c:pt>
                <c:pt idx="60">
                  <c:v>44986</c:v>
                </c:pt>
                <c:pt idx="61">
                  <c:v>45017</c:v>
                </c:pt>
                <c:pt idx="62">
                  <c:v>45047</c:v>
                </c:pt>
                <c:pt idx="63">
                  <c:v>45078</c:v>
                </c:pt>
                <c:pt idx="64">
                  <c:v>45108</c:v>
                </c:pt>
                <c:pt idx="65">
                  <c:v>45139</c:v>
                </c:pt>
                <c:pt idx="66">
                  <c:v>45170</c:v>
                </c:pt>
                <c:pt idx="67">
                  <c:v>45200</c:v>
                </c:pt>
                <c:pt idx="68">
                  <c:v>45231</c:v>
                </c:pt>
                <c:pt idx="69">
                  <c:v>45261</c:v>
                </c:pt>
                <c:pt idx="70">
                  <c:v>45292</c:v>
                </c:pt>
                <c:pt idx="71">
                  <c:v>45323</c:v>
                </c:pt>
                <c:pt idx="72">
                  <c:v>45352</c:v>
                </c:pt>
                <c:pt idx="73">
                  <c:v>45383</c:v>
                </c:pt>
                <c:pt idx="74">
                  <c:v>45413</c:v>
                </c:pt>
                <c:pt idx="75">
                  <c:v>45444</c:v>
                </c:pt>
                <c:pt idx="76">
                  <c:v>45474</c:v>
                </c:pt>
                <c:pt idx="77">
                  <c:v>45505</c:v>
                </c:pt>
                <c:pt idx="78">
                  <c:v>45536</c:v>
                </c:pt>
                <c:pt idx="79">
                  <c:v>45566</c:v>
                </c:pt>
                <c:pt idx="80">
                  <c:v>45597</c:v>
                </c:pt>
                <c:pt idx="81">
                  <c:v>45627</c:v>
                </c:pt>
                <c:pt idx="82">
                  <c:v>45658</c:v>
                </c:pt>
                <c:pt idx="83">
                  <c:v>45689</c:v>
                </c:pt>
                <c:pt idx="84">
                  <c:v>45717</c:v>
                </c:pt>
                <c:pt idx="85">
                  <c:v>45748</c:v>
                </c:pt>
                <c:pt idx="86">
                  <c:v>45778</c:v>
                </c:pt>
                <c:pt idx="87">
                  <c:v>45809</c:v>
                </c:pt>
                <c:pt idx="88">
                  <c:v>45839</c:v>
                </c:pt>
                <c:pt idx="89">
                  <c:v>45870</c:v>
                </c:pt>
                <c:pt idx="90">
                  <c:v>45901</c:v>
                </c:pt>
                <c:pt idx="91">
                  <c:v>45931</c:v>
                </c:pt>
                <c:pt idx="92">
                  <c:v>45962</c:v>
                </c:pt>
                <c:pt idx="93">
                  <c:v>45992</c:v>
                </c:pt>
                <c:pt idx="94">
                  <c:v>46023</c:v>
                </c:pt>
                <c:pt idx="95">
                  <c:v>46054</c:v>
                </c:pt>
                <c:pt idx="96">
                  <c:v>46082</c:v>
                </c:pt>
                <c:pt idx="97">
                  <c:v>46113</c:v>
                </c:pt>
                <c:pt idx="98">
                  <c:v>46143</c:v>
                </c:pt>
                <c:pt idx="99">
                  <c:v>46174</c:v>
                </c:pt>
                <c:pt idx="100">
                  <c:v>46204</c:v>
                </c:pt>
                <c:pt idx="101">
                  <c:v>46235</c:v>
                </c:pt>
                <c:pt idx="102">
                  <c:v>46266</c:v>
                </c:pt>
                <c:pt idx="103">
                  <c:v>46296</c:v>
                </c:pt>
                <c:pt idx="104">
                  <c:v>46327</c:v>
                </c:pt>
                <c:pt idx="105">
                  <c:v>46357</c:v>
                </c:pt>
                <c:pt idx="106">
                  <c:v>46388</c:v>
                </c:pt>
                <c:pt idx="107">
                  <c:v>46419</c:v>
                </c:pt>
                <c:pt idx="108">
                  <c:v>46447</c:v>
                </c:pt>
                <c:pt idx="109">
                  <c:v>46478</c:v>
                </c:pt>
                <c:pt idx="110">
                  <c:v>46508</c:v>
                </c:pt>
                <c:pt idx="111">
                  <c:v>46539</c:v>
                </c:pt>
                <c:pt idx="112">
                  <c:v>46569</c:v>
                </c:pt>
                <c:pt idx="113">
                  <c:v>46600</c:v>
                </c:pt>
                <c:pt idx="114">
                  <c:v>46631</c:v>
                </c:pt>
                <c:pt idx="115">
                  <c:v>46661</c:v>
                </c:pt>
                <c:pt idx="116">
                  <c:v>46692</c:v>
                </c:pt>
                <c:pt idx="117">
                  <c:v>46722</c:v>
                </c:pt>
                <c:pt idx="118">
                  <c:v>46753</c:v>
                </c:pt>
                <c:pt idx="119">
                  <c:v>46784</c:v>
                </c:pt>
                <c:pt idx="120">
                  <c:v>46813</c:v>
                </c:pt>
                <c:pt idx="121">
                  <c:v>46844</c:v>
                </c:pt>
                <c:pt idx="122">
                  <c:v>46874</c:v>
                </c:pt>
                <c:pt idx="123">
                  <c:v>46905</c:v>
                </c:pt>
                <c:pt idx="124">
                  <c:v>46935</c:v>
                </c:pt>
                <c:pt idx="125">
                  <c:v>46966</c:v>
                </c:pt>
                <c:pt idx="126">
                  <c:v>46997</c:v>
                </c:pt>
                <c:pt idx="127">
                  <c:v>47027</c:v>
                </c:pt>
                <c:pt idx="128">
                  <c:v>47058</c:v>
                </c:pt>
                <c:pt idx="129">
                  <c:v>47088</c:v>
                </c:pt>
                <c:pt idx="130">
                  <c:v>47119</c:v>
                </c:pt>
                <c:pt idx="131">
                  <c:v>47150</c:v>
                </c:pt>
                <c:pt idx="132">
                  <c:v>47178</c:v>
                </c:pt>
                <c:pt idx="133">
                  <c:v>47209</c:v>
                </c:pt>
                <c:pt idx="134">
                  <c:v>47239</c:v>
                </c:pt>
                <c:pt idx="135">
                  <c:v>47270</c:v>
                </c:pt>
                <c:pt idx="136">
                  <c:v>47300</c:v>
                </c:pt>
                <c:pt idx="137">
                  <c:v>47331</c:v>
                </c:pt>
              </c:numCache>
            </c:numRef>
          </c:xVal>
          <c:yVal>
            <c:numRef>
              <c:f>'参考資料(係数 通販+店舗　台数実績)'!$AN$7:$AN$159</c:f>
              <c:numCache>
                <c:formatCode>General</c:formatCode>
                <c:ptCount val="138"/>
                <c:pt idx="65" formatCode="0">
                  <c:v>2827.2633926443054</c:v>
                </c:pt>
                <c:pt idx="66" formatCode="0">
                  <c:v>2218.9394444821464</c:v>
                </c:pt>
                <c:pt idx="67" formatCode="0">
                  <c:v>1868.5127697012081</c:v>
                </c:pt>
                <c:pt idx="68" formatCode="0">
                  <c:v>1643.6224079629631</c:v>
                </c:pt>
                <c:pt idx="69" formatCode="0">
                  <c:v>2939.2489679998994</c:v>
                </c:pt>
                <c:pt idx="70" formatCode="0">
                  <c:v>3046.2324840075389</c:v>
                </c:pt>
                <c:pt idx="71" formatCode="0">
                  <c:v>2836.6542368697342</c:v>
                </c:pt>
                <c:pt idx="72" formatCode="0">
                  <c:v>3535.6904593706563</c:v>
                </c:pt>
                <c:pt idx="73" formatCode="0">
                  <c:v>2675.226563622527</c:v>
                </c:pt>
                <c:pt idx="74" formatCode="0">
                  <c:v>2107.4067460378719</c:v>
                </c:pt>
                <c:pt idx="75" formatCode="0">
                  <c:v>2720.0759319107128</c:v>
                </c:pt>
                <c:pt idx="76" formatCode="0">
                  <c:v>3617.4556296879832</c:v>
                </c:pt>
                <c:pt idx="77" formatCode="0">
                  <c:v>2866.6980263600494</c:v>
                </c:pt>
                <c:pt idx="78" formatCode="0">
                  <c:v>2258.3740781978904</c:v>
                </c:pt>
                <c:pt idx="79" formatCode="0">
                  <c:v>1907.9474034169521</c:v>
                </c:pt>
                <c:pt idx="80" formatCode="0">
                  <c:v>1683.057041678707</c:v>
                </c:pt>
                <c:pt idx="81" formatCode="0">
                  <c:v>2978.6836017156434</c:v>
                </c:pt>
                <c:pt idx="82" formatCode="0">
                  <c:v>3085.6671177232829</c:v>
                </c:pt>
                <c:pt idx="83" formatCode="0">
                  <c:v>2876.0888705854782</c:v>
                </c:pt>
                <c:pt idx="84" formatCode="0">
                  <c:v>3575.1250930864003</c:v>
                </c:pt>
                <c:pt idx="85" formatCode="0">
                  <c:v>2714.661197338271</c:v>
                </c:pt>
                <c:pt idx="86" formatCode="0">
                  <c:v>2146.8413797536159</c:v>
                </c:pt>
                <c:pt idx="87" formatCode="0">
                  <c:v>2759.5105656264568</c:v>
                </c:pt>
                <c:pt idx="88" formatCode="0">
                  <c:v>3656.8902634037272</c:v>
                </c:pt>
                <c:pt idx="89" formatCode="0">
                  <c:v>2906.1326600757934</c:v>
                </c:pt>
                <c:pt idx="90" formatCode="0">
                  <c:v>2297.8087119136344</c:v>
                </c:pt>
                <c:pt idx="91" formatCode="0">
                  <c:v>1947.382037132696</c:v>
                </c:pt>
                <c:pt idx="92" formatCode="0">
                  <c:v>1722.491675394451</c:v>
                </c:pt>
                <c:pt idx="93" formatCode="0">
                  <c:v>3018.1182354313873</c:v>
                </c:pt>
                <c:pt idx="94" formatCode="0">
                  <c:v>3125.1017514390269</c:v>
                </c:pt>
                <c:pt idx="95" formatCode="0">
                  <c:v>2915.5235043012221</c:v>
                </c:pt>
                <c:pt idx="96" formatCode="0">
                  <c:v>3614.5597268021443</c:v>
                </c:pt>
                <c:pt idx="97" formatCode="0">
                  <c:v>2754.095831054015</c:v>
                </c:pt>
                <c:pt idx="98" formatCode="0">
                  <c:v>2186.2760134693599</c:v>
                </c:pt>
                <c:pt idx="99" formatCode="0">
                  <c:v>2798.9451993422008</c:v>
                </c:pt>
                <c:pt idx="100" formatCode="0">
                  <c:v>3696.3248971194712</c:v>
                </c:pt>
                <c:pt idx="101" formatCode="0">
                  <c:v>2945.5672937915374</c:v>
                </c:pt>
                <c:pt idx="102" formatCode="0">
                  <c:v>2337.2433456293784</c:v>
                </c:pt>
                <c:pt idx="103" formatCode="0">
                  <c:v>1986.81667084844</c:v>
                </c:pt>
                <c:pt idx="104" formatCode="0">
                  <c:v>1761.926309110195</c:v>
                </c:pt>
                <c:pt idx="105" formatCode="0">
                  <c:v>3057.5528691471313</c:v>
                </c:pt>
                <c:pt idx="106" formatCode="0">
                  <c:v>3164.5363851547709</c:v>
                </c:pt>
                <c:pt idx="107" formatCode="0">
                  <c:v>2954.9581380169661</c:v>
                </c:pt>
                <c:pt idx="108" formatCode="0">
                  <c:v>3653.9943605178883</c:v>
                </c:pt>
                <c:pt idx="109" formatCode="0">
                  <c:v>2793.530464769759</c:v>
                </c:pt>
                <c:pt idx="110" formatCode="0">
                  <c:v>2225.7106471851039</c:v>
                </c:pt>
                <c:pt idx="111" formatCode="0">
                  <c:v>2838.3798330579448</c:v>
                </c:pt>
                <c:pt idx="112" formatCode="0">
                  <c:v>3735.7595308352152</c:v>
                </c:pt>
                <c:pt idx="113" formatCode="0">
                  <c:v>2985.0019275072814</c:v>
                </c:pt>
                <c:pt idx="114" formatCode="0">
                  <c:v>2376.6779793451224</c:v>
                </c:pt>
                <c:pt idx="115" formatCode="0">
                  <c:v>2026.251304564184</c:v>
                </c:pt>
                <c:pt idx="116" formatCode="0">
                  <c:v>1801.360942825939</c:v>
                </c:pt>
                <c:pt idx="117" formatCode="0">
                  <c:v>3096.9875028628753</c:v>
                </c:pt>
                <c:pt idx="118" formatCode="0">
                  <c:v>3203.9710188705149</c:v>
                </c:pt>
                <c:pt idx="119" formatCode="0">
                  <c:v>2994.3927717327101</c:v>
                </c:pt>
                <c:pt idx="120" formatCode="0">
                  <c:v>3693.4289942336322</c:v>
                </c:pt>
                <c:pt idx="121" formatCode="0">
                  <c:v>2832.9650984855029</c:v>
                </c:pt>
                <c:pt idx="122" formatCode="0">
                  <c:v>2265.1452809008479</c:v>
                </c:pt>
                <c:pt idx="123" formatCode="0">
                  <c:v>2877.8144667736888</c:v>
                </c:pt>
                <c:pt idx="124" formatCode="0">
                  <c:v>3775.1941645509587</c:v>
                </c:pt>
                <c:pt idx="125" formatCode="0">
                  <c:v>3024.4365612230249</c:v>
                </c:pt>
                <c:pt idx="126" formatCode="0">
                  <c:v>2416.1126130608659</c:v>
                </c:pt>
                <c:pt idx="127" formatCode="0">
                  <c:v>2065.6859382799275</c:v>
                </c:pt>
                <c:pt idx="128" formatCode="0">
                  <c:v>1840.7955765416825</c:v>
                </c:pt>
                <c:pt idx="129" formatCode="0">
                  <c:v>3136.4221365786188</c:v>
                </c:pt>
                <c:pt idx="130" formatCode="0">
                  <c:v>3243.4056525862584</c:v>
                </c:pt>
                <c:pt idx="131" formatCode="0">
                  <c:v>3033.8274054484536</c:v>
                </c:pt>
                <c:pt idx="132" formatCode="0">
                  <c:v>3732.8636279493758</c:v>
                </c:pt>
                <c:pt idx="133" formatCode="0">
                  <c:v>2872.3997322012465</c:v>
                </c:pt>
                <c:pt idx="134" formatCode="0">
                  <c:v>2304.5799146165914</c:v>
                </c:pt>
                <c:pt idx="135" formatCode="0">
                  <c:v>2917.2491004894323</c:v>
                </c:pt>
                <c:pt idx="136" formatCode="0">
                  <c:v>3814.6287982667027</c:v>
                </c:pt>
                <c:pt idx="137" formatCode="0">
                  <c:v>3063.8711949387689</c:v>
                </c:pt>
              </c:numCache>
            </c:numRef>
          </c:yVal>
          <c:smooth val="1"/>
          <c:extLst>
            <c:ext xmlns:c16="http://schemas.microsoft.com/office/drawing/2014/chart" uri="{C3380CC4-5D6E-409C-BE32-E72D297353CC}">
              <c16:uniqueId val="{00000003-78AC-489E-83F7-9CF15A213A13}"/>
            </c:ext>
          </c:extLst>
        </c:ser>
        <c:ser>
          <c:idx val="4"/>
          <c:order val="4"/>
          <c:tx>
            <c:strRef>
              <c:f>'参考資料(係数 通販+店舗　台数実績)'!$AO$6</c:f>
              <c:strCache>
                <c:ptCount val="1"/>
                <c:pt idx="0">
                  <c:v>季節係数予測</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'参考資料(係数 通販+店舗　台数実績)'!$AJ$7:$AJ$159</c:f>
              <c:numCache>
                <c:formatCode>yyyy/m</c:formatCode>
                <c:ptCount val="138"/>
                <c:pt idx="0">
                  <c:v>42736</c:v>
                </c:pt>
                <c:pt idx="1">
                  <c:v>42767</c:v>
                </c:pt>
                <c:pt idx="2">
                  <c:v>42826</c:v>
                </c:pt>
                <c:pt idx="3">
                  <c:v>42795</c:v>
                </c:pt>
                <c:pt idx="4">
                  <c:v>42856</c:v>
                </c:pt>
                <c:pt idx="5">
                  <c:v>42887</c:v>
                </c:pt>
                <c:pt idx="6">
                  <c:v>42917</c:v>
                </c:pt>
                <c:pt idx="7">
                  <c:v>42948</c:v>
                </c:pt>
                <c:pt idx="8">
                  <c:v>42979</c:v>
                </c:pt>
                <c:pt idx="9">
                  <c:v>43009</c:v>
                </c:pt>
                <c:pt idx="10">
                  <c:v>43040</c:v>
                </c:pt>
                <c:pt idx="11">
                  <c:v>43070</c:v>
                </c:pt>
                <c:pt idx="12">
                  <c:v>43101</c:v>
                </c:pt>
                <c:pt idx="13">
                  <c:v>43132</c:v>
                </c:pt>
                <c:pt idx="14">
                  <c:v>43160</c:v>
                </c:pt>
                <c:pt idx="15">
                  <c:v>43191</c:v>
                </c:pt>
                <c:pt idx="16">
                  <c:v>43221</c:v>
                </c:pt>
                <c:pt idx="17">
                  <c:v>43221</c:v>
                </c:pt>
                <c:pt idx="18">
                  <c:v>43252</c:v>
                </c:pt>
                <c:pt idx="19">
                  <c:v>43282</c:v>
                </c:pt>
                <c:pt idx="20">
                  <c:v>43313</c:v>
                </c:pt>
                <c:pt idx="21">
                  <c:v>43344</c:v>
                </c:pt>
                <c:pt idx="22">
                  <c:v>43374</c:v>
                </c:pt>
                <c:pt idx="23">
                  <c:v>43862</c:v>
                </c:pt>
                <c:pt idx="24">
                  <c:v>43891</c:v>
                </c:pt>
                <c:pt idx="25">
                  <c:v>43922</c:v>
                </c:pt>
                <c:pt idx="26">
                  <c:v>43952</c:v>
                </c:pt>
                <c:pt idx="27">
                  <c:v>43983</c:v>
                </c:pt>
                <c:pt idx="28">
                  <c:v>44013</c:v>
                </c:pt>
                <c:pt idx="29">
                  <c:v>44044</c:v>
                </c:pt>
                <c:pt idx="30">
                  <c:v>44075</c:v>
                </c:pt>
                <c:pt idx="31">
                  <c:v>44105</c:v>
                </c:pt>
                <c:pt idx="32">
                  <c:v>44136</c:v>
                </c:pt>
                <c:pt idx="33">
                  <c:v>44166</c:v>
                </c:pt>
                <c:pt idx="34">
                  <c:v>44197</c:v>
                </c:pt>
                <c:pt idx="35">
                  <c:v>44228</c:v>
                </c:pt>
                <c:pt idx="36">
                  <c:v>44256</c:v>
                </c:pt>
                <c:pt idx="37">
                  <c:v>44287</c:v>
                </c:pt>
                <c:pt idx="38">
                  <c:v>44317</c:v>
                </c:pt>
                <c:pt idx="39">
                  <c:v>44348</c:v>
                </c:pt>
                <c:pt idx="40">
                  <c:v>44378</c:v>
                </c:pt>
                <c:pt idx="41">
                  <c:v>44409</c:v>
                </c:pt>
                <c:pt idx="42">
                  <c:v>44440</c:v>
                </c:pt>
                <c:pt idx="43">
                  <c:v>44470</c:v>
                </c:pt>
                <c:pt idx="44">
                  <c:v>44501</c:v>
                </c:pt>
                <c:pt idx="45">
                  <c:v>44531</c:v>
                </c:pt>
                <c:pt idx="46">
                  <c:v>44562</c:v>
                </c:pt>
                <c:pt idx="47">
                  <c:v>44593</c:v>
                </c:pt>
                <c:pt idx="48">
                  <c:v>44621</c:v>
                </c:pt>
                <c:pt idx="49">
                  <c:v>44652</c:v>
                </c:pt>
                <c:pt idx="50">
                  <c:v>44682</c:v>
                </c:pt>
                <c:pt idx="51">
                  <c:v>44713</c:v>
                </c:pt>
                <c:pt idx="52">
                  <c:v>44743</c:v>
                </c:pt>
                <c:pt idx="53">
                  <c:v>44774</c:v>
                </c:pt>
                <c:pt idx="54">
                  <c:v>44805</c:v>
                </c:pt>
                <c:pt idx="55">
                  <c:v>44835</c:v>
                </c:pt>
                <c:pt idx="56">
                  <c:v>44866</c:v>
                </c:pt>
                <c:pt idx="57">
                  <c:v>44896</c:v>
                </c:pt>
                <c:pt idx="58">
                  <c:v>44927</c:v>
                </c:pt>
                <c:pt idx="59">
                  <c:v>44958</c:v>
                </c:pt>
                <c:pt idx="60">
                  <c:v>44986</c:v>
                </c:pt>
                <c:pt idx="61">
                  <c:v>45017</c:v>
                </c:pt>
                <c:pt idx="62">
                  <c:v>45047</c:v>
                </c:pt>
                <c:pt idx="63">
                  <c:v>45078</c:v>
                </c:pt>
                <c:pt idx="64">
                  <c:v>45108</c:v>
                </c:pt>
                <c:pt idx="65">
                  <c:v>45139</c:v>
                </c:pt>
                <c:pt idx="66">
                  <c:v>45170</c:v>
                </c:pt>
                <c:pt idx="67">
                  <c:v>45200</c:v>
                </c:pt>
                <c:pt idx="68">
                  <c:v>45231</c:v>
                </c:pt>
                <c:pt idx="69">
                  <c:v>45261</c:v>
                </c:pt>
                <c:pt idx="70">
                  <c:v>45292</c:v>
                </c:pt>
                <c:pt idx="71">
                  <c:v>45323</c:v>
                </c:pt>
                <c:pt idx="72">
                  <c:v>45352</c:v>
                </c:pt>
                <c:pt idx="73">
                  <c:v>45383</c:v>
                </c:pt>
                <c:pt idx="74">
                  <c:v>45413</c:v>
                </c:pt>
                <c:pt idx="75">
                  <c:v>45444</c:v>
                </c:pt>
                <c:pt idx="76">
                  <c:v>45474</c:v>
                </c:pt>
                <c:pt idx="77">
                  <c:v>45505</c:v>
                </c:pt>
                <c:pt idx="78">
                  <c:v>45536</c:v>
                </c:pt>
                <c:pt idx="79">
                  <c:v>45566</c:v>
                </c:pt>
                <c:pt idx="80">
                  <c:v>45597</c:v>
                </c:pt>
                <c:pt idx="81">
                  <c:v>45627</c:v>
                </c:pt>
                <c:pt idx="82">
                  <c:v>45658</c:v>
                </c:pt>
                <c:pt idx="83">
                  <c:v>45689</c:v>
                </c:pt>
                <c:pt idx="84">
                  <c:v>45717</c:v>
                </c:pt>
                <c:pt idx="85">
                  <c:v>45748</c:v>
                </c:pt>
                <c:pt idx="86">
                  <c:v>45778</c:v>
                </c:pt>
                <c:pt idx="87">
                  <c:v>45809</c:v>
                </c:pt>
                <c:pt idx="88">
                  <c:v>45839</c:v>
                </c:pt>
                <c:pt idx="89">
                  <c:v>45870</c:v>
                </c:pt>
                <c:pt idx="90">
                  <c:v>45901</c:v>
                </c:pt>
                <c:pt idx="91">
                  <c:v>45931</c:v>
                </c:pt>
                <c:pt idx="92">
                  <c:v>45962</c:v>
                </c:pt>
                <c:pt idx="93">
                  <c:v>45992</c:v>
                </c:pt>
                <c:pt idx="94">
                  <c:v>46023</c:v>
                </c:pt>
                <c:pt idx="95">
                  <c:v>46054</c:v>
                </c:pt>
                <c:pt idx="96">
                  <c:v>46082</c:v>
                </c:pt>
                <c:pt idx="97">
                  <c:v>46113</c:v>
                </c:pt>
                <c:pt idx="98">
                  <c:v>46143</c:v>
                </c:pt>
                <c:pt idx="99">
                  <c:v>46174</c:v>
                </c:pt>
                <c:pt idx="100">
                  <c:v>46204</c:v>
                </c:pt>
                <c:pt idx="101">
                  <c:v>46235</c:v>
                </c:pt>
                <c:pt idx="102">
                  <c:v>46266</c:v>
                </c:pt>
                <c:pt idx="103">
                  <c:v>46296</c:v>
                </c:pt>
                <c:pt idx="104">
                  <c:v>46327</c:v>
                </c:pt>
                <c:pt idx="105">
                  <c:v>46357</c:v>
                </c:pt>
                <c:pt idx="106">
                  <c:v>46388</c:v>
                </c:pt>
                <c:pt idx="107">
                  <c:v>46419</c:v>
                </c:pt>
                <c:pt idx="108">
                  <c:v>46447</c:v>
                </c:pt>
                <c:pt idx="109">
                  <c:v>46478</c:v>
                </c:pt>
                <c:pt idx="110">
                  <c:v>46508</c:v>
                </c:pt>
                <c:pt idx="111">
                  <c:v>46539</c:v>
                </c:pt>
                <c:pt idx="112">
                  <c:v>46569</c:v>
                </c:pt>
                <c:pt idx="113">
                  <c:v>46600</c:v>
                </c:pt>
                <c:pt idx="114">
                  <c:v>46631</c:v>
                </c:pt>
                <c:pt idx="115">
                  <c:v>46661</c:v>
                </c:pt>
                <c:pt idx="116">
                  <c:v>46692</c:v>
                </c:pt>
                <c:pt idx="117">
                  <c:v>46722</c:v>
                </c:pt>
                <c:pt idx="118">
                  <c:v>46753</c:v>
                </c:pt>
                <c:pt idx="119">
                  <c:v>46784</c:v>
                </c:pt>
                <c:pt idx="120">
                  <c:v>46813</c:v>
                </c:pt>
                <c:pt idx="121">
                  <c:v>46844</c:v>
                </c:pt>
                <c:pt idx="122">
                  <c:v>46874</c:v>
                </c:pt>
                <c:pt idx="123">
                  <c:v>46905</c:v>
                </c:pt>
                <c:pt idx="124">
                  <c:v>46935</c:v>
                </c:pt>
                <c:pt idx="125">
                  <c:v>46966</c:v>
                </c:pt>
                <c:pt idx="126">
                  <c:v>46997</c:v>
                </c:pt>
                <c:pt idx="127">
                  <c:v>47027</c:v>
                </c:pt>
                <c:pt idx="128">
                  <c:v>47058</c:v>
                </c:pt>
                <c:pt idx="129">
                  <c:v>47088</c:v>
                </c:pt>
                <c:pt idx="130">
                  <c:v>47119</c:v>
                </c:pt>
                <c:pt idx="131">
                  <c:v>47150</c:v>
                </c:pt>
                <c:pt idx="132">
                  <c:v>47178</c:v>
                </c:pt>
                <c:pt idx="133">
                  <c:v>47209</c:v>
                </c:pt>
                <c:pt idx="134">
                  <c:v>47239</c:v>
                </c:pt>
                <c:pt idx="135">
                  <c:v>47270</c:v>
                </c:pt>
                <c:pt idx="136">
                  <c:v>47300</c:v>
                </c:pt>
                <c:pt idx="137">
                  <c:v>47331</c:v>
                </c:pt>
              </c:numCache>
            </c:numRef>
          </c:xVal>
          <c:yVal>
            <c:numRef>
              <c:f>'参考資料(係数 通販+店舗　台数実績)'!$AO$7:$AO$159</c:f>
              <c:numCache>
                <c:formatCode>General</c:formatCode>
                <c:ptCount val="138"/>
                <c:pt idx="65" formatCode="#,##0_ ;[Red]\-#,##0\ ">
                  <c:v>2302</c:v>
                </c:pt>
                <c:pt idx="66" formatCode="#,##0_ ;[Red]\-#,##0\ ">
                  <c:v>1968</c:v>
                </c:pt>
                <c:pt idx="67" formatCode="#,##0_ ;[Red]\-#,##0\ ">
                  <c:v>1799</c:v>
                </c:pt>
                <c:pt idx="68" formatCode="#,##0_ ;[Red]\-#,##0\ ">
                  <c:v>1894</c:v>
                </c:pt>
                <c:pt idx="69" formatCode="#,##0_ ;[Red]\-#,##0\ ">
                  <c:v>2688</c:v>
                </c:pt>
                <c:pt idx="70" formatCode="#,##0_ ;[Red]\-#,##0\ ">
                  <c:v>2997</c:v>
                </c:pt>
                <c:pt idx="71" formatCode="#,##0_ ;[Red]\-#,##0\ ">
                  <c:v>2607</c:v>
                </c:pt>
                <c:pt idx="72" formatCode="#,##0_ ;[Red]\-#,##0\ ">
                  <c:v>2922</c:v>
                </c:pt>
                <c:pt idx="73" formatCode="#,##0_ ;[Red]\-#,##0\ ">
                  <c:v>1795</c:v>
                </c:pt>
                <c:pt idx="74" formatCode="#,##0_ ;[Red]\-#,##0\ ">
                  <c:v>1319</c:v>
                </c:pt>
                <c:pt idx="75" formatCode="#,##0_ ;[Red]\-#,##0\ ">
                  <c:v>1799</c:v>
                </c:pt>
                <c:pt idx="76" formatCode="#,##0_ ;[Red]\-#,##0\ ">
                  <c:v>3044</c:v>
                </c:pt>
                <c:pt idx="77" formatCode="#,##0_ ;[Red]\-#,##0\ ">
                  <c:v>2806.9517923362173</c:v>
                </c:pt>
                <c:pt idx="78" formatCode="#,##0_ ;[Red]\-#,##0\ ">
                  <c:v>3242.5132773539062</c:v>
                </c:pt>
                <c:pt idx="79" formatCode="#,##0_ ;[Red]\-#,##0\ ">
                  <c:v>3177.7992518604983</c:v>
                </c:pt>
                <c:pt idx="80" formatCode="#,##0_ ;[Red]\-#,##0\ ">
                  <c:v>3102.3446577523951</c:v>
                </c:pt>
                <c:pt idx="81" formatCode="#,##0_ ;[Red]\-#,##0\ ">
                  <c:v>4229.2833202459024</c:v>
                </c:pt>
                <c:pt idx="82" formatCode="#,##0_ ;[Red]\-#,##0\ ">
                  <c:v>4285.3250603551678</c:v>
                </c:pt>
                <c:pt idx="83" formatCode="#,##0_ ;[Red]\-#,##0\ ">
                  <c:v>3699.8981395416199</c:v>
                </c:pt>
                <c:pt idx="84" formatCode="#,##0_ ;[Red]\-#,##0\ ">
                  <c:v>5399.3892443033437</c:v>
                </c:pt>
                <c:pt idx="85" formatCode="#,##0_ ;[Red]\-#,##0\ ">
                  <c:v>3270.0902696819858</c:v>
                </c:pt>
                <c:pt idx="86" formatCode="#,##0_ ;[Red]\-#,##0\ ">
                  <c:v>2059.3497095262137</c:v>
                </c:pt>
                <c:pt idx="87" formatCode="#,##0_ ;[Red]\-#,##0\ ">
                  <c:v>2270.8767753217044</c:v>
                </c:pt>
                <c:pt idx="88" formatCode="#,##0_ ;[Red]\-#,##0\ ">
                  <c:v>2251.2761126493838</c:v>
                </c:pt>
              </c:numCache>
            </c:numRef>
          </c:yVal>
          <c:smooth val="1"/>
          <c:extLst>
            <c:ext xmlns:c16="http://schemas.microsoft.com/office/drawing/2014/chart" uri="{C3380CC4-5D6E-409C-BE32-E72D297353CC}">
              <c16:uniqueId val="{00000004-78AC-489E-83F7-9CF15A213A13}"/>
            </c:ext>
          </c:extLst>
        </c:ser>
        <c:dLbls>
          <c:showLegendKey val="0"/>
          <c:showVal val="0"/>
          <c:showCatName val="0"/>
          <c:showSerName val="0"/>
          <c:showPercent val="0"/>
          <c:showBubbleSize val="0"/>
        </c:dLbls>
        <c:axId val="1376320831"/>
        <c:axId val="1376321311"/>
      </c:scatterChart>
      <c:valAx>
        <c:axId val="1376320831"/>
        <c:scaling>
          <c:orientation val="minMax"/>
          <c:min val="42736"/>
        </c:scaling>
        <c:delete val="0"/>
        <c:axPos val="b"/>
        <c:majorGridlines>
          <c:spPr>
            <a:ln w="9525" cap="flat" cmpd="sng" algn="ctr">
              <a:solidFill>
                <a:schemeClr val="tx1">
                  <a:lumMod val="15000"/>
                  <a:lumOff val="85000"/>
                </a:schemeClr>
              </a:solidFill>
              <a:round/>
            </a:ln>
            <a:effectLst/>
          </c:spPr>
        </c:majorGridlines>
        <c:numFmt formatCode="yyyy/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376321311"/>
        <c:crosses val="autoZero"/>
        <c:crossBetween val="midCat"/>
      </c:valAx>
      <c:valAx>
        <c:axId val="1376321311"/>
        <c:scaling>
          <c:orientation val="minMax"/>
        </c:scaling>
        <c:delete val="0"/>
        <c:axPos val="l"/>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37632083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sz="1400" b="0" i="0" u="none" strike="noStrike" baseline="0"/>
              <a:t>指数平滑法：</a:t>
            </a:r>
            <a:r>
              <a:rPr lang="en-US" altLang="ja-JP" sz="1400" b="0" i="0" u="none" strike="noStrike" baseline="0"/>
              <a:t>FORECAST.ETS</a:t>
            </a:r>
            <a:r>
              <a:rPr lang="ja-JP" altLang="en-US" sz="1400" b="0" i="0" u="none" strike="noStrike" baseline="0"/>
              <a:t>の検証</a:t>
            </a:r>
            <a:endParaRPr lang="ja-JP"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ltLang="en-US"/>
        </a:p>
      </c:txPr>
    </c:title>
    <c:autoTitleDeleted val="0"/>
    <c:plotArea>
      <c:layout/>
      <c:scatterChart>
        <c:scatterStyle val="smoothMarker"/>
        <c:varyColors val="0"/>
        <c:ser>
          <c:idx val="0"/>
          <c:order val="0"/>
          <c:tx>
            <c:strRef>
              <c:f>'参考資料(係数 通販+店舗　台数実績)'!$AK$6</c:f>
              <c:strCache>
                <c:ptCount val="1"/>
                <c:pt idx="0">
                  <c:v>実績</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'参考資料(係数 通販+店舗　台数実績)'!$AJ$87:$AJ$159</c:f>
              <c:numCache>
                <c:formatCode>yyyy/m</c:formatCode>
                <c:ptCount val="73"/>
                <c:pt idx="0">
                  <c:v>45139</c:v>
                </c:pt>
                <c:pt idx="1">
                  <c:v>45170</c:v>
                </c:pt>
                <c:pt idx="2">
                  <c:v>45200</c:v>
                </c:pt>
                <c:pt idx="3">
                  <c:v>45231</c:v>
                </c:pt>
                <c:pt idx="4">
                  <c:v>45261</c:v>
                </c:pt>
                <c:pt idx="5">
                  <c:v>45292</c:v>
                </c:pt>
                <c:pt idx="6">
                  <c:v>45323</c:v>
                </c:pt>
                <c:pt idx="7">
                  <c:v>45352</c:v>
                </c:pt>
                <c:pt idx="8">
                  <c:v>45383</c:v>
                </c:pt>
                <c:pt idx="9">
                  <c:v>45413</c:v>
                </c:pt>
                <c:pt idx="10">
                  <c:v>45444</c:v>
                </c:pt>
                <c:pt idx="11">
                  <c:v>45474</c:v>
                </c:pt>
                <c:pt idx="12">
                  <c:v>45505</c:v>
                </c:pt>
                <c:pt idx="13">
                  <c:v>45536</c:v>
                </c:pt>
                <c:pt idx="14">
                  <c:v>45566</c:v>
                </c:pt>
                <c:pt idx="15">
                  <c:v>45597</c:v>
                </c:pt>
                <c:pt idx="16">
                  <c:v>45627</c:v>
                </c:pt>
                <c:pt idx="17">
                  <c:v>45658</c:v>
                </c:pt>
                <c:pt idx="18">
                  <c:v>45689</c:v>
                </c:pt>
                <c:pt idx="19">
                  <c:v>45717</c:v>
                </c:pt>
                <c:pt idx="20">
                  <c:v>45748</c:v>
                </c:pt>
                <c:pt idx="21">
                  <c:v>45778</c:v>
                </c:pt>
                <c:pt idx="22">
                  <c:v>45809</c:v>
                </c:pt>
                <c:pt idx="23">
                  <c:v>45839</c:v>
                </c:pt>
                <c:pt idx="24">
                  <c:v>45870</c:v>
                </c:pt>
                <c:pt idx="25">
                  <c:v>45901</c:v>
                </c:pt>
                <c:pt idx="26">
                  <c:v>45931</c:v>
                </c:pt>
                <c:pt idx="27">
                  <c:v>45962</c:v>
                </c:pt>
                <c:pt idx="28">
                  <c:v>45992</c:v>
                </c:pt>
                <c:pt idx="29">
                  <c:v>46023</c:v>
                </c:pt>
                <c:pt idx="30">
                  <c:v>46054</c:v>
                </c:pt>
                <c:pt idx="31">
                  <c:v>46082</c:v>
                </c:pt>
                <c:pt idx="32">
                  <c:v>46113</c:v>
                </c:pt>
                <c:pt idx="33">
                  <c:v>46143</c:v>
                </c:pt>
                <c:pt idx="34">
                  <c:v>46174</c:v>
                </c:pt>
                <c:pt idx="35">
                  <c:v>46204</c:v>
                </c:pt>
                <c:pt idx="36">
                  <c:v>46235</c:v>
                </c:pt>
                <c:pt idx="37">
                  <c:v>46266</c:v>
                </c:pt>
                <c:pt idx="38">
                  <c:v>46296</c:v>
                </c:pt>
                <c:pt idx="39">
                  <c:v>46327</c:v>
                </c:pt>
                <c:pt idx="40">
                  <c:v>46357</c:v>
                </c:pt>
                <c:pt idx="41">
                  <c:v>46388</c:v>
                </c:pt>
                <c:pt idx="42">
                  <c:v>46419</c:v>
                </c:pt>
                <c:pt idx="43">
                  <c:v>46447</c:v>
                </c:pt>
                <c:pt idx="44">
                  <c:v>46478</c:v>
                </c:pt>
                <c:pt idx="45">
                  <c:v>46508</c:v>
                </c:pt>
                <c:pt idx="46">
                  <c:v>46539</c:v>
                </c:pt>
                <c:pt idx="47">
                  <c:v>46569</c:v>
                </c:pt>
                <c:pt idx="48">
                  <c:v>46600</c:v>
                </c:pt>
                <c:pt idx="49">
                  <c:v>46631</c:v>
                </c:pt>
                <c:pt idx="50">
                  <c:v>46661</c:v>
                </c:pt>
                <c:pt idx="51">
                  <c:v>46692</c:v>
                </c:pt>
                <c:pt idx="52">
                  <c:v>46722</c:v>
                </c:pt>
                <c:pt idx="53">
                  <c:v>46753</c:v>
                </c:pt>
                <c:pt idx="54">
                  <c:v>46784</c:v>
                </c:pt>
                <c:pt idx="55">
                  <c:v>46813</c:v>
                </c:pt>
                <c:pt idx="56">
                  <c:v>46844</c:v>
                </c:pt>
                <c:pt idx="57">
                  <c:v>46874</c:v>
                </c:pt>
                <c:pt idx="58">
                  <c:v>46905</c:v>
                </c:pt>
                <c:pt idx="59">
                  <c:v>46935</c:v>
                </c:pt>
                <c:pt idx="60">
                  <c:v>46966</c:v>
                </c:pt>
                <c:pt idx="61">
                  <c:v>46997</c:v>
                </c:pt>
                <c:pt idx="62">
                  <c:v>47027</c:v>
                </c:pt>
                <c:pt idx="63">
                  <c:v>47058</c:v>
                </c:pt>
                <c:pt idx="64">
                  <c:v>47088</c:v>
                </c:pt>
                <c:pt idx="65">
                  <c:v>47119</c:v>
                </c:pt>
                <c:pt idx="66">
                  <c:v>47150</c:v>
                </c:pt>
                <c:pt idx="67">
                  <c:v>47178</c:v>
                </c:pt>
                <c:pt idx="68">
                  <c:v>47209</c:v>
                </c:pt>
                <c:pt idx="69">
                  <c:v>47239</c:v>
                </c:pt>
                <c:pt idx="70">
                  <c:v>47270</c:v>
                </c:pt>
                <c:pt idx="71">
                  <c:v>47300</c:v>
                </c:pt>
                <c:pt idx="72">
                  <c:v>47331</c:v>
                </c:pt>
              </c:numCache>
            </c:numRef>
          </c:xVal>
          <c:yVal>
            <c:numRef>
              <c:f>'参考資料(係数 通販+店舗　台数実績)'!$AK$87:$AK$159</c:f>
              <c:numCache>
                <c:formatCode>#,##0_ ;[Red]\-#,##0\ </c:formatCode>
                <c:ptCount val="73"/>
                <c:pt idx="0">
                  <c:v>2302</c:v>
                </c:pt>
                <c:pt idx="1">
                  <c:v>1968</c:v>
                </c:pt>
                <c:pt idx="2">
                  <c:v>1799</c:v>
                </c:pt>
                <c:pt idx="3">
                  <c:v>1894</c:v>
                </c:pt>
                <c:pt idx="4">
                  <c:v>2688</c:v>
                </c:pt>
                <c:pt idx="5">
                  <c:v>2997</c:v>
                </c:pt>
                <c:pt idx="6">
                  <c:v>2607</c:v>
                </c:pt>
                <c:pt idx="7">
                  <c:v>2922</c:v>
                </c:pt>
                <c:pt idx="8">
                  <c:v>1795</c:v>
                </c:pt>
                <c:pt idx="9">
                  <c:v>1319</c:v>
                </c:pt>
                <c:pt idx="10">
                  <c:v>1799</c:v>
                </c:pt>
                <c:pt idx="11">
                  <c:v>3044</c:v>
                </c:pt>
                <c:pt idx="12">
                  <c:v>2335</c:v>
                </c:pt>
                <c:pt idx="13">
                  <c:v>1700</c:v>
                </c:pt>
                <c:pt idx="14">
                  <c:v>1352</c:v>
                </c:pt>
                <c:pt idx="15">
                  <c:v>1111</c:v>
                </c:pt>
                <c:pt idx="16">
                  <c:v>2482</c:v>
                </c:pt>
                <c:pt idx="17">
                  <c:v>2150</c:v>
                </c:pt>
                <c:pt idx="18">
                  <c:v>2050</c:v>
                </c:pt>
                <c:pt idx="19">
                  <c:v>3129</c:v>
                </c:pt>
                <c:pt idx="20">
                  <c:v>2551</c:v>
                </c:pt>
                <c:pt idx="21">
                  <c:v>1920</c:v>
                </c:pt>
                <c:pt idx="22">
                  <c:v>2661</c:v>
                </c:pt>
                <c:pt idx="23">
                  <c:v>3657</c:v>
                </c:pt>
                <c:pt idx="24" formatCode="General">
                  <c:v>2318</c:v>
                </c:pt>
                <c:pt idx="25" formatCode="General">
                  <c:v>2270</c:v>
                </c:pt>
                <c:pt idx="26" formatCode="General">
                  <c:v>0</c:v>
                </c:pt>
                <c:pt idx="27" formatCode="General">
                  <c:v>0</c:v>
                </c:pt>
              </c:numCache>
            </c:numRef>
          </c:yVal>
          <c:smooth val="1"/>
          <c:extLst>
            <c:ext xmlns:c16="http://schemas.microsoft.com/office/drawing/2014/chart" uri="{C3380CC4-5D6E-409C-BE32-E72D297353CC}">
              <c16:uniqueId val="{00000000-78AC-489E-83F7-9CF15A213A13}"/>
            </c:ext>
          </c:extLst>
        </c:ser>
        <c:ser>
          <c:idx val="1"/>
          <c:order val="1"/>
          <c:tx>
            <c:strRef>
              <c:f>'参考資料(係数 通販+店舗　台数実績)'!$AL$6</c:f>
              <c:strCache>
                <c:ptCount val="1"/>
                <c:pt idx="0">
                  <c:v>指数平滑法予測</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'参考資料(係数 通販+店舗　台数実績)'!$AJ$87:$AJ$159</c:f>
              <c:numCache>
                <c:formatCode>yyyy/m</c:formatCode>
                <c:ptCount val="73"/>
                <c:pt idx="0">
                  <c:v>45139</c:v>
                </c:pt>
                <c:pt idx="1">
                  <c:v>45170</c:v>
                </c:pt>
                <c:pt idx="2">
                  <c:v>45200</c:v>
                </c:pt>
                <c:pt idx="3">
                  <c:v>45231</c:v>
                </c:pt>
                <c:pt idx="4">
                  <c:v>45261</c:v>
                </c:pt>
                <c:pt idx="5">
                  <c:v>45292</c:v>
                </c:pt>
                <c:pt idx="6">
                  <c:v>45323</c:v>
                </c:pt>
                <c:pt idx="7">
                  <c:v>45352</c:v>
                </c:pt>
                <c:pt idx="8">
                  <c:v>45383</c:v>
                </c:pt>
                <c:pt idx="9">
                  <c:v>45413</c:v>
                </c:pt>
                <c:pt idx="10">
                  <c:v>45444</c:v>
                </c:pt>
                <c:pt idx="11">
                  <c:v>45474</c:v>
                </c:pt>
                <c:pt idx="12">
                  <c:v>45505</c:v>
                </c:pt>
                <c:pt idx="13">
                  <c:v>45536</c:v>
                </c:pt>
                <c:pt idx="14">
                  <c:v>45566</c:v>
                </c:pt>
                <c:pt idx="15">
                  <c:v>45597</c:v>
                </c:pt>
                <c:pt idx="16">
                  <c:v>45627</c:v>
                </c:pt>
                <c:pt idx="17">
                  <c:v>45658</c:v>
                </c:pt>
                <c:pt idx="18">
                  <c:v>45689</c:v>
                </c:pt>
                <c:pt idx="19">
                  <c:v>45717</c:v>
                </c:pt>
                <c:pt idx="20">
                  <c:v>45748</c:v>
                </c:pt>
                <c:pt idx="21">
                  <c:v>45778</c:v>
                </c:pt>
                <c:pt idx="22">
                  <c:v>45809</c:v>
                </c:pt>
                <c:pt idx="23">
                  <c:v>45839</c:v>
                </c:pt>
                <c:pt idx="24">
                  <c:v>45870</c:v>
                </c:pt>
                <c:pt idx="25">
                  <c:v>45901</c:v>
                </c:pt>
                <c:pt idx="26">
                  <c:v>45931</c:v>
                </c:pt>
                <c:pt idx="27">
                  <c:v>45962</c:v>
                </c:pt>
                <c:pt idx="28">
                  <c:v>45992</c:v>
                </c:pt>
                <c:pt idx="29">
                  <c:v>46023</c:v>
                </c:pt>
                <c:pt idx="30">
                  <c:v>46054</c:v>
                </c:pt>
                <c:pt idx="31">
                  <c:v>46082</c:v>
                </c:pt>
                <c:pt idx="32">
                  <c:v>46113</c:v>
                </c:pt>
                <c:pt idx="33">
                  <c:v>46143</c:v>
                </c:pt>
                <c:pt idx="34">
                  <c:v>46174</c:v>
                </c:pt>
                <c:pt idx="35">
                  <c:v>46204</c:v>
                </c:pt>
                <c:pt idx="36">
                  <c:v>46235</c:v>
                </c:pt>
                <c:pt idx="37">
                  <c:v>46266</c:v>
                </c:pt>
                <c:pt idx="38">
                  <c:v>46296</c:v>
                </c:pt>
                <c:pt idx="39">
                  <c:v>46327</c:v>
                </c:pt>
                <c:pt idx="40">
                  <c:v>46357</c:v>
                </c:pt>
                <c:pt idx="41">
                  <c:v>46388</c:v>
                </c:pt>
                <c:pt idx="42">
                  <c:v>46419</c:v>
                </c:pt>
                <c:pt idx="43">
                  <c:v>46447</c:v>
                </c:pt>
                <c:pt idx="44">
                  <c:v>46478</c:v>
                </c:pt>
                <c:pt idx="45">
                  <c:v>46508</c:v>
                </c:pt>
                <c:pt idx="46">
                  <c:v>46539</c:v>
                </c:pt>
                <c:pt idx="47">
                  <c:v>46569</c:v>
                </c:pt>
                <c:pt idx="48">
                  <c:v>46600</c:v>
                </c:pt>
                <c:pt idx="49">
                  <c:v>46631</c:v>
                </c:pt>
                <c:pt idx="50">
                  <c:v>46661</c:v>
                </c:pt>
                <c:pt idx="51">
                  <c:v>46692</c:v>
                </c:pt>
                <c:pt idx="52">
                  <c:v>46722</c:v>
                </c:pt>
                <c:pt idx="53">
                  <c:v>46753</c:v>
                </c:pt>
                <c:pt idx="54">
                  <c:v>46784</c:v>
                </c:pt>
                <c:pt idx="55">
                  <c:v>46813</c:v>
                </c:pt>
                <c:pt idx="56">
                  <c:v>46844</c:v>
                </c:pt>
                <c:pt idx="57">
                  <c:v>46874</c:v>
                </c:pt>
                <c:pt idx="58">
                  <c:v>46905</c:v>
                </c:pt>
                <c:pt idx="59">
                  <c:v>46935</c:v>
                </c:pt>
                <c:pt idx="60">
                  <c:v>46966</c:v>
                </c:pt>
                <c:pt idx="61">
                  <c:v>46997</c:v>
                </c:pt>
                <c:pt idx="62">
                  <c:v>47027</c:v>
                </c:pt>
                <c:pt idx="63">
                  <c:v>47058</c:v>
                </c:pt>
                <c:pt idx="64">
                  <c:v>47088</c:v>
                </c:pt>
                <c:pt idx="65">
                  <c:v>47119</c:v>
                </c:pt>
                <c:pt idx="66">
                  <c:v>47150</c:v>
                </c:pt>
                <c:pt idx="67">
                  <c:v>47178</c:v>
                </c:pt>
                <c:pt idx="68">
                  <c:v>47209</c:v>
                </c:pt>
                <c:pt idx="69">
                  <c:v>47239</c:v>
                </c:pt>
                <c:pt idx="70">
                  <c:v>47270</c:v>
                </c:pt>
                <c:pt idx="71">
                  <c:v>47300</c:v>
                </c:pt>
                <c:pt idx="72">
                  <c:v>47331</c:v>
                </c:pt>
              </c:numCache>
            </c:numRef>
          </c:xVal>
          <c:yVal>
            <c:numRef>
              <c:f>'参考資料(係数 通販+店舗　台数実績)'!$AL$87:$AL$159</c:f>
              <c:numCache>
                <c:formatCode>0</c:formatCode>
                <c:ptCount val="73"/>
                <c:pt idx="0">
                  <c:v>2555.3528944402069</c:v>
                </c:pt>
                <c:pt idx="1">
                  <c:v>2498.6455218207134</c:v>
                </c:pt>
                <c:pt idx="2">
                  <c:v>2279.6652350364966</c:v>
                </c:pt>
                <c:pt idx="3">
                  <c:v>2351.7462868737493</c:v>
                </c:pt>
                <c:pt idx="4">
                  <c:v>2928.596791115488</c:v>
                </c:pt>
                <c:pt idx="5">
                  <c:v>2758.1131187722312</c:v>
                </c:pt>
                <c:pt idx="6">
                  <c:v>2571.1236013953671</c:v>
                </c:pt>
                <c:pt idx="7">
                  <c:v>2960.4849339632647</c:v>
                </c:pt>
                <c:pt idx="8">
                  <c:v>3219.6631274531692</c:v>
                </c:pt>
                <c:pt idx="9">
                  <c:v>2840.3700397721032</c:v>
                </c:pt>
                <c:pt idx="10">
                  <c:v>2754.9331081423043</c:v>
                </c:pt>
                <c:pt idx="11">
                  <c:v>2791.1177569178135</c:v>
                </c:pt>
                <c:pt idx="12">
                  <c:v>2795.505894462895</c:v>
                </c:pt>
                <c:pt idx="13">
                  <c:v>2738.7985218434014</c:v>
                </c:pt>
                <c:pt idx="14">
                  <c:v>2519.8182350591842</c:v>
                </c:pt>
                <c:pt idx="15">
                  <c:v>2591.8992868964374</c:v>
                </c:pt>
                <c:pt idx="16">
                  <c:v>3168.7497911381761</c:v>
                </c:pt>
                <c:pt idx="17">
                  <c:v>2998.2661187949193</c:v>
                </c:pt>
                <c:pt idx="18">
                  <c:v>2811.2766014180552</c:v>
                </c:pt>
                <c:pt idx="19">
                  <c:v>3200.6379339859523</c:v>
                </c:pt>
                <c:pt idx="20">
                  <c:v>3459.8161274758572</c:v>
                </c:pt>
                <c:pt idx="21">
                  <c:v>3080.5230397947912</c:v>
                </c:pt>
                <c:pt idx="22">
                  <c:v>2995.0861081649923</c:v>
                </c:pt>
                <c:pt idx="23">
                  <c:v>3031.2707569405015</c:v>
                </c:pt>
                <c:pt idx="24">
                  <c:v>3035.658894485583</c:v>
                </c:pt>
                <c:pt idx="25">
                  <c:v>2978.9515218660895</c:v>
                </c:pt>
                <c:pt idx="26">
                  <c:v>2759.9712350818727</c:v>
                </c:pt>
                <c:pt idx="27">
                  <c:v>2832.0522869191254</c:v>
                </c:pt>
                <c:pt idx="28">
                  <c:v>3408.9027911608637</c:v>
                </c:pt>
                <c:pt idx="29">
                  <c:v>3238.4191188176069</c:v>
                </c:pt>
                <c:pt idx="30">
                  <c:v>3051.4296014407428</c:v>
                </c:pt>
                <c:pt idx="31">
                  <c:v>3440.7909340086403</c:v>
                </c:pt>
                <c:pt idx="32">
                  <c:v>3699.9691274985453</c:v>
                </c:pt>
                <c:pt idx="33">
                  <c:v>3320.6760398174792</c:v>
                </c:pt>
                <c:pt idx="34">
                  <c:v>3235.2391081876804</c:v>
                </c:pt>
                <c:pt idx="35">
                  <c:v>3271.4237569631896</c:v>
                </c:pt>
                <c:pt idx="36">
                  <c:v>3275.8118945082711</c:v>
                </c:pt>
                <c:pt idx="37">
                  <c:v>3219.1045218887775</c:v>
                </c:pt>
                <c:pt idx="38">
                  <c:v>3000.1242351045603</c:v>
                </c:pt>
                <c:pt idx="39">
                  <c:v>3072.205286941813</c:v>
                </c:pt>
                <c:pt idx="40">
                  <c:v>3649.0557911835517</c:v>
                </c:pt>
                <c:pt idx="41">
                  <c:v>3478.5721188402949</c:v>
                </c:pt>
                <c:pt idx="42">
                  <c:v>3291.5826014634308</c:v>
                </c:pt>
                <c:pt idx="43">
                  <c:v>3680.9439340313284</c:v>
                </c:pt>
                <c:pt idx="44">
                  <c:v>3940.1221275212333</c:v>
                </c:pt>
                <c:pt idx="45">
                  <c:v>3560.8290398401673</c:v>
                </c:pt>
                <c:pt idx="46">
                  <c:v>3475.3921082103684</c:v>
                </c:pt>
                <c:pt idx="47">
                  <c:v>3511.5767569858772</c:v>
                </c:pt>
                <c:pt idx="48">
                  <c:v>3515.9648945309586</c:v>
                </c:pt>
                <c:pt idx="49">
                  <c:v>3459.2575219114651</c:v>
                </c:pt>
                <c:pt idx="50">
                  <c:v>3240.2772351272479</c:v>
                </c:pt>
                <c:pt idx="51">
                  <c:v>3312.3582869645011</c:v>
                </c:pt>
                <c:pt idx="52">
                  <c:v>3889.2087912062398</c:v>
                </c:pt>
                <c:pt idx="53">
                  <c:v>3718.725118862983</c:v>
                </c:pt>
                <c:pt idx="54">
                  <c:v>3531.7356014861189</c:v>
                </c:pt>
                <c:pt idx="55">
                  <c:v>3921.0969340540164</c:v>
                </c:pt>
                <c:pt idx="56">
                  <c:v>4180.2751275439214</c:v>
                </c:pt>
                <c:pt idx="57">
                  <c:v>3800.9820398628553</c:v>
                </c:pt>
                <c:pt idx="58">
                  <c:v>3715.5451082330565</c:v>
                </c:pt>
                <c:pt idx="59">
                  <c:v>3751.7297570085652</c:v>
                </c:pt>
                <c:pt idx="60">
                  <c:v>3756.1178945536467</c:v>
                </c:pt>
                <c:pt idx="61">
                  <c:v>3699.4105219341532</c:v>
                </c:pt>
                <c:pt idx="62">
                  <c:v>3480.4302351499364</c:v>
                </c:pt>
                <c:pt idx="63">
                  <c:v>3552.5112869871891</c:v>
                </c:pt>
                <c:pt idx="64">
                  <c:v>4129.3617912289274</c:v>
                </c:pt>
                <c:pt idx="65">
                  <c:v>3958.878118885671</c:v>
                </c:pt>
                <c:pt idx="66">
                  <c:v>3771.8886015088069</c:v>
                </c:pt>
                <c:pt idx="67">
                  <c:v>4161.2499340767044</c:v>
                </c:pt>
                <c:pt idx="68">
                  <c:v>4420.428127566609</c:v>
                </c:pt>
                <c:pt idx="69">
                  <c:v>4041.1350398855429</c:v>
                </c:pt>
                <c:pt idx="70">
                  <c:v>3955.698108255744</c:v>
                </c:pt>
                <c:pt idx="71">
                  <c:v>3991.8827570312533</c:v>
                </c:pt>
                <c:pt idx="72">
                  <c:v>3996.2708945763347</c:v>
                </c:pt>
              </c:numCache>
            </c:numRef>
          </c:yVal>
          <c:smooth val="1"/>
          <c:extLst>
            <c:ext xmlns:c16="http://schemas.microsoft.com/office/drawing/2014/chart" uri="{C3380CC4-5D6E-409C-BE32-E72D297353CC}">
              <c16:uniqueId val="{00000001-78AC-489E-83F7-9CF15A213A13}"/>
            </c:ext>
          </c:extLst>
        </c:ser>
        <c:ser>
          <c:idx val="2"/>
          <c:order val="2"/>
          <c:tx>
            <c:strRef>
              <c:f>'参考資料(係数 通販+店舗　台数実績)'!$AM$6</c:f>
              <c:strCache>
                <c:ptCount val="1"/>
                <c:pt idx="0">
                  <c:v>40期以降抜粋予測</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'参考資料(係数 通販+店舗　台数実績)'!$AJ$87:$AJ$159</c:f>
              <c:numCache>
                <c:formatCode>yyyy/m</c:formatCode>
                <c:ptCount val="73"/>
                <c:pt idx="0">
                  <c:v>45139</c:v>
                </c:pt>
                <c:pt idx="1">
                  <c:v>45170</c:v>
                </c:pt>
                <c:pt idx="2">
                  <c:v>45200</c:v>
                </c:pt>
                <c:pt idx="3">
                  <c:v>45231</c:v>
                </c:pt>
                <c:pt idx="4">
                  <c:v>45261</c:v>
                </c:pt>
                <c:pt idx="5">
                  <c:v>45292</c:v>
                </c:pt>
                <c:pt idx="6">
                  <c:v>45323</c:v>
                </c:pt>
                <c:pt idx="7">
                  <c:v>45352</c:v>
                </c:pt>
                <c:pt idx="8">
                  <c:v>45383</c:v>
                </c:pt>
                <c:pt idx="9">
                  <c:v>45413</c:v>
                </c:pt>
                <c:pt idx="10">
                  <c:v>45444</c:v>
                </c:pt>
                <c:pt idx="11">
                  <c:v>45474</c:v>
                </c:pt>
                <c:pt idx="12">
                  <c:v>45505</c:v>
                </c:pt>
                <c:pt idx="13">
                  <c:v>45536</c:v>
                </c:pt>
                <c:pt idx="14">
                  <c:v>45566</c:v>
                </c:pt>
                <c:pt idx="15">
                  <c:v>45597</c:v>
                </c:pt>
                <c:pt idx="16">
                  <c:v>45627</c:v>
                </c:pt>
                <c:pt idx="17">
                  <c:v>45658</c:v>
                </c:pt>
                <c:pt idx="18">
                  <c:v>45689</c:v>
                </c:pt>
                <c:pt idx="19">
                  <c:v>45717</c:v>
                </c:pt>
                <c:pt idx="20">
                  <c:v>45748</c:v>
                </c:pt>
                <c:pt idx="21">
                  <c:v>45778</c:v>
                </c:pt>
                <c:pt idx="22">
                  <c:v>45809</c:v>
                </c:pt>
                <c:pt idx="23">
                  <c:v>45839</c:v>
                </c:pt>
                <c:pt idx="24">
                  <c:v>45870</c:v>
                </c:pt>
                <c:pt idx="25">
                  <c:v>45901</c:v>
                </c:pt>
                <c:pt idx="26">
                  <c:v>45931</c:v>
                </c:pt>
                <c:pt idx="27">
                  <c:v>45962</c:v>
                </c:pt>
                <c:pt idx="28">
                  <c:v>45992</c:v>
                </c:pt>
                <c:pt idx="29">
                  <c:v>46023</c:v>
                </c:pt>
                <c:pt idx="30">
                  <c:v>46054</c:v>
                </c:pt>
                <c:pt idx="31">
                  <c:v>46082</c:v>
                </c:pt>
                <c:pt idx="32">
                  <c:v>46113</c:v>
                </c:pt>
                <c:pt idx="33">
                  <c:v>46143</c:v>
                </c:pt>
                <c:pt idx="34">
                  <c:v>46174</c:v>
                </c:pt>
                <c:pt idx="35">
                  <c:v>46204</c:v>
                </c:pt>
                <c:pt idx="36">
                  <c:v>46235</c:v>
                </c:pt>
                <c:pt idx="37">
                  <c:v>46266</c:v>
                </c:pt>
                <c:pt idx="38">
                  <c:v>46296</c:v>
                </c:pt>
                <c:pt idx="39">
                  <c:v>46327</c:v>
                </c:pt>
                <c:pt idx="40">
                  <c:v>46357</c:v>
                </c:pt>
                <c:pt idx="41">
                  <c:v>46388</c:v>
                </c:pt>
                <c:pt idx="42">
                  <c:v>46419</c:v>
                </c:pt>
                <c:pt idx="43">
                  <c:v>46447</c:v>
                </c:pt>
                <c:pt idx="44">
                  <c:v>46478</c:v>
                </c:pt>
                <c:pt idx="45">
                  <c:v>46508</c:v>
                </c:pt>
                <c:pt idx="46">
                  <c:v>46539</c:v>
                </c:pt>
                <c:pt idx="47">
                  <c:v>46569</c:v>
                </c:pt>
                <c:pt idx="48">
                  <c:v>46600</c:v>
                </c:pt>
                <c:pt idx="49">
                  <c:v>46631</c:v>
                </c:pt>
                <c:pt idx="50">
                  <c:v>46661</c:v>
                </c:pt>
                <c:pt idx="51">
                  <c:v>46692</c:v>
                </c:pt>
                <c:pt idx="52">
                  <c:v>46722</c:v>
                </c:pt>
                <c:pt idx="53">
                  <c:v>46753</c:v>
                </c:pt>
                <c:pt idx="54">
                  <c:v>46784</c:v>
                </c:pt>
                <c:pt idx="55">
                  <c:v>46813</c:v>
                </c:pt>
                <c:pt idx="56">
                  <c:v>46844</c:v>
                </c:pt>
                <c:pt idx="57">
                  <c:v>46874</c:v>
                </c:pt>
                <c:pt idx="58">
                  <c:v>46905</c:v>
                </c:pt>
                <c:pt idx="59">
                  <c:v>46935</c:v>
                </c:pt>
                <c:pt idx="60">
                  <c:v>46966</c:v>
                </c:pt>
                <c:pt idx="61">
                  <c:v>46997</c:v>
                </c:pt>
                <c:pt idx="62">
                  <c:v>47027</c:v>
                </c:pt>
                <c:pt idx="63">
                  <c:v>47058</c:v>
                </c:pt>
                <c:pt idx="64">
                  <c:v>47088</c:v>
                </c:pt>
                <c:pt idx="65">
                  <c:v>47119</c:v>
                </c:pt>
                <c:pt idx="66">
                  <c:v>47150</c:v>
                </c:pt>
                <c:pt idx="67">
                  <c:v>47178</c:v>
                </c:pt>
                <c:pt idx="68">
                  <c:v>47209</c:v>
                </c:pt>
                <c:pt idx="69">
                  <c:v>47239</c:v>
                </c:pt>
                <c:pt idx="70">
                  <c:v>47270</c:v>
                </c:pt>
                <c:pt idx="71">
                  <c:v>47300</c:v>
                </c:pt>
                <c:pt idx="72">
                  <c:v>47331</c:v>
                </c:pt>
              </c:numCache>
            </c:numRef>
          </c:xVal>
          <c:yVal>
            <c:numRef>
              <c:f>'参考資料(係数 通販+店舗　台数実績)'!$AM$87:$AM$159</c:f>
              <c:numCache>
                <c:formatCode>0</c:formatCode>
                <c:ptCount val="73"/>
                <c:pt idx="0">
                  <c:v>2722.4722347784814</c:v>
                </c:pt>
                <c:pt idx="1">
                  <c:v>2358.1221385643285</c:v>
                </c:pt>
                <c:pt idx="2">
                  <c:v>2219.9839426708077</c:v>
                </c:pt>
                <c:pt idx="3">
                  <c:v>2296.5354199577619</c:v>
                </c:pt>
                <c:pt idx="4">
                  <c:v>3182.0623628872445</c:v>
                </c:pt>
                <c:pt idx="5">
                  <c:v>2856.6876595139029</c:v>
                </c:pt>
                <c:pt idx="6">
                  <c:v>2402.0475611858456</c:v>
                </c:pt>
                <c:pt idx="7">
                  <c:v>3457.7483452913038</c:v>
                </c:pt>
                <c:pt idx="8">
                  <c:v>2815.9059467584102</c:v>
                </c:pt>
                <c:pt idx="9">
                  <c:v>2339.5812511340669</c:v>
                </c:pt>
                <c:pt idx="10">
                  <c:v>2646.2512755921307</c:v>
                </c:pt>
                <c:pt idx="11">
                  <c:v>3535.0364394867929</c:v>
                </c:pt>
                <c:pt idx="12">
                  <c:v>2844.3161315496877</c:v>
                </c:pt>
                <c:pt idx="13">
                  <c:v>2479.9660353355348</c:v>
                </c:pt>
                <c:pt idx="14">
                  <c:v>2341.8278394420145</c:v>
                </c:pt>
                <c:pt idx="15">
                  <c:v>2418.3793167289682</c:v>
                </c:pt>
                <c:pt idx="16">
                  <c:v>3303.9062596584508</c:v>
                </c:pt>
                <c:pt idx="17">
                  <c:v>2978.5315562851097</c:v>
                </c:pt>
                <c:pt idx="18">
                  <c:v>2523.8914579570524</c:v>
                </c:pt>
                <c:pt idx="19">
                  <c:v>3579.5922420625102</c:v>
                </c:pt>
                <c:pt idx="20">
                  <c:v>2937.7498435296166</c:v>
                </c:pt>
                <c:pt idx="21">
                  <c:v>2461.4251479052737</c:v>
                </c:pt>
                <c:pt idx="22">
                  <c:v>2768.095172363337</c:v>
                </c:pt>
                <c:pt idx="23">
                  <c:v>3656.8803362579993</c:v>
                </c:pt>
                <c:pt idx="24">
                  <c:v>2966.1600283208945</c:v>
                </c:pt>
                <c:pt idx="25">
                  <c:v>2601.8099321067411</c:v>
                </c:pt>
                <c:pt idx="26">
                  <c:v>2463.6717362132208</c:v>
                </c:pt>
                <c:pt idx="27">
                  <c:v>2540.223213500175</c:v>
                </c:pt>
                <c:pt idx="28">
                  <c:v>3425.7501564296572</c:v>
                </c:pt>
                <c:pt idx="29">
                  <c:v>3100.375453056316</c:v>
                </c:pt>
                <c:pt idx="30">
                  <c:v>2645.7353547282587</c:v>
                </c:pt>
                <c:pt idx="31">
                  <c:v>3701.436138833717</c:v>
                </c:pt>
                <c:pt idx="32">
                  <c:v>3059.5937403008229</c:v>
                </c:pt>
                <c:pt idx="33">
                  <c:v>2583.26904467648</c:v>
                </c:pt>
                <c:pt idx="34">
                  <c:v>2889.9390691345434</c:v>
                </c:pt>
                <c:pt idx="35">
                  <c:v>3778.7242330292056</c:v>
                </c:pt>
                <c:pt idx="36">
                  <c:v>3088.0039250921009</c:v>
                </c:pt>
                <c:pt idx="37">
                  <c:v>2723.6538288779479</c:v>
                </c:pt>
                <c:pt idx="38">
                  <c:v>2585.5156329844272</c:v>
                </c:pt>
                <c:pt idx="39">
                  <c:v>2662.0671102713814</c:v>
                </c:pt>
                <c:pt idx="40">
                  <c:v>3547.5940532008635</c:v>
                </c:pt>
                <c:pt idx="41">
                  <c:v>3222.2193498275228</c:v>
                </c:pt>
                <c:pt idx="42">
                  <c:v>2767.579251499465</c:v>
                </c:pt>
                <c:pt idx="43">
                  <c:v>3823.2800356049233</c:v>
                </c:pt>
                <c:pt idx="44">
                  <c:v>3181.4376370720297</c:v>
                </c:pt>
                <c:pt idx="45">
                  <c:v>2705.1129414476864</c:v>
                </c:pt>
                <c:pt idx="46">
                  <c:v>3011.7829659057497</c:v>
                </c:pt>
                <c:pt idx="47">
                  <c:v>3900.568129800412</c:v>
                </c:pt>
                <c:pt idx="48">
                  <c:v>3209.8478218633072</c:v>
                </c:pt>
                <c:pt idx="49">
                  <c:v>2845.4977256491543</c:v>
                </c:pt>
                <c:pt idx="50">
                  <c:v>2707.359529755634</c:v>
                </c:pt>
                <c:pt idx="51">
                  <c:v>2783.9110070425877</c:v>
                </c:pt>
                <c:pt idx="52">
                  <c:v>3669.4379499720699</c:v>
                </c:pt>
                <c:pt idx="53">
                  <c:v>3344.0632465987292</c:v>
                </c:pt>
                <c:pt idx="54">
                  <c:v>2889.4231482706714</c:v>
                </c:pt>
                <c:pt idx="55">
                  <c:v>3945.1239323761297</c:v>
                </c:pt>
                <c:pt idx="56">
                  <c:v>3303.281533843236</c:v>
                </c:pt>
                <c:pt idx="57">
                  <c:v>2826.9568382188932</c:v>
                </c:pt>
                <c:pt idx="58">
                  <c:v>3133.6268626769561</c:v>
                </c:pt>
                <c:pt idx="59">
                  <c:v>4022.4120265716183</c:v>
                </c:pt>
                <c:pt idx="60">
                  <c:v>3331.691718634514</c:v>
                </c:pt>
                <c:pt idx="61">
                  <c:v>2967.3416224203606</c:v>
                </c:pt>
                <c:pt idx="62">
                  <c:v>2829.2034265268403</c:v>
                </c:pt>
                <c:pt idx="63">
                  <c:v>2905.7549038137945</c:v>
                </c:pt>
                <c:pt idx="64">
                  <c:v>3791.2818467432771</c:v>
                </c:pt>
                <c:pt idx="65">
                  <c:v>3465.9071433699355</c:v>
                </c:pt>
                <c:pt idx="66">
                  <c:v>3011.2670450418782</c:v>
                </c:pt>
                <c:pt idx="67">
                  <c:v>4066.9678291473365</c:v>
                </c:pt>
                <c:pt idx="68">
                  <c:v>3425.1254306144424</c:v>
                </c:pt>
                <c:pt idx="69">
                  <c:v>2948.8007349900995</c:v>
                </c:pt>
                <c:pt idx="70">
                  <c:v>3255.4707594481633</c:v>
                </c:pt>
                <c:pt idx="71">
                  <c:v>4144.2559233428246</c:v>
                </c:pt>
                <c:pt idx="72">
                  <c:v>3453.5356154057204</c:v>
                </c:pt>
              </c:numCache>
            </c:numRef>
          </c:yVal>
          <c:smooth val="1"/>
          <c:extLst>
            <c:ext xmlns:c16="http://schemas.microsoft.com/office/drawing/2014/chart" uri="{C3380CC4-5D6E-409C-BE32-E72D297353CC}">
              <c16:uniqueId val="{00000000-AF53-4CAC-A552-F6E7D49CA591}"/>
            </c:ext>
          </c:extLst>
        </c:ser>
        <c:ser>
          <c:idx val="3"/>
          <c:order val="3"/>
          <c:tx>
            <c:strRef>
              <c:f>'参考資料(係数 通販+店舗　台数実績)'!$AN$6</c:f>
              <c:strCache>
                <c:ptCount val="1"/>
                <c:pt idx="0">
                  <c:v>41期以降抜粋予測</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'参考資料(係数 通販+店舗　台数実績)'!$AJ$87:$AJ$159</c:f>
              <c:numCache>
                <c:formatCode>yyyy/m</c:formatCode>
                <c:ptCount val="73"/>
                <c:pt idx="0">
                  <c:v>45139</c:v>
                </c:pt>
                <c:pt idx="1">
                  <c:v>45170</c:v>
                </c:pt>
                <c:pt idx="2">
                  <c:v>45200</c:v>
                </c:pt>
                <c:pt idx="3">
                  <c:v>45231</c:v>
                </c:pt>
                <c:pt idx="4">
                  <c:v>45261</c:v>
                </c:pt>
                <c:pt idx="5">
                  <c:v>45292</c:v>
                </c:pt>
                <c:pt idx="6">
                  <c:v>45323</c:v>
                </c:pt>
                <c:pt idx="7">
                  <c:v>45352</c:v>
                </c:pt>
                <c:pt idx="8">
                  <c:v>45383</c:v>
                </c:pt>
                <c:pt idx="9">
                  <c:v>45413</c:v>
                </c:pt>
                <c:pt idx="10">
                  <c:v>45444</c:v>
                </c:pt>
                <c:pt idx="11">
                  <c:v>45474</c:v>
                </c:pt>
                <c:pt idx="12">
                  <c:v>45505</c:v>
                </c:pt>
                <c:pt idx="13">
                  <c:v>45536</c:v>
                </c:pt>
                <c:pt idx="14">
                  <c:v>45566</c:v>
                </c:pt>
                <c:pt idx="15">
                  <c:v>45597</c:v>
                </c:pt>
                <c:pt idx="16">
                  <c:v>45627</c:v>
                </c:pt>
                <c:pt idx="17">
                  <c:v>45658</c:v>
                </c:pt>
                <c:pt idx="18">
                  <c:v>45689</c:v>
                </c:pt>
                <c:pt idx="19">
                  <c:v>45717</c:v>
                </c:pt>
                <c:pt idx="20">
                  <c:v>45748</c:v>
                </c:pt>
                <c:pt idx="21">
                  <c:v>45778</c:v>
                </c:pt>
                <c:pt idx="22">
                  <c:v>45809</c:v>
                </c:pt>
                <c:pt idx="23">
                  <c:v>45839</c:v>
                </c:pt>
                <c:pt idx="24">
                  <c:v>45870</c:v>
                </c:pt>
                <c:pt idx="25">
                  <c:v>45901</c:v>
                </c:pt>
                <c:pt idx="26">
                  <c:v>45931</c:v>
                </c:pt>
                <c:pt idx="27">
                  <c:v>45962</c:v>
                </c:pt>
                <c:pt idx="28">
                  <c:v>45992</c:v>
                </c:pt>
                <c:pt idx="29">
                  <c:v>46023</c:v>
                </c:pt>
                <c:pt idx="30">
                  <c:v>46054</c:v>
                </c:pt>
                <c:pt idx="31">
                  <c:v>46082</c:v>
                </c:pt>
                <c:pt idx="32">
                  <c:v>46113</c:v>
                </c:pt>
                <c:pt idx="33">
                  <c:v>46143</c:v>
                </c:pt>
                <c:pt idx="34">
                  <c:v>46174</c:v>
                </c:pt>
                <c:pt idx="35">
                  <c:v>46204</c:v>
                </c:pt>
                <c:pt idx="36">
                  <c:v>46235</c:v>
                </c:pt>
                <c:pt idx="37">
                  <c:v>46266</c:v>
                </c:pt>
                <c:pt idx="38">
                  <c:v>46296</c:v>
                </c:pt>
                <c:pt idx="39">
                  <c:v>46327</c:v>
                </c:pt>
                <c:pt idx="40">
                  <c:v>46357</c:v>
                </c:pt>
                <c:pt idx="41">
                  <c:v>46388</c:v>
                </c:pt>
                <c:pt idx="42">
                  <c:v>46419</c:v>
                </c:pt>
                <c:pt idx="43">
                  <c:v>46447</c:v>
                </c:pt>
                <c:pt idx="44">
                  <c:v>46478</c:v>
                </c:pt>
                <c:pt idx="45">
                  <c:v>46508</c:v>
                </c:pt>
                <c:pt idx="46">
                  <c:v>46539</c:v>
                </c:pt>
                <c:pt idx="47">
                  <c:v>46569</c:v>
                </c:pt>
                <c:pt idx="48">
                  <c:v>46600</c:v>
                </c:pt>
                <c:pt idx="49">
                  <c:v>46631</c:v>
                </c:pt>
                <c:pt idx="50">
                  <c:v>46661</c:v>
                </c:pt>
                <c:pt idx="51">
                  <c:v>46692</c:v>
                </c:pt>
                <c:pt idx="52">
                  <c:v>46722</c:v>
                </c:pt>
                <c:pt idx="53">
                  <c:v>46753</c:v>
                </c:pt>
                <c:pt idx="54">
                  <c:v>46784</c:v>
                </c:pt>
                <c:pt idx="55">
                  <c:v>46813</c:v>
                </c:pt>
                <c:pt idx="56">
                  <c:v>46844</c:v>
                </c:pt>
                <c:pt idx="57">
                  <c:v>46874</c:v>
                </c:pt>
                <c:pt idx="58">
                  <c:v>46905</c:v>
                </c:pt>
                <c:pt idx="59">
                  <c:v>46935</c:v>
                </c:pt>
                <c:pt idx="60">
                  <c:v>46966</c:v>
                </c:pt>
                <c:pt idx="61">
                  <c:v>46997</c:v>
                </c:pt>
                <c:pt idx="62">
                  <c:v>47027</c:v>
                </c:pt>
                <c:pt idx="63">
                  <c:v>47058</c:v>
                </c:pt>
                <c:pt idx="64">
                  <c:v>47088</c:v>
                </c:pt>
                <c:pt idx="65">
                  <c:v>47119</c:v>
                </c:pt>
                <c:pt idx="66">
                  <c:v>47150</c:v>
                </c:pt>
                <c:pt idx="67">
                  <c:v>47178</c:v>
                </c:pt>
                <c:pt idx="68">
                  <c:v>47209</c:v>
                </c:pt>
                <c:pt idx="69">
                  <c:v>47239</c:v>
                </c:pt>
                <c:pt idx="70">
                  <c:v>47270</c:v>
                </c:pt>
                <c:pt idx="71">
                  <c:v>47300</c:v>
                </c:pt>
                <c:pt idx="72">
                  <c:v>47331</c:v>
                </c:pt>
              </c:numCache>
            </c:numRef>
          </c:xVal>
          <c:yVal>
            <c:numRef>
              <c:f>'参考資料(係数 通販+店舗　台数実績)'!$AN$87:$AN$159</c:f>
              <c:numCache>
                <c:formatCode>0</c:formatCode>
                <c:ptCount val="73"/>
                <c:pt idx="0">
                  <c:v>2827.2633926443054</c:v>
                </c:pt>
                <c:pt idx="1">
                  <c:v>2218.9394444821464</c:v>
                </c:pt>
                <c:pt idx="2">
                  <c:v>1868.5127697012081</c:v>
                </c:pt>
                <c:pt idx="3">
                  <c:v>1643.6224079629631</c:v>
                </c:pt>
                <c:pt idx="4">
                  <c:v>2939.2489679998994</c:v>
                </c:pt>
                <c:pt idx="5">
                  <c:v>3046.2324840075389</c:v>
                </c:pt>
                <c:pt idx="6">
                  <c:v>2836.6542368697342</c:v>
                </c:pt>
                <c:pt idx="7">
                  <c:v>3535.6904593706563</c:v>
                </c:pt>
                <c:pt idx="8">
                  <c:v>2675.226563622527</c:v>
                </c:pt>
                <c:pt idx="9">
                  <c:v>2107.4067460378719</c:v>
                </c:pt>
                <c:pt idx="10">
                  <c:v>2720.0759319107128</c:v>
                </c:pt>
                <c:pt idx="11">
                  <c:v>3617.4556296879832</c:v>
                </c:pt>
                <c:pt idx="12">
                  <c:v>2866.6980263600494</c:v>
                </c:pt>
                <c:pt idx="13">
                  <c:v>2258.3740781978904</c:v>
                </c:pt>
                <c:pt idx="14">
                  <c:v>1907.9474034169521</c:v>
                </c:pt>
                <c:pt idx="15">
                  <c:v>1683.057041678707</c:v>
                </c:pt>
                <c:pt idx="16">
                  <c:v>2978.6836017156434</c:v>
                </c:pt>
                <c:pt idx="17">
                  <c:v>3085.6671177232829</c:v>
                </c:pt>
                <c:pt idx="18">
                  <c:v>2876.0888705854782</c:v>
                </c:pt>
                <c:pt idx="19">
                  <c:v>3575.1250930864003</c:v>
                </c:pt>
                <c:pt idx="20">
                  <c:v>2714.661197338271</c:v>
                </c:pt>
                <c:pt idx="21">
                  <c:v>2146.8413797536159</c:v>
                </c:pt>
                <c:pt idx="22">
                  <c:v>2759.5105656264568</c:v>
                </c:pt>
                <c:pt idx="23">
                  <c:v>3656.8902634037272</c:v>
                </c:pt>
                <c:pt idx="24">
                  <c:v>2906.1326600757934</c:v>
                </c:pt>
                <c:pt idx="25">
                  <c:v>2297.8087119136344</c:v>
                </c:pt>
                <c:pt idx="26">
                  <c:v>1947.382037132696</c:v>
                </c:pt>
                <c:pt idx="27">
                  <c:v>1722.491675394451</c:v>
                </c:pt>
                <c:pt idx="28">
                  <c:v>3018.1182354313873</c:v>
                </c:pt>
                <c:pt idx="29">
                  <c:v>3125.1017514390269</c:v>
                </c:pt>
                <c:pt idx="30">
                  <c:v>2915.5235043012221</c:v>
                </c:pt>
                <c:pt idx="31">
                  <c:v>3614.5597268021443</c:v>
                </c:pt>
                <c:pt idx="32">
                  <c:v>2754.095831054015</c:v>
                </c:pt>
                <c:pt idx="33">
                  <c:v>2186.2760134693599</c:v>
                </c:pt>
                <c:pt idx="34">
                  <c:v>2798.9451993422008</c:v>
                </c:pt>
                <c:pt idx="35">
                  <c:v>3696.3248971194712</c:v>
                </c:pt>
                <c:pt idx="36">
                  <c:v>2945.5672937915374</c:v>
                </c:pt>
                <c:pt idx="37">
                  <c:v>2337.2433456293784</c:v>
                </c:pt>
                <c:pt idx="38">
                  <c:v>1986.81667084844</c:v>
                </c:pt>
                <c:pt idx="39">
                  <c:v>1761.926309110195</c:v>
                </c:pt>
                <c:pt idx="40">
                  <c:v>3057.5528691471313</c:v>
                </c:pt>
                <c:pt idx="41">
                  <c:v>3164.5363851547709</c:v>
                </c:pt>
                <c:pt idx="42">
                  <c:v>2954.9581380169661</c:v>
                </c:pt>
                <c:pt idx="43">
                  <c:v>3653.9943605178883</c:v>
                </c:pt>
                <c:pt idx="44">
                  <c:v>2793.530464769759</c:v>
                </c:pt>
                <c:pt idx="45">
                  <c:v>2225.7106471851039</c:v>
                </c:pt>
                <c:pt idx="46">
                  <c:v>2838.3798330579448</c:v>
                </c:pt>
                <c:pt idx="47">
                  <c:v>3735.7595308352152</c:v>
                </c:pt>
                <c:pt idx="48">
                  <c:v>2985.0019275072814</c:v>
                </c:pt>
                <c:pt idx="49">
                  <c:v>2376.6779793451224</c:v>
                </c:pt>
                <c:pt idx="50">
                  <c:v>2026.251304564184</c:v>
                </c:pt>
                <c:pt idx="51">
                  <c:v>1801.360942825939</c:v>
                </c:pt>
                <c:pt idx="52">
                  <c:v>3096.9875028628753</c:v>
                </c:pt>
                <c:pt idx="53">
                  <c:v>3203.9710188705149</c:v>
                </c:pt>
                <c:pt idx="54">
                  <c:v>2994.3927717327101</c:v>
                </c:pt>
                <c:pt idx="55">
                  <c:v>3693.4289942336322</c:v>
                </c:pt>
                <c:pt idx="56">
                  <c:v>2832.9650984855029</c:v>
                </c:pt>
                <c:pt idx="57">
                  <c:v>2265.1452809008479</c:v>
                </c:pt>
                <c:pt idx="58">
                  <c:v>2877.8144667736888</c:v>
                </c:pt>
                <c:pt idx="59">
                  <c:v>3775.1941645509587</c:v>
                </c:pt>
                <c:pt idx="60">
                  <c:v>3024.4365612230249</c:v>
                </c:pt>
                <c:pt idx="61">
                  <c:v>2416.1126130608659</c:v>
                </c:pt>
                <c:pt idx="62">
                  <c:v>2065.6859382799275</c:v>
                </c:pt>
                <c:pt idx="63">
                  <c:v>1840.7955765416825</c:v>
                </c:pt>
                <c:pt idx="64">
                  <c:v>3136.4221365786188</c:v>
                </c:pt>
                <c:pt idx="65">
                  <c:v>3243.4056525862584</c:v>
                </c:pt>
                <c:pt idx="66">
                  <c:v>3033.8274054484536</c:v>
                </c:pt>
                <c:pt idx="67">
                  <c:v>3732.8636279493758</c:v>
                </c:pt>
                <c:pt idx="68">
                  <c:v>2872.3997322012465</c:v>
                </c:pt>
                <c:pt idx="69">
                  <c:v>2304.5799146165914</c:v>
                </c:pt>
                <c:pt idx="70">
                  <c:v>2917.2491004894323</c:v>
                </c:pt>
                <c:pt idx="71">
                  <c:v>3814.6287982667027</c:v>
                </c:pt>
                <c:pt idx="72">
                  <c:v>3063.8711949387689</c:v>
                </c:pt>
              </c:numCache>
            </c:numRef>
          </c:yVal>
          <c:smooth val="1"/>
          <c:extLst>
            <c:ext xmlns:c16="http://schemas.microsoft.com/office/drawing/2014/chart" uri="{C3380CC4-5D6E-409C-BE32-E72D297353CC}">
              <c16:uniqueId val="{00000001-AF53-4CAC-A552-F6E7D49CA591}"/>
            </c:ext>
          </c:extLst>
        </c:ser>
        <c:dLbls>
          <c:showLegendKey val="0"/>
          <c:showVal val="0"/>
          <c:showCatName val="0"/>
          <c:showSerName val="0"/>
          <c:showPercent val="0"/>
          <c:showBubbleSize val="0"/>
        </c:dLbls>
        <c:axId val="1376320831"/>
        <c:axId val="1376321311"/>
      </c:scatterChart>
      <c:valAx>
        <c:axId val="1376320831"/>
        <c:scaling>
          <c:orientation val="minMax"/>
        </c:scaling>
        <c:delete val="0"/>
        <c:axPos val="b"/>
        <c:majorGridlines>
          <c:spPr>
            <a:ln w="9525" cap="flat" cmpd="sng" algn="ctr">
              <a:solidFill>
                <a:schemeClr val="tx1">
                  <a:lumMod val="15000"/>
                  <a:lumOff val="85000"/>
                </a:schemeClr>
              </a:solidFill>
              <a:round/>
            </a:ln>
            <a:effectLst/>
          </c:spPr>
        </c:majorGridlines>
        <c:numFmt formatCode="yyyy/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376321311"/>
        <c:crosses val="autoZero"/>
        <c:crossBetween val="midCat"/>
      </c:valAx>
      <c:valAx>
        <c:axId val="1376321311"/>
        <c:scaling>
          <c:orientation val="minMax"/>
        </c:scaling>
        <c:delete val="0"/>
        <c:axPos val="l"/>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37632083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15</xdr:col>
      <xdr:colOff>607695</xdr:colOff>
      <xdr:row>18</xdr:row>
      <xdr:rowOff>81917</xdr:rowOff>
    </xdr:from>
    <xdr:to>
      <xdr:col>19</xdr:col>
      <xdr:colOff>617220</xdr:colOff>
      <xdr:row>19</xdr:row>
      <xdr:rowOff>224792</xdr:rowOff>
    </xdr:to>
    <xdr:sp macro="" textlink="">
      <xdr:nvSpPr>
        <xdr:cNvPr id="2" name="正方形/長方形 1">
          <a:extLst>
            <a:ext uri="{FF2B5EF4-FFF2-40B4-BE49-F238E27FC236}">
              <a16:creationId xmlns:a16="http://schemas.microsoft.com/office/drawing/2014/main" id="{228E45DE-C7CB-467C-986D-39765FE23C55}"/>
            </a:ext>
          </a:extLst>
        </xdr:cNvPr>
        <xdr:cNvSpPr/>
      </xdr:nvSpPr>
      <xdr:spPr>
        <a:xfrm>
          <a:off x="11104245" y="4196717"/>
          <a:ext cx="2676525" cy="3714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a:t>在庫使用計画（計画　予測）</a:t>
          </a:r>
        </a:p>
      </xdr:txBody>
    </xdr:sp>
    <xdr:clientData/>
  </xdr:twoCellAnchor>
  <xdr:twoCellAnchor>
    <xdr:from>
      <xdr:col>16</xdr:col>
      <xdr:colOff>85724</xdr:colOff>
      <xdr:row>3</xdr:row>
      <xdr:rowOff>219075</xdr:rowOff>
    </xdr:from>
    <xdr:to>
      <xdr:col>18</xdr:col>
      <xdr:colOff>403859</xdr:colOff>
      <xdr:row>6</xdr:row>
      <xdr:rowOff>161926</xdr:rowOff>
    </xdr:to>
    <xdr:sp macro="" textlink="">
      <xdr:nvSpPr>
        <xdr:cNvPr id="3" name="正方形/長方形 2">
          <a:extLst>
            <a:ext uri="{FF2B5EF4-FFF2-40B4-BE49-F238E27FC236}">
              <a16:creationId xmlns:a16="http://schemas.microsoft.com/office/drawing/2014/main" id="{2AFC1418-D624-4D06-A56D-679309BA6CB9}"/>
            </a:ext>
          </a:extLst>
        </xdr:cNvPr>
        <xdr:cNvSpPr/>
      </xdr:nvSpPr>
      <xdr:spPr>
        <a:xfrm>
          <a:off x="11249024" y="904875"/>
          <a:ext cx="1651635" cy="628651"/>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ysClr val="windowText" lastClr="000000"/>
              </a:solidFill>
            </a:rPr>
            <a:t>SAP</a:t>
          </a:r>
          <a:r>
            <a:rPr kumimoji="1" lang="ja-JP" altLang="en-US" sz="1100" b="1">
              <a:solidFill>
                <a:sysClr val="windowText" lastClr="000000"/>
              </a:solidFill>
            </a:rPr>
            <a:t>データ貼り付け</a:t>
          </a:r>
          <a:endParaRPr kumimoji="1" lang="en-US" altLang="ja-JP" sz="1100" b="1">
            <a:solidFill>
              <a:sysClr val="windowText" lastClr="000000"/>
            </a:solidFill>
          </a:endParaRPr>
        </a:p>
        <a:p>
          <a:pPr algn="l"/>
          <a:r>
            <a:rPr kumimoji="1" lang="ja-JP" altLang="en-US" sz="1100" b="1">
              <a:solidFill>
                <a:sysClr val="windowText" lastClr="000000"/>
              </a:solidFill>
            </a:rPr>
            <a:t>（在庫データ）</a:t>
          </a:r>
        </a:p>
      </xdr:txBody>
    </xdr:sp>
    <xdr:clientData/>
  </xdr:twoCellAnchor>
  <xdr:twoCellAnchor>
    <xdr:from>
      <xdr:col>18</xdr:col>
      <xdr:colOff>506729</xdr:colOff>
      <xdr:row>3</xdr:row>
      <xdr:rowOff>219076</xdr:rowOff>
    </xdr:from>
    <xdr:to>
      <xdr:col>21</xdr:col>
      <xdr:colOff>240029</xdr:colOff>
      <xdr:row>6</xdr:row>
      <xdr:rowOff>142877</xdr:rowOff>
    </xdr:to>
    <xdr:sp macro="" textlink="">
      <xdr:nvSpPr>
        <xdr:cNvPr id="4" name="正方形/長方形 3">
          <a:extLst>
            <a:ext uri="{FF2B5EF4-FFF2-40B4-BE49-F238E27FC236}">
              <a16:creationId xmlns:a16="http://schemas.microsoft.com/office/drawing/2014/main" id="{1917DE91-9455-4020-BA5D-8409EFEBB660}"/>
            </a:ext>
          </a:extLst>
        </xdr:cNvPr>
        <xdr:cNvSpPr/>
      </xdr:nvSpPr>
      <xdr:spPr>
        <a:xfrm>
          <a:off x="13003529" y="904876"/>
          <a:ext cx="1733550" cy="609601"/>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ysClr val="windowText" lastClr="000000"/>
              </a:solidFill>
            </a:rPr>
            <a:t>one_note </a:t>
          </a:r>
          <a:r>
            <a:rPr kumimoji="1" lang="ja-JP" altLang="en-US" sz="1100" b="1">
              <a:solidFill>
                <a:sysClr val="windowText" lastClr="000000"/>
              </a:solidFill>
            </a:rPr>
            <a:t>貼り付け</a:t>
          </a:r>
          <a:endParaRPr kumimoji="1" lang="en-US" altLang="ja-JP" sz="1100" b="1">
            <a:solidFill>
              <a:sysClr val="windowText" lastClr="000000"/>
            </a:solidFill>
          </a:endParaRPr>
        </a:p>
        <a:p>
          <a:pPr algn="l"/>
          <a:r>
            <a:rPr kumimoji="1" lang="ja-JP" altLang="en-US" sz="1100" b="1">
              <a:solidFill>
                <a:sysClr val="windowText" lastClr="000000"/>
              </a:solidFill>
            </a:rPr>
            <a:t>注残データ</a:t>
          </a:r>
        </a:p>
      </xdr:txBody>
    </xdr:sp>
    <xdr:clientData/>
  </xdr:twoCellAnchor>
  <xdr:twoCellAnchor>
    <xdr:from>
      <xdr:col>17</xdr:col>
      <xdr:colOff>243839</xdr:colOff>
      <xdr:row>6</xdr:row>
      <xdr:rowOff>163831</xdr:rowOff>
    </xdr:from>
    <xdr:to>
      <xdr:col>18</xdr:col>
      <xdr:colOff>464819</xdr:colOff>
      <xdr:row>12</xdr:row>
      <xdr:rowOff>19052</xdr:rowOff>
    </xdr:to>
    <xdr:cxnSp macro="">
      <xdr:nvCxnSpPr>
        <xdr:cNvPr id="5" name="直線矢印コネクタ 4">
          <a:extLst>
            <a:ext uri="{FF2B5EF4-FFF2-40B4-BE49-F238E27FC236}">
              <a16:creationId xmlns:a16="http://schemas.microsoft.com/office/drawing/2014/main" id="{B15E60F2-B42C-462B-B8E8-FB6A910E4DA5}"/>
            </a:ext>
          </a:extLst>
        </xdr:cNvPr>
        <xdr:cNvCxnSpPr>
          <a:stCxn id="3" idx="2"/>
          <a:endCxn id="6" idx="0"/>
        </xdr:cNvCxnSpPr>
      </xdr:nvCxnSpPr>
      <xdr:spPr>
        <a:xfrm>
          <a:off x="12073889" y="1535431"/>
          <a:ext cx="887730" cy="1226821"/>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293369</xdr:colOff>
      <xdr:row>12</xdr:row>
      <xdr:rowOff>15242</xdr:rowOff>
    </xdr:from>
    <xdr:to>
      <xdr:col>19</xdr:col>
      <xdr:colOff>641984</xdr:colOff>
      <xdr:row>14</xdr:row>
      <xdr:rowOff>152399</xdr:rowOff>
    </xdr:to>
    <xdr:sp macro="" textlink="">
      <xdr:nvSpPr>
        <xdr:cNvPr id="6" name="正方形/長方形 5">
          <a:extLst>
            <a:ext uri="{FF2B5EF4-FFF2-40B4-BE49-F238E27FC236}">
              <a16:creationId xmlns:a16="http://schemas.microsoft.com/office/drawing/2014/main" id="{397A09E6-0FBC-4EBA-A9E7-31D93C03C157}"/>
            </a:ext>
          </a:extLst>
        </xdr:cNvPr>
        <xdr:cNvSpPr/>
      </xdr:nvSpPr>
      <xdr:spPr>
        <a:xfrm>
          <a:off x="12123419" y="2758442"/>
          <a:ext cx="1682115" cy="594357"/>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rPr>
            <a:t>在庫確認</a:t>
          </a:r>
          <a:endParaRPr kumimoji="1" lang="en-US" altLang="ja-JP" sz="1100" b="1">
            <a:solidFill>
              <a:sysClr val="windowText" lastClr="000000"/>
            </a:solidFill>
          </a:endParaRPr>
        </a:p>
        <a:p>
          <a:pPr algn="l"/>
          <a:endParaRPr kumimoji="1" lang="ja-JP" altLang="en-US" sz="1100" b="1">
            <a:solidFill>
              <a:sysClr val="windowText" lastClr="000000"/>
            </a:solidFill>
          </a:endParaRPr>
        </a:p>
      </xdr:txBody>
    </xdr:sp>
    <xdr:clientData/>
  </xdr:twoCellAnchor>
  <xdr:twoCellAnchor>
    <xdr:from>
      <xdr:col>14</xdr:col>
      <xdr:colOff>0</xdr:colOff>
      <xdr:row>12</xdr:row>
      <xdr:rowOff>0</xdr:rowOff>
    </xdr:from>
    <xdr:to>
      <xdr:col>16</xdr:col>
      <xdr:colOff>381000</xdr:colOff>
      <xdr:row>14</xdr:row>
      <xdr:rowOff>133350</xdr:rowOff>
    </xdr:to>
    <xdr:sp macro="" textlink="">
      <xdr:nvSpPr>
        <xdr:cNvPr id="8" name="正方形/長方形 7">
          <a:extLst>
            <a:ext uri="{FF2B5EF4-FFF2-40B4-BE49-F238E27FC236}">
              <a16:creationId xmlns:a16="http://schemas.microsoft.com/office/drawing/2014/main" id="{73A8A0CE-CB6E-4B1D-9DCB-E659F1E38BF1}"/>
            </a:ext>
          </a:extLst>
        </xdr:cNvPr>
        <xdr:cNvSpPr/>
      </xdr:nvSpPr>
      <xdr:spPr>
        <a:xfrm>
          <a:off x="9829800" y="2743200"/>
          <a:ext cx="1714500" cy="590550"/>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rPr>
            <a:t>実績予測</a:t>
          </a:r>
          <a:endParaRPr kumimoji="1" lang="en-US" altLang="ja-JP" sz="1100" b="1">
            <a:solidFill>
              <a:sysClr val="windowText" lastClr="000000"/>
            </a:solidFill>
          </a:endParaRPr>
        </a:p>
        <a:p>
          <a:pPr algn="l"/>
          <a:r>
            <a:rPr kumimoji="1" lang="ja-JP" altLang="en-US" sz="1100" b="1">
              <a:solidFill>
                <a:sysClr val="windowText" lastClr="000000"/>
              </a:solidFill>
            </a:rPr>
            <a:t>今月</a:t>
          </a:r>
          <a:r>
            <a:rPr kumimoji="1" lang="en-US" altLang="ja-JP" sz="1100" b="1">
              <a:solidFill>
                <a:sysClr val="windowText" lastClr="000000"/>
              </a:solidFill>
            </a:rPr>
            <a:t>+</a:t>
          </a:r>
          <a:r>
            <a:rPr kumimoji="1" lang="ja-JP" altLang="en-US" sz="1100" b="1">
              <a:solidFill>
                <a:sysClr val="windowText" lastClr="000000"/>
              </a:solidFill>
            </a:rPr>
            <a:t>来月以降</a:t>
          </a:r>
        </a:p>
      </xdr:txBody>
    </xdr:sp>
    <xdr:clientData/>
  </xdr:twoCellAnchor>
  <xdr:twoCellAnchor>
    <xdr:from>
      <xdr:col>21</xdr:col>
      <xdr:colOff>293370</xdr:colOff>
      <xdr:row>12</xdr:row>
      <xdr:rowOff>15240</xdr:rowOff>
    </xdr:from>
    <xdr:to>
      <xdr:col>24</xdr:col>
      <xdr:colOff>533400</xdr:colOff>
      <xdr:row>14</xdr:row>
      <xdr:rowOff>104774</xdr:rowOff>
    </xdr:to>
    <xdr:sp macro="" textlink="">
      <xdr:nvSpPr>
        <xdr:cNvPr id="9" name="正方形/長方形 8">
          <a:extLst>
            <a:ext uri="{FF2B5EF4-FFF2-40B4-BE49-F238E27FC236}">
              <a16:creationId xmlns:a16="http://schemas.microsoft.com/office/drawing/2014/main" id="{0529D5B8-0B33-49D8-B4AD-65DDDEA50CAB}"/>
            </a:ext>
          </a:extLst>
        </xdr:cNvPr>
        <xdr:cNvSpPr/>
      </xdr:nvSpPr>
      <xdr:spPr>
        <a:xfrm>
          <a:off x="14790420" y="2758440"/>
          <a:ext cx="2240280" cy="546734"/>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rPr>
            <a:t>在庫使用計画 </a:t>
          </a:r>
          <a:r>
            <a:rPr kumimoji="1" lang="en-US" altLang="ja-JP" sz="1100" b="1">
              <a:solidFill>
                <a:sysClr val="windowText" lastClr="000000"/>
              </a:solidFill>
            </a:rPr>
            <a:t>(</a:t>
          </a:r>
          <a:r>
            <a:rPr kumimoji="1" lang="ja-JP" altLang="en-US" sz="1100" b="1">
              <a:solidFill>
                <a:sysClr val="windowText" lastClr="000000"/>
              </a:solidFill>
            </a:rPr>
            <a:t>ノート全体試算</a:t>
          </a:r>
          <a:r>
            <a:rPr kumimoji="1" lang="en-US" altLang="ja-JP" sz="1100" b="1">
              <a:solidFill>
                <a:sysClr val="windowText" lastClr="000000"/>
              </a:solidFill>
            </a:rPr>
            <a:t>)</a:t>
          </a:r>
        </a:p>
        <a:p>
          <a:pPr algn="l"/>
          <a:endParaRPr kumimoji="1" lang="ja-JP" altLang="en-US" sz="1100" b="1">
            <a:solidFill>
              <a:sysClr val="windowText" lastClr="000000"/>
            </a:solidFill>
          </a:endParaRPr>
        </a:p>
      </xdr:txBody>
    </xdr:sp>
    <xdr:clientData/>
  </xdr:twoCellAnchor>
  <xdr:twoCellAnchor>
    <xdr:from>
      <xdr:col>18</xdr:col>
      <xdr:colOff>464819</xdr:colOff>
      <xdr:row>6</xdr:row>
      <xdr:rowOff>140972</xdr:rowOff>
    </xdr:from>
    <xdr:to>
      <xdr:col>20</xdr:col>
      <xdr:colOff>41909</xdr:colOff>
      <xdr:row>12</xdr:row>
      <xdr:rowOff>19052</xdr:rowOff>
    </xdr:to>
    <xdr:cxnSp macro="">
      <xdr:nvCxnSpPr>
        <xdr:cNvPr id="10" name="直線矢印コネクタ 9">
          <a:extLst>
            <a:ext uri="{FF2B5EF4-FFF2-40B4-BE49-F238E27FC236}">
              <a16:creationId xmlns:a16="http://schemas.microsoft.com/office/drawing/2014/main" id="{B91319DE-ECB8-4715-8FA4-A5CFD0068873}"/>
            </a:ext>
          </a:extLst>
        </xdr:cNvPr>
        <xdr:cNvCxnSpPr>
          <a:stCxn id="4" idx="2"/>
          <a:endCxn id="6" idx="0"/>
        </xdr:cNvCxnSpPr>
      </xdr:nvCxnSpPr>
      <xdr:spPr>
        <a:xfrm flipH="1">
          <a:off x="12961619" y="1512572"/>
          <a:ext cx="910590" cy="1249680"/>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628651</xdr:colOff>
      <xdr:row>6</xdr:row>
      <xdr:rowOff>28575</xdr:rowOff>
    </xdr:from>
    <xdr:to>
      <xdr:col>15</xdr:col>
      <xdr:colOff>457201</xdr:colOff>
      <xdr:row>8</xdr:row>
      <xdr:rowOff>171451</xdr:rowOff>
    </xdr:to>
    <xdr:sp macro="" textlink="">
      <xdr:nvSpPr>
        <xdr:cNvPr id="12" name="正方形/長方形 11">
          <a:extLst>
            <a:ext uri="{FF2B5EF4-FFF2-40B4-BE49-F238E27FC236}">
              <a16:creationId xmlns:a16="http://schemas.microsoft.com/office/drawing/2014/main" id="{73F52DD7-BF56-470A-94EC-67CB2D98C6BA}"/>
            </a:ext>
          </a:extLst>
        </xdr:cNvPr>
        <xdr:cNvSpPr/>
      </xdr:nvSpPr>
      <xdr:spPr>
        <a:xfrm>
          <a:off x="9124951" y="1400175"/>
          <a:ext cx="1828800" cy="600076"/>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rPr>
            <a:t>在庫状況把握</a:t>
          </a:r>
          <a:r>
            <a:rPr kumimoji="1" lang="en-US" altLang="ja-JP" sz="1100" b="1">
              <a:solidFill>
                <a:sysClr val="windowText" lastClr="000000"/>
              </a:solidFill>
            </a:rPr>
            <a:t>_2025</a:t>
          </a:r>
          <a:br>
            <a:rPr kumimoji="1" lang="en-US" altLang="ja-JP" sz="1100" b="1">
              <a:solidFill>
                <a:sysClr val="windowText" lastClr="000000"/>
              </a:solidFill>
            </a:rPr>
          </a:br>
          <a:r>
            <a:rPr kumimoji="1" lang="ja-JP" altLang="en-US" sz="1100" b="1">
              <a:solidFill>
                <a:sysClr val="windowText" lastClr="000000"/>
              </a:solidFill>
            </a:rPr>
            <a:t>当月の予測値を入力</a:t>
          </a:r>
          <a:endParaRPr kumimoji="1" lang="en-US" altLang="ja-JP" sz="1100" b="1">
            <a:solidFill>
              <a:sysClr val="windowText" lastClr="000000"/>
            </a:solidFill>
          </a:endParaRPr>
        </a:p>
        <a:p>
          <a:pPr algn="l"/>
          <a:endParaRPr kumimoji="1" lang="ja-JP" altLang="en-US" sz="1100" b="1">
            <a:solidFill>
              <a:sysClr val="windowText" lastClr="000000"/>
            </a:solidFill>
          </a:endParaRPr>
        </a:p>
      </xdr:txBody>
    </xdr:sp>
    <xdr:clientData/>
  </xdr:twoCellAnchor>
  <xdr:twoCellAnchor>
    <xdr:from>
      <xdr:col>14</xdr:col>
      <xdr:colOff>207646</xdr:colOff>
      <xdr:row>8</xdr:row>
      <xdr:rowOff>167641</xdr:rowOff>
    </xdr:from>
    <xdr:to>
      <xdr:col>15</xdr:col>
      <xdr:colOff>190500</xdr:colOff>
      <xdr:row>12</xdr:row>
      <xdr:rowOff>0</xdr:rowOff>
    </xdr:to>
    <xdr:cxnSp macro="">
      <xdr:nvCxnSpPr>
        <xdr:cNvPr id="13" name="直線矢印コネクタ 12">
          <a:extLst>
            <a:ext uri="{FF2B5EF4-FFF2-40B4-BE49-F238E27FC236}">
              <a16:creationId xmlns:a16="http://schemas.microsoft.com/office/drawing/2014/main" id="{BC1A4D3F-351E-446B-B13A-AD661E924476}"/>
            </a:ext>
          </a:extLst>
        </xdr:cNvPr>
        <xdr:cNvCxnSpPr>
          <a:stCxn id="12" idx="2"/>
          <a:endCxn id="8" idx="0"/>
        </xdr:cNvCxnSpPr>
      </xdr:nvCxnSpPr>
      <xdr:spPr>
        <a:xfrm>
          <a:off x="10037446" y="1996441"/>
          <a:ext cx="649604" cy="746759"/>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118109</xdr:colOff>
      <xdr:row>3</xdr:row>
      <xdr:rowOff>226696</xdr:rowOff>
    </xdr:from>
    <xdr:to>
      <xdr:col>26</xdr:col>
      <xdr:colOff>508634</xdr:colOff>
      <xdr:row>6</xdr:row>
      <xdr:rowOff>150497</xdr:rowOff>
    </xdr:to>
    <xdr:sp macro="" textlink="">
      <xdr:nvSpPr>
        <xdr:cNvPr id="18" name="正方形/長方形 17">
          <a:extLst>
            <a:ext uri="{FF2B5EF4-FFF2-40B4-BE49-F238E27FC236}">
              <a16:creationId xmlns:a16="http://schemas.microsoft.com/office/drawing/2014/main" id="{B151EFFA-73AA-4BB3-B1D0-93A2304CA2F4}"/>
            </a:ext>
          </a:extLst>
        </xdr:cNvPr>
        <xdr:cNvSpPr/>
      </xdr:nvSpPr>
      <xdr:spPr>
        <a:xfrm>
          <a:off x="16615409" y="912496"/>
          <a:ext cx="1724025" cy="609601"/>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rPr>
            <a:t>在庫使用計画（一般）</a:t>
          </a:r>
        </a:p>
      </xdr:txBody>
    </xdr:sp>
    <xdr:clientData/>
  </xdr:twoCellAnchor>
  <xdr:twoCellAnchor>
    <xdr:from>
      <xdr:col>21</xdr:col>
      <xdr:colOff>327659</xdr:colOff>
      <xdr:row>3</xdr:row>
      <xdr:rowOff>226696</xdr:rowOff>
    </xdr:from>
    <xdr:to>
      <xdr:col>24</xdr:col>
      <xdr:colOff>59054</xdr:colOff>
      <xdr:row>6</xdr:row>
      <xdr:rowOff>150497</xdr:rowOff>
    </xdr:to>
    <xdr:sp macro="" textlink="">
      <xdr:nvSpPr>
        <xdr:cNvPr id="22" name="正方形/長方形 21">
          <a:extLst>
            <a:ext uri="{FF2B5EF4-FFF2-40B4-BE49-F238E27FC236}">
              <a16:creationId xmlns:a16="http://schemas.microsoft.com/office/drawing/2014/main" id="{556DD256-56F0-4172-BF23-509162193795}"/>
            </a:ext>
          </a:extLst>
        </xdr:cNvPr>
        <xdr:cNvSpPr/>
      </xdr:nvSpPr>
      <xdr:spPr>
        <a:xfrm>
          <a:off x="14824709" y="912496"/>
          <a:ext cx="1731645" cy="609601"/>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rPr>
            <a:t>在庫使用計画（法人）</a:t>
          </a:r>
        </a:p>
      </xdr:txBody>
    </xdr:sp>
    <xdr:clientData/>
  </xdr:twoCellAnchor>
  <xdr:twoCellAnchor>
    <xdr:from>
      <xdr:col>23</xdr:col>
      <xdr:colOff>80010</xdr:colOff>
      <xdr:row>6</xdr:row>
      <xdr:rowOff>150497</xdr:rowOff>
    </xdr:from>
    <xdr:to>
      <xdr:col>25</xdr:col>
      <xdr:colOff>315277</xdr:colOff>
      <xdr:row>12</xdr:row>
      <xdr:rowOff>15240</xdr:rowOff>
    </xdr:to>
    <xdr:cxnSp macro="">
      <xdr:nvCxnSpPr>
        <xdr:cNvPr id="23" name="直線矢印コネクタ 22">
          <a:extLst>
            <a:ext uri="{FF2B5EF4-FFF2-40B4-BE49-F238E27FC236}">
              <a16:creationId xmlns:a16="http://schemas.microsoft.com/office/drawing/2014/main" id="{7F7E367C-503E-4E00-A93F-65D8AC855E04}"/>
            </a:ext>
          </a:extLst>
        </xdr:cNvPr>
        <xdr:cNvCxnSpPr>
          <a:stCxn id="18" idx="2"/>
          <a:endCxn id="9" idx="0"/>
        </xdr:cNvCxnSpPr>
      </xdr:nvCxnSpPr>
      <xdr:spPr>
        <a:xfrm flipH="1">
          <a:off x="15910560" y="1522097"/>
          <a:ext cx="1568767" cy="1236343"/>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522922</xdr:colOff>
      <xdr:row>6</xdr:row>
      <xdr:rowOff>150497</xdr:rowOff>
    </xdr:from>
    <xdr:to>
      <xdr:col>23</xdr:col>
      <xdr:colOff>80010</xdr:colOff>
      <xdr:row>12</xdr:row>
      <xdr:rowOff>15240</xdr:rowOff>
    </xdr:to>
    <xdr:cxnSp macro="">
      <xdr:nvCxnSpPr>
        <xdr:cNvPr id="26" name="直線矢印コネクタ 25">
          <a:extLst>
            <a:ext uri="{FF2B5EF4-FFF2-40B4-BE49-F238E27FC236}">
              <a16:creationId xmlns:a16="http://schemas.microsoft.com/office/drawing/2014/main" id="{DB29FCC5-622C-40F2-82E4-7970B15E21A9}"/>
            </a:ext>
          </a:extLst>
        </xdr:cNvPr>
        <xdr:cNvCxnSpPr>
          <a:stCxn id="22" idx="2"/>
          <a:endCxn id="9" idx="0"/>
        </xdr:cNvCxnSpPr>
      </xdr:nvCxnSpPr>
      <xdr:spPr>
        <a:xfrm>
          <a:off x="15686722" y="1522097"/>
          <a:ext cx="223838" cy="1236343"/>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613410</xdr:colOff>
      <xdr:row>14</xdr:row>
      <xdr:rowOff>104774</xdr:rowOff>
    </xdr:from>
    <xdr:to>
      <xdr:col>23</xdr:col>
      <xdr:colOff>80010</xdr:colOff>
      <xdr:row>18</xdr:row>
      <xdr:rowOff>83822</xdr:rowOff>
    </xdr:to>
    <xdr:cxnSp macro="">
      <xdr:nvCxnSpPr>
        <xdr:cNvPr id="29" name="直線矢印コネクタ 28">
          <a:extLst>
            <a:ext uri="{FF2B5EF4-FFF2-40B4-BE49-F238E27FC236}">
              <a16:creationId xmlns:a16="http://schemas.microsoft.com/office/drawing/2014/main" id="{34702310-C69B-44BB-BC80-958836A04434}"/>
            </a:ext>
          </a:extLst>
        </xdr:cNvPr>
        <xdr:cNvCxnSpPr>
          <a:stCxn id="9" idx="2"/>
          <a:endCxn id="2" idx="0"/>
        </xdr:cNvCxnSpPr>
      </xdr:nvCxnSpPr>
      <xdr:spPr>
        <a:xfrm flipH="1">
          <a:off x="12443460" y="3305174"/>
          <a:ext cx="3467100" cy="893448"/>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615315</xdr:colOff>
      <xdr:row>14</xdr:row>
      <xdr:rowOff>152399</xdr:rowOff>
    </xdr:from>
    <xdr:to>
      <xdr:col>18</xdr:col>
      <xdr:colOff>464819</xdr:colOff>
      <xdr:row>18</xdr:row>
      <xdr:rowOff>91442</xdr:rowOff>
    </xdr:to>
    <xdr:cxnSp macro="">
      <xdr:nvCxnSpPr>
        <xdr:cNvPr id="32" name="直線矢印コネクタ 31">
          <a:extLst>
            <a:ext uri="{FF2B5EF4-FFF2-40B4-BE49-F238E27FC236}">
              <a16:creationId xmlns:a16="http://schemas.microsoft.com/office/drawing/2014/main" id="{A0F779CA-3343-4F73-8D7C-723C9D51C8A9}"/>
            </a:ext>
          </a:extLst>
        </xdr:cNvPr>
        <xdr:cNvCxnSpPr>
          <a:stCxn id="6" idx="2"/>
        </xdr:cNvCxnSpPr>
      </xdr:nvCxnSpPr>
      <xdr:spPr>
        <a:xfrm flipH="1">
          <a:off x="12445365" y="3352799"/>
          <a:ext cx="516254" cy="853443"/>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190500</xdr:colOff>
      <xdr:row>14</xdr:row>
      <xdr:rowOff>129540</xdr:rowOff>
    </xdr:from>
    <xdr:to>
      <xdr:col>17</xdr:col>
      <xdr:colOff>617220</xdr:colOff>
      <xdr:row>18</xdr:row>
      <xdr:rowOff>91442</xdr:rowOff>
    </xdr:to>
    <xdr:cxnSp macro="">
      <xdr:nvCxnSpPr>
        <xdr:cNvPr id="34" name="直線矢印コネクタ 33">
          <a:extLst>
            <a:ext uri="{FF2B5EF4-FFF2-40B4-BE49-F238E27FC236}">
              <a16:creationId xmlns:a16="http://schemas.microsoft.com/office/drawing/2014/main" id="{4C739C24-C3C9-4C10-9B6F-4DCE93B871B5}"/>
            </a:ext>
          </a:extLst>
        </xdr:cNvPr>
        <xdr:cNvCxnSpPr>
          <a:stCxn id="8" idx="2"/>
        </xdr:cNvCxnSpPr>
      </xdr:nvCxnSpPr>
      <xdr:spPr>
        <a:xfrm>
          <a:off x="10687050" y="3329940"/>
          <a:ext cx="1760220" cy="876302"/>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167640</xdr:colOff>
      <xdr:row>16</xdr:row>
      <xdr:rowOff>171449</xdr:rowOff>
    </xdr:from>
    <xdr:to>
      <xdr:col>26</xdr:col>
      <xdr:colOff>552450</xdr:colOff>
      <xdr:row>19</xdr:row>
      <xdr:rowOff>66674</xdr:rowOff>
    </xdr:to>
    <xdr:sp macro="" textlink="">
      <xdr:nvSpPr>
        <xdr:cNvPr id="36" name="正方形/長方形 35">
          <a:extLst>
            <a:ext uri="{FF2B5EF4-FFF2-40B4-BE49-F238E27FC236}">
              <a16:creationId xmlns:a16="http://schemas.microsoft.com/office/drawing/2014/main" id="{FEDED135-CE94-425E-B6C1-6A1311D7B4B2}"/>
            </a:ext>
          </a:extLst>
        </xdr:cNvPr>
        <xdr:cNvSpPr/>
      </xdr:nvSpPr>
      <xdr:spPr>
        <a:xfrm>
          <a:off x="16664940" y="3829049"/>
          <a:ext cx="1718310" cy="581025"/>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rPr>
            <a:t>在庫使用計画（</a:t>
          </a:r>
          <a:r>
            <a:rPr kumimoji="1" lang="en-US" altLang="ja-JP" sz="1100" b="1">
              <a:solidFill>
                <a:sysClr val="windowText" lastClr="000000"/>
              </a:solidFill>
            </a:rPr>
            <a:t>mmdd</a:t>
          </a:r>
          <a:r>
            <a:rPr kumimoji="1" lang="ja-JP" altLang="en-US" sz="1100" b="1">
              <a:solidFill>
                <a:sysClr val="windowText" lastClr="000000"/>
              </a:solidFill>
            </a:rPr>
            <a:t>）</a:t>
          </a:r>
          <a:endParaRPr kumimoji="1" lang="en-US" altLang="ja-JP" sz="1100" b="1">
            <a:solidFill>
              <a:sysClr val="windowText" lastClr="000000"/>
            </a:solidFill>
          </a:endParaRPr>
        </a:p>
        <a:p>
          <a:pPr algn="l"/>
          <a:r>
            <a:rPr kumimoji="1" lang="en-US" altLang="ja-JP" sz="1100" b="1">
              <a:solidFill>
                <a:sysClr val="windowText" lastClr="000000"/>
              </a:solidFill>
            </a:rPr>
            <a:t>※</a:t>
          </a:r>
          <a:r>
            <a:rPr kumimoji="1" lang="ja-JP" altLang="en-US" sz="1100" b="1">
              <a:solidFill>
                <a:sysClr val="windowText" lastClr="000000"/>
              </a:solidFill>
            </a:rPr>
            <a:t>週次更新</a:t>
          </a:r>
        </a:p>
      </xdr:txBody>
    </xdr:sp>
    <xdr:clientData/>
  </xdr:twoCellAnchor>
  <xdr:twoCellAnchor>
    <xdr:from>
      <xdr:col>23</xdr:col>
      <xdr:colOff>91440</xdr:colOff>
      <xdr:row>14</xdr:row>
      <xdr:rowOff>95249</xdr:rowOff>
    </xdr:from>
    <xdr:to>
      <xdr:col>25</xdr:col>
      <xdr:colOff>360045</xdr:colOff>
      <xdr:row>16</xdr:row>
      <xdr:rowOff>171449</xdr:rowOff>
    </xdr:to>
    <xdr:cxnSp macro="">
      <xdr:nvCxnSpPr>
        <xdr:cNvPr id="40" name="直線矢印コネクタ 39">
          <a:extLst>
            <a:ext uri="{FF2B5EF4-FFF2-40B4-BE49-F238E27FC236}">
              <a16:creationId xmlns:a16="http://schemas.microsoft.com/office/drawing/2014/main" id="{6BDC28D4-9156-4630-AD78-901A3301BE11}"/>
            </a:ext>
          </a:extLst>
        </xdr:cNvPr>
        <xdr:cNvCxnSpPr>
          <a:endCxn id="36" idx="0"/>
        </xdr:cNvCxnSpPr>
      </xdr:nvCxnSpPr>
      <xdr:spPr>
        <a:xfrm>
          <a:off x="15921990" y="3295649"/>
          <a:ext cx="1602105" cy="533400"/>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293370</xdr:colOff>
      <xdr:row>21</xdr:row>
      <xdr:rowOff>26672</xdr:rowOff>
    </xdr:from>
    <xdr:to>
      <xdr:col>26</xdr:col>
      <xdr:colOff>485775</xdr:colOff>
      <xdr:row>22</xdr:row>
      <xdr:rowOff>163832</xdr:rowOff>
    </xdr:to>
    <xdr:sp macro="" textlink="">
      <xdr:nvSpPr>
        <xdr:cNvPr id="42" name="正方形/長方形 41">
          <a:extLst>
            <a:ext uri="{FF2B5EF4-FFF2-40B4-BE49-F238E27FC236}">
              <a16:creationId xmlns:a16="http://schemas.microsoft.com/office/drawing/2014/main" id="{08468E16-731E-4E11-ABD5-033FE604B87C}"/>
            </a:ext>
          </a:extLst>
        </xdr:cNvPr>
        <xdr:cNvSpPr/>
      </xdr:nvSpPr>
      <xdr:spPr>
        <a:xfrm>
          <a:off x="16790670" y="4827272"/>
          <a:ext cx="1525905" cy="365760"/>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a:solidFill>
                <a:schemeClr val="tx1"/>
              </a:solidFill>
            </a:rPr>
            <a:t>NoteONE</a:t>
          </a:r>
          <a:r>
            <a:rPr kumimoji="1" lang="ja-JP" altLang="en-US" sz="1400">
              <a:solidFill>
                <a:schemeClr val="tx1"/>
              </a:solidFill>
            </a:rPr>
            <a:t>計画</a:t>
          </a:r>
        </a:p>
      </xdr:txBody>
    </xdr:sp>
    <xdr:clientData/>
  </xdr:twoCellAnchor>
  <xdr:twoCellAnchor>
    <xdr:from>
      <xdr:col>25</xdr:col>
      <xdr:colOff>360045</xdr:colOff>
      <xdr:row>19</xdr:row>
      <xdr:rowOff>66674</xdr:rowOff>
    </xdr:from>
    <xdr:to>
      <xdr:col>25</xdr:col>
      <xdr:colOff>387668</xdr:colOff>
      <xdr:row>21</xdr:row>
      <xdr:rowOff>24767</xdr:rowOff>
    </xdr:to>
    <xdr:cxnSp macro="">
      <xdr:nvCxnSpPr>
        <xdr:cNvPr id="43" name="直線矢印コネクタ 42">
          <a:extLst>
            <a:ext uri="{FF2B5EF4-FFF2-40B4-BE49-F238E27FC236}">
              <a16:creationId xmlns:a16="http://schemas.microsoft.com/office/drawing/2014/main" id="{7932BD02-08DC-4AE8-81AC-189930BE742C}"/>
            </a:ext>
          </a:extLst>
        </xdr:cNvPr>
        <xdr:cNvCxnSpPr>
          <a:stCxn id="36" idx="2"/>
          <a:endCxn id="42" idx="0"/>
        </xdr:cNvCxnSpPr>
      </xdr:nvCxnSpPr>
      <xdr:spPr>
        <a:xfrm>
          <a:off x="17524095" y="4410074"/>
          <a:ext cx="27623" cy="415293"/>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321946</xdr:colOff>
      <xdr:row>24</xdr:row>
      <xdr:rowOff>24766</xdr:rowOff>
    </xdr:from>
    <xdr:to>
      <xdr:col>27</xdr:col>
      <xdr:colOff>49531</xdr:colOff>
      <xdr:row>25</xdr:row>
      <xdr:rowOff>211454</xdr:rowOff>
    </xdr:to>
    <xdr:sp macro="" textlink="">
      <xdr:nvSpPr>
        <xdr:cNvPr id="47" name="正方形/長方形 46">
          <a:extLst>
            <a:ext uri="{FF2B5EF4-FFF2-40B4-BE49-F238E27FC236}">
              <a16:creationId xmlns:a16="http://schemas.microsoft.com/office/drawing/2014/main" id="{6EF9617B-3ECB-4D86-A458-B816EFF5826C}"/>
            </a:ext>
          </a:extLst>
        </xdr:cNvPr>
        <xdr:cNvSpPr/>
      </xdr:nvSpPr>
      <xdr:spPr>
        <a:xfrm>
          <a:off x="16819246" y="5511166"/>
          <a:ext cx="1727835" cy="415288"/>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a:solidFill>
                <a:schemeClr val="tx1"/>
              </a:solidFill>
            </a:rPr>
            <a:t>追加発注（購買）</a:t>
          </a:r>
        </a:p>
      </xdr:txBody>
    </xdr:sp>
    <xdr:clientData/>
  </xdr:twoCellAnchor>
  <xdr:twoCellAnchor>
    <xdr:from>
      <xdr:col>25</xdr:col>
      <xdr:colOff>87630</xdr:colOff>
      <xdr:row>22</xdr:row>
      <xdr:rowOff>179070</xdr:rowOff>
    </xdr:from>
    <xdr:to>
      <xdr:col>26</xdr:col>
      <xdr:colOff>53340</xdr:colOff>
      <xdr:row>24</xdr:row>
      <xdr:rowOff>15240</xdr:rowOff>
    </xdr:to>
    <xdr:sp macro="" textlink="">
      <xdr:nvSpPr>
        <xdr:cNvPr id="48" name="矢印: 下 47">
          <a:extLst>
            <a:ext uri="{FF2B5EF4-FFF2-40B4-BE49-F238E27FC236}">
              <a16:creationId xmlns:a16="http://schemas.microsoft.com/office/drawing/2014/main" id="{F3C4E68E-C85C-D89D-0B33-7E0143547D72}"/>
            </a:ext>
          </a:extLst>
        </xdr:cNvPr>
        <xdr:cNvSpPr/>
      </xdr:nvSpPr>
      <xdr:spPr>
        <a:xfrm>
          <a:off x="17251680" y="5208270"/>
          <a:ext cx="632460" cy="29337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224790</xdr:colOff>
      <xdr:row>20</xdr:row>
      <xdr:rowOff>15240</xdr:rowOff>
    </xdr:from>
    <xdr:to>
      <xdr:col>18</xdr:col>
      <xdr:colOff>190500</xdr:colOff>
      <xdr:row>21</xdr:row>
      <xdr:rowOff>83820</xdr:rowOff>
    </xdr:to>
    <xdr:sp macro="" textlink="">
      <xdr:nvSpPr>
        <xdr:cNvPr id="53" name="矢印: 下 52">
          <a:extLst>
            <a:ext uri="{FF2B5EF4-FFF2-40B4-BE49-F238E27FC236}">
              <a16:creationId xmlns:a16="http://schemas.microsoft.com/office/drawing/2014/main" id="{167955F5-7878-41B2-B5BE-DD1270271B9C}"/>
            </a:ext>
          </a:extLst>
        </xdr:cNvPr>
        <xdr:cNvSpPr/>
      </xdr:nvSpPr>
      <xdr:spPr>
        <a:xfrm>
          <a:off x="12054840" y="4587240"/>
          <a:ext cx="632460" cy="29718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464820</xdr:colOff>
      <xdr:row>21</xdr:row>
      <xdr:rowOff>97156</xdr:rowOff>
    </xdr:from>
    <xdr:to>
      <xdr:col>18</xdr:col>
      <xdr:colOff>657225</xdr:colOff>
      <xdr:row>25</xdr:row>
      <xdr:rowOff>19049</xdr:rowOff>
    </xdr:to>
    <xdr:sp macro="" textlink="">
      <xdr:nvSpPr>
        <xdr:cNvPr id="54" name="正方形/長方形 53">
          <a:extLst>
            <a:ext uri="{FF2B5EF4-FFF2-40B4-BE49-F238E27FC236}">
              <a16:creationId xmlns:a16="http://schemas.microsoft.com/office/drawing/2014/main" id="{DAB6718E-41A6-4B8C-B1E1-094B4C9116D6}"/>
            </a:ext>
          </a:extLst>
        </xdr:cNvPr>
        <xdr:cNvSpPr/>
      </xdr:nvSpPr>
      <xdr:spPr>
        <a:xfrm>
          <a:off x="11628120" y="4897756"/>
          <a:ext cx="1525905" cy="836293"/>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a:solidFill>
                <a:schemeClr val="tx1"/>
              </a:solidFill>
            </a:rPr>
            <a:t>妥当性判断</a:t>
          </a:r>
          <a:endParaRPr kumimoji="1" lang="en-US" altLang="ja-JP" sz="1400">
            <a:solidFill>
              <a:schemeClr val="tx1"/>
            </a:solidFill>
          </a:endParaRPr>
        </a:p>
        <a:p>
          <a:pPr algn="l"/>
          <a:r>
            <a:rPr kumimoji="1" lang="ja-JP" altLang="en-US" sz="1400">
              <a:solidFill>
                <a:schemeClr val="tx1"/>
              </a:solidFill>
            </a:rPr>
            <a:t>各担当に確認</a:t>
          </a:r>
        </a:p>
      </xdr:txBody>
    </xdr:sp>
    <xdr:clientData/>
  </xdr:twoCellAnchor>
  <xdr:twoCellAnchor>
    <xdr:from>
      <xdr:col>18</xdr:col>
      <xdr:colOff>659130</xdr:colOff>
      <xdr:row>18</xdr:row>
      <xdr:rowOff>5714</xdr:rowOff>
    </xdr:from>
    <xdr:to>
      <xdr:col>24</xdr:col>
      <xdr:colOff>171450</xdr:colOff>
      <xdr:row>23</xdr:row>
      <xdr:rowOff>58103</xdr:rowOff>
    </xdr:to>
    <xdr:cxnSp macro="">
      <xdr:nvCxnSpPr>
        <xdr:cNvPr id="55" name="直線矢印コネクタ 54">
          <a:extLst>
            <a:ext uri="{FF2B5EF4-FFF2-40B4-BE49-F238E27FC236}">
              <a16:creationId xmlns:a16="http://schemas.microsoft.com/office/drawing/2014/main" id="{A26CF8F3-E466-4A7C-A8F5-4C55A68E122E}"/>
            </a:ext>
          </a:extLst>
        </xdr:cNvPr>
        <xdr:cNvCxnSpPr>
          <a:stCxn id="54" idx="3"/>
          <a:endCxn id="36" idx="1"/>
        </xdr:cNvCxnSpPr>
      </xdr:nvCxnSpPr>
      <xdr:spPr>
        <a:xfrm flipV="1">
          <a:off x="13155930" y="4120514"/>
          <a:ext cx="3512820" cy="1195389"/>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251459</xdr:colOff>
      <xdr:row>0</xdr:row>
      <xdr:rowOff>80009</xdr:rowOff>
    </xdr:from>
    <xdr:to>
      <xdr:col>8</xdr:col>
      <xdr:colOff>335280</xdr:colOff>
      <xdr:row>8</xdr:row>
      <xdr:rowOff>15240</xdr:rowOff>
    </xdr:to>
    <xdr:sp macro="" textlink="">
      <xdr:nvSpPr>
        <xdr:cNvPr id="2" name="テキスト ボックス 1">
          <a:extLst>
            <a:ext uri="{FF2B5EF4-FFF2-40B4-BE49-F238E27FC236}">
              <a16:creationId xmlns:a16="http://schemas.microsoft.com/office/drawing/2014/main" id="{58757A62-0ABA-75CA-CCC4-33523159241B}"/>
            </a:ext>
          </a:extLst>
        </xdr:cNvPr>
        <xdr:cNvSpPr txBox="1"/>
      </xdr:nvSpPr>
      <xdr:spPr>
        <a:xfrm>
          <a:off x="3276599" y="80009"/>
          <a:ext cx="2971801" cy="18249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計画変更が</a:t>
          </a:r>
          <a:endParaRPr kumimoji="1" lang="en-US" altLang="ja-JP" sz="1100"/>
        </a:p>
        <a:p>
          <a:r>
            <a:rPr kumimoji="1" lang="ja-JP" altLang="en-US" sz="1100"/>
            <a:t>特に直近の発注に影響を及ぼさないか？</a:t>
          </a:r>
          <a:endParaRPr kumimoji="1" lang="en-US" altLang="ja-JP" sz="1100"/>
        </a:p>
        <a:p>
          <a:r>
            <a:rPr kumimoji="1" lang="ja-JP" altLang="en-US" sz="1100"/>
            <a:t>を確認すること</a:t>
          </a:r>
          <a:endParaRPr kumimoji="1" lang="en-US" altLang="ja-JP" sz="1100"/>
        </a:p>
        <a:p>
          <a:endParaRPr kumimoji="1" lang="en-US" altLang="ja-JP" sz="1100"/>
        </a:p>
        <a:p>
          <a:r>
            <a:rPr kumimoji="1" lang="ja-JP" altLang="en-US" sz="1100"/>
            <a:t>赤文字：前回から計画増</a:t>
          </a:r>
          <a:endParaRPr kumimoji="1" lang="en-US" altLang="ja-JP" sz="1100"/>
        </a:p>
        <a:p>
          <a:r>
            <a:rPr kumimoji="1" lang="ja-JP" altLang="en-US" sz="1100"/>
            <a:t>青文字：</a:t>
          </a:r>
          <a:r>
            <a:rPr kumimoji="1" lang="ja-JP" altLang="ja-JP" sz="1100">
              <a:solidFill>
                <a:schemeClr val="dk1"/>
              </a:solidFill>
              <a:effectLst/>
              <a:latin typeface="+mn-lt"/>
              <a:ea typeface="+mn-ea"/>
              <a:cs typeface="+mn-cs"/>
            </a:rPr>
            <a:t>前回から計画</a:t>
          </a:r>
          <a:r>
            <a:rPr kumimoji="1" lang="ja-JP" altLang="en-US" sz="1100">
              <a:solidFill>
                <a:schemeClr val="dk1"/>
              </a:solidFill>
              <a:effectLst/>
              <a:latin typeface="+mn-lt"/>
              <a:ea typeface="+mn-ea"/>
              <a:cs typeface="+mn-cs"/>
            </a:rPr>
            <a:t>減</a:t>
          </a:r>
          <a:endParaRPr kumimoji="1" lang="en-US" altLang="ja-JP" sz="1100"/>
        </a:p>
        <a:p>
          <a:r>
            <a:rPr kumimoji="1" lang="ja-JP" altLang="en-US" sz="1100"/>
            <a:t>緑：在庫＋注残＜計画</a:t>
          </a:r>
          <a:r>
            <a:rPr kumimoji="1" lang="en-US" altLang="ja-JP" sz="1100"/>
            <a:t>4</a:t>
          </a:r>
          <a:r>
            <a:rPr kumimoji="1" lang="ja-JP" altLang="en-US" sz="1100"/>
            <a:t>ヶ月</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40</xdr:col>
      <xdr:colOff>0</xdr:colOff>
      <xdr:row>6</xdr:row>
      <xdr:rowOff>38100</xdr:rowOff>
    </xdr:from>
    <xdr:to>
      <xdr:col>46</xdr:col>
      <xdr:colOff>461962</xdr:colOff>
      <xdr:row>17</xdr:row>
      <xdr:rowOff>161925</xdr:rowOff>
    </xdr:to>
    <xdr:graphicFrame macro="">
      <xdr:nvGraphicFramePr>
        <xdr:cNvPr id="2" name="グラフ 1">
          <a:extLst>
            <a:ext uri="{FF2B5EF4-FFF2-40B4-BE49-F238E27FC236}">
              <a16:creationId xmlns:a16="http://schemas.microsoft.com/office/drawing/2014/main" id="{CA2727EE-AAE3-464C-A469-A643499C57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33</xdr:col>
      <xdr:colOff>76200</xdr:colOff>
      <xdr:row>7</xdr:row>
      <xdr:rowOff>57150</xdr:rowOff>
    </xdr:from>
    <xdr:to>
      <xdr:col>37</xdr:col>
      <xdr:colOff>628650</xdr:colOff>
      <xdr:row>16</xdr:row>
      <xdr:rowOff>133350</xdr:rowOff>
    </xdr:to>
    <xdr:sp macro="" textlink="">
      <xdr:nvSpPr>
        <xdr:cNvPr id="3" name="テキスト ボックス 2">
          <a:extLst>
            <a:ext uri="{FF2B5EF4-FFF2-40B4-BE49-F238E27FC236}">
              <a16:creationId xmlns:a16="http://schemas.microsoft.com/office/drawing/2014/main" id="{F7C37546-B0D0-4920-8CF8-2EAE1B230EBC}"/>
            </a:ext>
          </a:extLst>
        </xdr:cNvPr>
        <xdr:cNvSpPr txBox="1"/>
      </xdr:nvSpPr>
      <xdr:spPr>
        <a:xfrm>
          <a:off x="20097750" y="1971675"/>
          <a:ext cx="3009900" cy="2228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主に販売が伸長するのは</a:t>
          </a:r>
          <a:r>
            <a:rPr kumimoji="1" lang="en-US" altLang="ja-JP" sz="1100" baseline="0"/>
            <a:t>3, 7, 12</a:t>
          </a:r>
          <a:r>
            <a:rPr kumimoji="1" lang="ja-JP" altLang="en-US" sz="1100" baseline="0"/>
            <a:t>月？？？</a:t>
          </a:r>
          <a:endParaRPr kumimoji="1" lang="en-US" altLang="ja-JP" sz="1100" baseline="0"/>
        </a:p>
        <a:p>
          <a:r>
            <a:rPr kumimoji="1" lang="en-US" altLang="ja-JP" sz="1100"/>
            <a:t>3</a:t>
          </a:r>
          <a:r>
            <a:rPr kumimoji="1" lang="ja-JP" altLang="en-US" sz="1100"/>
            <a:t>月　新年度前の需要</a:t>
          </a:r>
          <a:endParaRPr kumimoji="1" lang="en-US" altLang="ja-JP" sz="1100"/>
        </a:p>
        <a:p>
          <a:endParaRPr kumimoji="1" lang="en-US" altLang="ja-JP" sz="1100"/>
        </a:p>
        <a:p>
          <a:r>
            <a:rPr kumimoji="1" lang="en-US" altLang="ja-JP" sz="1100"/>
            <a:t>7</a:t>
          </a:r>
          <a:r>
            <a:rPr kumimoji="1" lang="ja-JP" altLang="en-US" sz="1100"/>
            <a:t>月　夏のボーナス</a:t>
          </a:r>
          <a:endParaRPr kumimoji="1" lang="en-US" altLang="ja-JP" sz="1100"/>
        </a:p>
        <a:p>
          <a:endParaRPr kumimoji="1" lang="en-US" altLang="ja-JP" sz="1100"/>
        </a:p>
        <a:p>
          <a:r>
            <a:rPr kumimoji="1" lang="en-US" altLang="ja-JP" sz="1100"/>
            <a:t>12</a:t>
          </a:r>
          <a:r>
            <a:rPr kumimoji="1" lang="ja-JP" altLang="en-US" sz="1100"/>
            <a:t>月　冬のボーナス、年末年始、（ブラックフライデー（</a:t>
          </a:r>
          <a:r>
            <a:rPr lang="ja-JP" altLang="en-US" sz="1100" b="0" i="0">
              <a:solidFill>
                <a:schemeClr val="dk1"/>
              </a:solidFill>
              <a:effectLst/>
              <a:latin typeface="+mn-lt"/>
              <a:ea typeface="+mn-ea"/>
              <a:cs typeface="+mn-cs"/>
            </a:rPr>
            <a:t>毎年</a:t>
          </a:r>
          <a:r>
            <a:rPr lang="en-US" altLang="ja-JP" sz="1100" b="0" i="0">
              <a:solidFill>
                <a:schemeClr val="dk1"/>
              </a:solidFill>
              <a:effectLst/>
              <a:latin typeface="+mn-lt"/>
              <a:ea typeface="+mn-ea"/>
              <a:cs typeface="+mn-cs"/>
            </a:rPr>
            <a:t>11</a:t>
          </a:r>
          <a:r>
            <a:rPr lang="ja-JP" altLang="en-US" sz="1100" b="0" i="0">
              <a:solidFill>
                <a:schemeClr val="dk1"/>
              </a:solidFill>
              <a:effectLst/>
              <a:latin typeface="+mn-lt"/>
              <a:ea typeface="+mn-ea"/>
              <a:cs typeface="+mn-cs"/>
            </a:rPr>
            <a:t>月の第</a:t>
          </a:r>
          <a:r>
            <a:rPr lang="en-US" altLang="ja-JP" sz="1100" b="0" i="0">
              <a:solidFill>
                <a:schemeClr val="dk1"/>
              </a:solidFill>
              <a:effectLst/>
              <a:latin typeface="+mn-lt"/>
              <a:ea typeface="+mn-ea"/>
              <a:cs typeface="+mn-cs"/>
            </a:rPr>
            <a:t>4</a:t>
          </a:r>
          <a:r>
            <a:rPr lang="ja-JP" altLang="en-US" sz="1100" b="0" i="0">
              <a:solidFill>
                <a:schemeClr val="dk1"/>
              </a:solidFill>
              <a:effectLst/>
              <a:latin typeface="+mn-lt"/>
              <a:ea typeface="+mn-ea"/>
              <a:cs typeface="+mn-cs"/>
            </a:rPr>
            <a:t>木曜日（感謝祭の翌日）））</a:t>
          </a:r>
          <a:endParaRPr kumimoji="1" lang="en-US" altLang="ja-JP" sz="1100"/>
        </a:p>
        <a:p>
          <a:endParaRPr kumimoji="1" lang="en-US" altLang="ja-JP" sz="1100"/>
        </a:p>
      </xdr:txBody>
    </xdr:sp>
    <xdr:clientData/>
  </xdr:twoCellAnchor>
  <xdr:twoCellAnchor>
    <xdr:from>
      <xdr:col>7</xdr:col>
      <xdr:colOff>0</xdr:colOff>
      <xdr:row>0</xdr:row>
      <xdr:rowOff>182880</xdr:rowOff>
    </xdr:from>
    <xdr:to>
      <xdr:col>14</xdr:col>
      <xdr:colOff>60960</xdr:colOff>
      <xdr:row>3</xdr:row>
      <xdr:rowOff>213360</xdr:rowOff>
    </xdr:to>
    <xdr:sp macro="" textlink="">
      <xdr:nvSpPr>
        <xdr:cNvPr id="4" name="テキスト ボックス 3">
          <a:extLst>
            <a:ext uri="{FF2B5EF4-FFF2-40B4-BE49-F238E27FC236}">
              <a16:creationId xmlns:a16="http://schemas.microsoft.com/office/drawing/2014/main" id="{8E449C23-B2F7-3DDF-2B7F-CA809B51780A}"/>
            </a:ext>
          </a:extLst>
        </xdr:cNvPr>
        <xdr:cNvSpPr txBox="1"/>
      </xdr:nvSpPr>
      <xdr:spPr>
        <a:xfrm>
          <a:off x="4998720" y="434340"/>
          <a:ext cx="3794760" cy="7391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運用の明確化</a:t>
          </a:r>
          <a:endParaRPr kumimoji="1" lang="en-US" altLang="ja-JP" sz="1100"/>
        </a:p>
        <a:p>
          <a:r>
            <a:rPr kumimoji="1" lang="ja-JP" altLang="en-US" sz="1100"/>
            <a:t>新季節係数の適用タイミング：</a:t>
          </a:r>
          <a:r>
            <a:rPr kumimoji="1" lang="en-US" altLang="ja-JP" sz="1100"/>
            <a:t>8</a:t>
          </a:r>
          <a:r>
            <a:rPr kumimoji="1" lang="ja-JP" altLang="en-US" sz="1100"/>
            <a:t>月 </a:t>
          </a:r>
          <a:r>
            <a:rPr kumimoji="1" lang="en-US" altLang="ja-JP" sz="1100"/>
            <a:t>or</a:t>
          </a:r>
          <a:r>
            <a:rPr kumimoji="1" lang="en-US" altLang="ja-JP" sz="1100" baseline="0"/>
            <a:t> </a:t>
          </a:r>
          <a:r>
            <a:rPr kumimoji="1" lang="ja-JP" altLang="en-US" sz="1100" baseline="0"/>
            <a:t>毎月？随時？</a:t>
          </a:r>
          <a:endParaRPr kumimoji="1" lang="en-US" altLang="ja-JP" sz="1100"/>
        </a:p>
        <a:p>
          <a:endParaRPr kumimoji="1" lang="ja-JP" altLang="en-US" sz="1100"/>
        </a:p>
      </xdr:txBody>
    </xdr:sp>
    <xdr:clientData/>
  </xdr:twoCellAnchor>
  <xdr:twoCellAnchor>
    <xdr:from>
      <xdr:col>41</xdr:col>
      <xdr:colOff>161925</xdr:colOff>
      <xdr:row>18</xdr:row>
      <xdr:rowOff>9526</xdr:rowOff>
    </xdr:from>
    <xdr:to>
      <xdr:col>50</xdr:col>
      <xdr:colOff>409575</xdr:colOff>
      <xdr:row>41</xdr:row>
      <xdr:rowOff>19051</xdr:rowOff>
    </xdr:to>
    <xdr:graphicFrame macro="">
      <xdr:nvGraphicFramePr>
        <xdr:cNvPr id="6" name="グラフ 5">
          <a:extLst>
            <a:ext uri="{FF2B5EF4-FFF2-40B4-BE49-F238E27FC236}">
              <a16:creationId xmlns:a16="http://schemas.microsoft.com/office/drawing/2014/main" id="{464D0183-959F-4BC8-BD5A-41F1C780B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41</xdr:col>
      <xdr:colOff>161925</xdr:colOff>
      <xdr:row>41</xdr:row>
      <xdr:rowOff>66675</xdr:rowOff>
    </xdr:from>
    <xdr:to>
      <xdr:col>48</xdr:col>
      <xdr:colOff>47625</xdr:colOff>
      <xdr:row>52</xdr:row>
      <xdr:rowOff>190500</xdr:rowOff>
    </xdr:to>
    <xdr:graphicFrame macro="">
      <xdr:nvGraphicFramePr>
        <xdr:cNvPr id="7" name="グラフ 6">
          <a:extLst>
            <a:ext uri="{FF2B5EF4-FFF2-40B4-BE49-F238E27FC236}">
              <a16:creationId xmlns:a16="http://schemas.microsoft.com/office/drawing/2014/main" id="{25A4C059-E1CB-BCFA-8F3E-421FEA6CBB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33</xdr:col>
      <xdr:colOff>76200</xdr:colOff>
      <xdr:row>16</xdr:row>
      <xdr:rowOff>190500</xdr:rowOff>
    </xdr:from>
    <xdr:to>
      <xdr:col>37</xdr:col>
      <xdr:colOff>628650</xdr:colOff>
      <xdr:row>26</xdr:row>
      <xdr:rowOff>38100</xdr:rowOff>
    </xdr:to>
    <xdr:sp macro="" textlink="">
      <xdr:nvSpPr>
        <xdr:cNvPr id="10" name="テキスト ボックス 9">
          <a:extLst>
            <a:ext uri="{FF2B5EF4-FFF2-40B4-BE49-F238E27FC236}">
              <a16:creationId xmlns:a16="http://schemas.microsoft.com/office/drawing/2014/main" id="{BEFBEC45-37C6-8EB5-9974-6974FDA66535}"/>
            </a:ext>
          </a:extLst>
        </xdr:cNvPr>
        <xdr:cNvSpPr txBox="1"/>
      </xdr:nvSpPr>
      <xdr:spPr>
        <a:xfrm>
          <a:off x="20116800" y="4257675"/>
          <a:ext cx="3019425" cy="2228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en-US"/>
            <a:t>ホルト・ウィンタース法（</a:t>
          </a:r>
          <a:r>
            <a:rPr lang="en-US" altLang="ja-JP" sz="1100" b="0" i="0" baseline="0">
              <a:effectLst/>
            </a:rPr>
            <a:t>FORECAST.ETS</a:t>
          </a:r>
          <a:r>
            <a:rPr lang="ja-JP" altLang="en-US" sz="1100" b="0" i="0" baseline="0">
              <a:effectLst/>
            </a:rPr>
            <a:t>）</a:t>
          </a:r>
          <a:endParaRPr lang="en-US" altLang="ja-JP" sz="1100" b="0" i="0" baseline="0">
            <a:effectLst/>
          </a:endParaRPr>
        </a:p>
        <a:p>
          <a:r>
            <a:rPr kumimoji="1" lang="ja-JP" altLang="en-US" sz="1100" b="0" i="0" baseline="0">
              <a:effectLst/>
            </a:rPr>
            <a:t>特徴として、直近の結果に重み付けをしている。</a:t>
          </a:r>
          <a:endParaRPr kumimoji="1" lang="en-US" altLang="ja-JP" sz="1100" b="0" i="0" baseline="0">
            <a:effectLst/>
          </a:endParaRPr>
        </a:p>
        <a:p>
          <a:r>
            <a:rPr kumimoji="1" lang="ja-JP" altLang="en-US" sz="1100" b="0" i="0" baseline="0">
              <a:effectLst/>
            </a:rPr>
            <a:t>直近の好・不調に振り回されやすい。</a:t>
          </a:r>
          <a:endParaRPr kumimoji="1" lang="en-US" altLang="ja-JP"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59</xdr:col>
      <xdr:colOff>0</xdr:colOff>
      <xdr:row>2</xdr:row>
      <xdr:rowOff>0</xdr:rowOff>
    </xdr:from>
    <xdr:to>
      <xdr:col>68</xdr:col>
      <xdr:colOff>133351</xdr:colOff>
      <xdr:row>34</xdr:row>
      <xdr:rowOff>22974</xdr:rowOff>
    </xdr:to>
    <xdr:sp macro="" textlink="">
      <xdr:nvSpPr>
        <xdr:cNvPr id="4" name="テキスト ボックス 1">
          <a:extLst>
            <a:ext uri="{FF2B5EF4-FFF2-40B4-BE49-F238E27FC236}">
              <a16:creationId xmlns:a16="http://schemas.microsoft.com/office/drawing/2014/main" id="{987312C1-23D3-E24F-C4E3-808032F200A7}"/>
            </a:ext>
          </a:extLst>
        </xdr:cNvPr>
        <xdr:cNvSpPr txBox="1"/>
      </xdr:nvSpPr>
      <xdr:spPr>
        <a:xfrm>
          <a:off x="13192125" y="476250"/>
          <a:ext cx="6305551" cy="69095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法人⇔企画</a:t>
          </a:r>
          <a:r>
            <a:rPr kumimoji="1" lang="en-US" altLang="ja-JP" sz="1100"/>
            <a:t>mtg</a:t>
          </a:r>
          <a:r>
            <a:rPr kumimoji="1" lang="ja-JP" altLang="en-US" sz="1100"/>
            <a:t>にてお伝えしたいことは、ロードマップ・計画・実績の整合性を取ろうということです。</a:t>
          </a:r>
          <a:endParaRPr kumimoji="1" lang="en-US" altLang="ja-JP" sz="1100"/>
        </a:p>
        <a:p>
          <a:r>
            <a:rPr kumimoji="1" lang="ja-JP" altLang="en-US" sz="1100"/>
            <a:t>予算を基にロードマップを策定し、それを実現する具体的な計画を立て、実績を計画に近づける流れを堅持したいと考えております。</a:t>
          </a:r>
          <a:endParaRPr kumimoji="1" lang="en-US" altLang="ja-JP" sz="1100"/>
        </a:p>
        <a:p>
          <a:br>
            <a:rPr kumimoji="1" lang="en-US" altLang="ja-JP" sz="1100"/>
          </a:br>
          <a:br>
            <a:rPr kumimoji="1" lang="en-US" altLang="ja-JP" sz="1100"/>
          </a:br>
          <a:r>
            <a:rPr kumimoji="1" lang="ja-JP" altLang="en-US" sz="1100"/>
            <a:t>改めまして、計画の修正をお願いします。</a:t>
          </a:r>
          <a:endParaRPr kumimoji="1" lang="en-US" altLang="ja-JP" sz="1100"/>
        </a:p>
        <a:p>
          <a:r>
            <a:rPr kumimoji="1" lang="ja-JP" altLang="en-US" sz="1100"/>
            <a:t>その一助となるツールとして、このシートを作成しています。</a:t>
          </a:r>
          <a:endParaRPr kumimoji="1" lang="en-US" altLang="ja-JP" sz="1100"/>
        </a:p>
        <a:p>
          <a:endParaRPr kumimoji="1" lang="en-US" altLang="ja-JP" sz="1100"/>
        </a:p>
        <a:p>
          <a:r>
            <a:rPr kumimoji="1" lang="ja-JP" altLang="en-US" sz="1100"/>
            <a:t>現在企画部の方針として、</a:t>
          </a:r>
          <a:r>
            <a:rPr kumimoji="1" lang="en-US" altLang="ja-JP" sz="1100"/>
            <a:t>7</a:t>
          </a:r>
          <a:r>
            <a:rPr kumimoji="1" lang="ja-JP" altLang="en-US" sz="1100"/>
            <a:t>月末を目処に在庫数の低減を主目的において動いています。</a:t>
          </a:r>
          <a:br>
            <a:rPr kumimoji="1" lang="en-US" altLang="ja-JP" sz="1100"/>
          </a:br>
          <a:r>
            <a:rPr kumimoji="1" lang="ja-JP" altLang="en-US" sz="1100"/>
            <a:t>今あるものを合理的に消化（販売・廃棄）する必要があり、そのための計画が必要になります。</a:t>
          </a:r>
          <a:endParaRPr kumimoji="1" lang="en-US" altLang="ja-JP" sz="1100"/>
        </a:p>
        <a:p>
          <a:endParaRPr kumimoji="1" lang="en-US" altLang="ja-JP" sz="1100"/>
        </a:p>
        <a:p>
          <a:r>
            <a:rPr kumimoji="1" lang="ja-JP" altLang="en-US" sz="1100"/>
            <a:t>一般・法人双方にお願いしたい内容としては計画分の販売を確実に行っていくことです。</a:t>
          </a:r>
          <a:br>
            <a:rPr kumimoji="1" lang="en-US" altLang="ja-JP" sz="1100"/>
          </a:br>
          <a:r>
            <a:rPr kumimoji="1" lang="ja-JP" altLang="en-US" sz="1100"/>
            <a:t>これまで通りではありますが、法人側で計画を超過して販売する場合は一般側の担当者へご相談いただきますようお願いします。</a:t>
          </a:r>
          <a:endParaRPr kumimoji="1" lang="en-US" altLang="ja-JP" sz="1100"/>
        </a:p>
        <a:p>
          <a:endParaRPr kumimoji="1" lang="en-US" altLang="ja-JP" sz="1100"/>
        </a:p>
        <a:p>
          <a:br>
            <a:rPr kumimoji="1" lang="en-US" altLang="ja-JP" sz="1100"/>
          </a:br>
          <a:r>
            <a:rPr kumimoji="1" lang="ja-JP" altLang="en-US" sz="1100"/>
            <a:t>考慮すべき変数はとしては、大きく</a:t>
          </a:r>
          <a:r>
            <a:rPr kumimoji="1" lang="en-US" altLang="ja-JP" sz="1100"/>
            <a:t>2</a:t>
          </a:r>
          <a:r>
            <a:rPr kumimoji="1" lang="ja-JP" altLang="en-US" sz="1100"/>
            <a:t>つです。</a:t>
          </a:r>
          <a:endParaRPr kumimoji="1" lang="en-US" altLang="ja-JP" sz="1100"/>
        </a:p>
        <a:p>
          <a:r>
            <a:rPr kumimoji="1" lang="ja-JP" altLang="en-US" sz="1100"/>
            <a:t>・在庫＋注残がいつまでに消化できる計画とするか</a:t>
          </a:r>
          <a:endParaRPr kumimoji="1" lang="en-US" altLang="ja-JP" sz="1100"/>
        </a:p>
        <a:p>
          <a:r>
            <a:rPr kumimoji="1" lang="ja-JP" altLang="en-US" sz="1100"/>
            <a:t>　（基本として、ベア入荷日から</a:t>
          </a:r>
          <a:r>
            <a:rPr kumimoji="1" lang="en-US" altLang="ja-JP" sz="1100"/>
            <a:t>4</a:t>
          </a:r>
          <a:r>
            <a:rPr kumimoji="1" lang="ja-JP" altLang="en-US" sz="1100"/>
            <a:t>ヶ月程度で販売したい。→回転数</a:t>
          </a:r>
          <a:r>
            <a:rPr kumimoji="1" lang="en-US" altLang="ja-JP" sz="1100"/>
            <a:t>:3</a:t>
          </a:r>
        </a:p>
        <a:p>
          <a:r>
            <a:rPr kumimoji="1" lang="ja-JP" altLang="en-US" sz="1100"/>
            <a:t>　　最悪でも</a:t>
          </a:r>
          <a:r>
            <a:rPr kumimoji="1" lang="en-US" altLang="ja-JP" sz="1100"/>
            <a:t>10</a:t>
          </a:r>
          <a:r>
            <a:rPr kumimoji="1" lang="ja-JP" altLang="en-US" sz="1100"/>
            <a:t>ヶ月を超過したものは早急に消化するフローとする）</a:t>
          </a:r>
          <a:endParaRPr kumimoji="1" lang="en-US" altLang="ja-JP" sz="1100"/>
        </a:p>
        <a:p>
          <a:r>
            <a:rPr kumimoji="1" lang="ja-JP" altLang="en-US" sz="1100"/>
            <a:t>　→在庫消化はいつまでにする必要があるか</a:t>
          </a:r>
          <a:endParaRPr kumimoji="1" lang="en-US" altLang="ja-JP" sz="1100"/>
        </a:p>
        <a:p>
          <a:r>
            <a:rPr kumimoji="1" lang="ja-JP" altLang="en-US" sz="1100"/>
            <a:t>　　（在庫保持期間、後継部材・モデル、部材供給状況を考慮）</a:t>
          </a:r>
          <a:endParaRPr kumimoji="1" lang="en-US" altLang="ja-JP" sz="1100"/>
        </a:p>
        <a:p>
          <a:r>
            <a:rPr kumimoji="1" lang="ja-JP" altLang="en-US" sz="1100"/>
            <a:t>・実績＜計画の場合、施策はどうするか</a:t>
          </a:r>
          <a:endParaRPr kumimoji="1" lang="en-US" altLang="ja-JP" sz="1100"/>
        </a:p>
        <a:p>
          <a:r>
            <a:rPr kumimoji="1" lang="ja-JP" altLang="en-US" sz="1100"/>
            <a:t>　消化できずにベアを廃棄した場合の損失も天秤にかけ、策定ください</a:t>
          </a:r>
          <a:endParaRPr kumimoji="1" lang="en-US" altLang="ja-JP" sz="1100"/>
        </a:p>
        <a:p>
          <a:endParaRPr kumimoji="1" lang="en-US" altLang="ja-JP" sz="1100"/>
        </a:p>
        <a:p>
          <a:r>
            <a:rPr kumimoji="1" lang="ja-JP" altLang="en-US" sz="1100"/>
            <a:t>まず今やりたいことは、</a:t>
          </a:r>
          <a:r>
            <a:rPr kumimoji="1" lang="en-US" altLang="ja-JP" sz="1100"/>
            <a:t>J</a:t>
          </a:r>
          <a:r>
            <a:rPr kumimoji="1" lang="ja-JP" altLang="en-US" sz="1100"/>
            <a:t>列のアラートがない状況とすることです。</a:t>
          </a:r>
          <a:endParaRPr kumimoji="1" lang="en-US" altLang="ja-JP" sz="1100"/>
        </a:p>
        <a:p>
          <a:r>
            <a:rPr kumimoji="1" lang="ja-JP" altLang="en-US" sz="1100"/>
            <a:t>特に上段（白色行）のは計画の修正が終わればアラートが消えますので、来週金曜日までにはご対応をお願いします。</a:t>
          </a:r>
        </a:p>
      </xdr:txBody>
    </xdr:sp>
    <xdr:clientData/>
  </xdr:twoCellAnchor>
  <xdr:twoCellAnchor>
    <xdr:from>
      <xdr:col>59</xdr:col>
      <xdr:colOff>0</xdr:colOff>
      <xdr:row>36</xdr:row>
      <xdr:rowOff>0</xdr:rowOff>
    </xdr:from>
    <xdr:to>
      <xdr:col>68</xdr:col>
      <xdr:colOff>600076</xdr:colOff>
      <xdr:row>59</xdr:row>
      <xdr:rowOff>161925</xdr:rowOff>
    </xdr:to>
    <xdr:sp macro="" textlink="">
      <xdr:nvSpPr>
        <xdr:cNvPr id="7" name="テキスト ボックス 2">
          <a:extLst>
            <a:ext uri="{FF2B5EF4-FFF2-40B4-BE49-F238E27FC236}">
              <a16:creationId xmlns:a16="http://schemas.microsoft.com/office/drawing/2014/main" id="{20187C3C-40BB-FE11-C25C-4762ADFC38EB}"/>
            </a:ext>
          </a:extLst>
        </xdr:cNvPr>
        <xdr:cNvSpPr txBox="1"/>
      </xdr:nvSpPr>
      <xdr:spPr>
        <a:xfrm>
          <a:off x="13166912" y="7754471"/>
          <a:ext cx="6752105" cy="46330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C,</a:t>
          </a:r>
          <a:r>
            <a:rPr kumimoji="1" lang="en-US" altLang="ja-JP" sz="1100" baseline="0"/>
            <a:t> G, H, J</a:t>
          </a:r>
          <a:r>
            <a:rPr kumimoji="1" lang="ja-JP" altLang="en-US" sz="1100" baseline="0"/>
            <a:t>列をご確認ください。</a:t>
          </a:r>
          <a:endParaRPr kumimoji="1" lang="en-US" altLang="ja-JP" sz="1100" baseline="0"/>
        </a:p>
        <a:p>
          <a:r>
            <a:rPr kumimoji="1" lang="en-US" altLang="ja-JP" sz="1100"/>
            <a:t>1) </a:t>
          </a:r>
          <a:r>
            <a:rPr kumimoji="1" lang="ja-JP" altLang="en-US" sz="1100"/>
            <a:t>各モデルについて上段（白地）が計画、下段（緑）が実績と予測になります。</a:t>
          </a:r>
          <a:endParaRPr kumimoji="1" lang="en-US" altLang="ja-JP" sz="1100"/>
        </a:p>
        <a:p>
          <a:r>
            <a:rPr kumimoji="1" lang="ja-JP" altLang="en-US" sz="1100"/>
            <a:t>　</a:t>
          </a:r>
          <a:r>
            <a:rPr kumimoji="1" lang="en-US" altLang="ja-JP" sz="1100"/>
            <a:t>H</a:t>
          </a:r>
          <a:r>
            <a:rPr kumimoji="1" lang="ja-JP" altLang="en-US" sz="1100"/>
            <a:t>列の上下段の乖離を抑えたいというのが基本的な考えです。</a:t>
          </a:r>
          <a:endParaRPr kumimoji="1" lang="en-US" altLang="ja-JP" sz="1100"/>
        </a:p>
        <a:p>
          <a:endParaRPr kumimoji="1" lang="en-US" altLang="ja-JP" sz="1100"/>
        </a:p>
        <a:p>
          <a:r>
            <a:rPr kumimoji="1" lang="en-US" altLang="ja-JP" sz="1100"/>
            <a:t>2</a:t>
          </a:r>
          <a:r>
            <a:rPr kumimoji="1" lang="en-US" altLang="ja-JP" sz="1100">
              <a:solidFill>
                <a:schemeClr val="dk1"/>
              </a:solidFill>
              <a:effectLst/>
              <a:latin typeface="+mn-lt"/>
              <a:ea typeface="+mn-ea"/>
              <a:cs typeface="+mn-cs"/>
            </a:rPr>
            <a:t>) G</a:t>
          </a:r>
          <a:r>
            <a:rPr kumimoji="1" lang="ja-JP" altLang="en-US" sz="1100">
              <a:solidFill>
                <a:schemeClr val="dk1"/>
              </a:solidFill>
              <a:effectLst/>
              <a:latin typeface="+mn-lt"/>
              <a:ea typeface="+mn-ea"/>
              <a:cs typeface="+mn-cs"/>
            </a:rPr>
            <a:t>列：在庫</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注残</a:t>
          </a:r>
          <a:r>
            <a:rPr kumimoji="1" lang="ja-JP" altLang="en-US" sz="1100" baseline="0">
              <a:solidFill>
                <a:schemeClr val="dk1"/>
              </a:solidFill>
              <a:effectLst/>
              <a:latin typeface="+mn-lt"/>
              <a:ea typeface="+mn-ea"/>
              <a:cs typeface="+mn-cs"/>
            </a:rPr>
            <a:t> </a:t>
          </a:r>
          <a:r>
            <a:rPr kumimoji="1" lang="ja-JP" altLang="en-US" sz="1100">
              <a:solidFill>
                <a:schemeClr val="dk1"/>
              </a:solidFill>
              <a:effectLst/>
              <a:latin typeface="+mn-lt"/>
              <a:ea typeface="+mn-ea"/>
              <a:cs typeface="+mn-cs"/>
            </a:rPr>
            <a:t>＞</a:t>
          </a:r>
          <a:r>
            <a:rPr kumimoji="1" lang="ja-JP" altLang="en-US" sz="1100" baseline="0">
              <a:solidFill>
                <a:schemeClr val="dk1"/>
              </a:solidFill>
              <a:effectLst/>
              <a:latin typeface="+mn-lt"/>
              <a:ea typeface="+mn-ea"/>
              <a:cs typeface="+mn-cs"/>
            </a:rPr>
            <a:t> </a:t>
          </a:r>
          <a:r>
            <a:rPr kumimoji="1" lang="en-US" altLang="ja-JP" sz="1100">
              <a:solidFill>
                <a:schemeClr val="dk1"/>
              </a:solidFill>
              <a:effectLst/>
              <a:latin typeface="+mn-lt"/>
              <a:ea typeface="+mn-ea"/>
              <a:cs typeface="+mn-cs"/>
            </a:rPr>
            <a:t>H</a:t>
          </a:r>
          <a:r>
            <a:rPr kumimoji="1" lang="ja-JP" altLang="en-US" sz="1100">
              <a:solidFill>
                <a:schemeClr val="dk1"/>
              </a:solidFill>
              <a:effectLst/>
              <a:latin typeface="+mn-lt"/>
              <a:ea typeface="+mn-ea"/>
              <a:cs typeface="+mn-cs"/>
            </a:rPr>
            <a:t>列：</a:t>
          </a:r>
          <a:r>
            <a:rPr kumimoji="1" lang="en-US" altLang="ja-JP" sz="1100">
              <a:solidFill>
                <a:schemeClr val="dk1"/>
              </a:solidFill>
              <a:effectLst/>
              <a:latin typeface="+mn-lt"/>
              <a:ea typeface="+mn-ea"/>
              <a:cs typeface="+mn-cs"/>
            </a:rPr>
            <a:t>4</a:t>
          </a:r>
          <a:r>
            <a:rPr kumimoji="1" lang="ja-JP" altLang="en-US" sz="1100">
              <a:solidFill>
                <a:schemeClr val="dk1"/>
              </a:solidFill>
              <a:effectLst/>
              <a:latin typeface="+mn-lt"/>
              <a:ea typeface="+mn-ea"/>
              <a:cs typeface="+mn-cs"/>
            </a:rPr>
            <a:t>ヶ月計画数となっている必要があります。発注から入荷まで</a:t>
          </a:r>
          <a:r>
            <a:rPr kumimoji="1" lang="en-US" altLang="ja-JP" sz="1100">
              <a:solidFill>
                <a:schemeClr val="dk1"/>
              </a:solidFill>
              <a:effectLst/>
              <a:latin typeface="+mn-lt"/>
              <a:ea typeface="+mn-ea"/>
              <a:cs typeface="+mn-cs"/>
            </a:rPr>
            <a:t>3</a:t>
          </a:r>
          <a:r>
            <a:rPr kumimoji="1" lang="ja-JP" altLang="en-US" sz="1100">
              <a:solidFill>
                <a:schemeClr val="dk1"/>
              </a:solidFill>
              <a:effectLst/>
              <a:latin typeface="+mn-lt"/>
              <a:ea typeface="+mn-ea"/>
              <a:cs typeface="+mn-cs"/>
            </a:rPr>
            <a:t>ヶ月程度かかると想定すると、この条件を満たさない場合在庫切れをする計画となっている可能性があります。この条件を満たさない場合、</a:t>
          </a:r>
          <a:r>
            <a:rPr kumimoji="1" lang="en-US" altLang="ja-JP" sz="1100">
              <a:solidFill>
                <a:schemeClr val="dk1"/>
              </a:solidFill>
              <a:effectLst/>
              <a:latin typeface="+mn-lt"/>
              <a:ea typeface="+mn-ea"/>
              <a:cs typeface="+mn-cs"/>
            </a:rPr>
            <a:t>H</a:t>
          </a:r>
          <a:r>
            <a:rPr kumimoji="1" lang="ja-JP" altLang="en-US" sz="1100">
              <a:solidFill>
                <a:schemeClr val="dk1"/>
              </a:solidFill>
              <a:effectLst/>
              <a:latin typeface="+mn-lt"/>
              <a:ea typeface="+mn-ea"/>
              <a:cs typeface="+mn-cs"/>
            </a:rPr>
            <a:t>列の文字が</a:t>
          </a:r>
          <a:r>
            <a:rPr kumimoji="1" lang="ja-JP" altLang="en-US" sz="1100" b="1">
              <a:solidFill>
                <a:srgbClr val="FF0000"/>
              </a:solidFill>
              <a:effectLst/>
              <a:latin typeface="+mn-lt"/>
              <a:ea typeface="+mn-ea"/>
              <a:cs typeface="+mn-cs"/>
            </a:rPr>
            <a:t>赤く</a:t>
          </a:r>
          <a:r>
            <a:rPr kumimoji="1" lang="ja-JP" altLang="en-US" sz="1100">
              <a:solidFill>
                <a:schemeClr val="dk1"/>
              </a:solidFill>
              <a:effectLst/>
              <a:latin typeface="+mn-lt"/>
              <a:ea typeface="+mn-ea"/>
              <a:cs typeface="+mn-cs"/>
            </a:rPr>
            <a:t>表示されます。</a:t>
          </a:r>
          <a:endParaRPr kumimoji="1" lang="en-US" altLang="ja-JP" sz="1100">
            <a:solidFill>
              <a:schemeClr val="dk1"/>
            </a:solidFill>
            <a:effectLst/>
            <a:latin typeface="+mn-lt"/>
            <a:ea typeface="+mn-ea"/>
            <a:cs typeface="+mn-cs"/>
          </a:endParaRPr>
        </a:p>
        <a:p>
          <a:endParaRPr kumimoji="1" lang="en-US" altLang="ja-JP" sz="1100">
            <a:solidFill>
              <a:schemeClr val="dk1"/>
            </a:solidFill>
            <a:effectLst/>
            <a:latin typeface="+mn-lt"/>
            <a:ea typeface="+mn-ea"/>
            <a:cs typeface="+mn-cs"/>
          </a:endParaRPr>
        </a:p>
        <a:p>
          <a:r>
            <a:rPr kumimoji="1" lang="en-US" altLang="ja-JP" sz="1100">
              <a:solidFill>
                <a:schemeClr val="dk1"/>
              </a:solidFill>
              <a:effectLst/>
              <a:latin typeface="+mn-lt"/>
              <a:ea typeface="+mn-ea"/>
              <a:cs typeface="+mn-cs"/>
            </a:rPr>
            <a:t>3) J</a:t>
          </a:r>
          <a:r>
            <a:rPr kumimoji="1" lang="ja-JP" altLang="en-US" sz="1100">
              <a:solidFill>
                <a:schemeClr val="dk1"/>
              </a:solidFill>
              <a:effectLst/>
              <a:latin typeface="+mn-lt"/>
              <a:ea typeface="+mn-ea"/>
              <a:cs typeface="+mn-cs"/>
            </a:rPr>
            <a:t>列：終息予定は来月以降の計画</a:t>
          </a:r>
          <a:r>
            <a:rPr kumimoji="1" lang="en-US" altLang="ja-JP" sz="1100" baseline="0">
              <a:solidFill>
                <a:schemeClr val="dk1"/>
              </a:solidFill>
              <a:effectLst/>
              <a:latin typeface="+mn-lt"/>
              <a:ea typeface="+mn-ea"/>
              <a:cs typeface="+mn-cs"/>
            </a:rPr>
            <a:t> or </a:t>
          </a:r>
          <a:r>
            <a:rPr kumimoji="1" lang="ja-JP" altLang="en-US" sz="1100" baseline="0">
              <a:solidFill>
                <a:schemeClr val="dk1"/>
              </a:solidFill>
              <a:effectLst/>
              <a:latin typeface="+mn-lt"/>
              <a:ea typeface="+mn-ea"/>
              <a:cs typeface="+mn-cs"/>
            </a:rPr>
            <a:t>予測を累積していき、在庫</a:t>
          </a:r>
          <a:r>
            <a:rPr kumimoji="1" lang="en-US" altLang="ja-JP" sz="1100" baseline="0">
              <a:solidFill>
                <a:schemeClr val="dk1"/>
              </a:solidFill>
              <a:effectLst/>
              <a:latin typeface="+mn-lt"/>
              <a:ea typeface="+mn-ea"/>
              <a:cs typeface="+mn-cs"/>
            </a:rPr>
            <a:t>+</a:t>
          </a:r>
          <a:r>
            <a:rPr kumimoji="1" lang="ja-JP" altLang="en-US" sz="1100" baseline="0">
              <a:solidFill>
                <a:schemeClr val="dk1"/>
              </a:solidFill>
              <a:effectLst/>
              <a:latin typeface="+mn-lt"/>
              <a:ea typeface="+mn-ea"/>
              <a:cs typeface="+mn-cs"/>
            </a:rPr>
            <a:t>注残の</a:t>
          </a:r>
          <a:r>
            <a:rPr kumimoji="1" lang="en-US" altLang="ja-JP" sz="1100" baseline="0">
              <a:solidFill>
                <a:schemeClr val="dk1"/>
              </a:solidFill>
              <a:effectLst/>
              <a:latin typeface="+mn-lt"/>
              <a:ea typeface="+mn-ea"/>
              <a:cs typeface="+mn-cs"/>
            </a:rPr>
            <a:t>80</a:t>
          </a:r>
          <a:r>
            <a:rPr kumimoji="1" lang="ja-JP" altLang="en-US" sz="1100" baseline="0">
              <a:solidFill>
                <a:schemeClr val="dk1"/>
              </a:solidFill>
              <a:effectLst/>
              <a:latin typeface="+mn-lt"/>
              <a:ea typeface="+mn-ea"/>
              <a:cs typeface="+mn-cs"/>
            </a:rPr>
            <a:t>％を初めて越える年月を記載しています。またそのポイントは青セルで示されています。</a:t>
          </a:r>
          <a:endParaRPr kumimoji="1" lang="en-US" altLang="ja-JP" sz="1100" baseline="0">
            <a:solidFill>
              <a:schemeClr val="dk1"/>
            </a:solidFill>
            <a:effectLst/>
            <a:latin typeface="+mn-lt"/>
            <a:ea typeface="+mn-ea"/>
            <a:cs typeface="+mn-cs"/>
          </a:endParaRPr>
        </a:p>
        <a:p>
          <a:endParaRPr kumimoji="1" lang="en-US" altLang="ja-JP"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dk1"/>
              </a:solidFill>
              <a:effectLst/>
              <a:latin typeface="+mn-lt"/>
              <a:ea typeface="+mn-ea"/>
              <a:cs typeface="+mn-cs"/>
            </a:rPr>
            <a:t>4) J</a:t>
          </a:r>
          <a:r>
            <a:rPr kumimoji="1" lang="ja-JP" altLang="ja-JP" sz="1100">
              <a:solidFill>
                <a:schemeClr val="dk1"/>
              </a:solidFill>
              <a:effectLst/>
              <a:latin typeface="+mn-lt"/>
              <a:ea typeface="+mn-ea"/>
              <a:cs typeface="+mn-cs"/>
            </a:rPr>
            <a:t>列</a:t>
          </a:r>
          <a:r>
            <a:rPr kumimoji="1" lang="ja-JP" altLang="en-US" sz="1100">
              <a:solidFill>
                <a:schemeClr val="dk1"/>
              </a:solidFill>
              <a:effectLst/>
              <a:latin typeface="+mn-lt"/>
              <a:ea typeface="+mn-ea"/>
              <a:cs typeface="+mn-cs"/>
            </a:rPr>
            <a:t>に</a:t>
          </a:r>
          <a:r>
            <a:rPr kumimoji="1" lang="ja-JP" altLang="en-US" sz="1100" baseline="0">
              <a:solidFill>
                <a:schemeClr val="dk1"/>
              </a:solidFill>
              <a:effectLst/>
              <a:latin typeface="+mn-lt"/>
              <a:ea typeface="+mn-ea"/>
              <a:cs typeface="+mn-cs"/>
            </a:rPr>
            <a:t>不足数が</a:t>
          </a:r>
          <a:r>
            <a:rPr kumimoji="1" lang="ja-JP" altLang="ja-JP" sz="1100" baseline="0">
              <a:solidFill>
                <a:schemeClr val="dk1"/>
              </a:solidFill>
              <a:effectLst/>
              <a:latin typeface="+mn-lt"/>
              <a:ea typeface="+mn-ea"/>
              <a:cs typeface="+mn-cs"/>
            </a:rPr>
            <a:t>表示されて</a:t>
          </a:r>
          <a:r>
            <a:rPr kumimoji="1" lang="ja-JP" altLang="en-US" sz="1100" baseline="0">
              <a:solidFill>
                <a:schemeClr val="dk1"/>
              </a:solidFill>
              <a:effectLst/>
              <a:latin typeface="+mn-lt"/>
              <a:ea typeface="+mn-ea"/>
              <a:cs typeface="+mn-cs"/>
            </a:rPr>
            <a:t>いるの</a:t>
          </a:r>
          <a:r>
            <a:rPr kumimoji="1" lang="ja-JP" altLang="ja-JP" sz="1100" baseline="0">
              <a:solidFill>
                <a:schemeClr val="dk1"/>
              </a:solidFill>
              <a:effectLst/>
              <a:latin typeface="+mn-lt"/>
              <a:ea typeface="+mn-ea"/>
              <a:cs typeface="+mn-cs"/>
            </a:rPr>
            <a:t>は、</a:t>
          </a:r>
          <a:r>
            <a:rPr kumimoji="1" lang="ja-JP" altLang="en-US" sz="1100" baseline="0">
              <a:solidFill>
                <a:schemeClr val="dk1"/>
              </a:solidFill>
              <a:effectLst/>
              <a:latin typeface="+mn-lt"/>
              <a:ea typeface="+mn-ea"/>
              <a:cs typeface="+mn-cs"/>
            </a:rPr>
            <a:t>「</a:t>
          </a:r>
          <a:r>
            <a:rPr kumimoji="1" lang="ja-JP" altLang="ja-JP" sz="1100" baseline="0">
              <a:solidFill>
                <a:schemeClr val="dk1"/>
              </a:solidFill>
              <a:effectLst/>
              <a:latin typeface="+mn-lt"/>
              <a:ea typeface="+mn-ea"/>
              <a:cs typeface="+mn-cs"/>
            </a:rPr>
            <a:t>計画数</a:t>
          </a:r>
          <a:r>
            <a:rPr kumimoji="1" lang="en-US" altLang="ja-JP" sz="1100" baseline="0">
              <a:solidFill>
                <a:schemeClr val="dk1"/>
              </a:solidFill>
              <a:effectLst/>
              <a:latin typeface="+mn-lt"/>
              <a:ea typeface="+mn-ea"/>
              <a:cs typeface="+mn-cs"/>
            </a:rPr>
            <a:t>or</a:t>
          </a:r>
          <a:r>
            <a:rPr kumimoji="1" lang="ja-JP" altLang="en-US" sz="1100" baseline="0">
              <a:solidFill>
                <a:schemeClr val="dk1"/>
              </a:solidFill>
              <a:effectLst/>
              <a:latin typeface="+mn-lt"/>
              <a:ea typeface="+mn-ea"/>
              <a:cs typeface="+mn-cs"/>
            </a:rPr>
            <a:t>販売予測の合計＜</a:t>
          </a:r>
          <a:r>
            <a:rPr kumimoji="1" lang="ja-JP" altLang="ja-JP" sz="1100">
              <a:solidFill>
                <a:schemeClr val="dk1"/>
              </a:solidFill>
              <a:effectLst/>
              <a:latin typeface="+mn-lt"/>
              <a:ea typeface="+mn-ea"/>
              <a:cs typeface="+mn-cs"/>
            </a:rPr>
            <a:t>在庫</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注残</a:t>
          </a:r>
          <a:r>
            <a:rPr kumimoji="1" lang="en-US" altLang="ja-JP" sz="1100">
              <a:solidFill>
                <a:schemeClr val="dk1"/>
              </a:solidFill>
              <a:effectLst/>
              <a:latin typeface="+mn-lt"/>
              <a:ea typeface="+mn-ea"/>
              <a:cs typeface="+mn-cs"/>
            </a:rPr>
            <a:t>*80%</a:t>
          </a:r>
          <a:r>
            <a:rPr kumimoji="1" lang="ja-JP" altLang="en-US" sz="1100">
              <a:solidFill>
                <a:schemeClr val="dk1"/>
              </a:solidFill>
              <a:effectLst/>
              <a:latin typeface="+mn-lt"/>
              <a:ea typeface="+mn-ea"/>
              <a:cs typeface="+mn-cs"/>
            </a:rPr>
            <a:t>」のもの、</a:t>
          </a:r>
          <a:endParaRPr kumimoji="1" lang="en-US" altLang="ja-JP"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つまり</a:t>
          </a:r>
          <a:r>
            <a:rPr kumimoji="1" lang="ja-JP" altLang="ja-JP" sz="1100" baseline="0">
              <a:solidFill>
                <a:schemeClr val="dk1"/>
              </a:solidFill>
              <a:effectLst/>
              <a:latin typeface="+mn-lt"/>
              <a:ea typeface="+mn-ea"/>
              <a:cs typeface="+mn-cs"/>
            </a:rPr>
            <a:t> </a:t>
          </a:r>
          <a:r>
            <a:rPr kumimoji="1" lang="ja-JP" altLang="en-US" sz="1100" baseline="0">
              <a:solidFill>
                <a:schemeClr val="dk1"/>
              </a:solidFill>
              <a:effectLst/>
              <a:latin typeface="+mn-lt"/>
              <a:ea typeface="+mn-ea"/>
              <a:cs typeface="+mn-cs"/>
            </a:rPr>
            <a:t>計画が記載された最終月</a:t>
          </a:r>
          <a:r>
            <a:rPr kumimoji="1" lang="ja-JP" altLang="ja-JP" sz="1100" baseline="0">
              <a:solidFill>
                <a:schemeClr val="dk1"/>
              </a:solidFill>
              <a:effectLst/>
              <a:latin typeface="+mn-lt"/>
              <a:ea typeface="+mn-ea"/>
              <a:cs typeface="+mn-cs"/>
            </a:rPr>
            <a:t>まで</a:t>
          </a:r>
          <a:r>
            <a:rPr kumimoji="1" lang="ja-JP" altLang="en-US" sz="1100" baseline="0">
              <a:solidFill>
                <a:schemeClr val="dk1"/>
              </a:solidFill>
              <a:effectLst/>
              <a:latin typeface="+mn-lt"/>
              <a:ea typeface="+mn-ea"/>
              <a:cs typeface="+mn-cs"/>
            </a:rPr>
            <a:t>販売しても</a:t>
          </a:r>
          <a:r>
            <a:rPr kumimoji="1" lang="ja-JP" altLang="ja-JP" sz="1100" baseline="0">
              <a:solidFill>
                <a:schemeClr val="dk1"/>
              </a:solidFill>
              <a:effectLst/>
              <a:latin typeface="+mn-lt"/>
              <a:ea typeface="+mn-ea"/>
              <a:cs typeface="+mn-cs"/>
            </a:rPr>
            <a:t>在庫が</a:t>
          </a:r>
          <a:r>
            <a:rPr kumimoji="1" lang="ja-JP" altLang="en-US" sz="1100" baseline="0">
              <a:solidFill>
                <a:schemeClr val="dk1"/>
              </a:solidFill>
              <a:effectLst/>
              <a:latin typeface="+mn-lt"/>
              <a:ea typeface="+mn-ea"/>
              <a:cs typeface="+mn-cs"/>
            </a:rPr>
            <a:t>消化できないということです</a:t>
          </a:r>
          <a:r>
            <a:rPr kumimoji="1" lang="ja-JP" altLang="ja-JP" sz="1100" baseline="0">
              <a:solidFill>
                <a:schemeClr val="dk1"/>
              </a:solidFill>
              <a:effectLst/>
              <a:latin typeface="+mn-lt"/>
              <a:ea typeface="+mn-ea"/>
              <a:cs typeface="+mn-cs"/>
            </a:rPr>
            <a:t>。</a:t>
          </a:r>
          <a:endParaRPr kumimoji="1" lang="en-US" altLang="ja-JP"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baseline="0">
              <a:solidFill>
                <a:schemeClr val="dk1"/>
              </a:solidFill>
              <a:effectLst/>
              <a:latin typeface="+mn-lt"/>
              <a:ea typeface="+mn-ea"/>
              <a:cs typeface="+mn-cs"/>
            </a:rPr>
            <a:t>　</a:t>
          </a:r>
          <a:r>
            <a:rPr kumimoji="1" lang="ja-JP" altLang="ja-JP" sz="1100" baseline="0">
              <a:solidFill>
                <a:schemeClr val="dk1"/>
              </a:solidFill>
              <a:effectLst/>
              <a:latin typeface="+mn-lt"/>
              <a:ea typeface="+mn-ea"/>
              <a:cs typeface="+mn-cs"/>
            </a:rPr>
            <a:t>→</a:t>
          </a:r>
          <a:r>
            <a:rPr kumimoji="1" lang="ja-JP" altLang="en-US" sz="1100" baseline="0">
              <a:solidFill>
                <a:schemeClr val="dk1"/>
              </a:solidFill>
              <a:effectLst/>
              <a:latin typeface="+mn-lt"/>
              <a:ea typeface="+mn-ea"/>
              <a:cs typeface="+mn-cs"/>
            </a:rPr>
            <a:t>計画合計増の修正が必要です。</a:t>
          </a:r>
          <a:endParaRPr kumimoji="1" lang="en-US" altLang="ja-JP"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1" lang="en-US" altLang="ja-JP"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100" baseline="0">
              <a:solidFill>
                <a:schemeClr val="dk1"/>
              </a:solidFill>
              <a:effectLst/>
              <a:latin typeface="+mn-lt"/>
              <a:ea typeface="+mn-ea"/>
              <a:cs typeface="+mn-cs"/>
            </a:rPr>
            <a:t>5) </a:t>
          </a:r>
          <a:r>
            <a:rPr kumimoji="1" lang="ja-JP" altLang="en-US" sz="1100" baseline="0">
              <a:solidFill>
                <a:schemeClr val="dk1"/>
              </a:solidFill>
              <a:effectLst/>
              <a:latin typeface="+mn-lt"/>
              <a:ea typeface="+mn-ea"/>
              <a:cs typeface="+mn-cs"/>
            </a:rPr>
            <a:t>実績行が黄色になっている型番は、計画・実績の乖離が大きいです。</a:t>
          </a:r>
          <a:endParaRPr kumimoji="1" lang="en-US" altLang="ja-JP"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baseline="0">
              <a:solidFill>
                <a:schemeClr val="dk1"/>
              </a:solidFill>
              <a:effectLst/>
              <a:latin typeface="+mn-lt"/>
              <a:ea typeface="+mn-ea"/>
              <a:cs typeface="+mn-cs"/>
            </a:rPr>
            <a:t>　→優先して施策を打つ必要がある可能性が高いです。</a:t>
          </a:r>
          <a:br>
            <a:rPr kumimoji="1" lang="en-US" altLang="ja-JP" sz="1100" baseline="0">
              <a:solidFill>
                <a:schemeClr val="dk1"/>
              </a:solidFill>
              <a:effectLst/>
              <a:latin typeface="+mn-lt"/>
              <a:ea typeface="+mn-ea"/>
              <a:cs typeface="+mn-cs"/>
            </a:rPr>
          </a:br>
          <a:endParaRPr kumimoji="1" lang="en-US" altLang="ja-JP"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100" baseline="0">
              <a:solidFill>
                <a:schemeClr val="dk1"/>
              </a:solidFill>
              <a:effectLst/>
              <a:latin typeface="+mn-lt"/>
              <a:ea typeface="+mn-ea"/>
              <a:cs typeface="+mn-cs"/>
            </a:rPr>
            <a:t>※</a:t>
          </a:r>
          <a:r>
            <a:rPr kumimoji="1" lang="ja-JP" altLang="en-US" sz="1100" baseline="0">
              <a:solidFill>
                <a:schemeClr val="dk1"/>
              </a:solidFill>
              <a:effectLst/>
              <a:latin typeface="+mn-lt"/>
              <a:ea typeface="+mn-ea"/>
              <a:cs typeface="+mn-cs"/>
            </a:rPr>
            <a:t>終息予定列については、アラート表示が上手く機能していない環境があることを確認しています。お手数ですが、</a:t>
          </a:r>
          <a:r>
            <a:rPr kumimoji="1" lang="en-US" altLang="ja-JP" sz="1100" baseline="0">
              <a:solidFill>
                <a:schemeClr val="dk1"/>
              </a:solidFill>
              <a:effectLst/>
              <a:latin typeface="+mn-lt"/>
              <a:ea typeface="+mn-ea"/>
              <a:cs typeface="+mn-cs"/>
            </a:rPr>
            <a:t>3) </a:t>
          </a:r>
          <a:r>
            <a:rPr kumimoji="1" lang="ja-JP" altLang="en-US" sz="1100" baseline="0">
              <a:solidFill>
                <a:schemeClr val="dk1"/>
              </a:solidFill>
              <a:effectLst/>
              <a:latin typeface="+mn-lt"/>
              <a:ea typeface="+mn-ea"/>
              <a:cs typeface="+mn-cs"/>
            </a:rPr>
            <a:t>の内容をご理解いただき、計画設定時にお役立て頂ければ幸いです。</a:t>
          </a:r>
          <a:br>
            <a:rPr kumimoji="1" lang="en-US" altLang="ja-JP" sz="1100" baseline="0">
              <a:solidFill>
                <a:schemeClr val="dk1"/>
              </a:solidFill>
              <a:effectLst/>
              <a:latin typeface="+mn-lt"/>
              <a:ea typeface="+mn-ea"/>
              <a:cs typeface="+mn-cs"/>
            </a:rPr>
          </a:br>
          <a:br>
            <a:rPr kumimoji="1" lang="en-US" altLang="ja-JP" sz="1100" baseline="0">
              <a:solidFill>
                <a:schemeClr val="dk1"/>
              </a:solidFill>
              <a:effectLst/>
              <a:latin typeface="+mn-lt"/>
              <a:ea typeface="+mn-ea"/>
              <a:cs typeface="+mn-cs"/>
            </a:rPr>
          </a:br>
          <a:endParaRPr lang="ja-JP" altLang="ja-JP">
            <a:effectLst/>
          </a:endParaRPr>
        </a:p>
      </xdr:txBody>
    </xdr:sp>
    <xdr:clientData/>
  </xdr:twoCellAnchor>
  <xdr:twoCellAnchor>
    <xdr:from>
      <xdr:col>68</xdr:col>
      <xdr:colOff>552450</xdr:colOff>
      <xdr:row>2</xdr:row>
      <xdr:rowOff>0</xdr:rowOff>
    </xdr:from>
    <xdr:to>
      <xdr:col>76</xdr:col>
      <xdr:colOff>390526</xdr:colOff>
      <xdr:row>13</xdr:row>
      <xdr:rowOff>65554</xdr:rowOff>
    </xdr:to>
    <xdr:sp macro="" textlink="">
      <xdr:nvSpPr>
        <xdr:cNvPr id="23" name="テキスト ボックス 3">
          <a:extLst>
            <a:ext uri="{FF2B5EF4-FFF2-40B4-BE49-F238E27FC236}">
              <a16:creationId xmlns:a16="http://schemas.microsoft.com/office/drawing/2014/main" id="{3EB362AB-F2C5-04FE-CE98-8FBAB69593BE}"/>
            </a:ext>
          </a:extLst>
        </xdr:cNvPr>
        <xdr:cNvSpPr txBox="1"/>
      </xdr:nvSpPr>
      <xdr:spPr>
        <a:xfrm>
          <a:off x="19916775" y="476250"/>
          <a:ext cx="5324476" cy="288495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en-US"/>
            <a:t>今期企画方針は以下になります。</a:t>
          </a:r>
        </a:p>
        <a:p>
          <a:r>
            <a:rPr lang="ja-JP" altLang="en-US"/>
            <a:t>・一般側は現在の在庫数を減少させることを第一目標</a:t>
          </a:r>
        </a:p>
        <a:p>
          <a:r>
            <a:rPr lang="ja-JP" altLang="en-US"/>
            <a:t>・原則次の発注は入荷が</a:t>
          </a:r>
          <a:r>
            <a:rPr lang="en-US" altLang="ja-JP"/>
            <a:t>8</a:t>
          </a:r>
          <a:r>
            <a:rPr lang="ja-JP" altLang="en-US"/>
            <a:t>月以降となるように</a:t>
          </a:r>
        </a:p>
        <a:p>
          <a:r>
            <a:rPr lang="ja-JP" altLang="en-US"/>
            <a:t>・法人側で必要な数量の発注は行う</a:t>
          </a:r>
          <a:endParaRPr lang="en-US" altLang="ja-JP"/>
        </a:p>
        <a:p>
          <a:r>
            <a:rPr lang="ja-JP" altLang="en-US"/>
            <a:t>　（が、その際には一般側の計画数の減少で対応できないか検討）</a:t>
          </a:r>
        </a:p>
        <a:p>
          <a:r>
            <a:rPr lang="ja-JP" altLang="en-US"/>
            <a:t>・在庫切れを許容する</a:t>
          </a:r>
          <a:br>
            <a:rPr lang="en-US" altLang="ja-JP"/>
          </a:br>
          <a:r>
            <a:rPr lang="ja-JP" altLang="en-US"/>
            <a:t>　・例外として、同一シリーズ内（類似</a:t>
          </a:r>
          <a:r>
            <a:rPr lang="en-US" altLang="ja-JP"/>
            <a:t>GPU</a:t>
          </a:r>
          <a:r>
            <a:rPr lang="ja-JP" altLang="en-US"/>
            <a:t>区切り）に販売可能機種が</a:t>
          </a:r>
          <a:r>
            <a:rPr lang="en-US" altLang="ja-JP"/>
            <a:t>0</a:t>
          </a:r>
          <a:r>
            <a:rPr lang="ja-JP" altLang="en-US"/>
            <a:t>になって</a:t>
          </a:r>
          <a:endParaRPr lang="en-US" altLang="ja-JP"/>
        </a:p>
        <a:p>
          <a:r>
            <a:rPr lang="ja-JP" altLang="en-US"/>
            <a:t>　　しまわないよう価格調整（または発注）は行う</a:t>
          </a:r>
        </a:p>
        <a:p>
          <a:r>
            <a:rPr lang="ja-JP" altLang="en-US"/>
            <a:t> 　　→「同一シリーズ内（類似</a:t>
          </a:r>
          <a:r>
            <a:rPr lang="en-US" altLang="ja-JP"/>
            <a:t>GPU</a:t>
          </a:r>
          <a:r>
            <a:rPr lang="ja-JP" altLang="en-US"/>
            <a:t>区切り）」には</a:t>
          </a:r>
          <a:r>
            <a:rPr lang="en-US" altLang="ja-JP"/>
            <a:t>Gaming/Creator</a:t>
          </a:r>
          <a:r>
            <a:rPr lang="ja-JP" altLang="en-US"/>
            <a:t>の</a:t>
          </a:r>
          <a:endParaRPr lang="en-US" altLang="ja-JP"/>
        </a:p>
        <a:p>
          <a:r>
            <a:rPr lang="ja-JP" altLang="en-US"/>
            <a:t>　　　　区別を設けない（流用可能）</a:t>
          </a:r>
          <a:br>
            <a:rPr kumimoji="1" lang="en-US" altLang="ja-JP" sz="1100" baseline="0">
              <a:solidFill>
                <a:schemeClr val="dk1"/>
              </a:solidFill>
              <a:effectLst/>
              <a:latin typeface="+mn-lt"/>
              <a:ea typeface="+mn-ea"/>
              <a:cs typeface="+mn-cs"/>
            </a:rPr>
          </a:br>
          <a:endParaRPr kumimoji="1" lang="en-US" altLang="ja-JP" sz="1100" baseline="0">
            <a:solidFill>
              <a:schemeClr val="dk1"/>
            </a:solidFill>
            <a:effectLst/>
            <a:latin typeface="+mn-lt"/>
            <a:ea typeface="+mn-ea"/>
            <a:cs typeface="+mn-cs"/>
          </a:endParaRPr>
        </a:p>
        <a:p>
          <a:r>
            <a:rPr kumimoji="1" lang="ja-JP" altLang="en-US" sz="1100" baseline="0">
              <a:solidFill>
                <a:schemeClr val="dk1"/>
              </a:solidFill>
              <a:effectLst/>
              <a:latin typeface="+mn-lt"/>
              <a:ea typeface="+mn-ea"/>
              <a:cs typeface="+mn-cs"/>
            </a:rPr>
            <a:t>今の計画数で在庫を消化することが達成すべき目標です。</a:t>
          </a:r>
          <a:endParaRPr lang="ja-JP" altLang="ja-JP">
            <a:effectLst/>
          </a:endParaRPr>
        </a:p>
      </xdr:txBody>
    </xdr:sp>
    <xdr:clientData/>
  </xdr:twoCellAnchor>
  <xdr:twoCellAnchor editAs="oneCell">
    <xdr:from>
      <xdr:col>60</xdr:col>
      <xdr:colOff>28575</xdr:colOff>
      <xdr:row>63</xdr:row>
      <xdr:rowOff>32742</xdr:rowOff>
    </xdr:from>
    <xdr:to>
      <xdr:col>79</xdr:col>
      <xdr:colOff>114300</xdr:colOff>
      <xdr:row>94</xdr:row>
      <xdr:rowOff>28575</xdr:rowOff>
    </xdr:to>
    <xdr:pic>
      <xdr:nvPicPr>
        <xdr:cNvPr id="29" name="グラフィックス 3">
          <a:extLst>
            <a:ext uri="{FF2B5EF4-FFF2-40B4-BE49-F238E27FC236}">
              <a16:creationId xmlns:a16="http://schemas.microsoft.com/office/drawing/2014/main" id="{CFEE0D18-1E5F-4D9A-A697-199FC5BBC9C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906500" y="13358217"/>
          <a:ext cx="13115925" cy="737770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松下 礼" id="{B89D216E-4048-4705-A6B4-11A602A20B4A}" userId="松下 礼" providerId="None"/>
  <person displayName="小野 雄己" id="{D47C02FF-B87F-46B7-9245-AD01DC88090C}" userId="S::y_ono@twave.co.jp::32d88d87-f555-43b5-a995-9c702553de60" providerId="AD"/>
  <person displayName="木村 衣里" id="{F1226075-8A85-437E-B6EA-9D36BEF579CD}" userId="S::e_kimura@twave.co.jp::ee6da342-dc30-4d19-8e25-4cca0643f618" providerId="AD"/>
  <person displayName="鈴木 由希子" id="{FAB7F91F-121E-48E3-9D37-1AA3C61E890D}" userId="S::y_suzuki@twave.co.jp::05edbbae-0cf4-4a8f-91e0-d0e7f12d9d5e" providerId="AD"/>
  <person displayName="久末 翔希" id="{507B7EFD-965A-4105-8A71-2A077BE8760D}" userId="S::s_hisasue@twave.co.jp::ea7eec88-63ee-4472-a4ba-8362f95adcdb" providerId="AD"/>
  <person displayName="松下 礼" id="{9489AE3B-8B2E-475D-A943-11B6EBC061E6}" userId="S::r_matsushita@twave.co.jp::53e20f87-df45-4eec-a8cb-222db268fa2b"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5" xr16:uid="{26CADF15-20D8-42F6-A4E1-2595F636B575}" autoFormatId="20" applyNumberFormats="0" applyBorderFormats="0" applyFontFormats="0" applyPatternFormats="0" applyAlignmentFormats="0" applyWidthHeightFormats="0">
  <queryTableRefresh nextId="113" unboundColumnsRight="8">
    <queryTableFields count="70">
      <queryTableField id="2" name="EOL連絡" tableColumnId="2"/>
      <queryTableField id="4" name="ブランド" tableColumnId="4"/>
      <queryTableField id="5" name="製品型番" tableColumnId="5"/>
      <queryTableField id="106" name="商品コード" tableColumnId="6"/>
      <queryTableField id="7" name="ベア名称" tableColumnId="7"/>
      <queryTableField id="8" name="ID通称" tableColumnId="8"/>
      <queryTableField id="9" name="綽名" tableColumnId="9"/>
      <queryTableField id="11" name="画面サイズ" tableColumnId="11"/>
      <queryTableField id="10" name="Copilot OS" tableColumnId="10"/>
      <queryTableField id="12" name="CPU" tableColumnId="12"/>
      <queryTableField id="13" name="GPU" tableColumnId="13"/>
      <queryTableField id="14" name="在庫" tableColumnId="14"/>
      <queryTableField id="103" name="在庫+注残" tableColumnId="21"/>
      <queryTableField id="16" name="MP出荷" tableColumnId="16"/>
      <queryTableField id="17" name="販売開始" tableColumnId="17"/>
      <queryTableField id="18" name="終息予定" tableColumnId="18"/>
      <queryTableField id="19" name="備考" tableColumnId="19"/>
      <queryTableField id="22" name="移動数" tableColumnId="22"/>
      <queryTableField id="23" name="完了日" tableColumnId="23"/>
      <queryTableField id="60" name="備考2" tableColumnId="1"/>
      <queryTableField id="25" name="計画" tableColumnId="25"/>
      <queryTableField id="26" name="総発注数" tableColumnId="26"/>
      <queryTableField id="27" name="販売数" tableColumnId="27"/>
      <queryTableField id="28" name="最終入荷" tableColumnId="28"/>
      <queryTableField id="29" name="代替製品CD" tableColumnId="29"/>
      <queryTableField id="30" name="名称" tableColumnId="30"/>
      <queryTableField id="31" name="代替品CD 2" tableColumnId="31"/>
      <queryTableField id="61" name="列3" tableColumnId="3"/>
      <queryTableField id="33" name="移動累計" tableColumnId="33"/>
      <queryTableField id="34" name="リペア比率" tableColumnId="34"/>
      <queryTableField id="35" name="販売比率" tableColumnId="35"/>
      <queryTableField id="62" name="在庫4" tableColumnId="15"/>
      <queryTableField id="37" name="その他" tableColumnId="37"/>
      <queryTableField id="38" name="代替提案CD" tableColumnId="38"/>
      <queryTableField id="39" name="代替提案ベア" tableColumnId="39"/>
      <queryTableField id="40" name="対応マニュアル" tableColumnId="40"/>
      <queryTableField id="41" name="納品日" tableColumnId="41"/>
      <queryTableField id="42" name="納品数" tableColumnId="42"/>
      <queryTableField id="43" name="AC容量" tableColumnId="43"/>
      <queryTableField id="44" name="V" tableColumnId="44"/>
      <queryTableField id="45" name="A" tableColumnId="45"/>
      <queryTableField id="46" name="AC形状" tableColumnId="46"/>
      <queryTableField id="63" name="AC商品CD" tableColumnId="24"/>
      <queryTableField id="48" name="ケーブル" tableColumnId="48"/>
      <queryTableField id="49" name="ケーブルCD" tableColumnId="49"/>
      <queryTableField id="50" name="USB-PD対応" tableColumnId="50"/>
      <queryTableField id="64" name="備考3" tableColumnId="32"/>
      <queryTableField id="79" name="ONE計画との整合" tableColumnId="54"/>
      <queryTableField id="90" name="SAPとの整合" tableColumnId="62"/>
      <queryTableField id="81" name="TGP" tableColumnId="36"/>
      <queryTableField id="53" name="Aカバー" tableColumnId="53"/>
      <queryTableField id="66" name="Aカバー7" tableColumnId="47"/>
      <queryTableField id="55" name="Bカバー" tableColumnId="55"/>
      <queryTableField id="56" name="C" tableColumnId="56"/>
      <queryTableField id="57" name="D" tableColumnId="57"/>
      <queryTableField id="83" name="サイズ" tableColumnId="51"/>
      <queryTableField id="84" name="重量(kg)" tableColumnId="52"/>
      <queryTableField id="85" name="ACアダプタ" tableColumnId="58"/>
      <queryTableField id="86" name="箱サイズ" tableColumnId="59"/>
      <queryTableField id="87" name="重量(kg)2" tableColumnId="60"/>
      <queryTableField id="111" name="後継・代替" tableColumnId="20"/>
      <queryTableField id="110" name="直近30日販売台数" tableColumnId="61"/>
      <queryTableField id="92" dataBound="0" tableColumnId="63"/>
      <queryTableField id="93" dataBound="0" tableColumnId="64"/>
      <queryTableField id="94" dataBound="0" tableColumnId="65"/>
      <queryTableField id="95" dataBound="0" tableColumnId="66"/>
      <queryTableField id="96" dataBound="0" tableColumnId="67"/>
      <queryTableField id="97" dataBound="0" tableColumnId="68"/>
      <queryTableField id="98" dataBound="0" tableColumnId="69"/>
      <queryTableField id="109" dataBound="0" tableColumnId="7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8" xr16:uid="{2026B75C-C4E9-42E5-AEA3-E38C3AA03897}" autoFormatId="20" applyNumberFormats="0" applyBorderFormats="0" applyFontFormats="0" applyPatternFormats="0" applyAlignmentFormats="0" applyWidthHeightFormats="0">
  <queryTableRefresh nextId="3">
    <queryTableFields count="2">
      <queryTableField id="1" name="ファイル名" tableColumnId="1"/>
      <queryTableField id="2" name="更新日時"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3988A5F-4F24-4DDD-9431-5D712BAE55F0}" autoFormatId="20" applyNumberFormats="0" applyBorderFormats="0" applyFontFormats="0" applyPatternFormats="0" applyAlignmentFormats="0" applyWidthHeightFormats="0">
  <queryTableRefresh nextId="33">
    <queryTableFields count="30">
      <queryTableField id="1" name="品目" tableColumnId="1"/>
      <queryTableField id="2" name="在庫数量" tableColumnId="2"/>
      <queryTableField id="3" name="単位" tableColumnId="3"/>
      <queryTableField id="4" name="保管場所" tableColumnId="4"/>
      <queryTableField id="5" name="S" tableColumnId="5"/>
      <queryTableField id="6" name="伝票" tableColumnId="6"/>
      <queryTableField id="7" name="明細" tableColumnId="7"/>
      <queryTableField id="8" name="Plnt" tableColumnId="8"/>
      <queryTableField id="9" name="品目グループ" tableColumnId="9"/>
      <queryTableField id="10" name="品目タイプ" tableColumnId="10"/>
      <queryTableField id="11" name="旧品目コード" tableColumnId="11"/>
      <queryTableField id="12" name="ロット管理区分" tableColumnId="12"/>
      <queryTableField id="13" name="品目コード" tableColumnId="13"/>
      <queryTableField id="14" name="安全在庫" tableColumnId="14"/>
      <queryTableField id="15" name="単位_1" tableColumnId="15"/>
      <queryTableField id="16" name="品目St" tableColumnId="16"/>
      <queryTableField id="17" name="在庫ゼロフラグ" tableColumnId="17"/>
      <queryTableField id="18" name="ValCl" tableColumnId="18"/>
      <queryTableField id="19" name="原価区分" tableColumnId="19"/>
      <queryTableField id="20" name="移動平均原価" tableColumnId="20"/>
      <queryTableField id="21" name="通貨" tableColumnId="21"/>
      <queryTableField id="22" name="受注原価" tableColumnId="22"/>
      <queryTableField id="23" name="通貨_2" tableColumnId="23"/>
      <queryTableField id="24" name="標準原価" tableColumnId="24"/>
      <queryTableField id="25" name="通貨_3" tableColumnId="25"/>
      <queryTableField id="26" name="品目階層" tableColumnId="26"/>
      <queryTableField id="27" name="品目階層_4" tableColumnId="27"/>
      <queryTableField id="28" name="在庫合計金額" tableColumnId="28"/>
      <queryTableField id="29" name="通貨_5" tableColumnId="29"/>
      <queryTableField id="30" name="品目テキスト(50)" tableColumnId="30"/>
    </queryTableFields>
  </queryTableRefresh>
  <extLst>
    <ext xmlns:x15="http://schemas.microsoft.com/office/spreadsheetml/2010/11/main" uri="{883FBD77-0823-4a55-B5E3-86C4891E6966}">
      <x15:queryTable sourceDataName="クエリ - 一般＋法人"/>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7" xr16:uid="{876CB704-C986-402A-86D6-87A11C2754CE}" autoFormatId="20" applyNumberFormats="0" applyBorderFormats="0" applyFontFormats="0" applyPatternFormats="0" applyAlignmentFormats="0" applyWidthHeightFormats="0">
  <queryTableRefresh nextId="46" unboundColumnsRight="1">
    <queryTableFields count="31">
      <queryTableField id="1" name="コード" tableColumnId="1"/>
      <queryTableField id="2" name="数量" tableColumnId="2"/>
      <queryTableField id="3" name="$単価" tableColumnId="3"/>
      <queryTableField id="4" name="¥単価" tableColumnId="4"/>
      <queryTableField id="5" name="納品日" tableColumnId="5"/>
      <queryTableField id="6" name="IO" tableColumnId="6"/>
      <queryTableField id="7" name="発注日" tableColumnId="7"/>
      <queryTableField id="8" name="LT" tableColumnId="8"/>
      <queryTableField id="9" name="綽名" tableColumnId="9"/>
      <queryTableField id="10" name="購買先" tableColumnId="10"/>
      <queryTableField id="11" name="発注番号" tableColumnId="11"/>
      <queryTableField id="12" name="合計" tableColumnId="12"/>
      <queryTableField id="13" name="検品日" tableColumnId="13"/>
      <queryTableField id="14" name="工場出荷日" tableColumnId="14"/>
      <queryTableField id="15" name="A/S" tableColumnId="15"/>
      <queryTableField id="16" name="ETD" tableColumnId="16"/>
      <queryTableField id="17" name="POL" tableColumnId="17"/>
      <queryTableField id="18" name="ETA" tableColumnId="18"/>
      <queryTableField id="19" name="POD" tableColumnId="19"/>
      <queryTableField id="20" name="F/T〆" tableColumnId="20"/>
      <queryTableField id="21" name="物流状況" tableColumnId="21"/>
      <queryTableField id="22" name="新規/4M変更" tableColumnId="22"/>
      <queryTableField id="23" name="備考" tableColumnId="23"/>
      <queryTableField id="24" name="スペア1% or 10コ" tableColumnId="24"/>
      <queryTableField id="25" name="Sign back" tableColumnId="25"/>
      <queryTableField id="26" name="物流備考" tableColumnId="26"/>
      <queryTableField id="29" name="本船遅延" tableColumnId="29"/>
      <queryTableField id="31" name="本船名" tableColumnId="31"/>
      <queryTableField id="32" name="Booking ETD" tableColumnId="32"/>
      <queryTableField id="45" name="累計発注数" tableColumnId="28"/>
      <queryTableField id="44" dataBound="0" tableColumnId="2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5E3509-9153-4031-9AA1-7F66E6B6992F}" name="マスタ_EOLリスト" displayName="マスタ_EOLリスト" ref="B1:BS285" tableType="queryTable" totalsRowShown="0">
  <autoFilter ref="B1:BS285" xr:uid="{815E3509-9153-4031-9AA1-7F66E6B6992F}"/>
  <tableColumns count="70">
    <tableColumn id="2" xr3:uid="{BB9B35A2-FECF-4DC6-AF90-260D49CE593A}" uniqueName="2" name="EOL連絡" queryTableFieldId="2"/>
    <tableColumn id="4" xr3:uid="{0E5F13B2-BC77-4FAB-B017-072B18C2F300}" uniqueName="4" name="ブランド" queryTableFieldId="4"/>
    <tableColumn id="5" xr3:uid="{C34130B6-AA40-4740-8C37-73BABA48177A}" uniqueName="5" name="製品型番" queryTableFieldId="5"/>
    <tableColumn id="6" xr3:uid="{8A98A721-497F-4939-8ED1-363B89D42006}" uniqueName="6" name="商品コード" queryTableFieldId="106"/>
    <tableColumn id="7" xr3:uid="{35889BCC-CD3D-46B5-8957-63157C78D73E}" uniqueName="7" name="ベア名称" queryTableFieldId="7"/>
    <tableColumn id="8" xr3:uid="{5F739EAA-1B84-4AF6-B365-C867372FEAFE}" uniqueName="8" name="ID通称" queryTableFieldId="8"/>
    <tableColumn id="9" xr3:uid="{8897DC4F-F166-41D4-AFFE-B6D8CF14E3E9}" uniqueName="9" name="綽名" queryTableFieldId="9"/>
    <tableColumn id="11" xr3:uid="{825505D7-350F-4DE1-A9D8-8C78626195BF}" uniqueName="11" name="画面サイズ" queryTableFieldId="11"/>
    <tableColumn id="10" xr3:uid="{9FB297FB-E42D-4C00-BEA4-7B81662650CB}" uniqueName="10" name="Copilot OS" queryTableFieldId="10"/>
    <tableColumn id="12" xr3:uid="{C0D9DE24-C4A6-43FC-B89F-4C1C439F47B2}" uniqueName="12" name="CPU" queryTableFieldId="12"/>
    <tableColumn id="13" xr3:uid="{C84B75BE-ABAC-4688-A973-777BE60C45D6}" uniqueName="13" name="GPU" queryTableFieldId="13"/>
    <tableColumn id="14" xr3:uid="{63BDCB10-A7B2-467F-8650-906896B158C0}" uniqueName="14" name="在庫" queryTableFieldId="14"/>
    <tableColumn id="21" xr3:uid="{DAB8B8E0-EB35-4784-A7FF-2A96E8B912D3}" uniqueName="21" name="在庫+注残" queryTableFieldId="103"/>
    <tableColumn id="16" xr3:uid="{B877BA2C-55DC-400F-80A9-B040A2DBA364}" uniqueName="16" name="MP出荷" queryTableFieldId="16"/>
    <tableColumn id="17" xr3:uid="{EF2AECB8-22F7-4DF6-A93F-9D8405D47BCF}" uniqueName="17" name="販売開始" queryTableFieldId="17"/>
    <tableColumn id="18" xr3:uid="{294EA8F8-DA86-49B3-9B5D-35A3E5565942}" uniqueName="18" name="終息予定" queryTableFieldId="18"/>
    <tableColumn id="19" xr3:uid="{D1319A0A-67BE-4163-B388-9DF6AE37646E}" uniqueName="19" name="備考" queryTableFieldId="19"/>
    <tableColumn id="22" xr3:uid="{F3DEC718-DA72-4714-8E0A-A32C6109B769}" uniqueName="22" name="移動数" queryTableFieldId="22"/>
    <tableColumn id="23" xr3:uid="{8F47BE4F-216A-4E17-B477-21E005E0018F}" uniqueName="23" name="完了日" queryTableFieldId="23"/>
    <tableColumn id="1" xr3:uid="{7A1465C9-E28B-421A-B427-CC87F0AA7762}" uniqueName="1" name="備考2" queryTableFieldId="60"/>
    <tableColumn id="25" xr3:uid="{12AEE4A8-DB6F-4D8A-875C-AED4DB47513A}" uniqueName="25" name="計画" queryTableFieldId="25"/>
    <tableColumn id="26" xr3:uid="{36DB54F9-6E0A-487C-ADD3-173A73B0D763}" uniqueName="26" name="総発注数" queryTableFieldId="26"/>
    <tableColumn id="27" xr3:uid="{EBDA78D2-75F2-49D7-AD65-CA7B8C15AE15}" uniqueName="27" name="販売数" queryTableFieldId="27"/>
    <tableColumn id="28" xr3:uid="{D977004B-1A26-4292-8C97-977D2B8B7538}" uniqueName="28" name="最終入荷" queryTableFieldId="28"/>
    <tableColumn id="29" xr3:uid="{BDFF3201-2B77-41A8-9D14-2E38280B23A4}" uniqueName="29" name="代替製品CD" queryTableFieldId="29"/>
    <tableColumn id="30" xr3:uid="{4D578A6B-1F78-4F0D-A660-1C514CF14EDD}" uniqueName="30" name="名称" queryTableFieldId="30"/>
    <tableColumn id="31" xr3:uid="{66865E91-919F-464B-8D78-A8148F7A9EA1}" uniqueName="31" name="代替品CD 2" queryTableFieldId="31"/>
    <tableColumn id="3" xr3:uid="{CD1C7529-B9DB-4557-923E-1AFF26FA24FA}" uniqueName="3" name="列3" queryTableFieldId="61"/>
    <tableColumn id="33" xr3:uid="{38086A59-68AB-4E49-9C2B-6345AA72BFB3}" uniqueName="33" name="移動累計" queryTableFieldId="33"/>
    <tableColumn id="34" xr3:uid="{227131E3-8287-41AC-AC54-1AAD23E90725}" uniqueName="34" name="リペア比率" queryTableFieldId="34"/>
    <tableColumn id="35" xr3:uid="{F22392FF-53B2-4D10-8935-520867814643}" uniqueName="35" name="販売比率" queryTableFieldId="35"/>
    <tableColumn id="15" xr3:uid="{84D2B9C8-30A4-4619-A69B-5125999A16CB}" uniqueName="15" name="在庫4" queryTableFieldId="62"/>
    <tableColumn id="37" xr3:uid="{3A06E1C6-E7F7-4D4F-B459-8865D2038798}" uniqueName="37" name="その他" queryTableFieldId="37"/>
    <tableColumn id="38" xr3:uid="{4E2E3D8A-2533-4B33-A025-47D255B274C9}" uniqueName="38" name="代替提案CD" queryTableFieldId="38"/>
    <tableColumn id="39" xr3:uid="{6C99CDE9-F2F9-4166-8BA5-0B5049ADCB79}" uniqueName="39" name="代替提案ベア" queryTableFieldId="39"/>
    <tableColumn id="40" xr3:uid="{E52516CE-FC03-42FD-89E9-6C764DF8CD75}" uniqueName="40" name="対応マニュアル" queryTableFieldId="40"/>
    <tableColumn id="41" xr3:uid="{343A348A-B498-4D36-8977-F88A575AA9AA}" uniqueName="41" name="納品日" queryTableFieldId="41"/>
    <tableColumn id="42" xr3:uid="{FE70DFEC-5AE5-4A95-BCD1-17BF41891E9E}" uniqueName="42" name="納品数" queryTableFieldId="42"/>
    <tableColumn id="43" xr3:uid="{4CB06E38-6972-46F8-8BCC-1F430E82BC61}" uniqueName="43" name="AC容量" queryTableFieldId="43"/>
    <tableColumn id="44" xr3:uid="{CA7BCA57-4608-4791-A7E2-304314A99D9B}" uniqueName="44" name="V" queryTableFieldId="44"/>
    <tableColumn id="45" xr3:uid="{4FA78878-540D-473E-BA13-562809E295A9}" uniqueName="45" name="A" queryTableFieldId="45"/>
    <tableColumn id="46" xr3:uid="{68DDA466-9029-41B5-AEC4-EFC3A070F885}" uniqueName="46" name="AC形状" queryTableFieldId="46"/>
    <tableColumn id="24" xr3:uid="{5A637FC2-713B-4F42-83E3-257C1FDF2885}" uniqueName="24" name="AC商品CD" queryTableFieldId="63"/>
    <tableColumn id="48" xr3:uid="{E70EB03C-52A2-4E47-B3BC-79A84902FBDB}" uniqueName="48" name="ケーブル" queryTableFieldId="48"/>
    <tableColumn id="49" xr3:uid="{DA0A0FF5-29B8-48D8-B53D-40651C4DB939}" uniqueName="49" name="ケーブルCD" queryTableFieldId="49"/>
    <tableColumn id="50" xr3:uid="{273FB106-ECC8-4739-9DFB-CA31A7A80A83}" uniqueName="50" name="USB-PD対応" queryTableFieldId="50"/>
    <tableColumn id="32" xr3:uid="{3607C939-2C47-4660-9B93-741D9702EF29}" uniqueName="32" name="備考3" queryTableFieldId="64"/>
    <tableColumn id="54" xr3:uid="{75F8741C-3F73-4D08-995A-860EF317A56E}" uniqueName="54" name="ONE計画との整合" queryTableFieldId="79"/>
    <tableColumn id="62" xr3:uid="{3E2334B2-DB97-487E-99CE-F077B9884571}" uniqueName="62" name="SAPとの整合" queryTableFieldId="90"/>
    <tableColumn id="36" xr3:uid="{552EB466-E7EB-4019-A9E4-226A918953D9}" uniqueName="36" name="TGP" queryTableFieldId="81"/>
    <tableColumn id="53" xr3:uid="{71BB5686-E85E-4185-8ED9-E19A5592817A}" uniqueName="53" name="Aカバー" queryTableFieldId="53"/>
    <tableColumn id="47" xr3:uid="{0B94A78F-1D05-4AD3-9A2C-42D0743B3E2B}" uniqueName="47" name="Aカバー7" queryTableFieldId="66"/>
    <tableColumn id="55" xr3:uid="{580B6481-55A5-4BFE-96E1-D00A9DB3C611}" uniqueName="55" name="Bカバー" queryTableFieldId="55"/>
    <tableColumn id="56" xr3:uid="{F3C2715D-8CFF-4CEB-AA94-2B09579DBC5A}" uniqueName="56" name="C" queryTableFieldId="56"/>
    <tableColumn id="57" xr3:uid="{C43D5B72-93B8-45D9-8DD3-7B173925F3BB}" uniqueName="57" name="D" queryTableFieldId="57"/>
    <tableColumn id="51" xr3:uid="{D009305E-3B94-495B-AD55-4941E0329496}" uniqueName="51" name="サイズ" queryTableFieldId="83"/>
    <tableColumn id="52" xr3:uid="{47ED1C7D-4BB9-49C8-865C-734AB9C3E555}" uniqueName="52" name="重量(kg)" queryTableFieldId="84"/>
    <tableColumn id="58" xr3:uid="{CDF246DB-2400-44E1-A4E8-2CEC061A451F}" uniqueName="58" name="ACアダプタ" queryTableFieldId="85"/>
    <tableColumn id="59" xr3:uid="{BF1C2017-B72C-4034-AA39-246813B79722}" uniqueName="59" name="箱サイズ" queryTableFieldId="86"/>
    <tableColumn id="60" xr3:uid="{0E6C6F00-537C-4561-8DD6-6224E1BCFDC8}" uniqueName="60" name="重量(kg)2" queryTableFieldId="87"/>
    <tableColumn id="20" xr3:uid="{7483FAE8-C431-4637-B18D-F59179B7011E}" uniqueName="20" name="後継・代替" queryTableFieldId="111"/>
    <tableColumn id="61" xr3:uid="{7B7BF3E9-F18B-48F1-B113-8468482A0BBA}" uniqueName="61" name="直近30日販売台数" queryTableFieldId="110"/>
    <tableColumn id="63" xr3:uid="{871B6224-D036-48DE-B255-2806C5DB900E}" uniqueName="63" name="列1" queryTableFieldId="92"/>
    <tableColumn id="64" xr3:uid="{80A552D8-71E0-4EE7-8095-28CB869DC7B0}" uniqueName="64" name="全体" queryTableFieldId="93" dataDxfId="143">
      <calculatedColumnFormula>IF(COUNTIFS('在庫使用計画 (ノート全体試算)'!C:C,マスタ_EOLリスト[[#This Row],[製品型番]])=0,"記載なし","")</calculatedColumnFormula>
    </tableColumn>
    <tableColumn id="65" xr3:uid="{A889D715-01F8-4CB0-9AFF-7580C6522A7C}" uniqueName="65" name="一般" queryTableFieldId="94" dataDxfId="142">
      <calculatedColumnFormula>IF(COUNTIFS('在庫使用計画 (一般)'!C:C,マスタ_EOLリスト[[#This Row],[製品型番]])=0,"記載なし","")</calculatedColumnFormula>
    </tableColumn>
    <tableColumn id="66" xr3:uid="{7DF81535-7015-4777-A2E2-9D81EEE32F65}" uniqueName="66" name="法人" queryTableFieldId="95" dataDxfId="141">
      <calculatedColumnFormula>IF(COUNTIFS('在庫使用計画 (法人)'!C:C,マスタ_EOLリスト[[#This Row],[製品型番]])=0,"記載なし","")</calculatedColumnFormula>
    </tableColumn>
    <tableColumn id="67" xr3:uid="{43437755-573A-4B33-AB69-34747123A041}" uniqueName="67" name="全体実績+予測" queryTableFieldId="96" dataDxfId="140">
      <calculatedColumnFormula>IF(COUNTIFS('在庫使用計画 (全体実績+予測）0701'!C:C,マスタ_EOLリスト[[#This Row],[製品型番]])=0,"記載なし","")</calculatedColumnFormula>
    </tableColumn>
    <tableColumn id="68" xr3:uid="{68E0F3B6-083A-47BD-9C20-EE5AE11FEFAF}" uniqueName="68" name="計画　予測" queryTableFieldId="97" dataDxfId="139">
      <calculatedColumnFormula>IF(COUNTIFS('在庫使用計画 (計画　予測)'!C:C,マスタ_EOLリスト[[#This Row],[製品型番]])=0,"記載なし","")</calculatedColumnFormula>
    </tableColumn>
    <tableColumn id="69" xr3:uid="{A64BC212-D98E-4630-B06D-6EDCC3C26288}" uniqueName="69" name="在庫確認" queryTableFieldId="98" dataDxfId="138">
      <calculatedColumnFormula>IF(COUNTIFS(在庫確認!B:B,マスタ_EOLリスト[[#This Row],[製品型番]])=0,"記載なし","")</calculatedColumnFormula>
    </tableColumn>
    <tableColumn id="70" xr3:uid="{118F778F-5F10-45B8-B8C1-64A1A08D2E2F}" uniqueName="70" name="部品予測" queryTableFieldId="109" dataDxfId="137">
      <calculatedColumnFormula>COUNTIF(#REF!,マスタ_EOLリスト[[#This Row],[製品型番]])</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6414298-115F-4765-A3DE-217CF9395890}" name="実績ファイル更新日時" displayName="実績ファイル更新日時" ref="H2:I3" tableType="queryTable" totalsRowShown="0">
  <autoFilter ref="H2:I3" xr:uid="{36414298-115F-4765-A3DE-217CF9395890}"/>
  <tableColumns count="2">
    <tableColumn id="1" xr3:uid="{7E332DCF-AFBE-4A69-B8B5-6D792E342447}" uniqueName="1" name="ファイル名" queryTableFieldId="1" dataDxfId="136"/>
    <tableColumn id="2" xr3:uid="{2CFE23BF-C9AB-4041-9237-2EED600C148A}" uniqueName="2" name="更新日時" queryTableFieldId="2" dataDxfId="13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B60A7F6-2098-4742-8957-104DFFC937B1}" name="CSV状態" displayName="CSV状態" ref="G2:G3" totalsRowShown="0">
  <autoFilter ref="G2:G3" xr:uid="{5B60A7F6-2098-4742-8957-104DFFC937B1}"/>
  <tableColumns count="1">
    <tableColumn id="2" xr3:uid="{FCB635B2-B048-4EA8-9375-17DB05E05496}" name="検索フォルダ名" dataDxfId="134"/>
  </tableColumns>
  <tableStyleInfo name="TableStyleLight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7A2099E-ED1C-4DE7-826C-E7CBE09DD59D}" name="GG_実績" displayName="GG_実績" ref="C13:Q24" totalsRowShown="0">
  <autoFilter ref="C13:Q24" xr:uid="{57A2099E-ED1C-4DE7-826C-E7CBE09DD59D}"/>
  <tableColumns count="15">
    <tableColumn id="1" xr3:uid="{E4BD40E8-DD59-4E6F-845D-4A7634FD30FF}" name="期"/>
    <tableColumn id="2" xr3:uid="{89F8A98F-E011-414B-B758-3AA9CC5B55F5}" name="年"/>
    <tableColumn id="3" xr3:uid="{FD747496-9039-4576-958A-3F5095DC5CBA}" name="8月" dataCellStyle="桁区切り"/>
    <tableColumn id="4" xr3:uid="{340F3F3E-E70A-42A6-9129-D6B49D30B2EC}" name="9月" dataCellStyle="桁区切り"/>
    <tableColumn id="5" xr3:uid="{8A77EEC5-9DCE-4CF5-8D6B-180DF126DE29}" name="10月" dataCellStyle="桁区切り"/>
    <tableColumn id="6" xr3:uid="{150597F3-EFF8-4F21-AC2F-B24E4AB016E0}" name="11月" dataCellStyle="桁区切り"/>
    <tableColumn id="7" xr3:uid="{FEDD97B7-6B2E-430A-B750-1BE6E16B2502}" name="12月" dataCellStyle="桁区切り"/>
    <tableColumn id="8" xr3:uid="{28481A52-0DF0-4887-8804-C7CFFDCFEF25}" name="1月" dataCellStyle="桁区切り"/>
    <tableColumn id="9" xr3:uid="{48DA9F25-CB6D-4C9A-BCC4-E505AE773359}" name="2月" dataCellStyle="桁区切り"/>
    <tableColumn id="10" xr3:uid="{880145B1-7330-43CE-9AF7-8C6622CC36C2}" name="3月" dataCellStyle="桁区切り"/>
    <tableColumn id="11" xr3:uid="{440C5E27-8DC5-479D-B9D6-C20D914DAB1C}" name="4月" dataCellStyle="桁区切り"/>
    <tableColumn id="12" xr3:uid="{D71E1CF8-4F87-4D9F-BCF8-2FB940793C4A}" name="5月" dataCellStyle="桁区切り"/>
    <tableColumn id="13" xr3:uid="{BBE6A5F8-A27A-4232-9E7B-A30AD7615C0D}" name="6月" dataCellStyle="桁区切り"/>
    <tableColumn id="14" xr3:uid="{CFF9D9B6-7293-46CD-8739-931CE7D48253}" name="7月" dataCellStyle="桁区切り"/>
    <tableColumn id="15" xr3:uid="{D48652B6-FD26-4C39-BCF5-D94AE3FAC42C}" name="年合計" dataCellStyle="桁区切り"/>
  </tableColumns>
  <tableStyleInfo name="TableStyleMedium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230BB8F-F584-4119-BAD6-665EC506DAC0}" name="SAP" displayName="SAP" ref="A4:AD104" tableType="queryTable" totalsRowShown="0">
  <autoFilter ref="A4:AD104" xr:uid="{E230BB8F-F584-4119-BAD6-665EC506DAC0}"/>
  <tableColumns count="30">
    <tableColumn id="1" xr3:uid="{D4C7D7F6-4928-415B-B4DD-D4A43D798045}" uniqueName="1" name="品目" queryTableFieldId="1"/>
    <tableColumn id="2" xr3:uid="{4EBC4AE8-8FD6-4F08-8C14-19C6C0D9406F}" uniqueName="2" name="在庫数量" queryTableFieldId="2"/>
    <tableColumn id="3" xr3:uid="{3C34AF75-63C4-40F1-ABED-E001DE08D061}" uniqueName="3" name="単位" queryTableFieldId="3"/>
    <tableColumn id="4" xr3:uid="{BACBC3DE-2265-4F00-AE21-D7AA1E0C843E}" uniqueName="4" name="保管場所" queryTableFieldId="4"/>
    <tableColumn id="5" xr3:uid="{8DED8BDE-286F-4352-8336-1F982E0A572B}" uniqueName="5" name="S" queryTableFieldId="5"/>
    <tableColumn id="6" xr3:uid="{23562B69-2CD9-438A-8B89-9D14B900EA14}" uniqueName="6" name="伝票" queryTableFieldId="6"/>
    <tableColumn id="7" xr3:uid="{06D771E7-8D3D-492D-A9C2-01A9BA497D3C}" uniqueName="7" name="明細" queryTableFieldId="7"/>
    <tableColumn id="8" xr3:uid="{6B84A01B-4130-4C44-BF98-A84B50AA0F11}" uniqueName="8" name="Plnt" queryTableFieldId="8"/>
    <tableColumn id="9" xr3:uid="{15A64D14-1F0A-4B60-B53C-87098D6262F7}" uniqueName="9" name="品目グループ" queryTableFieldId="9"/>
    <tableColumn id="10" xr3:uid="{17F444D6-346B-4E21-BD19-936D58F4346B}" uniqueName="10" name="品目タイプ" queryTableFieldId="10"/>
    <tableColumn id="11" xr3:uid="{ECC84AC1-163F-4F5C-AFA1-CD71AACB2354}" uniqueName="11" name="旧品目コード" queryTableFieldId="11"/>
    <tableColumn id="12" xr3:uid="{9AE3CC75-7169-436D-BFFF-FE319448DE4D}" uniqueName="12" name="ロット管理区分" queryTableFieldId="12"/>
    <tableColumn id="13" xr3:uid="{F272247F-D417-4F94-A46B-802C51F4FF24}" uniqueName="13" name="品目コード" queryTableFieldId="13"/>
    <tableColumn id="14" xr3:uid="{5EA11E8F-0D65-427C-A981-D77AC44BD401}" uniqueName="14" name="安全在庫" queryTableFieldId="14"/>
    <tableColumn id="15" xr3:uid="{90B2FBC7-9400-4F61-8007-BC7B31876E3D}" uniqueName="15" name="単位_1" queryTableFieldId="15"/>
    <tableColumn id="16" xr3:uid="{B3162CEC-35CF-46B0-BA1B-1C4005F0FC09}" uniqueName="16" name="品目St" queryTableFieldId="16"/>
    <tableColumn id="17" xr3:uid="{65BF9E08-59FD-4DAC-BA0F-282111E5D606}" uniqueName="17" name="在庫ゼロフラグ" queryTableFieldId="17"/>
    <tableColumn id="18" xr3:uid="{8C619C41-8E2F-4BC3-A027-CC50258CCB36}" uniqueName="18" name="ValCl" queryTableFieldId="18"/>
    <tableColumn id="19" xr3:uid="{72B69308-7694-45FA-8D9F-9817DDCB386A}" uniqueName="19" name="原価区分" queryTableFieldId="19"/>
    <tableColumn id="20" xr3:uid="{2987C7D2-C3C9-41AB-8E8B-024D9BA3AB36}" uniqueName="20" name="移動平均原価" queryTableFieldId="20"/>
    <tableColumn id="21" xr3:uid="{ED73D709-C4D3-4811-8A3C-DCF45D04BD5D}" uniqueName="21" name="通貨" queryTableFieldId="21"/>
    <tableColumn id="22" xr3:uid="{164555E7-6A6C-4DA7-BA26-C0B00F53DFAC}" uniqueName="22" name="受注原価" queryTableFieldId="22"/>
    <tableColumn id="23" xr3:uid="{8EC5BDB9-8295-447D-A0C3-2C642DA5CD67}" uniqueName="23" name="通貨_2" queryTableFieldId="23"/>
    <tableColumn id="24" xr3:uid="{6D3C24BB-E1F3-47A9-B58B-D84FF9FA0907}" uniqueName="24" name="標準原価" queryTableFieldId="24"/>
    <tableColumn id="25" xr3:uid="{09AF5774-B042-412A-B2D3-A31BD6D87F14}" uniqueName="25" name="通貨_3" queryTableFieldId="25"/>
    <tableColumn id="26" xr3:uid="{6B86FB8C-6702-41C9-90B3-72DEB7FC14C9}" uniqueName="26" name="品目階層" queryTableFieldId="26"/>
    <tableColumn id="27" xr3:uid="{143A209E-B240-490D-959D-B4C8582AD216}" uniqueName="27" name="品目階層_4" queryTableFieldId="27"/>
    <tableColumn id="28" xr3:uid="{473E8FF3-F127-4F68-94EA-6553441AF923}" uniqueName="28" name="在庫合計金額" queryTableFieldId="28"/>
    <tableColumn id="29" xr3:uid="{CAEC50C7-9D9C-499C-9290-EBE19BD2BFBC}" uniqueName="29" name="通貨_5" queryTableFieldId="29"/>
    <tableColumn id="30" xr3:uid="{847EBC8B-2A8E-4F82-9F93-BE9B21975BE0}" uniqueName="30" name="品目テキスト(50)" queryTableFieldId="30"/>
  </tableColumns>
  <tableStyleInfo name="TableStyleMedium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15C2D85-8539-48B9-8D32-8661F20A2FDA}" name="購買計画one_note_貼り付け" displayName="購買計画one_note_貼り付け" ref="A1:AE965" tableType="queryTable" totalsRowShown="0">
  <autoFilter ref="A1:AE965" xr:uid="{F15C2D85-8539-48B9-8D32-8661F20A2FDA}">
    <filterColumn colId="8">
      <filters>
        <filter val="UNW-K-9955HX-5070Ti-L6"/>
        <filter val="UNW-K-9955HX-5070Ti-L6 PVT"/>
      </filters>
    </filterColumn>
  </autoFilter>
  <tableColumns count="31">
    <tableColumn id="1" xr3:uid="{558B0629-5C18-4AAC-B90C-6DEAD3798331}" uniqueName="1" name="コード" queryTableFieldId="1"/>
    <tableColumn id="2" xr3:uid="{32063102-E484-47BC-8F82-36A955BA43EB}" uniqueName="2" name="数量" queryTableFieldId="2"/>
    <tableColumn id="3" xr3:uid="{081ED126-E164-4A99-8ED5-A7635694CAD8}" uniqueName="3" name="$単価" queryTableFieldId="3"/>
    <tableColumn id="4" xr3:uid="{EE8C5928-8E63-449F-BEDD-D7A3450118A6}" uniqueName="4" name="¥単価" queryTableFieldId="4"/>
    <tableColumn id="5" xr3:uid="{DE4EDC46-E528-4002-9161-9419AB9628C2}" uniqueName="5" name="納品日" queryTableFieldId="5" dataDxfId="133"/>
    <tableColumn id="6" xr3:uid="{8DC5AB0E-E970-4ED5-9F3D-87C367A98E2D}" uniqueName="6" name="IO" queryTableFieldId="6"/>
    <tableColumn id="7" xr3:uid="{8E7D8C9B-D9A4-43DB-BA39-F6B9730EDC12}" uniqueName="7" name="発注日" queryTableFieldId="7" dataDxfId="132"/>
    <tableColumn id="8" xr3:uid="{92B2A034-FE3E-44B7-9F0E-689F79B6AF6C}" uniqueName="8" name="LT" queryTableFieldId="8"/>
    <tableColumn id="9" xr3:uid="{6540CAAE-776B-4954-82AF-87E35F20F552}" uniqueName="9" name="綽名" queryTableFieldId="9"/>
    <tableColumn id="10" xr3:uid="{C0AC69B5-2168-403C-A940-9B2081D4BE32}" uniqueName="10" name="購買先" queryTableFieldId="10"/>
    <tableColumn id="11" xr3:uid="{376BBC27-A232-43F3-9805-3D2A5A1DF13C}" uniqueName="11" name="発注番号" queryTableFieldId="11"/>
    <tableColumn id="12" xr3:uid="{5BFE133A-4C6C-4C5E-A506-67A40C955EF0}" uniqueName="12" name="合計" queryTableFieldId="12"/>
    <tableColumn id="13" xr3:uid="{541148C8-9872-41B1-9DC9-BF9FB642843F}" uniqueName="13" name="検品日" queryTableFieldId="13"/>
    <tableColumn id="14" xr3:uid="{36A9B91D-0EAF-4A73-B2D9-E499305B7E8A}" uniqueName="14" name="工場出荷日" queryTableFieldId="14"/>
    <tableColumn id="15" xr3:uid="{9E84241F-74AB-4565-9015-E25E2D4B35EC}" uniqueName="15" name="A/S" queryTableFieldId="15"/>
    <tableColumn id="16" xr3:uid="{BB624B2D-0400-4CFB-8966-E37521161929}" uniqueName="16" name="ETD" queryTableFieldId="16" dataDxfId="131"/>
    <tableColumn id="17" xr3:uid="{6E0FB69C-1087-49CB-B4CB-D9C4AB4CE4E7}" uniqueName="17" name="POL" queryTableFieldId="17"/>
    <tableColumn id="18" xr3:uid="{05AE2C00-3358-4F93-9AD7-24E516ACA9FC}" uniqueName="18" name="ETA" queryTableFieldId="18" dataDxfId="130"/>
    <tableColumn id="19" xr3:uid="{48107C95-1F5B-4A60-8D60-DF0A1A9BA88F}" uniqueName="19" name="POD" queryTableFieldId="19"/>
    <tableColumn id="20" xr3:uid="{489ABDE9-0E53-4C2B-866A-4BA10D9A2864}" uniqueName="20" name="F/T〆" queryTableFieldId="20"/>
    <tableColumn id="21" xr3:uid="{59BD09F2-B46C-4590-826D-8020237512AE}" uniqueName="21" name="物流状況" queryTableFieldId="21"/>
    <tableColumn id="22" xr3:uid="{2A0D01DA-4014-4C51-A1C0-4E14F74B4ED3}" uniqueName="22" name="新規/4M変更" queryTableFieldId="22"/>
    <tableColumn id="23" xr3:uid="{A79DDAAB-50DF-4511-8F12-394AACBD3FED}" uniqueName="23" name="備考" queryTableFieldId="23"/>
    <tableColumn id="24" xr3:uid="{D724EFE0-8BA6-472C-BE7B-C2C29DF956A4}" uniqueName="24" name="スペア1% or 10コ" queryTableFieldId="24"/>
    <tableColumn id="25" xr3:uid="{461253E4-3535-45A0-8521-63CC65E80B9B}" uniqueName="25" name="Sign back" queryTableFieldId="25"/>
    <tableColumn id="26" xr3:uid="{3103BF56-9BB8-482E-B0CB-50E0764714CF}" uniqueName="26" name="物流備考" queryTableFieldId="26"/>
    <tableColumn id="29" xr3:uid="{74D43C3D-518E-4118-B0AF-F2DB6907B574}" uniqueName="29" name="本船遅延" queryTableFieldId="29"/>
    <tableColumn id="31" xr3:uid="{BF42A18D-3481-4D10-84B0-1B6589079B17}" uniqueName="31" name="本船名" queryTableFieldId="31"/>
    <tableColumn id="32" xr3:uid="{D895FDA9-733E-4A97-9F5D-CDB65735DD89}" uniqueName="32" name="Booking ETD" queryTableFieldId="32"/>
    <tableColumn id="28" xr3:uid="{89C052FE-272C-499D-8B15-7038076565AE}" uniqueName="28" name="累計発注数" queryTableFieldId="45"/>
    <tableColumn id="27" xr3:uid="{C691518B-99C2-4DC2-95DE-BBDD3BE52A30}" uniqueName="27" name="列1" queryTableFieldId="44"/>
  </tableColumns>
  <tableStyleInfo name="TableStyleLight14"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28" dT="2025-09-29T04:49:35.41" personId="{D47C02FF-B87F-46B7-9245-AD01DC88090C}" id="{2BEFF5FD-7A26-4A2E-9490-EA32E1B06BAB}">
    <text>続きそうな文章です</text>
  </threadedComment>
</ThreadedComments>
</file>

<file path=xl/threadedComments/threadedComment2.xml><?xml version="1.0" encoding="utf-8"?>
<ThreadedComments xmlns="http://schemas.microsoft.com/office/spreadsheetml/2018/threadedcomments" xmlns:x="http://schemas.openxmlformats.org/spreadsheetml/2006/main">
  <threadedComment ref="V1" dT="2025-11-12T00:36:59.64" personId="{D47C02FF-B87F-46B7-9245-AD01DC88090C}" id="{7CF4A880-EE00-4924-88BA-0CF43F481DE6}">
    <text>美野さん価格変更に伴う計画変更</text>
  </threadedComment>
</ThreadedComments>
</file>

<file path=xl/threadedComments/threadedComment3.xml><?xml version="1.0" encoding="utf-8"?>
<ThreadedComments xmlns="http://schemas.microsoft.com/office/spreadsheetml/2018/threadedcomments" xmlns:x="http://schemas.openxmlformats.org/spreadsheetml/2006/main">
  <threadedComment ref="E24" dT="2025-12-25T08:57:03.49" personId="{D47C02FF-B87F-46B7-9245-AD01DC88090C}" id="{AF9BFF52-A98B-40F2-8BCC-FE9E09D00D63}">
    <text>INDEX　MATCH等に変更したい。行追加に対応するため</text>
  </threadedComment>
</ThreadedComments>
</file>

<file path=xl/threadedComments/threadedComment4.xml><?xml version="1.0" encoding="utf-8"?>
<ThreadedComments xmlns="http://schemas.microsoft.com/office/spreadsheetml/2018/threadedcomments" xmlns:x="http://schemas.openxmlformats.org/spreadsheetml/2006/main">
  <threadedComment ref="AD3" dT="2025-11-20T01:00:35.39" personId="{D47C02FF-B87F-46B7-9245-AD01DC88090C}" id="{170F98E3-2339-4307-BD66-D0EC79885E54}">
    <text>この列の数式要検証</text>
  </threadedComment>
  <threadedComment ref="AE3" dT="2025-12-12T09:17:27.44" personId="{D47C02FF-B87F-46B7-9245-AD01DC88090C}" id="{74D464D1-6CEB-4100-BD75-A439693D468B}">
    <text>条件分岐版運用開始　しばらく様子を見る</text>
  </threadedComment>
  <threadedComment ref="AG3" dT="2026-01-07T03:06:49.89" personId="{D47C02FF-B87F-46B7-9245-AD01DC88090C}" id="{C25F1818-025D-4AA7-AE9F-CFA03BA5CB25}">
    <text>年越しに対応。計算不要時の処理を最初に
課題：揮発性関数使いすぎ問題</text>
  </threadedComment>
</ThreadedComments>
</file>

<file path=xl/threadedComments/threadedComment5.xml><?xml version="1.0" encoding="utf-8"?>
<ThreadedComments xmlns="http://schemas.microsoft.com/office/spreadsheetml/2018/threadedcomments" xmlns:x="http://schemas.openxmlformats.org/spreadsheetml/2006/main">
  <threadedComment ref="AD3" dT="2025-11-20T01:00:35.39" personId="{D47C02FF-B87F-46B7-9245-AD01DC88090C}" id="{0488DF82-3FDB-4D65-92E2-A453D786B55D}">
    <text>この列の数式要検証</text>
  </threadedComment>
  <threadedComment ref="AE3" dT="2025-12-12T09:17:27.44" personId="{D47C02FF-B87F-46B7-9245-AD01DC88090C}" id="{11D96AA9-1FDA-430C-B1FE-454F4DD7F0F2}">
    <text>条件分岐版運用開始　しばらく様子を見る</text>
  </threadedComment>
  <threadedComment ref="AG3" dT="2026-01-07T03:06:49.89" personId="{D47C02FF-B87F-46B7-9245-AD01DC88090C}" id="{1A2E4958-EF54-4ECA-89C3-08DA9DF2D3F4}">
    <text>年越しに対応。計算不要時の処理を最初に
課題：揮発性関数使いすぎ問題</text>
  </threadedComment>
</ThreadedComments>
</file>

<file path=xl/threadedComments/threadedComment6.xml><?xml version="1.0" encoding="utf-8"?>
<ThreadedComments xmlns="http://schemas.microsoft.com/office/spreadsheetml/2018/threadedcomments" xmlns:x="http://schemas.openxmlformats.org/spreadsheetml/2006/main">
  <threadedComment ref="AH1" dT="2025-12-16T01:36:50.25" personId="{D47C02FF-B87F-46B7-9245-AD01DC88090C}" id="{42979F24-1E28-4C4C-9190-B94A730A3D61}">
    <text>前月まで：実績
当月：着地予測
翌月以降：前月*季節係数
に条件分岐
条件分岐自体は（全体実績＋予測）シートで行い、このシートは転記のみ行う</text>
  </threadedComment>
  <threadedComment ref="AN7" dT="2026-06-30T01:17:29.86" personId="{D47C02FF-B87F-46B7-9245-AD01DC88090C}" id="{43D7F728-9299-4099-848A-77E5CDDFA569}">
    <text>販売促進を。プロモ課にはお声掛けしました</text>
  </threadedComment>
  <threadedComment ref="AN9" dT="2026-06-30T06:31:34.56" personId="{D47C02FF-B87F-46B7-9245-AD01DC88090C}" id="{EA66CC4A-3340-4A18-A8A5-E8D8CEE54F1F}">
    <text>X広告と見られる流入あり。久末さん値上げの可能性示唆</text>
  </threadedComment>
  <threadedComment ref="AN10" dT="2026-06-30T06:32:25.71" personId="{D47C02FF-B87F-46B7-9245-AD01DC88090C}" id="{56878D53-2A43-4637-82E7-D633769C5C4B}">
    <text>EOL</text>
  </threadedComment>
  <threadedComment ref="AM16" dT="2026-05-21T09:15:33.35" personId="{D47C02FF-B87F-46B7-9245-AD01DC88090C}" id="{D9728113-DB85-43EE-9D21-CDBD9EA7FE60}">
    <text>リペア移動済？</text>
  </threadedComment>
  <threadedComment ref="AO23" dT="2026-06-30T06:47:53.56" personId="{D47C02FF-B87F-46B7-9245-AD01DC88090C}" id="{57056E73-8919-42BB-ABEA-2EA6575CFC55}">
    <text>R56ラインが消えそう</text>
  </threadedComment>
  <threadedComment ref="AP25" dT="2026-05-21T08:48:04.66" personId="{D47C02FF-B87F-46B7-9245-AD01DC88090C}" id="{2D2A3C74-AF5B-4E25-AA6E-BC9356366ACC}">
    <text>8/20受注開始予定</text>
  </threadedComment>
  <threadedComment ref="AS28" dT="2026-05-21T09:05:29.74" personId="{D47C02FF-B87F-46B7-9245-AD01DC88090C}" id="{BBAADD7B-3121-4932-BC16-9D5A2682D55F}">
    <text>後継タイミング的にはあまり問題ないか</text>
  </threadedComment>
  <threadedComment ref="C31" dT="2025-10-30T09:09:03.53" personId="{D47C02FF-B87F-46B7-9245-AD01DC88090C}" id="{24B7A9A3-EA65-4A93-B9D7-9A2F34EE3812}">
    <text>LCD不足？</text>
  </threadedComment>
  <threadedComment ref="AP31" dT="2026-05-21T09:07:19.28" personId="{D47C02FF-B87F-46B7-9245-AD01DC88090C}" id="{77AB5F78-6D24-47CA-9CD1-081419B6CF52}">
    <text>後継タイミング的には実績は+1ヶ月程度の在庫に見えます。ただ在庫数を減らすという意味では影響大です。施策もしくは計画の修正をお願いします。</text>
  </threadedComment>
  <threadedComment ref="AQ33" dT="2026-05-21T08:48:33.08" personId="{D47C02FF-B87F-46B7-9245-AD01DC88090C}" id="{7042D02A-933D-4E28-B782-2927612E9CE7}">
    <text>9/3受注開始予定</text>
  </threadedComment>
  <threadedComment ref="J35" dT="2026-01-27T06:13:39.31" personId="{D47C02FF-B87F-46B7-9245-AD01DC88090C}" id="{D45C380C-D72E-41ED-9DEF-19BC21BD58C4}">
    <text>CPU供給状況不安のため、一部納期未定。もっと欲しいか？550台</text>
  </threadedComment>
  <threadedComment ref="AM37" dT="2026-05-21T09:15:43.94" personId="{D47C02FF-B87F-46B7-9245-AD01DC88090C}" id="{65245D94-8698-46C5-8D43-7CF9BE108733}">
    <text>リペア移動済？</text>
  </threadedComment>
  <threadedComment ref="AP67" dT="2026-05-21T09:17:53.21" personId="{D47C02FF-B87F-46B7-9245-AD01DC88090C}" id="{F9017F67-195F-4A26-B378-3BE39E72A9A9}">
    <text>計画数の不足</text>
  </threadedComment>
  <threadedComment ref="AN75" dT="2026-05-21T09:19:36.33" personId="{D47C02FF-B87F-46B7-9245-AD01DC88090C}" id="{C419A147-7F70-4F2B-B5E3-DAD63C4D33E3}">
    <text>計画数の不足</text>
  </threadedComment>
  <threadedComment ref="AP99" dT="2026-05-21T09:23:00.50" personId="{D47C02FF-B87F-46B7-9245-AD01DC88090C}" id="{99EB1C71-349D-4163-BB22-A0B0F11DA5BE}">
    <text>要計画修正</text>
  </threadedComment>
  <threadedComment ref="B100" dT="2025-12-02T07:10:33.38" personId="{D47C02FF-B87F-46B7-9245-AD01DC88090C}" id="{D3233424-0D50-4CB1-8535-19310246AE5D}">
    <text>要確認</text>
  </threadedComment>
  <threadedComment ref="C100" dT="2025-10-31T08:25:26.33" personId="{D47C02FF-B87F-46B7-9245-AD01DC88090C}" id="{EFF8C6B6-396C-4252-9B93-5491DB282B59}">
    <text>2025/10/31追加</text>
  </threadedComment>
  <threadedComment ref="AM103" dT="2026-05-21T09:23:59.83" personId="{D47C02FF-B87F-46B7-9245-AD01DC88090C}" id="{A44CFE1F-DA8B-4180-B30D-F07C0BA783A5}">
    <text>保守用</text>
  </threadedComment>
  <threadedComment ref="AN105" dT="2026-05-22T01:21:24.30" personId="{D47C02FF-B87F-46B7-9245-AD01DC88090C}" id="{67E14D20-C9FD-41E5-81AE-C125821CEE7F}">
    <text>保守用</text>
  </threadedComment>
  <threadedComment ref="AM113" dT="2026-05-21T09:25:29.50" personId="{D47C02FF-B87F-46B7-9245-AD01DC88090C}" id="{803B22D0-320A-4701-A139-0253AFAE9D17}">
    <text>一般。販売加速が必要</text>
  </threadedComment>
  <threadedComment ref="C129" dT="2025-10-24T02:15:27.19" personId="{D47C02FF-B87F-46B7-9245-AD01DC88090C}" id="{84207548-4C79-4F61-937F-FD31A3435DC1}">
    <text>DX-R3→2-3月切り替え</text>
  </threadedComment>
  <threadedComment ref="AN129" dT="2026-05-21T09:26:43.08" personId="{D47C02FF-B87F-46B7-9245-AD01DC88090C}" id="{4B29D36F-6D68-4EBE-9B99-6146AECF2D4E}">
    <text>ここからに期待</text>
  </threadedComment>
  <threadedComment ref="C135" dT="2025-10-31T08:28:44.39" personId="{D47C02FF-B87F-46B7-9245-AD01DC88090C}" id="{DD702DD9-D48F-4EDA-BE32-38A60B15B091}">
    <text>2025/10/31追加</text>
  </threadedComment>
  <threadedComment ref="C137" dT="2025-10-31T08:28:49.30" personId="{D47C02FF-B87F-46B7-9245-AD01DC88090C}" id="{45A880CE-E5B1-4DF2-8081-39EFC55EF3EA}">
    <text>2025/10/31追加</text>
  </threadedComment>
  <threadedComment ref="C141" dT="2025-10-30T07:28:52.62" personId="{D47C02FF-B87F-46B7-9245-AD01DC88090C}" id="{8D4D6157-971A-4F1A-8F5F-2582E3D9E973}">
    <text>2025/10/30追加</text>
  </threadedComment>
  <threadedComment ref="C145" dT="2025-10-30T07:28:59.46" personId="{D47C02FF-B87F-46B7-9245-AD01DC88090C}" id="{54D90A80-9CAB-4C60-9DDA-89E6ECBA97D4}">
    <text>2025/10/30追加</text>
  </threadedComment>
  <threadedComment ref="C147" dT="2025-10-30T07:29:04.22" personId="{D47C02FF-B87F-46B7-9245-AD01DC88090C}" id="{ACF98FD3-1DF4-4DCF-85B2-BB7124054257}">
    <text>2025/10/30追加</text>
  </threadedComment>
  <threadedComment ref="B151" dT="2025-12-02T07:12:17.39" personId="{D47C02FF-B87F-46B7-9245-AD01DC88090C}" id="{7492783E-7BD0-4E06-8F9A-44496832B784}">
    <text>要確認</text>
  </threadedComment>
  <threadedComment ref="C151" dT="2025-10-30T07:29:08.48" personId="{D47C02FF-B87F-46B7-9245-AD01DC88090C}" id="{702AEB6E-AB77-4EE2-9180-4D8411DE8D3B}">
    <text>2025/10/30追加</text>
  </threadedComment>
</ThreadedComments>
</file>

<file path=xl/threadedComments/threadedComment7.xml><?xml version="1.0" encoding="utf-8"?>
<ThreadedComments xmlns="http://schemas.microsoft.com/office/spreadsheetml/2018/threadedcomments" xmlns:x="http://schemas.openxmlformats.org/spreadsheetml/2006/main">
  <threadedComment ref="AH1" dT="2025-11-17T09:01:01.51" personId="{D47C02FF-B87F-46B7-9245-AD01DC88090C}" id="{37FCCB72-5B40-41C7-AC7F-21293BB2EE84}">
    <text>2025/11/17　LETに変更経過確認</text>
  </threadedComment>
  <threadedComment ref="AV1" dT="2025-11-12T06:32:57.41" personId="{D47C02FF-B87F-46B7-9245-AD01DC88090C}" id="{A33D859E-4B18-41F8-8BE7-77D7062989B4}">
    <text>2025/11/12~テスト中
検索範囲拡大＋可読性向上</text>
  </threadedComment>
  <threadedComment ref="AU3" dT="2025-11-12T02:47:04.47" personId="{D47C02FF-B87F-46B7-9245-AD01DC88090C}" id="{9150B837-4E34-49EC-BC54-5B45CC21CE56}">
    <text>参照内容の不足2028/1~</text>
  </threadedComment>
  <threadedComment ref="AM5" dT="2026-03-13T02:32:10.31" personId="{D47C02FF-B87F-46B7-9245-AD01DC88090C}" id="{8880FDE1-1721-47C8-8C08-ACF39E46DE35}">
    <text>リリース予定3/16wk中にアナウンス</text>
  </threadedComment>
  <threadedComment ref="C7" dT="2026-03-24T09:53:45.90" personId="{D47C02FF-B87F-46B7-9245-AD01DC88090C}" id="{CD217AC5-AFC6-4DD9-A78A-988D36979A00}">
    <text>継続</text>
  </threadedComment>
  <threadedComment ref="C9" dT="2026-03-24T09:53:59.38" personId="{D47C02FF-B87F-46B7-9245-AD01DC88090C}" id="{54710496-D1EC-40E5-A0D8-1A9E826AE903}">
    <text>継続</text>
  </threadedComment>
  <threadedComment ref="C16" dT="2026-03-24T09:54:33.28" personId="{D47C02FF-B87F-46B7-9245-AD01DC88090C}" id="{EE613840-F0CF-41D5-A7E1-9DED3092E695}">
    <text>2026/04/09 追加発注なし（購買仕込会議にて決定）</text>
  </threadedComment>
  <threadedComment ref="AR31" dT="2026-03-13T02:36:24.40" personId="{D47C02FF-B87F-46B7-9245-AD01DC88090C}" id="{9E3C7B57-3841-4B1F-AAEB-784FD56B219B}">
    <text>マイルストーン次第</text>
  </threadedComment>
  <threadedComment ref="C35" dT="2026-06-25T08:46:20.40" personId="{D47C02FF-B87F-46B7-9245-AD01DC88090C}" id="{435F634C-F50C-432F-869C-36DD66B3E716}">
    <text>MOQ1K。発注は3ヶ月位内。</text>
  </threadedComment>
  <threadedComment ref="AR43" dT="2026-03-13T02:39:04.08" personId="{D47C02FF-B87F-46B7-9245-AD01DC88090C}" id="{166B5FB9-47FB-43EE-8672-D1A901B87FC1}">
    <text>9月ローンチ予定.R45R35から切替
14"　RAM32GB固定→32GB/16GBオンボードメモリ</text>
  </threadedComment>
  <threadedComment ref="C95" dT="2026-06-25T08:43:18.58" personId="{D47C02FF-B87F-46B7-9245-AD01DC88090C}" id="{44733CF6-EEE7-41C2-B88E-93D532CFF116}">
    <text>TW14は1年で10KのMOQ。色ごとに黒4K、青3K、金3K</text>
  </threadedComment>
</ThreadedComments>
</file>

<file path=xl/threadedComments/threadedComment8.xml><?xml version="1.0" encoding="utf-8"?>
<ThreadedComments xmlns="http://schemas.microsoft.com/office/spreadsheetml/2018/threadedcomments" xmlns:x="http://schemas.openxmlformats.org/spreadsheetml/2006/main">
  <threadedComment ref="Y2" dT="2025-03-07T08:29:53.88" personId="{F1226075-8A85-437E-B6EA-9D36BEF579CD}" id="{A487C611-C2B6-4575-A80D-63D59DBEDA29}">
    <text>店舗即納や、展示機など用 +30</text>
  </threadedComment>
  <threadedComment ref="Z2" dT="2025-03-07T08:29:53.88" personId="{F1226075-8A85-437E-B6EA-9D36BEF579CD}" id="{F4C912B6-573F-4C31-80F6-2C83C339CED1}">
    <text>店舗即納や、展示機など用 +30</text>
  </threadedComment>
  <threadedComment ref="H3" dT="2025-10-22T04:10:42.15" personId="{D47C02FF-B87F-46B7-9245-AD01DC88090C}" id="{43B1D2B8-871C-4D02-A09B-2E48938EA72C}">
    <text>自動更新テスト</text>
  </threadedComment>
  <threadedComment ref="Y3" dT="2025-03-07T08:29:53.88" personId="{F1226075-8A85-437E-B6EA-9D36BEF579CD}" id="{2221ADD0-3CE6-4C0C-A7FE-64135FAE9DE3}">
    <text>店舗即納や、展示機など用 +30</text>
  </threadedComment>
  <threadedComment ref="Z3" dT="2025-03-07T08:29:53.88" personId="{F1226075-8A85-437E-B6EA-9D36BEF579CD}" id="{8EF99F7C-6943-4DCD-B70E-3F4695B35F9E}">
    <text>店舗即納や、展示機など用 +30</text>
  </threadedComment>
  <threadedComment ref="AL5" dT="2026-02-18T01:54:58.25" personId="{D47C02FF-B87F-46B7-9245-AD01DC88090C}" id="{4E985BF6-1068-4D6C-A147-D5D5CB4F3D53}">
    <text>展示・即納在庫・プロモーション必要分42</text>
  </threadedComment>
  <threadedComment ref="Y7" dT="2025-03-07T08:29:53.88" personId="{F1226075-8A85-437E-B6EA-9D36BEF579CD}" id="{CD8844D6-1CDF-430D-A28B-B4C03827D60B}">
    <text>店舗即納や、展示機など用 +30</text>
  </threadedComment>
  <threadedComment ref="AA10" dT="2025-03-07T08:29:53.88" personId="{F1226075-8A85-437E-B6EA-9D36BEF579CD}" id="{AD007714-8609-4837-B24F-26A598A6885C}">
    <text>店舗即納や、展示機など用 +30</text>
  </threadedComment>
  <threadedComment ref="AD21" dT="2026-01-05T07:41:45.26" personId="{D47C02FF-B87F-46B7-9245-AD01DC88090C}" id="{64B60860-0347-480F-920E-99A3CCEB4AD4}">
    <text>元は→
40　80　73　80　100　80　40
https://teams.microsoft.com/l/message/19:meeting_YzdhNTc4MDAtNmU3Yy00M2FlLThlNTQtYTFlNzFjMmJjZGEx@thread.v2/1761184217010?context=%7B%22contextType%22%3A%22chat%22%7D</text>
  </threadedComment>
  <threadedComment ref="AL42" dT="2026-02-10T02:30:34.67" personId="{507B7EFD-965A-4105-8A71-2A077BE8760D}" id="{9CAE7461-5197-4421-AF44-27AA32646B5D}">
    <text>R45にスライド　50pcs</text>
  </threadedComment>
  <threadedComment ref="AQ95" dT="2026-01-30T01:52:30.31" personId="{D47C02FF-B87F-46B7-9245-AD01DC88090C}" id="{DE9DD06C-B138-49B8-9127-8B4A729D42F7}">
    <text>⇛このあたりから切替？</text>
  </threadedComment>
</ThreadedComments>
</file>

<file path=xl/threadedComments/threadedComment9.xml><?xml version="1.0" encoding="utf-8"?>
<ThreadedComments xmlns="http://schemas.microsoft.com/office/spreadsheetml/2018/threadedcomments" xmlns:x="http://schemas.openxmlformats.org/spreadsheetml/2006/main">
  <threadedComment ref="H3" dT="2025-10-22T04:10:42.15" personId="{D47C02FF-B87F-46B7-9245-AD01DC88090C}" id="{7EA5D366-1B39-46B1-BA99-02248D8DFECF}">
    <text>自動更新テスト</text>
  </threadedComment>
  <threadedComment ref="AE8" dT="2025-09-02T07:25:49.62" personId="{B89D216E-4048-4705-A6B4-11A602A20B4A}" id="{89146181-DE43-4340-8958-2308C696B65D}">
    <text>サイバーエージェント様レンタル案件に月30台
初回導入9月50台</text>
  </threadedComment>
  <threadedComment ref="AF8" dT="2025-09-19T08:00:38.42" personId="{B89D216E-4048-4705-A6B4-11A602A20B4A}" id="{66F9786D-B92F-432C-B88E-8A7266F96F4A}">
    <text>サイバーエージェント 10月50台 受注済み</text>
  </threadedComment>
  <threadedComment ref="AL14" dT="2026-01-20T06:45:14.75" personId="{B89D216E-4048-4705-A6B4-11A602A20B4A}" id="{39663E99-4AC8-4B49-B9B5-294DEF25CFAB}">
    <text>DIS関西　大阪情報コンピュータ高等専修学校様案件90台　確度は微妙</text>
  </threadedComment>
  <threadedComment ref="AL14" dT="2026-02-07T09:08:18.18" personId="{FAB7F91F-121E-48E3-9D37-1AA3C61E890D}" id="{67AB9DB8-F933-49CD-82D2-BD11BAD125F7}" parentId="{39663E99-4AC8-4B49-B9B5-294DEF25CFAB}">
    <text>NGだったので削除</text>
  </threadedComment>
  <threadedComment ref="AL14" dT="2026-04-05T11:16:01.98" personId="{FAB7F91F-121E-48E3-9D37-1AA3C61E890D}" id="{F3C9E421-12F7-4B9F-9571-D4864244B8A3}" parentId="{39663E99-4AC8-4B49-B9B5-294DEF25CFAB}">
    <text>イナハラ月連れ３月→４月</text>
  </threadedComment>
  <threadedComment ref="W18" dT="2024-08-27T06:28:56.70" personId="{9489AE3B-8B2E-475D-A943-11B6EBC061E6}" id="{0421E20C-A4EC-4A90-A869-C494C64639B8}">
    <text>下記コメント参照決定時期9月末」</text>
  </threadedComment>
  <threadedComment ref="W18" dT="2024-09-30T10:07:12.40" personId="{9489AE3B-8B2E-475D-A943-11B6EBC061E6}" id="{73B65750-359D-42B4-88D3-A076C0699593}" parentId="{0421E20C-A4EC-4A90-A869-C494C64639B8}">
    <text>失注</text>
  </threadedComment>
  <threadedComment ref="Q20" dT="2024-02-21T11:38:04.19" personId="{FAB7F91F-121E-48E3-9D37-1AA3C61E890D}" id="{65A2F0D9-9F71-4AE9-AFB2-77CEFCAC8FB1}">
    <text>300台DMM→5/31失注</text>
  </threadedComment>
  <threadedComment ref="AE22" dT="2025-09-02T06:06:31.32" personId="{B89D216E-4048-4705-A6B4-11A602A20B4A}" id="{42E756B1-43D2-47E1-956E-4D33486DE548}">
    <text>ふるさと納税対象品とスマッシュコアに納品予定です</text>
  </threadedComment>
  <threadedComment ref="T24" dT="2024-08-09T00:54:40.17" personId="{9489AE3B-8B2E-475D-A943-11B6EBC061E6}" id="{E74171E8-B248-4C51-AFBB-E1852645F613}">
    <text>インダストリー:大塚商会EU鹿島建設100台</text>
  </threadedComment>
  <threadedComment ref="T24" dT="2024-09-27T02:06:25.20" personId="{9489AE3B-8B2E-475D-A943-11B6EBC061E6}" id="{28E744AD-5748-4D89-9921-AA4F7C81CF6F}" parentId="{E74171E8-B248-4C51-AFBB-E1852645F613}">
    <text>別製品で決定につきリリース　100⇒0</text>
  </threadedComment>
  <threadedComment ref="W24" dT="2024-10-29T07:46:50.56" personId="{9489AE3B-8B2E-475D-A943-11B6EBC061E6}" id="{D245BCC7-DCB8-4849-9257-425BF9F29F27}">
    <text>DIS→KDDIまとめてオフィス　90台
決定時期11月中旬</text>
  </threadedComment>
  <threadedComment ref="W24" dT="2024-11-27T02:37:00.08" personId="{9489AE3B-8B2E-475D-A943-11B6EBC061E6}" id="{A3324527-3A80-4447-BD9B-54DCEE6F977E}" parentId="{D245BCC7-DCB8-4849-9257-425BF9F29F27}">
    <text>失注　別案件で使用予定</text>
  </threadedComment>
  <threadedComment ref="X24" dT="2025-01-21T04:14:04.34" personId="{9489AE3B-8B2E-475D-A943-11B6EBC061E6}" id="{7745CA03-E680-4D79-9D6B-B6F134067731}">
    <text>大塚失注分
名古屋造形大学×30台使用
穴吹学園×25台使用予定</text>
  </threadedComment>
  <threadedComment ref="AP24" dT="2026-01-21T07:41:44.86" personId="{B89D216E-4048-4705-A6B4-11A602A20B4A}" id="{0C90374D-7D03-4BDA-B498-DF28878E24B9}">
    <text>8月終息予定</text>
  </threadedComment>
  <threadedComment ref="AP24" dT="2026-05-29T11:10:49.54" personId="{FAB7F91F-121E-48E3-9D37-1AA3C61E890D}" id="{80A762B2-EF99-4F4A-828F-1C1E4C434395}" parentId="{0C90374D-7D03-4BDA-B498-DF28878E24B9}">
    <text>保守用100台含む</text>
  </threadedComment>
  <threadedComment ref="AO32" dT="2026-02-10T01:02:38.85" personId="{B89D216E-4048-4705-A6B4-11A602A20B4A}" id="{04A56408-BD53-41E6-AA57-704CF945152F}">
    <text>ネクソン 100台</text>
  </threadedComment>
  <threadedComment ref="AF34" dT="2025-10-23T03:04:47.63" personId="{D47C02FF-B87F-46B7-9245-AD01DC88090C}" id="{386BE796-3AA5-4F75-9286-AF3377ECB1D9}">
    <text>10/14 20→65
6ヶ月 145 →258</text>
  </threadedComment>
  <threadedComment ref="AE37" dT="2025-09-09T07:52:00.85" personId="{B89D216E-4048-4705-A6B4-11A602A20B4A}" id="{58DCA611-AE07-4036-A482-AB1D614280D8}">
    <text>ダイワボウ 48台 大塚商会 43台</text>
  </threadedComment>
  <threadedComment ref="AE37" dT="2025-10-23T02:58:24.48" personId="{D47C02FF-B87F-46B7-9245-AD01DC88090C}" id="{B17CACA2-0E6B-44C3-AFF7-5A137C654A2F}" parentId="{58DCA611-AE07-4036-A482-AB1D614280D8}">
    <text>9/E 160→90</text>
  </threadedComment>
  <threadedComment ref="AH39" dT="2025-10-28T01:17:26.03" personId="{B89D216E-4048-4705-A6B4-11A602A20B4A}" id="{C7090849-752F-4D12-9BE3-B421F3D35F42}">
    <text>ダイワボウ 山口支店：YIC学院案件27台</text>
  </threadedComment>
  <threadedComment ref="W41" dT="2024-12-09T01:03:28.72" personId="{9489AE3B-8B2E-475D-A943-11B6EBC061E6}" id="{96DEB8C5-5F57-4A91-9E9C-45A2ACF7FF02}">
    <text>パートナー在庫商談　200台</text>
  </threadedComment>
  <threadedComment ref="W41" dT="2024-12-24T05:03:31.54" personId="{9489AE3B-8B2E-475D-A943-11B6EBC061E6}" id="{DF9FC33E-A76C-4D06-8ED7-80AC2BCF5645}" parentId="{96DEB8C5-5F57-4A91-9E9C-45A2ACF7FF02}">
    <text>他機種で決定のためリリース</text>
  </threadedComment>
  <threadedComment ref="AQ41" dT="2026-02-10T00:57:44.52" personId="{B89D216E-4048-4705-A6B4-11A602A20B4A}" id="{BB807B48-3C8A-417D-B569-E7B814A53D7F}">
    <text>在庫消化次第終息予定</text>
  </threadedComment>
  <threadedComment ref="AK60" dT="2026-02-24T07:33:15.97" personId="{B89D216E-4048-4705-A6B4-11A602A20B4A}" id="{F18B64CC-FDBD-45BD-BA9C-D8CE211AE5CA}">
    <text>アイ工務店案件 3月初週受注見込み 3月内納品予定</text>
  </threadedComment>
  <threadedComment ref="AL60" dT="2026-03-27T03:17:28.81" personId="{B89D216E-4048-4705-A6B4-11A602A20B4A}" id="{13D662D9-C8E7-42CF-9B85-13911260C72E}">
    <text>大塚保守用に移動予定 100台</text>
  </threadedComment>
  <threadedComment ref="AI61" dT="2025-10-28T01:20:45.28" personId="{B89D216E-4048-4705-A6B4-11A602A20B4A}" id="{72AE65E9-901F-46A4-8873-A406C3070146}">
    <text>大塚在庫50台 アイ工務店200台</text>
  </threadedComment>
  <threadedComment ref="AL61" dT="2026-03-16T08:50:33.80" personId="{B89D216E-4048-4705-A6B4-11A602A20B4A}" id="{7E6255F7-F8BF-49DF-8EE3-7A88EB8C14E1}">
    <text>大塚保守用に移動予定</text>
  </threadedComment>
  <threadedComment ref="AN61" dT="2026-05-06T08:17:19.73" personId="{FAB7F91F-121E-48E3-9D37-1AA3C61E890D}" id="{3176299F-11F2-4536-894E-1B8857172692}">
    <text>保守用。場所の問題あり移動に時間かかるかもしれません。</text>
  </threadedComment>
  <threadedComment ref="AN62" dT="2026-03-02T01:50:13.42" personId="{B89D216E-4048-4705-A6B4-11A602A20B4A}" id="{1617C9A8-0F84-43DA-BCA3-EA1E5422081E}">
    <text>★（協議中の）大塚商会：アイ工務店　1000台案件　一旦　6月に置きます。</text>
  </threadedComment>
  <threadedComment ref="AN62" dT="2026-03-12T11:08:02.71" personId="{FAB7F91F-121E-48E3-9D37-1AA3C61E890D}" id="{E3A08BD2-F142-4861-AA46-8C60DC6C3A8D}" parentId="{1617C9A8-0F84-43DA-BCA3-EA1E5422081E}">
    <text>アイ工務店の1KはMTLへ移動</text>
  </threadedComment>
  <threadedComment ref="AO64" dT="2026-03-27T03:20:37.70" personId="{B89D216E-4048-4705-A6B4-11A602A20B4A}" id="{1E47B63A-817D-4205-AB41-063928D2238A}">
    <text>アイ工務店様 1000台 7月移動</text>
  </threadedComment>
  <threadedComment ref="AO64" dT="2026-04-14T03:27:10.54" personId="{FAB7F91F-121E-48E3-9D37-1AA3C61E890D}" id="{55E33F89-54DB-485A-ACC7-1A7C75F97EAA}" parentId="{1E47B63A-817D-4205-AB41-063928D2238A}">
    <text>アイ工務店事務機用500台のみ(ALTAは別)。7月に入れたい。I7/U7、15.6”なら何でも良い。</text>
  </threadedComment>
  <threadedComment ref="S65" dT="2024-04-19T07:23:57.97" personId="{B89D216E-4048-4705-A6B4-11A602A20B4A}" id="{A88C2EE2-98BD-4619-830E-6A336D8B2195}">
    <text>南雲 顕拓:
NTTREC様：入札確度D以下　10月～12月導入案件→失注</text>
  </threadedComment>
  <threadedComment ref="T65" dT="2024-04-19T07:24:20.23" personId="{B89D216E-4048-4705-A6B4-11A602A20B4A}" id="{AAB01919-955F-4196-B45C-54B9B1984415}">
    <text>PTR
DX-R5かF-14RP5 100台案件あり。予算取り、競合多数ありのため確度全く不明な状況です。</text>
  </threadedComment>
  <threadedComment ref="W65" dT="2024-12-09T01:01:47.79" personId="{9489AE3B-8B2E-475D-A943-11B6EBC061E6}" id="{C040FF80-4779-4AEC-8660-0E8F707C54B8}">
    <text>パートナー在庫商談　200台</text>
  </threadedComment>
  <threadedComment ref="X65" dT="2024-12-09T01:02:03.95" personId="{9489AE3B-8B2E-475D-A943-11B6EBC061E6}" id="{7793073F-B254-483B-B305-8F763E22BF7D}">
    <text>パートナー在庫商談　400台</text>
  </threadedComment>
  <threadedComment ref="AH67" dT="2025-10-16T05:47:22.60" personId="{9489AE3B-8B2E-475D-A943-11B6EBC061E6}" id="{B36407A3-3861-427A-BD77-42FD3FC433B3}">
    <text>591→391に書換えました 案件失注のため</text>
  </threadedComment>
  <threadedComment ref="AN67" dT="2026-03-27T05:35:42.01" personId="{B89D216E-4048-4705-A6B4-11A602A20B4A}" id="{CFC9F033-C076-470E-9578-4EF1CA1BA808}">
    <text>終息予定 リペア移動予定</text>
  </threadedComment>
  <threadedComment ref="AN68" dT="2026-04-20T10:18:10.22" personId="{FAB7F91F-121E-48E3-9D37-1AA3C61E890D}" id="{E6B0AC46-15A3-4089-9D97-954840B42DF7}">
    <text>入札案件。5月に決まらなければ後ろ倒しします</text>
  </threadedComment>
  <threadedComment ref="AP68" dT="2026-05-29T11:36:34.88" personId="{FAB7F91F-121E-48E3-9D37-1AA3C61E890D}" id="{846C1850-7A10-430D-94F3-DC0A87D64154}">
    <text>林さんの注残分88台。12月までの分納。</text>
  </threadedComment>
  <threadedComment ref="AC76" dT="2025-06-30T01:43:13.57" personId="{B89D216E-4048-4705-A6B4-11A602A20B4A}" id="{839B2400-C86A-4F28-A66B-1E5EB1B40B07}">
    <text>495台のうち250台は7月納品
100台 ダイワボウ在庫商談で使用</text>
  </threadedComment>
  <threadedComment ref="AD76" dT="2025-02-05T04:22:58.50" personId="{9489AE3B-8B2E-475D-A943-11B6EBC061E6}" id="{7447E892-D9DD-4D65-ADE0-00F5C6B03B65}">
    <text>地方独立行政法人東京都立産業技術研究センター　×495
F-14LN7LAで見積もり提出予定
開札6月
納品予定　8月
確度50%</text>
  </threadedComment>
  <threadedComment ref="AD76" dT="2025-06-30T01:47:09.89" personId="{B89D216E-4048-4705-A6B4-11A602A20B4A}" id="{98D3A516-DD1C-497A-A533-393846E8B80B}" parentId="{7447E892-D9DD-4D65-ADE0-00F5C6B03B65}">
    <text>受注案件 残り245台納品予定</text>
  </threadedComment>
  <threadedComment ref="AK76" dT="2026-01-21T07:33:17.78" personId="{B89D216E-4048-4705-A6B4-11A602A20B4A}" id="{84EFF7A6-1678-4352-9E61-4175DEBDBC62}">
    <text>3月終息予定</text>
  </threadedComment>
  <threadedComment ref="AQ76" dT="2026-06-30T00:22:22.43" personId="{FAB7F91F-121E-48E3-9D37-1AA3C61E890D}" id="{E80BCD21-E54A-4EB0-ABB6-D5A56BBCB67E}">
    <text>保守や売り越し用</text>
  </threadedComment>
  <threadedComment ref="AA78" dT="2025-02-07T05:25:59.64" personId="{B89D216E-4048-4705-A6B4-11A602A20B4A}" id="{0EB0B3FF-1FB1-4BDB-BCE2-F5D4AF1AC4BD}">
    <text xml:space="preserve">日立エンジニアリング　110台
</text>
  </threadedComment>
  <threadedComment ref="AC78" dT="2025-06-30T01:54:15.73" personId="{B89D216E-4048-4705-A6B4-11A602A20B4A}" id="{898CBF03-9DDA-40AB-832F-B0D2FD77B9A6}">
    <text>169台受注案件 100台 在庫商談案件</text>
  </threadedComment>
  <threadedComment ref="AK78" dT="2026-01-21T07:34:04.55" personId="{B89D216E-4048-4705-A6B4-11A602A20B4A}" id="{7F5382EC-2FCE-40F5-BDD5-BB4DAF505E52}">
    <text>3月終息予定</text>
  </threadedComment>
  <threadedComment ref="AK79" dT="2026-02-07T07:57:24.29" personId="{FAB7F91F-121E-48E3-9D37-1AA3C61E890D}" id="{0BA6FC4E-F04A-4E0B-81BE-BC8E2041E23B}">
    <text>2月は在庫がないとのことなので3月に移動</text>
  </threadedComment>
  <threadedComment ref="AL79" dT="2026-03-30T05:43:11.20" personId="{B89D216E-4048-4705-A6B4-11A602A20B4A}" id="{ED3EB4DB-BC8E-41A4-B47C-A09959CD6631}">
    <text>生協案件 50台 4月納品予定</text>
  </threadedComment>
  <threadedComment ref="AO80" dT="2026-04-14T03:26:12.17" personId="{FAB7F91F-121E-48E3-9D37-1AA3C61E890D}" id="{A796CB76-DE8B-4FC3-A875-E83E9A9AC79B}">
    <text>500台：與儀さん案件。伊藤さんコミットで。</text>
  </threadedComment>
  <threadedComment ref="AO80" dT="2026-04-14T03:50:32.05" personId="{FAB7F91F-121E-48E3-9D37-1AA3C61E890D}" id="{5B93B64C-2AF2-4762-8FE7-8B16295958ED}" parentId="{A796CB76-DE8B-4FC3-A875-E83E9A9AC79B}">
    <text>BANTないから一旦500台は削除。</text>
  </threadedComment>
  <threadedComment ref="AO80" dT="2026-04-22T08:44:03.97" personId="{FAB7F91F-121E-48E3-9D37-1AA3C61E890D}" id="{607F9D82-BC4A-472C-B530-03E16D0FABBC}" parentId="{A796CB76-DE8B-4FC3-A875-E83E9A9AC79B}">
    <text>伊勢原は応札資格なし。日向は来週決定。価格が同じなら今のうちに発注て欲しい。失注したら大塚/DISの在庫で入れます。</text>
  </threadedComment>
  <threadedComment ref="AP80" dT="2026-04-14T03:52:13.56" personId="{FAB7F91F-121E-48E3-9D37-1AA3C61E890D}" id="{F023119B-D4FB-4950-958B-BBC11A90F8E1}">
    <text>向日市DX推進　360台　
納期：8月1日まで</text>
  </threadedComment>
  <threadedComment ref="X82" dT="2025-02-07T05:27:16.69" personId="{B89D216E-4048-4705-A6B4-11A602A20B4A}" id="{E49A1BDB-1E1A-435B-8E12-1C7136A726FA}">
    <text>100台は１I10法人在庫に移動済み</text>
  </threadedComment>
  <threadedComment ref="AL82" dT="2026-03-27T05:29:02.85" personId="{B89D216E-4048-4705-A6B4-11A602A20B4A}" id="{056375FE-6937-4247-8582-D329B6976241}">
    <text>残数消化次第終息</text>
  </threadedComment>
  <threadedComment ref="AK83" dT="2025-11-05T03:42:08.37" personId="{B89D216E-4048-4705-A6B4-11A602A20B4A}" id="{2CC39B9A-9A09-4A5D-B816-BBE8E377B8AB}">
    <text>3月からDDR5に変更</text>
  </threadedComment>
  <threadedComment ref="AN83" dT="2026-03-27T03:57:14.85" personId="{B89D216E-4048-4705-A6B4-11A602A20B4A}" id="{757D74AE-A320-42BA-84F0-F4D8A7E7B0F2}">
    <text>リペアに移動予定</text>
  </threadedComment>
  <threadedComment ref="AJ84" dT="2025-11-05T03:42:57.37" personId="{B89D216E-4048-4705-A6B4-11A602A20B4A}" id="{321FB20C-C6D1-44EA-BED4-A70D1C9E033C}">
    <text>2月からDDR5に以降</text>
  </threadedComment>
  <threadedComment ref="AR85" dT="2026-03-27T03:44:46.01" personId="{B89D216E-4048-4705-A6B4-11A602A20B4A}" id="{5130109F-787E-4417-9558-81336D3D8321}">
    <text>終息 リペアに移動よてい</text>
  </threadedComment>
  <threadedComment ref="AP86" dT="2026-01-20T06:43:07.94" personId="{B89D216E-4048-4705-A6B4-11A602A20B4A}" id="{815E6DED-5299-4A38-90A8-978F961560E4}">
    <text>8月終息予定 その後は14インチデザインオリエンに移行予定</text>
  </threadedComment>
  <threadedComment ref="AR86" dT="2026-03-27T05:30:15.84" personId="{B89D216E-4048-4705-A6B4-11A602A20B4A}" id="{30B29A72-D99A-4046-B90E-2243CFBBBF1C}">
    <text>終息時期8月→10月</text>
  </threadedComment>
  <threadedComment ref="W90" dT="2024-12-09T01:02:23.44" personId="{9489AE3B-8B2E-475D-A943-11B6EBC061E6}" id="{153E1931-32DC-4086-A157-D6B9016B2710}">
    <text>パートナー在庫商談　1000台</text>
  </threadedComment>
  <threadedComment ref="W90" dT="2025-01-21T04:30:33.17" personId="{9489AE3B-8B2E-475D-A943-11B6EBC061E6}" id="{08054265-498E-4393-B8C5-88E1F7127C8D}" parentId="{153E1931-32DC-4086-A157-D6B9016B2710}">
    <text>1000台→800台</text>
  </threadedComment>
  <threadedComment ref="X90" dT="2024-12-09T01:02:38.60" personId="{9489AE3B-8B2E-475D-A943-11B6EBC061E6}" id="{CABCCB3B-A613-40B0-B322-29A4CA7A0C5B}">
    <text>パートナー在庫商談　500台</text>
  </threadedComment>
  <threadedComment ref="X90" dT="2025-01-21T04:31:03.31" personId="{9489AE3B-8B2E-475D-A943-11B6EBC061E6}" id="{16900CD8-58EA-4455-94B5-E1D728B8F31F}" parentId="{CABCCB3B-A613-40B0-B322-29A4CA7A0C5B}">
    <text>500→400</text>
  </threadedComment>
  <threadedComment ref="Y90" dT="2024-12-09T01:02:53.14" personId="{9489AE3B-8B2E-475D-A943-11B6EBC061E6}" id="{8D3AE085-3B7B-4CFA-B7DA-0EEA45DDF040}">
    <text>パートナー在庫商談　500台</text>
  </threadedComment>
  <threadedComment ref="Y90" dT="2025-01-21T04:31:20.25" personId="{9489AE3B-8B2E-475D-A943-11B6EBC061E6}" id="{0DF0C323-A335-46B4-AA1B-0AFEE266E37A}" parentId="{8D3AE085-3B7B-4CFA-B7DA-0EEA45DDF040}">
    <text>500→400</text>
  </threadedComment>
  <threadedComment ref="AL90" dT="2026-03-27T03:52:43.73" personId="{B89D216E-4048-4705-A6B4-11A602A20B4A}" id="{BA5AF45E-2A2A-4FC3-9187-099E15215A83}">
    <text>法人リペア移動予定</text>
  </threadedComment>
  <threadedComment ref="AJ93" dT="2025-12-05T08:22:44.97" personId="{B89D216E-4048-4705-A6B4-11A602A20B4A}" id="{37A327ED-232C-40D9-A262-5037742A7129}">
    <text>大学BYOD100台</text>
  </threadedComment>
  <threadedComment ref="AK93" dT="2025-12-05T08:22:54.55" personId="{B89D216E-4048-4705-A6B4-11A602A20B4A}" id="{CB4FE948-64D3-49F0-9994-8AB53FAED57F}">
    <text>大学BYOD150台</text>
  </threadedComment>
  <threadedComment ref="AL93" dT="2025-12-05T08:23:12.40" personId="{B89D216E-4048-4705-A6B4-11A602A20B4A}" id="{EB4CFF7A-DE89-45B4-BF5F-51654C9D9FD7}">
    <text>大学BYOD100台</text>
  </threadedComment>
  <threadedComment ref="L114" dT="2024-02-08T08:43:02.37" personId="{FAB7F91F-121E-48E3-9D37-1AA3C61E890D}" id="{8CB1957F-EED1-4A6A-95D7-000F5856E218}">
    <text>移動分は除外</text>
  </threadedComment>
  <threadedComment ref="M114" dT="2024-02-08T08:43:02.37" personId="{FAB7F91F-121E-48E3-9D37-1AA3C61E890D}" id="{00C211C0-57FF-45B3-B9F5-2381FA387B48}">
    <text>移動分は除外</text>
  </threadedComment>
  <threadedComment ref="R117" dT="2024-04-19T07:39:17.93" personId="{B89D216E-4048-4705-A6B4-11A602A20B4A}" id="{3D4E849D-34AC-4352-A3E0-4EC656B1D618}">
    <text>300台システナ経由大末建設→失注</text>
  </threadedComment>
  <threadedComment ref="AL120" dT="2026-04-09T05:51:03.45" personId="{FAB7F91F-121E-48E3-9D37-1AA3C61E890D}" id="{B28D6D0B-6F6D-4DF5-B2EB-6E071ED7AB0A}">
    <text>修理移動予定</text>
  </threadedComment>
  <threadedComment ref="O156" dT="2024-04-19T07:26:17.14" personId="{B89D216E-4048-4705-A6B4-11A602A20B4A}" id="{B7E26E7A-5A75-4AC3-8F6E-0F9623AB6EEB}">
    <text>5.6.7月生協に180台sellin予定</text>
  </threadedComment>
  <threadedComment ref="T156" dT="2024-04-19T08:24:05.94" personId="{B89D216E-4048-4705-A6B4-11A602A20B4A}" id="{D6CB5215-E7ED-473D-BB1C-0E139080AB52}">
    <text>DX-R5かF-14RP5 100台案件あり。予算取り、競合多数ありのため確度全く不明な状況です。</text>
  </threadedComment>
  <threadedComment ref="V156" dT="2024-09-30T10:12:29.88" personId="{9489AE3B-8B2E-475D-A943-11B6EBC061E6}" id="{110EA2A4-EF3F-462C-BC1F-FFEF0FD6BE59}">
    <text>150台　旧ベアでの出荷</text>
  </threadedComment>
  <threadedComment ref="U160" dT="2024-08-09T00:57:43.56" personId="{9489AE3B-8B2E-475D-A943-11B6EBC061E6}" id="{F2A226EC-13EA-4EB8-8D8E-AE45F39400E0}">
    <text>DX-M7については追加発注しないなら法人の販売計画は11月移行０で構いません</text>
  </threadedComment>
  <threadedComment ref="P161" dT="2024-06-12T10:47:14.83" personId="{B89D216E-4048-4705-A6B4-11A602A20B4A}" id="{1959C0ED-3172-4DFA-B8DF-62ACD24EF3CA}">
    <text>ARESの実態が分かりDIS経由が厳しいと判断しました。(ARES自体5台/月)</text>
  </threadedComment>
  <threadedComment ref="O177" dT="2024-04-19T07:16:47.81" personId="{B89D216E-4048-4705-A6B4-11A602A20B4A}" id="{701B545E-EC85-4D6D-BD9C-F14605606862}">
    <text>生協へのsellin</text>
  </threadedComment>
  <threadedComment ref="P179" dT="2024-05-22T05:34:36.39" personId="{B89D216E-4048-4705-A6B4-11A602A20B4A}" id="{114D6131-29F5-4A81-B82D-8D0686BE0A23}">
    <text>5/22 6月出荷に変更→5/31
7月に変更</text>
  </threadedComment>
  <threadedComment ref="Q179" dT="2024-05-31T07:25:08.38" personId="{B89D216E-4048-4705-A6B4-11A602A20B4A}" id="{D00B73E3-AD1F-49F5-B561-15EC04FAE6E8}">
    <text>5/31　7月出荷予定に変更
6/12　法人内での消化に変更</text>
  </threadedComment>
  <threadedComment ref="L184" dT="2024-02-08T08:43:02.37" personId="{FAB7F91F-121E-48E3-9D37-1AA3C61E890D}" id="{2214948D-244B-48C8-BB9A-07C9BD0E036D}">
    <text>移動分は除外</text>
  </threadedComment>
  <threadedComment ref="L185" dT="2024-02-08T08:43:02.37" personId="{FAB7F91F-121E-48E3-9D37-1AA3C61E890D}" id="{FB0ADE87-580A-4613-9D1F-4CA361F0C9FB}">
    <text>移動分は除外</text>
  </threadedComment>
  <threadedComment ref="L187" dT="2024-02-08T08:43:02.37" personId="{FAB7F91F-121E-48E3-9D37-1AA3C61E890D}" id="{128FE65F-1268-4535-A778-72F9F6372A8C}">
    <text>移動分は除外</text>
  </threadedComment>
  <threadedComment ref="M187" dT="2024-02-08T08:43:02.37" personId="{FAB7F91F-121E-48E3-9D37-1AA3C61E890D}" id="{C7FE802A-1E3B-4C16-899F-96D1453743C6}">
    <text>移動分は除外</text>
  </threadedComment>
  <threadedComment ref="N187" dT="2024-02-08T08:43:02.37" personId="{FAB7F91F-121E-48E3-9D37-1AA3C61E890D}" id="{81B56E5C-213F-42B2-AACD-ED416F67995A}">
    <text>移動分は除外</text>
  </threadedComment>
  <threadedComment ref="O187" dT="2024-02-08T08:43:02.37" personId="{FAB7F91F-121E-48E3-9D37-1AA3C61E890D}" id="{97DDFE53-7BA5-4BF7-94A1-9A29AF29A7ED}">
    <text>移動分は除外</text>
  </threadedComment>
</ThreadedComments>
</file>

<file path=xl/threadedComments/threadedComment10.xml><?xml version="1.0" encoding="utf-8"?>
<ThreadedComments xmlns="http://schemas.microsoft.com/office/spreadsheetml/2018/threadedcomments" xmlns:x="http://schemas.openxmlformats.org/spreadsheetml/2006/main">
  <threadedComment ref="B24" dT="2025-11-19T05:29:50.04" personId="{D47C02FF-B87F-46B7-9245-AD01DC88090C}" id="{AE3ACDEF-2B98-408C-9742-0C0944AB059F}">
    <text>2025/11/19追加</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ED5F539-FFB7-4B02-A192-50D8390D08B0}">
  <we:reference id="wa200010215" version="1.0.0.0" store="ja-JP" storeType="OMEX"/>
  <we:alternateReferences>
    <we:reference id="WA200010215" version="1.0.0.0" store="WA200010215"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file:///\\172.25.20.11\&#12469;&#12540;&#12489;&#12454;&#12455;&#12540;&#12502;&#12464;&#12523;&#12540;&#12503;\41&#19978;&#26399;\&#12469;&#12540;&#12489;&#12454;&#12455;&#12540;&#12502;\&#36092;&#36023;&#26412;&#37096;\&#12304;&#36890;&#24120;&#26989;&#21209;&#12305;\ONE"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vmlDrawing" Target="../drawings/vmlDrawing2.vml"/><Relationship Id="rId3" Type="http://schemas.openxmlformats.org/officeDocument/2006/relationships/hyperlink" Target="file:///\\172.25.20.11\&#12469;&#12540;&#12489;&#12454;&#12455;&#12540;&#12502;&#12464;&#12523;&#12540;&#12503;\43&#19978;&#26399;\&#12469;&#12540;&#12489;&#12454;&#12455;&#12540;&#12502;\&#36092;&#36023;&#26412;&#37096;\&#12304;&#36890;&#24120;&#26989;&#21209;&#12305;\ONE" TargetMode="External"/><Relationship Id="rId7" Type="http://schemas.openxmlformats.org/officeDocument/2006/relationships/drawing" Target="../drawings/drawing1.xml"/><Relationship Id="rId2" Type="http://schemas.openxmlformats.org/officeDocument/2006/relationships/hyperlink" Target="https://teams.microsoft.com/l/message/19:9c279798440a4a6b9e9a3a844cc463ed@thread.skype/1692240920833?tenantId=1a15a0a6-60b5-4bd3-8cb9-302fca61af77&amp;groupId=20715080-ec85-42e9-9940-ff9f76ff409d&amp;parentMessageId=1692240920833&amp;teamName=%E8%A3%BD%E5%93%81%E5%85%A8%E8%88%AC&amp;channelName=%E3%83%87%E3%83%9E%E3%83%B3%E3%83%89%E9%96%A2%E9%80%A3&amp;createdTime=1692240920833" TargetMode="External"/><Relationship Id="rId1" Type="http://schemas.openxmlformats.org/officeDocument/2006/relationships/hyperlink" Target="file:///\\172.25.20.11\&#12469;&#12540;&#12489;&#12454;&#12455;&#12540;&#12502;&#12464;&#12523;&#12540;&#12503;\41&#19978;&#26399;\&#12469;&#12540;&#12489;&#12454;&#12455;&#12540;&#12502;\&#36092;&#36023;&#26412;&#37096;\&#12304;&#36890;&#24120;&#26989;&#21209;&#12305;\ONE" TargetMode="External"/><Relationship Id="rId6" Type="http://schemas.openxmlformats.org/officeDocument/2006/relationships/hyperlink" Target="https://teams.microsoft.com/l/message/19:dffe776f6b6c49d49f01d665adb2b95d@thread.tacv2/1777512978685?tenantId=1a15a0a6-60b5-4bd3-8cb9-302fca61af77&amp;groupId=6c0ff7cb-1808-4a43-bd24-ced3cdf83cc8&amp;parentMessageId=1777512978685&amp;teamName=%E4%BC%81%E7%94%BB%E6%9C%AC%E9%83%A8%2B%CE%B1&amp;channelName=%E4%BC%81%E7%94%BB%E9%83%A8&amp;createdTime=1777512978685&amp;ngc=true" TargetMode="External"/><Relationship Id="rId5" Type="http://schemas.openxmlformats.org/officeDocument/2006/relationships/hyperlink" Target="https://twaveo365-my.sharepoint.com/:x:/r/personal/y_ono_twave_co_jp/Documents/%E3%83%89%E3%82%AD%E3%83%A5%E3%83%A1%E3%83%B3%E3%83%88/%E5%85%B1%E6%9C%89%E7%94%A8/260427_%E3%83%8E%E3%83%BC%E3%83%88%E3%83%99%E3%82%A2%E3%83%A1%E3%83%BC%E3%82%AB%E3%83%BC%E5%89%B2%E5%90%88%EF%BC%88%E5%87%BA%E8%8D%B7%EF%BC%89.xlsx?d=wd34e6c1f84f242fd8f39aba818941730&amp;csf=1&amp;web=1&amp;e=vQ35Gj" TargetMode="External"/><Relationship Id="rId10" Type="http://schemas.microsoft.com/office/2017/10/relationships/threadedComment" Target="../threadedComments/threadedComment1.xml"/><Relationship Id="rId4" Type="http://schemas.openxmlformats.org/officeDocument/2006/relationships/hyperlink" Target="https://teams.microsoft.com/l/channel/19%3Aaf6d485b474f427eb3bb901a5dca2681%40thread.skype/%E3%83%8E%E3%83%BC%E3%83%88PC%E7%9B%B8%E8%AB%87%E5%AE%A4?groupId=20715080-ec85-42e9-9940-ff9f76ff409d&amp;tenantId=1a15a0a6-60b5-4bd3-8cb9-302fca61af77" TargetMode="External"/><Relationship Id="rId9"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2.xml"/><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2.bin"/><Relationship Id="rId6" Type="http://schemas.microsoft.com/office/2017/10/relationships/threadedComment" Target="../threadedComments/threadedComment3.xml"/><Relationship Id="rId5" Type="http://schemas.openxmlformats.org/officeDocument/2006/relationships/comments" Target="../comments4.xml"/><Relationship Id="rId4" Type="http://schemas.openxmlformats.org/officeDocument/2006/relationships/table" Target="../tables/table4.x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4.xml"/><Relationship Id="rId4" Type="http://schemas.microsoft.com/office/2017/10/relationships/threadedComment" Target="../threadedComments/threadedComment6.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3.bin"/><Relationship Id="rId4" Type="http://schemas.microsoft.com/office/2017/10/relationships/threadedComment" Target="../threadedComments/threadedComment7.x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8.xml"/><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4.bin"/><Relationship Id="rId4" Type="http://schemas.microsoft.com/office/2017/10/relationships/threadedComment" Target="../threadedComments/threadedComment9.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0.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9.bin"/><Relationship Id="rId4" Type="http://schemas.microsoft.com/office/2017/10/relationships/threadedComment" Target="../threadedComments/threadedComment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60F95-E7B0-4C6B-808F-4C24D5A00226}">
  <sheetPr codeName="Sheet13"/>
  <dimension ref="A4:Y64"/>
  <sheetViews>
    <sheetView workbookViewId="0"/>
  </sheetViews>
  <sheetFormatPr defaultColWidth="9" defaultRowHeight="18.75"/>
  <cols>
    <col min="1" max="1" width="9" style="75"/>
    <col min="2" max="2" width="42.625" style="136" customWidth="1"/>
    <col min="3" max="3" width="30.25" style="136" customWidth="1"/>
    <col min="4" max="4" width="20.5" style="75" customWidth="1"/>
    <col min="5" max="8" width="10.5" style="75" customWidth="1"/>
    <col min="9" max="20" width="9" style="75"/>
    <col min="21" max="21" width="9" style="75" bestFit="1" customWidth="1"/>
    <col min="22" max="25" width="13.25" style="75" bestFit="1" customWidth="1"/>
    <col min="26" max="16384" width="9" style="75"/>
  </cols>
  <sheetData>
    <row r="4" spans="1:25">
      <c r="B4" s="75"/>
    </row>
    <row r="5" spans="1:25">
      <c r="A5" s="75" t="s">
        <v>0</v>
      </c>
      <c r="G5" s="75" t="s">
        <v>1</v>
      </c>
      <c r="K5" s="75" t="s">
        <v>2</v>
      </c>
    </row>
    <row r="6" spans="1:25" ht="19.5" thickBot="1">
      <c r="B6" s="136" t="s">
        <v>3</v>
      </c>
      <c r="C6" s="136" t="s">
        <v>4</v>
      </c>
      <c r="D6" s="75" t="s">
        <v>5</v>
      </c>
      <c r="E6" s="75" t="s">
        <v>6</v>
      </c>
      <c r="F6" s="75" t="s">
        <v>7</v>
      </c>
      <c r="H6" s="136" t="s">
        <v>8</v>
      </c>
    </row>
    <row r="7" spans="1:25" s="76" customFormat="1" ht="16.5">
      <c r="A7" s="81"/>
      <c r="B7" s="82" t="s">
        <v>9</v>
      </c>
      <c r="C7" s="82" t="s">
        <v>10</v>
      </c>
      <c r="D7" s="82" t="s">
        <v>11</v>
      </c>
      <c r="E7" s="82" t="s">
        <v>12</v>
      </c>
      <c r="F7" s="82" t="s">
        <v>13</v>
      </c>
      <c r="G7" s="82" t="s">
        <v>14</v>
      </c>
      <c r="H7" s="82" t="s">
        <v>15</v>
      </c>
      <c r="I7" s="83">
        <v>45292</v>
      </c>
      <c r="J7" s="83">
        <v>45323</v>
      </c>
      <c r="K7" s="83">
        <v>45352</v>
      </c>
      <c r="L7" s="83">
        <v>45383</v>
      </c>
      <c r="M7" s="83">
        <v>45413</v>
      </c>
      <c r="N7" s="83">
        <v>45444</v>
      </c>
      <c r="O7" s="83">
        <v>45474</v>
      </c>
      <c r="P7" s="83">
        <v>45505</v>
      </c>
      <c r="Q7" s="83">
        <v>45536</v>
      </c>
      <c r="R7" s="83">
        <v>45566</v>
      </c>
      <c r="S7" s="272">
        <v>45597</v>
      </c>
      <c r="T7" s="275">
        <v>45627</v>
      </c>
      <c r="U7" s="275">
        <v>45658</v>
      </c>
      <c r="V7" s="84">
        <v>45689</v>
      </c>
      <c r="W7" s="84">
        <v>45717</v>
      </c>
      <c r="X7" s="84">
        <v>45748</v>
      </c>
      <c r="Y7" s="84">
        <v>45778</v>
      </c>
    </row>
    <row r="8" spans="1:25" s="77" customFormat="1" ht="16.149999999999999" customHeight="1">
      <c r="A8" s="85" t="s">
        <v>16</v>
      </c>
      <c r="B8" s="86" t="s">
        <v>17</v>
      </c>
      <c r="C8" s="62" t="s">
        <v>18</v>
      </c>
      <c r="D8" s="87" t="s">
        <v>19</v>
      </c>
      <c r="E8" s="86">
        <v>4090</v>
      </c>
      <c r="F8" s="86" t="s">
        <v>20</v>
      </c>
      <c r="G8" s="88">
        <v>101</v>
      </c>
      <c r="H8" s="88">
        <v>98</v>
      </c>
      <c r="I8" s="74">
        <v>48</v>
      </c>
      <c r="J8" s="74">
        <v>41</v>
      </c>
      <c r="K8" s="74">
        <v>49</v>
      </c>
      <c r="L8" s="74" t="s">
        <v>21</v>
      </c>
      <c r="M8" s="74">
        <v>49</v>
      </c>
      <c r="N8" s="74">
        <v>49</v>
      </c>
      <c r="O8" s="369"/>
      <c r="P8" s="369"/>
      <c r="Q8" s="369"/>
      <c r="R8" s="369"/>
      <c r="S8" s="369"/>
      <c r="T8" s="149"/>
      <c r="U8" s="224"/>
    </row>
    <row r="9" spans="1:25" s="77" customFormat="1" ht="16.149999999999999" customHeight="1">
      <c r="A9" s="85"/>
      <c r="B9" s="86"/>
      <c r="C9" s="62"/>
      <c r="D9" s="87"/>
      <c r="E9" s="86"/>
      <c r="F9" s="86"/>
      <c r="G9" s="88"/>
      <c r="H9" s="88">
        <v>0</v>
      </c>
      <c r="I9" s="74"/>
      <c r="J9" s="74"/>
      <c r="K9" s="74"/>
      <c r="L9" s="74"/>
      <c r="M9" s="73"/>
      <c r="N9" s="369"/>
      <c r="O9" s="369"/>
      <c r="P9" s="369"/>
      <c r="Q9" s="369"/>
      <c r="R9" s="369"/>
      <c r="S9" s="369"/>
      <c r="T9" s="149"/>
      <c r="U9" s="224"/>
    </row>
    <row r="10" spans="1:25" s="77" customFormat="1" ht="16.5">
      <c r="A10" s="85" t="s">
        <v>22</v>
      </c>
      <c r="B10" s="86" t="s">
        <v>23</v>
      </c>
      <c r="C10" s="62" t="s">
        <v>24</v>
      </c>
      <c r="D10" s="87" t="s">
        <v>25</v>
      </c>
      <c r="E10" s="86">
        <v>4090</v>
      </c>
      <c r="F10" s="86" t="s">
        <v>20</v>
      </c>
      <c r="G10" s="88">
        <v>166</v>
      </c>
      <c r="H10" s="88">
        <v>128.46447414640801</v>
      </c>
      <c r="I10" s="74" t="s">
        <v>21</v>
      </c>
      <c r="J10" s="74" t="s">
        <v>21</v>
      </c>
      <c r="K10" s="74" t="s">
        <v>21</v>
      </c>
      <c r="L10" s="74" t="s">
        <v>21</v>
      </c>
      <c r="M10" s="74">
        <v>41.562670463392116</v>
      </c>
      <c r="N10" s="74">
        <v>42.967436940584264</v>
      </c>
      <c r="O10" s="74">
        <v>43.934366742431614</v>
      </c>
      <c r="P10" s="74">
        <v>37.16253713716371</v>
      </c>
      <c r="Q10" s="74">
        <v>34.416966542083429</v>
      </c>
      <c r="R10" s="74">
        <v>30.705080749451842</v>
      </c>
      <c r="S10" s="118">
        <v>32.475824994735369</v>
      </c>
      <c r="T10" s="74">
        <v>51.467864334127569</v>
      </c>
      <c r="U10" s="224">
        <v>34.913112902054081</v>
      </c>
      <c r="V10" s="77">
        <v>29.879110863458632</v>
      </c>
      <c r="W10" s="77">
        <v>43.758397436353277</v>
      </c>
      <c r="X10" s="77">
        <v>37.756630894164097</v>
      </c>
      <c r="Y10" s="77" t="s">
        <v>21</v>
      </c>
    </row>
    <row r="11" spans="1:25" s="77" customFormat="1" ht="16.5">
      <c r="B11" s="86" t="s">
        <v>26</v>
      </c>
      <c r="C11" s="62" t="s">
        <v>27</v>
      </c>
      <c r="D11" s="87" t="s">
        <v>25</v>
      </c>
      <c r="E11" s="86">
        <v>4070</v>
      </c>
      <c r="F11" s="86" t="s">
        <v>20</v>
      </c>
      <c r="G11" s="88">
        <v>300</v>
      </c>
      <c r="H11" s="88">
        <v>194.02279020456535</v>
      </c>
      <c r="I11" s="74" t="s">
        <v>21</v>
      </c>
      <c r="J11" s="74" t="s">
        <v>21</v>
      </c>
      <c r="K11" s="74" t="s">
        <v>21</v>
      </c>
      <c r="L11" s="74" t="s">
        <v>21</v>
      </c>
      <c r="M11" s="74" t="s">
        <v>21</v>
      </c>
      <c r="N11" s="74">
        <v>97</v>
      </c>
      <c r="O11" s="74">
        <v>97.022790204565368</v>
      </c>
      <c r="P11" s="74">
        <v>87.43885027034203</v>
      </c>
      <c r="Q11" s="74">
        <v>77.32580966362525</v>
      </c>
      <c r="R11" s="74">
        <v>69.00371802351998</v>
      </c>
      <c r="S11" s="118">
        <v>73.784727485785496</v>
      </c>
      <c r="T11" s="74">
        <v>102.20603986978881</v>
      </c>
      <c r="U11" s="224" t="s">
        <v>21</v>
      </c>
      <c r="V11" s="77" t="s">
        <v>21</v>
      </c>
      <c r="W11" s="77" t="s">
        <v>21</v>
      </c>
      <c r="X11" s="77" t="s">
        <v>21</v>
      </c>
      <c r="Y11" s="77" t="s">
        <v>21</v>
      </c>
    </row>
    <row r="12" spans="1:25" s="79" customFormat="1" ht="16.5">
      <c r="A12" s="92"/>
      <c r="B12" s="89" t="s">
        <v>28</v>
      </c>
      <c r="C12" s="90" t="s">
        <v>29</v>
      </c>
      <c r="D12" s="96" t="s">
        <v>30</v>
      </c>
      <c r="E12" s="93">
        <v>4070</v>
      </c>
      <c r="F12" s="93" t="s">
        <v>20</v>
      </c>
      <c r="G12" s="104">
        <v>0</v>
      </c>
      <c r="H12" s="88">
        <v>10</v>
      </c>
      <c r="I12" s="91" t="s">
        <v>21</v>
      </c>
      <c r="J12" s="91" t="s">
        <v>21</v>
      </c>
      <c r="K12" s="91" t="s">
        <v>21</v>
      </c>
      <c r="L12" s="91" t="s">
        <v>21</v>
      </c>
      <c r="M12" s="91" t="s">
        <v>21</v>
      </c>
      <c r="N12" s="91" t="s">
        <v>21</v>
      </c>
      <c r="O12" s="171">
        <v>10</v>
      </c>
      <c r="P12" s="91">
        <v>10</v>
      </c>
      <c r="Q12" s="91">
        <v>102.45938289729199</v>
      </c>
      <c r="R12" s="91">
        <v>84.967782623081447</v>
      </c>
      <c r="S12" s="120">
        <v>91.165387481573788</v>
      </c>
      <c r="T12" s="91">
        <v>154.13752516944649</v>
      </c>
      <c r="U12" s="276">
        <v>122.19589515718927</v>
      </c>
      <c r="V12" s="79">
        <v>104.57688802210521</v>
      </c>
      <c r="W12" s="79">
        <v>153.15439102723647</v>
      </c>
      <c r="X12" s="79">
        <v>132.14820812957433</v>
      </c>
      <c r="Y12" s="79" t="s">
        <v>21</v>
      </c>
    </row>
    <row r="13" spans="1:25" s="77" customFormat="1" ht="16.5">
      <c r="A13" s="85"/>
      <c r="B13" s="86" t="s">
        <v>31</v>
      </c>
      <c r="C13" s="62" t="s">
        <v>32</v>
      </c>
      <c r="D13" s="87" t="s">
        <v>25</v>
      </c>
      <c r="E13" s="86">
        <v>4060</v>
      </c>
      <c r="F13" s="86" t="s">
        <v>20</v>
      </c>
      <c r="G13" s="88">
        <v>200</v>
      </c>
      <c r="H13" s="88">
        <v>132.20340451053698</v>
      </c>
      <c r="I13" s="74" t="s">
        <v>21</v>
      </c>
      <c r="J13" s="74" t="s">
        <v>21</v>
      </c>
      <c r="K13" s="74" t="s">
        <v>21</v>
      </c>
      <c r="L13" s="74" t="s">
        <v>21</v>
      </c>
      <c r="M13" s="74" t="s">
        <v>21</v>
      </c>
      <c r="N13" s="74">
        <v>43.960924328701111</v>
      </c>
      <c r="O13" s="74">
        <v>88.242480181835887</v>
      </c>
      <c r="P13" s="74">
        <v>75.390089129192916</v>
      </c>
      <c r="Q13" s="74">
        <v>66.400719701000213</v>
      </c>
      <c r="R13" s="74">
        <v>58.892193798684424</v>
      </c>
      <c r="S13" s="118">
        <v>63.141979987364884</v>
      </c>
      <c r="T13" s="74">
        <v>44.960924328701111</v>
      </c>
      <c r="U13" s="224" t="s">
        <v>21</v>
      </c>
      <c r="V13" s="77" t="s">
        <v>21</v>
      </c>
      <c r="W13" s="77" t="s">
        <v>21</v>
      </c>
      <c r="X13" s="77" t="s">
        <v>21</v>
      </c>
      <c r="Y13" s="77" t="s">
        <v>21</v>
      </c>
    </row>
    <row r="14" spans="1:25" s="78" customFormat="1" ht="16.5">
      <c r="A14" s="107"/>
      <c r="B14" s="86" t="s">
        <v>33</v>
      </c>
      <c r="C14" s="62" t="s">
        <v>34</v>
      </c>
      <c r="D14" s="108" t="s">
        <v>35</v>
      </c>
      <c r="E14" s="108">
        <v>4060</v>
      </c>
      <c r="F14" s="108" t="s">
        <v>20</v>
      </c>
      <c r="G14" s="166"/>
      <c r="H14" s="88">
        <v>0</v>
      </c>
      <c r="I14" s="74"/>
      <c r="J14" s="74"/>
      <c r="K14" s="74"/>
      <c r="L14" s="74"/>
      <c r="M14" s="74" t="s">
        <v>21</v>
      </c>
      <c r="N14" s="74" t="s">
        <v>21</v>
      </c>
      <c r="O14" s="74" t="s">
        <v>21</v>
      </c>
      <c r="P14" s="74">
        <v>668.57581701760171</v>
      </c>
      <c r="Q14" s="74">
        <v>591.17326392583539</v>
      </c>
      <c r="R14" s="74">
        <v>526.51177648794055</v>
      </c>
      <c r="S14" s="118">
        <v>565.46814988417816</v>
      </c>
      <c r="T14" s="74">
        <v>966.29301535080651</v>
      </c>
      <c r="U14" s="277">
        <v>768.08848384518967</v>
      </c>
      <c r="V14" s="78">
        <v>657.34043899608992</v>
      </c>
      <c r="W14" s="78">
        <v>962.68474359977199</v>
      </c>
      <c r="X14" s="78">
        <v>830.64587967161003</v>
      </c>
      <c r="Y14" s="78" t="s">
        <v>21</v>
      </c>
    </row>
    <row r="15" spans="1:25" s="77" customFormat="1" ht="16.5">
      <c r="A15" s="95"/>
      <c r="B15" s="87" t="s">
        <v>36</v>
      </c>
      <c r="C15" s="87" t="s">
        <v>37</v>
      </c>
      <c r="D15" s="87" t="s">
        <v>38</v>
      </c>
      <c r="E15" s="87">
        <v>4060</v>
      </c>
      <c r="F15" s="87" t="s">
        <v>20</v>
      </c>
      <c r="G15" s="94">
        <v>657</v>
      </c>
      <c r="H15" s="88">
        <v>404</v>
      </c>
      <c r="I15" s="74">
        <v>95</v>
      </c>
      <c r="J15" s="74">
        <v>85</v>
      </c>
      <c r="K15" s="74">
        <v>130</v>
      </c>
      <c r="L15" s="74">
        <v>108</v>
      </c>
      <c r="M15" s="74">
        <v>128</v>
      </c>
      <c r="N15" s="74">
        <v>123</v>
      </c>
      <c r="O15" s="74">
        <v>153</v>
      </c>
      <c r="P15" s="74">
        <v>153</v>
      </c>
      <c r="Q15" s="74">
        <v>133</v>
      </c>
      <c r="R15" s="74" t="s">
        <v>21</v>
      </c>
      <c r="S15" s="118" t="s">
        <v>21</v>
      </c>
      <c r="T15" s="74" t="s">
        <v>21</v>
      </c>
      <c r="U15" s="224" t="s">
        <v>21</v>
      </c>
      <c r="V15" s="77" t="s">
        <v>21</v>
      </c>
      <c r="W15" s="77" t="s">
        <v>21</v>
      </c>
      <c r="X15" s="77" t="s">
        <v>21</v>
      </c>
      <c r="Y15" s="77" t="s">
        <v>21</v>
      </c>
    </row>
    <row r="16" spans="1:25" s="78" customFormat="1" ht="16.5">
      <c r="A16" s="107"/>
      <c r="B16" s="86" t="s">
        <v>39</v>
      </c>
      <c r="C16" s="62" t="s">
        <v>40</v>
      </c>
      <c r="D16" s="108" t="s">
        <v>35</v>
      </c>
      <c r="E16" s="108">
        <v>4050</v>
      </c>
      <c r="F16" s="108"/>
      <c r="G16" s="166"/>
      <c r="H16" s="88">
        <v>0</v>
      </c>
      <c r="I16" s="74"/>
      <c r="J16" s="74"/>
      <c r="K16" s="74" t="s">
        <v>21</v>
      </c>
      <c r="L16" s="74" t="s">
        <v>21</v>
      </c>
      <c r="M16" s="74" t="s">
        <v>21</v>
      </c>
      <c r="N16" s="74" t="s">
        <v>21</v>
      </c>
      <c r="O16" s="74" t="s">
        <v>21</v>
      </c>
      <c r="P16" s="74">
        <v>403.14549021056104</v>
      </c>
      <c r="Q16" s="74">
        <v>353.70395835550124</v>
      </c>
      <c r="R16" s="74">
        <v>317.90706589276431</v>
      </c>
      <c r="S16" s="118">
        <v>341.28088993050687</v>
      </c>
      <c r="T16" s="74">
        <v>580.77580921048389</v>
      </c>
      <c r="U16" s="277">
        <v>460.8530903071138</v>
      </c>
      <c r="V16" s="78">
        <v>394.40426339765389</v>
      </c>
      <c r="W16" s="78">
        <v>577.61084615986317</v>
      </c>
      <c r="X16" s="78">
        <v>498.38752780296608</v>
      </c>
      <c r="Y16" s="78" t="s">
        <v>21</v>
      </c>
    </row>
    <row r="17" spans="1:25" s="77" customFormat="1" ht="16.5">
      <c r="A17" s="95"/>
      <c r="B17" s="87" t="s">
        <v>41</v>
      </c>
      <c r="C17" s="87" t="s">
        <v>42</v>
      </c>
      <c r="D17" s="87" t="s">
        <v>38</v>
      </c>
      <c r="E17" s="87">
        <v>4050</v>
      </c>
      <c r="F17" s="87"/>
      <c r="G17" s="94">
        <v>17</v>
      </c>
      <c r="H17" s="88">
        <v>6</v>
      </c>
      <c r="I17" s="74">
        <v>28</v>
      </c>
      <c r="J17" s="74">
        <v>85</v>
      </c>
      <c r="K17" s="74">
        <v>74</v>
      </c>
      <c r="L17" s="74">
        <v>22</v>
      </c>
      <c r="M17" s="74">
        <v>2</v>
      </c>
      <c r="N17" s="74">
        <v>2</v>
      </c>
      <c r="O17" s="74">
        <v>2</v>
      </c>
      <c r="P17" s="74" t="s">
        <v>21</v>
      </c>
      <c r="Q17" s="74" t="s">
        <v>21</v>
      </c>
      <c r="R17" s="74" t="s">
        <v>21</v>
      </c>
      <c r="S17" s="118" t="s">
        <v>21</v>
      </c>
      <c r="T17" s="74" t="s">
        <v>21</v>
      </c>
      <c r="U17" s="224" t="s">
        <v>21</v>
      </c>
      <c r="V17" s="77" t="s">
        <v>21</v>
      </c>
      <c r="W17" s="77" t="s">
        <v>21</v>
      </c>
      <c r="X17" s="77" t="s">
        <v>21</v>
      </c>
      <c r="Y17" s="77" t="s">
        <v>21</v>
      </c>
    </row>
    <row r="18" spans="1:25" s="170" customFormat="1" ht="16.5">
      <c r="A18" s="167"/>
      <c r="B18" s="168" t="s">
        <v>43</v>
      </c>
      <c r="C18" s="168" t="s">
        <v>44</v>
      </c>
      <c r="D18" s="168" t="s">
        <v>38</v>
      </c>
      <c r="E18" s="168">
        <v>4050</v>
      </c>
      <c r="F18" s="168" t="s">
        <v>20</v>
      </c>
      <c r="G18" s="169">
        <v>1</v>
      </c>
      <c r="H18" s="151">
        <v>25</v>
      </c>
      <c r="I18" s="98">
        <v>105</v>
      </c>
      <c r="J18" s="98">
        <v>105</v>
      </c>
      <c r="K18" s="98">
        <v>205</v>
      </c>
      <c r="L18" s="98">
        <v>155</v>
      </c>
      <c r="M18" s="98">
        <v>25</v>
      </c>
      <c r="N18" s="98" t="s">
        <v>21</v>
      </c>
      <c r="O18" s="98" t="s">
        <v>21</v>
      </c>
      <c r="P18" s="98" t="s">
        <v>21</v>
      </c>
      <c r="Q18" s="98" t="s">
        <v>21</v>
      </c>
      <c r="R18" s="98" t="s">
        <v>21</v>
      </c>
      <c r="S18" s="273" t="s">
        <v>21</v>
      </c>
      <c r="T18" s="98" t="s">
        <v>21</v>
      </c>
      <c r="U18" s="278" t="s">
        <v>21</v>
      </c>
      <c r="V18" s="170" t="s">
        <v>21</v>
      </c>
      <c r="W18" s="170" t="s">
        <v>21</v>
      </c>
      <c r="X18" s="170" t="s">
        <v>21</v>
      </c>
      <c r="Y18" s="170" t="s">
        <v>21</v>
      </c>
    </row>
    <row r="19" spans="1:25" s="77" customFormat="1" ht="16.5">
      <c r="A19" s="95"/>
      <c r="B19" s="87"/>
      <c r="C19" s="87"/>
      <c r="D19" s="87"/>
      <c r="E19" s="87"/>
      <c r="F19" s="87"/>
      <c r="G19" s="94"/>
      <c r="H19" s="88">
        <v>0</v>
      </c>
      <c r="I19" s="74"/>
      <c r="J19" s="74"/>
      <c r="K19" s="74"/>
      <c r="L19" s="74"/>
      <c r="M19" s="74"/>
      <c r="N19" s="74"/>
      <c r="O19" s="74"/>
      <c r="P19" s="74"/>
      <c r="Q19" s="74"/>
      <c r="R19" s="74"/>
      <c r="S19" s="118"/>
      <c r="T19" s="74"/>
      <c r="U19" s="224"/>
    </row>
    <row r="20" spans="1:25" s="161" customFormat="1" ht="16.5">
      <c r="A20" s="162"/>
      <c r="B20" s="163" t="s">
        <v>45</v>
      </c>
      <c r="C20" s="163"/>
      <c r="D20" s="163"/>
      <c r="E20" s="163"/>
      <c r="F20" s="163"/>
      <c r="G20" s="164"/>
      <c r="H20" s="88"/>
      <c r="I20" s="155"/>
      <c r="J20" s="155"/>
      <c r="K20" s="155">
        <v>3046</v>
      </c>
      <c r="L20" s="155">
        <v>1820</v>
      </c>
      <c r="M20" s="155">
        <v>2143.0703368111695</v>
      </c>
      <c r="N20" s="155">
        <v>2586.7886541897342</v>
      </c>
      <c r="O20" s="155">
        <v>3011.9024731139389</v>
      </c>
      <c r="P20" s="155">
        <v>3117.4015835655914</v>
      </c>
      <c r="Q20" s="279">
        <v>2611.0739300582577</v>
      </c>
      <c r="R20" s="279">
        <v>2239.6654438062569</v>
      </c>
      <c r="S20" s="280">
        <v>2475.9708345798826</v>
      </c>
      <c r="T20" s="279">
        <v>3779.2164299578194</v>
      </c>
      <c r="U20" s="281">
        <v>2608.0095337834391</v>
      </c>
      <c r="V20" s="161">
        <v>1559.6895870725405</v>
      </c>
      <c r="W20" s="161">
        <v>2284.1883461776406</v>
      </c>
      <c r="X20" s="161">
        <v>1970.8961326753656</v>
      </c>
      <c r="Y20" s="161">
        <v>0</v>
      </c>
    </row>
    <row r="21" spans="1:25" s="77" customFormat="1" ht="16.5">
      <c r="A21" s="282"/>
      <c r="B21" s="163" t="s">
        <v>46</v>
      </c>
      <c r="C21" s="159"/>
      <c r="D21" s="163"/>
      <c r="E21" s="283"/>
      <c r="F21" s="283"/>
      <c r="G21" s="154">
        <v>0</v>
      </c>
      <c r="H21" s="154">
        <v>0</v>
      </c>
      <c r="I21" s="155" t="s">
        <v>21</v>
      </c>
      <c r="J21" s="155" t="s">
        <v>21</v>
      </c>
      <c r="K21" s="155" t="s">
        <v>21</v>
      </c>
      <c r="L21" s="155" t="s">
        <v>21</v>
      </c>
      <c r="M21" s="155" t="s">
        <v>21</v>
      </c>
      <c r="N21" s="155" t="s">
        <v>21</v>
      </c>
      <c r="O21" s="155" t="s">
        <v>21</v>
      </c>
      <c r="P21" s="155">
        <v>2919.1792034122345</v>
      </c>
      <c r="Q21" s="155">
        <v>2806.02065373818</v>
      </c>
      <c r="R21" s="155">
        <v>2719.4458762311187</v>
      </c>
      <c r="S21" s="274">
        <v>2912.4680768635094</v>
      </c>
      <c r="T21" s="155">
        <v>4805.0358755231455</v>
      </c>
      <c r="U21" s="225">
        <v>4440.263414625133</v>
      </c>
      <c r="V21" s="77" t="s">
        <v>21</v>
      </c>
      <c r="W21" s="77" t="s">
        <v>21</v>
      </c>
      <c r="X21" s="77" t="s">
        <v>21</v>
      </c>
      <c r="Y21" s="77" t="s">
        <v>21</v>
      </c>
    </row>
    <row r="22" spans="1:25">
      <c r="Q22" s="284" t="s">
        <v>47</v>
      </c>
    </row>
    <row r="27" spans="1:25">
      <c r="B27" s="172" t="s">
        <v>48</v>
      </c>
    </row>
    <row r="28" spans="1:25">
      <c r="B28" s="173" t="s">
        <v>49</v>
      </c>
    </row>
    <row r="29" spans="1:25">
      <c r="B29" s="174" t="s">
        <v>50</v>
      </c>
    </row>
    <row r="31" spans="1:25">
      <c r="B31" s="175" t="s">
        <v>51</v>
      </c>
      <c r="C31" s="136" t="s">
        <v>52</v>
      </c>
    </row>
    <row r="32" spans="1:25">
      <c r="B32" s="176" t="s">
        <v>53</v>
      </c>
      <c r="C32" s="136" t="s">
        <v>54</v>
      </c>
    </row>
    <row r="44" spans="2:2">
      <c r="B44" s="75" t="s">
        <v>55</v>
      </c>
    </row>
    <row r="45" spans="2:2">
      <c r="B45" s="136" t="s">
        <v>56</v>
      </c>
    </row>
    <row r="47" spans="2:2">
      <c r="B47" s="136" t="s">
        <v>57</v>
      </c>
    </row>
    <row r="48" spans="2:2">
      <c r="B48" s="136" t="s">
        <v>58</v>
      </c>
    </row>
    <row r="49" spans="1:2">
      <c r="A49" s="75">
        <v>1</v>
      </c>
      <c r="B49" s="136" t="s">
        <v>59</v>
      </c>
    </row>
    <row r="50" spans="1:2">
      <c r="B50" s="136" t="s">
        <v>60</v>
      </c>
    </row>
    <row r="51" spans="1:2">
      <c r="B51" s="136" t="s">
        <v>61</v>
      </c>
    </row>
    <row r="52" spans="1:2">
      <c r="B52" s="136" t="s">
        <v>62</v>
      </c>
    </row>
    <row r="53" spans="1:2">
      <c r="B53" s="136" t="s">
        <v>63</v>
      </c>
    </row>
    <row r="54" spans="1:2">
      <c r="A54" s="75">
        <v>2</v>
      </c>
      <c r="B54" s="136" t="s">
        <v>64</v>
      </c>
    </row>
    <row r="55" spans="1:2">
      <c r="A55" s="75">
        <v>3</v>
      </c>
      <c r="B55" s="136" t="s">
        <v>65</v>
      </c>
    </row>
    <row r="56" spans="1:2">
      <c r="B56" s="136" t="s">
        <v>66</v>
      </c>
    </row>
    <row r="57" spans="1:2">
      <c r="A57" s="75">
        <v>4</v>
      </c>
      <c r="B57" s="136" t="s">
        <v>67</v>
      </c>
    </row>
    <row r="58" spans="1:2">
      <c r="A58" s="75">
        <v>5</v>
      </c>
      <c r="B58" s="309" t="s">
        <v>68</v>
      </c>
    </row>
    <row r="59" spans="1:2">
      <c r="B59" s="136" t="s">
        <v>69</v>
      </c>
    </row>
    <row r="60" spans="1:2">
      <c r="A60" s="75">
        <v>6</v>
      </c>
      <c r="B60" s="136" t="s">
        <v>70</v>
      </c>
    </row>
    <row r="61" spans="1:2">
      <c r="B61" s="136" t="s">
        <v>71</v>
      </c>
    </row>
    <row r="62" spans="1:2">
      <c r="A62" s="75">
        <v>7</v>
      </c>
      <c r="B62" s="136" t="s">
        <v>72</v>
      </c>
    </row>
    <row r="63" spans="1:2">
      <c r="B63" s="136" t="s">
        <v>73</v>
      </c>
    </row>
    <row r="64" spans="1:2">
      <c r="A64" s="75">
        <v>8</v>
      </c>
      <c r="B64" s="136" t="s">
        <v>74</v>
      </c>
    </row>
  </sheetData>
  <autoFilter ref="A7:Y21" xr:uid="{1E38AF40-58CE-4E63-8B3D-8C20ED07A466}"/>
  <phoneticPr fontId="4"/>
  <conditionalFormatting sqref="H1:H1048576">
    <cfRule type="expression" dxfId="129" priority="1">
      <formula>OFFSET(INDIRECT(ADDRESS(ROW(),COLUMN())), 0, -1)&lt;INDIRECT(ADDRESS(ROW(),COLUMN()))</formula>
    </cfRule>
    <cfRule type="expression" priority="2">
      <formula>"$H:$H-$G:$G&lt;0"</formula>
    </cfRule>
  </conditionalFormatting>
  <conditionalFormatting sqref="I7:Y7">
    <cfRule type="timePeriod" dxfId="128" priority="3" timePeriod="thisMonth">
      <formula>AND(MONTH(I7)=MONTH(TODAY()),YEAR(I7)=YEAR(TODAY()))</formula>
    </cfRule>
  </conditionalFormatting>
  <hyperlinks>
    <hyperlink ref="B58" r:id="rId1" xr:uid="{1D83BA75-4F71-4096-8C82-1573A0D60CED}"/>
  </hyperlinks>
  <pageMargins left="0.7" right="0.7" top="0.75" bottom="0.75" header="0.3" footer="0.3"/>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24B81-4E6A-45CB-A17D-D6C0EB1250E2}">
  <sheetPr codeName="Sheet49"/>
  <dimension ref="A1:BS285"/>
  <sheetViews>
    <sheetView topLeftCell="B4" workbookViewId="0">
      <selection activeCell="BJ1" sqref="BJ1"/>
    </sheetView>
  </sheetViews>
  <sheetFormatPr defaultRowHeight="18.75" outlineLevelCol="1"/>
  <cols>
    <col min="1" max="1" width="21.25" hidden="1" customWidth="1" outlineLevel="1"/>
    <col min="2" max="2" width="15.75" bestFit="1" customWidth="1" collapsed="1"/>
    <col min="3" max="3" width="14.25" bestFit="1" customWidth="1"/>
    <col min="4" max="4" width="21.75" bestFit="1" customWidth="1"/>
    <col min="5" max="5" width="13.375" bestFit="1" customWidth="1"/>
    <col min="6" max="6" width="64.75" bestFit="1" customWidth="1"/>
    <col min="7" max="7" width="10.375" bestFit="1" customWidth="1"/>
    <col min="8" max="8" width="48.625" bestFit="1" customWidth="1"/>
    <col min="9" max="9" width="13.125" hidden="1" customWidth="1" outlineLevel="1"/>
    <col min="10" max="10" width="13.5" hidden="1" customWidth="1" outlineLevel="1"/>
    <col min="11" max="11" width="40.625" hidden="1" customWidth="1" outlineLevel="1"/>
    <col min="12" max="12" width="8.875" hidden="1" customWidth="1" outlineLevel="1"/>
    <col min="13" max="13" width="7.625" bestFit="1" customWidth="1" collapsed="1"/>
    <col min="14" max="14" width="12.75" bestFit="1" customWidth="1"/>
    <col min="15" max="15" width="12.375" hidden="1" customWidth="1" outlineLevel="1"/>
    <col min="16" max="16" width="13.5" hidden="1" customWidth="1" outlineLevel="1"/>
    <col min="17" max="17" width="21.375" hidden="1" customWidth="1" outlineLevel="1"/>
    <col min="18" max="18" width="81" hidden="1" customWidth="1" outlineLevel="1" collapsed="1"/>
    <col min="19" max="19" width="22.25" hidden="1" customWidth="1" outlineLevel="1"/>
    <col min="20" max="20" width="9.375" hidden="1" customWidth="1" outlineLevel="1"/>
    <col min="21" max="21" width="33" hidden="1" customWidth="1" outlineLevel="1"/>
    <col min="22" max="22" width="7.5" hidden="1" customWidth="1" outlineLevel="1"/>
    <col min="23" max="23" width="11.25" hidden="1" customWidth="1" outlineLevel="1"/>
    <col min="24" max="24" width="9.375" hidden="1" customWidth="1" outlineLevel="1"/>
    <col min="25" max="25" width="11.25" hidden="1" customWidth="1" outlineLevel="1"/>
    <col min="26" max="26" width="14.375" hidden="1" customWidth="1" outlineLevel="1"/>
    <col min="27" max="27" width="58.75" hidden="1" customWidth="1" outlineLevel="1"/>
    <col min="28" max="28" width="14.375" hidden="1" customWidth="1" outlineLevel="1"/>
    <col min="29" max="29" width="58.75" hidden="1" customWidth="1" outlineLevel="1"/>
    <col min="30" max="30" width="11.25" hidden="1" customWidth="1" outlineLevel="1"/>
    <col min="31" max="31" width="13.25" hidden="1" customWidth="1" outlineLevel="1"/>
    <col min="32" max="32" width="12.75" hidden="1" customWidth="1" outlineLevel="1"/>
    <col min="33" max="33" width="8.625" hidden="1" customWidth="1" outlineLevel="1"/>
    <col min="34" max="34" width="23.625" hidden="1" customWidth="1" outlineLevel="1"/>
    <col min="35" max="35" width="14.375" hidden="1" customWidth="1" outlineLevel="1"/>
    <col min="36" max="36" width="58.75" hidden="1" customWidth="1" outlineLevel="1"/>
    <col min="37" max="37" width="17.25" hidden="1" customWidth="1" outlineLevel="1"/>
    <col min="38" max="39" width="9.375" hidden="1" customWidth="1" outlineLevel="1"/>
    <col min="40" max="40" width="10.125" hidden="1" customWidth="1" outlineLevel="1"/>
    <col min="41" max="41" width="7.875" hidden="1" customWidth="1" outlineLevel="1"/>
    <col min="42" max="42" width="9.375" hidden="1" customWidth="1" outlineLevel="1"/>
    <col min="43" max="43" width="10.125" hidden="1" customWidth="1" outlineLevel="1"/>
    <col min="44" max="44" width="13.125" hidden="1" customWidth="1" outlineLevel="1"/>
    <col min="45" max="45" width="11" hidden="1" customWidth="1" outlineLevel="1"/>
    <col min="46" max="46" width="14" hidden="1" customWidth="1" outlineLevel="1"/>
    <col min="47" max="47" width="15.375" hidden="1" customWidth="1" outlineLevel="1"/>
    <col min="48" max="48" width="12.125" hidden="1" customWidth="1" outlineLevel="1"/>
    <col min="49" max="49" width="20" bestFit="1" customWidth="1" collapsed="1"/>
    <col min="50" max="50" width="51.125" bestFit="1" customWidth="1"/>
    <col min="51" max="51" width="7.75" bestFit="1" customWidth="1" outlineLevel="1"/>
    <col min="52" max="52" width="81" customWidth="1" outlineLevel="1"/>
    <col min="53" max="53" width="15.75" bestFit="1" customWidth="1" outlineLevel="1"/>
    <col min="54" max="54" width="15.375" bestFit="1" customWidth="1" outlineLevel="1"/>
    <col min="55" max="55" width="15.75" bestFit="1" customWidth="1" outlineLevel="1"/>
    <col min="56" max="56" width="15.375" bestFit="1" customWidth="1" outlineLevel="1"/>
    <col min="57" max="57" width="11.5" bestFit="1" customWidth="1" outlineLevel="1"/>
    <col min="58" max="58" width="11.375" bestFit="1" customWidth="1" outlineLevel="1"/>
    <col min="59" max="59" width="14" bestFit="1" customWidth="1" outlineLevel="1"/>
    <col min="60" max="60" width="11.5" bestFit="1" customWidth="1" outlineLevel="1"/>
    <col min="61" max="61" width="12.5" bestFit="1" customWidth="1" outlineLevel="1"/>
    <col min="62" max="64" width="32.625" bestFit="1" customWidth="1" outlineLevel="1"/>
    <col min="65" max="65" width="15.375" bestFit="1" customWidth="1" outlineLevel="1"/>
    <col min="66" max="66" width="7.5" bestFit="1" customWidth="1" outlineLevel="1"/>
    <col min="67" max="67" width="9.125" bestFit="1" customWidth="1" outlineLevel="1"/>
    <col min="68" max="68" width="16.875" bestFit="1" customWidth="1" outlineLevel="1"/>
    <col min="69" max="69" width="13.25" bestFit="1" customWidth="1" outlineLevel="1"/>
    <col min="70" max="73" width="11.25" bestFit="1" customWidth="1"/>
    <col min="74" max="74" width="81" bestFit="1" customWidth="1"/>
    <col min="75" max="75" width="15.625" bestFit="1" customWidth="1"/>
    <col min="76" max="76" width="15.25" bestFit="1" customWidth="1"/>
    <col min="77" max="77" width="15.625" bestFit="1" customWidth="1"/>
    <col min="78" max="78" width="15.25" bestFit="1" customWidth="1"/>
    <col min="79" max="82" width="13.125" bestFit="1" customWidth="1"/>
  </cols>
  <sheetData>
    <row r="1" spans="1:71">
      <c r="A1" t="s">
        <v>75</v>
      </c>
      <c r="B1" t="s">
        <v>76</v>
      </c>
      <c r="C1" t="s">
        <v>77</v>
      </c>
      <c r="D1" t="s">
        <v>78</v>
      </c>
      <c r="E1" t="s">
        <v>79</v>
      </c>
      <c r="F1" t="s">
        <v>80</v>
      </c>
      <c r="G1" t="s">
        <v>81</v>
      </c>
      <c r="H1" t="s">
        <v>82</v>
      </c>
      <c r="I1" t="s">
        <v>83</v>
      </c>
      <c r="J1" t="s">
        <v>84</v>
      </c>
      <c r="K1" t="s">
        <v>11</v>
      </c>
      <c r="L1" t="s">
        <v>12</v>
      </c>
      <c r="M1" t="s">
        <v>85</v>
      </c>
      <c r="N1" t="s">
        <v>86</v>
      </c>
      <c r="O1" t="s">
        <v>87</v>
      </c>
      <c r="P1" t="s">
        <v>88</v>
      </c>
      <c r="Q1" t="s">
        <v>89</v>
      </c>
      <c r="R1" t="s">
        <v>90</v>
      </c>
      <c r="S1" t="s">
        <v>91</v>
      </c>
      <c r="T1" t="s">
        <v>92</v>
      </c>
      <c r="U1" t="s">
        <v>93</v>
      </c>
      <c r="V1" t="s">
        <v>94</v>
      </c>
      <c r="W1" t="s">
        <v>95</v>
      </c>
      <c r="X1" t="s">
        <v>96</v>
      </c>
      <c r="Y1" t="s">
        <v>97</v>
      </c>
      <c r="Z1" t="s">
        <v>98</v>
      </c>
      <c r="AA1" t="s">
        <v>99</v>
      </c>
      <c r="AB1" t="s">
        <v>100</v>
      </c>
      <c r="AC1" t="s">
        <v>101</v>
      </c>
      <c r="AD1" t="s">
        <v>102</v>
      </c>
      <c r="AE1" t="s">
        <v>103</v>
      </c>
      <c r="AF1" t="s">
        <v>104</v>
      </c>
      <c r="AG1" t="s">
        <v>105</v>
      </c>
      <c r="AH1" t="s">
        <v>106</v>
      </c>
      <c r="AI1" t="s">
        <v>107</v>
      </c>
      <c r="AJ1" t="s">
        <v>108</v>
      </c>
      <c r="AK1" t="s">
        <v>109</v>
      </c>
      <c r="AL1" t="s">
        <v>110</v>
      </c>
      <c r="AM1" t="s">
        <v>111</v>
      </c>
      <c r="AN1" t="s">
        <v>112</v>
      </c>
      <c r="AO1" t="s">
        <v>113</v>
      </c>
      <c r="AP1" t="s">
        <v>114</v>
      </c>
      <c r="AQ1" t="s">
        <v>115</v>
      </c>
      <c r="AR1" t="s">
        <v>116</v>
      </c>
      <c r="AS1" t="s">
        <v>117</v>
      </c>
      <c r="AT1" t="s">
        <v>118</v>
      </c>
      <c r="AU1" t="s">
        <v>119</v>
      </c>
      <c r="AV1" t="s">
        <v>120</v>
      </c>
      <c r="AW1" t="s">
        <v>121</v>
      </c>
      <c r="AX1" t="s">
        <v>122</v>
      </c>
      <c r="AY1" t="s">
        <v>123</v>
      </c>
      <c r="AZ1" t="s">
        <v>124</v>
      </c>
      <c r="BA1" t="s">
        <v>125</v>
      </c>
      <c r="BB1" t="s">
        <v>126</v>
      </c>
      <c r="BC1" t="s">
        <v>127</v>
      </c>
      <c r="BD1" t="s">
        <v>128</v>
      </c>
      <c r="BE1" t="s">
        <v>129</v>
      </c>
      <c r="BF1" t="s">
        <v>130</v>
      </c>
      <c r="BG1" t="s">
        <v>131</v>
      </c>
      <c r="BH1" t="s">
        <v>132</v>
      </c>
      <c r="BI1" t="s">
        <v>133</v>
      </c>
      <c r="BJ1" t="s">
        <v>4427</v>
      </c>
      <c r="BK1" t="s">
        <v>2695</v>
      </c>
      <c r="BL1" t="s">
        <v>134</v>
      </c>
      <c r="BM1" t="s">
        <v>135</v>
      </c>
      <c r="BN1" t="s">
        <v>136</v>
      </c>
      <c r="BO1" t="s">
        <v>137</v>
      </c>
      <c r="BP1" t="s">
        <v>138</v>
      </c>
      <c r="BQ1" t="s">
        <v>139</v>
      </c>
      <c r="BR1" t="s">
        <v>140</v>
      </c>
      <c r="BS1" t="s">
        <v>141</v>
      </c>
    </row>
    <row r="2" spans="1:71">
      <c r="A2" cm="1">
        <f t="array" ref="A2:A285">_xlfn.XLOOKUP(マスタ_EOLリスト[製品型番],'在庫使用計画 (ノート全体試算)'!C:C,'在庫使用計画 (ノート全体試算)'!C:C)</f>
        <v>0</v>
      </c>
      <c r="B2" t="s">
        <v>142</v>
      </c>
      <c r="E2">
        <v>161647</v>
      </c>
      <c r="F2" t="s">
        <v>143</v>
      </c>
      <c r="M2">
        <v>0</v>
      </c>
      <c r="N2">
        <v>0</v>
      </c>
      <c r="AW2" t="s">
        <v>21</v>
      </c>
      <c r="AX2" t="s">
        <v>144</v>
      </c>
      <c r="BM2" t="str">
        <f>IF(COUNTIFS('在庫使用計画 (ノート全体試算)'!C:C,マスタ_EOLリスト[[#This Row],[製品型番]])=0,"記載なし","")</f>
        <v>記載なし</v>
      </c>
      <c r="BN2" t="str">
        <f>IF(COUNTIFS('在庫使用計画 (一般)'!C:C,マスタ_EOLリスト[[#This Row],[製品型番]])=0,"記載なし","")</f>
        <v>記載なし</v>
      </c>
      <c r="BO2" t="str">
        <f>IF(COUNTIFS('在庫使用計画 (法人)'!C:C,マスタ_EOLリスト[[#This Row],[製品型番]])=0,"記載なし","")</f>
        <v>記載なし</v>
      </c>
      <c r="BP2" t="str">
        <f>IF(COUNTIFS('在庫使用計画 (全体実績+予測）0701'!C:C,マスタ_EOLリスト[[#This Row],[製品型番]])=0,"記載なし","")</f>
        <v>記載なし</v>
      </c>
      <c r="BQ2" t="str">
        <f ca="1">IF(COUNTIFS('在庫使用計画 (計画　予測)'!C:C,マスタ_EOLリスト[[#This Row],[製品型番]])=0,"記載なし","")</f>
        <v>記載なし</v>
      </c>
      <c r="BR2" t="str">
        <f>IF(COUNTIFS(在庫確認!B:B,マスタ_EOLリスト[[#This Row],[製品型番]])=0,"記載なし","")</f>
        <v>記載なし</v>
      </c>
      <c r="BS2" t="e">
        <f>COUNTIF(#REF!,マスタ_EOLリスト[[#This Row],[製品型番]])</f>
        <v>#REF!</v>
      </c>
    </row>
    <row r="3" spans="1:71">
      <c r="A3">
        <v>0</v>
      </c>
      <c r="B3" t="s">
        <v>142</v>
      </c>
      <c r="E3">
        <v>168654</v>
      </c>
      <c r="F3" t="s">
        <v>145</v>
      </c>
      <c r="M3">
        <v>0</v>
      </c>
      <c r="N3">
        <v>0</v>
      </c>
      <c r="AW3" t="s">
        <v>21</v>
      </c>
      <c r="AX3" t="s">
        <v>144</v>
      </c>
      <c r="BM3" t="str">
        <f>IF(COUNTIFS('在庫使用計画 (ノート全体試算)'!C:C,マスタ_EOLリスト[[#This Row],[製品型番]])=0,"記載なし","")</f>
        <v>記載なし</v>
      </c>
      <c r="BN3" t="str">
        <f>IF(COUNTIFS('在庫使用計画 (一般)'!C:C,マスタ_EOLリスト[[#This Row],[製品型番]])=0,"記載なし","")</f>
        <v>記載なし</v>
      </c>
      <c r="BO3" t="str">
        <f>IF(COUNTIFS('在庫使用計画 (法人)'!C:C,マスタ_EOLリスト[[#This Row],[製品型番]])=0,"記載なし","")</f>
        <v>記載なし</v>
      </c>
      <c r="BP3" t="str">
        <f>IF(COUNTIFS('在庫使用計画 (全体実績+予測）0701'!C:C,マスタ_EOLリスト[[#This Row],[製品型番]])=0,"記載なし","")</f>
        <v>記載なし</v>
      </c>
      <c r="BQ3" t="str">
        <f ca="1">IF(COUNTIFS('在庫使用計画 (計画　予測)'!C:C,マスタ_EOLリスト[[#This Row],[製品型番]])=0,"記載なし","")</f>
        <v>記載なし</v>
      </c>
      <c r="BR3" t="str">
        <f>IF(COUNTIFS(在庫確認!B:B,マスタ_EOLリスト[[#This Row],[製品型番]])=0,"記載なし","")</f>
        <v>記載なし</v>
      </c>
      <c r="BS3" t="e">
        <f>COUNTIF(#REF!,マスタ_EOLリスト[[#This Row],[製品型番]])</f>
        <v>#REF!</v>
      </c>
    </row>
    <row r="4" spans="1:71">
      <c r="A4">
        <v>0</v>
      </c>
      <c r="B4" t="s">
        <v>142</v>
      </c>
      <c r="E4">
        <v>174103</v>
      </c>
      <c r="F4" t="s">
        <v>146</v>
      </c>
      <c r="M4">
        <v>0</v>
      </c>
      <c r="N4">
        <v>0</v>
      </c>
      <c r="AW4" t="s">
        <v>21</v>
      </c>
      <c r="AX4" t="s">
        <v>144</v>
      </c>
      <c r="BM4" t="str">
        <f>IF(COUNTIFS('在庫使用計画 (ノート全体試算)'!C:C,マスタ_EOLリスト[[#This Row],[製品型番]])=0,"記載なし","")</f>
        <v>記載なし</v>
      </c>
      <c r="BN4" t="str">
        <f>IF(COUNTIFS('在庫使用計画 (一般)'!C:C,マスタ_EOLリスト[[#This Row],[製品型番]])=0,"記載なし","")</f>
        <v>記載なし</v>
      </c>
      <c r="BO4" t="str">
        <f>IF(COUNTIFS('在庫使用計画 (法人)'!C:C,マスタ_EOLリスト[[#This Row],[製品型番]])=0,"記載なし","")</f>
        <v>記載なし</v>
      </c>
      <c r="BP4" t="str">
        <f>IF(COUNTIFS('在庫使用計画 (全体実績+予測）0701'!C:C,マスタ_EOLリスト[[#This Row],[製品型番]])=0,"記載なし","")</f>
        <v>記載なし</v>
      </c>
      <c r="BQ4" t="str">
        <f ca="1">IF(COUNTIFS('在庫使用計画 (計画　予測)'!C:C,マスタ_EOLリスト[[#This Row],[製品型番]])=0,"記載なし","")</f>
        <v>記載なし</v>
      </c>
      <c r="BR4" t="str">
        <f>IF(COUNTIFS(在庫確認!B:B,マスタ_EOLリスト[[#This Row],[製品型番]])=0,"記載なし","")</f>
        <v>記載なし</v>
      </c>
      <c r="BS4" t="e">
        <f>COUNTIF(#REF!,マスタ_EOLリスト[[#This Row],[製品型番]])</f>
        <v>#REF!</v>
      </c>
    </row>
    <row r="5" spans="1:71">
      <c r="A5" t="str">
        <v>UL9C-R59-8A</v>
      </c>
      <c r="B5" t="s">
        <v>147</v>
      </c>
      <c r="C5" t="s">
        <v>148</v>
      </c>
      <c r="D5" t="s">
        <v>149</v>
      </c>
      <c r="E5">
        <v>212347</v>
      </c>
      <c r="F5" t="s">
        <v>150</v>
      </c>
      <c r="G5" t="s">
        <v>151</v>
      </c>
      <c r="H5" t="s">
        <v>152</v>
      </c>
      <c r="I5">
        <v>18</v>
      </c>
      <c r="K5" t="s">
        <v>153</v>
      </c>
      <c r="L5">
        <v>5090</v>
      </c>
      <c r="M5">
        <v>66</v>
      </c>
      <c r="N5">
        <v>66</v>
      </c>
      <c r="O5">
        <v>45717</v>
      </c>
      <c r="P5">
        <v>45747</v>
      </c>
      <c r="Q5" t="s">
        <v>154</v>
      </c>
      <c r="V5">
        <v>600</v>
      </c>
      <c r="W5">
        <v>476</v>
      </c>
      <c r="AN5" t="s">
        <v>155</v>
      </c>
      <c r="AO5">
        <v>20</v>
      </c>
      <c r="AP5">
        <v>16.5</v>
      </c>
      <c r="AQ5" t="s">
        <v>156</v>
      </c>
      <c r="AU5" t="s">
        <v>157</v>
      </c>
      <c r="AV5" t="s">
        <v>158</v>
      </c>
      <c r="AW5" t="b">
        <v>1</v>
      </c>
      <c r="AX5" t="s">
        <v>159</v>
      </c>
      <c r="AY5">
        <v>175</v>
      </c>
      <c r="BA5" t="s">
        <v>160</v>
      </c>
      <c r="BB5" t="s">
        <v>160</v>
      </c>
      <c r="BC5" t="s">
        <v>160</v>
      </c>
      <c r="BD5" t="s">
        <v>160</v>
      </c>
      <c r="BJ5" t="s">
        <v>184</v>
      </c>
      <c r="BM5" t="str">
        <f>IF(COUNTIFS('在庫使用計画 (ノート全体試算)'!C:C,マスタ_EOLリスト[[#This Row],[製品型番]])=0,"記載なし","")</f>
        <v/>
      </c>
      <c r="BN5" t="str">
        <f>IF(COUNTIFS('在庫使用計画 (一般)'!C:C,マスタ_EOLリスト[[#This Row],[製品型番]])=0,"記載なし","")</f>
        <v/>
      </c>
      <c r="BO5" t="str">
        <f>IF(COUNTIFS('在庫使用計画 (法人)'!C:C,マスタ_EOLリスト[[#This Row],[製品型番]])=0,"記載なし","")</f>
        <v/>
      </c>
      <c r="BP5" t="str">
        <f>IF(COUNTIFS('在庫使用計画 (全体実績+予測）0701'!C:C,マスタ_EOLリスト[[#This Row],[製品型番]])=0,"記載なし","")</f>
        <v/>
      </c>
      <c r="BQ5" t="str">
        <f ca="1">IF(COUNTIFS('在庫使用計画 (計画　予測)'!C:C,マスタ_EOLリスト[[#This Row],[製品型番]])=0,"記載なし","")</f>
        <v/>
      </c>
      <c r="BR5" t="str">
        <f>IF(COUNTIFS(在庫確認!B:B,マスタ_EOLリスト[[#This Row],[製品型番]])=0,"記載なし","")</f>
        <v/>
      </c>
      <c r="BS5" t="e">
        <f>COUNTIF(#REF!,マスタ_EOLリスト[[#This Row],[製品型番]])</f>
        <v>#REF!</v>
      </c>
    </row>
    <row r="6" spans="1:71">
      <c r="A6" t="str">
        <v>UL9C-R49-6</v>
      </c>
      <c r="B6" t="s">
        <v>142</v>
      </c>
      <c r="C6" t="s">
        <v>148</v>
      </c>
      <c r="D6" t="s">
        <v>24</v>
      </c>
      <c r="E6">
        <v>193182</v>
      </c>
      <c r="F6" t="s">
        <v>161</v>
      </c>
      <c r="G6" t="s">
        <v>162</v>
      </c>
      <c r="H6" t="s">
        <v>163</v>
      </c>
      <c r="K6" t="s">
        <v>164</v>
      </c>
      <c r="L6">
        <v>4090</v>
      </c>
      <c r="M6">
        <v>0</v>
      </c>
      <c r="N6">
        <v>0</v>
      </c>
      <c r="O6">
        <v>45414</v>
      </c>
      <c r="P6">
        <v>45414</v>
      </c>
      <c r="Q6" t="s">
        <v>165</v>
      </c>
      <c r="U6" t="s">
        <v>166</v>
      </c>
      <c r="V6">
        <v>150</v>
      </c>
      <c r="W6">
        <v>216</v>
      </c>
      <c r="Z6">
        <v>199017</v>
      </c>
      <c r="AB6">
        <v>212347</v>
      </c>
      <c r="AC6" t="s">
        <v>167</v>
      </c>
      <c r="AK6">
        <v>194883</v>
      </c>
      <c r="AL6">
        <v>45481</v>
      </c>
      <c r="AM6">
        <v>35</v>
      </c>
      <c r="AN6" t="s">
        <v>168</v>
      </c>
      <c r="AW6" t="s">
        <v>21</v>
      </c>
      <c r="AX6" t="s">
        <v>144</v>
      </c>
      <c r="BA6" t="s">
        <v>169</v>
      </c>
      <c r="BB6" t="s">
        <v>170</v>
      </c>
      <c r="BC6" t="s">
        <v>169</v>
      </c>
      <c r="BD6" t="s">
        <v>169</v>
      </c>
      <c r="BM6" t="str">
        <f>IF(COUNTIFS('在庫使用計画 (ノート全体試算)'!C:C,マスタ_EOLリスト[[#This Row],[製品型番]])=0,"記載なし","")</f>
        <v/>
      </c>
      <c r="BN6" t="str">
        <f>IF(COUNTIFS('在庫使用計画 (一般)'!C:C,マスタ_EOLリスト[[#This Row],[製品型番]])=0,"記載なし","")</f>
        <v/>
      </c>
      <c r="BO6" t="str">
        <f>IF(COUNTIFS('在庫使用計画 (法人)'!C:C,マスタ_EOLリスト[[#This Row],[製品型番]])=0,"記載なし","")</f>
        <v/>
      </c>
      <c r="BP6" t="str">
        <f>IF(COUNTIFS('在庫使用計画 (全体実績+予測）0701'!C:C,マスタ_EOLリスト[[#This Row],[製品型番]])=0,"記載なし","")</f>
        <v/>
      </c>
      <c r="BQ6" t="str">
        <f ca="1">IF(COUNTIFS('在庫使用計画 (計画　予測)'!C:C,マスタ_EOLリスト[[#This Row],[製品型番]])=0,"記載なし","")</f>
        <v>記載なし</v>
      </c>
      <c r="BR6" t="str">
        <f>IF(COUNTIFS(在庫確認!B:B,マスタ_EOLリスト[[#This Row],[製品型番]])=0,"記載なし","")</f>
        <v/>
      </c>
      <c r="BS6" t="e">
        <f>COUNTIF(#REF!,マスタ_EOLリスト[[#This Row],[製品型番]])</f>
        <v>#REF!</v>
      </c>
    </row>
    <row r="7" spans="1:71">
      <c r="A7" t="str">
        <v>UL9C-R49-6</v>
      </c>
      <c r="B7" t="s">
        <v>142</v>
      </c>
      <c r="C7" t="s">
        <v>148</v>
      </c>
      <c r="D7" t="s">
        <v>24</v>
      </c>
      <c r="E7">
        <v>199017</v>
      </c>
      <c r="F7" t="s">
        <v>171</v>
      </c>
      <c r="G7" t="s">
        <v>162</v>
      </c>
      <c r="H7" t="s">
        <v>163</v>
      </c>
      <c r="K7" t="s">
        <v>164</v>
      </c>
      <c r="L7">
        <v>4090</v>
      </c>
      <c r="M7">
        <v>0</v>
      </c>
      <c r="N7">
        <v>0</v>
      </c>
      <c r="Q7" t="s">
        <v>172</v>
      </c>
      <c r="R7" t="s">
        <v>173</v>
      </c>
      <c r="W7">
        <v>235</v>
      </c>
      <c r="AB7">
        <v>212347</v>
      </c>
      <c r="AC7" t="s">
        <v>167</v>
      </c>
      <c r="AK7">
        <v>207653</v>
      </c>
      <c r="AL7">
        <v>45483</v>
      </c>
      <c r="AM7">
        <v>125</v>
      </c>
      <c r="AN7" t="s">
        <v>168</v>
      </c>
      <c r="AW7" t="s">
        <v>21</v>
      </c>
      <c r="AX7" t="s">
        <v>144</v>
      </c>
      <c r="BA7" t="s">
        <v>174</v>
      </c>
      <c r="BB7" t="s">
        <v>170</v>
      </c>
      <c r="BC7" t="s">
        <v>174</v>
      </c>
      <c r="BD7" t="s">
        <v>170</v>
      </c>
      <c r="BM7" t="str">
        <f>IF(COUNTIFS('在庫使用計画 (ノート全体試算)'!C:C,マスタ_EOLリスト[[#This Row],[製品型番]])=0,"記載なし","")</f>
        <v/>
      </c>
      <c r="BN7" t="str">
        <f>IF(COUNTIFS('在庫使用計画 (一般)'!C:C,マスタ_EOLリスト[[#This Row],[製品型番]])=0,"記載なし","")</f>
        <v/>
      </c>
      <c r="BO7" t="str">
        <f>IF(COUNTIFS('在庫使用計画 (法人)'!C:C,マスタ_EOLリスト[[#This Row],[製品型番]])=0,"記載なし","")</f>
        <v/>
      </c>
      <c r="BP7" t="str">
        <f>IF(COUNTIFS('在庫使用計画 (全体実績+予測）0701'!C:C,マスタ_EOLリスト[[#This Row],[製品型番]])=0,"記載なし","")</f>
        <v/>
      </c>
      <c r="BQ7" t="str">
        <f ca="1">IF(COUNTIFS('在庫使用計画 (計画　予測)'!C:C,マスタ_EOLリスト[[#This Row],[製品型番]])=0,"記載なし","")</f>
        <v>記載なし</v>
      </c>
      <c r="BR7" t="str">
        <f>IF(COUNTIFS(在庫確認!B:B,マスタ_EOLリスト[[#This Row],[製品型番]])=0,"記載なし","")</f>
        <v/>
      </c>
      <c r="BS7" t="e">
        <f>COUNTIF(#REF!,マスタ_EOLリスト[[#This Row],[製品型番]])</f>
        <v>#REF!</v>
      </c>
    </row>
    <row r="8" spans="1:71">
      <c r="A8" t="str">
        <v>UL9C-R49</v>
      </c>
      <c r="B8" t="s">
        <v>142</v>
      </c>
      <c r="C8" t="s">
        <v>148</v>
      </c>
      <c r="D8" t="s">
        <v>18</v>
      </c>
      <c r="E8">
        <v>184056</v>
      </c>
      <c r="F8" t="s">
        <v>175</v>
      </c>
      <c r="G8" t="s">
        <v>176</v>
      </c>
      <c r="H8" t="s">
        <v>17</v>
      </c>
      <c r="K8" t="s">
        <v>177</v>
      </c>
      <c r="L8">
        <v>4090</v>
      </c>
      <c r="M8">
        <v>0</v>
      </c>
      <c r="N8">
        <v>0</v>
      </c>
      <c r="P8">
        <v>45197</v>
      </c>
      <c r="Q8" t="s">
        <v>178</v>
      </c>
      <c r="R8" t="s">
        <v>179</v>
      </c>
      <c r="V8">
        <v>300</v>
      </c>
      <c r="W8">
        <v>400</v>
      </c>
      <c r="Z8">
        <v>193182</v>
      </c>
      <c r="AC8" t="s">
        <v>180</v>
      </c>
      <c r="AH8" t="s">
        <v>181</v>
      </c>
      <c r="AI8" t="s">
        <v>182</v>
      </c>
      <c r="AJ8" t="s">
        <v>161</v>
      </c>
      <c r="AL8">
        <v>45471</v>
      </c>
      <c r="AM8">
        <v>80</v>
      </c>
      <c r="AQ8" t="s">
        <v>183</v>
      </c>
      <c r="AW8" t="s">
        <v>21</v>
      </c>
      <c r="AX8" t="s">
        <v>144</v>
      </c>
      <c r="BM8" t="str">
        <f>IF(COUNTIFS('在庫使用計画 (ノート全体試算)'!C:C,マスタ_EOLリスト[[#This Row],[製品型番]])=0,"記載なし","")</f>
        <v/>
      </c>
      <c r="BN8" t="str">
        <f>IF(COUNTIFS('在庫使用計画 (一般)'!C:C,マスタ_EOLリスト[[#This Row],[製品型番]])=0,"記載なし","")</f>
        <v>記載なし</v>
      </c>
      <c r="BO8" t="str">
        <f>IF(COUNTIFS('在庫使用計画 (法人)'!C:C,マスタ_EOLリスト[[#This Row],[製品型番]])=0,"記載なし","")</f>
        <v/>
      </c>
      <c r="BP8" t="str">
        <f>IF(COUNTIFS('在庫使用計画 (全体実績+予測）0701'!C:C,マスタ_EOLリスト[[#This Row],[製品型番]])=0,"記載なし","")</f>
        <v/>
      </c>
      <c r="BQ8" t="str">
        <f ca="1">IF(COUNTIFS('在庫使用計画 (計画　予測)'!C:C,マスタ_EOLリスト[[#This Row],[製品型番]])=0,"記載なし","")</f>
        <v>記載なし</v>
      </c>
      <c r="BR8" t="str">
        <f>IF(COUNTIFS(在庫確認!B:B,マスタ_EOLリスト[[#This Row],[製品型番]])=0,"記載なし","")</f>
        <v/>
      </c>
      <c r="BS8" t="e">
        <f>COUNTIF(#REF!,マスタ_EOLリスト[[#This Row],[製品型番]])</f>
        <v>#REF!</v>
      </c>
    </row>
    <row r="9" spans="1:71">
      <c r="A9" t="str">
        <v>NMC9L-R59-G8</v>
      </c>
      <c r="B9" t="s">
        <v>147</v>
      </c>
      <c r="C9" t="s">
        <v>148</v>
      </c>
      <c r="D9" t="s">
        <v>184</v>
      </c>
      <c r="E9">
        <v>318440</v>
      </c>
      <c r="F9" t="s">
        <v>185</v>
      </c>
      <c r="G9" t="s">
        <v>151</v>
      </c>
      <c r="H9" t="s">
        <v>186</v>
      </c>
      <c r="I9">
        <v>18</v>
      </c>
      <c r="K9" t="s">
        <v>187</v>
      </c>
      <c r="L9">
        <v>5090</v>
      </c>
      <c r="M9">
        <v>107</v>
      </c>
      <c r="N9">
        <v>107</v>
      </c>
      <c r="AW9" t="b">
        <v>1</v>
      </c>
      <c r="AX9" t="s">
        <v>188</v>
      </c>
      <c r="BJ9" t="s">
        <v>253</v>
      </c>
      <c r="BM9" t="str">
        <f>IF(COUNTIFS('在庫使用計画 (ノート全体試算)'!C:C,マスタ_EOLリスト[[#This Row],[製品型番]])=0,"記載なし","")</f>
        <v/>
      </c>
      <c r="BN9" t="str">
        <f>IF(COUNTIFS('在庫使用計画 (一般)'!C:C,マスタ_EOLリスト[[#This Row],[製品型番]])=0,"記載なし","")</f>
        <v/>
      </c>
      <c r="BO9" t="str">
        <f>IF(COUNTIFS('在庫使用計画 (法人)'!C:C,マスタ_EOLリスト[[#This Row],[製品型番]])=0,"記載なし","")</f>
        <v/>
      </c>
      <c r="BP9" t="str">
        <f>IF(COUNTIFS('在庫使用計画 (全体実績+予測）0701'!C:C,マスタ_EOLリスト[[#This Row],[製品型番]])=0,"記載なし","")</f>
        <v/>
      </c>
      <c r="BQ9" t="str">
        <f ca="1">IF(COUNTIFS('在庫使用計画 (計画　予測)'!C:C,マスタ_EOLリスト[[#This Row],[製品型番]])=0,"記載なし","")</f>
        <v/>
      </c>
      <c r="BR9" t="str">
        <f>IF(COUNTIFS(在庫確認!B:B,マスタ_EOLリスト[[#This Row],[製品型番]])=0,"記載なし","")</f>
        <v>記載なし</v>
      </c>
      <c r="BS9" t="e">
        <f>COUNTIF(#REF!,マスタ_EOLリスト[[#This Row],[製品型番]])</f>
        <v>#REF!</v>
      </c>
    </row>
    <row r="10" spans="1:71">
      <c r="A10" t="str">
        <v>NMC9L-R59-G8</v>
      </c>
      <c r="B10" t="s">
        <v>147</v>
      </c>
      <c r="C10" t="s">
        <v>148</v>
      </c>
      <c r="D10" t="s">
        <v>184</v>
      </c>
      <c r="E10">
        <v>366294</v>
      </c>
      <c r="F10" t="s">
        <v>189</v>
      </c>
      <c r="G10" t="s">
        <v>151</v>
      </c>
      <c r="H10" t="s">
        <v>186</v>
      </c>
      <c r="I10">
        <v>18</v>
      </c>
      <c r="K10" t="s">
        <v>187</v>
      </c>
      <c r="L10">
        <v>5090</v>
      </c>
      <c r="M10">
        <v>0</v>
      </c>
      <c r="N10">
        <v>30</v>
      </c>
      <c r="AW10" t="b">
        <v>1</v>
      </c>
      <c r="AX10" t="s">
        <v>144</v>
      </c>
      <c r="BJ10" t="s">
        <v>253</v>
      </c>
      <c r="BM10" t="str">
        <f>IF(COUNTIFS('在庫使用計画 (ノート全体試算)'!C:C,マスタ_EOLリスト[[#This Row],[製品型番]])=0,"記載なし","")</f>
        <v/>
      </c>
      <c r="BN10" t="str">
        <f>IF(COUNTIFS('在庫使用計画 (一般)'!C:C,マスタ_EOLリスト[[#This Row],[製品型番]])=0,"記載なし","")</f>
        <v/>
      </c>
      <c r="BO10" t="str">
        <f>IF(COUNTIFS('在庫使用計画 (法人)'!C:C,マスタ_EOLリスト[[#This Row],[製品型番]])=0,"記載なし","")</f>
        <v/>
      </c>
      <c r="BP10" t="str">
        <f>IF(COUNTIFS('在庫使用計画 (全体実績+予測）0701'!C:C,マスタ_EOLリスト[[#This Row],[製品型番]])=0,"記載なし","")</f>
        <v/>
      </c>
      <c r="BQ10" t="str">
        <f ca="1">IF(COUNTIFS('在庫使用計画 (計画　予測)'!C:C,マスタ_EOLリスト[[#This Row],[製品型番]])=0,"記載なし","")</f>
        <v/>
      </c>
      <c r="BR10" t="str">
        <f>IF(COUNTIFS(在庫確認!B:B,マスタ_EOLリスト[[#This Row],[製品型番]])=0,"記載なし","")</f>
        <v>記載なし</v>
      </c>
      <c r="BS10" t="e">
        <f>COUNTIF(#REF!,マスタ_EOLリスト[[#This Row],[製品型番]])</f>
        <v>#REF!</v>
      </c>
    </row>
    <row r="11" spans="1:71">
      <c r="A11" t="str">
        <v>NMC9L-R58-H6</v>
      </c>
      <c r="B11" t="s">
        <v>147</v>
      </c>
      <c r="C11" t="s">
        <v>148</v>
      </c>
      <c r="D11" t="s">
        <v>190</v>
      </c>
      <c r="E11">
        <v>326941</v>
      </c>
      <c r="F11" t="s">
        <v>191</v>
      </c>
      <c r="G11" t="s">
        <v>192</v>
      </c>
      <c r="H11" t="s">
        <v>193</v>
      </c>
      <c r="I11">
        <v>16</v>
      </c>
      <c r="K11" t="s">
        <v>187</v>
      </c>
      <c r="L11">
        <v>5080</v>
      </c>
      <c r="M11">
        <v>269</v>
      </c>
      <c r="N11">
        <v>341</v>
      </c>
      <c r="AW11" t="b">
        <v>1</v>
      </c>
      <c r="AX11" t="s">
        <v>194</v>
      </c>
      <c r="BM11" t="str">
        <f>IF(COUNTIFS('在庫使用計画 (ノート全体試算)'!C:C,マスタ_EOLリスト[[#This Row],[製品型番]])=0,"記載なし","")</f>
        <v/>
      </c>
      <c r="BN11" t="str">
        <f>IF(COUNTIFS('在庫使用計画 (一般)'!C:C,マスタ_EOLリスト[[#This Row],[製品型番]])=0,"記載なし","")</f>
        <v/>
      </c>
      <c r="BO11" t="str">
        <f>IF(COUNTIFS('在庫使用計画 (法人)'!C:C,マスタ_EOLリスト[[#This Row],[製品型番]])=0,"記載なし","")</f>
        <v/>
      </c>
      <c r="BP11" t="str">
        <f>IF(COUNTIFS('在庫使用計画 (全体実績+予測）0701'!C:C,マスタ_EOLリスト[[#This Row],[製品型番]])=0,"記載なし","")</f>
        <v/>
      </c>
      <c r="BQ11" t="str">
        <f ca="1">IF(COUNTIFS('在庫使用計画 (計画　予測)'!C:C,マスタ_EOLリスト[[#This Row],[製品型番]])=0,"記載なし","")</f>
        <v/>
      </c>
      <c r="BR11" t="str">
        <f>IF(COUNTIFS(在庫確認!B:B,マスタ_EOLリスト[[#This Row],[製品型番]])=0,"記載なし","")</f>
        <v>記載なし</v>
      </c>
      <c r="BS11" t="e">
        <f>COUNTIF(#REF!,マスタ_EOLリスト[[#This Row],[製品型番]])</f>
        <v>#REF!</v>
      </c>
    </row>
    <row r="12" spans="1:71">
      <c r="A12" t="str">
        <v>ZL9R-R57T-6</v>
      </c>
      <c r="B12" t="s">
        <v>335</v>
      </c>
      <c r="C12" t="s">
        <v>148</v>
      </c>
      <c r="D12" t="s">
        <v>195</v>
      </c>
      <c r="E12">
        <v>212476</v>
      </c>
      <c r="F12" t="s">
        <v>196</v>
      </c>
      <c r="G12" t="s">
        <v>197</v>
      </c>
      <c r="H12" t="s">
        <v>198</v>
      </c>
      <c r="I12">
        <v>16</v>
      </c>
      <c r="K12" t="s">
        <v>199</v>
      </c>
      <c r="L12" t="s">
        <v>200</v>
      </c>
      <c r="M12">
        <v>11</v>
      </c>
      <c r="N12">
        <v>11</v>
      </c>
      <c r="O12">
        <v>45717</v>
      </c>
      <c r="P12">
        <v>45793</v>
      </c>
      <c r="Q12" t="s">
        <v>154</v>
      </c>
      <c r="R12" t="s">
        <v>201</v>
      </c>
      <c r="V12">
        <v>240</v>
      </c>
      <c r="W12">
        <v>1306</v>
      </c>
      <c r="AN12" t="s">
        <v>202</v>
      </c>
      <c r="AO12">
        <v>20</v>
      </c>
      <c r="AP12">
        <v>12</v>
      </c>
      <c r="AQ12" t="s">
        <v>156</v>
      </c>
      <c r="AR12">
        <v>199685</v>
      </c>
      <c r="AS12" t="s">
        <v>203</v>
      </c>
      <c r="AT12">
        <v>171480</v>
      </c>
      <c r="AU12" t="s">
        <v>204</v>
      </c>
      <c r="AV12" t="s">
        <v>205</v>
      </c>
      <c r="AW12" t="b">
        <v>1</v>
      </c>
      <c r="AX12" t="s">
        <v>206</v>
      </c>
      <c r="AY12">
        <v>115</v>
      </c>
      <c r="BA12" t="s">
        <v>207</v>
      </c>
      <c r="BB12" t="s">
        <v>207</v>
      </c>
      <c r="BC12" t="s">
        <v>207</v>
      </c>
      <c r="BD12" t="s">
        <v>207</v>
      </c>
      <c r="BJ12" t="s">
        <v>209</v>
      </c>
      <c r="BM12" t="str">
        <f>IF(COUNTIFS('在庫使用計画 (ノート全体試算)'!C:C,マスタ_EOLリスト[[#This Row],[製品型番]])=0,"記載なし","")</f>
        <v/>
      </c>
      <c r="BN12" t="str">
        <f>IF(COUNTIFS('在庫使用計画 (一般)'!C:C,マスタ_EOLリスト[[#This Row],[製品型番]])=0,"記載なし","")</f>
        <v/>
      </c>
      <c r="BO12" t="str">
        <f>IF(COUNTIFS('在庫使用計画 (法人)'!C:C,マスタ_EOLリスト[[#This Row],[製品型番]])=0,"記載なし","")</f>
        <v/>
      </c>
      <c r="BP12" t="str">
        <f>IF(COUNTIFS('在庫使用計画 (全体実績+予測）0701'!C:C,マスタ_EOLリスト[[#This Row],[製品型番]])=0,"記載なし","")</f>
        <v/>
      </c>
      <c r="BQ12" t="str">
        <f ca="1">IF(COUNTIFS('在庫使用計画 (計画　予測)'!C:C,マスタ_EOLリスト[[#This Row],[製品型番]])=0,"記載なし","")</f>
        <v/>
      </c>
      <c r="BR12" t="str">
        <f>IF(COUNTIFS(在庫確認!B:B,マスタ_EOLリスト[[#This Row],[製品型番]])=0,"記載なし","")</f>
        <v/>
      </c>
      <c r="BS12" t="e">
        <f>COUNTIF(#REF!,マスタ_EOLリスト[[#This Row],[製品型番]])</f>
        <v>#REF!</v>
      </c>
    </row>
    <row r="13" spans="1:71">
      <c r="A13" t="str">
        <v>ZL9C-R57T-6A</v>
      </c>
      <c r="B13" t="s">
        <v>147</v>
      </c>
      <c r="C13" t="s">
        <v>148</v>
      </c>
      <c r="D13" t="s">
        <v>209</v>
      </c>
      <c r="E13">
        <v>220801</v>
      </c>
      <c r="F13" t="s">
        <v>210</v>
      </c>
      <c r="G13" t="s">
        <v>197</v>
      </c>
      <c r="H13" t="s">
        <v>211</v>
      </c>
      <c r="I13">
        <v>16</v>
      </c>
      <c r="K13" t="s">
        <v>153</v>
      </c>
      <c r="L13" t="s">
        <v>200</v>
      </c>
      <c r="M13">
        <v>74</v>
      </c>
      <c r="N13">
        <v>74</v>
      </c>
      <c r="O13">
        <v>45848</v>
      </c>
      <c r="P13">
        <v>45876</v>
      </c>
      <c r="Q13" t="s">
        <v>154</v>
      </c>
      <c r="R13" t="s">
        <v>201</v>
      </c>
      <c r="V13">
        <v>580</v>
      </c>
      <c r="W13">
        <v>696</v>
      </c>
      <c r="AN13" t="s">
        <v>202</v>
      </c>
      <c r="AO13">
        <v>20</v>
      </c>
      <c r="AP13">
        <v>12</v>
      </c>
      <c r="AQ13" t="s">
        <v>156</v>
      </c>
      <c r="AR13">
        <v>199685</v>
      </c>
      <c r="AS13" t="s">
        <v>203</v>
      </c>
      <c r="AT13">
        <v>171480</v>
      </c>
      <c r="AU13" t="s">
        <v>204</v>
      </c>
      <c r="AV13" t="s">
        <v>205</v>
      </c>
      <c r="AW13" t="b">
        <v>1</v>
      </c>
      <c r="AX13" t="s">
        <v>212</v>
      </c>
      <c r="AY13">
        <v>115</v>
      </c>
      <c r="BA13" t="s">
        <v>169</v>
      </c>
      <c r="BB13" t="s">
        <v>170</v>
      </c>
      <c r="BC13" t="s">
        <v>169</v>
      </c>
      <c r="BD13" t="s">
        <v>169</v>
      </c>
      <c r="BJ13" t="s">
        <v>253</v>
      </c>
      <c r="BM13" t="str">
        <f>IF(COUNTIFS('在庫使用計画 (ノート全体試算)'!C:C,マスタ_EOLリスト[[#This Row],[製品型番]])=0,"記載なし","")</f>
        <v/>
      </c>
      <c r="BN13" t="str">
        <f>IF(COUNTIFS('在庫使用計画 (一般)'!C:C,マスタ_EOLリスト[[#This Row],[製品型番]])=0,"記載なし","")</f>
        <v/>
      </c>
      <c r="BO13" t="str">
        <f>IF(COUNTIFS('在庫使用計画 (法人)'!C:C,マスタ_EOLリスト[[#This Row],[製品型番]])=0,"記載なし","")</f>
        <v/>
      </c>
      <c r="BP13" t="str">
        <f>IF(COUNTIFS('在庫使用計画 (全体実績+予測）0701'!C:C,マスタ_EOLリスト[[#This Row],[製品型番]])=0,"記載なし","")</f>
        <v/>
      </c>
      <c r="BQ13" t="str">
        <f ca="1">IF(COUNTIFS('在庫使用計画 (計画　予測)'!C:C,マスタ_EOLリスト[[#This Row],[製品型番]])=0,"記載なし","")</f>
        <v/>
      </c>
      <c r="BR13" t="str">
        <f>IF(COUNTIFS(在庫確認!B:B,マスタ_EOLリスト[[#This Row],[製品型番]])=0,"記載なし","")</f>
        <v/>
      </c>
      <c r="BS13" t="e">
        <f>COUNTIF(#REF!,マスタ_EOLリスト[[#This Row],[製品型番]])</f>
        <v>#REF!</v>
      </c>
    </row>
    <row r="14" spans="1:71">
      <c r="A14" t="str">
        <v>ZL9C-R57T-6A</v>
      </c>
      <c r="B14" t="s">
        <v>147</v>
      </c>
      <c r="C14" t="s">
        <v>148</v>
      </c>
      <c r="D14" t="s">
        <v>209</v>
      </c>
      <c r="E14">
        <v>349140</v>
      </c>
      <c r="F14" t="s">
        <v>213</v>
      </c>
      <c r="G14" t="s">
        <v>197</v>
      </c>
      <c r="H14" t="s">
        <v>211</v>
      </c>
      <c r="I14">
        <v>16</v>
      </c>
      <c r="K14" t="s">
        <v>153</v>
      </c>
      <c r="L14" t="s">
        <v>200</v>
      </c>
      <c r="M14">
        <v>119</v>
      </c>
      <c r="N14">
        <v>479</v>
      </c>
      <c r="O14">
        <v>45848</v>
      </c>
      <c r="P14">
        <v>45876</v>
      </c>
      <c r="Q14" t="s">
        <v>154</v>
      </c>
      <c r="R14" t="s">
        <v>214</v>
      </c>
      <c r="V14">
        <v>580</v>
      </c>
      <c r="W14">
        <v>0</v>
      </c>
      <c r="AN14" t="s">
        <v>202</v>
      </c>
      <c r="AO14">
        <v>20</v>
      </c>
      <c r="AP14">
        <v>12</v>
      </c>
      <c r="AQ14" t="s">
        <v>156</v>
      </c>
      <c r="AR14">
        <v>199685</v>
      </c>
      <c r="AS14" t="s">
        <v>203</v>
      </c>
      <c r="AT14">
        <v>171480</v>
      </c>
      <c r="AU14" t="s">
        <v>204</v>
      </c>
      <c r="AV14" t="s">
        <v>205</v>
      </c>
      <c r="AW14" t="b">
        <v>1</v>
      </c>
      <c r="AX14" t="s">
        <v>2612</v>
      </c>
      <c r="AY14">
        <v>115</v>
      </c>
      <c r="BA14" t="s">
        <v>169</v>
      </c>
      <c r="BB14" t="s">
        <v>170</v>
      </c>
      <c r="BC14" t="s">
        <v>169</v>
      </c>
      <c r="BD14" t="s">
        <v>169</v>
      </c>
      <c r="BJ14" t="s">
        <v>253</v>
      </c>
      <c r="BM14" t="str">
        <f>IF(COUNTIFS('在庫使用計画 (ノート全体試算)'!C:C,マスタ_EOLリスト[[#This Row],[製品型番]])=0,"記載なし","")</f>
        <v/>
      </c>
      <c r="BN14" t="str">
        <f>IF(COUNTIFS('在庫使用計画 (一般)'!C:C,マスタ_EOLリスト[[#This Row],[製品型番]])=0,"記載なし","")</f>
        <v/>
      </c>
      <c r="BO14" t="str">
        <f>IF(COUNTIFS('在庫使用計画 (法人)'!C:C,マスタ_EOLリスト[[#This Row],[製品型番]])=0,"記載なし","")</f>
        <v/>
      </c>
      <c r="BP14" t="str">
        <f>IF(COUNTIFS('在庫使用計画 (全体実績+予測）0701'!C:C,マスタ_EOLリスト[[#This Row],[製品型番]])=0,"記載なし","")</f>
        <v/>
      </c>
      <c r="BQ14" t="str">
        <f ca="1">IF(COUNTIFS('在庫使用計画 (計画　予測)'!C:C,マスタ_EOLリスト[[#This Row],[製品型番]])=0,"記載なし","")</f>
        <v/>
      </c>
      <c r="BR14" t="str">
        <f>IF(COUNTIFS(在庫確認!B:B,マスタ_EOLリスト[[#This Row],[製品型番]])=0,"記載なし","")</f>
        <v/>
      </c>
      <c r="BS14" t="e">
        <f>COUNTIF(#REF!,マスタ_EOLリスト[[#This Row],[製品型番]])</f>
        <v>#REF!</v>
      </c>
    </row>
    <row r="15" spans="1:71">
      <c r="A15" t="str">
        <v>ZL7C-R57-6A</v>
      </c>
      <c r="B15" t="s">
        <v>147</v>
      </c>
      <c r="C15" t="s">
        <v>148</v>
      </c>
      <c r="D15" t="s">
        <v>215</v>
      </c>
      <c r="E15">
        <v>220803</v>
      </c>
      <c r="F15" t="s">
        <v>216</v>
      </c>
      <c r="G15" t="s">
        <v>197</v>
      </c>
      <c r="H15" t="s">
        <v>217</v>
      </c>
      <c r="I15">
        <v>16</v>
      </c>
      <c r="K15" t="s">
        <v>218</v>
      </c>
      <c r="L15">
        <v>5070</v>
      </c>
      <c r="M15">
        <v>128</v>
      </c>
      <c r="N15">
        <v>128</v>
      </c>
      <c r="O15">
        <v>45856</v>
      </c>
      <c r="P15">
        <v>45876</v>
      </c>
      <c r="Q15" t="s">
        <v>154</v>
      </c>
      <c r="R15" t="s">
        <v>201</v>
      </c>
      <c r="V15">
        <v>1180</v>
      </c>
      <c r="W15">
        <v>926</v>
      </c>
      <c r="AN15" t="s">
        <v>202</v>
      </c>
      <c r="AO15">
        <v>20</v>
      </c>
      <c r="AP15">
        <v>12</v>
      </c>
      <c r="AQ15" t="s">
        <v>156</v>
      </c>
      <c r="AR15">
        <v>199685</v>
      </c>
      <c r="AS15" t="s">
        <v>203</v>
      </c>
      <c r="AT15">
        <v>171480</v>
      </c>
      <c r="AU15" t="s">
        <v>204</v>
      </c>
      <c r="AV15" t="s">
        <v>205</v>
      </c>
      <c r="AW15" t="b">
        <v>1</v>
      </c>
      <c r="AX15" t="s">
        <v>219</v>
      </c>
      <c r="AY15">
        <v>115</v>
      </c>
      <c r="BA15" t="s">
        <v>169</v>
      </c>
      <c r="BB15" t="s">
        <v>170</v>
      </c>
      <c r="BC15" t="s">
        <v>169</v>
      </c>
      <c r="BD15" t="s">
        <v>169</v>
      </c>
      <c r="BJ15" t="s">
        <v>4432</v>
      </c>
      <c r="BM15" t="str">
        <f>IF(COUNTIFS('在庫使用計画 (ノート全体試算)'!C:C,マスタ_EOLリスト[[#This Row],[製品型番]])=0,"記載なし","")</f>
        <v/>
      </c>
      <c r="BN15" t="str">
        <f>IF(COUNTIFS('在庫使用計画 (一般)'!C:C,マスタ_EOLリスト[[#This Row],[製品型番]])=0,"記載なし","")</f>
        <v/>
      </c>
      <c r="BO15" t="str">
        <f>IF(COUNTIFS('在庫使用計画 (法人)'!C:C,マスタ_EOLリスト[[#This Row],[製品型番]])=0,"記載なし","")</f>
        <v/>
      </c>
      <c r="BP15" t="str">
        <f>IF(COUNTIFS('在庫使用計画 (全体実績+予測）0701'!C:C,マスタ_EOLリスト[[#This Row],[製品型番]])=0,"記載なし","")</f>
        <v/>
      </c>
      <c r="BQ15" t="str">
        <f ca="1">IF(COUNTIFS('在庫使用計画 (計画　予測)'!C:C,マスタ_EOLリスト[[#This Row],[製品型番]])=0,"記載なし","")</f>
        <v/>
      </c>
      <c r="BR15" t="str">
        <f>IF(COUNTIFS(在庫確認!B:B,マスタ_EOLリスト[[#This Row],[製品型番]])=0,"記載なし","")</f>
        <v/>
      </c>
      <c r="BS15" t="e">
        <f>COUNTIF(#REF!,マスタ_EOLリスト[[#This Row],[製品型番]])</f>
        <v>#REF!</v>
      </c>
    </row>
    <row r="16" spans="1:71">
      <c r="A16" t="str">
        <v>ZL7C-R57-6A</v>
      </c>
      <c r="B16" t="s">
        <v>147</v>
      </c>
      <c r="C16" t="s">
        <v>148</v>
      </c>
      <c r="D16" t="s">
        <v>215</v>
      </c>
      <c r="E16">
        <v>366295</v>
      </c>
      <c r="F16" t="s">
        <v>221</v>
      </c>
      <c r="G16" t="s">
        <v>197</v>
      </c>
      <c r="H16" t="s">
        <v>217</v>
      </c>
      <c r="I16">
        <v>16</v>
      </c>
      <c r="K16" t="s">
        <v>218</v>
      </c>
      <c r="L16">
        <v>5070</v>
      </c>
      <c r="M16">
        <v>0</v>
      </c>
      <c r="N16">
        <v>140</v>
      </c>
      <c r="O16">
        <v>45856</v>
      </c>
      <c r="P16">
        <v>45876</v>
      </c>
      <c r="Q16" t="s">
        <v>154</v>
      </c>
      <c r="R16" t="s">
        <v>201</v>
      </c>
      <c r="V16">
        <v>1180</v>
      </c>
      <c r="W16">
        <v>0</v>
      </c>
      <c r="AN16" t="s">
        <v>202</v>
      </c>
      <c r="AO16">
        <v>20</v>
      </c>
      <c r="AP16">
        <v>12</v>
      </c>
      <c r="AQ16" t="s">
        <v>156</v>
      </c>
      <c r="AR16">
        <v>199685</v>
      </c>
      <c r="AS16" t="s">
        <v>203</v>
      </c>
      <c r="AT16">
        <v>171480</v>
      </c>
      <c r="AU16" t="s">
        <v>204</v>
      </c>
      <c r="AV16" t="s">
        <v>205</v>
      </c>
      <c r="AW16" t="b">
        <v>1</v>
      </c>
      <c r="AX16" t="s">
        <v>144</v>
      </c>
      <c r="AY16">
        <v>115</v>
      </c>
      <c r="BA16" t="s">
        <v>169</v>
      </c>
      <c r="BB16" t="s">
        <v>170</v>
      </c>
      <c r="BC16" t="s">
        <v>169</v>
      </c>
      <c r="BD16" t="s">
        <v>169</v>
      </c>
      <c r="BJ16" t="s">
        <v>4432</v>
      </c>
      <c r="BM16" t="str">
        <f>IF(COUNTIFS('在庫使用計画 (ノート全体試算)'!C:C,マスタ_EOLリスト[[#This Row],[製品型番]])=0,"記載なし","")</f>
        <v/>
      </c>
      <c r="BN16" t="str">
        <f>IF(COUNTIFS('在庫使用計画 (一般)'!C:C,マスタ_EOLリスト[[#This Row],[製品型番]])=0,"記載なし","")</f>
        <v/>
      </c>
      <c r="BO16" t="str">
        <f>IF(COUNTIFS('在庫使用計画 (法人)'!C:C,マスタ_EOLリスト[[#This Row],[製品型番]])=0,"記載なし","")</f>
        <v/>
      </c>
      <c r="BP16" t="str">
        <f>IF(COUNTIFS('在庫使用計画 (全体実績+予測）0701'!C:C,マスタ_EOLリスト[[#This Row],[製品型番]])=0,"記載なし","")</f>
        <v/>
      </c>
      <c r="BQ16" t="str">
        <f ca="1">IF(COUNTIFS('在庫使用計画 (計画　予測)'!C:C,マスタ_EOLリスト[[#This Row],[製品型番]])=0,"記載なし","")</f>
        <v/>
      </c>
      <c r="BR16" t="str">
        <f>IF(COUNTIFS(在庫確認!B:B,マスタ_EOLリスト[[#This Row],[製品型番]])=0,"記載なし","")</f>
        <v/>
      </c>
      <c r="BS16" t="e">
        <f>COUNTIF(#REF!,マスタ_EOLリスト[[#This Row],[製品型番]])</f>
        <v>#REF!</v>
      </c>
    </row>
    <row r="17" spans="1:71">
      <c r="A17" t="str">
        <v>ZL9C-R47-6B</v>
      </c>
      <c r="B17" t="s">
        <v>142</v>
      </c>
      <c r="C17" t="s">
        <v>148</v>
      </c>
      <c r="D17" t="s">
        <v>27</v>
      </c>
      <c r="E17">
        <v>196068</v>
      </c>
      <c r="F17" t="s">
        <v>222</v>
      </c>
      <c r="G17" t="s">
        <v>162</v>
      </c>
      <c r="H17" t="s">
        <v>26</v>
      </c>
      <c r="K17" t="s">
        <v>164</v>
      </c>
      <c r="L17">
        <v>4070</v>
      </c>
      <c r="M17">
        <v>0</v>
      </c>
      <c r="N17">
        <v>0</v>
      </c>
      <c r="O17">
        <v>45423</v>
      </c>
      <c r="P17">
        <v>45449</v>
      </c>
      <c r="U17" t="s">
        <v>166</v>
      </c>
      <c r="V17">
        <v>500</v>
      </c>
      <c r="W17">
        <v>400</v>
      </c>
      <c r="Z17">
        <v>199019</v>
      </c>
      <c r="AK17">
        <v>199325</v>
      </c>
      <c r="AL17">
        <v>45525</v>
      </c>
      <c r="AM17">
        <v>70</v>
      </c>
      <c r="AN17" t="s">
        <v>202</v>
      </c>
      <c r="AW17" t="s">
        <v>21</v>
      </c>
      <c r="AX17" t="s">
        <v>144</v>
      </c>
      <c r="BA17" t="s">
        <v>223</v>
      </c>
      <c r="BB17" t="s">
        <v>170</v>
      </c>
      <c r="BC17" t="s">
        <v>223</v>
      </c>
      <c r="BD17" t="s">
        <v>224</v>
      </c>
      <c r="BM17" t="str">
        <f>IF(COUNTIFS('在庫使用計画 (ノート全体試算)'!C:C,マスタ_EOLリスト[[#This Row],[製品型番]])=0,"記載なし","")</f>
        <v/>
      </c>
      <c r="BN17" t="str">
        <f>IF(COUNTIFS('在庫使用計画 (一般)'!C:C,マスタ_EOLリスト[[#This Row],[製品型番]])=0,"記載なし","")</f>
        <v/>
      </c>
      <c r="BO17" t="str">
        <f>IF(COUNTIFS('在庫使用計画 (法人)'!C:C,マスタ_EOLリスト[[#This Row],[製品型番]])=0,"記載なし","")</f>
        <v/>
      </c>
      <c r="BP17" t="str">
        <f>IF(COUNTIFS('在庫使用計画 (全体実績+予測）0701'!C:C,マスタ_EOLリスト[[#This Row],[製品型番]])=0,"記載なし","")</f>
        <v/>
      </c>
      <c r="BQ17" t="str">
        <f ca="1">IF(COUNTIFS('在庫使用計画 (計画　予測)'!C:C,マスタ_EOLリスト[[#This Row],[製品型番]])=0,"記載なし","")</f>
        <v>記載なし</v>
      </c>
      <c r="BR17" t="str">
        <f>IF(COUNTIFS(在庫確認!B:B,マスタ_EOLリスト[[#This Row],[製品型番]])=0,"記載なし","")</f>
        <v/>
      </c>
      <c r="BS17" t="e">
        <f>COUNTIF(#REF!,マスタ_EOLリスト[[#This Row],[製品型番]])</f>
        <v>#REF!</v>
      </c>
    </row>
    <row r="18" spans="1:71">
      <c r="A18" t="str">
        <v>ZL9C-R47-6B</v>
      </c>
      <c r="B18" t="s">
        <v>142</v>
      </c>
      <c r="C18" t="s">
        <v>148</v>
      </c>
      <c r="D18" t="s">
        <v>27</v>
      </c>
      <c r="E18">
        <v>199019</v>
      </c>
      <c r="F18" t="s">
        <v>225</v>
      </c>
      <c r="G18" t="s">
        <v>162</v>
      </c>
      <c r="H18" t="s">
        <v>26</v>
      </c>
      <c r="K18" t="s">
        <v>164</v>
      </c>
      <c r="L18">
        <v>4070</v>
      </c>
      <c r="M18">
        <v>0</v>
      </c>
      <c r="N18">
        <v>0</v>
      </c>
      <c r="Q18" t="s">
        <v>172</v>
      </c>
      <c r="R18" t="s">
        <v>173</v>
      </c>
      <c r="W18">
        <v>890</v>
      </c>
      <c r="Z18" t="s">
        <v>226</v>
      </c>
      <c r="AB18">
        <v>212476</v>
      </c>
      <c r="AK18">
        <v>207654</v>
      </c>
      <c r="AL18">
        <v>45483</v>
      </c>
      <c r="AM18">
        <v>125</v>
      </c>
      <c r="AN18" t="s">
        <v>202</v>
      </c>
      <c r="AW18" t="s">
        <v>21</v>
      </c>
      <c r="AX18" t="s">
        <v>144</v>
      </c>
      <c r="BA18" t="s">
        <v>227</v>
      </c>
      <c r="BB18" t="s">
        <v>228</v>
      </c>
      <c r="BC18" t="s">
        <v>228</v>
      </c>
      <c r="BD18" t="s">
        <v>228</v>
      </c>
      <c r="BM18" t="str">
        <f>IF(COUNTIFS('在庫使用計画 (ノート全体試算)'!C:C,マスタ_EOLリスト[[#This Row],[製品型番]])=0,"記載なし","")</f>
        <v/>
      </c>
      <c r="BN18" t="str">
        <f>IF(COUNTIFS('在庫使用計画 (一般)'!C:C,マスタ_EOLリスト[[#This Row],[製品型番]])=0,"記載なし","")</f>
        <v/>
      </c>
      <c r="BO18" t="str">
        <f>IF(COUNTIFS('在庫使用計画 (法人)'!C:C,マスタ_EOLリスト[[#This Row],[製品型番]])=0,"記載なし","")</f>
        <v/>
      </c>
      <c r="BP18" t="str">
        <f>IF(COUNTIFS('在庫使用計画 (全体実績+予測）0701'!C:C,マスタ_EOLリスト[[#This Row],[製品型番]])=0,"記載なし","")</f>
        <v/>
      </c>
      <c r="BQ18" t="str">
        <f ca="1">IF(COUNTIFS('在庫使用計画 (計画　予測)'!C:C,マスタ_EOLリスト[[#This Row],[製品型番]])=0,"記載なし","")</f>
        <v>記載なし</v>
      </c>
      <c r="BR18" t="str">
        <f>IF(COUNTIFS(在庫確認!B:B,マスタ_EOLリスト[[#This Row],[製品型番]])=0,"記載なし","")</f>
        <v/>
      </c>
      <c r="BS18" t="e">
        <f>COUNTIF(#REF!,マスタ_EOLリスト[[#This Row],[製品型番]])</f>
        <v>#REF!</v>
      </c>
    </row>
    <row r="19" spans="1:71">
      <c r="A19" t="str">
        <v>ZL9C-R46-6</v>
      </c>
      <c r="B19" t="s">
        <v>142</v>
      </c>
      <c r="C19" t="s">
        <v>148</v>
      </c>
      <c r="D19" t="s">
        <v>32</v>
      </c>
      <c r="E19">
        <v>196066</v>
      </c>
      <c r="F19" t="s">
        <v>229</v>
      </c>
      <c r="G19" t="s">
        <v>162</v>
      </c>
      <c r="H19" t="s">
        <v>31</v>
      </c>
      <c r="K19" t="s">
        <v>164</v>
      </c>
      <c r="L19">
        <v>4060</v>
      </c>
      <c r="M19">
        <v>0</v>
      </c>
      <c r="N19">
        <v>0</v>
      </c>
      <c r="P19">
        <v>45449</v>
      </c>
      <c r="U19" t="s">
        <v>230</v>
      </c>
      <c r="V19">
        <v>500</v>
      </c>
      <c r="W19">
        <v>380</v>
      </c>
      <c r="Z19">
        <v>199020</v>
      </c>
      <c r="AC19" t="s">
        <v>27</v>
      </c>
      <c r="AL19">
        <v>45481</v>
      </c>
      <c r="AM19">
        <v>10</v>
      </c>
      <c r="AW19" t="s">
        <v>21</v>
      </c>
      <c r="AX19" t="s">
        <v>144</v>
      </c>
      <c r="BA19" t="s">
        <v>231</v>
      </c>
      <c r="BB19" t="s">
        <v>232</v>
      </c>
      <c r="BC19" t="s">
        <v>232</v>
      </c>
      <c r="BD19" t="s">
        <v>232</v>
      </c>
      <c r="BM19" t="str">
        <f>IF(COUNTIFS('在庫使用計画 (ノート全体試算)'!C:C,マスタ_EOLリスト[[#This Row],[製品型番]])=0,"記載なし","")</f>
        <v/>
      </c>
      <c r="BN19" t="str">
        <f>IF(COUNTIFS('在庫使用計画 (一般)'!C:C,マスタ_EOLリスト[[#This Row],[製品型番]])=0,"記載なし","")</f>
        <v/>
      </c>
      <c r="BO19" t="str">
        <f>IF(COUNTIFS('在庫使用計画 (法人)'!C:C,マスタ_EOLリスト[[#This Row],[製品型番]])=0,"記載なし","")</f>
        <v/>
      </c>
      <c r="BP19" t="str">
        <f>IF(COUNTIFS('在庫使用計画 (全体実績+予測）0701'!C:C,マスタ_EOLリスト[[#This Row],[製品型番]])=0,"記載なし","")</f>
        <v/>
      </c>
      <c r="BQ19" t="str">
        <f ca="1">IF(COUNTIFS('在庫使用計画 (計画　予測)'!C:C,マスタ_EOLリスト[[#This Row],[製品型番]])=0,"記載なし","")</f>
        <v>記載なし</v>
      </c>
      <c r="BR19" t="str">
        <f>IF(COUNTIFS(在庫確認!B:B,マスタ_EOLリスト[[#This Row],[製品型番]])=0,"記載なし","")</f>
        <v/>
      </c>
      <c r="BS19" t="e">
        <f>COUNTIF(#REF!,マスタ_EOLリスト[[#This Row],[製品型番]])</f>
        <v>#REF!</v>
      </c>
    </row>
    <row r="20" spans="1:71">
      <c r="A20" t="str">
        <v>ZL9C-R46-6</v>
      </c>
      <c r="B20" t="s">
        <v>142</v>
      </c>
      <c r="C20" t="s">
        <v>148</v>
      </c>
      <c r="D20" t="s">
        <v>32</v>
      </c>
      <c r="E20">
        <v>199020</v>
      </c>
      <c r="F20" t="s">
        <v>233</v>
      </c>
      <c r="G20" t="s">
        <v>162</v>
      </c>
      <c r="H20" t="s">
        <v>31</v>
      </c>
      <c r="K20" t="s">
        <v>164</v>
      </c>
      <c r="L20">
        <v>4060</v>
      </c>
      <c r="M20">
        <v>0</v>
      </c>
      <c r="N20">
        <v>0</v>
      </c>
      <c r="R20" t="s">
        <v>173</v>
      </c>
      <c r="W20">
        <v>0</v>
      </c>
      <c r="Z20" t="s">
        <v>234</v>
      </c>
      <c r="AL20">
        <v>45483</v>
      </c>
      <c r="AM20">
        <v>125</v>
      </c>
      <c r="AW20" t="s">
        <v>21</v>
      </c>
      <c r="AX20" t="s">
        <v>144</v>
      </c>
      <c r="BA20" t="s">
        <v>231</v>
      </c>
      <c r="BB20" t="s">
        <v>232</v>
      </c>
      <c r="BC20" t="s">
        <v>232</v>
      </c>
      <c r="BD20" t="s">
        <v>232</v>
      </c>
      <c r="BM20" t="str">
        <f>IF(COUNTIFS('在庫使用計画 (ノート全体試算)'!C:C,マスタ_EOLリスト[[#This Row],[製品型番]])=0,"記載なし","")</f>
        <v/>
      </c>
      <c r="BN20" t="str">
        <f>IF(COUNTIFS('在庫使用計画 (一般)'!C:C,マスタ_EOLリスト[[#This Row],[製品型番]])=0,"記載なし","")</f>
        <v/>
      </c>
      <c r="BO20" t="str">
        <f>IF(COUNTIFS('在庫使用計画 (法人)'!C:C,マスタ_EOLリスト[[#This Row],[製品型番]])=0,"記載なし","")</f>
        <v/>
      </c>
      <c r="BP20" t="str">
        <f>IF(COUNTIFS('在庫使用計画 (全体実績+予測）0701'!C:C,マスタ_EOLリスト[[#This Row],[製品型番]])=0,"記載なし","")</f>
        <v/>
      </c>
      <c r="BQ20" t="str">
        <f ca="1">IF(COUNTIFS('在庫使用計画 (計画　予測)'!C:C,マスタ_EOLリスト[[#This Row],[製品型番]])=0,"記載なし","")</f>
        <v>記載なし</v>
      </c>
      <c r="BR20" t="str">
        <f>IF(COUNTIFS(在庫確認!B:B,マスタ_EOLリスト[[#This Row],[製品型番]])=0,"記載なし","")</f>
        <v/>
      </c>
      <c r="BS20" t="e">
        <f>COUNTIF(#REF!,マスタ_EOLリスト[[#This Row],[製品型番]])</f>
        <v>#REF!</v>
      </c>
    </row>
    <row r="21" spans="1:71">
      <c r="A21" t="str">
        <v>ZL7C-R47</v>
      </c>
      <c r="B21" t="s">
        <v>142</v>
      </c>
      <c r="C21" t="s">
        <v>148</v>
      </c>
      <c r="D21" t="s">
        <v>235</v>
      </c>
      <c r="E21">
        <v>184057</v>
      </c>
      <c r="F21" t="s">
        <v>236</v>
      </c>
      <c r="G21" t="s">
        <v>237</v>
      </c>
      <c r="H21" t="s">
        <v>238</v>
      </c>
      <c r="K21" t="s">
        <v>239</v>
      </c>
      <c r="L21">
        <v>4070</v>
      </c>
      <c r="M21">
        <v>0</v>
      </c>
      <c r="N21">
        <v>0</v>
      </c>
      <c r="P21">
        <v>45197</v>
      </c>
      <c r="Q21" t="s">
        <v>240</v>
      </c>
      <c r="R21" t="s">
        <v>179</v>
      </c>
      <c r="V21">
        <v>1200</v>
      </c>
      <c r="W21">
        <v>1250</v>
      </c>
      <c r="Z21">
        <v>196068</v>
      </c>
      <c r="AC21" t="s">
        <v>241</v>
      </c>
      <c r="AH21" t="s">
        <v>242</v>
      </c>
      <c r="AI21" t="s">
        <v>243</v>
      </c>
      <c r="AJ21" t="s">
        <v>222</v>
      </c>
      <c r="AL21">
        <v>45413</v>
      </c>
      <c r="AM21">
        <v>40</v>
      </c>
      <c r="AW21" t="s">
        <v>21</v>
      </c>
      <c r="AX21" t="s">
        <v>144</v>
      </c>
      <c r="BA21" t="s">
        <v>169</v>
      </c>
      <c r="BB21" t="s">
        <v>170</v>
      </c>
      <c r="BC21" t="s">
        <v>169</v>
      </c>
      <c r="BD21" t="s">
        <v>169</v>
      </c>
      <c r="BM21" t="str">
        <f>IF(COUNTIFS('在庫使用計画 (ノート全体試算)'!C:C,マスタ_EOLリスト[[#This Row],[製品型番]])=0,"記載なし","")</f>
        <v/>
      </c>
      <c r="BN21" t="str">
        <f>IF(COUNTIFS('在庫使用計画 (一般)'!C:C,マスタ_EOLリスト[[#This Row],[製品型番]])=0,"記載なし","")</f>
        <v>記載なし</v>
      </c>
      <c r="BO21" t="str">
        <f>IF(COUNTIFS('在庫使用計画 (法人)'!C:C,マスタ_EOLリスト[[#This Row],[製品型番]])=0,"記載なし","")</f>
        <v/>
      </c>
      <c r="BP21" t="str">
        <f>IF(COUNTIFS('在庫使用計画 (全体実績+予測）0701'!C:C,マスタ_EOLリスト[[#This Row],[製品型番]])=0,"記載なし","")</f>
        <v/>
      </c>
      <c r="BQ21" t="str">
        <f ca="1">IF(COUNTIFS('在庫使用計画 (計画　予測)'!C:C,マスタ_EOLリスト[[#This Row],[製品型番]])=0,"記載なし","")</f>
        <v>記載なし</v>
      </c>
      <c r="BR21" t="str">
        <f>IF(COUNTIFS(在庫確認!B:B,マスタ_EOLリスト[[#This Row],[製品型番]])=0,"記載なし","")</f>
        <v/>
      </c>
      <c r="BS21" t="e">
        <f>COUNTIF(#REF!,マスタ_EOLリスト[[#This Row],[製品型番]])</f>
        <v>#REF!</v>
      </c>
    </row>
    <row r="22" spans="1:71">
      <c r="A22" t="str">
        <v>XL7R-R56-6A</v>
      </c>
      <c r="B22" t="s">
        <v>142</v>
      </c>
      <c r="C22" t="s">
        <v>148</v>
      </c>
      <c r="D22" t="s">
        <v>244</v>
      </c>
      <c r="E22">
        <v>212469</v>
      </c>
      <c r="F22" t="s">
        <v>245</v>
      </c>
      <c r="G22" t="s">
        <v>246</v>
      </c>
      <c r="H22" t="s">
        <v>247</v>
      </c>
      <c r="I22">
        <v>16</v>
      </c>
      <c r="J22" t="s">
        <v>248</v>
      </c>
      <c r="K22" t="s">
        <v>249</v>
      </c>
      <c r="L22">
        <v>5060</v>
      </c>
      <c r="M22">
        <v>0</v>
      </c>
      <c r="N22">
        <v>0</v>
      </c>
      <c r="O22" t="s">
        <v>250</v>
      </c>
      <c r="P22">
        <v>45793</v>
      </c>
      <c r="Q22" t="s">
        <v>154</v>
      </c>
      <c r="V22">
        <v>1050</v>
      </c>
      <c r="W22">
        <v>506</v>
      </c>
      <c r="Z22">
        <v>251110</v>
      </c>
      <c r="AN22" t="s">
        <v>251</v>
      </c>
      <c r="AO22">
        <v>20</v>
      </c>
      <c r="AP22">
        <v>9</v>
      </c>
      <c r="AQ22" t="s">
        <v>156</v>
      </c>
      <c r="AR22">
        <v>188009</v>
      </c>
      <c r="AS22" t="s">
        <v>203</v>
      </c>
      <c r="AT22">
        <v>188010</v>
      </c>
      <c r="AU22" t="s">
        <v>252</v>
      </c>
      <c r="AW22" t="s">
        <v>21</v>
      </c>
      <c r="AX22" t="s">
        <v>144</v>
      </c>
      <c r="AY22">
        <v>115</v>
      </c>
      <c r="BA22" t="s">
        <v>160</v>
      </c>
      <c r="BB22" t="s">
        <v>160</v>
      </c>
      <c r="BC22" t="s">
        <v>160</v>
      </c>
      <c r="BD22" t="s">
        <v>160</v>
      </c>
      <c r="BJ22" t="s">
        <v>253</v>
      </c>
      <c r="BM22" t="str">
        <f>IF(COUNTIFS('在庫使用計画 (ノート全体試算)'!C:C,マスタ_EOLリスト[[#This Row],[製品型番]])=0,"記載なし","")</f>
        <v/>
      </c>
      <c r="BN22" t="str">
        <f>IF(COUNTIFS('在庫使用計画 (一般)'!C:C,マスタ_EOLリスト[[#This Row],[製品型番]])=0,"記載なし","")</f>
        <v/>
      </c>
      <c r="BO22" t="str">
        <f>IF(COUNTIFS('在庫使用計画 (法人)'!C:C,マスタ_EOLリスト[[#This Row],[製品型番]])=0,"記載なし","")</f>
        <v/>
      </c>
      <c r="BP22" t="str">
        <f>IF(COUNTIFS('在庫使用計画 (全体実績+予測）0701'!C:C,マスタ_EOLリスト[[#This Row],[製品型番]])=0,"記載なし","")</f>
        <v/>
      </c>
      <c r="BQ22" t="str">
        <f ca="1">IF(COUNTIFS('在庫使用計画 (計画　予測)'!C:C,マスタ_EOLリスト[[#This Row],[製品型番]])=0,"記載なし","")</f>
        <v/>
      </c>
      <c r="BR22" t="str">
        <f>IF(COUNTIFS(在庫確認!B:B,マスタ_EOLリスト[[#This Row],[製品型番]])=0,"記載なし","")</f>
        <v/>
      </c>
      <c r="BS22" t="e">
        <f>COUNTIF(#REF!,マスタ_EOLリスト[[#This Row],[製品型番]])</f>
        <v>#REF!</v>
      </c>
    </row>
    <row r="23" spans="1:71">
      <c r="A23" t="str">
        <v>XL7R-R56-6A</v>
      </c>
      <c r="B23" t="s">
        <v>142</v>
      </c>
      <c r="C23" t="s">
        <v>148</v>
      </c>
      <c r="D23" t="s">
        <v>244</v>
      </c>
      <c r="E23">
        <v>251110</v>
      </c>
      <c r="F23" t="s">
        <v>254</v>
      </c>
      <c r="G23" t="s">
        <v>246</v>
      </c>
      <c r="H23" t="s">
        <v>247</v>
      </c>
      <c r="I23">
        <v>16</v>
      </c>
      <c r="J23" t="s">
        <v>248</v>
      </c>
      <c r="K23" t="s">
        <v>249</v>
      </c>
      <c r="L23">
        <v>5060</v>
      </c>
      <c r="M23">
        <v>0</v>
      </c>
      <c r="N23">
        <v>0</v>
      </c>
      <c r="P23">
        <v>45793</v>
      </c>
      <c r="Q23" t="s">
        <v>154</v>
      </c>
      <c r="R23" t="s">
        <v>255</v>
      </c>
      <c r="W23">
        <v>384</v>
      </c>
      <c r="AB23">
        <v>295634</v>
      </c>
      <c r="AN23" t="s">
        <v>251</v>
      </c>
      <c r="AO23">
        <v>20</v>
      </c>
      <c r="AP23">
        <v>9</v>
      </c>
      <c r="AQ23" t="s">
        <v>156</v>
      </c>
      <c r="AR23">
        <v>188009</v>
      </c>
      <c r="AS23" t="s">
        <v>203</v>
      </c>
      <c r="AT23">
        <v>188010</v>
      </c>
      <c r="AU23" t="s">
        <v>252</v>
      </c>
      <c r="AW23" t="s">
        <v>21</v>
      </c>
      <c r="AX23" t="s">
        <v>144</v>
      </c>
      <c r="AY23">
        <v>115</v>
      </c>
      <c r="BA23" t="s">
        <v>169</v>
      </c>
      <c r="BB23" t="s">
        <v>170</v>
      </c>
      <c r="BC23" t="s">
        <v>169</v>
      </c>
      <c r="BD23" t="s">
        <v>169</v>
      </c>
      <c r="BJ23" t="s">
        <v>220</v>
      </c>
      <c r="BM23" t="str">
        <f>IF(COUNTIFS('在庫使用計画 (ノート全体試算)'!C:C,マスタ_EOLリスト[[#This Row],[製品型番]])=0,"記載なし","")</f>
        <v/>
      </c>
      <c r="BN23" t="str">
        <f>IF(COUNTIFS('在庫使用計画 (一般)'!C:C,マスタ_EOLリスト[[#This Row],[製品型番]])=0,"記載なし","")</f>
        <v/>
      </c>
      <c r="BO23" t="str">
        <f>IF(COUNTIFS('在庫使用計画 (法人)'!C:C,マスタ_EOLリスト[[#This Row],[製品型番]])=0,"記載なし","")</f>
        <v/>
      </c>
      <c r="BP23" t="str">
        <f>IF(COUNTIFS('在庫使用計画 (全体実績+予測）0701'!C:C,マスタ_EOLリスト[[#This Row],[製品型番]])=0,"記載なし","")</f>
        <v/>
      </c>
      <c r="BQ23" t="str">
        <f ca="1">IF(COUNTIFS('在庫使用計画 (計画　予測)'!C:C,マスタ_EOLリスト[[#This Row],[製品型番]])=0,"記載なし","")</f>
        <v/>
      </c>
      <c r="BR23" t="str">
        <f>IF(COUNTIFS(在庫確認!B:B,マスタ_EOLリスト[[#This Row],[製品型番]])=0,"記載なし","")</f>
        <v/>
      </c>
      <c r="BS23" t="e">
        <f>COUNTIF(#REF!,マスタ_EOLリスト[[#This Row],[製品型番]])</f>
        <v>#REF!</v>
      </c>
    </row>
    <row r="24" spans="1:71">
      <c r="A24" t="str">
        <v>XL7C-R56-6A</v>
      </c>
      <c r="B24" t="s">
        <v>335</v>
      </c>
      <c r="C24" t="s">
        <v>148</v>
      </c>
      <c r="D24" t="s">
        <v>256</v>
      </c>
      <c r="E24">
        <v>214073</v>
      </c>
      <c r="F24" t="s">
        <v>257</v>
      </c>
      <c r="G24" t="s">
        <v>258</v>
      </c>
      <c r="H24" t="s">
        <v>259</v>
      </c>
      <c r="I24">
        <v>16</v>
      </c>
      <c r="K24" t="s">
        <v>218</v>
      </c>
      <c r="L24">
        <v>5060</v>
      </c>
      <c r="M24">
        <v>5</v>
      </c>
      <c r="N24">
        <v>5</v>
      </c>
      <c r="P24">
        <v>45925</v>
      </c>
      <c r="Q24" t="s">
        <v>260</v>
      </c>
      <c r="V24">
        <v>1950</v>
      </c>
      <c r="W24">
        <v>786</v>
      </c>
      <c r="AN24" t="s">
        <v>202</v>
      </c>
      <c r="AO24">
        <v>20</v>
      </c>
      <c r="AP24">
        <v>12</v>
      </c>
      <c r="AQ24" t="s">
        <v>156</v>
      </c>
      <c r="AR24">
        <v>199685</v>
      </c>
      <c r="AS24" t="s">
        <v>203</v>
      </c>
      <c r="AT24">
        <v>171480</v>
      </c>
      <c r="AW24" t="b">
        <v>1</v>
      </c>
      <c r="AX24" t="s">
        <v>2610</v>
      </c>
      <c r="AY24">
        <v>115</v>
      </c>
      <c r="BA24" t="s">
        <v>227</v>
      </c>
      <c r="BB24" t="s">
        <v>227</v>
      </c>
      <c r="BC24" t="s">
        <v>227</v>
      </c>
      <c r="BD24" t="s">
        <v>227</v>
      </c>
      <c r="BJ24" t="s">
        <v>253</v>
      </c>
      <c r="BM24" t="str">
        <f>IF(COUNTIFS('在庫使用計画 (ノート全体試算)'!C:C,マスタ_EOLリスト[[#This Row],[製品型番]])=0,"記載なし","")</f>
        <v/>
      </c>
      <c r="BN24" t="str">
        <f>IF(COUNTIFS('在庫使用計画 (一般)'!C:C,マスタ_EOLリスト[[#This Row],[製品型番]])=0,"記載なし","")</f>
        <v/>
      </c>
      <c r="BO24" t="str">
        <f>IF(COUNTIFS('在庫使用計画 (法人)'!C:C,マスタ_EOLリスト[[#This Row],[製品型番]])=0,"記載なし","")</f>
        <v/>
      </c>
      <c r="BP24" t="str">
        <f>IF(COUNTIFS('在庫使用計画 (全体実績+予測）0701'!C:C,マスタ_EOLリスト[[#This Row],[製品型番]])=0,"記載なし","")</f>
        <v/>
      </c>
      <c r="BQ24" t="str">
        <f ca="1">IF(COUNTIFS('在庫使用計画 (計画　予測)'!C:C,マスタ_EOLリスト[[#This Row],[製品型番]])=0,"記載なし","")</f>
        <v/>
      </c>
      <c r="BR24" t="str">
        <f>IF(COUNTIFS(在庫確認!B:B,マスタ_EOLリスト[[#This Row],[製品型番]])=0,"記載なし","")</f>
        <v/>
      </c>
      <c r="BS24" t="e">
        <f>COUNTIF(#REF!,マスタ_EOLリスト[[#This Row],[製品型番]])</f>
        <v>#REF!</v>
      </c>
    </row>
    <row r="25" spans="1:71">
      <c r="A25" t="e">
        <v>#N/A</v>
      </c>
      <c r="B25" t="s">
        <v>142</v>
      </c>
      <c r="C25" t="s">
        <v>148</v>
      </c>
      <c r="D25" t="s">
        <v>261</v>
      </c>
      <c r="E25">
        <v>186236</v>
      </c>
      <c r="F25" t="s">
        <v>262</v>
      </c>
      <c r="G25" t="s">
        <v>263</v>
      </c>
      <c r="H25" t="s">
        <v>21</v>
      </c>
      <c r="M25">
        <v>0</v>
      </c>
      <c r="N25">
        <v>0</v>
      </c>
      <c r="Q25" t="s">
        <v>240</v>
      </c>
      <c r="R25" t="s">
        <v>179</v>
      </c>
      <c r="W25">
        <v>1248</v>
      </c>
      <c r="AC25" t="s">
        <v>264</v>
      </c>
      <c r="AI25" t="s">
        <v>265</v>
      </c>
      <c r="AL25">
        <v>45422</v>
      </c>
      <c r="AM25">
        <v>250</v>
      </c>
      <c r="AN25" t="s">
        <v>266</v>
      </c>
      <c r="AO25">
        <v>19</v>
      </c>
      <c r="AP25">
        <v>7.89</v>
      </c>
      <c r="AQ25" t="s">
        <v>156</v>
      </c>
      <c r="AW25" t="s">
        <v>21</v>
      </c>
      <c r="AX25" t="s">
        <v>144</v>
      </c>
      <c r="BM25" t="str">
        <f>IF(COUNTIFS('在庫使用計画 (ノート全体試算)'!C:C,マスタ_EOLリスト[[#This Row],[製品型番]])=0,"記載なし","")</f>
        <v>記載なし</v>
      </c>
      <c r="BN25" t="str">
        <f>IF(COUNTIFS('在庫使用計画 (一般)'!C:C,マスタ_EOLリスト[[#This Row],[製品型番]])=0,"記載なし","")</f>
        <v>記載なし</v>
      </c>
      <c r="BO25" t="str">
        <f>IF(COUNTIFS('在庫使用計画 (法人)'!C:C,マスタ_EOLリスト[[#This Row],[製品型番]])=0,"記載なし","")</f>
        <v>記載なし</v>
      </c>
      <c r="BP25" t="str">
        <f>IF(COUNTIFS('在庫使用計画 (全体実績+予測）0701'!C:C,マスタ_EOLリスト[[#This Row],[製品型番]])=0,"記載なし","")</f>
        <v>記載なし</v>
      </c>
      <c r="BQ25" t="str">
        <f ca="1">IF(COUNTIFS('在庫使用計画 (計画　予測)'!C:C,マスタ_EOLリスト[[#This Row],[製品型番]])=0,"記載なし","")</f>
        <v>記載なし</v>
      </c>
      <c r="BR25" t="str">
        <f>IF(COUNTIFS(在庫確認!B:B,マスタ_EOLリスト[[#This Row],[製品型番]])=0,"記載なし","")</f>
        <v>記載なし</v>
      </c>
      <c r="BS25" t="e">
        <f>COUNTIF(#REF!,マスタ_EOLリスト[[#This Row],[製品型番]])</f>
        <v>#REF!</v>
      </c>
    </row>
    <row r="26" spans="1:71">
      <c r="A26" t="str">
        <v>XL7C-R46-6</v>
      </c>
      <c r="B26" t="s">
        <v>142</v>
      </c>
      <c r="C26" t="s">
        <v>148</v>
      </c>
      <c r="D26" t="s">
        <v>34</v>
      </c>
      <c r="E26">
        <v>199408</v>
      </c>
      <c r="F26" t="s">
        <v>267</v>
      </c>
      <c r="G26" t="s">
        <v>246</v>
      </c>
      <c r="H26" t="s">
        <v>33</v>
      </c>
      <c r="K26" t="s">
        <v>268</v>
      </c>
      <c r="L26">
        <v>4060</v>
      </c>
      <c r="M26">
        <v>0</v>
      </c>
      <c r="N26">
        <v>0</v>
      </c>
      <c r="P26">
        <v>45526</v>
      </c>
      <c r="Q26" t="s">
        <v>269</v>
      </c>
      <c r="U26" t="s">
        <v>270</v>
      </c>
      <c r="V26">
        <v>5010</v>
      </c>
      <c r="W26">
        <v>2000</v>
      </c>
      <c r="Z26">
        <v>212347</v>
      </c>
      <c r="AB26" t="s">
        <v>271</v>
      </c>
      <c r="AC26" t="s">
        <v>272</v>
      </c>
      <c r="AL26">
        <v>45510</v>
      </c>
      <c r="AM26">
        <v>300</v>
      </c>
      <c r="AN26" t="s">
        <v>251</v>
      </c>
      <c r="AW26" t="s">
        <v>21</v>
      </c>
      <c r="AX26" t="s">
        <v>144</v>
      </c>
      <c r="BA26" t="s">
        <v>227</v>
      </c>
      <c r="BB26" t="s">
        <v>227</v>
      </c>
      <c r="BC26" t="s">
        <v>227</v>
      </c>
      <c r="BD26" t="s">
        <v>227</v>
      </c>
      <c r="BM26" t="str">
        <f>IF(COUNTIFS('在庫使用計画 (ノート全体試算)'!C:C,マスタ_EOLリスト[[#This Row],[製品型番]])=0,"記載なし","")</f>
        <v/>
      </c>
      <c r="BN26" t="str">
        <f>IF(COUNTIFS('在庫使用計画 (一般)'!C:C,マスタ_EOLリスト[[#This Row],[製品型番]])=0,"記載なし","")</f>
        <v/>
      </c>
      <c r="BO26" t="str">
        <f>IF(COUNTIFS('在庫使用計画 (法人)'!C:C,マスタ_EOLリスト[[#This Row],[製品型番]])=0,"記載なし","")</f>
        <v/>
      </c>
      <c r="BP26" t="str">
        <f>IF(COUNTIFS('在庫使用計画 (全体実績+予測）0701'!C:C,マスタ_EOLリスト[[#This Row],[製品型番]])=0,"記載なし","")</f>
        <v/>
      </c>
      <c r="BQ26" t="str">
        <f ca="1">IF(COUNTIFS('在庫使用計画 (計画　予測)'!C:C,マスタ_EOLリスト[[#This Row],[製品型番]])=0,"記載なし","")</f>
        <v>記載なし</v>
      </c>
      <c r="BR26" t="str">
        <f>IF(COUNTIFS(在庫確認!B:B,マスタ_EOLリスト[[#This Row],[製品型番]])=0,"記載なし","")</f>
        <v/>
      </c>
      <c r="BS26" t="e">
        <f>COUNTIF(#REF!,マスタ_EOLリスト[[#This Row],[製品型番]])</f>
        <v>#REF!</v>
      </c>
    </row>
    <row r="27" spans="1:71">
      <c r="A27" t="e">
        <v>#N/A</v>
      </c>
      <c r="B27" t="s">
        <v>142</v>
      </c>
      <c r="C27" t="s">
        <v>148</v>
      </c>
      <c r="D27" t="s">
        <v>273</v>
      </c>
      <c r="E27">
        <v>186232</v>
      </c>
      <c r="F27" t="s">
        <v>274</v>
      </c>
      <c r="G27" t="s">
        <v>275</v>
      </c>
      <c r="H27" t="s">
        <v>21</v>
      </c>
      <c r="M27">
        <v>0</v>
      </c>
      <c r="N27">
        <v>0</v>
      </c>
      <c r="P27" t="s">
        <v>276</v>
      </c>
      <c r="Q27" t="s">
        <v>240</v>
      </c>
      <c r="R27" t="s">
        <v>179</v>
      </c>
      <c r="W27">
        <v>3240</v>
      </c>
      <c r="Z27">
        <v>201898</v>
      </c>
      <c r="AC27" t="s">
        <v>264</v>
      </c>
      <c r="AI27" t="s">
        <v>277</v>
      </c>
      <c r="AJ27" t="s">
        <v>278</v>
      </c>
      <c r="AL27" t="s">
        <v>21</v>
      </c>
      <c r="AM27" t="s">
        <v>21</v>
      </c>
      <c r="AW27" t="s">
        <v>21</v>
      </c>
      <c r="AX27" t="s">
        <v>144</v>
      </c>
      <c r="BA27" t="s">
        <v>279</v>
      </c>
      <c r="BB27" t="s">
        <v>170</v>
      </c>
      <c r="BC27" t="s">
        <v>279</v>
      </c>
      <c r="BD27" t="s">
        <v>170</v>
      </c>
      <c r="BM27" t="str">
        <f>IF(COUNTIFS('在庫使用計画 (ノート全体試算)'!C:C,マスタ_EOLリスト[[#This Row],[製品型番]])=0,"記載なし","")</f>
        <v>記載なし</v>
      </c>
      <c r="BN27" t="str">
        <f>IF(COUNTIFS('在庫使用計画 (一般)'!C:C,マスタ_EOLリスト[[#This Row],[製品型番]])=0,"記載なし","")</f>
        <v>記載なし</v>
      </c>
      <c r="BO27" t="str">
        <f>IF(COUNTIFS('在庫使用計画 (法人)'!C:C,マスタ_EOLリスト[[#This Row],[製品型番]])=0,"記載なし","")</f>
        <v>記載なし</v>
      </c>
      <c r="BP27" t="str">
        <f>IF(COUNTIFS('在庫使用計画 (全体実績+予測）0701'!C:C,マスタ_EOLリスト[[#This Row],[製品型番]])=0,"記載なし","")</f>
        <v>記載なし</v>
      </c>
      <c r="BQ27" t="str">
        <f ca="1">IF(COUNTIFS('在庫使用計画 (計画　予測)'!C:C,マスタ_EOLリスト[[#This Row],[製品型番]])=0,"記載なし","")</f>
        <v>記載なし</v>
      </c>
      <c r="BR27" t="str">
        <f>IF(COUNTIFS(在庫確認!B:B,マスタ_EOLリスト[[#This Row],[製品型番]])=0,"記載なし","")</f>
        <v>記載なし</v>
      </c>
      <c r="BS27" t="e">
        <f>COUNTIF(#REF!,マスタ_EOLリスト[[#This Row],[製品型番]])</f>
        <v>#REF!</v>
      </c>
    </row>
    <row r="28" spans="1:71">
      <c r="A28" t="e">
        <v>#N/A</v>
      </c>
      <c r="B28" t="s">
        <v>142</v>
      </c>
      <c r="C28" t="s">
        <v>148</v>
      </c>
      <c r="D28" t="s">
        <v>280</v>
      </c>
      <c r="E28">
        <v>181640</v>
      </c>
      <c r="F28" t="s">
        <v>281</v>
      </c>
      <c r="G28" t="s">
        <v>263</v>
      </c>
      <c r="H28" t="s">
        <v>21</v>
      </c>
      <c r="M28">
        <v>0</v>
      </c>
      <c r="N28">
        <v>0</v>
      </c>
      <c r="P28">
        <v>45106</v>
      </c>
      <c r="R28" t="s">
        <v>179</v>
      </c>
      <c r="V28">
        <v>2000</v>
      </c>
      <c r="W28">
        <v>700</v>
      </c>
      <c r="X28">
        <v>71</v>
      </c>
      <c r="AC28" t="s">
        <v>282</v>
      </c>
      <c r="AL28" t="s">
        <v>21</v>
      </c>
      <c r="AM28" t="s">
        <v>21</v>
      </c>
      <c r="AN28" t="s">
        <v>266</v>
      </c>
      <c r="AO28">
        <v>19</v>
      </c>
      <c r="AP28">
        <v>7.89</v>
      </c>
      <c r="AQ28" t="s">
        <v>156</v>
      </c>
      <c r="AW28" t="s">
        <v>21</v>
      </c>
      <c r="AX28" t="s">
        <v>144</v>
      </c>
      <c r="BA28" t="s">
        <v>279</v>
      </c>
      <c r="BB28" t="s">
        <v>170</v>
      </c>
      <c r="BC28" t="s">
        <v>279</v>
      </c>
      <c r="BD28" t="s">
        <v>170</v>
      </c>
      <c r="BM28" t="str">
        <f>IF(COUNTIFS('在庫使用計画 (ノート全体試算)'!C:C,マスタ_EOLリスト[[#This Row],[製品型番]])=0,"記載なし","")</f>
        <v>記載なし</v>
      </c>
      <c r="BN28" t="str">
        <f>IF(COUNTIFS('在庫使用計画 (一般)'!C:C,マスタ_EOLリスト[[#This Row],[製品型番]])=0,"記載なし","")</f>
        <v>記載なし</v>
      </c>
      <c r="BO28" t="str">
        <f>IF(COUNTIFS('在庫使用計画 (法人)'!C:C,マスタ_EOLリスト[[#This Row],[製品型番]])=0,"記載なし","")</f>
        <v>記載なし</v>
      </c>
      <c r="BP28" t="str">
        <f>IF(COUNTIFS('在庫使用計画 (全体実績+予測）0701'!C:C,マスタ_EOLリスト[[#This Row],[製品型番]])=0,"記載なし","")</f>
        <v>記載なし</v>
      </c>
      <c r="BQ28" t="str">
        <f ca="1">IF(COUNTIFS('在庫使用計画 (計画　予測)'!C:C,マスタ_EOLリスト[[#This Row],[製品型番]])=0,"記載なし","")</f>
        <v>記載なし</v>
      </c>
      <c r="BR28" t="str">
        <f>IF(COUNTIFS(在庫確認!B:B,マスタ_EOLリスト[[#This Row],[製品型番]])=0,"記載なし","")</f>
        <v>記載なし</v>
      </c>
      <c r="BS28" t="e">
        <f>COUNTIF(#REF!,マスタ_EOLリスト[[#This Row],[製品型番]])</f>
        <v>#REF!</v>
      </c>
    </row>
    <row r="29" spans="1:71">
      <c r="A29" t="str">
        <v>XL7C-R45-6</v>
      </c>
      <c r="B29" t="s">
        <v>142</v>
      </c>
      <c r="C29" t="s">
        <v>148</v>
      </c>
      <c r="D29" t="s">
        <v>40</v>
      </c>
      <c r="E29">
        <v>199409</v>
      </c>
      <c r="F29" t="s">
        <v>283</v>
      </c>
      <c r="G29" t="s">
        <v>246</v>
      </c>
      <c r="H29" t="s">
        <v>39</v>
      </c>
      <c r="K29" t="s">
        <v>268</v>
      </c>
      <c r="L29">
        <v>4060</v>
      </c>
      <c r="M29">
        <v>0</v>
      </c>
      <c r="N29">
        <v>0</v>
      </c>
      <c r="P29">
        <v>45526</v>
      </c>
      <c r="Q29" t="s">
        <v>269</v>
      </c>
      <c r="U29" t="s">
        <v>284</v>
      </c>
      <c r="V29">
        <v>3350</v>
      </c>
      <c r="W29">
        <v>1500</v>
      </c>
      <c r="Z29">
        <v>216515</v>
      </c>
      <c r="AA29" t="s">
        <v>285</v>
      </c>
      <c r="AB29" t="s">
        <v>271</v>
      </c>
      <c r="AC29" t="s">
        <v>272</v>
      </c>
      <c r="AL29">
        <v>45530</v>
      </c>
      <c r="AM29">
        <v>240</v>
      </c>
      <c r="AN29" t="s">
        <v>251</v>
      </c>
      <c r="AW29" t="s">
        <v>21</v>
      </c>
      <c r="AX29" t="s">
        <v>144</v>
      </c>
      <c r="BA29" t="s">
        <v>160</v>
      </c>
      <c r="BB29" t="s">
        <v>160</v>
      </c>
      <c r="BC29" t="s">
        <v>160</v>
      </c>
      <c r="BD29" t="s">
        <v>160</v>
      </c>
      <c r="BM29" t="str">
        <f>IF(COUNTIFS('在庫使用計画 (ノート全体試算)'!C:C,マスタ_EOLリスト[[#This Row],[製品型番]])=0,"記載なし","")</f>
        <v/>
      </c>
      <c r="BN29" t="str">
        <f>IF(COUNTIFS('在庫使用計画 (一般)'!C:C,マスタ_EOLリスト[[#This Row],[製品型番]])=0,"記載なし","")</f>
        <v/>
      </c>
      <c r="BO29" t="str">
        <f>IF(COUNTIFS('在庫使用計画 (法人)'!C:C,マスタ_EOLリスト[[#This Row],[製品型番]])=0,"記載なし","")</f>
        <v/>
      </c>
      <c r="BP29" t="str">
        <f>IF(COUNTIFS('在庫使用計画 (全体実績+予測）0701'!C:C,マスタ_EOLリスト[[#This Row],[製品型番]])=0,"記載なし","")</f>
        <v/>
      </c>
      <c r="BQ29" t="str">
        <f ca="1">IF(COUNTIFS('在庫使用計画 (計画　予測)'!C:C,マスタ_EOLリスト[[#This Row],[製品型番]])=0,"記載なし","")</f>
        <v>記載なし</v>
      </c>
      <c r="BR29" t="str">
        <f>IF(COUNTIFS(在庫確認!B:B,マスタ_EOLリスト[[#This Row],[製品型番]])=0,"記載なし","")</f>
        <v/>
      </c>
      <c r="BS29" t="e">
        <f>COUNTIF(#REF!,マスタ_EOLリスト[[#This Row],[製品型番]])</f>
        <v>#REF!</v>
      </c>
    </row>
    <row r="30" spans="1:71">
      <c r="A30" t="e">
        <v>#N/A</v>
      </c>
      <c r="B30" t="s">
        <v>142</v>
      </c>
      <c r="C30" t="s">
        <v>148</v>
      </c>
      <c r="D30" t="s">
        <v>286</v>
      </c>
      <c r="E30">
        <v>179160</v>
      </c>
      <c r="F30" t="s">
        <v>287</v>
      </c>
      <c r="G30" t="s">
        <v>275</v>
      </c>
      <c r="H30" t="s">
        <v>21</v>
      </c>
      <c r="K30" t="s">
        <v>288</v>
      </c>
      <c r="L30">
        <v>4050</v>
      </c>
      <c r="M30">
        <v>0</v>
      </c>
      <c r="N30">
        <v>0</v>
      </c>
      <c r="P30">
        <v>45056</v>
      </c>
      <c r="R30" t="s">
        <v>179</v>
      </c>
      <c r="V30">
        <v>6780</v>
      </c>
      <c r="W30">
        <v>4350</v>
      </c>
      <c r="X30">
        <v>2397</v>
      </c>
      <c r="Z30">
        <v>201900</v>
      </c>
      <c r="AC30" t="s">
        <v>282</v>
      </c>
      <c r="AH30" t="s">
        <v>289</v>
      </c>
      <c r="AI30" t="s">
        <v>290</v>
      </c>
      <c r="AJ30" t="s">
        <v>291</v>
      </c>
      <c r="AL30" t="s">
        <v>21</v>
      </c>
      <c r="AM30" t="s">
        <v>21</v>
      </c>
      <c r="AW30" t="s">
        <v>21</v>
      </c>
      <c r="AX30" t="s">
        <v>144</v>
      </c>
      <c r="BA30" t="s">
        <v>160</v>
      </c>
      <c r="BB30" t="s">
        <v>160</v>
      </c>
      <c r="BC30" t="s">
        <v>160</v>
      </c>
      <c r="BD30" t="s">
        <v>160</v>
      </c>
      <c r="BM30" t="str">
        <f>IF(COUNTIFS('在庫使用計画 (ノート全体試算)'!C:C,マスタ_EOLリスト[[#This Row],[製品型番]])=0,"記載なし","")</f>
        <v>記載なし</v>
      </c>
      <c r="BN30" t="str">
        <f>IF(COUNTIFS('在庫使用計画 (一般)'!C:C,マスタ_EOLリスト[[#This Row],[製品型番]])=0,"記載なし","")</f>
        <v>記載なし</v>
      </c>
      <c r="BO30" t="str">
        <f>IF(COUNTIFS('在庫使用計画 (法人)'!C:C,マスタ_EOLリスト[[#This Row],[製品型番]])=0,"記載なし","")</f>
        <v>記載なし</v>
      </c>
      <c r="BP30" t="str">
        <f>IF(COUNTIFS('在庫使用計画 (全体実績+予測）0701'!C:C,マスタ_EOLリスト[[#This Row],[製品型番]])=0,"記載なし","")</f>
        <v>記載なし</v>
      </c>
      <c r="BQ30" t="str">
        <f ca="1">IF(COUNTIFS('在庫使用計画 (計画　予測)'!C:C,マスタ_EOLリスト[[#This Row],[製品型番]])=0,"記載なし","")</f>
        <v>記載なし</v>
      </c>
      <c r="BR30" t="str">
        <f>IF(COUNTIFS(在庫確認!B:B,マスタ_EOLリスト[[#This Row],[製品型番]])=0,"記載なし","")</f>
        <v>記載なし</v>
      </c>
      <c r="BS30" t="e">
        <f>COUNTIF(#REF!,マスタ_EOLリスト[[#This Row],[製品型番]])</f>
        <v>#REF!</v>
      </c>
    </row>
    <row r="31" spans="1:71">
      <c r="A31" t="e">
        <v>#N/A</v>
      </c>
      <c r="B31" t="s">
        <v>142</v>
      </c>
      <c r="C31" t="s">
        <v>148</v>
      </c>
      <c r="D31" t="s">
        <v>286</v>
      </c>
      <c r="E31">
        <v>186233</v>
      </c>
      <c r="F31" t="s">
        <v>292</v>
      </c>
      <c r="G31" t="s">
        <v>275</v>
      </c>
      <c r="H31" t="s">
        <v>21</v>
      </c>
      <c r="K31" t="s">
        <v>288</v>
      </c>
      <c r="L31">
        <v>4050</v>
      </c>
      <c r="M31">
        <v>0</v>
      </c>
      <c r="N31">
        <v>0</v>
      </c>
      <c r="Q31" t="s">
        <v>240</v>
      </c>
      <c r="R31" t="s">
        <v>179</v>
      </c>
      <c r="W31">
        <v>5120</v>
      </c>
      <c r="Z31">
        <v>201900</v>
      </c>
      <c r="AC31" t="s">
        <v>264</v>
      </c>
      <c r="AI31" t="s">
        <v>290</v>
      </c>
      <c r="AJ31" t="s">
        <v>291</v>
      </c>
      <c r="AL31">
        <v>45422</v>
      </c>
      <c r="AM31">
        <v>60</v>
      </c>
      <c r="AW31" t="s">
        <v>21</v>
      </c>
      <c r="AX31" t="s">
        <v>144</v>
      </c>
      <c r="BA31" t="s">
        <v>160</v>
      </c>
      <c r="BB31" t="s">
        <v>160</v>
      </c>
      <c r="BC31" t="s">
        <v>160</v>
      </c>
      <c r="BD31" t="s">
        <v>160</v>
      </c>
      <c r="BM31" t="str">
        <f>IF(COUNTIFS('在庫使用計画 (ノート全体試算)'!C:C,マスタ_EOLリスト[[#This Row],[製品型番]])=0,"記載なし","")</f>
        <v>記載なし</v>
      </c>
      <c r="BN31" t="str">
        <f>IF(COUNTIFS('在庫使用計画 (一般)'!C:C,マスタ_EOLリスト[[#This Row],[製品型番]])=0,"記載なし","")</f>
        <v>記載なし</v>
      </c>
      <c r="BO31" t="str">
        <f>IF(COUNTIFS('在庫使用計画 (法人)'!C:C,マスタ_EOLリスト[[#This Row],[製品型番]])=0,"記載なし","")</f>
        <v>記載なし</v>
      </c>
      <c r="BP31" t="str">
        <f>IF(COUNTIFS('在庫使用計画 (全体実績+予測）0701'!C:C,マスタ_EOLリスト[[#This Row],[製品型番]])=0,"記載なし","")</f>
        <v>記載なし</v>
      </c>
      <c r="BQ31" t="str">
        <f ca="1">IF(COUNTIFS('在庫使用計画 (計画　予測)'!C:C,マスタ_EOLリスト[[#This Row],[製品型番]])=0,"記載なし","")</f>
        <v>記載なし</v>
      </c>
      <c r="BR31" t="str">
        <f>IF(COUNTIFS(在庫確認!B:B,マスタ_EOLリスト[[#This Row],[製品型番]])=0,"記載なし","")</f>
        <v>記載なし</v>
      </c>
      <c r="BS31" t="e">
        <f>COUNTIF(#REF!,マスタ_EOLリスト[[#This Row],[製品型番]])</f>
        <v>#REF!</v>
      </c>
    </row>
    <row r="32" spans="1:71">
      <c r="A32" t="e">
        <v>#N/A</v>
      </c>
      <c r="B32" t="s">
        <v>293</v>
      </c>
      <c r="C32" t="s">
        <v>148</v>
      </c>
      <c r="D32" t="s">
        <v>208</v>
      </c>
      <c r="G32" t="s">
        <v>197</v>
      </c>
      <c r="H32" t="s">
        <v>294</v>
      </c>
      <c r="I32">
        <v>16</v>
      </c>
      <c r="K32" t="s">
        <v>295</v>
      </c>
      <c r="L32" t="s">
        <v>200</v>
      </c>
      <c r="M32">
        <v>0</v>
      </c>
      <c r="N32">
        <v>0</v>
      </c>
      <c r="AW32" t="s">
        <v>21</v>
      </c>
      <c r="AX32" t="s">
        <v>144</v>
      </c>
      <c r="BM32" t="str">
        <f>IF(COUNTIFS('在庫使用計画 (ノート全体試算)'!C:C,マスタ_EOLリスト[[#This Row],[製品型番]])=0,"記載なし","")</f>
        <v>記載なし</v>
      </c>
      <c r="BN32" t="str">
        <f>IF(COUNTIFS('在庫使用計画 (一般)'!C:C,マスタ_EOLリスト[[#This Row],[製品型番]])=0,"記載なし","")</f>
        <v>記載なし</v>
      </c>
      <c r="BO32" t="str">
        <f>IF(COUNTIFS('在庫使用計画 (法人)'!C:C,マスタ_EOLリスト[[#This Row],[製品型番]])=0,"記載なし","")</f>
        <v>記載なし</v>
      </c>
      <c r="BP32" t="str">
        <f>IF(COUNTIFS('在庫使用計画 (全体実績+予測）0701'!C:C,マスタ_EOLリスト[[#This Row],[製品型番]])=0,"記載なし","")</f>
        <v>記載なし</v>
      </c>
      <c r="BQ32" t="str">
        <f ca="1">IF(COUNTIFS('在庫使用計画 (計画　予測)'!C:C,マスタ_EOLリスト[[#This Row],[製品型番]])=0,"記載なし","")</f>
        <v>記載なし</v>
      </c>
      <c r="BR32" t="str">
        <f>IF(COUNTIFS(在庫確認!B:B,マスタ_EOLリスト[[#This Row],[製品型番]])=0,"記載なし","")</f>
        <v>記載なし</v>
      </c>
      <c r="BS32" t="e">
        <f>COUNTIF(#REF!,マスタ_EOLリスト[[#This Row],[製品型番]])</f>
        <v>#REF!</v>
      </c>
    </row>
    <row r="33" spans="1:71">
      <c r="A33" t="e">
        <v>#N/A</v>
      </c>
      <c r="B33" t="s">
        <v>293</v>
      </c>
      <c r="C33" t="s">
        <v>148</v>
      </c>
      <c r="D33" t="s">
        <v>220</v>
      </c>
      <c r="G33" t="s">
        <v>197</v>
      </c>
      <c r="H33" t="s">
        <v>296</v>
      </c>
      <c r="I33">
        <v>16</v>
      </c>
      <c r="K33" t="s">
        <v>297</v>
      </c>
      <c r="L33">
        <v>5070</v>
      </c>
      <c r="M33">
        <v>0</v>
      </c>
      <c r="N33">
        <v>0</v>
      </c>
      <c r="AW33" t="s">
        <v>21</v>
      </c>
      <c r="AX33" t="s">
        <v>144</v>
      </c>
      <c r="BM33" t="str">
        <f>IF(COUNTIFS('在庫使用計画 (ノート全体試算)'!C:C,マスタ_EOLリスト[[#This Row],[製品型番]])=0,"記載なし","")</f>
        <v>記載なし</v>
      </c>
      <c r="BN33" t="str">
        <f>IF(COUNTIFS('在庫使用計画 (一般)'!C:C,マスタ_EOLリスト[[#This Row],[製品型番]])=0,"記載なし","")</f>
        <v>記載なし</v>
      </c>
      <c r="BO33" t="str">
        <f>IF(COUNTIFS('在庫使用計画 (法人)'!C:C,マスタ_EOLリスト[[#This Row],[製品型番]])=0,"記載なし","")</f>
        <v>記載なし</v>
      </c>
      <c r="BP33" t="str">
        <f>IF(COUNTIFS('在庫使用計画 (全体実績+予測）0701'!C:C,マスタ_EOLリスト[[#This Row],[製品型番]])=0,"記載なし","")</f>
        <v>記載なし</v>
      </c>
      <c r="BQ33" t="str">
        <f ca="1">IF(COUNTIFS('在庫使用計画 (計画　予測)'!C:C,マスタ_EOLリスト[[#This Row],[製品型番]])=0,"記載なし","")</f>
        <v>記載なし</v>
      </c>
      <c r="BR33" t="str">
        <f>IF(COUNTIFS(在庫確認!B:B,マスタ_EOLリスト[[#This Row],[製品型番]])=0,"記載なし","")</f>
        <v>記載なし</v>
      </c>
      <c r="BS33" t="e">
        <f>COUNTIF(#REF!,マスタ_EOLリスト[[#This Row],[製品型番]])</f>
        <v>#REF!</v>
      </c>
    </row>
    <row r="34" spans="1:71">
      <c r="A34" t="str">
        <v>RL7C-R56-5N</v>
      </c>
      <c r="B34" t="s">
        <v>147</v>
      </c>
      <c r="C34" t="s">
        <v>148</v>
      </c>
      <c r="D34" t="s">
        <v>298</v>
      </c>
      <c r="E34">
        <v>222818</v>
      </c>
      <c r="F34" t="s">
        <v>299</v>
      </c>
      <c r="G34" t="s">
        <v>300</v>
      </c>
      <c r="H34" t="s">
        <v>301</v>
      </c>
      <c r="I34">
        <v>15</v>
      </c>
      <c r="K34" t="s">
        <v>302</v>
      </c>
      <c r="L34">
        <v>5060</v>
      </c>
      <c r="M34">
        <v>53</v>
      </c>
      <c r="N34">
        <v>53</v>
      </c>
      <c r="P34">
        <v>45939</v>
      </c>
      <c r="R34" t="s">
        <v>303</v>
      </c>
      <c r="W34">
        <v>2726</v>
      </c>
      <c r="AU34" t="s">
        <v>304</v>
      </c>
      <c r="AW34" t="b">
        <v>1</v>
      </c>
      <c r="AX34" t="s">
        <v>305</v>
      </c>
      <c r="AY34">
        <v>115</v>
      </c>
      <c r="BA34" t="s">
        <v>227</v>
      </c>
      <c r="BB34" t="s">
        <v>227</v>
      </c>
      <c r="BC34" t="s">
        <v>227</v>
      </c>
      <c r="BD34" t="s">
        <v>227</v>
      </c>
      <c r="BJ34" t="s">
        <v>306</v>
      </c>
      <c r="BM34" t="str">
        <f>IF(COUNTIFS('在庫使用計画 (ノート全体試算)'!C:C,マスタ_EOLリスト[[#This Row],[製品型番]])=0,"記載なし","")</f>
        <v/>
      </c>
      <c r="BN34" t="str">
        <f>IF(COUNTIFS('在庫使用計画 (一般)'!C:C,マスタ_EOLリスト[[#This Row],[製品型番]])=0,"記載なし","")</f>
        <v/>
      </c>
      <c r="BO34" t="str">
        <f>IF(COUNTIFS('在庫使用計画 (法人)'!C:C,マスタ_EOLリスト[[#This Row],[製品型番]])=0,"記載なし","")</f>
        <v/>
      </c>
      <c r="BP34" t="str">
        <f>IF(COUNTIFS('在庫使用計画 (全体実績+予測）0701'!C:C,マスタ_EOLリスト[[#This Row],[製品型番]])=0,"記載なし","")</f>
        <v/>
      </c>
      <c r="BQ34" t="str">
        <f ca="1">IF(COUNTIFS('在庫使用計画 (計画　予測)'!C:C,マスタ_EOLリスト[[#This Row],[製品型番]])=0,"記載なし","")</f>
        <v/>
      </c>
      <c r="BR34" t="str">
        <f>IF(COUNTIFS(在庫確認!B:B,マスタ_EOLリスト[[#This Row],[製品型番]])=0,"記載なし","")</f>
        <v/>
      </c>
      <c r="BS34" t="e">
        <f>COUNTIF(#REF!,マスタ_EOLリスト[[#This Row],[製品型番]])</f>
        <v>#REF!</v>
      </c>
    </row>
    <row r="35" spans="1:71">
      <c r="A35" t="str">
        <v>RL7C-R56-5N</v>
      </c>
      <c r="B35" t="s">
        <v>147</v>
      </c>
      <c r="C35" t="s">
        <v>148</v>
      </c>
      <c r="D35" t="s">
        <v>298</v>
      </c>
      <c r="E35">
        <v>317460</v>
      </c>
      <c r="F35" t="s">
        <v>307</v>
      </c>
      <c r="G35" t="s">
        <v>300</v>
      </c>
      <c r="H35" t="s">
        <v>301</v>
      </c>
      <c r="I35">
        <v>15</v>
      </c>
      <c r="K35" t="s">
        <v>302</v>
      </c>
      <c r="L35">
        <v>5060</v>
      </c>
      <c r="M35">
        <v>99</v>
      </c>
      <c r="N35">
        <v>99</v>
      </c>
      <c r="R35" t="s">
        <v>303</v>
      </c>
      <c r="AW35" t="b">
        <v>1</v>
      </c>
      <c r="AX35" t="s">
        <v>308</v>
      </c>
      <c r="BJ35" t="s">
        <v>306</v>
      </c>
      <c r="BM35" t="str">
        <f>IF(COUNTIFS('在庫使用計画 (ノート全体試算)'!C:C,マスタ_EOLリスト[[#This Row],[製品型番]])=0,"記載なし","")</f>
        <v/>
      </c>
      <c r="BN35" t="str">
        <f>IF(COUNTIFS('在庫使用計画 (一般)'!C:C,マスタ_EOLリスト[[#This Row],[製品型番]])=0,"記載なし","")</f>
        <v/>
      </c>
      <c r="BO35" t="str">
        <f>IF(COUNTIFS('在庫使用計画 (法人)'!C:C,マスタ_EOLリスト[[#This Row],[製品型番]])=0,"記載なし","")</f>
        <v/>
      </c>
      <c r="BP35" t="str">
        <f>IF(COUNTIFS('在庫使用計画 (全体実績+予測）0701'!C:C,マスタ_EOLリスト[[#This Row],[製品型番]])=0,"記載なし","")</f>
        <v/>
      </c>
      <c r="BQ35" t="str">
        <f ca="1">IF(COUNTIFS('在庫使用計画 (計画　予測)'!C:C,マスタ_EOLリスト[[#This Row],[製品型番]])=0,"記載なし","")</f>
        <v/>
      </c>
      <c r="BR35" t="str">
        <f>IF(COUNTIFS(在庫確認!B:B,マスタ_EOLリスト[[#This Row],[製品型番]])=0,"記載なし","")</f>
        <v/>
      </c>
      <c r="BS35" t="e">
        <f>COUNTIF(#REF!,マスタ_EOLリスト[[#This Row],[製品型番]])</f>
        <v>#REF!</v>
      </c>
    </row>
    <row r="36" spans="1:71">
      <c r="A36" t="str">
        <v>RL7C-R55-5N</v>
      </c>
      <c r="B36" t="s">
        <v>147</v>
      </c>
      <c r="C36" t="s">
        <v>148</v>
      </c>
      <c r="D36" t="s">
        <v>309</v>
      </c>
      <c r="E36">
        <v>216515</v>
      </c>
      <c r="F36" t="s">
        <v>310</v>
      </c>
      <c r="G36" t="s">
        <v>300</v>
      </c>
      <c r="H36" t="s">
        <v>311</v>
      </c>
      <c r="I36">
        <v>15</v>
      </c>
      <c r="K36" t="s">
        <v>302</v>
      </c>
      <c r="L36">
        <v>5050</v>
      </c>
      <c r="M36">
        <v>702</v>
      </c>
      <c r="N36">
        <v>702</v>
      </c>
      <c r="O36" t="s">
        <v>312</v>
      </c>
      <c r="P36">
        <v>45832</v>
      </c>
      <c r="R36" t="s">
        <v>303</v>
      </c>
      <c r="V36">
        <v>6000</v>
      </c>
      <c r="W36">
        <v>3596</v>
      </c>
      <c r="AN36" t="s">
        <v>251</v>
      </c>
      <c r="AU36" t="s">
        <v>304</v>
      </c>
      <c r="AW36" t="b">
        <v>1</v>
      </c>
      <c r="AX36" t="s">
        <v>313</v>
      </c>
      <c r="AY36">
        <v>115</v>
      </c>
      <c r="BA36" t="s">
        <v>227</v>
      </c>
      <c r="BB36" t="s">
        <v>227</v>
      </c>
      <c r="BC36" t="s">
        <v>227</v>
      </c>
      <c r="BD36" t="s">
        <v>227</v>
      </c>
      <c r="BJ36" t="s">
        <v>391</v>
      </c>
      <c r="BM36" t="str">
        <f>IF(COUNTIFS('在庫使用計画 (ノート全体試算)'!C:C,マスタ_EOLリスト[[#This Row],[製品型番]])=0,"記載なし","")</f>
        <v/>
      </c>
      <c r="BN36" t="str">
        <f>IF(COUNTIFS('在庫使用計画 (一般)'!C:C,マスタ_EOLリスト[[#This Row],[製品型番]])=0,"記載なし","")</f>
        <v/>
      </c>
      <c r="BO36" t="str">
        <f>IF(COUNTIFS('在庫使用計画 (法人)'!C:C,マスタ_EOLリスト[[#This Row],[製品型番]])=0,"記載なし","")</f>
        <v/>
      </c>
      <c r="BP36" t="str">
        <f>IF(COUNTIFS('在庫使用計画 (全体実績+予測）0701'!C:C,マスタ_EOLリスト[[#This Row],[製品型番]])=0,"記載なし","")</f>
        <v/>
      </c>
      <c r="BQ36" t="str">
        <f ca="1">IF(COUNTIFS('在庫使用計画 (計画　予測)'!C:C,マスタ_EOLリスト[[#This Row],[製品型番]])=0,"記載なし","")</f>
        <v/>
      </c>
      <c r="BR36" t="str">
        <f>IF(COUNTIFS(在庫確認!B:B,マスタ_EOLリスト[[#This Row],[製品型番]])=0,"記載なし","")</f>
        <v/>
      </c>
      <c r="BS36" t="e">
        <f>COUNTIF(#REF!,マスタ_EOLリスト[[#This Row],[製品型番]])</f>
        <v>#REF!</v>
      </c>
    </row>
    <row r="37" spans="1:71">
      <c r="A37" t="str">
        <v>RL7C-R55-5N</v>
      </c>
      <c r="B37" t="s">
        <v>147</v>
      </c>
      <c r="C37" t="s">
        <v>148</v>
      </c>
      <c r="D37" t="s">
        <v>309</v>
      </c>
      <c r="E37">
        <v>317461</v>
      </c>
      <c r="F37" t="s">
        <v>314</v>
      </c>
      <c r="G37" t="s">
        <v>300</v>
      </c>
      <c r="H37" t="s">
        <v>311</v>
      </c>
      <c r="I37">
        <v>15</v>
      </c>
      <c r="K37" t="s">
        <v>302</v>
      </c>
      <c r="L37">
        <v>5050</v>
      </c>
      <c r="M37">
        <v>0</v>
      </c>
      <c r="N37">
        <v>0</v>
      </c>
      <c r="R37" t="s">
        <v>303</v>
      </c>
      <c r="AW37" t="b">
        <v>1</v>
      </c>
      <c r="AX37" t="s">
        <v>144</v>
      </c>
      <c r="BJ37" t="s">
        <v>391</v>
      </c>
      <c r="BM37" t="str">
        <f>IF(COUNTIFS('在庫使用計画 (ノート全体試算)'!C:C,マスタ_EOLリスト[[#This Row],[製品型番]])=0,"記載なし","")</f>
        <v/>
      </c>
      <c r="BN37" t="str">
        <f>IF(COUNTIFS('在庫使用計画 (一般)'!C:C,マスタ_EOLリスト[[#This Row],[製品型番]])=0,"記載なし","")</f>
        <v/>
      </c>
      <c r="BO37" t="str">
        <f>IF(COUNTIFS('在庫使用計画 (法人)'!C:C,マスタ_EOLリスト[[#This Row],[製品型番]])=0,"記載なし","")</f>
        <v/>
      </c>
      <c r="BP37" t="str">
        <f>IF(COUNTIFS('在庫使用計画 (全体実績+予測）0701'!C:C,マスタ_EOLリスト[[#This Row],[製品型番]])=0,"記載なし","")</f>
        <v/>
      </c>
      <c r="BQ37" t="str">
        <f ca="1">IF(COUNTIFS('在庫使用計画 (計画　予測)'!C:C,マスタ_EOLリスト[[#This Row],[製品型番]])=0,"記載なし","")</f>
        <v/>
      </c>
      <c r="BR37" t="str">
        <f>IF(COUNTIFS(在庫確認!B:B,マスタ_EOLリスト[[#This Row],[製品型番]])=0,"記載なし","")</f>
        <v/>
      </c>
      <c r="BS37" t="e">
        <f>COUNTIF(#REF!,マスタ_EOLリスト[[#This Row],[製品型番]])</f>
        <v>#REF!</v>
      </c>
    </row>
    <row r="38" spans="1:71">
      <c r="A38" t="str">
        <v>RL7C-R46-5N</v>
      </c>
      <c r="B38" t="s">
        <v>142</v>
      </c>
      <c r="C38" t="s">
        <v>148</v>
      </c>
      <c r="D38" t="s">
        <v>315</v>
      </c>
      <c r="E38">
        <v>201898</v>
      </c>
      <c r="F38" t="s">
        <v>316</v>
      </c>
      <c r="G38" t="s">
        <v>275</v>
      </c>
      <c r="H38" t="s">
        <v>317</v>
      </c>
      <c r="I38">
        <v>15</v>
      </c>
      <c r="K38" t="s">
        <v>318</v>
      </c>
      <c r="L38">
        <v>4060</v>
      </c>
      <c r="M38">
        <v>0</v>
      </c>
      <c r="N38">
        <v>0</v>
      </c>
      <c r="P38">
        <v>45561</v>
      </c>
      <c r="Q38">
        <v>45839</v>
      </c>
      <c r="U38" t="s">
        <v>319</v>
      </c>
      <c r="W38">
        <v>6728</v>
      </c>
      <c r="Z38">
        <v>222818</v>
      </c>
      <c r="AA38" t="s">
        <v>320</v>
      </c>
      <c r="AB38" t="s">
        <v>321</v>
      </c>
      <c r="AC38" t="s">
        <v>322</v>
      </c>
      <c r="AL38">
        <v>45537</v>
      </c>
      <c r="AM38">
        <v>6</v>
      </c>
      <c r="AN38" t="s">
        <v>323</v>
      </c>
      <c r="AW38" t="s">
        <v>21</v>
      </c>
      <c r="AX38" t="s">
        <v>144</v>
      </c>
      <c r="BA38" t="s">
        <v>279</v>
      </c>
      <c r="BB38" t="s">
        <v>170</v>
      </c>
      <c r="BC38" t="s">
        <v>279</v>
      </c>
      <c r="BD38" t="s">
        <v>170</v>
      </c>
      <c r="BM38" t="str">
        <f>IF(COUNTIFS('在庫使用計画 (ノート全体試算)'!C:C,マスタ_EOLリスト[[#This Row],[製品型番]])=0,"記載なし","")</f>
        <v/>
      </c>
      <c r="BN38" t="str">
        <f>IF(COUNTIFS('在庫使用計画 (一般)'!C:C,マスタ_EOLリスト[[#This Row],[製品型番]])=0,"記載なし","")</f>
        <v/>
      </c>
      <c r="BO38" t="str">
        <f>IF(COUNTIFS('在庫使用計画 (法人)'!C:C,マスタ_EOLリスト[[#This Row],[製品型番]])=0,"記載なし","")</f>
        <v/>
      </c>
      <c r="BP38" t="str">
        <f>IF(COUNTIFS('在庫使用計画 (全体実績+予測）0701'!C:C,マスタ_EOLリスト[[#This Row],[製品型番]])=0,"記載なし","")</f>
        <v/>
      </c>
      <c r="BQ38" t="str">
        <f ca="1">IF(COUNTIFS('在庫使用計画 (計画　予測)'!C:C,マスタ_EOLリスト[[#This Row],[製品型番]])=0,"記載なし","")</f>
        <v>記載なし</v>
      </c>
      <c r="BR38" t="str">
        <f>IF(COUNTIFS(在庫確認!B:B,マスタ_EOLリスト[[#This Row],[製品型番]])=0,"記載なし","")</f>
        <v/>
      </c>
      <c r="BS38" t="e">
        <f>COUNTIF(#REF!,マスタ_EOLリスト[[#This Row],[製品型番]])</f>
        <v>#REF!</v>
      </c>
    </row>
    <row r="39" spans="1:71">
      <c r="A39" t="str">
        <v>RL7C-R45-5N</v>
      </c>
      <c r="B39" t="s">
        <v>147</v>
      </c>
      <c r="C39" t="s">
        <v>148</v>
      </c>
      <c r="D39" t="s">
        <v>324</v>
      </c>
      <c r="E39">
        <v>201900</v>
      </c>
      <c r="F39" t="s">
        <v>325</v>
      </c>
      <c r="G39" t="s">
        <v>326</v>
      </c>
      <c r="H39" t="s">
        <v>327</v>
      </c>
      <c r="I39">
        <v>15</v>
      </c>
      <c r="K39" t="s">
        <v>318</v>
      </c>
      <c r="L39">
        <v>4050</v>
      </c>
      <c r="M39">
        <v>1414</v>
      </c>
      <c r="N39">
        <v>1414</v>
      </c>
      <c r="P39">
        <v>45561</v>
      </c>
      <c r="U39" t="s">
        <v>328</v>
      </c>
      <c r="W39">
        <v>12078</v>
      </c>
      <c r="AC39" t="s">
        <v>329</v>
      </c>
      <c r="AL39">
        <v>45553</v>
      </c>
      <c r="AM39">
        <v>35</v>
      </c>
      <c r="AN39" t="s">
        <v>323</v>
      </c>
      <c r="AO39" t="s">
        <v>330</v>
      </c>
      <c r="AP39" t="s">
        <v>331</v>
      </c>
      <c r="AQ39" t="s">
        <v>156</v>
      </c>
      <c r="AR39">
        <v>199688</v>
      </c>
      <c r="AS39" t="s">
        <v>332</v>
      </c>
      <c r="AT39">
        <v>171358</v>
      </c>
      <c r="AW39" t="b">
        <v>1</v>
      </c>
      <c r="AX39" t="s">
        <v>333</v>
      </c>
      <c r="AY39">
        <v>115</v>
      </c>
      <c r="BA39" t="s">
        <v>227</v>
      </c>
      <c r="BB39" t="s">
        <v>227</v>
      </c>
      <c r="BC39" t="s">
        <v>227</v>
      </c>
      <c r="BD39" t="s">
        <v>227</v>
      </c>
      <c r="BJ39" t="s">
        <v>334</v>
      </c>
      <c r="BM39" t="str">
        <f>IF(COUNTIFS('在庫使用計画 (ノート全体試算)'!C:C,マスタ_EOLリスト[[#This Row],[製品型番]])=0,"記載なし","")</f>
        <v/>
      </c>
      <c r="BN39" t="str">
        <f>IF(COUNTIFS('在庫使用計画 (一般)'!C:C,マスタ_EOLリスト[[#This Row],[製品型番]])=0,"記載なし","")</f>
        <v/>
      </c>
      <c r="BO39" t="str">
        <f>IF(COUNTIFS('在庫使用計画 (法人)'!C:C,マスタ_EOLリスト[[#This Row],[製品型番]])=0,"記載なし","")</f>
        <v/>
      </c>
      <c r="BP39" t="str">
        <f>IF(COUNTIFS('在庫使用計画 (全体実績+予測）0701'!C:C,マスタ_EOLリスト[[#This Row],[製品型番]])=0,"記載なし","")</f>
        <v/>
      </c>
      <c r="BQ39" t="str">
        <f ca="1">IF(COUNTIFS('在庫使用計画 (計画　予測)'!C:C,マスタ_EOLリスト[[#This Row],[製品型番]])=0,"記載なし","")</f>
        <v/>
      </c>
      <c r="BR39" t="str">
        <f>IF(COUNTIFS(在庫確認!B:B,マスタ_EOLリスト[[#This Row],[製品型番]])=0,"記載なし","")</f>
        <v/>
      </c>
      <c r="BS39" t="e">
        <f>COUNTIF(#REF!,マスタ_EOLリスト[[#This Row],[製品型番]])</f>
        <v>#REF!</v>
      </c>
    </row>
    <row r="40" spans="1:71">
      <c r="A40" t="str">
        <v>RL7C-R35-5N</v>
      </c>
      <c r="B40" t="s">
        <v>335</v>
      </c>
      <c r="C40" t="s">
        <v>148</v>
      </c>
      <c r="D40" t="s">
        <v>336</v>
      </c>
      <c r="E40">
        <v>199024</v>
      </c>
      <c r="F40" t="s">
        <v>337</v>
      </c>
      <c r="G40" t="s">
        <v>326</v>
      </c>
      <c r="H40" t="s">
        <v>338</v>
      </c>
      <c r="I40">
        <v>15</v>
      </c>
      <c r="K40" t="s">
        <v>318</v>
      </c>
      <c r="L40">
        <v>3050</v>
      </c>
      <c r="M40">
        <v>2039</v>
      </c>
      <c r="N40">
        <v>2039</v>
      </c>
      <c r="Q40" t="s">
        <v>339</v>
      </c>
      <c r="R40" t="s">
        <v>173</v>
      </c>
      <c r="W40">
        <v>19980</v>
      </c>
      <c r="AK40">
        <v>207649</v>
      </c>
      <c r="AL40">
        <v>45525</v>
      </c>
      <c r="AM40">
        <v>70</v>
      </c>
      <c r="AN40" t="s">
        <v>251</v>
      </c>
      <c r="AO40" t="s">
        <v>330</v>
      </c>
      <c r="AP40" t="s">
        <v>340</v>
      </c>
      <c r="AQ40" t="s">
        <v>156</v>
      </c>
      <c r="AR40">
        <v>199687</v>
      </c>
      <c r="AS40" t="s">
        <v>203</v>
      </c>
      <c r="AT40">
        <v>171480</v>
      </c>
      <c r="AW40" t="b">
        <v>1</v>
      </c>
      <c r="AX40" t="s">
        <v>341</v>
      </c>
      <c r="BJ40" t="s">
        <v>253</v>
      </c>
      <c r="BM40" t="str">
        <f>IF(COUNTIFS('在庫使用計画 (ノート全体試算)'!C:C,マスタ_EOLリスト[[#This Row],[製品型番]])=0,"記載なし","")</f>
        <v/>
      </c>
      <c r="BN40" t="str">
        <f>IF(COUNTIFS('在庫使用計画 (一般)'!C:C,マスタ_EOLリスト[[#This Row],[製品型番]])=0,"記載なし","")</f>
        <v/>
      </c>
      <c r="BO40" t="str">
        <f>IF(COUNTIFS('在庫使用計画 (法人)'!C:C,マスタ_EOLリスト[[#This Row],[製品型番]])=0,"記載なし","")</f>
        <v/>
      </c>
      <c r="BP40" t="str">
        <f>IF(COUNTIFS('在庫使用計画 (全体実績+予測）0701'!C:C,マスタ_EOLリスト[[#This Row],[製品型番]])=0,"記載なし","")</f>
        <v/>
      </c>
      <c r="BQ40" t="str">
        <f ca="1">IF(COUNTIFS('在庫使用計画 (計画　予測)'!C:C,マスタ_EOLリスト[[#This Row],[製品型番]])=0,"記載なし","")</f>
        <v/>
      </c>
      <c r="BR40" t="str">
        <f>IF(COUNTIFS(在庫確認!B:B,マスタ_EOLリスト[[#This Row],[製品型番]])=0,"記載なし","")</f>
        <v/>
      </c>
      <c r="BS40" t="e">
        <f>COUNTIF(#REF!,マスタ_EOLリスト[[#This Row],[製品型番]])</f>
        <v>#REF!</v>
      </c>
    </row>
    <row r="41" spans="1:71">
      <c r="A41" t="str">
        <v>RL5C-R35N</v>
      </c>
      <c r="B41" t="s">
        <v>142</v>
      </c>
      <c r="C41" t="s">
        <v>148</v>
      </c>
      <c r="D41" t="s">
        <v>342</v>
      </c>
      <c r="E41">
        <v>199025</v>
      </c>
      <c r="F41" t="s">
        <v>343</v>
      </c>
      <c r="G41" t="s">
        <v>326</v>
      </c>
      <c r="H41" t="s">
        <v>344</v>
      </c>
      <c r="I41">
        <v>15</v>
      </c>
      <c r="K41" t="s">
        <v>345</v>
      </c>
      <c r="L41">
        <v>3050</v>
      </c>
      <c r="M41">
        <v>0</v>
      </c>
      <c r="N41">
        <v>0</v>
      </c>
      <c r="Q41" t="s">
        <v>269</v>
      </c>
      <c r="R41" t="s">
        <v>173</v>
      </c>
      <c r="Z41">
        <v>199024</v>
      </c>
      <c r="AA41" t="s">
        <v>337</v>
      </c>
      <c r="AK41">
        <v>207658</v>
      </c>
      <c r="AL41">
        <v>45525</v>
      </c>
      <c r="AM41">
        <v>70</v>
      </c>
      <c r="AN41" t="s">
        <v>266</v>
      </c>
      <c r="AO41">
        <v>19</v>
      </c>
      <c r="AP41">
        <v>7.89</v>
      </c>
      <c r="AQ41" t="s">
        <v>156</v>
      </c>
      <c r="AW41" t="s">
        <v>21</v>
      </c>
      <c r="AX41" t="s">
        <v>144</v>
      </c>
      <c r="BJ41" t="s">
        <v>346</v>
      </c>
      <c r="BM41" t="str">
        <f>IF(COUNTIFS('在庫使用計画 (ノート全体試算)'!C:C,マスタ_EOLリスト[[#This Row],[製品型番]])=0,"記載なし","")</f>
        <v/>
      </c>
      <c r="BN41" t="str">
        <f>IF(COUNTIFS('在庫使用計画 (一般)'!C:C,マスタ_EOLリスト[[#This Row],[製品型番]])=0,"記載なし","")</f>
        <v/>
      </c>
      <c r="BO41" t="str">
        <f>IF(COUNTIFS('在庫使用計画 (法人)'!C:C,マスタ_EOLリスト[[#This Row],[製品型番]])=0,"記載なし","")</f>
        <v/>
      </c>
      <c r="BP41" t="str">
        <f>IF(COUNTIFS('在庫使用計画 (全体実績+予測）0701'!C:C,マスタ_EOLリスト[[#This Row],[製品型番]])=0,"記載なし","")</f>
        <v/>
      </c>
      <c r="BQ41" t="str">
        <f ca="1">IF(COUNTIFS('在庫使用計画 (計画　予測)'!C:C,マスタ_EOLリスト[[#This Row],[製品型番]])=0,"記載なし","")</f>
        <v/>
      </c>
      <c r="BR41" t="str">
        <f>IF(COUNTIFS(在庫確認!B:B,マスタ_EOLリスト[[#This Row],[製品型番]])=0,"記載なし","")</f>
        <v/>
      </c>
      <c r="BS41" t="e">
        <f>COUNTIF(#REF!,マスタ_EOLリスト[[#This Row],[製品型番]])</f>
        <v>#REF!</v>
      </c>
    </row>
    <row r="42" spans="1:71">
      <c r="A42" t="str">
        <v>RL5C-R35-5N</v>
      </c>
      <c r="B42" t="s">
        <v>335</v>
      </c>
      <c r="C42" t="s">
        <v>148</v>
      </c>
      <c r="D42" t="s">
        <v>347</v>
      </c>
      <c r="E42">
        <v>218711</v>
      </c>
      <c r="F42" t="s">
        <v>348</v>
      </c>
      <c r="G42" t="s">
        <v>326</v>
      </c>
      <c r="H42" t="s">
        <v>349</v>
      </c>
      <c r="I42">
        <v>15</v>
      </c>
      <c r="K42" t="s">
        <v>350</v>
      </c>
      <c r="L42">
        <v>3050</v>
      </c>
      <c r="M42">
        <v>5</v>
      </c>
      <c r="N42">
        <v>5</v>
      </c>
      <c r="P42" t="s">
        <v>351</v>
      </c>
      <c r="Q42" t="s">
        <v>352</v>
      </c>
      <c r="R42" t="s">
        <v>353</v>
      </c>
      <c r="V42">
        <v>500</v>
      </c>
      <c r="W42">
        <v>506</v>
      </c>
      <c r="Z42">
        <v>199024</v>
      </c>
      <c r="AA42" t="s">
        <v>337</v>
      </c>
      <c r="AK42">
        <v>207658</v>
      </c>
      <c r="AL42">
        <v>45559</v>
      </c>
      <c r="AM42">
        <v>4</v>
      </c>
      <c r="AN42" t="s">
        <v>266</v>
      </c>
      <c r="AO42">
        <v>19</v>
      </c>
      <c r="AP42">
        <v>7.89</v>
      </c>
      <c r="AQ42" t="s">
        <v>156</v>
      </c>
      <c r="AW42" t="b">
        <v>1</v>
      </c>
      <c r="AX42" t="s">
        <v>354</v>
      </c>
      <c r="BJ42" t="s">
        <v>253</v>
      </c>
      <c r="BM42" t="str">
        <f>IF(COUNTIFS('在庫使用計画 (ノート全体試算)'!C:C,マスタ_EOLリスト[[#This Row],[製品型番]])=0,"記載なし","")</f>
        <v/>
      </c>
      <c r="BN42" t="str">
        <f>IF(COUNTIFS('在庫使用計画 (一般)'!C:C,マスタ_EOLリスト[[#This Row],[製品型番]])=0,"記載なし","")</f>
        <v/>
      </c>
      <c r="BO42" t="str">
        <f>IF(COUNTIFS('在庫使用計画 (法人)'!C:C,マスタ_EOLリスト[[#This Row],[製品型番]])=0,"記載なし","")</f>
        <v/>
      </c>
      <c r="BP42" t="str">
        <f>IF(COUNTIFS('在庫使用計画 (全体実績+予測）0701'!C:C,マスタ_EOLリスト[[#This Row],[製品型番]])=0,"記載なし","")</f>
        <v/>
      </c>
      <c r="BQ42" t="str">
        <f ca="1">IF(COUNTIFS('在庫使用計画 (計画　予測)'!C:C,マスタ_EOLリスト[[#This Row],[製品型番]])=0,"記載なし","")</f>
        <v/>
      </c>
      <c r="BR42" t="str">
        <f>IF(COUNTIFS(在庫確認!B:B,マスタ_EOLリスト[[#This Row],[製品型番]])=0,"記載なし","")</f>
        <v/>
      </c>
      <c r="BS42" t="e">
        <f>COUNTIF(#REF!,マスタ_EOLリスト[[#This Row],[製品型番]])</f>
        <v>#REF!</v>
      </c>
    </row>
    <row r="43" spans="1:71">
      <c r="A43" t="str">
        <v>RL7C-R45-4</v>
      </c>
      <c r="B43" t="s">
        <v>142</v>
      </c>
      <c r="C43" t="s">
        <v>148</v>
      </c>
      <c r="D43" t="s">
        <v>355</v>
      </c>
      <c r="E43">
        <v>199319</v>
      </c>
      <c r="F43" t="s">
        <v>356</v>
      </c>
      <c r="G43" t="s">
        <v>357</v>
      </c>
      <c r="H43" t="s">
        <v>358</v>
      </c>
      <c r="I43">
        <v>14</v>
      </c>
      <c r="K43" t="s">
        <v>268</v>
      </c>
      <c r="L43">
        <v>4050</v>
      </c>
      <c r="M43">
        <v>0</v>
      </c>
      <c r="N43">
        <v>0</v>
      </c>
      <c r="R43" t="s">
        <v>359</v>
      </c>
      <c r="W43">
        <v>1750</v>
      </c>
      <c r="Z43" t="s">
        <v>360</v>
      </c>
      <c r="AK43">
        <v>207651</v>
      </c>
      <c r="AL43">
        <v>45525</v>
      </c>
      <c r="AM43">
        <v>70</v>
      </c>
      <c r="AN43" t="s">
        <v>251</v>
      </c>
      <c r="AW43" t="s">
        <v>21</v>
      </c>
      <c r="AX43" t="s">
        <v>144</v>
      </c>
      <c r="BA43" t="s">
        <v>279</v>
      </c>
      <c r="BB43" t="s">
        <v>170</v>
      </c>
      <c r="BC43" t="s">
        <v>279</v>
      </c>
      <c r="BD43" t="s">
        <v>170</v>
      </c>
      <c r="BJ43" t="s">
        <v>334</v>
      </c>
      <c r="BM43" t="str">
        <f>IF(COUNTIFS('在庫使用計画 (ノート全体試算)'!C:C,マスタ_EOLリスト[[#This Row],[製品型番]])=0,"記載なし","")</f>
        <v/>
      </c>
      <c r="BN43" t="str">
        <f>IF(COUNTIFS('在庫使用計画 (一般)'!C:C,マスタ_EOLリスト[[#This Row],[製品型番]])=0,"記載なし","")</f>
        <v/>
      </c>
      <c r="BO43" t="str">
        <f>IF(COUNTIFS('在庫使用計画 (法人)'!C:C,マスタ_EOLリスト[[#This Row],[製品型番]])=0,"記載なし","")</f>
        <v/>
      </c>
      <c r="BP43" t="str">
        <f>IF(COUNTIFS('在庫使用計画 (全体実績+予測）0701'!C:C,マスタ_EOLリスト[[#This Row],[製品型番]])=0,"記載なし","")</f>
        <v/>
      </c>
      <c r="BQ43" t="str">
        <f ca="1">IF(COUNTIFS('在庫使用計画 (計画　予測)'!C:C,マスタ_EOLリスト[[#This Row],[製品型番]])=0,"記載なし","")</f>
        <v/>
      </c>
      <c r="BR43" t="str">
        <f>IF(COUNTIFS(在庫確認!B:B,マスタ_EOLリスト[[#This Row],[製品型番]])=0,"記載なし","")</f>
        <v/>
      </c>
      <c r="BS43" t="e">
        <f>COUNTIF(#REF!,マスタ_EOLリスト[[#This Row],[製品型番]])</f>
        <v>#REF!</v>
      </c>
    </row>
    <row r="44" spans="1:71">
      <c r="A44" t="str">
        <v>RL7C-R45-4</v>
      </c>
      <c r="B44" t="s">
        <v>147</v>
      </c>
      <c r="C44" t="s">
        <v>148</v>
      </c>
      <c r="D44" t="s">
        <v>355</v>
      </c>
      <c r="E44">
        <v>304067</v>
      </c>
      <c r="F44" t="s">
        <v>361</v>
      </c>
      <c r="G44" t="s">
        <v>357</v>
      </c>
      <c r="H44" t="s">
        <v>358</v>
      </c>
      <c r="I44">
        <v>14</v>
      </c>
      <c r="K44" t="s">
        <v>268</v>
      </c>
      <c r="L44">
        <v>4050</v>
      </c>
      <c r="M44">
        <v>290</v>
      </c>
      <c r="N44">
        <v>290</v>
      </c>
      <c r="O44" t="s">
        <v>362</v>
      </c>
      <c r="R44" t="s">
        <v>363</v>
      </c>
      <c r="AW44" t="b">
        <v>1</v>
      </c>
      <c r="AX44" t="s">
        <v>364</v>
      </c>
      <c r="BJ44" t="s">
        <v>334</v>
      </c>
      <c r="BM44" t="str">
        <f>IF(COUNTIFS('在庫使用計画 (ノート全体試算)'!C:C,マスタ_EOLリスト[[#This Row],[製品型番]])=0,"記載なし","")</f>
        <v/>
      </c>
      <c r="BN44" t="str">
        <f>IF(COUNTIFS('在庫使用計画 (一般)'!C:C,マスタ_EOLリスト[[#This Row],[製品型番]])=0,"記載なし","")</f>
        <v/>
      </c>
      <c r="BO44" t="str">
        <f>IF(COUNTIFS('在庫使用計画 (法人)'!C:C,マスタ_EOLリスト[[#This Row],[製品型番]])=0,"記載なし","")</f>
        <v/>
      </c>
      <c r="BP44" t="str">
        <f>IF(COUNTIFS('在庫使用計画 (全体実績+予測）0701'!C:C,マスタ_EOLリスト[[#This Row],[製品型番]])=0,"記載なし","")</f>
        <v/>
      </c>
      <c r="BQ44" t="str">
        <f ca="1">IF(COUNTIFS('在庫使用計画 (計画　予測)'!C:C,マスタ_EOLリスト[[#This Row],[製品型番]])=0,"記載なし","")</f>
        <v/>
      </c>
      <c r="BR44" t="str">
        <f>IF(COUNTIFS(在庫確認!B:B,マスタ_EOLリスト[[#This Row],[製品型番]])=0,"記載なし","")</f>
        <v/>
      </c>
      <c r="BS44" t="e">
        <f>COUNTIF(#REF!,マスタ_EOLリスト[[#This Row],[製品型番]])</f>
        <v>#REF!</v>
      </c>
    </row>
    <row r="45" spans="1:71">
      <c r="A45" t="str">
        <v>RL7C-R45-4</v>
      </c>
      <c r="B45" t="s">
        <v>142</v>
      </c>
      <c r="C45" t="s">
        <v>148</v>
      </c>
      <c r="D45" t="s">
        <v>355</v>
      </c>
      <c r="E45">
        <v>193186</v>
      </c>
      <c r="F45" t="s">
        <v>365</v>
      </c>
      <c r="G45" t="s">
        <v>357</v>
      </c>
      <c r="H45" t="s">
        <v>366</v>
      </c>
      <c r="K45" t="s">
        <v>268</v>
      </c>
      <c r="L45">
        <v>4050</v>
      </c>
      <c r="M45">
        <v>0</v>
      </c>
      <c r="N45">
        <v>0</v>
      </c>
      <c r="O45" t="s">
        <v>367</v>
      </c>
      <c r="P45">
        <v>45463</v>
      </c>
      <c r="Q45" t="s">
        <v>178</v>
      </c>
      <c r="U45" t="s">
        <v>166</v>
      </c>
      <c r="V45">
        <v>900</v>
      </c>
      <c r="W45">
        <v>706</v>
      </c>
      <c r="Z45" t="s">
        <v>360</v>
      </c>
      <c r="AK45">
        <v>194888</v>
      </c>
      <c r="AL45">
        <v>45435</v>
      </c>
      <c r="AM45">
        <v>450</v>
      </c>
      <c r="AN45" t="s">
        <v>251</v>
      </c>
      <c r="AW45" t="s">
        <v>21</v>
      </c>
      <c r="AX45" t="s">
        <v>144</v>
      </c>
      <c r="BA45" t="s">
        <v>160</v>
      </c>
      <c r="BB45" t="s">
        <v>160</v>
      </c>
      <c r="BC45" t="s">
        <v>160</v>
      </c>
      <c r="BD45" t="s">
        <v>160</v>
      </c>
      <c r="BM45" t="str">
        <f>IF(COUNTIFS('在庫使用計画 (ノート全体試算)'!C:C,マスタ_EOLリスト[[#This Row],[製品型番]])=0,"記載なし","")</f>
        <v/>
      </c>
      <c r="BN45" t="str">
        <f>IF(COUNTIFS('在庫使用計画 (一般)'!C:C,マスタ_EOLリスト[[#This Row],[製品型番]])=0,"記載なし","")</f>
        <v/>
      </c>
      <c r="BO45" t="str">
        <f>IF(COUNTIFS('在庫使用計画 (法人)'!C:C,マスタ_EOLリスト[[#This Row],[製品型番]])=0,"記載なし","")</f>
        <v/>
      </c>
      <c r="BP45" t="str">
        <f>IF(COUNTIFS('在庫使用計画 (全体実績+予測）0701'!C:C,マスタ_EOLリスト[[#This Row],[製品型番]])=0,"記載なし","")</f>
        <v/>
      </c>
      <c r="BQ45" t="str">
        <f ca="1">IF(COUNTIFS('在庫使用計画 (計画　予測)'!C:C,マスタ_EOLリスト[[#This Row],[製品型番]])=0,"記載なし","")</f>
        <v/>
      </c>
      <c r="BR45" t="str">
        <f>IF(COUNTIFS(在庫確認!B:B,マスタ_EOLリスト[[#This Row],[製品型番]])=0,"記載なし","")</f>
        <v/>
      </c>
      <c r="BS45" t="e">
        <f>COUNTIF(#REF!,マスタ_EOLリスト[[#This Row],[製品型番]])</f>
        <v>#REF!</v>
      </c>
    </row>
    <row r="46" spans="1:71">
      <c r="A46" t="str">
        <v>RL7C-R35N</v>
      </c>
      <c r="B46" t="s">
        <v>142</v>
      </c>
      <c r="C46" t="s">
        <v>148</v>
      </c>
      <c r="D46" t="s">
        <v>368</v>
      </c>
      <c r="E46">
        <v>187688</v>
      </c>
      <c r="F46" t="s">
        <v>369</v>
      </c>
      <c r="G46" t="s">
        <v>326</v>
      </c>
      <c r="H46" t="s">
        <v>370</v>
      </c>
      <c r="K46" t="s">
        <v>371</v>
      </c>
      <c r="L46">
        <v>3050</v>
      </c>
      <c r="M46">
        <v>0</v>
      </c>
      <c r="N46">
        <v>0</v>
      </c>
      <c r="P46">
        <v>45267</v>
      </c>
      <c r="Q46" t="s">
        <v>178</v>
      </c>
      <c r="V46">
        <v>3600</v>
      </c>
      <c r="W46">
        <v>2160</v>
      </c>
      <c r="Z46">
        <v>193184</v>
      </c>
      <c r="AA46" t="s">
        <v>372</v>
      </c>
      <c r="AC46" t="s">
        <v>373</v>
      </c>
      <c r="AH46" t="s">
        <v>374</v>
      </c>
      <c r="AL46">
        <v>45471</v>
      </c>
      <c r="AM46">
        <v>80</v>
      </c>
      <c r="AN46" t="s">
        <v>266</v>
      </c>
      <c r="AO46">
        <v>19</v>
      </c>
      <c r="AP46">
        <v>7.89</v>
      </c>
      <c r="AQ46" t="s">
        <v>156</v>
      </c>
      <c r="AW46" t="s">
        <v>21</v>
      </c>
      <c r="AX46" t="s">
        <v>144</v>
      </c>
      <c r="BA46" t="s">
        <v>160</v>
      </c>
      <c r="BB46" t="s">
        <v>160</v>
      </c>
      <c r="BC46" t="s">
        <v>160</v>
      </c>
      <c r="BD46" t="s">
        <v>160</v>
      </c>
      <c r="BM46" t="str">
        <f>IF(COUNTIFS('在庫使用計画 (ノート全体試算)'!C:C,マスタ_EOLリスト[[#This Row],[製品型番]])=0,"記載なし","")</f>
        <v/>
      </c>
      <c r="BN46" t="str">
        <f>IF(COUNTIFS('在庫使用計画 (一般)'!C:C,マスタ_EOLリスト[[#This Row],[製品型番]])=0,"記載なし","")</f>
        <v>記載なし</v>
      </c>
      <c r="BO46" t="str">
        <f>IF(COUNTIFS('在庫使用計画 (法人)'!C:C,マスタ_EOLリスト[[#This Row],[製品型番]])=0,"記載なし","")</f>
        <v/>
      </c>
      <c r="BP46" t="str">
        <f>IF(COUNTIFS('在庫使用計画 (全体実績+予測）0701'!C:C,マスタ_EOLリスト[[#This Row],[製品型番]])=0,"記載なし","")</f>
        <v/>
      </c>
      <c r="BQ46" t="str">
        <f ca="1">IF(COUNTIFS('在庫使用計画 (計画　予測)'!C:C,マスタ_EOLリスト[[#This Row],[製品型番]])=0,"記載なし","")</f>
        <v>記載なし</v>
      </c>
      <c r="BR46" t="str">
        <f>IF(COUNTIFS(在庫確認!B:B,マスタ_EOLリスト[[#This Row],[製品型番]])=0,"記載なし","")</f>
        <v/>
      </c>
      <c r="BS46" t="e">
        <f>COUNTIF(#REF!,マスタ_EOLリスト[[#This Row],[製品型番]])</f>
        <v>#REF!</v>
      </c>
    </row>
    <row r="47" spans="1:71">
      <c r="A47" t="str">
        <v>RL7C-R35-5N</v>
      </c>
      <c r="B47" t="s">
        <v>142</v>
      </c>
      <c r="C47" t="s">
        <v>148</v>
      </c>
      <c r="D47" t="s">
        <v>336</v>
      </c>
      <c r="E47">
        <v>193184</v>
      </c>
      <c r="F47" t="s">
        <v>375</v>
      </c>
      <c r="G47" t="s">
        <v>326</v>
      </c>
      <c r="H47" t="s">
        <v>376</v>
      </c>
      <c r="K47" t="s">
        <v>318</v>
      </c>
      <c r="L47">
        <v>3050</v>
      </c>
      <c r="M47">
        <v>0</v>
      </c>
      <c r="N47">
        <v>0</v>
      </c>
      <c r="O47" t="s">
        <v>377</v>
      </c>
      <c r="P47">
        <v>45428</v>
      </c>
      <c r="Q47" t="s">
        <v>378</v>
      </c>
      <c r="U47" t="s">
        <v>166</v>
      </c>
      <c r="V47">
        <v>3000</v>
      </c>
      <c r="W47">
        <v>3576</v>
      </c>
      <c r="Z47">
        <v>199024</v>
      </c>
      <c r="AA47" t="s">
        <v>337</v>
      </c>
      <c r="AK47">
        <v>194885</v>
      </c>
      <c r="AL47">
        <v>45435</v>
      </c>
      <c r="AM47">
        <v>450</v>
      </c>
      <c r="AW47" t="s">
        <v>21</v>
      </c>
      <c r="AX47" t="s">
        <v>144</v>
      </c>
      <c r="BA47" t="s">
        <v>169</v>
      </c>
      <c r="BB47" t="s">
        <v>170</v>
      </c>
      <c r="BC47" t="s">
        <v>169</v>
      </c>
      <c r="BD47" t="s">
        <v>169</v>
      </c>
      <c r="BM47" t="str">
        <f>IF(COUNTIFS('在庫使用計画 (ノート全体試算)'!C:C,マスタ_EOLリスト[[#This Row],[製品型番]])=0,"記載なし","")</f>
        <v/>
      </c>
      <c r="BN47" t="str">
        <f>IF(COUNTIFS('在庫使用計画 (一般)'!C:C,マスタ_EOLリスト[[#This Row],[製品型番]])=0,"記載なし","")</f>
        <v/>
      </c>
      <c r="BO47" t="str">
        <f>IF(COUNTIFS('在庫使用計画 (法人)'!C:C,マスタ_EOLリスト[[#This Row],[製品型番]])=0,"記載なし","")</f>
        <v/>
      </c>
      <c r="BP47" t="str">
        <f>IF(COUNTIFS('在庫使用計画 (全体実績+予測）0701'!C:C,マスタ_EOLリスト[[#This Row],[製品型番]])=0,"記載なし","")</f>
        <v/>
      </c>
      <c r="BQ47" t="str">
        <f ca="1">IF(COUNTIFS('在庫使用計画 (計画　予測)'!C:C,マスタ_EOLリスト[[#This Row],[製品型番]])=0,"記載なし","")</f>
        <v/>
      </c>
      <c r="BR47" t="str">
        <f>IF(COUNTIFS(在庫確認!B:B,マスタ_EOLリスト[[#This Row],[製品型番]])=0,"記載なし","")</f>
        <v/>
      </c>
      <c r="BS47" t="e">
        <f>COUNTIF(#REF!,マスタ_EOLリスト[[#This Row],[製品型番]])</f>
        <v>#REF!</v>
      </c>
    </row>
    <row r="48" spans="1:71">
      <c r="A48" t="str">
        <v>RL7C-R35-5N</v>
      </c>
      <c r="B48" t="s">
        <v>142</v>
      </c>
      <c r="C48" t="s">
        <v>148</v>
      </c>
      <c r="D48" t="s">
        <v>336</v>
      </c>
      <c r="E48">
        <v>193184</v>
      </c>
      <c r="F48" t="s">
        <v>372</v>
      </c>
      <c r="G48" t="s">
        <v>326</v>
      </c>
      <c r="H48" t="s">
        <v>376</v>
      </c>
      <c r="K48" t="s">
        <v>318</v>
      </c>
      <c r="L48">
        <v>3050</v>
      </c>
      <c r="M48">
        <v>0</v>
      </c>
      <c r="N48">
        <v>0</v>
      </c>
      <c r="W48">
        <v>3576</v>
      </c>
      <c r="AN48" t="s">
        <v>251</v>
      </c>
      <c r="AW48" t="s">
        <v>21</v>
      </c>
      <c r="AX48" t="s">
        <v>144</v>
      </c>
      <c r="BA48" t="s">
        <v>169</v>
      </c>
      <c r="BB48" t="s">
        <v>170</v>
      </c>
      <c r="BC48" t="s">
        <v>169</v>
      </c>
      <c r="BD48" t="s">
        <v>169</v>
      </c>
      <c r="BM48" t="str">
        <f>IF(COUNTIFS('在庫使用計画 (ノート全体試算)'!C:C,マスタ_EOLリスト[[#This Row],[製品型番]])=0,"記載なし","")</f>
        <v/>
      </c>
      <c r="BN48" t="str">
        <f>IF(COUNTIFS('在庫使用計画 (一般)'!C:C,マスタ_EOLリスト[[#This Row],[製品型番]])=0,"記載なし","")</f>
        <v/>
      </c>
      <c r="BO48" t="str">
        <f>IF(COUNTIFS('在庫使用計画 (法人)'!C:C,マスタ_EOLリスト[[#This Row],[製品型番]])=0,"記載なし","")</f>
        <v/>
      </c>
      <c r="BP48" t="str">
        <f>IF(COUNTIFS('在庫使用計画 (全体実績+予測）0701'!C:C,マスタ_EOLリスト[[#This Row],[製品型番]])=0,"記載なし","")</f>
        <v/>
      </c>
      <c r="BQ48" t="str">
        <f ca="1">IF(COUNTIFS('在庫使用計画 (計画　予測)'!C:C,マスタ_EOLリスト[[#This Row],[製品型番]])=0,"記載なし","")</f>
        <v/>
      </c>
      <c r="BR48" t="str">
        <f>IF(COUNTIFS(在庫確認!B:B,マスタ_EOLリスト[[#This Row],[製品型番]])=0,"記載なし","")</f>
        <v/>
      </c>
      <c r="BS48" t="e">
        <f>COUNTIF(#REF!,マスタ_EOLリスト[[#This Row],[製品型番]])</f>
        <v>#REF!</v>
      </c>
    </row>
    <row r="49" spans="1:71">
      <c r="A49" t="str">
        <v>RL5R-G165</v>
      </c>
      <c r="B49" t="s">
        <v>142</v>
      </c>
      <c r="C49" t="s">
        <v>148</v>
      </c>
      <c r="D49" t="s">
        <v>379</v>
      </c>
      <c r="E49">
        <v>179164</v>
      </c>
      <c r="F49" t="s">
        <v>380</v>
      </c>
      <c r="G49" t="s">
        <v>326</v>
      </c>
      <c r="H49" t="s">
        <v>381</v>
      </c>
      <c r="K49" t="s">
        <v>382</v>
      </c>
      <c r="L49">
        <v>1650</v>
      </c>
      <c r="M49">
        <v>0</v>
      </c>
      <c r="N49">
        <v>0</v>
      </c>
      <c r="P49">
        <v>45056</v>
      </c>
      <c r="R49" t="s">
        <v>383</v>
      </c>
      <c r="U49" t="s">
        <v>384</v>
      </c>
      <c r="V49">
        <v>16830</v>
      </c>
      <c r="W49">
        <v>6420</v>
      </c>
      <c r="X49">
        <v>672</v>
      </c>
      <c r="Z49">
        <v>187577</v>
      </c>
      <c r="AA49" t="s">
        <v>385</v>
      </c>
      <c r="AI49" t="s">
        <v>386</v>
      </c>
      <c r="AJ49" t="s">
        <v>387</v>
      </c>
      <c r="AL49" t="s">
        <v>21</v>
      </c>
      <c r="AM49" t="s">
        <v>21</v>
      </c>
      <c r="AN49" t="s">
        <v>388</v>
      </c>
      <c r="AW49" t="s">
        <v>21</v>
      </c>
      <c r="AX49" t="s">
        <v>144</v>
      </c>
      <c r="BA49" t="s">
        <v>169</v>
      </c>
      <c r="BB49" t="s">
        <v>170</v>
      </c>
      <c r="BC49" t="s">
        <v>169</v>
      </c>
      <c r="BD49" t="s">
        <v>169</v>
      </c>
      <c r="BM49" t="str">
        <f>IF(COUNTIFS('在庫使用計画 (ノート全体試算)'!C:C,マスタ_EOLリスト[[#This Row],[製品型番]])=0,"記載なし","")</f>
        <v/>
      </c>
      <c r="BN49" t="str">
        <f>IF(COUNTIFS('在庫使用計画 (一般)'!C:C,マスタ_EOLリスト[[#This Row],[製品型番]])=0,"記載なし","")</f>
        <v/>
      </c>
      <c r="BO49" t="str">
        <f>IF(COUNTIFS('在庫使用計画 (法人)'!C:C,マスタ_EOLリスト[[#This Row],[製品型番]])=0,"記載なし","")</f>
        <v/>
      </c>
      <c r="BP49" t="str">
        <f>IF(COUNTIFS('在庫使用計画 (全体実績+予測）0701'!C:C,マスタ_EOLリスト[[#This Row],[製品型番]])=0,"記載なし","")</f>
        <v/>
      </c>
      <c r="BQ49" t="str">
        <f ca="1">IF(COUNTIFS('在庫使用計画 (計画　予測)'!C:C,マスタ_EOLリスト[[#This Row],[製品型番]])=0,"記載なし","")</f>
        <v>記載なし</v>
      </c>
      <c r="BR49" t="str">
        <f>IF(COUNTIFS(在庫確認!B:B,マスタ_EOLリスト[[#This Row],[製品型番]])=0,"記載なし","")</f>
        <v/>
      </c>
      <c r="BS49" t="e">
        <f>COUNTIF(#REF!,マスタ_EOLリスト[[#This Row],[製品型番]])</f>
        <v>#REF!</v>
      </c>
    </row>
    <row r="50" spans="1:71">
      <c r="A50" t="str">
        <v>RL5C-R35N</v>
      </c>
      <c r="B50" t="s">
        <v>142</v>
      </c>
      <c r="C50" t="s">
        <v>148</v>
      </c>
      <c r="D50" t="s">
        <v>342</v>
      </c>
      <c r="E50">
        <v>187577</v>
      </c>
      <c r="F50" t="s">
        <v>385</v>
      </c>
      <c r="G50" t="s">
        <v>326</v>
      </c>
      <c r="H50" t="s">
        <v>344</v>
      </c>
      <c r="K50" t="s">
        <v>345</v>
      </c>
      <c r="L50">
        <v>3050</v>
      </c>
      <c r="M50">
        <v>0</v>
      </c>
      <c r="N50">
        <v>0</v>
      </c>
      <c r="P50">
        <v>45267</v>
      </c>
      <c r="Q50" t="s">
        <v>389</v>
      </c>
      <c r="U50" t="s">
        <v>166</v>
      </c>
      <c r="V50">
        <v>12800</v>
      </c>
      <c r="W50">
        <v>3720</v>
      </c>
      <c r="Z50">
        <v>199025</v>
      </c>
      <c r="AA50" t="s">
        <v>343</v>
      </c>
      <c r="AC50" t="s">
        <v>373</v>
      </c>
      <c r="AH50" t="s">
        <v>374</v>
      </c>
      <c r="AK50">
        <v>188473</v>
      </c>
      <c r="AL50">
        <v>45435</v>
      </c>
      <c r="AM50">
        <v>500</v>
      </c>
      <c r="AN50" t="s">
        <v>266</v>
      </c>
      <c r="AO50">
        <v>19</v>
      </c>
      <c r="AP50">
        <v>7.89</v>
      </c>
      <c r="AQ50" t="s">
        <v>156</v>
      </c>
      <c r="AW50" t="s">
        <v>21</v>
      </c>
      <c r="AX50" t="s">
        <v>144</v>
      </c>
      <c r="BM50" t="str">
        <f>IF(COUNTIFS('在庫使用計画 (ノート全体試算)'!C:C,マスタ_EOLリスト[[#This Row],[製品型番]])=0,"記載なし","")</f>
        <v/>
      </c>
      <c r="BN50" t="str">
        <f>IF(COUNTIFS('在庫使用計画 (一般)'!C:C,マスタ_EOLリスト[[#This Row],[製品型番]])=0,"記載なし","")</f>
        <v/>
      </c>
      <c r="BO50" t="str">
        <f>IF(COUNTIFS('在庫使用計画 (法人)'!C:C,マスタ_EOLリスト[[#This Row],[製品型番]])=0,"記載なし","")</f>
        <v/>
      </c>
      <c r="BP50" t="str">
        <f>IF(COUNTIFS('在庫使用計画 (全体実績+予測）0701'!C:C,マスタ_EOLリスト[[#This Row],[製品型番]])=0,"記載なし","")</f>
        <v/>
      </c>
      <c r="BQ50" t="str">
        <f ca="1">IF(COUNTIFS('在庫使用計画 (計画　予測)'!C:C,マスタ_EOLリスト[[#This Row],[製品型番]])=0,"記載なし","")</f>
        <v/>
      </c>
      <c r="BR50" t="str">
        <f>IF(COUNTIFS(在庫確認!B:B,マスタ_EOLリスト[[#This Row],[製品型番]])=0,"記載なし","")</f>
        <v/>
      </c>
      <c r="BS50" t="e">
        <f>COUNTIF(#REF!,マスタ_EOLリスト[[#This Row],[製品型番]])</f>
        <v>#REF!</v>
      </c>
    </row>
    <row r="51" spans="1:71">
      <c r="A51" t="str">
        <v>NPR7L-R55-G5</v>
      </c>
      <c r="B51" t="s">
        <v>390</v>
      </c>
      <c r="C51" t="s">
        <v>148</v>
      </c>
      <c r="D51" t="s">
        <v>391</v>
      </c>
      <c r="G51" t="s">
        <v>392</v>
      </c>
      <c r="H51" t="s">
        <v>393</v>
      </c>
      <c r="I51">
        <v>15</v>
      </c>
      <c r="L51">
        <v>5050</v>
      </c>
      <c r="M51">
        <v>0</v>
      </c>
      <c r="N51">
        <v>0</v>
      </c>
      <c r="AW51" t="s">
        <v>21</v>
      </c>
      <c r="AX51" t="s">
        <v>144</v>
      </c>
      <c r="BJ51" t="s">
        <v>253</v>
      </c>
      <c r="BM51" t="str">
        <f>IF(COUNTIFS('在庫使用計画 (ノート全体試算)'!C:C,マスタ_EOLリスト[[#This Row],[製品型番]])=0,"記載なし","")</f>
        <v/>
      </c>
      <c r="BN51" t="str">
        <f>IF(COUNTIFS('在庫使用計画 (一般)'!C:C,マスタ_EOLリスト[[#This Row],[製品型番]])=0,"記載なし","")</f>
        <v/>
      </c>
      <c r="BO51" t="str">
        <f>IF(COUNTIFS('在庫使用計画 (法人)'!C:C,マスタ_EOLリスト[[#This Row],[製品型番]])=0,"記載なし","")</f>
        <v/>
      </c>
      <c r="BP51" t="str">
        <f>IF(COUNTIFS('在庫使用計画 (全体実績+予測）0701'!C:C,マスタ_EOLリスト[[#This Row],[製品型番]])=0,"記載なし","")</f>
        <v/>
      </c>
      <c r="BQ51" t="str">
        <f ca="1">IF(COUNTIFS('在庫使用計画 (計画　予測)'!C:C,マスタ_EOLリスト[[#This Row],[製品型番]])=0,"記載なし","")</f>
        <v/>
      </c>
      <c r="BR51" t="str">
        <f>IF(COUNTIFS(在庫確認!B:B,マスタ_EOLリスト[[#This Row],[製品型番]])=0,"記載なし","")</f>
        <v>記載なし</v>
      </c>
      <c r="BS51" t="e">
        <f>COUNTIF(#REF!,マスタ_EOLリスト[[#This Row],[製品型番]])</f>
        <v>#REF!</v>
      </c>
    </row>
    <row r="52" spans="1:71">
      <c r="A52" t="str">
        <v>NPC7L-R57-G5</v>
      </c>
      <c r="B52" t="s">
        <v>390</v>
      </c>
      <c r="C52" t="s">
        <v>148</v>
      </c>
      <c r="D52" t="s">
        <v>394</v>
      </c>
      <c r="G52" t="s">
        <v>392</v>
      </c>
      <c r="H52" t="s">
        <v>395</v>
      </c>
      <c r="I52">
        <v>15</v>
      </c>
      <c r="L52">
        <v>5070</v>
      </c>
      <c r="M52">
        <v>0</v>
      </c>
      <c r="N52">
        <v>0</v>
      </c>
      <c r="AW52" t="s">
        <v>21</v>
      </c>
      <c r="AX52" t="s">
        <v>144</v>
      </c>
      <c r="BJ52" t="s">
        <v>253</v>
      </c>
      <c r="BM52" t="str">
        <f>IF(COUNTIFS('在庫使用計画 (ノート全体試算)'!C:C,マスタ_EOLリスト[[#This Row],[製品型番]])=0,"記載なし","")</f>
        <v/>
      </c>
      <c r="BN52" t="str">
        <f>IF(COUNTIFS('在庫使用計画 (一般)'!C:C,マスタ_EOLリスト[[#This Row],[製品型番]])=0,"記載なし","")</f>
        <v/>
      </c>
      <c r="BO52" t="str">
        <f>IF(COUNTIFS('在庫使用計画 (法人)'!C:C,マスタ_EOLリスト[[#This Row],[製品型番]])=0,"記載なし","")</f>
        <v/>
      </c>
      <c r="BP52" t="str">
        <f>IF(COUNTIFS('在庫使用計画 (全体実績+予測）0701'!C:C,マスタ_EOLリスト[[#This Row],[製品型番]])=0,"記載なし","")</f>
        <v/>
      </c>
      <c r="BQ52" t="str">
        <f ca="1">IF(COUNTIFS('在庫使用計画 (計画　予測)'!C:C,マスタ_EOLリスト[[#This Row],[製品型番]])=0,"記載なし","")</f>
        <v/>
      </c>
      <c r="BR52" t="str">
        <f>IF(COUNTIFS(在庫確認!B:B,マスタ_EOLリスト[[#This Row],[製品型番]])=0,"記載なし","")</f>
        <v>記載なし</v>
      </c>
      <c r="BS52" t="e">
        <f>COUNTIF(#REF!,マスタ_EOLリスト[[#This Row],[製品型番]])</f>
        <v>#REF!</v>
      </c>
    </row>
    <row r="53" spans="1:71">
      <c r="A53" t="str">
        <v>NPC7L-R56-G5</v>
      </c>
      <c r="B53" t="s">
        <v>390</v>
      </c>
      <c r="C53" t="s">
        <v>148</v>
      </c>
      <c r="D53" t="s">
        <v>306</v>
      </c>
      <c r="E53">
        <v>353328</v>
      </c>
      <c r="F53" t="s">
        <v>396</v>
      </c>
      <c r="G53" t="s">
        <v>392</v>
      </c>
      <c r="H53" t="s">
        <v>397</v>
      </c>
      <c r="I53">
        <v>15</v>
      </c>
      <c r="L53">
        <v>5060</v>
      </c>
      <c r="M53">
        <v>0</v>
      </c>
      <c r="N53">
        <v>1355</v>
      </c>
      <c r="AW53" t="b">
        <v>1</v>
      </c>
      <c r="AX53" t="s">
        <v>144</v>
      </c>
      <c r="BJ53" t="s">
        <v>253</v>
      </c>
      <c r="BM53" t="str">
        <f>IF(COUNTIFS('在庫使用計画 (ノート全体試算)'!C:C,マスタ_EOLリスト[[#This Row],[製品型番]])=0,"記載なし","")</f>
        <v/>
      </c>
      <c r="BN53" t="str">
        <f>IF(COUNTIFS('在庫使用計画 (一般)'!C:C,マスタ_EOLリスト[[#This Row],[製品型番]])=0,"記載なし","")</f>
        <v/>
      </c>
      <c r="BO53" t="str">
        <f>IF(COUNTIFS('在庫使用計画 (法人)'!C:C,マスタ_EOLリスト[[#This Row],[製品型番]])=0,"記載なし","")</f>
        <v/>
      </c>
      <c r="BP53" t="str">
        <f>IF(COUNTIFS('在庫使用計画 (全体実績+予測）0701'!C:C,マスタ_EOLリスト[[#This Row],[製品型番]])=0,"記載なし","")</f>
        <v/>
      </c>
      <c r="BQ53" t="str">
        <f ca="1">IF(COUNTIFS('在庫使用計画 (計画　予測)'!C:C,マスタ_EOLリスト[[#This Row],[製品型番]])=0,"記載なし","")</f>
        <v/>
      </c>
      <c r="BR53" t="str">
        <f>IF(COUNTIFS(在庫確認!B:B,マスタ_EOLリスト[[#This Row],[製品型番]])=0,"記載なし","")</f>
        <v>記載なし</v>
      </c>
      <c r="BS53" t="e">
        <f>COUNTIF(#REF!,マスタ_EOLリスト[[#This Row],[製品型番]])</f>
        <v>#REF!</v>
      </c>
    </row>
    <row r="54" spans="1:71">
      <c r="A54" t="str">
        <v>NPC5L-R55-G5</v>
      </c>
      <c r="B54" t="s">
        <v>390</v>
      </c>
      <c r="C54" t="s">
        <v>148</v>
      </c>
      <c r="D54" t="s">
        <v>334</v>
      </c>
      <c r="E54">
        <v>353329</v>
      </c>
      <c r="F54" t="s">
        <v>398</v>
      </c>
      <c r="G54" t="s">
        <v>326</v>
      </c>
      <c r="H54" t="s">
        <v>399</v>
      </c>
      <c r="I54">
        <v>15</v>
      </c>
      <c r="L54">
        <v>5050</v>
      </c>
      <c r="M54">
        <v>0</v>
      </c>
      <c r="N54">
        <v>1805</v>
      </c>
      <c r="AW54" t="b">
        <v>1</v>
      </c>
      <c r="AX54" t="s">
        <v>144</v>
      </c>
      <c r="BJ54" t="s">
        <v>253</v>
      </c>
      <c r="BM54" t="str">
        <f>IF(COUNTIFS('在庫使用計画 (ノート全体試算)'!C:C,マスタ_EOLリスト[[#This Row],[製品型番]])=0,"記載なし","")</f>
        <v/>
      </c>
      <c r="BN54" t="str">
        <f>IF(COUNTIFS('在庫使用計画 (一般)'!C:C,マスタ_EOLリスト[[#This Row],[製品型番]])=0,"記載なし","")</f>
        <v/>
      </c>
      <c r="BO54" t="str">
        <f>IF(COUNTIFS('在庫使用計画 (法人)'!C:C,マスタ_EOLリスト[[#This Row],[製品型番]])=0,"記載なし","")</f>
        <v/>
      </c>
      <c r="BP54" t="str">
        <f>IF(COUNTIFS('在庫使用計画 (全体実績+予測）0701'!C:C,マスタ_EOLリスト[[#This Row],[製品型番]])=0,"記載なし","")</f>
        <v/>
      </c>
      <c r="BQ54" t="str">
        <f ca="1">IF(COUNTIFS('在庫使用計画 (計画　予測)'!C:C,マスタ_EOLリスト[[#This Row],[製品型番]])=0,"記載なし","")</f>
        <v/>
      </c>
      <c r="BR54" t="str">
        <f>IF(COUNTIFS(在庫確認!B:B,マスタ_EOLリスト[[#This Row],[製品型番]])=0,"記載なし","")</f>
        <v>記載なし</v>
      </c>
      <c r="BS54" t="e">
        <f>COUNTIF(#REF!,マスタ_EOLリスト[[#This Row],[製品型番]])</f>
        <v>#REF!</v>
      </c>
    </row>
    <row r="55" spans="1:71">
      <c r="A55" t="str">
        <v>RM7C-R45</v>
      </c>
      <c r="B55" t="s">
        <v>142</v>
      </c>
      <c r="C55" t="s">
        <v>148</v>
      </c>
      <c r="D55" t="s">
        <v>44</v>
      </c>
      <c r="E55">
        <v>185107</v>
      </c>
      <c r="F55" t="s">
        <v>400</v>
      </c>
      <c r="G55" t="s">
        <v>401</v>
      </c>
      <c r="H55" t="s">
        <v>43</v>
      </c>
      <c r="K55" t="s">
        <v>288</v>
      </c>
      <c r="L55">
        <v>4050</v>
      </c>
      <c r="M55">
        <v>0</v>
      </c>
      <c r="N55">
        <v>0</v>
      </c>
      <c r="P55">
        <v>45246</v>
      </c>
      <c r="Q55" t="s">
        <v>178</v>
      </c>
      <c r="W55">
        <v>900</v>
      </c>
      <c r="Z55" t="s">
        <v>234</v>
      </c>
      <c r="AB55" t="s">
        <v>234</v>
      </c>
      <c r="AH55" t="s">
        <v>402</v>
      </c>
      <c r="AL55">
        <v>45471</v>
      </c>
      <c r="AM55">
        <v>80</v>
      </c>
      <c r="AW55" t="s">
        <v>21</v>
      </c>
      <c r="AX55" t="s">
        <v>144</v>
      </c>
      <c r="BM55" t="str">
        <f>IF(COUNTIFS('在庫使用計画 (ノート全体試算)'!C:C,マスタ_EOLリスト[[#This Row],[製品型番]])=0,"記載なし","")</f>
        <v/>
      </c>
      <c r="BN55" t="str">
        <f>IF(COUNTIFS('在庫使用計画 (一般)'!C:C,マスタ_EOLリスト[[#This Row],[製品型番]])=0,"記載なし","")</f>
        <v>記載なし</v>
      </c>
      <c r="BO55" t="str">
        <f>IF(COUNTIFS('在庫使用計画 (法人)'!C:C,マスタ_EOLリスト[[#This Row],[製品型番]])=0,"記載なし","")</f>
        <v/>
      </c>
      <c r="BP55" t="str">
        <f>IF(COUNTIFS('在庫使用計画 (全体実績+予測）0701'!C:C,マスタ_EOLリスト[[#This Row],[製品型番]])=0,"記載なし","")</f>
        <v/>
      </c>
      <c r="BQ55" t="str">
        <f ca="1">IF(COUNTIFS('在庫使用計画 (計画　予測)'!C:C,マスタ_EOLリスト[[#This Row],[製品型番]])=0,"記載なし","")</f>
        <v>記載なし</v>
      </c>
      <c r="BR55" t="str">
        <f>IF(COUNTIFS(在庫確認!B:B,マスタ_EOLリスト[[#This Row],[製品型番]])=0,"記載なし","")</f>
        <v>記載なし</v>
      </c>
      <c r="BS55" t="e">
        <f>COUNTIF(#REF!,マスタ_EOLリスト[[#This Row],[製品型番]])</f>
        <v>#REF!</v>
      </c>
    </row>
    <row r="56" spans="1:71">
      <c r="A56" t="str">
        <v>UL9C-R49-C6</v>
      </c>
      <c r="B56" t="s">
        <v>142</v>
      </c>
      <c r="C56" t="s">
        <v>403</v>
      </c>
      <c r="D56" t="s">
        <v>404</v>
      </c>
      <c r="E56">
        <v>199018</v>
      </c>
      <c r="F56" t="s">
        <v>405</v>
      </c>
      <c r="G56" t="s">
        <v>162</v>
      </c>
      <c r="H56" t="s">
        <v>23</v>
      </c>
      <c r="I56">
        <v>16</v>
      </c>
      <c r="K56" t="s">
        <v>164</v>
      </c>
      <c r="L56">
        <v>4090</v>
      </c>
      <c r="M56">
        <v>0</v>
      </c>
      <c r="N56">
        <v>0</v>
      </c>
      <c r="R56" t="s">
        <v>173</v>
      </c>
      <c r="Z56">
        <v>212347</v>
      </c>
      <c r="AC56" t="s">
        <v>406</v>
      </c>
      <c r="AK56">
        <v>207655</v>
      </c>
      <c r="AL56">
        <v>45525</v>
      </c>
      <c r="AM56">
        <v>70</v>
      </c>
      <c r="AN56" t="s">
        <v>168</v>
      </c>
      <c r="AW56" t="s">
        <v>21</v>
      </c>
      <c r="AX56" t="s">
        <v>144</v>
      </c>
      <c r="BA56" t="s">
        <v>207</v>
      </c>
      <c r="BB56" t="s">
        <v>207</v>
      </c>
      <c r="BC56" t="s">
        <v>207</v>
      </c>
      <c r="BD56" t="s">
        <v>207</v>
      </c>
      <c r="BM56" t="str">
        <f>IF(COUNTIFS('在庫使用計画 (ノート全体試算)'!C:C,マスタ_EOLリスト[[#This Row],[製品型番]])=0,"記載なし","")</f>
        <v/>
      </c>
      <c r="BN56" t="str">
        <f>IF(COUNTIFS('在庫使用計画 (一般)'!C:C,マスタ_EOLリスト[[#This Row],[製品型番]])=0,"記載なし","")</f>
        <v>記載なし</v>
      </c>
      <c r="BO56" t="str">
        <f>IF(COUNTIFS('在庫使用計画 (法人)'!C:C,マスタ_EOLリスト[[#This Row],[製品型番]])=0,"記載なし","")</f>
        <v/>
      </c>
      <c r="BP56" t="str">
        <f>IF(COUNTIFS('在庫使用計画 (全体実績+予測）0701'!C:C,マスタ_EOLリスト[[#This Row],[製品型番]])=0,"記載なし","")</f>
        <v/>
      </c>
      <c r="BQ56" t="str">
        <f ca="1">IF(COUNTIFS('在庫使用計画 (計画　予測)'!C:C,マスタ_EOLリスト[[#This Row],[製品型番]])=0,"記載なし","")</f>
        <v>記載なし</v>
      </c>
      <c r="BR56" t="str">
        <f>IF(COUNTIFS(在庫確認!B:B,マスタ_EOLリスト[[#This Row],[製品型番]])=0,"記載なし","")</f>
        <v/>
      </c>
      <c r="BS56" t="e">
        <f>COUNTIF(#REF!,マスタ_EOLリスト[[#This Row],[製品型番]])</f>
        <v>#REF!</v>
      </c>
    </row>
    <row r="57" spans="1:71">
      <c r="A57" t="str">
        <v>UL9C-R49-C6</v>
      </c>
      <c r="B57" t="s">
        <v>142</v>
      </c>
      <c r="C57" t="s">
        <v>403</v>
      </c>
      <c r="D57" t="s">
        <v>404</v>
      </c>
      <c r="E57">
        <v>193190</v>
      </c>
      <c r="F57" t="s">
        <v>407</v>
      </c>
      <c r="G57" t="s">
        <v>162</v>
      </c>
      <c r="H57" t="s">
        <v>23</v>
      </c>
      <c r="K57" t="s">
        <v>164</v>
      </c>
      <c r="L57">
        <v>4090</v>
      </c>
      <c r="M57">
        <v>0</v>
      </c>
      <c r="N57">
        <v>0</v>
      </c>
      <c r="P57">
        <v>45428</v>
      </c>
      <c r="Q57" t="s">
        <v>178</v>
      </c>
      <c r="U57" t="s">
        <v>166</v>
      </c>
      <c r="V57">
        <v>150</v>
      </c>
      <c r="W57">
        <v>146</v>
      </c>
      <c r="AK57">
        <v>194884</v>
      </c>
      <c r="AL57">
        <v>45519</v>
      </c>
      <c r="AM57">
        <v>10</v>
      </c>
      <c r="AN57" t="s">
        <v>168</v>
      </c>
      <c r="AW57" t="s">
        <v>21</v>
      </c>
      <c r="AX57" t="s">
        <v>144</v>
      </c>
      <c r="BA57" t="s">
        <v>207</v>
      </c>
      <c r="BB57" t="s">
        <v>207</v>
      </c>
      <c r="BC57" t="s">
        <v>207</v>
      </c>
      <c r="BD57" t="s">
        <v>207</v>
      </c>
      <c r="BM57" t="str">
        <f>IF(COUNTIFS('在庫使用計画 (ノート全体試算)'!C:C,マスタ_EOLリスト[[#This Row],[製品型番]])=0,"記載なし","")</f>
        <v/>
      </c>
      <c r="BN57" t="str">
        <f>IF(COUNTIFS('在庫使用計画 (一般)'!C:C,マスタ_EOLリスト[[#This Row],[製品型番]])=0,"記載なし","")</f>
        <v>記載なし</v>
      </c>
      <c r="BO57" t="str">
        <f>IF(COUNTIFS('在庫使用計画 (法人)'!C:C,マスタ_EOLリスト[[#This Row],[製品型番]])=0,"記載なし","")</f>
        <v/>
      </c>
      <c r="BP57" t="str">
        <f>IF(COUNTIFS('在庫使用計画 (全体実績+予測）0701'!C:C,マスタ_EOLリスト[[#This Row],[製品型番]])=0,"記載なし","")</f>
        <v/>
      </c>
      <c r="BQ57" t="str">
        <f ca="1">IF(COUNTIFS('在庫使用計画 (計画　予測)'!C:C,マスタ_EOLリスト[[#This Row],[製品型番]])=0,"記載なし","")</f>
        <v>記載なし</v>
      </c>
      <c r="BR57" t="str">
        <f>IF(COUNTIFS(在庫確認!B:B,マスタ_EOLリスト[[#This Row],[製品型番]])=0,"記載なし","")</f>
        <v/>
      </c>
      <c r="BS57" t="e">
        <f>COUNTIF(#REF!,マスタ_EOLリスト[[#This Row],[製品型番]])</f>
        <v>#REF!</v>
      </c>
    </row>
    <row r="58" spans="1:71">
      <c r="A58" t="str">
        <v>ZL9C-R57-C7</v>
      </c>
      <c r="B58" t="s">
        <v>147</v>
      </c>
      <c r="C58" t="s">
        <v>403</v>
      </c>
      <c r="D58" t="s">
        <v>408</v>
      </c>
      <c r="E58">
        <v>216518</v>
      </c>
      <c r="F58" t="s">
        <v>409</v>
      </c>
      <c r="G58" t="s">
        <v>410</v>
      </c>
      <c r="H58" t="s">
        <v>411</v>
      </c>
      <c r="I58">
        <v>17</v>
      </c>
      <c r="K58" t="s">
        <v>164</v>
      </c>
      <c r="L58">
        <v>5070</v>
      </c>
      <c r="M58">
        <v>38</v>
      </c>
      <c r="N58">
        <v>38</v>
      </c>
      <c r="O58" t="s">
        <v>250</v>
      </c>
      <c r="P58">
        <v>45832</v>
      </c>
      <c r="W58">
        <v>926</v>
      </c>
      <c r="AN58" t="s">
        <v>251</v>
      </c>
      <c r="AU58" t="s">
        <v>304</v>
      </c>
      <c r="AW58" t="b">
        <v>1</v>
      </c>
      <c r="AX58" t="s">
        <v>412</v>
      </c>
      <c r="AY58">
        <v>115</v>
      </c>
      <c r="BA58" t="s">
        <v>413</v>
      </c>
      <c r="BB58" t="s">
        <v>160</v>
      </c>
      <c r="BC58" t="s">
        <v>160</v>
      </c>
      <c r="BD58" t="s">
        <v>160</v>
      </c>
      <c r="BJ58" t="s">
        <v>253</v>
      </c>
      <c r="BM58" t="str">
        <f>IF(COUNTIFS('在庫使用計画 (ノート全体試算)'!C:C,マスタ_EOLリスト[[#This Row],[製品型番]])=0,"記載なし","")</f>
        <v/>
      </c>
      <c r="BN58" t="str">
        <f>IF(COUNTIFS('在庫使用計画 (一般)'!C:C,マスタ_EOLリスト[[#This Row],[製品型番]])=0,"記載なし","")</f>
        <v/>
      </c>
      <c r="BO58" t="str">
        <f>IF(COUNTIFS('在庫使用計画 (法人)'!C:C,マスタ_EOLリスト[[#This Row],[製品型番]])=0,"記載なし","")</f>
        <v/>
      </c>
      <c r="BP58" t="str">
        <f>IF(COUNTIFS('在庫使用計画 (全体実績+予測）0701'!C:C,マスタ_EOLリスト[[#This Row],[製品型番]])=0,"記載なし","")</f>
        <v/>
      </c>
      <c r="BQ58" t="str">
        <f ca="1">IF(COUNTIFS('在庫使用計画 (計画　予測)'!C:C,マスタ_EOLリスト[[#This Row],[製品型番]])=0,"記載なし","")</f>
        <v/>
      </c>
      <c r="BR58" t="str">
        <f>IF(COUNTIFS(在庫確認!B:B,マスタ_EOLリスト[[#This Row],[製品型番]])=0,"記載なし","")</f>
        <v/>
      </c>
      <c r="BS58" t="e">
        <f>COUNTIF(#REF!,マスタ_EOLリスト[[#This Row],[製品型番]])</f>
        <v>#REF!</v>
      </c>
    </row>
    <row r="59" spans="1:71">
      <c r="A59" t="str">
        <v>ZL9C-R57-C7</v>
      </c>
      <c r="B59" t="s">
        <v>147</v>
      </c>
      <c r="C59" t="s">
        <v>403</v>
      </c>
      <c r="D59" t="s">
        <v>408</v>
      </c>
      <c r="E59">
        <v>362644</v>
      </c>
      <c r="F59" t="s">
        <v>414</v>
      </c>
      <c r="G59" t="s">
        <v>410</v>
      </c>
      <c r="H59" t="s">
        <v>411</v>
      </c>
      <c r="I59">
        <v>17</v>
      </c>
      <c r="K59" t="s">
        <v>164</v>
      </c>
      <c r="L59">
        <v>5070</v>
      </c>
      <c r="M59">
        <v>0</v>
      </c>
      <c r="N59">
        <v>90</v>
      </c>
      <c r="AW59" t="b">
        <v>1</v>
      </c>
      <c r="AX59" t="s">
        <v>144</v>
      </c>
      <c r="BJ59" t="s">
        <v>253</v>
      </c>
      <c r="BM59" t="str">
        <f>IF(COUNTIFS('在庫使用計画 (ノート全体試算)'!C:C,マスタ_EOLリスト[[#This Row],[製品型番]])=0,"記載なし","")</f>
        <v/>
      </c>
      <c r="BN59" t="str">
        <f>IF(COUNTIFS('在庫使用計画 (一般)'!C:C,マスタ_EOLリスト[[#This Row],[製品型番]])=0,"記載なし","")</f>
        <v/>
      </c>
      <c r="BO59" t="str">
        <f>IF(COUNTIFS('在庫使用計画 (法人)'!C:C,マスタ_EOLリスト[[#This Row],[製品型番]])=0,"記載なし","")</f>
        <v/>
      </c>
      <c r="BP59" t="str">
        <f>IF(COUNTIFS('在庫使用計画 (全体実績+予測）0701'!C:C,マスタ_EOLリスト[[#This Row],[製品型番]])=0,"記載なし","")</f>
        <v/>
      </c>
      <c r="BQ59" t="str">
        <f ca="1">IF(COUNTIFS('在庫使用計画 (計画　予測)'!C:C,マスタ_EOLリスト[[#This Row],[製品型番]])=0,"記載なし","")</f>
        <v/>
      </c>
      <c r="BR59" t="str">
        <f>IF(COUNTIFS(在庫確認!B:B,マスタ_EOLリスト[[#This Row],[製品型番]])=0,"記載なし","")</f>
        <v/>
      </c>
      <c r="BS59" t="e">
        <f>COUNTIF(#REF!,マスタ_EOLリスト[[#This Row],[製品型番]])</f>
        <v>#REF!</v>
      </c>
    </row>
    <row r="60" spans="1:71">
      <c r="A60" t="str">
        <v>ZL9C-R47-C7</v>
      </c>
      <c r="B60" t="s">
        <v>142</v>
      </c>
      <c r="C60" t="s">
        <v>403</v>
      </c>
      <c r="D60" t="s">
        <v>415</v>
      </c>
      <c r="E60">
        <v>193188</v>
      </c>
      <c r="F60" t="s">
        <v>416</v>
      </c>
      <c r="G60" t="s">
        <v>417</v>
      </c>
      <c r="H60" t="s">
        <v>418</v>
      </c>
      <c r="K60" t="s">
        <v>164</v>
      </c>
      <c r="L60">
        <v>4070</v>
      </c>
      <c r="M60">
        <v>0</v>
      </c>
      <c r="N60">
        <v>0</v>
      </c>
      <c r="O60" t="s">
        <v>419</v>
      </c>
      <c r="P60">
        <v>45428</v>
      </c>
      <c r="Q60" t="s">
        <v>178</v>
      </c>
      <c r="V60">
        <v>280</v>
      </c>
      <c r="W60">
        <v>386</v>
      </c>
      <c r="Z60">
        <v>216518</v>
      </c>
      <c r="AA60" t="s">
        <v>408</v>
      </c>
      <c r="AL60">
        <v>45519</v>
      </c>
      <c r="AM60">
        <v>10</v>
      </c>
      <c r="AN60" t="s">
        <v>168</v>
      </c>
      <c r="AQ60" t="s">
        <v>183</v>
      </c>
      <c r="AW60" t="s">
        <v>21</v>
      </c>
      <c r="AX60" t="s">
        <v>144</v>
      </c>
      <c r="BA60" t="s">
        <v>207</v>
      </c>
      <c r="BB60" t="s">
        <v>207</v>
      </c>
      <c r="BC60" t="s">
        <v>207</v>
      </c>
      <c r="BD60" t="s">
        <v>207</v>
      </c>
      <c r="BM60" t="str">
        <f>IF(COUNTIFS('在庫使用計画 (ノート全体試算)'!C:C,マスタ_EOLリスト[[#This Row],[製品型番]])=0,"記載なし","")</f>
        <v/>
      </c>
      <c r="BN60" t="str">
        <f>IF(COUNTIFS('在庫使用計画 (一般)'!C:C,マスタ_EOLリスト[[#This Row],[製品型番]])=0,"記載なし","")</f>
        <v>記載なし</v>
      </c>
      <c r="BO60" t="str">
        <f>IF(COUNTIFS('在庫使用計画 (法人)'!C:C,マスタ_EOLリスト[[#This Row],[製品型番]])=0,"記載なし","")</f>
        <v/>
      </c>
      <c r="BP60" t="str">
        <f>IF(COUNTIFS('在庫使用計画 (全体実績+予測）0701'!C:C,マスタ_EOLリスト[[#This Row],[製品型番]])=0,"記載なし","")</f>
        <v/>
      </c>
      <c r="BQ60" t="str">
        <f ca="1">IF(COUNTIFS('在庫使用計画 (計画　予測)'!C:C,マスタ_EOLリスト[[#This Row],[製品型番]])=0,"記載なし","")</f>
        <v>記載なし</v>
      </c>
      <c r="BR60" t="str">
        <f>IF(COUNTIFS(在庫確認!B:B,マスタ_EOLリスト[[#This Row],[製品型番]])=0,"記載なし","")</f>
        <v/>
      </c>
      <c r="BS60" t="e">
        <f>COUNTIF(#REF!,マスタ_EOLリスト[[#This Row],[製品型番]])</f>
        <v>#REF!</v>
      </c>
    </row>
    <row r="61" spans="1:71">
      <c r="A61" t="str">
        <v>XL7C-R56-C6A</v>
      </c>
      <c r="B61" t="s">
        <v>147</v>
      </c>
      <c r="C61" t="s">
        <v>403</v>
      </c>
      <c r="D61" t="s">
        <v>420</v>
      </c>
      <c r="E61">
        <v>220827</v>
      </c>
      <c r="F61" t="s">
        <v>421</v>
      </c>
      <c r="G61" t="s">
        <v>422</v>
      </c>
      <c r="H61" t="s">
        <v>423</v>
      </c>
      <c r="I61">
        <v>16</v>
      </c>
      <c r="K61" t="s">
        <v>218</v>
      </c>
      <c r="L61">
        <v>5060</v>
      </c>
      <c r="M61">
        <v>20</v>
      </c>
      <c r="N61">
        <v>20</v>
      </c>
      <c r="P61" t="s">
        <v>351</v>
      </c>
      <c r="W61">
        <v>1000</v>
      </c>
      <c r="AW61" t="b">
        <v>1</v>
      </c>
      <c r="AX61" t="s">
        <v>421</v>
      </c>
      <c r="AY61">
        <v>105</v>
      </c>
      <c r="BA61" t="s">
        <v>227</v>
      </c>
      <c r="BB61" t="s">
        <v>227</v>
      </c>
      <c r="BC61" t="s">
        <v>227</v>
      </c>
      <c r="BD61" t="s">
        <v>227</v>
      </c>
      <c r="BJ61" t="s">
        <v>253</v>
      </c>
      <c r="BM61" t="str">
        <f>IF(COUNTIFS('在庫使用計画 (ノート全体試算)'!C:C,マスタ_EOLリスト[[#This Row],[製品型番]])=0,"記載なし","")</f>
        <v/>
      </c>
      <c r="BN61" t="str">
        <f>IF(COUNTIFS('在庫使用計画 (一般)'!C:C,マスタ_EOLリスト[[#This Row],[製品型番]])=0,"記載なし","")</f>
        <v/>
      </c>
      <c r="BO61" t="str">
        <f>IF(COUNTIFS('在庫使用計画 (法人)'!C:C,マスタ_EOLリスト[[#This Row],[製品型番]])=0,"記載なし","")</f>
        <v/>
      </c>
      <c r="BP61" t="str">
        <f>IF(COUNTIFS('在庫使用計画 (全体実績+予測）0701'!C:C,マスタ_EOLリスト[[#This Row],[製品型番]])=0,"記載なし","")</f>
        <v/>
      </c>
      <c r="BQ61" t="str">
        <f ca="1">IF(COUNTIFS('在庫使用計画 (計画　予測)'!C:C,マスタ_EOLリスト[[#This Row],[製品型番]])=0,"記載なし","")</f>
        <v/>
      </c>
      <c r="BR61" t="str">
        <f>IF(COUNTIFS(在庫確認!B:B,マスタ_EOLリスト[[#This Row],[製品型番]])=0,"記載なし","")</f>
        <v/>
      </c>
      <c r="BS61" t="e">
        <f>COUNTIF(#REF!,マスタ_EOLリスト[[#This Row],[製品型番]])</f>
        <v>#REF!</v>
      </c>
    </row>
    <row r="62" spans="1:71">
      <c r="A62" t="str">
        <v>XL7C-R46H-C6</v>
      </c>
      <c r="B62" t="s">
        <v>142</v>
      </c>
      <c r="C62" t="s">
        <v>403</v>
      </c>
      <c r="D62" t="s">
        <v>424</v>
      </c>
      <c r="E62">
        <v>189152</v>
      </c>
      <c r="F62" t="s">
        <v>425</v>
      </c>
      <c r="G62" t="s">
        <v>263</v>
      </c>
      <c r="H62" t="s">
        <v>426</v>
      </c>
      <c r="K62" t="s">
        <v>288</v>
      </c>
      <c r="L62">
        <v>4060</v>
      </c>
      <c r="M62">
        <v>0</v>
      </c>
      <c r="N62">
        <v>0</v>
      </c>
      <c r="P62">
        <v>45449</v>
      </c>
      <c r="V62">
        <v>400</v>
      </c>
      <c r="W62">
        <v>400</v>
      </c>
      <c r="AL62">
        <v>45478</v>
      </c>
      <c r="AM62">
        <v>150</v>
      </c>
      <c r="AN62" t="s">
        <v>266</v>
      </c>
      <c r="AO62">
        <v>19</v>
      </c>
      <c r="AP62">
        <v>7.89</v>
      </c>
      <c r="AQ62" t="s">
        <v>156</v>
      </c>
      <c r="AW62" t="s">
        <v>21</v>
      </c>
      <c r="AX62" t="s">
        <v>144</v>
      </c>
      <c r="BA62" t="s">
        <v>207</v>
      </c>
      <c r="BB62" t="s">
        <v>207</v>
      </c>
      <c r="BC62" t="s">
        <v>207</v>
      </c>
      <c r="BD62" t="s">
        <v>207</v>
      </c>
      <c r="BM62" t="str">
        <f>IF(COUNTIFS('在庫使用計画 (ノート全体試算)'!C:C,マスタ_EOLリスト[[#This Row],[製品型番]])=0,"記載なし","")</f>
        <v/>
      </c>
      <c r="BN62" t="str">
        <f>IF(COUNTIFS('在庫使用計画 (一般)'!C:C,マスタ_EOLリスト[[#This Row],[製品型番]])=0,"記載なし","")</f>
        <v>記載なし</v>
      </c>
      <c r="BO62" t="str">
        <f>IF(COUNTIFS('在庫使用計画 (法人)'!C:C,マスタ_EOLリスト[[#This Row],[製品型番]])=0,"記載なし","")</f>
        <v/>
      </c>
      <c r="BP62" t="str">
        <f>IF(COUNTIFS('在庫使用計画 (全体実績+予測）0701'!C:C,マスタ_EOLリスト[[#This Row],[製品型番]])=0,"記載なし","")</f>
        <v/>
      </c>
      <c r="BQ62" t="str">
        <f ca="1">IF(COUNTIFS('在庫使用計画 (計画　予測)'!C:C,マスタ_EOLリスト[[#This Row],[製品型番]])=0,"記載なし","")</f>
        <v>記載なし</v>
      </c>
      <c r="BR62" t="str">
        <f>IF(COUNTIFS(在庫確認!B:B,マスタ_EOLリスト[[#This Row],[製品型番]])=0,"記載なし","")</f>
        <v/>
      </c>
      <c r="BS62" t="e">
        <f>COUNTIF(#REF!,マスタ_EOLリスト[[#This Row],[製品型番]])</f>
        <v>#REF!</v>
      </c>
    </row>
    <row r="63" spans="1:71">
      <c r="A63" t="str">
        <v>NDR9L-R56-C6</v>
      </c>
      <c r="B63" t="s">
        <v>147</v>
      </c>
      <c r="C63" t="s">
        <v>403</v>
      </c>
      <c r="D63" t="s">
        <v>427</v>
      </c>
      <c r="E63">
        <v>295634</v>
      </c>
      <c r="F63" t="s">
        <v>428</v>
      </c>
      <c r="G63" t="s">
        <v>246</v>
      </c>
      <c r="H63" t="s">
        <v>429</v>
      </c>
      <c r="I63">
        <v>16</v>
      </c>
      <c r="J63" t="s">
        <v>248</v>
      </c>
      <c r="K63" t="s">
        <v>430</v>
      </c>
      <c r="L63">
        <v>5060</v>
      </c>
      <c r="M63">
        <v>348</v>
      </c>
      <c r="N63">
        <v>348</v>
      </c>
      <c r="P63">
        <v>46044</v>
      </c>
      <c r="R63" t="s">
        <v>431</v>
      </c>
      <c r="W63">
        <v>200</v>
      </c>
      <c r="AW63" t="b">
        <v>1</v>
      </c>
      <c r="AX63" t="s">
        <v>432</v>
      </c>
      <c r="AY63">
        <v>115</v>
      </c>
      <c r="BA63" t="s">
        <v>207</v>
      </c>
      <c r="BB63" t="s">
        <v>207</v>
      </c>
      <c r="BC63" t="s">
        <v>207</v>
      </c>
      <c r="BD63" t="s">
        <v>207</v>
      </c>
      <c r="BJ63" t="s">
        <v>253</v>
      </c>
      <c r="BM63" t="str">
        <f>IF(COUNTIFS('在庫使用計画 (ノート全体試算)'!C:C,マスタ_EOLリスト[[#This Row],[製品型番]])=0,"記載なし","")</f>
        <v/>
      </c>
      <c r="BN63" t="str">
        <f>IF(COUNTIFS('在庫使用計画 (一般)'!C:C,マスタ_EOLリスト[[#This Row],[製品型番]])=0,"記載なし","")</f>
        <v/>
      </c>
      <c r="BO63" t="str">
        <f>IF(COUNTIFS('在庫使用計画 (法人)'!C:C,マスタ_EOLリスト[[#This Row],[製品型番]])=0,"記載なし","")</f>
        <v/>
      </c>
      <c r="BP63" t="str">
        <f>IF(COUNTIFS('在庫使用計画 (全体実績+予測）0701'!C:C,マスタ_EOLリスト[[#This Row],[製品型番]])=0,"記載なし","")</f>
        <v/>
      </c>
      <c r="BQ63" t="str">
        <f ca="1">IF(COUNTIFS('在庫使用計画 (計画　予測)'!C:C,マスタ_EOLリスト[[#This Row],[製品型番]])=0,"記載なし","")</f>
        <v/>
      </c>
      <c r="BR63" t="str">
        <f>IF(COUNTIFS(在庫確認!B:B,マスタ_EOLリスト[[#This Row],[製品型番]])=0,"記載なし","")</f>
        <v/>
      </c>
      <c r="BS63" t="e">
        <f>COUNTIF(#REF!,マスタ_EOLリスト[[#This Row],[製品型番]])</f>
        <v>#REF!</v>
      </c>
    </row>
    <row r="64" spans="1:71">
      <c r="A64" t="e">
        <v>#N/A</v>
      </c>
      <c r="B64" t="s">
        <v>390</v>
      </c>
      <c r="C64" t="s">
        <v>403</v>
      </c>
      <c r="D64" t="s">
        <v>433</v>
      </c>
      <c r="H64" t="s">
        <v>434</v>
      </c>
      <c r="I64">
        <v>16</v>
      </c>
      <c r="M64">
        <v>0</v>
      </c>
      <c r="N64">
        <v>0</v>
      </c>
      <c r="AW64" t="s">
        <v>21</v>
      </c>
      <c r="AX64" t="s">
        <v>144</v>
      </c>
      <c r="BJ64" t="s">
        <v>253</v>
      </c>
      <c r="BM64" t="str">
        <f>IF(COUNTIFS('在庫使用計画 (ノート全体試算)'!C:C,マスタ_EOLリスト[[#This Row],[製品型番]])=0,"記載なし","")</f>
        <v>記載なし</v>
      </c>
      <c r="BN64" t="str">
        <f>IF(COUNTIFS('在庫使用計画 (一般)'!C:C,マスタ_EOLリスト[[#This Row],[製品型番]])=0,"記載なし","")</f>
        <v>記載なし</v>
      </c>
      <c r="BO64" t="str">
        <f>IF(COUNTIFS('在庫使用計画 (法人)'!C:C,マスタ_EOLリスト[[#This Row],[製品型番]])=0,"記載なし","")</f>
        <v>記載なし</v>
      </c>
      <c r="BP64" t="str">
        <f>IF(COUNTIFS('在庫使用計画 (全体実績+予測）0701'!C:C,マスタ_EOLリスト[[#This Row],[製品型番]])=0,"記載なし","")</f>
        <v>記載なし</v>
      </c>
      <c r="BQ64" t="str">
        <f ca="1">IF(COUNTIFS('在庫使用計画 (計画　予測)'!C:C,マスタ_EOLリスト[[#This Row],[製品型番]])=0,"記載なし","")</f>
        <v/>
      </c>
      <c r="BR64" t="str">
        <f>IF(COUNTIFS(在庫確認!B:B,マスタ_EOLリスト[[#This Row],[製品型番]])=0,"記載なし","")</f>
        <v>記載なし</v>
      </c>
      <c r="BS64" t="e">
        <f>COUNTIF(#REF!,マスタ_EOLリスト[[#This Row],[製品型番]])</f>
        <v>#REF!</v>
      </c>
    </row>
    <row r="65" spans="1:71">
      <c r="A65" t="str">
        <v>NDR9L-IG-C4</v>
      </c>
      <c r="B65" t="s">
        <v>147</v>
      </c>
      <c r="C65" t="s">
        <v>403</v>
      </c>
      <c r="D65" t="s">
        <v>435</v>
      </c>
      <c r="E65">
        <v>295632</v>
      </c>
      <c r="F65" t="s">
        <v>436</v>
      </c>
      <c r="G65" t="s">
        <v>357</v>
      </c>
      <c r="H65" t="s">
        <v>437</v>
      </c>
      <c r="I65">
        <v>14</v>
      </c>
      <c r="J65" t="s">
        <v>248</v>
      </c>
      <c r="K65" t="s">
        <v>430</v>
      </c>
      <c r="L65" t="s">
        <v>438</v>
      </c>
      <c r="M65">
        <v>420</v>
      </c>
      <c r="N65">
        <v>420</v>
      </c>
      <c r="P65">
        <v>46044</v>
      </c>
      <c r="R65" t="s">
        <v>431</v>
      </c>
      <c r="W65">
        <v>250</v>
      </c>
      <c r="AN65" t="s">
        <v>439</v>
      </c>
      <c r="AO65">
        <v>19</v>
      </c>
      <c r="AQ65" t="s">
        <v>440</v>
      </c>
      <c r="AW65" t="b">
        <v>1</v>
      </c>
      <c r="AX65" t="s">
        <v>441</v>
      </c>
      <c r="BA65" t="s">
        <v>442</v>
      </c>
      <c r="BB65" t="s">
        <v>170</v>
      </c>
      <c r="BC65" t="s">
        <v>442</v>
      </c>
      <c r="BD65" t="s">
        <v>442</v>
      </c>
      <c r="BJ65" t="s">
        <v>253</v>
      </c>
      <c r="BM65" t="str">
        <f>IF(COUNTIFS('在庫使用計画 (ノート全体試算)'!C:C,マスタ_EOLリスト[[#This Row],[製品型番]])=0,"記載なし","")</f>
        <v/>
      </c>
      <c r="BN65" t="str">
        <f>IF(COUNTIFS('在庫使用計画 (一般)'!C:C,マスタ_EOLリスト[[#This Row],[製品型番]])=0,"記載なし","")</f>
        <v/>
      </c>
      <c r="BO65" t="str">
        <f>IF(COUNTIFS('在庫使用計画 (法人)'!C:C,マスタ_EOLリスト[[#This Row],[製品型番]])=0,"記載なし","")</f>
        <v/>
      </c>
      <c r="BP65" t="str">
        <f>IF(COUNTIFS('在庫使用計画 (全体実績+予測）0701'!C:C,マスタ_EOLリスト[[#This Row],[製品型番]])=0,"記載なし","")</f>
        <v/>
      </c>
      <c r="BQ65" t="str">
        <f ca="1">IF(COUNTIFS('在庫使用計画 (計画　予測)'!C:C,マスタ_EOLリスト[[#This Row],[製品型番]])=0,"記載なし","")</f>
        <v/>
      </c>
      <c r="BR65" t="str">
        <f>IF(COUNTIFS(在庫確認!B:B,マスタ_EOLリスト[[#This Row],[製品型番]])=0,"記載なし","")</f>
        <v>記載なし</v>
      </c>
      <c r="BS65" t="e">
        <f>COUNTIF(#REF!,マスタ_EOLリスト[[#This Row],[製品型番]])</f>
        <v>#REF!</v>
      </c>
    </row>
    <row r="66" spans="1:71">
      <c r="A66" t="str">
        <v>NDR9L-IG-C4</v>
      </c>
      <c r="B66" t="s">
        <v>147</v>
      </c>
      <c r="C66" t="s">
        <v>403</v>
      </c>
      <c r="D66" t="s">
        <v>435</v>
      </c>
      <c r="E66">
        <v>367381</v>
      </c>
      <c r="F66" t="s">
        <v>443</v>
      </c>
      <c r="G66" t="s">
        <v>357</v>
      </c>
      <c r="H66" t="s">
        <v>437</v>
      </c>
      <c r="I66">
        <v>14</v>
      </c>
      <c r="J66" t="s">
        <v>248</v>
      </c>
      <c r="K66" t="s">
        <v>430</v>
      </c>
      <c r="L66" t="s">
        <v>438</v>
      </c>
      <c r="M66">
        <v>0</v>
      </c>
      <c r="N66">
        <v>0</v>
      </c>
      <c r="P66">
        <v>46044</v>
      </c>
      <c r="R66" t="s">
        <v>431</v>
      </c>
      <c r="W66">
        <v>0</v>
      </c>
      <c r="AN66" t="s">
        <v>439</v>
      </c>
      <c r="AO66">
        <v>19</v>
      </c>
      <c r="AQ66" t="s">
        <v>440</v>
      </c>
      <c r="AW66" t="b">
        <v>1</v>
      </c>
      <c r="AX66" t="s">
        <v>144</v>
      </c>
      <c r="BA66" t="s">
        <v>442</v>
      </c>
      <c r="BB66" t="s">
        <v>170</v>
      </c>
      <c r="BC66" t="s">
        <v>442</v>
      </c>
      <c r="BD66" t="s">
        <v>442</v>
      </c>
      <c r="BJ66" t="s">
        <v>253</v>
      </c>
      <c r="BM66" t="str">
        <f>IF(COUNTIFS('在庫使用計画 (ノート全体試算)'!C:C,マスタ_EOLリスト[[#This Row],[製品型番]])=0,"記載なし","")</f>
        <v/>
      </c>
      <c r="BN66" t="str">
        <f>IF(COUNTIFS('在庫使用計画 (一般)'!C:C,マスタ_EOLリスト[[#This Row],[製品型番]])=0,"記載なし","")</f>
        <v/>
      </c>
      <c r="BO66" t="str">
        <f>IF(COUNTIFS('在庫使用計画 (法人)'!C:C,マスタ_EOLリスト[[#This Row],[製品型番]])=0,"記載なし","")</f>
        <v/>
      </c>
      <c r="BP66" t="str">
        <f>IF(COUNTIFS('在庫使用計画 (全体実績+予測）0701'!C:C,マスタ_EOLリスト[[#This Row],[製品型番]])=0,"記載なし","")</f>
        <v/>
      </c>
      <c r="BQ66" t="str">
        <f ca="1">IF(COUNTIFS('在庫使用計画 (計画　予測)'!C:C,マスタ_EOLリスト[[#This Row],[製品型番]])=0,"記載なし","")</f>
        <v/>
      </c>
      <c r="BR66" t="str">
        <f>IF(COUNTIFS(在庫確認!B:B,マスタ_EOLリスト[[#This Row],[製品型番]])=0,"記載なし","")</f>
        <v>記載なし</v>
      </c>
      <c r="BS66" t="e">
        <f>COUNTIF(#REF!,マスタ_EOLリスト[[#This Row],[製品型番]])</f>
        <v>#REF!</v>
      </c>
    </row>
    <row r="67" spans="1:71">
      <c r="A67" t="str">
        <v>RL7C-R56-C5N</v>
      </c>
      <c r="B67" t="s">
        <v>147</v>
      </c>
      <c r="C67" t="s">
        <v>403</v>
      </c>
      <c r="D67" t="s">
        <v>444</v>
      </c>
      <c r="E67">
        <v>216521</v>
      </c>
      <c r="F67" t="s">
        <v>445</v>
      </c>
      <c r="G67" t="s">
        <v>300</v>
      </c>
      <c r="H67" t="s">
        <v>446</v>
      </c>
      <c r="I67">
        <v>15</v>
      </c>
      <c r="K67" t="s">
        <v>302</v>
      </c>
      <c r="L67">
        <v>5060</v>
      </c>
      <c r="M67">
        <v>536</v>
      </c>
      <c r="N67">
        <v>536</v>
      </c>
      <c r="O67" t="s">
        <v>250</v>
      </c>
      <c r="P67">
        <v>45832</v>
      </c>
      <c r="W67">
        <v>2552</v>
      </c>
      <c r="AN67" t="s">
        <v>251</v>
      </c>
      <c r="AU67" t="s">
        <v>304</v>
      </c>
      <c r="AW67" t="b">
        <v>1</v>
      </c>
      <c r="AX67" t="s">
        <v>447</v>
      </c>
      <c r="AY67">
        <v>115</v>
      </c>
      <c r="BA67" t="s">
        <v>227</v>
      </c>
      <c r="BB67" t="s">
        <v>227</v>
      </c>
      <c r="BC67" t="s">
        <v>227</v>
      </c>
      <c r="BD67" t="s">
        <v>227</v>
      </c>
      <c r="BJ67" t="s">
        <v>448</v>
      </c>
      <c r="BM67" t="str">
        <f>IF(COUNTIFS('在庫使用計画 (ノート全体試算)'!C:C,マスタ_EOLリスト[[#This Row],[製品型番]])=0,"記載なし","")</f>
        <v/>
      </c>
      <c r="BN67" t="str">
        <f>IF(COUNTIFS('在庫使用計画 (一般)'!C:C,マスタ_EOLリスト[[#This Row],[製品型番]])=0,"記載なし","")</f>
        <v/>
      </c>
      <c r="BO67" t="str">
        <f>IF(COUNTIFS('在庫使用計画 (法人)'!C:C,マスタ_EOLリスト[[#This Row],[製品型番]])=0,"記載なし","")</f>
        <v/>
      </c>
      <c r="BP67" t="str">
        <f>IF(COUNTIFS('在庫使用計画 (全体実績+予測）0701'!C:C,マスタ_EOLリスト[[#This Row],[製品型番]])=0,"記載なし","")</f>
        <v/>
      </c>
      <c r="BQ67" t="str">
        <f ca="1">IF(COUNTIFS('在庫使用計画 (計画　予測)'!C:C,マスタ_EOLリスト[[#This Row],[製品型番]])=0,"記載なし","")</f>
        <v/>
      </c>
      <c r="BR67" t="str">
        <f>IF(COUNTIFS(在庫確認!B:B,マスタ_EOLリスト[[#This Row],[製品型番]])=0,"記載なし","")</f>
        <v/>
      </c>
      <c r="BS67" t="e">
        <f>COUNTIF(#REF!,マスタ_EOLリスト[[#This Row],[製品型番]])</f>
        <v>#REF!</v>
      </c>
    </row>
    <row r="68" spans="1:71">
      <c r="A68" t="str">
        <v>RL7C-R55-C5N</v>
      </c>
      <c r="B68" t="s">
        <v>147</v>
      </c>
      <c r="C68" t="s">
        <v>403</v>
      </c>
      <c r="D68" t="s">
        <v>449</v>
      </c>
      <c r="E68">
        <v>216524</v>
      </c>
      <c r="F68" t="s">
        <v>450</v>
      </c>
      <c r="G68" t="s">
        <v>300</v>
      </c>
      <c r="H68" t="s">
        <v>451</v>
      </c>
      <c r="I68">
        <v>15</v>
      </c>
      <c r="K68" t="s">
        <v>302</v>
      </c>
      <c r="L68">
        <v>5050</v>
      </c>
      <c r="M68">
        <v>42</v>
      </c>
      <c r="N68">
        <v>42</v>
      </c>
      <c r="O68" t="s">
        <v>312</v>
      </c>
      <c r="P68">
        <v>45832</v>
      </c>
      <c r="W68">
        <v>1540</v>
      </c>
      <c r="AN68" t="s">
        <v>251</v>
      </c>
      <c r="AU68" t="s">
        <v>304</v>
      </c>
      <c r="AW68" t="b">
        <v>1</v>
      </c>
      <c r="AX68" t="s">
        <v>452</v>
      </c>
      <c r="AY68">
        <v>115</v>
      </c>
      <c r="BA68" t="s">
        <v>413</v>
      </c>
      <c r="BB68" t="s">
        <v>160</v>
      </c>
      <c r="BC68" t="s">
        <v>160</v>
      </c>
      <c r="BD68" t="s">
        <v>160</v>
      </c>
      <c r="BJ68" t="s">
        <v>453</v>
      </c>
      <c r="BM68" t="str">
        <f>IF(COUNTIFS('在庫使用計画 (ノート全体試算)'!C:C,マスタ_EOLリスト[[#This Row],[製品型番]])=0,"記載なし","")</f>
        <v/>
      </c>
      <c r="BN68" t="str">
        <f>IF(COUNTIFS('在庫使用計画 (一般)'!C:C,マスタ_EOLリスト[[#This Row],[製品型番]])=0,"記載なし","")</f>
        <v/>
      </c>
      <c r="BO68" t="str">
        <f>IF(COUNTIFS('在庫使用計画 (法人)'!C:C,マスタ_EOLリスト[[#This Row],[製品型番]])=0,"記載なし","")</f>
        <v/>
      </c>
      <c r="BP68" t="str">
        <f>IF(COUNTIFS('在庫使用計画 (全体実績+予測）0701'!C:C,マスタ_EOLリスト[[#This Row],[製品型番]])=0,"記載なし","")</f>
        <v/>
      </c>
      <c r="BQ68" t="str">
        <f ca="1">IF(COUNTIFS('在庫使用計画 (計画　予測)'!C:C,マスタ_EOLリスト[[#This Row],[製品型番]])=0,"記載なし","")</f>
        <v/>
      </c>
      <c r="BR68" t="str">
        <f>IF(COUNTIFS(在庫確認!B:B,マスタ_EOLリスト[[#This Row],[製品型番]])=0,"記載なし","")</f>
        <v/>
      </c>
      <c r="BS68" t="e">
        <f>COUNTIF(#REF!,マスタ_EOLリスト[[#This Row],[製品型番]])</f>
        <v>#REF!</v>
      </c>
    </row>
    <row r="69" spans="1:71">
      <c r="A69" t="e">
        <v>#N/A</v>
      </c>
      <c r="B69" t="s">
        <v>142</v>
      </c>
      <c r="C69" t="s">
        <v>403</v>
      </c>
      <c r="D69" t="s">
        <v>454</v>
      </c>
      <c r="E69">
        <v>199021</v>
      </c>
      <c r="F69" t="s">
        <v>455</v>
      </c>
      <c r="G69" t="s">
        <v>275</v>
      </c>
      <c r="H69" t="s">
        <v>456</v>
      </c>
      <c r="I69">
        <v>15</v>
      </c>
      <c r="K69" t="s">
        <v>318</v>
      </c>
      <c r="L69">
        <v>4060</v>
      </c>
      <c r="M69">
        <v>0</v>
      </c>
      <c r="N69">
        <v>0</v>
      </c>
      <c r="Q69" t="s">
        <v>457</v>
      </c>
      <c r="R69" t="s">
        <v>173</v>
      </c>
      <c r="Z69">
        <v>216521</v>
      </c>
      <c r="AA69" t="s">
        <v>445</v>
      </c>
      <c r="AK69">
        <v>207648</v>
      </c>
      <c r="AL69">
        <v>45525</v>
      </c>
      <c r="AM69">
        <v>70</v>
      </c>
      <c r="AN69" t="s">
        <v>323</v>
      </c>
      <c r="AW69" t="s">
        <v>21</v>
      </c>
      <c r="AX69" t="s">
        <v>144</v>
      </c>
      <c r="BM69" t="str">
        <f>IF(COUNTIFS('在庫使用計画 (ノート全体試算)'!C:C,マスタ_EOLリスト[[#This Row],[製品型番]])=0,"記載なし","")</f>
        <v>記載なし</v>
      </c>
      <c r="BN69" t="str">
        <f>IF(COUNTIFS('在庫使用計画 (一般)'!C:C,マスタ_EOLリスト[[#This Row],[製品型番]])=0,"記載なし","")</f>
        <v>記載なし</v>
      </c>
      <c r="BO69" t="str">
        <f>IF(COUNTIFS('在庫使用計画 (法人)'!C:C,マスタ_EOLリスト[[#This Row],[製品型番]])=0,"記載なし","")</f>
        <v/>
      </c>
      <c r="BP69" t="str">
        <f>IF(COUNTIFS('在庫使用計画 (全体実績+予測）0701'!C:C,マスタ_EOLリスト[[#This Row],[製品型番]])=0,"記載なし","")</f>
        <v>記載なし</v>
      </c>
      <c r="BQ69" t="str">
        <f ca="1">IF(COUNTIFS('在庫使用計画 (計画　予測)'!C:C,マスタ_EOLリスト[[#This Row],[製品型番]])=0,"記載なし","")</f>
        <v>記載なし</v>
      </c>
      <c r="BR69" t="str">
        <f>IF(COUNTIFS(在庫確認!B:B,マスタ_EOLリスト[[#This Row],[製品型番]])=0,"記載なし","")</f>
        <v/>
      </c>
      <c r="BS69" t="e">
        <f>COUNTIF(#REF!,マスタ_EOLリスト[[#This Row],[製品型番]])</f>
        <v>#REF!</v>
      </c>
    </row>
    <row r="70" spans="1:71">
      <c r="A70" t="str">
        <v>RL7C-R45-C5N</v>
      </c>
      <c r="B70" t="s">
        <v>335</v>
      </c>
      <c r="C70" t="s">
        <v>403</v>
      </c>
      <c r="D70" t="s">
        <v>458</v>
      </c>
      <c r="E70">
        <v>199022</v>
      </c>
      <c r="F70" t="s">
        <v>459</v>
      </c>
      <c r="G70" t="s">
        <v>326</v>
      </c>
      <c r="H70" t="s">
        <v>460</v>
      </c>
      <c r="I70">
        <v>15</v>
      </c>
      <c r="K70" t="s">
        <v>318</v>
      </c>
      <c r="L70">
        <v>4050</v>
      </c>
      <c r="M70">
        <v>555</v>
      </c>
      <c r="N70">
        <v>555</v>
      </c>
      <c r="Q70">
        <v>46054</v>
      </c>
      <c r="R70" t="s">
        <v>173</v>
      </c>
      <c r="W70">
        <v>3390</v>
      </c>
      <c r="Z70">
        <v>216524</v>
      </c>
      <c r="AA70" t="s">
        <v>450</v>
      </c>
      <c r="AK70">
        <v>207656</v>
      </c>
      <c r="AL70">
        <v>45553</v>
      </c>
      <c r="AM70">
        <v>35</v>
      </c>
      <c r="AN70" t="s">
        <v>323</v>
      </c>
      <c r="AO70" t="s">
        <v>330</v>
      </c>
      <c r="AP70" t="s">
        <v>331</v>
      </c>
      <c r="AQ70" t="s">
        <v>156</v>
      </c>
      <c r="AR70">
        <v>199688</v>
      </c>
      <c r="AS70" t="s">
        <v>332</v>
      </c>
      <c r="AT70">
        <v>171358</v>
      </c>
      <c r="AW70" t="b">
        <v>1</v>
      </c>
      <c r="AX70" t="s">
        <v>461</v>
      </c>
      <c r="AY70">
        <v>1.1499999999999999</v>
      </c>
      <c r="BJ70" t="s">
        <v>4433</v>
      </c>
      <c r="BM70" t="str">
        <f>IF(COUNTIFS('在庫使用計画 (ノート全体試算)'!C:C,マスタ_EOLリスト[[#This Row],[製品型番]])=0,"記載なし","")</f>
        <v/>
      </c>
      <c r="BN70" t="str">
        <f>IF(COUNTIFS('在庫使用計画 (一般)'!C:C,マスタ_EOLリスト[[#This Row],[製品型番]])=0,"記載なし","")</f>
        <v/>
      </c>
      <c r="BO70" t="str">
        <f>IF(COUNTIFS('在庫使用計画 (法人)'!C:C,マスタ_EOLリスト[[#This Row],[製品型番]])=0,"記載なし","")</f>
        <v/>
      </c>
      <c r="BP70" t="str">
        <f>IF(COUNTIFS('在庫使用計画 (全体実績+予測）0701'!C:C,マスタ_EOLリスト[[#This Row],[製品型番]])=0,"記載なし","")</f>
        <v/>
      </c>
      <c r="BQ70" t="str">
        <f ca="1">IF(COUNTIFS('在庫使用計画 (計画　予測)'!C:C,マスタ_EOLリスト[[#This Row],[製品型番]])=0,"記載なし","")</f>
        <v/>
      </c>
      <c r="BR70" t="str">
        <f>IF(COUNTIFS(在庫確認!B:B,マスタ_EOLリスト[[#This Row],[製品型番]])=0,"記載なし","")</f>
        <v/>
      </c>
      <c r="BS70" t="e">
        <f>COUNTIF(#REF!,マスタ_EOLリスト[[#This Row],[製品型番]])</f>
        <v>#REF!</v>
      </c>
    </row>
    <row r="71" spans="1:71">
      <c r="A71" t="str">
        <v>RL7C-R35-C5N</v>
      </c>
      <c r="B71" t="s">
        <v>335</v>
      </c>
      <c r="C71" t="s">
        <v>403</v>
      </c>
      <c r="D71" t="s">
        <v>463</v>
      </c>
      <c r="E71">
        <v>199023</v>
      </c>
      <c r="F71" t="s">
        <v>464</v>
      </c>
      <c r="G71" t="s">
        <v>326</v>
      </c>
      <c r="H71" t="s">
        <v>465</v>
      </c>
      <c r="I71">
        <v>15</v>
      </c>
      <c r="K71" t="s">
        <v>318</v>
      </c>
      <c r="L71">
        <v>3050</v>
      </c>
      <c r="M71">
        <v>11</v>
      </c>
      <c r="N71">
        <v>11</v>
      </c>
      <c r="Q71">
        <v>46023</v>
      </c>
      <c r="R71" t="s">
        <v>173</v>
      </c>
      <c r="W71">
        <v>4880</v>
      </c>
      <c r="AK71">
        <v>207657</v>
      </c>
      <c r="AL71">
        <v>45483</v>
      </c>
      <c r="AM71">
        <v>125</v>
      </c>
      <c r="AN71" t="s">
        <v>251</v>
      </c>
      <c r="AW71" t="b">
        <v>1</v>
      </c>
      <c r="AX71" t="s">
        <v>466</v>
      </c>
      <c r="BJ71" t="s">
        <v>4433</v>
      </c>
      <c r="BM71" t="str">
        <f>IF(COUNTIFS('在庫使用計画 (ノート全体試算)'!C:C,マスタ_EOLリスト[[#This Row],[製品型番]])=0,"記載なし","")</f>
        <v/>
      </c>
      <c r="BN71" t="str">
        <f>IF(COUNTIFS('在庫使用計画 (一般)'!C:C,マスタ_EOLリスト[[#This Row],[製品型番]])=0,"記載なし","")</f>
        <v/>
      </c>
      <c r="BO71" t="str">
        <f>IF(COUNTIFS('在庫使用計画 (法人)'!C:C,マスタ_EOLリスト[[#This Row],[製品型番]])=0,"記載なし","")</f>
        <v/>
      </c>
      <c r="BP71" t="str">
        <f>IF(COUNTIFS('在庫使用計画 (全体実績+予測）0701'!C:C,マスタ_EOLリスト[[#This Row],[製品型番]])=0,"記載なし","")</f>
        <v/>
      </c>
      <c r="BQ71" t="str">
        <f ca="1">IF(COUNTIFS('在庫使用計画 (計画　予測)'!C:C,マスタ_EOLリスト[[#This Row],[製品型番]])=0,"記載なし","")</f>
        <v/>
      </c>
      <c r="BR71" t="str">
        <f>IF(COUNTIFS(在庫確認!B:B,マスタ_EOLリスト[[#This Row],[製品型番]])=0,"記載なし","")</f>
        <v/>
      </c>
      <c r="BS71" t="e">
        <f>COUNTIF(#REF!,マスタ_EOLリスト[[#This Row],[製品型番]])</f>
        <v>#REF!</v>
      </c>
    </row>
    <row r="72" spans="1:71">
      <c r="A72" t="e">
        <v>#N/A</v>
      </c>
      <c r="B72" t="s">
        <v>142</v>
      </c>
      <c r="C72" t="s">
        <v>403</v>
      </c>
      <c r="D72" t="s">
        <v>454</v>
      </c>
      <c r="E72">
        <v>193192</v>
      </c>
      <c r="F72" t="s">
        <v>467</v>
      </c>
      <c r="G72" t="s">
        <v>275</v>
      </c>
      <c r="H72" t="s">
        <v>468</v>
      </c>
      <c r="K72" t="s">
        <v>318</v>
      </c>
      <c r="L72">
        <v>4060</v>
      </c>
      <c r="M72">
        <v>0</v>
      </c>
      <c r="N72">
        <v>0</v>
      </c>
      <c r="O72" t="s">
        <v>377</v>
      </c>
      <c r="P72">
        <v>45428</v>
      </c>
      <c r="U72" t="s">
        <v>166</v>
      </c>
      <c r="V72">
        <v>4200</v>
      </c>
      <c r="W72">
        <v>1936</v>
      </c>
      <c r="AK72">
        <v>194890</v>
      </c>
      <c r="AL72">
        <v>45481</v>
      </c>
      <c r="AM72">
        <v>35</v>
      </c>
      <c r="AN72" t="s">
        <v>323</v>
      </c>
      <c r="AW72" t="s">
        <v>21</v>
      </c>
      <c r="AX72" t="s">
        <v>144</v>
      </c>
      <c r="BA72" t="s">
        <v>207</v>
      </c>
      <c r="BB72" t="s">
        <v>207</v>
      </c>
      <c r="BC72" t="s">
        <v>207</v>
      </c>
      <c r="BD72" t="s">
        <v>207</v>
      </c>
      <c r="BM72" t="str">
        <f>IF(COUNTIFS('在庫使用計画 (ノート全体試算)'!C:C,マスタ_EOLリスト[[#This Row],[製品型番]])=0,"記載なし","")</f>
        <v>記載なし</v>
      </c>
      <c r="BN72" t="str">
        <f>IF(COUNTIFS('在庫使用計画 (一般)'!C:C,マスタ_EOLリスト[[#This Row],[製品型番]])=0,"記載なし","")</f>
        <v>記載なし</v>
      </c>
      <c r="BO72" t="str">
        <f>IF(COUNTIFS('在庫使用計画 (法人)'!C:C,マスタ_EOLリスト[[#This Row],[製品型番]])=0,"記載なし","")</f>
        <v/>
      </c>
      <c r="BP72" t="str">
        <f>IF(COUNTIFS('在庫使用計画 (全体実績+予測）0701'!C:C,マスタ_EOLリスト[[#This Row],[製品型番]])=0,"記載なし","")</f>
        <v>記載なし</v>
      </c>
      <c r="BQ72" t="str">
        <f ca="1">IF(COUNTIFS('在庫使用計画 (計画　予測)'!C:C,マスタ_EOLリスト[[#This Row],[製品型番]])=0,"記載なし","")</f>
        <v>記載なし</v>
      </c>
      <c r="BR72" t="str">
        <f>IF(COUNTIFS(在庫確認!B:B,マスタ_EOLリスト[[#This Row],[製品型番]])=0,"記載なし","")</f>
        <v/>
      </c>
      <c r="BS72" t="e">
        <f>COUNTIF(#REF!,マスタ_EOLリスト[[#This Row],[製品型番]])</f>
        <v>#REF!</v>
      </c>
    </row>
    <row r="73" spans="1:71">
      <c r="A73" t="str">
        <v>RL7C-R45-C5N</v>
      </c>
      <c r="B73" t="s">
        <v>142</v>
      </c>
      <c r="C73" t="s">
        <v>403</v>
      </c>
      <c r="D73" t="s">
        <v>458</v>
      </c>
      <c r="E73">
        <v>193194</v>
      </c>
      <c r="F73" t="s">
        <v>469</v>
      </c>
      <c r="G73" t="s">
        <v>326</v>
      </c>
      <c r="H73" t="s">
        <v>470</v>
      </c>
      <c r="K73" t="s">
        <v>318</v>
      </c>
      <c r="L73">
        <v>4050</v>
      </c>
      <c r="M73">
        <v>0</v>
      </c>
      <c r="N73">
        <v>0</v>
      </c>
      <c r="O73" t="s">
        <v>377</v>
      </c>
      <c r="P73">
        <v>45428</v>
      </c>
      <c r="U73" t="s">
        <v>166</v>
      </c>
      <c r="V73">
        <v>3500</v>
      </c>
      <c r="W73">
        <v>1276</v>
      </c>
      <c r="Z73">
        <v>199022</v>
      </c>
      <c r="AK73">
        <v>194892</v>
      </c>
      <c r="AL73">
        <v>45457</v>
      </c>
      <c r="AM73">
        <v>110</v>
      </c>
      <c r="AN73" t="s">
        <v>323</v>
      </c>
      <c r="AW73" t="s">
        <v>21</v>
      </c>
      <c r="AX73" t="s">
        <v>144</v>
      </c>
      <c r="BM73" t="str">
        <f>IF(COUNTIFS('在庫使用計画 (ノート全体試算)'!C:C,マスタ_EOLリスト[[#This Row],[製品型番]])=0,"記載なし","")</f>
        <v/>
      </c>
      <c r="BN73" t="str">
        <f>IF(COUNTIFS('在庫使用計画 (一般)'!C:C,マスタ_EOLリスト[[#This Row],[製品型番]])=0,"記載なし","")</f>
        <v/>
      </c>
      <c r="BO73" t="str">
        <f>IF(COUNTIFS('在庫使用計画 (法人)'!C:C,マスタ_EOLリスト[[#This Row],[製品型番]])=0,"記載なし","")</f>
        <v/>
      </c>
      <c r="BP73" t="str">
        <f>IF(COUNTIFS('在庫使用計画 (全体実績+予測）0701'!C:C,マスタ_EOLリスト[[#This Row],[製品型番]])=0,"記載なし","")</f>
        <v/>
      </c>
      <c r="BQ73" t="str">
        <f ca="1">IF(COUNTIFS('在庫使用計画 (計画　予測)'!C:C,マスタ_EOLリスト[[#This Row],[製品型番]])=0,"記載なし","")</f>
        <v/>
      </c>
      <c r="BR73" t="str">
        <f>IF(COUNTIFS(在庫確認!B:B,マスタ_EOLリスト[[#This Row],[製品型番]])=0,"記載なし","")</f>
        <v/>
      </c>
      <c r="BS73" t="e">
        <f>COUNTIF(#REF!,マスタ_EOLリスト[[#This Row],[製品型番]])</f>
        <v>#REF!</v>
      </c>
    </row>
    <row r="74" spans="1:71">
      <c r="A74" t="str">
        <v>RL7C-R35-C5N</v>
      </c>
      <c r="B74" t="s">
        <v>142</v>
      </c>
      <c r="C74" t="s">
        <v>403</v>
      </c>
      <c r="D74" t="s">
        <v>463</v>
      </c>
      <c r="E74">
        <v>193196</v>
      </c>
      <c r="F74" t="s">
        <v>471</v>
      </c>
      <c r="G74" t="s">
        <v>326</v>
      </c>
      <c r="H74" t="s">
        <v>472</v>
      </c>
      <c r="K74" t="s">
        <v>318</v>
      </c>
      <c r="L74">
        <v>3050</v>
      </c>
      <c r="M74">
        <v>0</v>
      </c>
      <c r="N74">
        <v>0</v>
      </c>
      <c r="O74" t="s">
        <v>377</v>
      </c>
      <c r="P74">
        <v>45428</v>
      </c>
      <c r="U74" t="s">
        <v>166</v>
      </c>
      <c r="V74">
        <v>2940</v>
      </c>
      <c r="W74">
        <v>1586</v>
      </c>
      <c r="AK74">
        <v>194886</v>
      </c>
      <c r="AL74">
        <v>45481</v>
      </c>
      <c r="AM74">
        <v>150</v>
      </c>
      <c r="AN74" t="s">
        <v>251</v>
      </c>
      <c r="AW74" t="s">
        <v>21</v>
      </c>
      <c r="AX74" t="s">
        <v>144</v>
      </c>
      <c r="BM74" t="str">
        <f>IF(COUNTIFS('在庫使用計画 (ノート全体試算)'!C:C,マスタ_EOLリスト[[#This Row],[製品型番]])=0,"記載なし","")</f>
        <v/>
      </c>
      <c r="BN74" t="str">
        <f>IF(COUNTIFS('在庫使用計画 (一般)'!C:C,マスタ_EOLリスト[[#This Row],[製品型番]])=0,"記載なし","")</f>
        <v/>
      </c>
      <c r="BO74" t="str">
        <f>IF(COUNTIFS('在庫使用計画 (法人)'!C:C,マスタ_EOLリスト[[#This Row],[製品型番]])=0,"記載なし","")</f>
        <v/>
      </c>
      <c r="BP74" t="str">
        <f>IF(COUNTIFS('在庫使用計画 (全体実績+予測）0701'!C:C,マスタ_EOLリスト[[#This Row],[製品型番]])=0,"記載なし","")</f>
        <v/>
      </c>
      <c r="BQ74" t="str">
        <f ca="1">IF(COUNTIFS('在庫使用計画 (計画　予測)'!C:C,マスタ_EOLリスト[[#This Row],[製品型番]])=0,"記載なし","")</f>
        <v/>
      </c>
      <c r="BR74" t="str">
        <f>IF(COUNTIFS(在庫確認!B:B,マスタ_EOLリスト[[#This Row],[製品型番]])=0,"記載なし","")</f>
        <v/>
      </c>
      <c r="BS74" t="e">
        <f>COUNTIF(#REF!,マスタ_EOLリスト[[#This Row],[製品型番]])</f>
        <v>#REF!</v>
      </c>
    </row>
    <row r="75" spans="1:71">
      <c r="A75" t="str">
        <v>NSC7L-R56-C6</v>
      </c>
      <c r="B75" t="s">
        <v>390</v>
      </c>
      <c r="C75" t="s">
        <v>403</v>
      </c>
      <c r="D75" t="s">
        <v>448</v>
      </c>
      <c r="E75">
        <v>303437</v>
      </c>
      <c r="F75" t="s">
        <v>473</v>
      </c>
      <c r="G75" t="s">
        <v>474</v>
      </c>
      <c r="H75" t="s">
        <v>475</v>
      </c>
      <c r="I75">
        <v>16</v>
      </c>
      <c r="M75">
        <v>0</v>
      </c>
      <c r="N75">
        <v>1100</v>
      </c>
      <c r="O75" t="s">
        <v>476</v>
      </c>
      <c r="AW75" t="b">
        <v>1</v>
      </c>
      <c r="AX75" t="s">
        <v>144</v>
      </c>
      <c r="BA75" t="s">
        <v>169</v>
      </c>
      <c r="BB75" t="s">
        <v>170</v>
      </c>
      <c r="BC75" t="s">
        <v>169</v>
      </c>
      <c r="BD75" t="s">
        <v>169</v>
      </c>
      <c r="BJ75" t="s">
        <v>253</v>
      </c>
      <c r="BM75" t="str">
        <f>IF(COUNTIFS('在庫使用計画 (ノート全体試算)'!C:C,マスタ_EOLリスト[[#This Row],[製品型番]])=0,"記載なし","")</f>
        <v/>
      </c>
      <c r="BN75" t="str">
        <f>IF(COUNTIFS('在庫使用計画 (一般)'!C:C,マスタ_EOLリスト[[#This Row],[製品型番]])=0,"記載なし","")</f>
        <v/>
      </c>
      <c r="BO75" t="str">
        <f>IF(COUNTIFS('在庫使用計画 (法人)'!C:C,マスタ_EOLリスト[[#This Row],[製品型番]])=0,"記載なし","")</f>
        <v/>
      </c>
      <c r="BP75" t="str">
        <f>IF(COUNTIFS('在庫使用計画 (全体実績+予測）0701'!C:C,マスタ_EOLリスト[[#This Row],[製品型番]])=0,"記載なし","")</f>
        <v/>
      </c>
      <c r="BQ75" t="str">
        <f ca="1">IF(COUNTIFS('在庫使用計画 (計画　予測)'!C:C,マスタ_EOLリスト[[#This Row],[製品型番]])=0,"記載なし","")</f>
        <v/>
      </c>
      <c r="BR75" t="str">
        <f>IF(COUNTIFS(在庫確認!B:B,マスタ_EOLリスト[[#This Row],[製品型番]])=0,"記載なし","")</f>
        <v>記載なし</v>
      </c>
      <c r="BS75" t="e">
        <f>COUNTIF(#REF!,マスタ_EOLリスト[[#This Row],[製品型番]])</f>
        <v>#REF!</v>
      </c>
    </row>
    <row r="76" spans="1:71">
      <c r="A76" t="str">
        <v>NSC7L-R55-C6</v>
      </c>
      <c r="B76" t="s">
        <v>390</v>
      </c>
      <c r="C76" t="s">
        <v>403</v>
      </c>
      <c r="D76" t="s">
        <v>453</v>
      </c>
      <c r="E76">
        <v>303438</v>
      </c>
      <c r="F76" t="s">
        <v>477</v>
      </c>
      <c r="G76" t="s">
        <v>474</v>
      </c>
      <c r="H76" t="s">
        <v>478</v>
      </c>
      <c r="I76">
        <v>16</v>
      </c>
      <c r="M76">
        <v>0</v>
      </c>
      <c r="N76">
        <v>730</v>
      </c>
      <c r="O76" t="s">
        <v>476</v>
      </c>
      <c r="AW76" t="b">
        <v>1</v>
      </c>
      <c r="AX76" t="s">
        <v>144</v>
      </c>
      <c r="BA76" t="s">
        <v>169</v>
      </c>
      <c r="BB76" t="s">
        <v>170</v>
      </c>
      <c r="BC76" t="s">
        <v>169</v>
      </c>
      <c r="BD76" t="s">
        <v>169</v>
      </c>
      <c r="BJ76" t="s">
        <v>253</v>
      </c>
      <c r="BM76" t="str">
        <f>IF(COUNTIFS('在庫使用計画 (ノート全体試算)'!C:C,マスタ_EOLリスト[[#This Row],[製品型番]])=0,"記載なし","")</f>
        <v/>
      </c>
      <c r="BN76" t="str">
        <f>IF(COUNTIFS('在庫使用計画 (一般)'!C:C,マスタ_EOLリスト[[#This Row],[製品型番]])=0,"記載なし","")</f>
        <v/>
      </c>
      <c r="BO76" t="str">
        <f>IF(COUNTIFS('在庫使用計画 (法人)'!C:C,マスタ_EOLリスト[[#This Row],[製品型番]])=0,"記載なし","")</f>
        <v/>
      </c>
      <c r="BP76" t="str">
        <f>IF(COUNTIFS('在庫使用計画 (全体実績+予測）0701'!C:C,マスタ_EOLリスト[[#This Row],[製品型番]])=0,"記載なし","")</f>
        <v/>
      </c>
      <c r="BQ76" t="str">
        <f ca="1">IF(COUNTIFS('在庫使用計画 (計画　予測)'!C:C,マスタ_EOLリスト[[#This Row],[製品型番]])=0,"記載なし","")</f>
        <v/>
      </c>
      <c r="BR76" t="str">
        <f>IF(COUNTIFS(在庫確認!B:B,マスタ_EOLリスト[[#This Row],[製品型番]])=0,"記載なし","")</f>
        <v>記載なし</v>
      </c>
      <c r="BS76" t="e">
        <f>COUNTIF(#REF!,マスタ_EOLリスト[[#This Row],[製品型番]])</f>
        <v>#REF!</v>
      </c>
    </row>
    <row r="77" spans="1:71">
      <c r="A77" t="str">
        <v>NSC5L-IG-C4 (32GB)</v>
      </c>
      <c r="B77" t="s">
        <v>390</v>
      </c>
      <c r="C77" t="s">
        <v>403</v>
      </c>
      <c r="D77" t="s">
        <v>479</v>
      </c>
      <c r="E77">
        <v>302060</v>
      </c>
      <c r="F77" t="s">
        <v>480</v>
      </c>
      <c r="G77" t="s">
        <v>481</v>
      </c>
      <c r="H77" t="s">
        <v>482</v>
      </c>
      <c r="I77">
        <v>16</v>
      </c>
      <c r="M77">
        <v>0</v>
      </c>
      <c r="N77">
        <v>505</v>
      </c>
      <c r="O77">
        <v>46257</v>
      </c>
      <c r="AW77" t="b">
        <v>1</v>
      </c>
      <c r="AX77" t="s">
        <v>144</v>
      </c>
      <c r="BA77" t="s">
        <v>413</v>
      </c>
      <c r="BB77" t="s">
        <v>160</v>
      </c>
      <c r="BC77" t="s">
        <v>160</v>
      </c>
      <c r="BD77" t="s">
        <v>160</v>
      </c>
      <c r="BJ77" t="s">
        <v>253</v>
      </c>
      <c r="BM77" t="str">
        <f>IF(COUNTIFS('在庫使用計画 (ノート全体試算)'!C:C,マスタ_EOLリスト[[#This Row],[製品型番]])=0,"記載なし","")</f>
        <v/>
      </c>
      <c r="BN77" t="str">
        <f>IF(COUNTIFS('在庫使用計画 (一般)'!C:C,マスタ_EOLリスト[[#This Row],[製品型番]])=0,"記載なし","")</f>
        <v/>
      </c>
      <c r="BO77" t="str">
        <f>IF(COUNTIFS('在庫使用計画 (法人)'!C:C,マスタ_EOLリスト[[#This Row],[製品型番]])=0,"記載なし","")</f>
        <v/>
      </c>
      <c r="BP77" t="str">
        <f>IF(COUNTIFS('在庫使用計画 (全体実績+予測）0701'!C:C,マスタ_EOLリスト[[#This Row],[製品型番]])=0,"記載なし","")</f>
        <v/>
      </c>
      <c r="BQ77" t="str">
        <f ca="1">IF(COUNTIFS('在庫使用計画 (計画　予測)'!C:C,マスタ_EOLリスト[[#This Row],[製品型番]])=0,"記載なし","")</f>
        <v/>
      </c>
      <c r="BR77" t="str">
        <f>IF(COUNTIFS(在庫確認!B:B,マスタ_EOLリスト[[#This Row],[製品型番]])=0,"記載なし","")</f>
        <v>記載なし</v>
      </c>
      <c r="BS77" t="e">
        <f>COUNTIF(#REF!,マスタ_EOLリスト[[#This Row],[製品型番]])</f>
        <v>#REF!</v>
      </c>
    </row>
    <row r="78" spans="1:71">
      <c r="A78" t="str">
        <v>NSC5L-IG-C4 (16GB)</v>
      </c>
      <c r="B78" t="s">
        <v>390</v>
      </c>
      <c r="C78" t="s">
        <v>403</v>
      </c>
      <c r="D78" t="s">
        <v>483</v>
      </c>
      <c r="E78">
        <v>302059</v>
      </c>
      <c r="F78" t="s">
        <v>484</v>
      </c>
      <c r="G78" t="s">
        <v>481</v>
      </c>
      <c r="H78" t="s">
        <v>485</v>
      </c>
      <c r="I78">
        <v>16</v>
      </c>
      <c r="M78">
        <v>0</v>
      </c>
      <c r="N78">
        <v>555</v>
      </c>
      <c r="O78">
        <v>46257</v>
      </c>
      <c r="AW78" t="b">
        <v>1</v>
      </c>
      <c r="AX78" t="s">
        <v>144</v>
      </c>
      <c r="BA78" t="s">
        <v>413</v>
      </c>
      <c r="BB78" t="s">
        <v>160</v>
      </c>
      <c r="BC78" t="s">
        <v>160</v>
      </c>
      <c r="BD78" t="s">
        <v>160</v>
      </c>
      <c r="BJ78" t="s">
        <v>253</v>
      </c>
      <c r="BM78" t="str">
        <f>IF(COUNTIFS('在庫使用計画 (ノート全体試算)'!C:C,マスタ_EOLリスト[[#This Row],[製品型番]])=0,"記載なし","")</f>
        <v/>
      </c>
      <c r="BN78" t="str">
        <f>IF(COUNTIFS('在庫使用計画 (一般)'!C:C,マスタ_EOLリスト[[#This Row],[製品型番]])=0,"記載なし","")</f>
        <v/>
      </c>
      <c r="BO78" t="str">
        <f>IF(COUNTIFS('在庫使用計画 (法人)'!C:C,マスタ_EOLリスト[[#This Row],[製品型番]])=0,"記載なし","")</f>
        <v/>
      </c>
      <c r="BP78" t="str">
        <f>IF(COUNTIFS('在庫使用計画 (全体実績+予測）0701'!C:C,マスタ_EOLリスト[[#This Row],[製品型番]])=0,"記載なし","")</f>
        <v/>
      </c>
      <c r="BQ78" t="str">
        <f ca="1">IF(COUNTIFS('在庫使用計画 (計画　予測)'!C:C,マスタ_EOLリスト[[#This Row],[製品型番]])=0,"記載なし","")</f>
        <v/>
      </c>
      <c r="BR78" t="str">
        <f>IF(COUNTIFS(在庫確認!B:B,マスタ_EOLリスト[[#This Row],[製品型番]])=0,"記載なし","")</f>
        <v>記載なし</v>
      </c>
      <c r="BS78" t="e">
        <f>COUNTIF(#REF!,マスタ_EOLリスト[[#This Row],[製品型番]])</f>
        <v>#REF!</v>
      </c>
    </row>
    <row r="79" spans="1:71">
      <c r="A79" t="str">
        <v>DL9R-IG-C4A</v>
      </c>
      <c r="B79" t="s">
        <v>142</v>
      </c>
      <c r="C79" t="s">
        <v>403</v>
      </c>
      <c r="D79" t="s">
        <v>486</v>
      </c>
      <c r="E79">
        <v>208299</v>
      </c>
      <c r="F79" t="s">
        <v>487</v>
      </c>
      <c r="G79" t="s">
        <v>357</v>
      </c>
      <c r="H79" t="s">
        <v>488</v>
      </c>
      <c r="I79">
        <v>14</v>
      </c>
      <c r="J79" t="s">
        <v>248</v>
      </c>
      <c r="K79" t="s">
        <v>489</v>
      </c>
      <c r="L79" t="s">
        <v>438</v>
      </c>
      <c r="M79">
        <v>0</v>
      </c>
      <c r="N79">
        <v>0</v>
      </c>
      <c r="P79">
        <v>45708</v>
      </c>
      <c r="W79">
        <v>1000</v>
      </c>
      <c r="Z79">
        <v>216787</v>
      </c>
      <c r="AN79" t="s">
        <v>439</v>
      </c>
      <c r="AO79">
        <v>19</v>
      </c>
      <c r="AQ79" t="s">
        <v>440</v>
      </c>
      <c r="AW79" t="s">
        <v>21</v>
      </c>
      <c r="AX79" t="s">
        <v>144</v>
      </c>
      <c r="AY79" t="s">
        <v>490</v>
      </c>
      <c r="BM79" t="str">
        <f>IF(COUNTIFS('在庫使用計画 (ノート全体試算)'!C:C,マスタ_EOLリスト[[#This Row],[製品型番]])=0,"記載なし","")</f>
        <v/>
      </c>
      <c r="BN79" t="str">
        <f>IF(COUNTIFS('在庫使用計画 (一般)'!C:C,マスタ_EOLリスト[[#This Row],[製品型番]])=0,"記載なし","")</f>
        <v/>
      </c>
      <c r="BO79" t="str">
        <f>IF(COUNTIFS('在庫使用計画 (法人)'!C:C,マスタ_EOLリスト[[#This Row],[製品型番]])=0,"記載なし","")</f>
        <v/>
      </c>
      <c r="BP79" t="str">
        <f>IF(COUNTIFS('在庫使用計画 (全体実績+予測）0701'!C:C,マスタ_EOLリスト[[#This Row],[製品型番]])=0,"記載なし","")</f>
        <v/>
      </c>
      <c r="BQ79" t="str">
        <f ca="1">IF(COUNTIFS('在庫使用計画 (計画　予測)'!C:C,マスタ_EOLリスト[[#This Row],[製品型番]])=0,"記載なし","")</f>
        <v/>
      </c>
      <c r="BR79" t="str">
        <f>IF(COUNTIFS(在庫確認!B:B,マスタ_EOLリスト[[#This Row],[製品型番]])=0,"記載なし","")</f>
        <v/>
      </c>
      <c r="BS79" t="e">
        <f>COUNTIF(#REF!,マスタ_EOLリスト[[#This Row],[製品型番]])</f>
        <v>#REF!</v>
      </c>
    </row>
    <row r="80" spans="1:71">
      <c r="A80" t="str">
        <v>DL9R-IG-C4A</v>
      </c>
      <c r="B80" t="s">
        <v>335</v>
      </c>
      <c r="C80" t="s">
        <v>403</v>
      </c>
      <c r="D80" t="s">
        <v>486</v>
      </c>
      <c r="E80">
        <v>216787</v>
      </c>
      <c r="F80" t="s">
        <v>491</v>
      </c>
      <c r="G80" t="s">
        <v>357</v>
      </c>
      <c r="H80" t="s">
        <v>488</v>
      </c>
      <c r="I80">
        <v>14</v>
      </c>
      <c r="J80" t="s">
        <v>248</v>
      </c>
      <c r="K80" t="s">
        <v>489</v>
      </c>
      <c r="L80" t="s">
        <v>438</v>
      </c>
      <c r="M80">
        <v>26</v>
      </c>
      <c r="N80">
        <v>26</v>
      </c>
      <c r="P80">
        <v>45708</v>
      </c>
      <c r="Q80" t="s">
        <v>492</v>
      </c>
      <c r="R80" t="s">
        <v>493</v>
      </c>
      <c r="W80">
        <v>1940</v>
      </c>
      <c r="AB80">
        <v>295632</v>
      </c>
      <c r="AC80" t="s">
        <v>494</v>
      </c>
      <c r="AN80" t="s">
        <v>439</v>
      </c>
      <c r="AO80">
        <v>19</v>
      </c>
      <c r="AQ80" t="s">
        <v>440</v>
      </c>
      <c r="AW80" t="b">
        <v>1</v>
      </c>
      <c r="AX80" t="s">
        <v>495</v>
      </c>
      <c r="AY80" t="s">
        <v>490</v>
      </c>
      <c r="BA80" t="s">
        <v>160</v>
      </c>
      <c r="BB80" t="s">
        <v>160</v>
      </c>
      <c r="BC80" t="s">
        <v>160</v>
      </c>
      <c r="BD80" t="s">
        <v>160</v>
      </c>
      <c r="BJ80" t="s">
        <v>253</v>
      </c>
      <c r="BM80" t="str">
        <f>IF(COUNTIFS('在庫使用計画 (ノート全体試算)'!C:C,マスタ_EOLリスト[[#This Row],[製品型番]])=0,"記載なし","")</f>
        <v/>
      </c>
      <c r="BN80" t="str">
        <f>IF(COUNTIFS('在庫使用計画 (一般)'!C:C,マスタ_EOLリスト[[#This Row],[製品型番]])=0,"記載なし","")</f>
        <v/>
      </c>
      <c r="BO80" t="str">
        <f>IF(COUNTIFS('在庫使用計画 (法人)'!C:C,マスタ_EOLリスト[[#This Row],[製品型番]])=0,"記載なし","")</f>
        <v/>
      </c>
      <c r="BP80" t="str">
        <f>IF(COUNTIFS('在庫使用計画 (全体実績+予測）0701'!C:C,マスタ_EOLリスト[[#This Row],[製品型番]])=0,"記載なし","")</f>
        <v/>
      </c>
      <c r="BQ80" t="str">
        <f ca="1">IF(COUNTIFS('在庫使用計画 (計画　予測)'!C:C,マスタ_EOLリスト[[#This Row],[製品型番]])=0,"記載なし","")</f>
        <v/>
      </c>
      <c r="BR80" t="str">
        <f>IF(COUNTIFS(在庫確認!B:B,マスタ_EOLリスト[[#This Row],[製品型番]])=0,"記載なし","")</f>
        <v/>
      </c>
      <c r="BS80" t="e">
        <f>COUNTIF(#REF!,マスタ_EOLリスト[[#This Row],[製品型番]])</f>
        <v>#REF!</v>
      </c>
    </row>
    <row r="81" spans="1:71">
      <c r="A81" t="str">
        <v>DL7C-IG-C4</v>
      </c>
      <c r="B81" t="s">
        <v>142</v>
      </c>
      <c r="C81" t="s">
        <v>403</v>
      </c>
      <c r="D81" t="s">
        <v>496</v>
      </c>
      <c r="E81">
        <v>193198</v>
      </c>
      <c r="F81" t="s">
        <v>497</v>
      </c>
      <c r="G81" t="s">
        <v>357</v>
      </c>
      <c r="H81" t="s">
        <v>498</v>
      </c>
      <c r="I81">
        <v>14</v>
      </c>
      <c r="K81" t="s">
        <v>268</v>
      </c>
      <c r="L81" t="s">
        <v>438</v>
      </c>
      <c r="M81">
        <v>0</v>
      </c>
      <c r="N81">
        <v>0</v>
      </c>
      <c r="O81" t="s">
        <v>367</v>
      </c>
      <c r="P81">
        <v>45463</v>
      </c>
      <c r="Q81" t="s">
        <v>178</v>
      </c>
      <c r="R81" t="s">
        <v>499</v>
      </c>
      <c r="U81" t="s">
        <v>166</v>
      </c>
      <c r="V81">
        <v>3136</v>
      </c>
      <c r="W81">
        <v>1326</v>
      </c>
      <c r="AB81">
        <v>216787</v>
      </c>
      <c r="AK81">
        <v>194893</v>
      </c>
      <c r="AL81">
        <v>45439</v>
      </c>
      <c r="AM81">
        <v>6</v>
      </c>
      <c r="AN81" t="s">
        <v>439</v>
      </c>
      <c r="AW81" t="s">
        <v>21</v>
      </c>
      <c r="AX81" t="s">
        <v>144</v>
      </c>
      <c r="AY81" t="s">
        <v>490</v>
      </c>
      <c r="BM81" t="str">
        <f>IF(COUNTIFS('在庫使用計画 (ノート全体試算)'!C:C,マスタ_EOLリスト[[#This Row],[製品型番]])=0,"記載なし","")</f>
        <v/>
      </c>
      <c r="BN81" t="str">
        <f>IF(COUNTIFS('在庫使用計画 (一般)'!C:C,マスタ_EOLリスト[[#This Row],[製品型番]])=0,"記載なし","")</f>
        <v/>
      </c>
      <c r="BO81" t="str">
        <f>IF(COUNTIFS('在庫使用計画 (法人)'!C:C,マスタ_EOLリスト[[#This Row],[製品型番]])=0,"記載なし","")</f>
        <v/>
      </c>
      <c r="BP81" t="str">
        <f>IF(COUNTIFS('在庫使用計画 (全体実績+予測）0701'!C:C,マスタ_EOLリスト[[#This Row],[製品型番]])=0,"記載なし","")</f>
        <v>記載なし</v>
      </c>
      <c r="BQ81" t="str">
        <f ca="1">IF(COUNTIFS('在庫使用計画 (計画　予測)'!C:C,マスタ_EOLリスト[[#This Row],[製品型番]])=0,"記載なし","")</f>
        <v>記載なし</v>
      </c>
      <c r="BR81" t="str">
        <f>IF(COUNTIFS(在庫確認!B:B,マスタ_EOLリスト[[#This Row],[製品型番]])=0,"記載なし","")</f>
        <v/>
      </c>
      <c r="BS81" t="e">
        <f>COUNTIF(#REF!,マスタ_EOLリスト[[#This Row],[製品型番]])</f>
        <v>#REF!</v>
      </c>
    </row>
    <row r="82" spans="1:71">
      <c r="A82" t="str">
        <v>DL7C-IG-C6</v>
      </c>
      <c r="B82" t="s">
        <v>142</v>
      </c>
      <c r="C82" t="s">
        <v>403</v>
      </c>
      <c r="D82" t="s">
        <v>500</v>
      </c>
      <c r="E82">
        <v>193210</v>
      </c>
      <c r="F82" t="s">
        <v>501</v>
      </c>
      <c r="G82" t="s">
        <v>246</v>
      </c>
      <c r="H82" t="s">
        <v>502</v>
      </c>
      <c r="K82" t="s">
        <v>268</v>
      </c>
      <c r="L82" t="s">
        <v>438</v>
      </c>
      <c r="M82">
        <v>0</v>
      </c>
      <c r="N82">
        <v>0</v>
      </c>
      <c r="O82" t="s">
        <v>503</v>
      </c>
      <c r="P82">
        <v>45463</v>
      </c>
      <c r="Q82" t="s">
        <v>178</v>
      </c>
      <c r="U82" t="s">
        <v>166</v>
      </c>
      <c r="V82">
        <v>450</v>
      </c>
      <c r="W82">
        <v>637</v>
      </c>
      <c r="AK82">
        <v>194897</v>
      </c>
      <c r="AL82">
        <v>45483</v>
      </c>
      <c r="AM82">
        <v>125</v>
      </c>
      <c r="AN82" t="s">
        <v>439</v>
      </c>
      <c r="AW82" t="s">
        <v>21</v>
      </c>
      <c r="AX82" t="s">
        <v>144</v>
      </c>
      <c r="BM82" t="str">
        <f>IF(COUNTIFS('在庫使用計画 (ノート全体試算)'!C:C,マスタ_EOLリスト[[#This Row],[製品型番]])=0,"記載なし","")</f>
        <v/>
      </c>
      <c r="BN82" t="str">
        <f>IF(COUNTIFS('在庫使用計画 (一般)'!C:C,マスタ_EOLリスト[[#This Row],[製品型番]])=0,"記載なし","")</f>
        <v>記載なし</v>
      </c>
      <c r="BO82" t="str">
        <f>IF(COUNTIFS('在庫使用計画 (法人)'!C:C,マスタ_EOLリスト[[#This Row],[製品型番]])=0,"記載なし","")</f>
        <v/>
      </c>
      <c r="BP82" t="str">
        <f>IF(COUNTIFS('在庫使用計画 (全体実績+予測）0701'!C:C,マスタ_EOLリスト[[#This Row],[製品型番]])=0,"記載なし","")</f>
        <v/>
      </c>
      <c r="BQ82" t="str">
        <f ca="1">IF(COUNTIFS('在庫使用計画 (計画　予測)'!C:C,マスタ_EOLリスト[[#This Row],[製品型番]])=0,"記載なし","")</f>
        <v>記載なし</v>
      </c>
      <c r="BR82" t="str">
        <f>IF(COUNTIFS(在庫確認!B:B,マスタ_EOLリスト[[#This Row],[製品型番]])=0,"記載なし","")</f>
        <v/>
      </c>
      <c r="BS82" t="e">
        <f>COUNTIF(#REF!,マスタ_EOLリスト[[#This Row],[製品型番]])</f>
        <v>#REF!</v>
      </c>
    </row>
    <row r="83" spans="1:71">
      <c r="A83" t="str">
        <v>DL7C-IG-C6</v>
      </c>
      <c r="B83" t="s">
        <v>142</v>
      </c>
      <c r="C83" t="s">
        <v>403</v>
      </c>
      <c r="D83" t="s">
        <v>500</v>
      </c>
      <c r="E83">
        <v>199320</v>
      </c>
      <c r="F83" t="s">
        <v>504</v>
      </c>
      <c r="G83" t="s">
        <v>246</v>
      </c>
      <c r="H83" t="s">
        <v>502</v>
      </c>
      <c r="K83" t="s">
        <v>268</v>
      </c>
      <c r="L83" t="s">
        <v>438</v>
      </c>
      <c r="M83">
        <v>0</v>
      </c>
      <c r="N83">
        <v>0</v>
      </c>
      <c r="Q83" t="s">
        <v>269</v>
      </c>
      <c r="R83" t="s">
        <v>173</v>
      </c>
      <c r="W83">
        <v>0</v>
      </c>
      <c r="Z83" t="s">
        <v>234</v>
      </c>
      <c r="AC83" t="s">
        <v>505</v>
      </c>
      <c r="AI83">
        <v>199320</v>
      </c>
      <c r="AK83">
        <v>207662</v>
      </c>
      <c r="AL83">
        <v>45483</v>
      </c>
      <c r="AM83">
        <v>125</v>
      </c>
      <c r="AN83" t="s">
        <v>439</v>
      </c>
      <c r="AW83" t="s">
        <v>21</v>
      </c>
      <c r="AX83" t="s">
        <v>144</v>
      </c>
      <c r="BM83" t="str">
        <f>IF(COUNTIFS('在庫使用計画 (ノート全体試算)'!C:C,マスタ_EOLリスト[[#This Row],[製品型番]])=0,"記載なし","")</f>
        <v/>
      </c>
      <c r="BN83" t="str">
        <f>IF(COUNTIFS('在庫使用計画 (一般)'!C:C,マスタ_EOLリスト[[#This Row],[製品型番]])=0,"記載なし","")</f>
        <v>記載なし</v>
      </c>
      <c r="BO83" t="str">
        <f>IF(COUNTIFS('在庫使用計画 (法人)'!C:C,マスタ_EOLリスト[[#This Row],[製品型番]])=0,"記載なし","")</f>
        <v/>
      </c>
      <c r="BP83" t="str">
        <f>IF(COUNTIFS('在庫使用計画 (全体実績+予測）0701'!C:C,マスタ_EOLリスト[[#This Row],[製品型番]])=0,"記載なし","")</f>
        <v/>
      </c>
      <c r="BQ83" t="str">
        <f ca="1">IF(COUNTIFS('在庫使用計画 (計画　予測)'!C:C,マスタ_EOLリスト[[#This Row],[製品型番]])=0,"記載なし","")</f>
        <v>記載なし</v>
      </c>
      <c r="BR83" t="str">
        <f>IF(COUNTIFS(在庫確認!B:B,マスタ_EOLリスト[[#This Row],[製品型番]])=0,"記載なし","")</f>
        <v/>
      </c>
      <c r="BS83" t="e">
        <f>COUNTIF(#REF!,マスタ_EOLリスト[[#This Row],[製品型番]])</f>
        <v>#REF!</v>
      </c>
    </row>
    <row r="84" spans="1:71">
      <c r="A84" t="str">
        <v>DL7C-IG-C4</v>
      </c>
      <c r="B84" t="s">
        <v>142</v>
      </c>
      <c r="C84" t="s">
        <v>403</v>
      </c>
      <c r="D84" t="s">
        <v>496</v>
      </c>
      <c r="E84">
        <v>199322</v>
      </c>
      <c r="F84" t="s">
        <v>506</v>
      </c>
      <c r="G84" t="s">
        <v>357</v>
      </c>
      <c r="H84" t="s">
        <v>507</v>
      </c>
      <c r="K84" t="s">
        <v>268</v>
      </c>
      <c r="L84" t="s">
        <v>438</v>
      </c>
      <c r="M84">
        <v>0</v>
      </c>
      <c r="N84">
        <v>0</v>
      </c>
      <c r="R84" t="s">
        <v>173</v>
      </c>
      <c r="W84">
        <v>320</v>
      </c>
      <c r="AB84">
        <v>216787</v>
      </c>
      <c r="AK84">
        <v>207652</v>
      </c>
      <c r="AL84">
        <v>45483</v>
      </c>
      <c r="AM84">
        <v>125</v>
      </c>
      <c r="AN84" t="s">
        <v>439</v>
      </c>
      <c r="AW84" t="s">
        <v>21</v>
      </c>
      <c r="AX84" t="s">
        <v>144</v>
      </c>
      <c r="BM84" t="str">
        <f>IF(COUNTIFS('在庫使用計画 (ノート全体試算)'!C:C,マスタ_EOLリスト[[#This Row],[製品型番]])=0,"記載なし","")</f>
        <v/>
      </c>
      <c r="BN84" t="str">
        <f>IF(COUNTIFS('在庫使用計画 (一般)'!C:C,マスタ_EOLリスト[[#This Row],[製品型番]])=0,"記載なし","")</f>
        <v/>
      </c>
      <c r="BO84" t="str">
        <f>IF(COUNTIFS('在庫使用計画 (法人)'!C:C,マスタ_EOLリスト[[#This Row],[製品型番]])=0,"記載なし","")</f>
        <v/>
      </c>
      <c r="BP84" t="str">
        <f>IF(COUNTIFS('在庫使用計画 (全体実績+予測）0701'!C:C,マスタ_EOLリスト[[#This Row],[製品型番]])=0,"記載なし","")</f>
        <v>記載なし</v>
      </c>
      <c r="BQ84" t="str">
        <f ca="1">IF(COUNTIFS('在庫使用計画 (計画　予測)'!C:C,マスタ_EOLリスト[[#This Row],[製品型番]])=0,"記載なし","")</f>
        <v>記載なし</v>
      </c>
      <c r="BR84" t="str">
        <f>IF(COUNTIFS(在庫確認!B:B,マスタ_EOLリスト[[#This Row],[製品型番]])=0,"記載なし","")</f>
        <v/>
      </c>
      <c r="BS84" t="e">
        <f>COUNTIF(#REF!,マスタ_EOLリスト[[#This Row],[製品型番]])</f>
        <v>#REF!</v>
      </c>
    </row>
    <row r="85" spans="1:71">
      <c r="A85" t="str">
        <v>DL7C-IG-C4</v>
      </c>
      <c r="B85" t="s">
        <v>142</v>
      </c>
      <c r="C85" t="s">
        <v>403</v>
      </c>
      <c r="D85" t="s">
        <v>496</v>
      </c>
      <c r="E85">
        <v>208425</v>
      </c>
      <c r="F85" t="s">
        <v>508</v>
      </c>
      <c r="G85" t="s">
        <v>357</v>
      </c>
      <c r="H85" t="s">
        <v>507</v>
      </c>
      <c r="K85" t="s">
        <v>268</v>
      </c>
      <c r="L85" t="s">
        <v>438</v>
      </c>
      <c r="M85">
        <v>0</v>
      </c>
      <c r="N85">
        <v>0</v>
      </c>
      <c r="W85">
        <v>80</v>
      </c>
      <c r="AB85">
        <v>216787</v>
      </c>
      <c r="AN85" t="s">
        <v>439</v>
      </c>
      <c r="AW85" t="s">
        <v>21</v>
      </c>
      <c r="AX85" t="s">
        <v>144</v>
      </c>
      <c r="BM85" t="str">
        <f>IF(COUNTIFS('在庫使用計画 (ノート全体試算)'!C:C,マスタ_EOLリスト[[#This Row],[製品型番]])=0,"記載なし","")</f>
        <v/>
      </c>
      <c r="BN85" t="str">
        <f>IF(COUNTIFS('在庫使用計画 (一般)'!C:C,マスタ_EOLリスト[[#This Row],[製品型番]])=0,"記載なし","")</f>
        <v/>
      </c>
      <c r="BO85" t="str">
        <f>IF(COUNTIFS('在庫使用計画 (法人)'!C:C,マスタ_EOLリスト[[#This Row],[製品型番]])=0,"記載なし","")</f>
        <v/>
      </c>
      <c r="BP85" t="str">
        <f>IF(COUNTIFS('在庫使用計画 (全体実績+予測）0701'!C:C,マスタ_EOLリスト[[#This Row],[製品型番]])=0,"記載なし","")</f>
        <v>記載なし</v>
      </c>
      <c r="BQ85" t="str">
        <f ca="1">IF(COUNTIFS('在庫使用計画 (計画　予測)'!C:C,マスタ_EOLリスト[[#This Row],[製品型番]])=0,"記載なし","")</f>
        <v>記載なし</v>
      </c>
      <c r="BR85" t="str">
        <f>IF(COUNTIFS(在庫確認!B:B,マスタ_EOLリスト[[#This Row],[製品型番]])=0,"記載なし","")</f>
        <v/>
      </c>
      <c r="BS85" t="e">
        <f>COUNTIF(#REF!,マスタ_EOLリスト[[#This Row],[製品型番]])</f>
        <v>#REF!</v>
      </c>
    </row>
    <row r="86" spans="1:71">
      <c r="A86" t="e">
        <v>#N/A</v>
      </c>
      <c r="B86" t="s">
        <v>293</v>
      </c>
      <c r="C86" t="s">
        <v>403</v>
      </c>
      <c r="D86" t="s">
        <v>509</v>
      </c>
      <c r="E86">
        <v>320747</v>
      </c>
      <c r="F86" t="s">
        <v>510</v>
      </c>
      <c r="G86" t="s">
        <v>511</v>
      </c>
      <c r="H86" t="s">
        <v>512</v>
      </c>
      <c r="I86">
        <v>0</v>
      </c>
      <c r="M86">
        <v>0</v>
      </c>
      <c r="N86">
        <v>0</v>
      </c>
      <c r="R86" t="s">
        <v>513</v>
      </c>
      <c r="AW86" t="b">
        <v>1</v>
      </c>
      <c r="AX86" t="s">
        <v>144</v>
      </c>
      <c r="BM86" t="str">
        <f>IF(COUNTIFS('在庫使用計画 (ノート全体試算)'!C:C,マスタ_EOLリスト[[#This Row],[製品型番]])=0,"記載なし","")</f>
        <v>記載なし</v>
      </c>
      <c r="BN86" t="str">
        <f>IF(COUNTIFS('在庫使用計画 (一般)'!C:C,マスタ_EOLリスト[[#This Row],[製品型番]])=0,"記載なし","")</f>
        <v>記載なし</v>
      </c>
      <c r="BO86" t="str">
        <f>IF(COUNTIFS('在庫使用計画 (法人)'!C:C,マスタ_EOLリスト[[#This Row],[製品型番]])=0,"記載なし","")</f>
        <v>記載なし</v>
      </c>
      <c r="BP86" t="str">
        <f>IF(COUNTIFS('在庫使用計画 (全体実績+予測）0701'!C:C,マスタ_EOLリスト[[#This Row],[製品型番]])=0,"記載なし","")</f>
        <v>記載なし</v>
      </c>
      <c r="BQ86" t="str">
        <f ca="1">IF(COUNTIFS('在庫使用計画 (計画　予測)'!C:C,マスタ_EOLリスト[[#This Row],[製品型番]])=0,"記載なし","")</f>
        <v>記載なし</v>
      </c>
      <c r="BR86" t="str">
        <f>IF(COUNTIFS(在庫確認!B:B,マスタ_EOLリスト[[#This Row],[製品型番]])=0,"記載なし","")</f>
        <v>記載なし</v>
      </c>
      <c r="BS86" t="e">
        <f>COUNTIF(#REF!,マスタ_EOLリスト[[#This Row],[製品型番]])</f>
        <v>#REF!</v>
      </c>
    </row>
    <row r="87" spans="1:71">
      <c r="A87" t="e">
        <v>#N/A</v>
      </c>
      <c r="B87" t="s">
        <v>293</v>
      </c>
      <c r="C87" t="s">
        <v>403</v>
      </c>
      <c r="D87" t="s">
        <v>514</v>
      </c>
      <c r="E87">
        <v>320748</v>
      </c>
      <c r="F87" t="s">
        <v>515</v>
      </c>
      <c r="G87" t="s">
        <v>516</v>
      </c>
      <c r="H87" t="s">
        <v>517</v>
      </c>
      <c r="I87">
        <v>0</v>
      </c>
      <c r="M87">
        <v>0</v>
      </c>
      <c r="N87">
        <v>0</v>
      </c>
      <c r="R87" t="s">
        <v>513</v>
      </c>
      <c r="AW87" t="b">
        <v>1</v>
      </c>
      <c r="AX87" t="s">
        <v>144</v>
      </c>
      <c r="BM87" t="str">
        <f>IF(COUNTIFS('在庫使用計画 (ノート全体試算)'!C:C,マスタ_EOLリスト[[#This Row],[製品型番]])=0,"記載なし","")</f>
        <v>記載なし</v>
      </c>
      <c r="BN87" t="str">
        <f>IF(COUNTIFS('在庫使用計画 (一般)'!C:C,マスタ_EOLリスト[[#This Row],[製品型番]])=0,"記載なし","")</f>
        <v>記載なし</v>
      </c>
      <c r="BO87" t="str">
        <f>IF(COUNTIFS('在庫使用計画 (法人)'!C:C,マスタ_EOLリスト[[#This Row],[製品型番]])=0,"記載なし","")</f>
        <v>記載なし</v>
      </c>
      <c r="BP87" t="str">
        <f>IF(COUNTIFS('在庫使用計画 (全体実績+予測）0701'!C:C,マスタ_EOLリスト[[#This Row],[製品型番]])=0,"記載なし","")</f>
        <v>記載なし</v>
      </c>
      <c r="BQ87" t="str">
        <f ca="1">IF(COUNTIFS('在庫使用計画 (計画　予測)'!C:C,マスタ_EOLリスト[[#This Row],[製品型番]])=0,"記載なし","")</f>
        <v>記載なし</v>
      </c>
      <c r="BR87" t="str">
        <f>IF(COUNTIFS(在庫確認!B:B,マスタ_EOLリスト[[#This Row],[製品型番]])=0,"記載なし","")</f>
        <v>記載なし</v>
      </c>
      <c r="BS87" t="e">
        <f>COUNTIF(#REF!,マスタ_EOLリスト[[#This Row],[製品型番]])</f>
        <v>#REF!</v>
      </c>
    </row>
    <row r="88" spans="1:71">
      <c r="A88" t="e">
        <v>#N/A</v>
      </c>
      <c r="B88" t="s">
        <v>293</v>
      </c>
      <c r="C88" t="s">
        <v>403</v>
      </c>
      <c r="D88" t="s">
        <v>518</v>
      </c>
      <c r="E88">
        <v>320750</v>
      </c>
      <c r="F88" t="s">
        <v>519</v>
      </c>
      <c r="G88" t="s">
        <v>511</v>
      </c>
      <c r="H88" t="s">
        <v>520</v>
      </c>
      <c r="I88">
        <v>0</v>
      </c>
      <c r="M88">
        <v>0</v>
      </c>
      <c r="N88">
        <v>0</v>
      </c>
      <c r="R88" t="s">
        <v>513</v>
      </c>
      <c r="AW88" t="b">
        <v>1</v>
      </c>
      <c r="AX88" t="s">
        <v>144</v>
      </c>
      <c r="BM88" t="str">
        <f>IF(COUNTIFS('在庫使用計画 (ノート全体試算)'!C:C,マスタ_EOLリスト[[#This Row],[製品型番]])=0,"記載なし","")</f>
        <v>記載なし</v>
      </c>
      <c r="BN88" t="str">
        <f>IF(COUNTIFS('在庫使用計画 (一般)'!C:C,マスタ_EOLリスト[[#This Row],[製品型番]])=0,"記載なし","")</f>
        <v>記載なし</v>
      </c>
      <c r="BO88" t="str">
        <f>IF(COUNTIFS('在庫使用計画 (法人)'!C:C,マスタ_EOLリスト[[#This Row],[製品型番]])=0,"記載なし","")</f>
        <v>記載なし</v>
      </c>
      <c r="BP88" t="str">
        <f>IF(COUNTIFS('在庫使用計画 (全体実績+予測）0701'!C:C,マスタ_EOLリスト[[#This Row],[製品型番]])=0,"記載なし","")</f>
        <v>記載なし</v>
      </c>
      <c r="BQ88" t="str">
        <f ca="1">IF(COUNTIFS('在庫使用計画 (計画　予測)'!C:C,マスタ_EOLリスト[[#This Row],[製品型番]])=0,"記載なし","")</f>
        <v>記載なし</v>
      </c>
      <c r="BR88" t="str">
        <f>IF(COUNTIFS(在庫確認!B:B,マスタ_EOLリスト[[#This Row],[製品型番]])=0,"記載なし","")</f>
        <v>記載なし</v>
      </c>
      <c r="BS88" t="e">
        <f>COUNTIF(#REF!,マスタ_EOLリスト[[#This Row],[製品型番]])</f>
        <v>#REF!</v>
      </c>
    </row>
    <row r="89" spans="1:71">
      <c r="A89" t="e">
        <v>#N/A</v>
      </c>
      <c r="B89" t="s">
        <v>293</v>
      </c>
      <c r="C89" t="s">
        <v>403</v>
      </c>
      <c r="D89" t="s">
        <v>521</v>
      </c>
      <c r="E89">
        <v>320751</v>
      </c>
      <c r="F89" t="s">
        <v>522</v>
      </c>
      <c r="G89" t="s">
        <v>516</v>
      </c>
      <c r="H89" t="s">
        <v>523</v>
      </c>
      <c r="I89">
        <v>0</v>
      </c>
      <c r="M89">
        <v>0</v>
      </c>
      <c r="N89">
        <v>0</v>
      </c>
      <c r="R89" t="s">
        <v>513</v>
      </c>
      <c r="AW89" t="b">
        <v>1</v>
      </c>
      <c r="AX89" t="s">
        <v>144</v>
      </c>
      <c r="BM89" t="str">
        <f>IF(COUNTIFS('在庫使用計画 (ノート全体試算)'!C:C,マスタ_EOLリスト[[#This Row],[製品型番]])=0,"記載なし","")</f>
        <v>記載なし</v>
      </c>
      <c r="BN89" t="str">
        <f>IF(COUNTIFS('在庫使用計画 (一般)'!C:C,マスタ_EOLリスト[[#This Row],[製品型番]])=0,"記載なし","")</f>
        <v>記載なし</v>
      </c>
      <c r="BO89" t="str">
        <f>IF(COUNTIFS('在庫使用計画 (法人)'!C:C,マスタ_EOLリスト[[#This Row],[製品型番]])=0,"記載なし","")</f>
        <v>記載なし</v>
      </c>
      <c r="BP89" t="str">
        <f>IF(COUNTIFS('在庫使用計画 (全体実績+予測）0701'!C:C,マスタ_EOLリスト[[#This Row],[製品型番]])=0,"記載なし","")</f>
        <v>記載なし</v>
      </c>
      <c r="BQ89" t="str">
        <f ca="1">IF(COUNTIFS('在庫使用計画 (計画　予測)'!C:C,マスタ_EOLリスト[[#This Row],[製品型番]])=0,"記載なし","")</f>
        <v>記載なし</v>
      </c>
      <c r="BR89" t="str">
        <f>IF(COUNTIFS(在庫確認!B:B,マスタ_EOLリスト[[#This Row],[製品型番]])=0,"記載なし","")</f>
        <v>記載なし</v>
      </c>
      <c r="BS89" t="e">
        <f>COUNTIF(#REF!,マスタ_EOLリスト[[#This Row],[製品型番]])</f>
        <v>#REF!</v>
      </c>
    </row>
    <row r="90" spans="1:71">
      <c r="A90" t="e">
        <v>#N/A</v>
      </c>
      <c r="B90" t="s">
        <v>293</v>
      </c>
      <c r="C90" t="s">
        <v>403</v>
      </c>
      <c r="D90" t="s">
        <v>524</v>
      </c>
      <c r="E90">
        <v>320752</v>
      </c>
      <c r="F90" t="s">
        <v>525</v>
      </c>
      <c r="G90" t="s">
        <v>526</v>
      </c>
      <c r="H90" t="s">
        <v>527</v>
      </c>
      <c r="I90">
        <v>0</v>
      </c>
      <c r="M90">
        <v>0</v>
      </c>
      <c r="N90">
        <v>0</v>
      </c>
      <c r="R90" t="s">
        <v>513</v>
      </c>
      <c r="AW90" t="b">
        <v>1</v>
      </c>
      <c r="AX90" t="s">
        <v>144</v>
      </c>
      <c r="BM90" t="str">
        <f>IF(COUNTIFS('在庫使用計画 (ノート全体試算)'!C:C,マスタ_EOLリスト[[#This Row],[製品型番]])=0,"記載なし","")</f>
        <v>記載なし</v>
      </c>
      <c r="BN90" t="str">
        <f>IF(COUNTIFS('在庫使用計画 (一般)'!C:C,マスタ_EOLリスト[[#This Row],[製品型番]])=0,"記載なし","")</f>
        <v>記載なし</v>
      </c>
      <c r="BO90" t="str">
        <f>IF(COUNTIFS('在庫使用計画 (法人)'!C:C,マスタ_EOLリスト[[#This Row],[製品型番]])=0,"記載なし","")</f>
        <v>記載なし</v>
      </c>
      <c r="BP90" t="str">
        <f>IF(COUNTIFS('在庫使用計画 (全体実績+予測）0701'!C:C,マスタ_EOLリスト[[#This Row],[製品型番]])=0,"記載なし","")</f>
        <v>記載なし</v>
      </c>
      <c r="BQ90" t="str">
        <f ca="1">IF(COUNTIFS('在庫使用計画 (計画　予測)'!C:C,マスタ_EOLリスト[[#This Row],[製品型番]])=0,"記載なし","")</f>
        <v>記載なし</v>
      </c>
      <c r="BR90" t="str">
        <f>IF(COUNTIFS(在庫確認!B:B,マスタ_EOLリスト[[#This Row],[製品型番]])=0,"記載なし","")</f>
        <v>記載なし</v>
      </c>
      <c r="BS90" t="e">
        <f>COUNTIF(#REF!,マスタ_EOLリスト[[#This Row],[製品型番]])</f>
        <v>#REF!</v>
      </c>
    </row>
    <row r="91" spans="1:71">
      <c r="A91" t="e">
        <v>#N/A</v>
      </c>
      <c r="B91" t="s">
        <v>293</v>
      </c>
      <c r="C91" t="s">
        <v>403</v>
      </c>
      <c r="D91" t="s">
        <v>528</v>
      </c>
      <c r="E91">
        <v>320753</v>
      </c>
      <c r="F91" t="s">
        <v>529</v>
      </c>
      <c r="G91" t="s">
        <v>530</v>
      </c>
      <c r="H91" t="s">
        <v>531</v>
      </c>
      <c r="I91">
        <v>0</v>
      </c>
      <c r="M91">
        <v>0</v>
      </c>
      <c r="N91">
        <v>0</v>
      </c>
      <c r="R91" t="s">
        <v>513</v>
      </c>
      <c r="AW91" t="b">
        <v>1</v>
      </c>
      <c r="AX91" t="s">
        <v>144</v>
      </c>
      <c r="BM91" t="str">
        <f>IF(COUNTIFS('在庫使用計画 (ノート全体試算)'!C:C,マスタ_EOLリスト[[#This Row],[製品型番]])=0,"記載なし","")</f>
        <v>記載なし</v>
      </c>
      <c r="BN91" t="str">
        <f>IF(COUNTIFS('在庫使用計画 (一般)'!C:C,マスタ_EOLリスト[[#This Row],[製品型番]])=0,"記載なし","")</f>
        <v>記載なし</v>
      </c>
      <c r="BO91" t="str">
        <f>IF(COUNTIFS('在庫使用計画 (法人)'!C:C,マスタ_EOLリスト[[#This Row],[製品型番]])=0,"記載なし","")</f>
        <v>記載なし</v>
      </c>
      <c r="BP91" t="str">
        <f>IF(COUNTIFS('在庫使用計画 (全体実績+予測）0701'!C:C,マスタ_EOLリスト[[#This Row],[製品型番]])=0,"記載なし","")</f>
        <v>記載なし</v>
      </c>
      <c r="BQ91" t="str">
        <f ca="1">IF(COUNTIFS('在庫使用計画 (計画　予測)'!C:C,マスタ_EOLリスト[[#This Row],[製品型番]])=0,"記載なし","")</f>
        <v>記載なし</v>
      </c>
      <c r="BR91" t="str">
        <f>IF(COUNTIFS(在庫確認!B:B,マスタ_EOLリスト[[#This Row],[製品型番]])=0,"記載なし","")</f>
        <v>記載なし</v>
      </c>
      <c r="BS91" t="e">
        <f>COUNTIF(#REF!,マスタ_EOLリスト[[#This Row],[製品型番]])</f>
        <v>#REF!</v>
      </c>
    </row>
    <row r="92" spans="1:71">
      <c r="A92" t="str">
        <v>R5-RL5</v>
      </c>
      <c r="B92" t="s">
        <v>142</v>
      </c>
      <c r="C92" t="s">
        <v>403</v>
      </c>
      <c r="D92" t="s">
        <v>532</v>
      </c>
      <c r="E92">
        <v>189169</v>
      </c>
      <c r="F92" t="s">
        <v>533</v>
      </c>
      <c r="G92" t="s">
        <v>275</v>
      </c>
      <c r="H92" t="s">
        <v>534</v>
      </c>
      <c r="K92" t="s">
        <v>288</v>
      </c>
      <c r="L92">
        <v>4050</v>
      </c>
      <c r="M92">
        <v>0</v>
      </c>
      <c r="N92">
        <v>0</v>
      </c>
      <c r="W92">
        <v>1000</v>
      </c>
      <c r="AL92">
        <v>45457</v>
      </c>
      <c r="AM92">
        <v>450</v>
      </c>
      <c r="AW92" t="s">
        <v>21</v>
      </c>
      <c r="AX92" t="s">
        <v>144</v>
      </c>
      <c r="BM92" t="str">
        <f>IF(COUNTIFS('在庫使用計画 (ノート全体試算)'!C:C,マスタ_EOLリスト[[#This Row],[製品型番]])=0,"記載なし","")</f>
        <v/>
      </c>
      <c r="BN92" t="str">
        <f>IF(COUNTIFS('在庫使用計画 (一般)'!C:C,マスタ_EOLリスト[[#This Row],[製品型番]])=0,"記載なし","")</f>
        <v/>
      </c>
      <c r="BO92" t="str">
        <f>IF(COUNTIFS('在庫使用計画 (法人)'!C:C,マスタ_EOLリスト[[#This Row],[製品型番]])=0,"記載なし","")</f>
        <v/>
      </c>
      <c r="BP92" t="str">
        <f>IF(COUNTIFS('在庫使用計画 (全体実績+予測）0701'!C:C,マスタ_EOLリスト[[#This Row],[製品型番]])=0,"記載なし","")</f>
        <v/>
      </c>
      <c r="BQ92" t="str">
        <f ca="1">IF(COUNTIFS('在庫使用計画 (計画　予測)'!C:C,マスタ_EOLリスト[[#This Row],[製品型番]])=0,"記載なし","")</f>
        <v>記載なし</v>
      </c>
      <c r="BR92" t="str">
        <f>IF(COUNTIFS(在庫確認!B:B,マスタ_EOLリスト[[#This Row],[製品型番]])=0,"記載なし","")</f>
        <v/>
      </c>
      <c r="BS92" t="e">
        <f>COUNTIF(#REF!,マスタ_EOLリスト[[#This Row],[製品型番]])</f>
        <v>#REF!</v>
      </c>
    </row>
    <row r="93" spans="1:71">
      <c r="A93" t="str">
        <v>A4-R</v>
      </c>
      <c r="B93" t="s">
        <v>142</v>
      </c>
      <c r="C93" t="s">
        <v>403</v>
      </c>
      <c r="D93" t="s">
        <v>535</v>
      </c>
      <c r="E93">
        <v>189170</v>
      </c>
      <c r="F93" t="s">
        <v>536</v>
      </c>
      <c r="G93" t="s">
        <v>537</v>
      </c>
      <c r="H93" t="s">
        <v>538</v>
      </c>
      <c r="K93" t="s">
        <v>288</v>
      </c>
      <c r="M93">
        <v>0</v>
      </c>
      <c r="N93">
        <v>0</v>
      </c>
      <c r="W93">
        <v>640</v>
      </c>
      <c r="AL93">
        <v>45435</v>
      </c>
      <c r="AM93">
        <v>620</v>
      </c>
      <c r="AW93" t="s">
        <v>21</v>
      </c>
      <c r="AX93" t="s">
        <v>144</v>
      </c>
      <c r="BM93" t="str">
        <f>IF(COUNTIFS('在庫使用計画 (ノート全体試算)'!C:C,マスタ_EOLリスト[[#This Row],[製品型番]])=0,"記載なし","")</f>
        <v/>
      </c>
      <c r="BN93" t="str">
        <f>IF(COUNTIFS('在庫使用計画 (一般)'!C:C,マスタ_EOLリスト[[#This Row],[製品型番]])=0,"記載なし","")</f>
        <v/>
      </c>
      <c r="BO93" t="str">
        <f>IF(COUNTIFS('在庫使用計画 (法人)'!C:C,マスタ_EOLリスト[[#This Row],[製品型番]])=0,"記載なし","")</f>
        <v/>
      </c>
      <c r="BP93" t="str">
        <f>IF(COUNTIFS('在庫使用計画 (全体実績+予測）0701'!C:C,マスタ_EOLリスト[[#This Row],[製品型番]])=0,"記載なし","")</f>
        <v/>
      </c>
      <c r="BQ93" t="str">
        <f ca="1">IF(COUNTIFS('在庫使用計画 (計画　予測)'!C:C,マスタ_EOLリスト[[#This Row],[製品型番]])=0,"記載なし","")</f>
        <v>記載なし</v>
      </c>
      <c r="BR93" t="str">
        <f>IF(COUNTIFS(在庫確認!B:B,マスタ_EOLリスト[[#This Row],[製品型番]])=0,"記載なし","")</f>
        <v/>
      </c>
      <c r="BS93" t="e">
        <f>COUNTIF(#REF!,マスタ_EOLリスト[[#This Row],[製品型番]])</f>
        <v>#REF!</v>
      </c>
    </row>
    <row r="94" spans="1:71">
      <c r="A94" t="e">
        <v>#N/A</v>
      </c>
      <c r="B94" t="s">
        <v>142</v>
      </c>
      <c r="C94" t="s">
        <v>539</v>
      </c>
      <c r="D94" t="s">
        <v>540</v>
      </c>
      <c r="E94">
        <v>199321</v>
      </c>
      <c r="F94" t="s">
        <v>541</v>
      </c>
      <c r="G94" t="s">
        <v>542</v>
      </c>
      <c r="H94" t="s">
        <v>543</v>
      </c>
      <c r="I94">
        <v>16</v>
      </c>
      <c r="K94" t="s">
        <v>544</v>
      </c>
      <c r="L94" t="s">
        <v>438</v>
      </c>
      <c r="M94">
        <v>0</v>
      </c>
      <c r="N94">
        <v>0</v>
      </c>
      <c r="Q94" t="s">
        <v>545</v>
      </c>
      <c r="R94" t="s">
        <v>545</v>
      </c>
      <c r="W94">
        <v>485</v>
      </c>
      <c r="AB94">
        <v>203728</v>
      </c>
      <c r="AC94" t="s">
        <v>546</v>
      </c>
      <c r="AK94">
        <v>194894</v>
      </c>
      <c r="AL94">
        <v>45525</v>
      </c>
      <c r="AM94">
        <v>70</v>
      </c>
      <c r="AN94" t="s">
        <v>547</v>
      </c>
      <c r="AO94">
        <v>20</v>
      </c>
      <c r="AQ94" t="s">
        <v>548</v>
      </c>
      <c r="AU94" t="s">
        <v>547</v>
      </c>
      <c r="AV94" t="s">
        <v>549</v>
      </c>
      <c r="AW94" t="s">
        <v>21</v>
      </c>
      <c r="AX94" t="s">
        <v>144</v>
      </c>
      <c r="BM94" t="str">
        <f>IF(COUNTIFS('在庫使用計画 (ノート全体試算)'!C:C,マスタ_EOLリスト[[#This Row],[製品型番]])=0,"記載なし","")</f>
        <v>記載なし</v>
      </c>
      <c r="BN94" t="str">
        <f>IF(COUNTIFS('在庫使用計画 (一般)'!C:C,マスタ_EOLリスト[[#This Row],[製品型番]])=0,"記載なし","")</f>
        <v>記載なし</v>
      </c>
      <c r="BO94" t="str">
        <f>IF(COUNTIFS('在庫使用計画 (法人)'!C:C,マスタ_EOLリスト[[#This Row],[製品型番]])=0,"記載なし","")</f>
        <v>記載なし</v>
      </c>
      <c r="BP94" t="str">
        <f>IF(COUNTIFS('在庫使用計画 (全体実績+予測）0701'!C:C,マスタ_EOLリスト[[#This Row],[製品型番]])=0,"記載なし","")</f>
        <v/>
      </c>
      <c r="BQ94" t="str">
        <f ca="1">IF(COUNTIFS('在庫使用計画 (計画　予測)'!C:C,マスタ_EOLリスト[[#This Row],[製品型番]])=0,"記載なし","")</f>
        <v>記載なし</v>
      </c>
      <c r="BR94" t="str">
        <f>IF(COUNTIFS(在庫確認!B:B,マスタ_EOLリスト[[#This Row],[製品型番]])=0,"記載なし","")</f>
        <v/>
      </c>
      <c r="BS94" t="e">
        <f>COUNTIF(#REF!,マスタ_EOLリスト[[#This Row],[製品型番]])</f>
        <v>#REF!</v>
      </c>
    </row>
    <row r="95" spans="1:71">
      <c r="A95" t="e">
        <v>#N/A</v>
      </c>
      <c r="B95" t="s">
        <v>142</v>
      </c>
      <c r="C95" t="s">
        <v>539</v>
      </c>
      <c r="D95" t="s">
        <v>540</v>
      </c>
      <c r="E95">
        <v>202294</v>
      </c>
      <c r="F95" t="s">
        <v>550</v>
      </c>
      <c r="G95" t="s">
        <v>542</v>
      </c>
      <c r="H95" t="s">
        <v>543</v>
      </c>
      <c r="I95">
        <v>16</v>
      </c>
      <c r="K95" t="s">
        <v>544</v>
      </c>
      <c r="L95" t="s">
        <v>438</v>
      </c>
      <c r="M95">
        <v>0</v>
      </c>
      <c r="N95">
        <v>0</v>
      </c>
      <c r="Q95" t="s">
        <v>545</v>
      </c>
      <c r="R95" t="s">
        <v>173</v>
      </c>
      <c r="W95">
        <v>350</v>
      </c>
      <c r="AB95">
        <v>203728</v>
      </c>
      <c r="AC95" t="s">
        <v>546</v>
      </c>
      <c r="AK95">
        <v>207650</v>
      </c>
      <c r="AL95">
        <v>45553</v>
      </c>
      <c r="AM95">
        <v>35</v>
      </c>
      <c r="AN95" t="s">
        <v>547</v>
      </c>
      <c r="AO95">
        <v>20</v>
      </c>
      <c r="AQ95" t="s">
        <v>548</v>
      </c>
      <c r="AU95" t="s">
        <v>547</v>
      </c>
      <c r="AV95" t="s">
        <v>549</v>
      </c>
      <c r="AW95" t="s">
        <v>21</v>
      </c>
      <c r="AX95" t="s">
        <v>144</v>
      </c>
      <c r="BJ95" t="s">
        <v>551</v>
      </c>
      <c r="BM95" t="str">
        <f>IF(COUNTIFS('在庫使用計画 (ノート全体試算)'!C:C,マスタ_EOLリスト[[#This Row],[製品型番]])=0,"記載なし","")</f>
        <v>記載なし</v>
      </c>
      <c r="BN95" t="str">
        <f>IF(COUNTIFS('在庫使用計画 (一般)'!C:C,マスタ_EOLリスト[[#This Row],[製品型番]])=0,"記載なし","")</f>
        <v>記載なし</v>
      </c>
      <c r="BO95" t="str">
        <f>IF(COUNTIFS('在庫使用計画 (法人)'!C:C,マスタ_EOLリスト[[#This Row],[製品型番]])=0,"記載なし","")</f>
        <v>記載なし</v>
      </c>
      <c r="BP95" t="str">
        <f>IF(COUNTIFS('在庫使用計画 (全体実績+予測）0701'!C:C,マスタ_EOLリスト[[#This Row],[製品型番]])=0,"記載なし","")</f>
        <v/>
      </c>
      <c r="BQ95" t="str">
        <f ca="1">IF(COUNTIFS('在庫使用計画 (計画　予測)'!C:C,マスタ_EOLリスト[[#This Row],[製品型番]])=0,"記載なし","")</f>
        <v>記載なし</v>
      </c>
      <c r="BR95" t="str">
        <f>IF(COUNTIFS(在庫確認!B:B,マスタ_EOLリスト[[#This Row],[製品型番]])=0,"記載なし","")</f>
        <v/>
      </c>
      <c r="BS95" t="e">
        <f>COUNTIF(#REF!,マスタ_EOLリスト[[#This Row],[製品型番]])</f>
        <v>#REF!</v>
      </c>
    </row>
    <row r="96" spans="1:71">
      <c r="A96" t="e">
        <v>#N/A</v>
      </c>
      <c r="B96" t="s">
        <v>142</v>
      </c>
      <c r="C96" t="s">
        <v>539</v>
      </c>
      <c r="D96" t="s">
        <v>552</v>
      </c>
      <c r="E96">
        <v>203728</v>
      </c>
      <c r="F96" t="s">
        <v>546</v>
      </c>
      <c r="G96" t="s">
        <v>542</v>
      </c>
      <c r="H96" t="s">
        <v>553</v>
      </c>
      <c r="I96">
        <v>16</v>
      </c>
      <c r="J96" t="s">
        <v>248</v>
      </c>
      <c r="K96" t="s">
        <v>554</v>
      </c>
      <c r="L96" t="s">
        <v>438</v>
      </c>
      <c r="M96">
        <v>0</v>
      </c>
      <c r="N96">
        <v>0</v>
      </c>
      <c r="P96">
        <v>45565</v>
      </c>
      <c r="Q96" t="s">
        <v>555</v>
      </c>
      <c r="R96" t="s">
        <v>556</v>
      </c>
      <c r="W96">
        <v>395</v>
      </c>
      <c r="AL96">
        <v>45553</v>
      </c>
      <c r="AM96">
        <v>35</v>
      </c>
      <c r="AN96" t="s">
        <v>547</v>
      </c>
      <c r="AO96">
        <v>20</v>
      </c>
      <c r="AQ96" t="s">
        <v>548</v>
      </c>
      <c r="AU96" t="s">
        <v>547</v>
      </c>
      <c r="AV96" t="s">
        <v>549</v>
      </c>
      <c r="AW96" t="s">
        <v>21</v>
      </c>
      <c r="AX96" t="s">
        <v>144</v>
      </c>
      <c r="BM96" t="str">
        <f>IF(COUNTIFS('在庫使用計画 (ノート全体試算)'!C:C,マスタ_EOLリスト[[#This Row],[製品型番]])=0,"記載なし","")</f>
        <v>記載なし</v>
      </c>
      <c r="BN96" t="str">
        <f>IF(COUNTIFS('在庫使用計画 (一般)'!C:C,マスタ_EOLリスト[[#This Row],[製品型番]])=0,"記載なし","")</f>
        <v>記載なし</v>
      </c>
      <c r="BO96" t="str">
        <f>IF(COUNTIFS('在庫使用計画 (法人)'!C:C,マスタ_EOLリスト[[#This Row],[製品型番]])=0,"記載なし","")</f>
        <v>記載なし</v>
      </c>
      <c r="BP96" t="str">
        <f>IF(COUNTIFS('在庫使用計画 (全体実績+予測）0701'!C:C,マスタ_EOLリスト[[#This Row],[製品型番]])=0,"記載なし","")</f>
        <v/>
      </c>
      <c r="BQ96" t="str">
        <f ca="1">IF(COUNTIFS('在庫使用計画 (計画　予測)'!C:C,マスタ_EOLリスト[[#This Row],[製品型番]])=0,"記載なし","")</f>
        <v>記載なし</v>
      </c>
      <c r="BR96" t="str">
        <f>IF(COUNTIFS(在庫確認!B:B,マスタ_EOLリスト[[#This Row],[製品型番]])=0,"記載なし","")</f>
        <v/>
      </c>
      <c r="BS96" t="e">
        <f>COUNTIF(#REF!,マスタ_EOLリスト[[#This Row],[製品型番]])</f>
        <v>#REF!</v>
      </c>
    </row>
    <row r="97" spans="1:71">
      <c r="A97" t="e">
        <v>#N/A</v>
      </c>
      <c r="B97" t="s">
        <v>142</v>
      </c>
      <c r="C97" t="s">
        <v>539</v>
      </c>
      <c r="D97" t="s">
        <v>552</v>
      </c>
      <c r="E97">
        <v>215699</v>
      </c>
      <c r="F97" t="s">
        <v>557</v>
      </c>
      <c r="G97" t="s">
        <v>542</v>
      </c>
      <c r="H97" t="s">
        <v>553</v>
      </c>
      <c r="I97">
        <v>16</v>
      </c>
      <c r="J97" t="s">
        <v>248</v>
      </c>
      <c r="K97" t="s">
        <v>554</v>
      </c>
      <c r="L97" t="s">
        <v>438</v>
      </c>
      <c r="M97">
        <v>0</v>
      </c>
      <c r="N97">
        <v>0</v>
      </c>
      <c r="Q97" t="s">
        <v>555</v>
      </c>
      <c r="R97" t="s">
        <v>558</v>
      </c>
      <c r="W97">
        <v>150</v>
      </c>
      <c r="AN97" t="s">
        <v>547</v>
      </c>
      <c r="AO97">
        <v>20</v>
      </c>
      <c r="AQ97" t="s">
        <v>548</v>
      </c>
      <c r="AU97" t="s">
        <v>547</v>
      </c>
      <c r="AV97" t="s">
        <v>549</v>
      </c>
      <c r="AW97" t="s">
        <v>21</v>
      </c>
      <c r="AX97" t="s">
        <v>144</v>
      </c>
      <c r="BJ97" t="s">
        <v>551</v>
      </c>
      <c r="BM97" t="str">
        <f>IF(COUNTIFS('在庫使用計画 (ノート全体試算)'!C:C,マスタ_EOLリスト[[#This Row],[製品型番]])=0,"記載なし","")</f>
        <v>記載なし</v>
      </c>
      <c r="BN97" t="str">
        <f>IF(COUNTIFS('在庫使用計画 (一般)'!C:C,マスタ_EOLリスト[[#This Row],[製品型番]])=0,"記載なし","")</f>
        <v>記載なし</v>
      </c>
      <c r="BO97" t="str">
        <f>IF(COUNTIFS('在庫使用計画 (法人)'!C:C,マスタ_EOLリスト[[#This Row],[製品型番]])=0,"記載なし","")</f>
        <v>記載なし</v>
      </c>
      <c r="BP97" t="str">
        <f>IF(COUNTIFS('在庫使用計画 (全体実績+予測）0701'!C:C,マスタ_EOLリスト[[#This Row],[製品型番]])=0,"記載なし","")</f>
        <v/>
      </c>
      <c r="BQ97" t="str">
        <f ca="1">IF(COUNTIFS('在庫使用計画 (計画　予測)'!C:C,マスタ_EOLリスト[[#This Row],[製品型番]])=0,"記載なし","")</f>
        <v>記載なし</v>
      </c>
      <c r="BR97" t="str">
        <f>IF(COUNTIFS(在庫確認!B:B,マスタ_EOLリスト[[#This Row],[製品型番]])=0,"記載なし","")</f>
        <v/>
      </c>
      <c r="BS97" t="e">
        <f>COUNTIF(#REF!,マスタ_EOLリスト[[#This Row],[製品型番]])</f>
        <v>#REF!</v>
      </c>
    </row>
    <row r="98" spans="1:71">
      <c r="A98" t="e">
        <v>#N/A</v>
      </c>
      <c r="B98" t="s">
        <v>142</v>
      </c>
      <c r="C98" t="s">
        <v>539</v>
      </c>
      <c r="D98" t="s">
        <v>552</v>
      </c>
      <c r="E98">
        <v>223060</v>
      </c>
      <c r="F98" t="s">
        <v>559</v>
      </c>
      <c r="G98" t="s">
        <v>542</v>
      </c>
      <c r="H98" t="s">
        <v>553</v>
      </c>
      <c r="I98">
        <v>16</v>
      </c>
      <c r="M98">
        <v>0</v>
      </c>
      <c r="N98">
        <v>0</v>
      </c>
      <c r="AW98" t="s">
        <v>21</v>
      </c>
      <c r="AX98" t="s">
        <v>144</v>
      </c>
      <c r="BJ98" t="s">
        <v>551</v>
      </c>
      <c r="BM98" t="str">
        <f>IF(COUNTIFS('在庫使用計画 (ノート全体試算)'!C:C,マスタ_EOLリスト[[#This Row],[製品型番]])=0,"記載なし","")</f>
        <v>記載なし</v>
      </c>
      <c r="BN98" t="str">
        <f>IF(COUNTIFS('在庫使用計画 (一般)'!C:C,マスタ_EOLリスト[[#This Row],[製品型番]])=0,"記載なし","")</f>
        <v>記載なし</v>
      </c>
      <c r="BO98" t="str">
        <f>IF(COUNTIFS('在庫使用計画 (法人)'!C:C,マスタ_EOLリスト[[#This Row],[製品型番]])=0,"記載なし","")</f>
        <v>記載なし</v>
      </c>
      <c r="BP98" t="str">
        <f>IF(COUNTIFS('在庫使用計画 (全体実績+予測）0701'!C:C,マスタ_EOLリスト[[#This Row],[製品型番]])=0,"記載なし","")</f>
        <v/>
      </c>
      <c r="BQ98" t="str">
        <f ca="1">IF(COUNTIFS('在庫使用計画 (計画　予測)'!C:C,マスタ_EOLリスト[[#This Row],[製品型番]])=0,"記載なし","")</f>
        <v>記載なし</v>
      </c>
      <c r="BR98" t="str">
        <f>IF(COUNTIFS(在庫確認!B:B,マスタ_EOLリスト[[#This Row],[製品型番]])=0,"記載なし","")</f>
        <v/>
      </c>
      <c r="BS98" t="e">
        <f>COUNTIF(#REF!,マスタ_EOLリスト[[#This Row],[製品型番]])</f>
        <v>#REF!</v>
      </c>
    </row>
    <row r="99" spans="1:71">
      <c r="A99" t="str">
        <v>DX-16PN7A</v>
      </c>
      <c r="B99" t="s">
        <v>147</v>
      </c>
      <c r="C99" t="s">
        <v>539</v>
      </c>
      <c r="D99" t="s">
        <v>551</v>
      </c>
      <c r="E99">
        <v>295636</v>
      </c>
      <c r="F99" t="s">
        <v>560</v>
      </c>
      <c r="G99" t="s">
        <v>542</v>
      </c>
      <c r="H99" t="s">
        <v>561</v>
      </c>
      <c r="I99">
        <v>16</v>
      </c>
      <c r="J99" t="s">
        <v>248</v>
      </c>
      <c r="K99" t="s">
        <v>562</v>
      </c>
      <c r="M99">
        <v>168</v>
      </c>
      <c r="N99">
        <v>168</v>
      </c>
      <c r="P99">
        <v>46049</v>
      </c>
      <c r="Q99" t="s">
        <v>563</v>
      </c>
      <c r="R99" t="s">
        <v>564</v>
      </c>
      <c r="AW99" t="b">
        <v>1</v>
      </c>
      <c r="AX99" t="s">
        <v>565</v>
      </c>
      <c r="BA99" t="s">
        <v>442</v>
      </c>
      <c r="BB99" t="s">
        <v>170</v>
      </c>
      <c r="BC99" t="s">
        <v>442</v>
      </c>
      <c r="BD99" t="s">
        <v>442</v>
      </c>
      <c r="BJ99" t="s">
        <v>253</v>
      </c>
      <c r="BM99" t="str">
        <f>IF(COUNTIFS('在庫使用計画 (ノート全体試算)'!C:C,マスタ_EOLリスト[[#This Row],[製品型番]])=0,"記載なし","")</f>
        <v/>
      </c>
      <c r="BN99" t="str">
        <f>IF(COUNTIFS('在庫使用計画 (一般)'!C:C,マスタ_EOLリスト[[#This Row],[製品型番]])=0,"記載なし","")</f>
        <v/>
      </c>
      <c r="BO99" t="str">
        <f>IF(COUNTIFS('在庫使用計画 (法人)'!C:C,マスタ_EOLリスト[[#This Row],[製品型番]])=0,"記載なし","")</f>
        <v/>
      </c>
      <c r="BP99" t="str">
        <f>IF(COUNTIFS('在庫使用計画 (全体実績+予測）0701'!C:C,マスタ_EOLリスト[[#This Row],[製品型番]])=0,"記載なし","")</f>
        <v/>
      </c>
      <c r="BQ99" t="str">
        <f ca="1">IF(COUNTIFS('在庫使用計画 (計画　予測)'!C:C,マスタ_EOLリスト[[#This Row],[製品型番]])=0,"記載なし","")</f>
        <v/>
      </c>
      <c r="BR99" t="str">
        <f>IF(COUNTIFS(在庫確認!B:B,マスタ_EOLリスト[[#This Row],[製品型番]])=0,"記載なし","")</f>
        <v>記載なし</v>
      </c>
      <c r="BS99" t="e">
        <f>COUNTIF(#REF!,マスタ_EOLリスト[[#This Row],[製品型番]])</f>
        <v>#REF!</v>
      </c>
    </row>
    <row r="100" spans="1:71">
      <c r="A100" t="str">
        <v>DX-16PN7A</v>
      </c>
      <c r="B100" t="s">
        <v>147</v>
      </c>
      <c r="C100" t="s">
        <v>539</v>
      </c>
      <c r="D100" t="s">
        <v>551</v>
      </c>
      <c r="E100">
        <v>367378</v>
      </c>
      <c r="F100" t="s">
        <v>566</v>
      </c>
      <c r="G100" t="s">
        <v>542</v>
      </c>
      <c r="H100" t="s">
        <v>561</v>
      </c>
      <c r="I100">
        <v>16</v>
      </c>
      <c r="J100" t="s">
        <v>248</v>
      </c>
      <c r="K100" t="s">
        <v>562</v>
      </c>
      <c r="M100">
        <v>0</v>
      </c>
      <c r="N100">
        <v>0</v>
      </c>
      <c r="P100">
        <v>46049</v>
      </c>
      <c r="Q100" t="s">
        <v>563</v>
      </c>
      <c r="R100" t="s">
        <v>564</v>
      </c>
      <c r="AW100" t="b">
        <v>1</v>
      </c>
      <c r="AX100" t="s">
        <v>144</v>
      </c>
      <c r="BA100" t="s">
        <v>442</v>
      </c>
      <c r="BB100" t="s">
        <v>170</v>
      </c>
      <c r="BC100" t="s">
        <v>442</v>
      </c>
      <c r="BD100" t="s">
        <v>442</v>
      </c>
      <c r="BJ100" t="s">
        <v>253</v>
      </c>
      <c r="BM100" t="str">
        <f>IF(COUNTIFS('在庫使用計画 (ノート全体試算)'!C:C,マスタ_EOLリスト[[#This Row],[製品型番]])=0,"記載なし","")</f>
        <v/>
      </c>
      <c r="BN100" t="str">
        <f>IF(COUNTIFS('在庫使用計画 (一般)'!C:C,マスタ_EOLリスト[[#This Row],[製品型番]])=0,"記載なし","")</f>
        <v/>
      </c>
      <c r="BO100" t="str">
        <f>IF(COUNTIFS('在庫使用計画 (法人)'!C:C,マスタ_EOLリスト[[#This Row],[製品型番]])=0,"記載なし","")</f>
        <v/>
      </c>
      <c r="BP100" t="str">
        <f>IF(COUNTIFS('在庫使用計画 (全体実績+予測）0701'!C:C,マスタ_EOLリスト[[#This Row],[製品型番]])=0,"記載なし","")</f>
        <v/>
      </c>
      <c r="BQ100" t="str">
        <f ca="1">IF(COUNTIFS('在庫使用計画 (計画　予測)'!C:C,マスタ_EOLリスト[[#This Row],[製品型番]])=0,"記載なし","")</f>
        <v/>
      </c>
      <c r="BR100" t="str">
        <f>IF(COUNTIFS(在庫確認!B:B,マスタ_EOLリスト[[#This Row],[製品型番]])=0,"記載なし","")</f>
        <v>記載なし</v>
      </c>
      <c r="BS100" t="e">
        <f>COUNTIF(#REF!,マスタ_EOLリスト[[#This Row],[製品型番]])</f>
        <v>#REF!</v>
      </c>
    </row>
    <row r="101" spans="1:71">
      <c r="A101" t="str">
        <v>DX-R7S</v>
      </c>
      <c r="B101" t="s">
        <v>142</v>
      </c>
      <c r="C101" t="s">
        <v>539</v>
      </c>
      <c r="D101" t="s">
        <v>567</v>
      </c>
      <c r="E101">
        <v>207871</v>
      </c>
      <c r="F101" t="s">
        <v>568</v>
      </c>
      <c r="G101" t="s">
        <v>569</v>
      </c>
      <c r="H101" t="s">
        <v>570</v>
      </c>
      <c r="I101">
        <v>15</v>
      </c>
      <c r="K101" t="s">
        <v>571</v>
      </c>
      <c r="L101" t="s">
        <v>438</v>
      </c>
      <c r="M101">
        <v>1</v>
      </c>
      <c r="N101">
        <v>1</v>
      </c>
      <c r="P101">
        <v>45748</v>
      </c>
      <c r="R101" t="s">
        <v>572</v>
      </c>
      <c r="V101">
        <v>1000</v>
      </c>
      <c r="W101">
        <v>1140</v>
      </c>
      <c r="Z101">
        <v>223067</v>
      </c>
      <c r="AA101" t="s">
        <v>567</v>
      </c>
      <c r="AL101">
        <v>45573</v>
      </c>
      <c r="AM101">
        <v>100</v>
      </c>
      <c r="AN101" t="s">
        <v>547</v>
      </c>
      <c r="AO101">
        <v>19</v>
      </c>
      <c r="AP101">
        <v>3.42</v>
      </c>
      <c r="AQ101" t="s">
        <v>573</v>
      </c>
      <c r="AW101" t="s">
        <v>21</v>
      </c>
      <c r="AX101" t="s">
        <v>2696</v>
      </c>
      <c r="BM101" t="str">
        <f>IF(COUNTIFS('在庫使用計画 (ノート全体試算)'!C:C,マスタ_EOLリスト[[#This Row],[製品型番]])=0,"記載なし","")</f>
        <v/>
      </c>
      <c r="BN101" t="str">
        <f>IF(COUNTIFS('在庫使用計画 (一般)'!C:C,マスタ_EOLリスト[[#This Row],[製品型番]])=0,"記載なし","")</f>
        <v/>
      </c>
      <c r="BO101" t="str">
        <f>IF(COUNTIFS('在庫使用計画 (法人)'!C:C,マスタ_EOLリスト[[#This Row],[製品型番]])=0,"記載なし","")</f>
        <v/>
      </c>
      <c r="BP101" t="str">
        <f>IF(COUNTIFS('在庫使用計画 (全体実績+予測）0701'!C:C,マスタ_EOLリスト[[#This Row],[製品型番]])=0,"記載なし","")</f>
        <v/>
      </c>
      <c r="BQ101" t="str">
        <f ca="1">IF(COUNTIFS('在庫使用計画 (計画　予測)'!C:C,マスタ_EOLリスト[[#This Row],[製品型番]])=0,"記載なし","")</f>
        <v/>
      </c>
      <c r="BR101" t="str">
        <f>IF(COUNTIFS(在庫確認!B:B,マスタ_EOLリスト[[#This Row],[製品型番]])=0,"記載なし","")</f>
        <v/>
      </c>
      <c r="BS101" t="e">
        <f>COUNTIF(#REF!,マスタ_EOLリスト[[#This Row],[製品型番]])</f>
        <v>#REF!</v>
      </c>
    </row>
    <row r="102" spans="1:71">
      <c r="A102" t="str">
        <v>DX-R7S</v>
      </c>
      <c r="B102" t="s">
        <v>142</v>
      </c>
      <c r="C102" t="s">
        <v>539</v>
      </c>
      <c r="D102" t="s">
        <v>567</v>
      </c>
      <c r="E102">
        <v>223067</v>
      </c>
      <c r="F102" t="s">
        <v>574</v>
      </c>
      <c r="G102" t="s">
        <v>569</v>
      </c>
      <c r="H102" t="s">
        <v>570</v>
      </c>
      <c r="I102">
        <v>15</v>
      </c>
      <c r="K102" t="s">
        <v>571</v>
      </c>
      <c r="L102" t="s">
        <v>438</v>
      </c>
      <c r="M102">
        <v>22</v>
      </c>
      <c r="N102">
        <v>22</v>
      </c>
      <c r="Q102" t="s">
        <v>575</v>
      </c>
      <c r="W102">
        <v>1000</v>
      </c>
      <c r="AW102" t="s">
        <v>21</v>
      </c>
      <c r="AX102" t="s">
        <v>576</v>
      </c>
      <c r="BM102" t="str">
        <f>IF(COUNTIFS('在庫使用計画 (ノート全体試算)'!C:C,マスタ_EOLリスト[[#This Row],[製品型番]])=0,"記載なし","")</f>
        <v/>
      </c>
      <c r="BN102" t="str">
        <f>IF(COUNTIFS('在庫使用計画 (一般)'!C:C,マスタ_EOLリスト[[#This Row],[製品型番]])=0,"記載なし","")</f>
        <v/>
      </c>
      <c r="BO102" t="str">
        <f>IF(COUNTIFS('在庫使用計画 (法人)'!C:C,マスタ_EOLリスト[[#This Row],[製品型番]])=0,"記載なし","")</f>
        <v/>
      </c>
      <c r="BP102" t="str">
        <f>IF(COUNTIFS('在庫使用計画 (全体実績+予測）0701'!C:C,マスタ_EOLリスト[[#This Row],[製品型番]])=0,"記載なし","")</f>
        <v/>
      </c>
      <c r="BQ102" t="str">
        <f ca="1">IF(COUNTIFS('在庫使用計画 (計画　予測)'!C:C,マスタ_EOLリスト[[#This Row],[製品型番]])=0,"記載なし","")</f>
        <v/>
      </c>
      <c r="BR102" t="str">
        <f>IF(COUNTIFS(在庫確認!B:B,マスタ_EOLリスト[[#This Row],[製品型番]])=0,"記載なし","")</f>
        <v/>
      </c>
      <c r="BS102" t="e">
        <f>COUNTIF(#REF!,マスタ_EOLリスト[[#This Row],[製品型番]])</f>
        <v>#REF!</v>
      </c>
    </row>
    <row r="103" spans="1:71">
      <c r="A103" t="str">
        <v>DX-R7S</v>
      </c>
      <c r="B103" t="s">
        <v>147</v>
      </c>
      <c r="C103" t="s">
        <v>539</v>
      </c>
      <c r="D103" t="s">
        <v>567</v>
      </c>
      <c r="E103">
        <v>223074</v>
      </c>
      <c r="F103" t="s">
        <v>577</v>
      </c>
      <c r="G103" t="s">
        <v>569</v>
      </c>
      <c r="H103" t="s">
        <v>570</v>
      </c>
      <c r="I103">
        <v>15</v>
      </c>
      <c r="K103" t="s">
        <v>571</v>
      </c>
      <c r="L103" t="s">
        <v>438</v>
      </c>
      <c r="M103">
        <v>46</v>
      </c>
      <c r="N103">
        <v>46</v>
      </c>
      <c r="AW103" t="b">
        <v>1</v>
      </c>
      <c r="AX103" t="s">
        <v>578</v>
      </c>
      <c r="BA103" t="s">
        <v>169</v>
      </c>
      <c r="BB103" t="s">
        <v>170</v>
      </c>
      <c r="BC103" t="s">
        <v>169</v>
      </c>
      <c r="BD103" t="s">
        <v>169</v>
      </c>
      <c r="BJ103" t="s">
        <v>579</v>
      </c>
      <c r="BM103" t="str">
        <f>IF(COUNTIFS('在庫使用計画 (ノート全体試算)'!C:C,マスタ_EOLリスト[[#This Row],[製品型番]])=0,"記載なし","")</f>
        <v/>
      </c>
      <c r="BN103" t="str">
        <f>IF(COUNTIFS('在庫使用計画 (一般)'!C:C,マスタ_EOLリスト[[#This Row],[製品型番]])=0,"記載なし","")</f>
        <v/>
      </c>
      <c r="BO103" t="str">
        <f>IF(COUNTIFS('在庫使用計画 (法人)'!C:C,マスタ_EOLリスト[[#This Row],[製品型番]])=0,"記載なし","")</f>
        <v/>
      </c>
      <c r="BP103" t="str">
        <f>IF(COUNTIFS('在庫使用計画 (全体実績+予測）0701'!C:C,マスタ_EOLリスト[[#This Row],[製品型番]])=0,"記載なし","")</f>
        <v/>
      </c>
      <c r="BQ103" t="str">
        <f ca="1">IF(COUNTIFS('在庫使用計画 (計画　予測)'!C:C,マスタ_EOLリスト[[#This Row],[製品型番]])=0,"記載なし","")</f>
        <v/>
      </c>
      <c r="BR103" t="str">
        <f>IF(COUNTIFS(在庫確認!B:B,マスタ_EOLリスト[[#This Row],[製品型番]])=0,"記載なし","")</f>
        <v/>
      </c>
      <c r="BS103" t="e">
        <f>COUNTIF(#REF!,マスタ_EOLリスト[[#This Row],[製品型番]])</f>
        <v>#REF!</v>
      </c>
    </row>
    <row r="104" spans="1:71">
      <c r="A104" t="str">
        <v>DX-R7</v>
      </c>
      <c r="B104" t="s">
        <v>335</v>
      </c>
      <c r="C104" t="s">
        <v>539</v>
      </c>
      <c r="D104" t="s">
        <v>580</v>
      </c>
      <c r="E104">
        <v>210491</v>
      </c>
      <c r="F104" t="s">
        <v>581</v>
      </c>
      <c r="G104" t="s">
        <v>582</v>
      </c>
      <c r="H104" t="s">
        <v>583</v>
      </c>
      <c r="I104">
        <v>15</v>
      </c>
      <c r="K104" t="s">
        <v>571</v>
      </c>
      <c r="L104" t="s">
        <v>438</v>
      </c>
      <c r="M104">
        <v>104</v>
      </c>
      <c r="N104">
        <v>104</v>
      </c>
      <c r="P104" t="s">
        <v>584</v>
      </c>
      <c r="Q104" t="s">
        <v>575</v>
      </c>
      <c r="R104" t="s">
        <v>173</v>
      </c>
      <c r="W104">
        <v>1400</v>
      </c>
      <c r="Z104">
        <v>207871</v>
      </c>
      <c r="AA104" t="s">
        <v>567</v>
      </c>
      <c r="AN104" t="s">
        <v>547</v>
      </c>
      <c r="AO104">
        <v>19</v>
      </c>
      <c r="AP104">
        <v>3.42</v>
      </c>
      <c r="AQ104" t="s">
        <v>573</v>
      </c>
      <c r="AW104" t="b">
        <v>1</v>
      </c>
      <c r="AX104" t="s">
        <v>585</v>
      </c>
      <c r="BJ104" t="s">
        <v>567</v>
      </c>
      <c r="BM104" t="str">
        <f>IF(COUNTIFS('在庫使用計画 (ノート全体試算)'!C:C,マスタ_EOLリスト[[#This Row],[製品型番]])=0,"記載なし","")</f>
        <v/>
      </c>
      <c r="BN104" t="str">
        <f>IF(COUNTIFS('在庫使用計画 (一般)'!C:C,マスタ_EOLリスト[[#This Row],[製品型番]])=0,"記載なし","")</f>
        <v/>
      </c>
      <c r="BO104" t="str">
        <f>IF(COUNTIFS('在庫使用計画 (法人)'!C:C,マスタ_EOLリスト[[#This Row],[製品型番]])=0,"記載なし","")</f>
        <v/>
      </c>
      <c r="BP104" t="str">
        <f>IF(COUNTIFS('在庫使用計画 (全体実績+予測）0701'!C:C,マスタ_EOLリスト[[#This Row],[製品型番]])=0,"記載なし","")</f>
        <v/>
      </c>
      <c r="BQ104" t="str">
        <f ca="1">IF(COUNTIFS('在庫使用計画 (計画　予測)'!C:C,マスタ_EOLリスト[[#This Row],[製品型番]])=0,"記載なし","")</f>
        <v/>
      </c>
      <c r="BR104" t="str">
        <f>IF(COUNTIFS(在庫確認!B:B,マスタ_EOLリスト[[#This Row],[製品型番]])=0,"記載なし","")</f>
        <v/>
      </c>
      <c r="BS104" t="e">
        <f>COUNTIF(#REF!,マスタ_EOLリスト[[#This Row],[製品型番]])</f>
        <v>#REF!</v>
      </c>
    </row>
    <row r="105" spans="1:71">
      <c r="A105" t="str">
        <v>DX-16RP7A-6</v>
      </c>
      <c r="B105" t="s">
        <v>147</v>
      </c>
      <c r="C105" t="s">
        <v>539</v>
      </c>
      <c r="D105" t="s">
        <v>586</v>
      </c>
      <c r="E105">
        <v>281821</v>
      </c>
      <c r="F105" t="s">
        <v>587</v>
      </c>
      <c r="G105" t="s">
        <v>258</v>
      </c>
      <c r="H105" t="s">
        <v>588</v>
      </c>
      <c r="I105">
        <v>15</v>
      </c>
      <c r="K105" t="s">
        <v>302</v>
      </c>
      <c r="L105">
        <v>5060</v>
      </c>
      <c r="M105">
        <v>230</v>
      </c>
      <c r="N105">
        <v>230</v>
      </c>
      <c r="P105">
        <v>46044</v>
      </c>
      <c r="Q105">
        <v>46327</v>
      </c>
      <c r="R105" t="s">
        <v>589</v>
      </c>
      <c r="W105">
        <v>1205</v>
      </c>
      <c r="AW105" t="b">
        <v>1</v>
      </c>
      <c r="AX105" t="s">
        <v>590</v>
      </c>
      <c r="AY105">
        <v>115</v>
      </c>
      <c r="BA105" t="s">
        <v>591</v>
      </c>
      <c r="BB105" t="s">
        <v>170</v>
      </c>
      <c r="BC105" t="s">
        <v>591</v>
      </c>
      <c r="BD105" t="s">
        <v>591</v>
      </c>
      <c r="BJ105" t="s">
        <v>253</v>
      </c>
      <c r="BM105" t="str">
        <f>IF(COUNTIFS('在庫使用計画 (ノート全体試算)'!C:C,マスタ_EOLリスト[[#This Row],[製品型番]])=0,"記載なし","")</f>
        <v/>
      </c>
      <c r="BN105" t="str">
        <f>IF(COUNTIFS('在庫使用計画 (一般)'!C:C,マスタ_EOLリスト[[#This Row],[製品型番]])=0,"記載なし","")</f>
        <v/>
      </c>
      <c r="BO105" t="str">
        <f>IF(COUNTIFS('在庫使用計画 (法人)'!C:C,マスタ_EOLリスト[[#This Row],[製品型番]])=0,"記載なし","")</f>
        <v/>
      </c>
      <c r="BP105" t="str">
        <f>IF(COUNTIFS('在庫使用計画 (全体実績+予測）0701'!C:C,マスタ_EOLリスト[[#This Row],[製品型番]])=0,"記載なし","")</f>
        <v/>
      </c>
      <c r="BQ105" t="str">
        <f ca="1">IF(COUNTIFS('在庫使用計画 (計画　予測)'!C:C,マスタ_EOLリスト[[#This Row],[製品型番]])=0,"記載なし","")</f>
        <v/>
      </c>
      <c r="BR105" t="str">
        <f>IF(COUNTIFS(在庫確認!B:B,マスタ_EOLリスト[[#This Row],[製品型番]])=0,"記載なし","")</f>
        <v/>
      </c>
      <c r="BS105" t="e">
        <f>COUNTIF(#REF!,マスタ_EOLリスト[[#This Row],[製品型番]])</f>
        <v>#REF!</v>
      </c>
    </row>
    <row r="106" spans="1:71">
      <c r="A106" t="str">
        <v>DX-15RP7C</v>
      </c>
      <c r="B106" t="s">
        <v>147</v>
      </c>
      <c r="C106" t="s">
        <v>539</v>
      </c>
      <c r="D106" t="s">
        <v>592</v>
      </c>
      <c r="E106">
        <v>318394</v>
      </c>
      <c r="F106" t="s">
        <v>593</v>
      </c>
      <c r="G106" t="s">
        <v>594</v>
      </c>
      <c r="H106" t="s">
        <v>595</v>
      </c>
      <c r="I106">
        <v>15</v>
      </c>
      <c r="K106" t="s">
        <v>571</v>
      </c>
      <c r="L106" t="s">
        <v>438</v>
      </c>
      <c r="M106">
        <v>99</v>
      </c>
      <c r="N106">
        <v>99</v>
      </c>
      <c r="AW106" t="b">
        <v>1</v>
      </c>
      <c r="AX106" t="s">
        <v>596</v>
      </c>
      <c r="BJ106" t="s">
        <v>792</v>
      </c>
      <c r="BM106" t="str">
        <f>IF(COUNTIFS('在庫使用計画 (ノート全体試算)'!C:C,マスタ_EOLリスト[[#This Row],[製品型番]])=0,"記載なし","")</f>
        <v/>
      </c>
      <c r="BN106" t="str">
        <f>IF(COUNTIFS('在庫使用計画 (一般)'!C:C,マスタ_EOLリスト[[#This Row],[製品型番]])=0,"記載なし","")</f>
        <v/>
      </c>
      <c r="BO106" t="str">
        <f>IF(COUNTIFS('在庫使用計画 (法人)'!C:C,マスタ_EOLリスト[[#This Row],[製品型番]])=0,"記載なし","")</f>
        <v/>
      </c>
      <c r="BP106" t="str">
        <f>IF(COUNTIFS('在庫使用計画 (全体実績+予測）0701'!C:C,マスタ_EOLリスト[[#This Row],[製品型番]])=0,"記載なし","")</f>
        <v>記載なし</v>
      </c>
      <c r="BQ106" t="str">
        <f ca="1">IF(COUNTIFS('在庫使用計画 (計画　予測)'!C:C,マスタ_EOLリスト[[#This Row],[製品型番]])=0,"記載なし","")</f>
        <v/>
      </c>
      <c r="BR106" t="str">
        <f>IF(COUNTIFS(在庫確認!B:B,マスタ_EOLリスト[[#This Row],[製品型番]])=0,"記載なし","")</f>
        <v>記載なし</v>
      </c>
      <c r="BS106" t="e">
        <f>COUNTIF(#REF!,マスタ_EOLリスト[[#This Row],[製品型番]])</f>
        <v>#REF!</v>
      </c>
    </row>
    <row r="107" spans="1:71">
      <c r="A107" t="str">
        <v>DX-15RP7A</v>
      </c>
      <c r="B107" t="s">
        <v>147</v>
      </c>
      <c r="C107" t="s">
        <v>539</v>
      </c>
      <c r="D107" t="s">
        <v>579</v>
      </c>
      <c r="E107">
        <v>284149</v>
      </c>
      <c r="F107" t="s">
        <v>597</v>
      </c>
      <c r="G107" t="s">
        <v>594</v>
      </c>
      <c r="H107" t="s">
        <v>598</v>
      </c>
      <c r="I107">
        <v>15</v>
      </c>
      <c r="K107" t="s">
        <v>571</v>
      </c>
      <c r="L107" t="s">
        <v>438</v>
      </c>
      <c r="M107">
        <v>702</v>
      </c>
      <c r="N107">
        <v>702</v>
      </c>
      <c r="P107">
        <v>46065</v>
      </c>
      <c r="W107">
        <v>705</v>
      </c>
      <c r="AW107" t="b">
        <v>1</v>
      </c>
      <c r="AX107" t="s">
        <v>599</v>
      </c>
      <c r="BA107" t="s">
        <v>442</v>
      </c>
      <c r="BB107" t="s">
        <v>170</v>
      </c>
      <c r="BC107" t="s">
        <v>442</v>
      </c>
      <c r="BD107" t="s">
        <v>442</v>
      </c>
      <c r="BE107" t="s">
        <v>600</v>
      </c>
      <c r="BF107">
        <v>1.78</v>
      </c>
      <c r="BG107" t="s">
        <v>601</v>
      </c>
      <c r="BH107" t="s">
        <v>602</v>
      </c>
      <c r="BI107">
        <v>2.96</v>
      </c>
      <c r="BJ107" t="s">
        <v>792</v>
      </c>
      <c r="BM107" t="str">
        <f>IF(COUNTIFS('在庫使用計画 (ノート全体試算)'!C:C,マスタ_EOLリスト[[#This Row],[製品型番]])=0,"記載なし","")</f>
        <v/>
      </c>
      <c r="BN107" t="str">
        <f>IF(COUNTIFS('在庫使用計画 (一般)'!C:C,マスタ_EOLリスト[[#This Row],[製品型番]])=0,"記載なし","")</f>
        <v/>
      </c>
      <c r="BO107" t="str">
        <f>IF(COUNTIFS('在庫使用計画 (法人)'!C:C,マスタ_EOLリスト[[#This Row],[製品型番]])=0,"記載なし","")</f>
        <v/>
      </c>
      <c r="BP107" t="str">
        <f>IF(COUNTIFS('在庫使用計画 (全体実績+予測）0701'!C:C,マスタ_EOLリスト[[#This Row],[製品型番]])=0,"記載なし","")</f>
        <v/>
      </c>
      <c r="BQ107" t="str">
        <f ca="1">IF(COUNTIFS('在庫使用計画 (計画　予測)'!C:C,マスタ_EOLリスト[[#This Row],[製品型番]])=0,"記載なし","")</f>
        <v/>
      </c>
      <c r="BR107" t="str">
        <f>IF(COUNTIFS(在庫確認!B:B,マスタ_EOLリスト[[#This Row],[製品型番]])=0,"記載なし","")</f>
        <v/>
      </c>
      <c r="BS107" t="e">
        <f>COUNTIF(#REF!,マスタ_EOLリスト[[#This Row],[製品型番]])</f>
        <v>#REF!</v>
      </c>
    </row>
    <row r="108" spans="1:71">
      <c r="A108" t="e">
        <v>#N/A</v>
      </c>
      <c r="B108" t="s">
        <v>142</v>
      </c>
      <c r="C108" t="s">
        <v>539</v>
      </c>
      <c r="D108" t="s">
        <v>603</v>
      </c>
      <c r="E108">
        <v>166236</v>
      </c>
      <c r="F108" t="s">
        <v>604</v>
      </c>
      <c r="H108" t="s">
        <v>21</v>
      </c>
      <c r="M108">
        <v>0</v>
      </c>
      <c r="N108">
        <v>0</v>
      </c>
      <c r="W108">
        <v>6900</v>
      </c>
      <c r="X108">
        <v>3490</v>
      </c>
      <c r="AF108">
        <v>0.50579710144927537</v>
      </c>
      <c r="AL108" t="s">
        <v>21</v>
      </c>
      <c r="AM108" t="s">
        <v>21</v>
      </c>
      <c r="AW108" t="s">
        <v>21</v>
      </c>
      <c r="AX108" t="s">
        <v>144</v>
      </c>
      <c r="BM108" t="str">
        <f>IF(COUNTIFS('在庫使用計画 (ノート全体試算)'!C:C,マスタ_EOLリスト[[#This Row],[製品型番]])=0,"記載なし","")</f>
        <v>記載なし</v>
      </c>
      <c r="BN108" t="str">
        <f>IF(COUNTIFS('在庫使用計画 (一般)'!C:C,マスタ_EOLリスト[[#This Row],[製品型番]])=0,"記載なし","")</f>
        <v>記載なし</v>
      </c>
      <c r="BO108" t="str">
        <f>IF(COUNTIFS('在庫使用計画 (法人)'!C:C,マスタ_EOLリスト[[#This Row],[製品型番]])=0,"記載なし","")</f>
        <v>記載なし</v>
      </c>
      <c r="BP108" t="str">
        <f>IF(COUNTIFS('在庫使用計画 (全体実績+予測）0701'!C:C,マスタ_EOLリスト[[#This Row],[製品型番]])=0,"記載なし","")</f>
        <v>記載なし</v>
      </c>
      <c r="BQ108" t="str">
        <f ca="1">IF(COUNTIFS('在庫使用計画 (計画　予測)'!C:C,マスタ_EOLリスト[[#This Row],[製品型番]])=0,"記載なし","")</f>
        <v>記載なし</v>
      </c>
      <c r="BR108" t="str">
        <f>IF(COUNTIFS(在庫確認!B:B,マスタ_EOLリスト[[#This Row],[製品型番]])=0,"記載なし","")</f>
        <v/>
      </c>
      <c r="BS108" t="e">
        <f>COUNTIF(#REF!,マスタ_EOLリスト[[#This Row],[製品型番]])</f>
        <v>#REF!</v>
      </c>
    </row>
    <row r="109" spans="1:71">
      <c r="A109" t="str">
        <v>DX-R7</v>
      </c>
      <c r="B109" t="s">
        <v>142</v>
      </c>
      <c r="C109" t="s">
        <v>539</v>
      </c>
      <c r="D109" t="s">
        <v>580</v>
      </c>
      <c r="E109">
        <v>180234</v>
      </c>
      <c r="F109" t="s">
        <v>605</v>
      </c>
      <c r="G109" t="s">
        <v>582</v>
      </c>
      <c r="H109" t="s">
        <v>583</v>
      </c>
      <c r="K109" t="s">
        <v>571</v>
      </c>
      <c r="L109" t="s">
        <v>438</v>
      </c>
      <c r="M109">
        <v>0</v>
      </c>
      <c r="N109">
        <v>0</v>
      </c>
      <c r="P109">
        <v>45113</v>
      </c>
      <c r="Q109">
        <v>45748</v>
      </c>
      <c r="W109">
        <v>7020</v>
      </c>
      <c r="Z109">
        <v>207871</v>
      </c>
      <c r="AA109" t="s">
        <v>567</v>
      </c>
      <c r="AL109">
        <v>45457</v>
      </c>
      <c r="AM109">
        <v>20</v>
      </c>
      <c r="AN109" t="s">
        <v>547</v>
      </c>
      <c r="AO109">
        <v>19</v>
      </c>
      <c r="AP109">
        <v>3.42</v>
      </c>
      <c r="AQ109" t="s">
        <v>573</v>
      </c>
      <c r="AW109" t="s">
        <v>21</v>
      </c>
      <c r="AX109" t="s">
        <v>144</v>
      </c>
      <c r="BM109" t="str">
        <f>IF(COUNTIFS('在庫使用計画 (ノート全体試算)'!C:C,マスタ_EOLリスト[[#This Row],[製品型番]])=0,"記載なし","")</f>
        <v/>
      </c>
      <c r="BN109" t="str">
        <f>IF(COUNTIFS('在庫使用計画 (一般)'!C:C,マスタ_EOLリスト[[#This Row],[製品型番]])=0,"記載なし","")</f>
        <v/>
      </c>
      <c r="BO109" t="str">
        <f>IF(COUNTIFS('在庫使用計画 (法人)'!C:C,マスタ_EOLリスト[[#This Row],[製品型番]])=0,"記載なし","")</f>
        <v/>
      </c>
      <c r="BP109" t="str">
        <f>IF(COUNTIFS('在庫使用計画 (全体実績+予測）0701'!C:C,マスタ_EOLリスト[[#This Row],[製品型番]])=0,"記載なし","")</f>
        <v/>
      </c>
      <c r="BQ109" t="str">
        <f ca="1">IF(COUNTIFS('在庫使用計画 (計画　予測)'!C:C,マスタ_EOLリスト[[#This Row],[製品型番]])=0,"記載なし","")</f>
        <v/>
      </c>
      <c r="BR109" t="str">
        <f>IF(COUNTIFS(在庫確認!B:B,マスタ_EOLリスト[[#This Row],[製品型番]])=0,"記載なし","")</f>
        <v/>
      </c>
      <c r="BS109" t="e">
        <f>COUNTIF(#REF!,マスタ_EOLリスト[[#This Row],[製品型番]])</f>
        <v>#REF!</v>
      </c>
    </row>
    <row r="110" spans="1:71">
      <c r="A110" t="e">
        <v>#N/A</v>
      </c>
      <c r="B110" t="s">
        <v>142</v>
      </c>
      <c r="C110" t="s">
        <v>539</v>
      </c>
      <c r="D110" t="s">
        <v>540</v>
      </c>
      <c r="E110">
        <v>193201</v>
      </c>
      <c r="F110" t="s">
        <v>606</v>
      </c>
      <c r="G110" t="s">
        <v>542</v>
      </c>
      <c r="H110" t="s">
        <v>543</v>
      </c>
      <c r="K110" t="s">
        <v>544</v>
      </c>
      <c r="L110" t="s">
        <v>438</v>
      </c>
      <c r="M110">
        <v>0</v>
      </c>
      <c r="N110">
        <v>0</v>
      </c>
      <c r="O110" t="s">
        <v>503</v>
      </c>
      <c r="P110">
        <v>45407</v>
      </c>
      <c r="V110">
        <v>1200</v>
      </c>
      <c r="W110">
        <v>171</v>
      </c>
      <c r="Z110">
        <v>202294</v>
      </c>
      <c r="AA110" t="s">
        <v>550</v>
      </c>
      <c r="AL110">
        <v>45481</v>
      </c>
      <c r="AM110">
        <v>35</v>
      </c>
      <c r="AN110" t="s">
        <v>547</v>
      </c>
      <c r="AO110">
        <v>20</v>
      </c>
      <c r="AQ110" t="s">
        <v>548</v>
      </c>
      <c r="AU110" t="s">
        <v>547</v>
      </c>
      <c r="AV110" t="s">
        <v>549</v>
      </c>
      <c r="AW110" t="s">
        <v>21</v>
      </c>
      <c r="AX110" t="s">
        <v>144</v>
      </c>
      <c r="BM110" t="str">
        <f>IF(COUNTIFS('在庫使用計画 (ノート全体試算)'!C:C,マスタ_EOLリスト[[#This Row],[製品型番]])=0,"記載なし","")</f>
        <v>記載なし</v>
      </c>
      <c r="BN110" t="str">
        <f>IF(COUNTIFS('在庫使用計画 (一般)'!C:C,マスタ_EOLリスト[[#This Row],[製品型番]])=0,"記載なし","")</f>
        <v>記載なし</v>
      </c>
      <c r="BO110" t="str">
        <f>IF(COUNTIFS('在庫使用計画 (法人)'!C:C,マスタ_EOLリスト[[#This Row],[製品型番]])=0,"記載なし","")</f>
        <v>記載なし</v>
      </c>
      <c r="BP110" t="str">
        <f>IF(COUNTIFS('在庫使用計画 (全体実績+予測）0701'!C:C,マスタ_EOLリスト[[#This Row],[製品型番]])=0,"記載なし","")</f>
        <v/>
      </c>
      <c r="BQ110" t="str">
        <f ca="1">IF(COUNTIFS('在庫使用計画 (計画　予測)'!C:C,マスタ_EOLリスト[[#This Row],[製品型番]])=0,"記載なし","")</f>
        <v>記載なし</v>
      </c>
      <c r="BR110" t="str">
        <f>IF(COUNTIFS(在庫確認!B:B,マスタ_EOLリスト[[#This Row],[製品型番]])=0,"記載なし","")</f>
        <v/>
      </c>
      <c r="BS110" t="e">
        <f>COUNTIF(#REF!,マスタ_EOLリスト[[#This Row],[製品型番]])</f>
        <v>#REF!</v>
      </c>
    </row>
    <row r="111" spans="1:71">
      <c r="A111" t="str">
        <v>DX-M7</v>
      </c>
      <c r="B111" t="s">
        <v>142</v>
      </c>
      <c r="C111" t="s">
        <v>539</v>
      </c>
      <c r="D111" t="s">
        <v>607</v>
      </c>
      <c r="E111">
        <v>196070</v>
      </c>
      <c r="F111" t="s">
        <v>608</v>
      </c>
      <c r="G111" t="s">
        <v>609</v>
      </c>
      <c r="H111" t="s">
        <v>610</v>
      </c>
      <c r="K111" t="s">
        <v>544</v>
      </c>
      <c r="L111" t="s">
        <v>438</v>
      </c>
      <c r="M111">
        <v>0</v>
      </c>
      <c r="N111">
        <v>0</v>
      </c>
      <c r="O111" t="s">
        <v>611</v>
      </c>
      <c r="P111" t="s">
        <v>612</v>
      </c>
      <c r="Q111" t="s">
        <v>545</v>
      </c>
      <c r="R111" t="s">
        <v>545</v>
      </c>
      <c r="V111">
        <v>1570</v>
      </c>
      <c r="W111">
        <v>300</v>
      </c>
      <c r="AB111">
        <v>202294</v>
      </c>
      <c r="AC111" t="s">
        <v>550</v>
      </c>
      <c r="AL111">
        <v>45525</v>
      </c>
      <c r="AM111">
        <v>70</v>
      </c>
      <c r="AN111" t="s">
        <v>547</v>
      </c>
      <c r="AO111">
        <v>19</v>
      </c>
      <c r="AP111">
        <v>3.42</v>
      </c>
      <c r="AQ111" t="s">
        <v>573</v>
      </c>
      <c r="AW111" t="s">
        <v>21</v>
      </c>
      <c r="AX111" t="s">
        <v>144</v>
      </c>
      <c r="BM111" t="str">
        <f>IF(COUNTIFS('在庫使用計画 (ノート全体試算)'!C:C,マスタ_EOLリスト[[#This Row],[製品型番]])=0,"記載なし","")</f>
        <v/>
      </c>
      <c r="BN111" t="str">
        <f>IF(COUNTIFS('在庫使用計画 (一般)'!C:C,マスタ_EOLリスト[[#This Row],[製品型番]])=0,"記載なし","")</f>
        <v/>
      </c>
      <c r="BO111" t="str">
        <f>IF(COUNTIFS('在庫使用計画 (法人)'!C:C,マスタ_EOLリスト[[#This Row],[製品型番]])=0,"記載なし","")</f>
        <v/>
      </c>
      <c r="BP111" t="str">
        <f>IF(COUNTIFS('在庫使用計画 (全体実績+予測）0701'!C:C,マスタ_EOLリスト[[#This Row],[製品型番]])=0,"記載なし","")</f>
        <v/>
      </c>
      <c r="BQ111" t="str">
        <f ca="1">IF(COUNTIFS('在庫使用計画 (計画　予測)'!C:C,マスタ_EOLリスト[[#This Row],[製品型番]])=0,"記載なし","")</f>
        <v>記載なし</v>
      </c>
      <c r="BR111" t="str">
        <f>IF(COUNTIFS(在庫確認!B:B,マスタ_EOLリスト[[#This Row],[製品型番]])=0,"記載なし","")</f>
        <v/>
      </c>
      <c r="BS111" t="e">
        <f>COUNTIF(#REF!,マスタ_EOLリスト[[#This Row],[製品型番]])</f>
        <v>#REF!</v>
      </c>
    </row>
    <row r="112" spans="1:71">
      <c r="A112" t="e">
        <v>#N/A</v>
      </c>
      <c r="B112" t="s">
        <v>142</v>
      </c>
      <c r="C112" t="s">
        <v>539</v>
      </c>
      <c r="D112" t="s">
        <v>613</v>
      </c>
      <c r="E112">
        <v>174619</v>
      </c>
      <c r="F112" t="s">
        <v>614</v>
      </c>
      <c r="H112" t="s">
        <v>21</v>
      </c>
      <c r="M112">
        <v>0</v>
      </c>
      <c r="N112">
        <v>0</v>
      </c>
      <c r="P112">
        <v>45002</v>
      </c>
      <c r="Q112">
        <v>45138</v>
      </c>
      <c r="S112">
        <v>0</v>
      </c>
      <c r="W112">
        <v>2800</v>
      </c>
      <c r="X112">
        <v>892</v>
      </c>
      <c r="Y112">
        <v>45062</v>
      </c>
      <c r="Z112">
        <v>180234</v>
      </c>
      <c r="AA112" t="s">
        <v>580</v>
      </c>
      <c r="AC112">
        <v>45113</v>
      </c>
      <c r="AF112">
        <v>0.31857142857142856</v>
      </c>
      <c r="AL112" t="s">
        <v>21</v>
      </c>
      <c r="AM112" t="s">
        <v>21</v>
      </c>
      <c r="AW112" t="s">
        <v>21</v>
      </c>
      <c r="AX112" t="s">
        <v>144</v>
      </c>
      <c r="BM112" t="str">
        <f>IF(COUNTIFS('在庫使用計画 (ノート全体試算)'!C:C,マスタ_EOLリスト[[#This Row],[製品型番]])=0,"記載なし","")</f>
        <v>記載なし</v>
      </c>
      <c r="BN112" t="str">
        <f>IF(COUNTIFS('在庫使用計画 (一般)'!C:C,マスタ_EOLリスト[[#This Row],[製品型番]])=0,"記載なし","")</f>
        <v>記載なし</v>
      </c>
      <c r="BO112" t="str">
        <f>IF(COUNTIFS('在庫使用計画 (法人)'!C:C,マスタ_EOLリスト[[#This Row],[製品型番]])=0,"記載なし","")</f>
        <v>記載なし</v>
      </c>
      <c r="BP112" t="str">
        <f>IF(COUNTIFS('在庫使用計画 (全体実績+予測）0701'!C:C,マスタ_EOLリスト[[#This Row],[製品型番]])=0,"記載なし","")</f>
        <v>記載なし</v>
      </c>
      <c r="BQ112" t="str">
        <f ca="1">IF(COUNTIFS('在庫使用計画 (計画　予測)'!C:C,マスタ_EOLリスト[[#This Row],[製品型番]])=0,"記載なし","")</f>
        <v>記載なし</v>
      </c>
      <c r="BR112" t="str">
        <f>IF(COUNTIFS(在庫確認!B:B,マスタ_EOLリスト[[#This Row],[製品型番]])=0,"記載なし","")</f>
        <v/>
      </c>
      <c r="BS112" t="e">
        <f>COUNTIF(#REF!,マスタ_EOLリスト[[#This Row],[製品型番]])</f>
        <v>#REF!</v>
      </c>
    </row>
    <row r="113" spans="1:71">
      <c r="A113" t="e">
        <v>#N/A</v>
      </c>
      <c r="B113" t="s">
        <v>390</v>
      </c>
      <c r="C113" t="s">
        <v>539</v>
      </c>
      <c r="D113" t="s">
        <v>615</v>
      </c>
      <c r="F113" t="s">
        <v>616</v>
      </c>
      <c r="G113" t="s">
        <v>617</v>
      </c>
      <c r="H113" t="s">
        <v>618</v>
      </c>
      <c r="I113">
        <v>17</v>
      </c>
      <c r="K113" t="s">
        <v>619</v>
      </c>
      <c r="L113" t="s">
        <v>438</v>
      </c>
      <c r="M113">
        <v>0</v>
      </c>
      <c r="N113">
        <v>0</v>
      </c>
      <c r="P113" t="s">
        <v>620</v>
      </c>
      <c r="R113" t="s">
        <v>621</v>
      </c>
      <c r="W113">
        <v>0</v>
      </c>
      <c r="AN113" t="s">
        <v>622</v>
      </c>
      <c r="AW113" t="s">
        <v>21</v>
      </c>
      <c r="AX113" t="s">
        <v>144</v>
      </c>
      <c r="BA113" t="s">
        <v>169</v>
      </c>
      <c r="BB113" t="s">
        <v>170</v>
      </c>
      <c r="BC113" t="s">
        <v>169</v>
      </c>
      <c r="BD113" t="s">
        <v>169</v>
      </c>
      <c r="BJ113" t="s">
        <v>253</v>
      </c>
      <c r="BM113" t="str">
        <f>IF(COUNTIFS('在庫使用計画 (ノート全体試算)'!C:C,マスタ_EOLリスト[[#This Row],[製品型番]])=0,"記載なし","")</f>
        <v>記載なし</v>
      </c>
      <c r="BN113" t="str">
        <f>IF(COUNTIFS('在庫使用計画 (一般)'!C:C,マスタ_EOLリスト[[#This Row],[製品型番]])=0,"記載なし","")</f>
        <v>記載なし</v>
      </c>
      <c r="BO113" t="str">
        <f>IF(COUNTIFS('在庫使用計画 (法人)'!C:C,マスタ_EOLリスト[[#This Row],[製品型番]])=0,"記載なし","")</f>
        <v>記載なし</v>
      </c>
      <c r="BP113" t="str">
        <f>IF(COUNTIFS('在庫使用計画 (全体実績+予測）0701'!C:C,マスタ_EOLリスト[[#This Row],[製品型番]])=0,"記載なし","")</f>
        <v>記載なし</v>
      </c>
      <c r="BQ113" t="str">
        <f ca="1">IF(COUNTIFS('在庫使用計画 (計画　予測)'!C:C,マスタ_EOLリスト[[#This Row],[製品型番]])=0,"記載なし","")</f>
        <v>記載なし</v>
      </c>
      <c r="BR113" t="str">
        <f>IF(COUNTIFS(在庫確認!B:B,マスタ_EOLリスト[[#This Row],[製品型番]])=0,"記載なし","")</f>
        <v>記載なし</v>
      </c>
      <c r="BS113" t="e">
        <f>COUNTIF(#REF!,マスタ_EOLリスト[[#This Row],[製品型番]])</f>
        <v>#REF!</v>
      </c>
    </row>
    <row r="114" spans="1:71">
      <c r="A114" t="str">
        <v>DX-17RP5A</v>
      </c>
      <c r="B114" t="s">
        <v>147</v>
      </c>
      <c r="C114" t="s">
        <v>539</v>
      </c>
      <c r="D114" t="s">
        <v>623</v>
      </c>
      <c r="E114">
        <v>222645</v>
      </c>
      <c r="F114" t="s">
        <v>624</v>
      </c>
      <c r="G114" t="s">
        <v>617</v>
      </c>
      <c r="H114" t="s">
        <v>625</v>
      </c>
      <c r="I114">
        <v>17</v>
      </c>
      <c r="K114" t="s">
        <v>619</v>
      </c>
      <c r="L114" t="s">
        <v>438</v>
      </c>
      <c r="M114">
        <v>136</v>
      </c>
      <c r="N114">
        <v>136</v>
      </c>
      <c r="P114">
        <v>46065</v>
      </c>
      <c r="R114" t="s">
        <v>626</v>
      </c>
      <c r="W114">
        <v>306</v>
      </c>
      <c r="AW114" t="b">
        <v>1</v>
      </c>
      <c r="AX114" t="s">
        <v>627</v>
      </c>
      <c r="BA114" t="s">
        <v>169</v>
      </c>
      <c r="BB114" t="s">
        <v>170</v>
      </c>
      <c r="BC114" t="s">
        <v>169</v>
      </c>
      <c r="BD114" t="s">
        <v>169</v>
      </c>
      <c r="BJ114" t="s">
        <v>253</v>
      </c>
      <c r="BM114" t="str">
        <f>IF(COUNTIFS('在庫使用計画 (ノート全体試算)'!C:C,マスタ_EOLリスト[[#This Row],[製品型番]])=0,"記載なし","")</f>
        <v/>
      </c>
      <c r="BN114" t="str">
        <f>IF(COUNTIFS('在庫使用計画 (一般)'!C:C,マスタ_EOLリスト[[#This Row],[製品型番]])=0,"記載なし","")</f>
        <v/>
      </c>
      <c r="BO114" t="str">
        <f>IF(COUNTIFS('在庫使用計画 (法人)'!C:C,マスタ_EOLリスト[[#This Row],[製品型番]])=0,"記載なし","")</f>
        <v/>
      </c>
      <c r="BP114" t="str">
        <f>IF(COUNTIFS('在庫使用計画 (全体実績+予測）0701'!C:C,マスタ_EOLリスト[[#This Row],[製品型番]])=0,"記載なし","")</f>
        <v/>
      </c>
      <c r="BQ114" t="str">
        <f ca="1">IF(COUNTIFS('在庫使用計画 (計画　予測)'!C:C,マスタ_EOLリスト[[#This Row],[製品型番]])=0,"記載なし","")</f>
        <v/>
      </c>
      <c r="BR114" t="str">
        <f>IF(COUNTIFS(在庫確認!B:B,マスタ_EOLリスト[[#This Row],[製品型番]])=0,"記載なし","")</f>
        <v/>
      </c>
      <c r="BS114" t="e">
        <f>COUNTIF(#REF!,マスタ_EOLリスト[[#This Row],[製品型番]])</f>
        <v>#REF!</v>
      </c>
    </row>
    <row r="115" spans="1:71">
      <c r="A115" t="str">
        <v>DX-17RP5A</v>
      </c>
      <c r="B115" t="s">
        <v>147</v>
      </c>
      <c r="C115" t="s">
        <v>539</v>
      </c>
      <c r="D115" t="s">
        <v>623</v>
      </c>
      <c r="E115">
        <v>375062</v>
      </c>
      <c r="F115" t="s">
        <v>2642</v>
      </c>
      <c r="G115" t="s">
        <v>617</v>
      </c>
      <c r="H115" t="s">
        <v>625</v>
      </c>
      <c r="I115">
        <v>17</v>
      </c>
      <c r="K115" t="s">
        <v>619</v>
      </c>
      <c r="L115" t="s">
        <v>438</v>
      </c>
      <c r="M115">
        <v>0</v>
      </c>
      <c r="N115">
        <v>300</v>
      </c>
      <c r="P115">
        <v>46065</v>
      </c>
      <c r="R115" t="s">
        <v>626</v>
      </c>
      <c r="W115">
        <v>306</v>
      </c>
      <c r="AW115" t="b">
        <v>1</v>
      </c>
      <c r="AX115" t="s">
        <v>144</v>
      </c>
      <c r="BA115" t="s">
        <v>169</v>
      </c>
      <c r="BB115" t="s">
        <v>170</v>
      </c>
      <c r="BC115" t="s">
        <v>169</v>
      </c>
      <c r="BD115" t="s">
        <v>169</v>
      </c>
      <c r="BJ115" t="s">
        <v>253</v>
      </c>
      <c r="BM115" t="str">
        <f>IF(COUNTIFS('在庫使用計画 (ノート全体試算)'!C:C,マスタ_EOLリスト[[#This Row],[製品型番]])=0,"記載なし","")</f>
        <v/>
      </c>
      <c r="BN115" t="str">
        <f>IF(COUNTIFS('在庫使用計画 (一般)'!C:C,マスタ_EOLリスト[[#This Row],[製品型番]])=0,"記載なし","")</f>
        <v/>
      </c>
      <c r="BO115" t="str">
        <f>IF(COUNTIFS('在庫使用計画 (法人)'!C:C,マスタ_EOLリスト[[#This Row],[製品型番]])=0,"記載なし","")</f>
        <v/>
      </c>
      <c r="BP115" t="str">
        <f>IF(COUNTIFS('在庫使用計画 (全体実績+予測）0701'!C:C,マスタ_EOLリスト[[#This Row],[製品型番]])=0,"記載なし","")</f>
        <v/>
      </c>
      <c r="BQ115" t="str">
        <f ca="1">IF(COUNTIFS('在庫使用計画 (計画　予測)'!C:C,マスタ_EOLリスト[[#This Row],[製品型番]])=0,"記載なし","")</f>
        <v/>
      </c>
      <c r="BR115" t="str">
        <f>IF(COUNTIFS(在庫確認!B:B,マスタ_EOLリスト[[#This Row],[製品型番]])=0,"記載なし","")</f>
        <v/>
      </c>
      <c r="BS115" t="e">
        <f>COUNTIF(#REF!,マスタ_EOLリスト[[#This Row],[製品型番]])</f>
        <v>#REF!</v>
      </c>
    </row>
    <row r="116" spans="1:71">
      <c r="A116" t="e">
        <v>#N/A</v>
      </c>
      <c r="B116" t="s">
        <v>142</v>
      </c>
      <c r="C116" t="s">
        <v>539</v>
      </c>
      <c r="D116" t="s">
        <v>628</v>
      </c>
      <c r="E116">
        <v>205917</v>
      </c>
      <c r="F116" t="s">
        <v>629</v>
      </c>
      <c r="G116" t="s">
        <v>542</v>
      </c>
      <c r="H116" t="s">
        <v>630</v>
      </c>
      <c r="I116">
        <v>16</v>
      </c>
      <c r="J116" t="s">
        <v>248</v>
      </c>
      <c r="K116" t="s">
        <v>631</v>
      </c>
      <c r="L116" t="s">
        <v>438</v>
      </c>
      <c r="M116">
        <v>0</v>
      </c>
      <c r="N116">
        <v>0</v>
      </c>
      <c r="Q116" t="s">
        <v>555</v>
      </c>
      <c r="W116">
        <v>298</v>
      </c>
      <c r="AN116" t="s">
        <v>547</v>
      </c>
      <c r="AO116">
        <v>20</v>
      </c>
      <c r="AQ116" t="s">
        <v>548</v>
      </c>
      <c r="AU116" t="s">
        <v>547</v>
      </c>
      <c r="AV116" t="s">
        <v>549</v>
      </c>
      <c r="AW116" t="s">
        <v>21</v>
      </c>
      <c r="AX116" t="s">
        <v>144</v>
      </c>
      <c r="BJ116" t="s">
        <v>551</v>
      </c>
      <c r="BM116" t="str">
        <f>IF(COUNTIFS('在庫使用計画 (ノート全体試算)'!C:C,マスタ_EOLリスト[[#This Row],[製品型番]])=0,"記載なし","")</f>
        <v>記載なし</v>
      </c>
      <c r="BN116" t="str">
        <f>IF(COUNTIFS('在庫使用計画 (一般)'!C:C,マスタ_EOLリスト[[#This Row],[製品型番]])=0,"記載なし","")</f>
        <v>記載なし</v>
      </c>
      <c r="BO116" t="str">
        <f>IF(COUNTIFS('在庫使用計画 (法人)'!C:C,マスタ_EOLリスト[[#This Row],[製品型番]])=0,"記載なし","")</f>
        <v>記載なし</v>
      </c>
      <c r="BP116" t="str">
        <f>IF(COUNTIFS('在庫使用計画 (全体実績+予測）0701'!C:C,マスタ_EOLリスト[[#This Row],[製品型番]])=0,"記載なし","")</f>
        <v/>
      </c>
      <c r="BQ116" t="str">
        <f ca="1">IF(COUNTIFS('在庫使用計画 (計画　予測)'!C:C,マスタ_EOLリスト[[#This Row],[製品型番]])=0,"記載なし","")</f>
        <v>記載なし</v>
      </c>
      <c r="BR116" t="str">
        <f>IF(COUNTIFS(在庫確認!B:B,マスタ_EOLリスト[[#This Row],[製品型番]])=0,"記載なし","")</f>
        <v/>
      </c>
      <c r="BS116" t="e">
        <f>COUNTIF(#REF!,マスタ_EOLリスト[[#This Row],[製品型番]])</f>
        <v>#REF!</v>
      </c>
    </row>
    <row r="117" spans="1:71">
      <c r="A117" t="str">
        <v>DX-R5T</v>
      </c>
      <c r="B117" t="s">
        <v>335</v>
      </c>
      <c r="C117" t="s">
        <v>539</v>
      </c>
      <c r="D117" t="s">
        <v>632</v>
      </c>
      <c r="E117">
        <v>222146</v>
      </c>
      <c r="F117" t="s">
        <v>633</v>
      </c>
      <c r="G117" t="s">
        <v>569</v>
      </c>
      <c r="H117" t="s">
        <v>634</v>
      </c>
      <c r="I117">
        <v>15</v>
      </c>
      <c r="K117" t="s">
        <v>619</v>
      </c>
      <c r="L117" t="s">
        <v>438</v>
      </c>
      <c r="M117">
        <v>244</v>
      </c>
      <c r="N117">
        <v>244</v>
      </c>
      <c r="P117" t="s">
        <v>635</v>
      </c>
      <c r="Q117" t="s">
        <v>575</v>
      </c>
      <c r="V117">
        <v>1000</v>
      </c>
      <c r="W117">
        <v>4206</v>
      </c>
      <c r="AW117" t="b">
        <v>1</v>
      </c>
      <c r="AX117" t="s">
        <v>636</v>
      </c>
      <c r="BJ117" t="s">
        <v>637</v>
      </c>
      <c r="BM117" t="str">
        <f>IF(COUNTIFS('在庫使用計画 (ノート全体試算)'!C:C,マスタ_EOLリスト[[#This Row],[製品型番]])=0,"記載なし","")</f>
        <v/>
      </c>
      <c r="BN117" t="str">
        <f>IF(COUNTIFS('在庫使用計画 (一般)'!C:C,マスタ_EOLリスト[[#This Row],[製品型番]])=0,"記載なし","")</f>
        <v/>
      </c>
      <c r="BO117" t="str">
        <f>IF(COUNTIFS('在庫使用計画 (法人)'!C:C,マスタ_EOLリスト[[#This Row],[製品型番]])=0,"記載なし","")</f>
        <v/>
      </c>
      <c r="BP117" t="str">
        <f>IF(COUNTIFS('在庫使用計画 (全体実績+予測）0701'!C:C,マスタ_EOLリスト[[#This Row],[製品型番]])=0,"記載なし","")</f>
        <v/>
      </c>
      <c r="BQ117" t="str">
        <f ca="1">IF(COUNTIFS('在庫使用計画 (計画　予測)'!C:C,マスタ_EOLリスト[[#This Row],[製品型番]])=0,"記載なし","")</f>
        <v/>
      </c>
      <c r="BR117" t="str">
        <f>IF(COUNTIFS(在庫確認!B:B,マスタ_EOLリスト[[#This Row],[製品型番]])=0,"記載なし","")</f>
        <v/>
      </c>
      <c r="BS117" t="e">
        <f>COUNTIF(#REF!,マスタ_EOLリスト[[#This Row],[製品型番]])</f>
        <v>#REF!</v>
      </c>
    </row>
    <row r="118" spans="1:71">
      <c r="A118" t="str">
        <v>DX-R5S</v>
      </c>
      <c r="B118" t="s">
        <v>142</v>
      </c>
      <c r="C118" t="s">
        <v>539</v>
      </c>
      <c r="D118" t="s">
        <v>638</v>
      </c>
      <c r="E118">
        <v>207872</v>
      </c>
      <c r="F118" t="s">
        <v>639</v>
      </c>
      <c r="G118" t="s">
        <v>569</v>
      </c>
      <c r="H118" t="s">
        <v>640</v>
      </c>
      <c r="I118">
        <v>15</v>
      </c>
      <c r="K118" t="s">
        <v>641</v>
      </c>
      <c r="L118" t="s">
        <v>438</v>
      </c>
      <c r="M118">
        <v>1</v>
      </c>
      <c r="N118">
        <v>1</v>
      </c>
      <c r="P118">
        <v>45748</v>
      </c>
      <c r="Q118" t="s">
        <v>575</v>
      </c>
      <c r="R118" t="s">
        <v>642</v>
      </c>
      <c r="V118">
        <v>1000</v>
      </c>
      <c r="W118">
        <v>1860</v>
      </c>
      <c r="AB118">
        <v>222146</v>
      </c>
      <c r="AL118">
        <v>45573</v>
      </c>
      <c r="AM118">
        <v>400</v>
      </c>
      <c r="AN118" t="s">
        <v>547</v>
      </c>
      <c r="AO118">
        <v>19</v>
      </c>
      <c r="AP118">
        <v>3.42</v>
      </c>
      <c r="AQ118" t="s">
        <v>573</v>
      </c>
      <c r="AW118" t="s">
        <v>21</v>
      </c>
      <c r="AX118" t="s">
        <v>643</v>
      </c>
      <c r="BJ118" t="s">
        <v>632</v>
      </c>
      <c r="BM118" t="str">
        <f>IF(COUNTIFS('在庫使用計画 (ノート全体試算)'!C:C,マスタ_EOLリスト[[#This Row],[製品型番]])=0,"記載なし","")</f>
        <v/>
      </c>
      <c r="BN118" t="str">
        <f>IF(COUNTIFS('在庫使用計画 (一般)'!C:C,マスタ_EOLリスト[[#This Row],[製品型番]])=0,"記載なし","")</f>
        <v/>
      </c>
      <c r="BO118" t="str">
        <f>IF(COUNTIFS('在庫使用計画 (法人)'!C:C,マスタ_EOLリスト[[#This Row],[製品型番]])=0,"記載なし","")</f>
        <v/>
      </c>
      <c r="BP118" t="str">
        <f>IF(COUNTIFS('在庫使用計画 (全体実績+予測）0701'!C:C,マスタ_EOLリスト[[#This Row],[製品型番]])=0,"記載なし","")</f>
        <v/>
      </c>
      <c r="BQ118" t="str">
        <f ca="1">IF(COUNTIFS('在庫使用計画 (計画　予測)'!C:C,マスタ_EOLリスト[[#This Row],[製品型番]])=0,"記載なし","")</f>
        <v/>
      </c>
      <c r="BR118" t="str">
        <f>IF(COUNTIFS(在庫確認!B:B,マスタ_EOLリスト[[#This Row],[製品型番]])=0,"記載なし","")</f>
        <v/>
      </c>
      <c r="BS118" t="e">
        <f>COUNTIF(#REF!,マスタ_EOLリスト[[#This Row],[製品型番]])</f>
        <v>#REF!</v>
      </c>
    </row>
    <row r="119" spans="1:71">
      <c r="A119" t="str">
        <v>DX-R5</v>
      </c>
      <c r="B119" t="s">
        <v>142</v>
      </c>
      <c r="C119" t="s">
        <v>539</v>
      </c>
      <c r="D119" t="s">
        <v>644</v>
      </c>
      <c r="E119">
        <v>180235</v>
      </c>
      <c r="F119" t="s">
        <v>645</v>
      </c>
      <c r="G119" t="s">
        <v>582</v>
      </c>
      <c r="H119" t="s">
        <v>646</v>
      </c>
      <c r="I119">
        <v>15</v>
      </c>
      <c r="K119" t="s">
        <v>641</v>
      </c>
      <c r="L119" t="s">
        <v>438</v>
      </c>
      <c r="M119">
        <v>0</v>
      </c>
      <c r="N119">
        <v>0</v>
      </c>
      <c r="P119">
        <v>45113</v>
      </c>
      <c r="Q119" t="s">
        <v>575</v>
      </c>
      <c r="W119">
        <v>12110</v>
      </c>
      <c r="Z119">
        <v>207872</v>
      </c>
      <c r="AA119" t="s">
        <v>638</v>
      </c>
      <c r="AI119">
        <v>210492</v>
      </c>
      <c r="AL119">
        <v>45471</v>
      </c>
      <c r="AM119">
        <v>80</v>
      </c>
      <c r="AN119" t="s">
        <v>547</v>
      </c>
      <c r="AO119">
        <v>19</v>
      </c>
      <c r="AP119">
        <v>3.42</v>
      </c>
      <c r="AQ119" t="s">
        <v>573</v>
      </c>
      <c r="AW119" t="s">
        <v>21</v>
      </c>
      <c r="AX119" t="s">
        <v>144</v>
      </c>
      <c r="BJ119" t="s">
        <v>638</v>
      </c>
      <c r="BM119" t="str">
        <f>IF(COUNTIFS('在庫使用計画 (ノート全体試算)'!C:C,マスタ_EOLリスト[[#This Row],[製品型番]])=0,"記載なし","")</f>
        <v/>
      </c>
      <c r="BN119" t="str">
        <f>IF(COUNTIFS('在庫使用計画 (一般)'!C:C,マスタ_EOLリスト[[#This Row],[製品型番]])=0,"記載なし","")</f>
        <v/>
      </c>
      <c r="BO119" t="str">
        <f>IF(COUNTIFS('在庫使用計画 (法人)'!C:C,マスタ_EOLリスト[[#This Row],[製品型番]])=0,"記載なし","")</f>
        <v/>
      </c>
      <c r="BP119" t="str">
        <f>IF(COUNTIFS('在庫使用計画 (全体実績+予測）0701'!C:C,マスタ_EOLリスト[[#This Row],[製品型番]])=0,"記載なし","")</f>
        <v/>
      </c>
      <c r="BQ119" t="str">
        <f ca="1">IF(COUNTIFS('在庫使用計画 (計画　予測)'!C:C,マスタ_EOLリスト[[#This Row],[製品型番]])=0,"記載なし","")</f>
        <v/>
      </c>
      <c r="BR119" t="str">
        <f>IF(COUNTIFS(在庫確認!B:B,マスタ_EOLリスト[[#This Row],[製品型番]])=0,"記載なし","")</f>
        <v/>
      </c>
      <c r="BS119" t="e">
        <f>COUNTIF(#REF!,マスタ_EOLリスト[[#This Row],[製品型番]])</f>
        <v>#REF!</v>
      </c>
    </row>
    <row r="120" spans="1:71">
      <c r="A120" t="str">
        <v>DX-R5</v>
      </c>
      <c r="B120" t="s">
        <v>335</v>
      </c>
      <c r="C120" t="s">
        <v>539</v>
      </c>
      <c r="D120" t="s">
        <v>644</v>
      </c>
      <c r="E120">
        <v>210492</v>
      </c>
      <c r="F120" t="s">
        <v>647</v>
      </c>
      <c r="G120" t="s">
        <v>582</v>
      </c>
      <c r="H120" t="s">
        <v>646</v>
      </c>
      <c r="I120">
        <v>15</v>
      </c>
      <c r="K120" t="s">
        <v>641</v>
      </c>
      <c r="L120" t="s">
        <v>438</v>
      </c>
      <c r="M120">
        <v>302</v>
      </c>
      <c r="N120">
        <v>302</v>
      </c>
      <c r="Q120" t="s">
        <v>575</v>
      </c>
      <c r="R120" t="s">
        <v>173</v>
      </c>
      <c r="W120">
        <v>1812</v>
      </c>
      <c r="Z120">
        <v>207872</v>
      </c>
      <c r="AA120" t="s">
        <v>638</v>
      </c>
      <c r="AN120" t="s">
        <v>547</v>
      </c>
      <c r="AO120">
        <v>19</v>
      </c>
      <c r="AP120">
        <v>3.42</v>
      </c>
      <c r="AQ120" t="s">
        <v>573</v>
      </c>
      <c r="AW120" t="b">
        <v>1</v>
      </c>
      <c r="AX120" t="s">
        <v>648</v>
      </c>
      <c r="BJ120" t="s">
        <v>638</v>
      </c>
      <c r="BM120" t="str">
        <f>IF(COUNTIFS('在庫使用計画 (ノート全体試算)'!C:C,マスタ_EOLリスト[[#This Row],[製品型番]])=0,"記載なし","")</f>
        <v/>
      </c>
      <c r="BN120" t="str">
        <f>IF(COUNTIFS('在庫使用計画 (一般)'!C:C,マスタ_EOLリスト[[#This Row],[製品型番]])=0,"記載なし","")</f>
        <v/>
      </c>
      <c r="BO120" t="str">
        <f>IF(COUNTIFS('在庫使用計画 (法人)'!C:C,マスタ_EOLリスト[[#This Row],[製品型番]])=0,"記載なし","")</f>
        <v/>
      </c>
      <c r="BP120" t="str">
        <f>IF(COUNTIFS('在庫使用計画 (全体実績+予測）0701'!C:C,マスタ_EOLリスト[[#This Row],[製品型番]])=0,"記載なし","")</f>
        <v/>
      </c>
      <c r="BQ120" t="str">
        <f ca="1">IF(COUNTIFS('在庫使用計画 (計画　予測)'!C:C,マスタ_EOLリスト[[#This Row],[製品型番]])=0,"記載なし","")</f>
        <v/>
      </c>
      <c r="BR120" t="str">
        <f>IF(COUNTIFS(在庫確認!B:B,マスタ_EOLリスト[[#This Row],[製品型番]])=0,"記載なし","")</f>
        <v/>
      </c>
      <c r="BS120" t="e">
        <f>COUNTIF(#REF!,マスタ_EOLリスト[[#This Row],[製品型番]])</f>
        <v>#REF!</v>
      </c>
    </row>
    <row r="121" spans="1:71">
      <c r="A121" t="str">
        <v>DX-15RP5C</v>
      </c>
      <c r="B121" t="s">
        <v>147</v>
      </c>
      <c r="C121" t="s">
        <v>539</v>
      </c>
      <c r="D121" t="s">
        <v>649</v>
      </c>
      <c r="E121">
        <v>318395</v>
      </c>
      <c r="F121" t="s">
        <v>650</v>
      </c>
      <c r="G121" t="s">
        <v>594</v>
      </c>
      <c r="H121" t="s">
        <v>651</v>
      </c>
      <c r="I121">
        <v>15</v>
      </c>
      <c r="K121" t="s">
        <v>641</v>
      </c>
      <c r="L121" t="s">
        <v>438</v>
      </c>
      <c r="M121">
        <v>1331</v>
      </c>
      <c r="N121">
        <v>1331</v>
      </c>
      <c r="AW121" t="b">
        <v>1</v>
      </c>
      <c r="AX121" t="s">
        <v>652</v>
      </c>
      <c r="BJ121" t="s">
        <v>4434</v>
      </c>
      <c r="BM121" t="str">
        <f>IF(COUNTIFS('在庫使用計画 (ノート全体試算)'!C:C,マスタ_EOLリスト[[#This Row],[製品型番]])=0,"記載なし","")</f>
        <v/>
      </c>
      <c r="BN121" t="str">
        <f>IF(COUNTIFS('在庫使用計画 (一般)'!C:C,マスタ_EOLリスト[[#This Row],[製品型番]])=0,"記載なし","")</f>
        <v/>
      </c>
      <c r="BO121" t="str">
        <f>IF(COUNTIFS('在庫使用計画 (法人)'!C:C,マスタ_EOLリスト[[#This Row],[製品型番]])=0,"記載なし","")</f>
        <v/>
      </c>
      <c r="BP121" t="str">
        <f>IF(COUNTIFS('在庫使用計画 (全体実績+予測）0701'!C:C,マスタ_EOLリスト[[#This Row],[製品型番]])=0,"記載なし","")</f>
        <v/>
      </c>
      <c r="BQ121" t="str">
        <f ca="1">IF(COUNTIFS('在庫使用計画 (計画　予測)'!C:C,マスタ_EOLリスト[[#This Row],[製品型番]])=0,"記載なし","")</f>
        <v/>
      </c>
      <c r="BR121" t="str">
        <f>IF(COUNTIFS(在庫確認!B:B,マスタ_EOLリスト[[#This Row],[製品型番]])=0,"記載なし","")</f>
        <v>記載なし</v>
      </c>
      <c r="BS121" t="e">
        <f>COUNTIF(#REF!,マスタ_EOLリスト[[#This Row],[製品型番]])</f>
        <v>#REF!</v>
      </c>
    </row>
    <row r="122" spans="1:71">
      <c r="A122" t="str">
        <v>DX-15RP5B</v>
      </c>
      <c r="B122" t="s">
        <v>147</v>
      </c>
      <c r="C122" t="s">
        <v>539</v>
      </c>
      <c r="D122" t="s">
        <v>653</v>
      </c>
      <c r="E122">
        <v>319735</v>
      </c>
      <c r="F122" t="s">
        <v>654</v>
      </c>
      <c r="G122" t="s">
        <v>594</v>
      </c>
      <c r="H122" t="s">
        <v>655</v>
      </c>
      <c r="I122">
        <v>15</v>
      </c>
      <c r="K122" t="s">
        <v>641</v>
      </c>
      <c r="L122" t="s">
        <v>438</v>
      </c>
      <c r="M122">
        <v>833</v>
      </c>
      <c r="N122">
        <v>833</v>
      </c>
      <c r="AW122" t="b">
        <v>1</v>
      </c>
      <c r="AX122" t="s">
        <v>656</v>
      </c>
      <c r="BJ122" t="s">
        <v>4434</v>
      </c>
      <c r="BM122" t="str">
        <f>IF(COUNTIFS('在庫使用計画 (ノート全体試算)'!C:C,マスタ_EOLリスト[[#This Row],[製品型番]])=0,"記載なし","")</f>
        <v/>
      </c>
      <c r="BN122" t="str">
        <f>IF(COUNTIFS('在庫使用計画 (一般)'!C:C,マスタ_EOLリスト[[#This Row],[製品型番]])=0,"記載なし","")</f>
        <v/>
      </c>
      <c r="BO122" t="str">
        <f>IF(COUNTIFS('在庫使用計画 (法人)'!C:C,マスタ_EOLリスト[[#This Row],[製品型番]])=0,"記載なし","")</f>
        <v/>
      </c>
      <c r="BP122" t="str">
        <f>IF(COUNTIFS('在庫使用計画 (全体実績+予測）0701'!C:C,マスタ_EOLリスト[[#This Row],[製品型番]])=0,"記載なし","")</f>
        <v/>
      </c>
      <c r="BQ122" t="str">
        <f ca="1">IF(COUNTIFS('在庫使用計画 (計画　予測)'!C:C,マスタ_EOLリスト[[#This Row],[製品型番]])=0,"記載なし","")</f>
        <v/>
      </c>
      <c r="BR122" t="str">
        <f>IF(COUNTIFS(在庫確認!B:B,マスタ_EOLリスト[[#This Row],[製品型番]])=0,"記載なし","")</f>
        <v>記載なし</v>
      </c>
      <c r="BS122" t="e">
        <f>COUNTIF(#REF!,マスタ_EOLリスト[[#This Row],[製品型番]])</f>
        <v>#REF!</v>
      </c>
    </row>
    <row r="123" spans="1:71">
      <c r="A123" t="str">
        <v>DX-15RP5A</v>
      </c>
      <c r="B123" t="s">
        <v>147</v>
      </c>
      <c r="C123" t="s">
        <v>539</v>
      </c>
      <c r="D123" t="s">
        <v>637</v>
      </c>
      <c r="E123">
        <v>284150</v>
      </c>
      <c r="F123" t="s">
        <v>657</v>
      </c>
      <c r="G123" t="s">
        <v>594</v>
      </c>
      <c r="H123" t="s">
        <v>658</v>
      </c>
      <c r="I123">
        <v>15</v>
      </c>
      <c r="K123" t="s">
        <v>619</v>
      </c>
      <c r="L123" t="s">
        <v>438</v>
      </c>
      <c r="M123">
        <v>471</v>
      </c>
      <c r="N123">
        <v>471</v>
      </c>
      <c r="P123">
        <v>46065</v>
      </c>
      <c r="W123">
        <v>1305</v>
      </c>
      <c r="AW123" t="b">
        <v>1</v>
      </c>
      <c r="AX123" t="s">
        <v>659</v>
      </c>
      <c r="BA123" t="s">
        <v>169</v>
      </c>
      <c r="BB123" t="s">
        <v>170</v>
      </c>
      <c r="BC123" t="s">
        <v>169</v>
      </c>
      <c r="BD123" t="s">
        <v>169</v>
      </c>
      <c r="BE123" t="s">
        <v>600</v>
      </c>
      <c r="BF123">
        <v>1.78</v>
      </c>
      <c r="BG123" t="s">
        <v>601</v>
      </c>
      <c r="BH123" t="s">
        <v>602</v>
      </c>
      <c r="BI123">
        <v>2.96</v>
      </c>
      <c r="BJ123" t="s">
        <v>4434</v>
      </c>
      <c r="BM123" t="str">
        <f>IF(COUNTIFS('在庫使用計画 (ノート全体試算)'!C:C,マスタ_EOLリスト[[#This Row],[製品型番]])=0,"記載なし","")</f>
        <v/>
      </c>
      <c r="BN123" t="str">
        <f>IF(COUNTIFS('在庫使用計画 (一般)'!C:C,マスタ_EOLリスト[[#This Row],[製品型番]])=0,"記載なし","")</f>
        <v/>
      </c>
      <c r="BO123" t="str">
        <f>IF(COUNTIFS('在庫使用計画 (法人)'!C:C,マスタ_EOLリスト[[#This Row],[製品型番]])=0,"記載なし","")</f>
        <v/>
      </c>
      <c r="BP123" t="str">
        <f>IF(COUNTIFS('在庫使用計画 (全体実績+予測）0701'!C:C,マスタ_EOLリスト[[#This Row],[製品型番]])=0,"記載なし","")</f>
        <v/>
      </c>
      <c r="BQ123" t="str">
        <f ca="1">IF(COUNTIFS('在庫使用計画 (計画　予測)'!C:C,マスタ_EOLリスト[[#This Row],[製品型番]])=0,"記載なし","")</f>
        <v/>
      </c>
      <c r="BR123" t="str">
        <f>IF(COUNTIFS(在庫確認!B:B,マスタ_EOLリスト[[#This Row],[製品型番]])=0,"記載なし","")</f>
        <v>記載なし</v>
      </c>
      <c r="BS123" t="e">
        <f>COUNTIF(#REF!,マスタ_EOLリスト[[#This Row],[製品型番]])</f>
        <v>#REF!</v>
      </c>
    </row>
    <row r="124" spans="1:71">
      <c r="A124" t="e">
        <v>#N/A</v>
      </c>
      <c r="B124" t="s">
        <v>390</v>
      </c>
      <c r="C124" t="s">
        <v>539</v>
      </c>
      <c r="D124" t="s">
        <v>660</v>
      </c>
      <c r="G124" t="s">
        <v>661</v>
      </c>
      <c r="I124">
        <v>15</v>
      </c>
      <c r="M124">
        <v>0</v>
      </c>
      <c r="N124">
        <v>0</v>
      </c>
      <c r="AW124" t="s">
        <v>21</v>
      </c>
      <c r="AX124" t="s">
        <v>144</v>
      </c>
      <c r="BJ124" t="s">
        <v>4435</v>
      </c>
      <c r="BM124" t="str">
        <f>IF(COUNTIFS('在庫使用計画 (ノート全体試算)'!C:C,マスタ_EOLリスト[[#This Row],[製品型番]])=0,"記載なし","")</f>
        <v>記載なし</v>
      </c>
      <c r="BN124" t="str">
        <f>IF(COUNTIFS('在庫使用計画 (一般)'!C:C,マスタ_EOLリスト[[#This Row],[製品型番]])=0,"記載なし","")</f>
        <v>記載なし</v>
      </c>
      <c r="BO124" t="str">
        <f>IF(COUNTIFS('在庫使用計画 (法人)'!C:C,マスタ_EOLリスト[[#This Row],[製品型番]])=0,"記載なし","")</f>
        <v>記載なし</v>
      </c>
      <c r="BP124" t="str">
        <f>IF(COUNTIFS('在庫使用計画 (全体実績+予測）0701'!C:C,マスタ_EOLリスト[[#This Row],[製品型番]])=0,"記載なし","")</f>
        <v>記載なし</v>
      </c>
      <c r="BQ124" t="str">
        <f ca="1">IF(COUNTIFS('在庫使用計画 (計画　予測)'!C:C,マスタ_EOLリスト[[#This Row],[製品型番]])=0,"記載なし","")</f>
        <v>記載なし</v>
      </c>
      <c r="BR124" t="str">
        <f>IF(COUNTIFS(在庫確認!B:B,マスタ_EOLリスト[[#This Row],[製品型番]])=0,"記載なし","")</f>
        <v>記載なし</v>
      </c>
      <c r="BS124" t="e">
        <f>COUNTIF(#REF!,マスタ_EOLリスト[[#This Row],[製品型番]])</f>
        <v>#REF!</v>
      </c>
    </row>
    <row r="125" spans="1:71">
      <c r="A125" t="e">
        <v>#N/A</v>
      </c>
      <c r="B125" t="s">
        <v>142</v>
      </c>
      <c r="C125" t="s">
        <v>539</v>
      </c>
      <c r="D125" t="s">
        <v>662</v>
      </c>
      <c r="E125">
        <v>167254</v>
      </c>
      <c r="F125" t="s">
        <v>663</v>
      </c>
      <c r="H125" t="s">
        <v>21</v>
      </c>
      <c r="M125">
        <v>0</v>
      </c>
      <c r="N125">
        <v>0</v>
      </c>
      <c r="Q125">
        <v>44986</v>
      </c>
      <c r="S125">
        <v>50</v>
      </c>
      <c r="T125">
        <v>44839</v>
      </c>
      <c r="W125">
        <v>12570</v>
      </c>
      <c r="X125">
        <v>8606</v>
      </c>
      <c r="AD125">
        <v>133</v>
      </c>
      <c r="AE125">
        <v>1.0580747812251393E-2</v>
      </c>
      <c r="AF125">
        <v>0.68464598249801112</v>
      </c>
      <c r="AG125">
        <v>0</v>
      </c>
      <c r="AH125">
        <v>0.3047732696897375</v>
      </c>
      <c r="AL125" t="s">
        <v>21</v>
      </c>
      <c r="AM125" t="s">
        <v>21</v>
      </c>
      <c r="AW125" t="s">
        <v>21</v>
      </c>
      <c r="AX125" t="s">
        <v>144</v>
      </c>
      <c r="BM125" t="str">
        <f>IF(COUNTIFS('在庫使用計画 (ノート全体試算)'!C:C,マスタ_EOLリスト[[#This Row],[製品型番]])=0,"記載なし","")</f>
        <v>記載なし</v>
      </c>
      <c r="BN125" t="str">
        <f>IF(COUNTIFS('在庫使用計画 (一般)'!C:C,マスタ_EOLリスト[[#This Row],[製品型番]])=0,"記載なし","")</f>
        <v>記載なし</v>
      </c>
      <c r="BO125" t="str">
        <f>IF(COUNTIFS('在庫使用計画 (法人)'!C:C,マスタ_EOLリスト[[#This Row],[製品型番]])=0,"記載なし","")</f>
        <v>記載なし</v>
      </c>
      <c r="BP125" t="str">
        <f>IF(COUNTIFS('在庫使用計画 (全体実績+予測）0701'!C:C,マスタ_EOLリスト[[#This Row],[製品型番]])=0,"記載なし","")</f>
        <v>記載なし</v>
      </c>
      <c r="BQ125" t="str">
        <f ca="1">IF(COUNTIFS('在庫使用計画 (計画　予測)'!C:C,マスタ_EOLリスト[[#This Row],[製品型番]])=0,"記載なし","")</f>
        <v>記載なし</v>
      </c>
      <c r="BR125" t="str">
        <f>IF(COUNTIFS(在庫確認!B:B,マスタ_EOLリスト[[#This Row],[製品型番]])=0,"記載なし","")</f>
        <v/>
      </c>
      <c r="BS125" t="e">
        <f>COUNTIF(#REF!,マスタ_EOLリスト[[#This Row],[製品型番]])</f>
        <v>#REF!</v>
      </c>
    </row>
    <row r="126" spans="1:71">
      <c r="A126" t="e">
        <v>#N/A</v>
      </c>
      <c r="B126" t="s">
        <v>142</v>
      </c>
      <c r="C126" t="s">
        <v>539</v>
      </c>
      <c r="D126" t="s">
        <v>662</v>
      </c>
      <c r="E126">
        <v>173732</v>
      </c>
      <c r="F126" t="s">
        <v>664</v>
      </c>
      <c r="H126" t="s">
        <v>21</v>
      </c>
      <c r="K126" t="s">
        <v>665</v>
      </c>
      <c r="L126" t="s">
        <v>438</v>
      </c>
      <c r="M126">
        <v>0</v>
      </c>
      <c r="N126">
        <v>0</v>
      </c>
      <c r="W126">
        <v>430</v>
      </c>
      <c r="X126">
        <v>8606</v>
      </c>
      <c r="AF126">
        <v>20.013953488372092</v>
      </c>
      <c r="AI126">
        <v>174620</v>
      </c>
      <c r="AL126" t="s">
        <v>21</v>
      </c>
      <c r="AM126" t="s">
        <v>21</v>
      </c>
      <c r="AW126" t="s">
        <v>21</v>
      </c>
      <c r="AX126" t="s">
        <v>144</v>
      </c>
      <c r="BM126" t="str">
        <f>IF(COUNTIFS('在庫使用計画 (ノート全体試算)'!C:C,マスタ_EOLリスト[[#This Row],[製品型番]])=0,"記載なし","")</f>
        <v>記載なし</v>
      </c>
      <c r="BN126" t="str">
        <f>IF(COUNTIFS('在庫使用計画 (一般)'!C:C,マスタ_EOLリスト[[#This Row],[製品型番]])=0,"記載なし","")</f>
        <v>記載なし</v>
      </c>
      <c r="BO126" t="str">
        <f>IF(COUNTIFS('在庫使用計画 (法人)'!C:C,マスタ_EOLリスト[[#This Row],[製品型番]])=0,"記載なし","")</f>
        <v>記載なし</v>
      </c>
      <c r="BP126" t="str">
        <f>IF(COUNTIFS('在庫使用計画 (全体実績+予測）0701'!C:C,マスタ_EOLリスト[[#This Row],[製品型番]])=0,"記載なし","")</f>
        <v>記載なし</v>
      </c>
      <c r="BQ126" t="str">
        <f ca="1">IF(COUNTIFS('在庫使用計画 (計画　予測)'!C:C,マスタ_EOLリスト[[#This Row],[製品型番]])=0,"記載なし","")</f>
        <v>記載なし</v>
      </c>
      <c r="BR126" t="str">
        <f>IF(COUNTIFS(在庫確認!B:B,マスタ_EOLリスト[[#This Row],[製品型番]])=0,"記載なし","")</f>
        <v/>
      </c>
      <c r="BS126" t="e">
        <f>COUNTIF(#REF!,マスタ_EOLリスト[[#This Row],[製品型番]])</f>
        <v>#REF!</v>
      </c>
    </row>
    <row r="127" spans="1:71">
      <c r="A127" t="e">
        <v>#N/A</v>
      </c>
      <c r="B127" t="s">
        <v>142</v>
      </c>
      <c r="C127" t="s">
        <v>539</v>
      </c>
      <c r="D127" t="s">
        <v>666</v>
      </c>
      <c r="E127">
        <v>174620</v>
      </c>
      <c r="F127" t="s">
        <v>667</v>
      </c>
      <c r="H127" t="s">
        <v>21</v>
      </c>
      <c r="M127">
        <v>0</v>
      </c>
      <c r="N127">
        <v>0</v>
      </c>
      <c r="P127">
        <v>45002</v>
      </c>
      <c r="Q127">
        <v>45138</v>
      </c>
      <c r="S127">
        <v>0</v>
      </c>
      <c r="W127">
        <v>4200</v>
      </c>
      <c r="X127">
        <v>1038</v>
      </c>
      <c r="Y127">
        <v>45062</v>
      </c>
      <c r="Z127">
        <v>180235</v>
      </c>
      <c r="AA127" t="s">
        <v>644</v>
      </c>
      <c r="AC127">
        <v>45113</v>
      </c>
      <c r="AF127">
        <v>0.24714285714285711</v>
      </c>
      <c r="AI127">
        <v>180235</v>
      </c>
      <c r="AL127" t="s">
        <v>21</v>
      </c>
      <c r="AM127" t="s">
        <v>21</v>
      </c>
      <c r="AW127" t="s">
        <v>21</v>
      </c>
      <c r="AX127" t="s">
        <v>144</v>
      </c>
      <c r="BM127" t="str">
        <f>IF(COUNTIFS('在庫使用計画 (ノート全体試算)'!C:C,マスタ_EOLリスト[[#This Row],[製品型番]])=0,"記載なし","")</f>
        <v>記載なし</v>
      </c>
      <c r="BN127" t="str">
        <f>IF(COUNTIFS('在庫使用計画 (一般)'!C:C,マスタ_EOLリスト[[#This Row],[製品型番]])=0,"記載なし","")</f>
        <v>記載なし</v>
      </c>
      <c r="BO127" t="str">
        <f>IF(COUNTIFS('在庫使用計画 (法人)'!C:C,マスタ_EOLリスト[[#This Row],[製品型番]])=0,"記載なし","")</f>
        <v>記載なし</v>
      </c>
      <c r="BP127" t="str">
        <f>IF(COUNTIFS('在庫使用計画 (全体実績+予測）0701'!C:C,マスタ_EOLリスト[[#This Row],[製品型番]])=0,"記載なし","")</f>
        <v>記載なし</v>
      </c>
      <c r="BQ127" t="str">
        <f ca="1">IF(COUNTIFS('在庫使用計画 (計画　予測)'!C:C,マスタ_EOLリスト[[#This Row],[製品型番]])=0,"記載なし","")</f>
        <v>記載なし</v>
      </c>
      <c r="BR127" t="str">
        <f>IF(COUNTIFS(在庫確認!B:B,マスタ_EOLリスト[[#This Row],[製品型番]])=0,"記載なし","")</f>
        <v/>
      </c>
      <c r="BS127" t="e">
        <f>COUNTIF(#REF!,マスタ_EOLリスト[[#This Row],[製品型番]])</f>
        <v>#REF!</v>
      </c>
    </row>
    <row r="128" spans="1:71">
      <c r="A128" t="str">
        <v>DX-R3S</v>
      </c>
      <c r="B128" t="s">
        <v>142</v>
      </c>
      <c r="C128" t="s">
        <v>539</v>
      </c>
      <c r="D128" t="s">
        <v>668</v>
      </c>
      <c r="E128">
        <v>199872</v>
      </c>
      <c r="F128" t="s">
        <v>669</v>
      </c>
      <c r="G128" t="s">
        <v>569</v>
      </c>
      <c r="H128" t="s">
        <v>670</v>
      </c>
      <c r="I128">
        <v>15</v>
      </c>
      <c r="K128" t="s">
        <v>671</v>
      </c>
      <c r="L128" t="s">
        <v>438</v>
      </c>
      <c r="M128">
        <v>9</v>
      </c>
      <c r="N128">
        <v>9</v>
      </c>
      <c r="P128">
        <v>45687</v>
      </c>
      <c r="Q128" t="s">
        <v>575</v>
      </c>
      <c r="R128" t="s">
        <v>672</v>
      </c>
      <c r="W128">
        <v>1000</v>
      </c>
      <c r="Z128">
        <v>223065</v>
      </c>
      <c r="AA128" t="s">
        <v>673</v>
      </c>
      <c r="AN128" t="s">
        <v>547</v>
      </c>
      <c r="AO128">
        <v>19</v>
      </c>
      <c r="AP128">
        <v>3.42</v>
      </c>
      <c r="AQ128" t="s">
        <v>573</v>
      </c>
      <c r="AW128" t="s">
        <v>21</v>
      </c>
      <c r="AX128" t="s">
        <v>674</v>
      </c>
      <c r="BM128" t="str">
        <f>IF(COUNTIFS('在庫使用計画 (ノート全体試算)'!C:C,マスタ_EOLリスト[[#This Row],[製品型番]])=0,"記載なし","")</f>
        <v/>
      </c>
      <c r="BN128" t="str">
        <f>IF(COUNTIFS('在庫使用計画 (一般)'!C:C,マスタ_EOLリスト[[#This Row],[製品型番]])=0,"記載なし","")</f>
        <v/>
      </c>
      <c r="BO128" t="str">
        <f>IF(COUNTIFS('在庫使用計画 (法人)'!C:C,マスタ_EOLリスト[[#This Row],[製品型番]])=0,"記載なし","")</f>
        <v/>
      </c>
      <c r="BP128" t="str">
        <f>IF(COUNTIFS('在庫使用計画 (全体実績+予測）0701'!C:C,マスタ_EOLリスト[[#This Row],[製品型番]])=0,"記載なし","")</f>
        <v/>
      </c>
      <c r="BQ128" t="str">
        <f ca="1">IF(COUNTIFS('在庫使用計画 (計画　予測)'!C:C,マスタ_EOLリスト[[#This Row],[製品型番]])=0,"記載なし","")</f>
        <v/>
      </c>
      <c r="BR128" t="str">
        <f>IF(COUNTIFS(在庫確認!B:B,マスタ_EOLリスト[[#This Row],[製品型番]])=0,"記載なし","")</f>
        <v>記載なし</v>
      </c>
      <c r="BS128" t="e">
        <f>COUNTIF(#REF!,マスタ_EOLリスト[[#This Row],[製品型番]])</f>
        <v>#REF!</v>
      </c>
    </row>
    <row r="129" spans="1:71">
      <c r="A129" t="str">
        <v>DX-R3S</v>
      </c>
      <c r="B129" t="s">
        <v>335</v>
      </c>
      <c r="C129" t="s">
        <v>539</v>
      </c>
      <c r="D129" t="s">
        <v>668</v>
      </c>
      <c r="E129">
        <v>223065</v>
      </c>
      <c r="F129" t="s">
        <v>675</v>
      </c>
      <c r="G129" t="s">
        <v>569</v>
      </c>
      <c r="H129" t="s">
        <v>670</v>
      </c>
      <c r="I129">
        <v>15</v>
      </c>
      <c r="K129" t="s">
        <v>671</v>
      </c>
      <c r="L129" t="s">
        <v>438</v>
      </c>
      <c r="M129">
        <v>36</v>
      </c>
      <c r="N129">
        <v>36</v>
      </c>
      <c r="R129" t="s">
        <v>676</v>
      </c>
      <c r="AW129" t="b">
        <v>1</v>
      </c>
      <c r="AX129" t="s">
        <v>677</v>
      </c>
      <c r="BJ129" t="s">
        <v>678</v>
      </c>
      <c r="BM129" t="str">
        <f>IF(COUNTIFS('在庫使用計画 (ノート全体試算)'!C:C,マスタ_EOLリスト[[#This Row],[製品型番]])=0,"記載なし","")</f>
        <v/>
      </c>
      <c r="BN129" t="str">
        <f>IF(COUNTIFS('在庫使用計画 (一般)'!C:C,マスタ_EOLリスト[[#This Row],[製品型番]])=0,"記載なし","")</f>
        <v/>
      </c>
      <c r="BO129" t="str">
        <f>IF(COUNTIFS('在庫使用計画 (法人)'!C:C,マスタ_EOLリスト[[#This Row],[製品型番]])=0,"記載なし","")</f>
        <v/>
      </c>
      <c r="BP129" t="str">
        <f>IF(COUNTIFS('在庫使用計画 (全体実績+予測）0701'!C:C,マスタ_EOLリスト[[#This Row],[製品型番]])=0,"記載なし","")</f>
        <v/>
      </c>
      <c r="BQ129" t="str">
        <f ca="1">IF(COUNTIFS('在庫使用計画 (計画　予測)'!C:C,マスタ_EOLリスト[[#This Row],[製品型番]])=0,"記載なし","")</f>
        <v/>
      </c>
      <c r="BR129" t="str">
        <f>IF(COUNTIFS(在庫確認!B:B,マスタ_EOLリスト[[#This Row],[製品型番]])=0,"記載なし","")</f>
        <v>記載なし</v>
      </c>
      <c r="BS129" t="e">
        <f>COUNTIF(#REF!,マスタ_EOLリスト[[#This Row],[製品型番]])</f>
        <v>#REF!</v>
      </c>
    </row>
    <row r="130" spans="1:71">
      <c r="A130" t="e">
        <v>#N/A</v>
      </c>
      <c r="B130" t="s">
        <v>142</v>
      </c>
      <c r="C130" t="s">
        <v>539</v>
      </c>
      <c r="D130" t="s">
        <v>679</v>
      </c>
      <c r="E130">
        <v>186290</v>
      </c>
      <c r="F130" t="s">
        <v>680</v>
      </c>
      <c r="G130" t="s">
        <v>569</v>
      </c>
      <c r="H130" t="s">
        <v>670</v>
      </c>
      <c r="I130">
        <v>15</v>
      </c>
      <c r="K130" t="s">
        <v>671</v>
      </c>
      <c r="L130" t="s">
        <v>438</v>
      </c>
      <c r="M130">
        <v>0</v>
      </c>
      <c r="N130">
        <v>0</v>
      </c>
      <c r="P130">
        <v>44973</v>
      </c>
      <c r="V130">
        <v>1000</v>
      </c>
      <c r="W130">
        <v>400</v>
      </c>
      <c r="Z130">
        <v>199872</v>
      </c>
      <c r="AL130">
        <v>45478</v>
      </c>
      <c r="AM130">
        <v>100</v>
      </c>
      <c r="AN130" t="s">
        <v>547</v>
      </c>
      <c r="AO130">
        <v>19</v>
      </c>
      <c r="AP130">
        <v>3.42</v>
      </c>
      <c r="AQ130" t="s">
        <v>573</v>
      </c>
      <c r="AW130" t="s">
        <v>21</v>
      </c>
      <c r="AX130" t="s">
        <v>144</v>
      </c>
      <c r="BM130" t="str">
        <f>IF(COUNTIFS('在庫使用計画 (ノート全体試算)'!C:C,マスタ_EOLリスト[[#This Row],[製品型番]])=0,"記載なし","")</f>
        <v>記載なし</v>
      </c>
      <c r="BN130" t="str">
        <f>IF(COUNTIFS('在庫使用計画 (一般)'!C:C,マスタ_EOLリスト[[#This Row],[製品型番]])=0,"記載なし","")</f>
        <v>記載なし</v>
      </c>
      <c r="BO130" t="str">
        <f>IF(COUNTIFS('在庫使用計画 (法人)'!C:C,マスタ_EOLリスト[[#This Row],[製品型番]])=0,"記載なし","")</f>
        <v>記載なし</v>
      </c>
      <c r="BP130" t="str">
        <f>IF(COUNTIFS('在庫使用計画 (全体実績+予測）0701'!C:C,マスタ_EOLリスト[[#This Row],[製品型番]])=0,"記載なし","")</f>
        <v>記載なし</v>
      </c>
      <c r="BQ130" t="str">
        <f ca="1">IF(COUNTIFS('在庫使用計画 (計画　予測)'!C:C,マスタ_EOLリスト[[#This Row],[製品型番]])=0,"記載なし","")</f>
        <v>記載なし</v>
      </c>
      <c r="BR130" t="str">
        <f>IF(COUNTIFS(在庫確認!B:B,マスタ_EOLリスト[[#This Row],[製品型番]])=0,"記載なし","")</f>
        <v/>
      </c>
      <c r="BS130" t="e">
        <f>COUNTIF(#REF!,マスタ_EOLリスト[[#This Row],[製品型番]])</f>
        <v>#REF!</v>
      </c>
    </row>
    <row r="131" spans="1:71">
      <c r="A131" t="e">
        <v>#N/A</v>
      </c>
      <c r="B131" t="s">
        <v>142</v>
      </c>
      <c r="C131" t="s">
        <v>539</v>
      </c>
      <c r="D131" t="s">
        <v>679</v>
      </c>
      <c r="E131">
        <v>195890</v>
      </c>
      <c r="F131" t="s">
        <v>681</v>
      </c>
      <c r="G131" t="s">
        <v>569</v>
      </c>
      <c r="H131" t="s">
        <v>670</v>
      </c>
      <c r="I131">
        <v>15</v>
      </c>
      <c r="K131" t="s">
        <v>671</v>
      </c>
      <c r="L131" t="s">
        <v>438</v>
      </c>
      <c r="M131">
        <v>0</v>
      </c>
      <c r="N131">
        <v>0</v>
      </c>
      <c r="Q131" t="s">
        <v>575</v>
      </c>
      <c r="R131" t="s">
        <v>676</v>
      </c>
      <c r="W131">
        <v>600</v>
      </c>
      <c r="Z131">
        <v>199872</v>
      </c>
      <c r="AL131">
        <v>45483</v>
      </c>
      <c r="AM131">
        <v>125</v>
      </c>
      <c r="AN131" t="s">
        <v>547</v>
      </c>
      <c r="AO131">
        <v>19</v>
      </c>
      <c r="AP131">
        <v>3.42</v>
      </c>
      <c r="AQ131" t="s">
        <v>573</v>
      </c>
      <c r="AW131" t="s">
        <v>21</v>
      </c>
      <c r="AX131" t="s">
        <v>144</v>
      </c>
      <c r="BM131" t="str">
        <f>IF(COUNTIFS('在庫使用計画 (ノート全体試算)'!C:C,マスタ_EOLリスト[[#This Row],[製品型番]])=0,"記載なし","")</f>
        <v>記載なし</v>
      </c>
      <c r="BN131" t="str">
        <f>IF(COUNTIFS('在庫使用計画 (一般)'!C:C,マスタ_EOLリスト[[#This Row],[製品型番]])=0,"記載なし","")</f>
        <v>記載なし</v>
      </c>
      <c r="BO131" t="str">
        <f>IF(COUNTIFS('在庫使用計画 (法人)'!C:C,マスタ_EOLリスト[[#This Row],[製品型番]])=0,"記載なし","")</f>
        <v>記載なし</v>
      </c>
      <c r="BP131" t="str">
        <f>IF(COUNTIFS('在庫使用計画 (全体実績+予測）0701'!C:C,マスタ_EOLリスト[[#This Row],[製品型番]])=0,"記載なし","")</f>
        <v>記載なし</v>
      </c>
      <c r="BQ131" t="str">
        <f ca="1">IF(COUNTIFS('在庫使用計画 (計画　予測)'!C:C,マスタ_EOLリスト[[#This Row],[製品型番]])=0,"記載なし","")</f>
        <v>記載なし</v>
      </c>
      <c r="BR131" t="str">
        <f>IF(COUNTIFS(在庫確認!B:B,マスタ_EOLリスト[[#This Row],[製品型番]])=0,"記載なし","")</f>
        <v/>
      </c>
      <c r="BS131" t="e">
        <f>COUNTIF(#REF!,マスタ_EOLリスト[[#This Row],[製品型番]])</f>
        <v>#REF!</v>
      </c>
    </row>
    <row r="132" spans="1:71">
      <c r="A132" t="str">
        <v>DX-15RP3A</v>
      </c>
      <c r="B132" t="s">
        <v>147</v>
      </c>
      <c r="C132" t="s">
        <v>539</v>
      </c>
      <c r="D132" t="s">
        <v>678</v>
      </c>
      <c r="E132">
        <v>284151</v>
      </c>
      <c r="F132" t="s">
        <v>682</v>
      </c>
      <c r="G132" t="s">
        <v>594</v>
      </c>
      <c r="H132" t="s">
        <v>683</v>
      </c>
      <c r="I132">
        <v>15</v>
      </c>
      <c r="K132" t="s">
        <v>671</v>
      </c>
      <c r="L132" t="s">
        <v>438</v>
      </c>
      <c r="M132">
        <v>442</v>
      </c>
      <c r="N132">
        <v>442</v>
      </c>
      <c r="P132">
        <v>46065</v>
      </c>
      <c r="W132">
        <v>455</v>
      </c>
      <c r="AW132" t="b">
        <v>1</v>
      </c>
      <c r="AX132" t="s">
        <v>684</v>
      </c>
      <c r="BA132" t="s">
        <v>169</v>
      </c>
      <c r="BB132" t="s">
        <v>170</v>
      </c>
      <c r="BC132" t="s">
        <v>169</v>
      </c>
      <c r="BD132" t="s">
        <v>169</v>
      </c>
      <c r="BE132" t="s">
        <v>600</v>
      </c>
      <c r="BF132">
        <v>1.78</v>
      </c>
      <c r="BG132" t="s">
        <v>601</v>
      </c>
      <c r="BH132" t="s">
        <v>602</v>
      </c>
      <c r="BI132">
        <v>2.96</v>
      </c>
      <c r="BJ132" t="s">
        <v>4435</v>
      </c>
      <c r="BM132" t="str">
        <f>IF(COUNTIFS('在庫使用計画 (ノート全体試算)'!C:C,マスタ_EOLリスト[[#This Row],[製品型番]])=0,"記載なし","")</f>
        <v/>
      </c>
      <c r="BN132" t="str">
        <f>IF(COUNTIFS('在庫使用計画 (一般)'!C:C,マスタ_EOLリスト[[#This Row],[製品型番]])=0,"記載なし","")</f>
        <v/>
      </c>
      <c r="BO132" t="str">
        <f>IF(COUNTIFS('在庫使用計画 (法人)'!C:C,マスタ_EOLリスト[[#This Row],[製品型番]])=0,"記載なし","")</f>
        <v/>
      </c>
      <c r="BP132" t="str">
        <f>IF(COUNTIFS('在庫使用計画 (全体実績+予測）0701'!C:C,マスタ_EOLリスト[[#This Row],[製品型番]])=0,"記載なし","")</f>
        <v/>
      </c>
      <c r="BQ132" t="str">
        <f ca="1">IF(COUNTIFS('在庫使用計画 (計画　予測)'!C:C,マスタ_EOLリスト[[#This Row],[製品型番]])=0,"記載なし","")</f>
        <v/>
      </c>
      <c r="BR132" t="str">
        <f>IF(COUNTIFS(在庫確認!B:B,マスタ_EOLリスト[[#This Row],[製品型番]])=0,"記載なし","")</f>
        <v>記載なし</v>
      </c>
      <c r="BS132" t="e">
        <f>COUNTIF(#REF!,マスタ_EOLリスト[[#This Row],[製品型番]])</f>
        <v>#REF!</v>
      </c>
    </row>
    <row r="133" spans="1:71">
      <c r="A133" t="str">
        <v>F-14RP7V</v>
      </c>
      <c r="B133" t="s">
        <v>147</v>
      </c>
      <c r="C133" t="s">
        <v>539</v>
      </c>
      <c r="D133" t="s">
        <v>685</v>
      </c>
      <c r="E133">
        <v>286436</v>
      </c>
      <c r="F133" t="s">
        <v>686</v>
      </c>
      <c r="G133" t="s">
        <v>687</v>
      </c>
      <c r="H133" t="s">
        <v>688</v>
      </c>
      <c r="I133">
        <v>14</v>
      </c>
      <c r="K133" t="s">
        <v>641</v>
      </c>
      <c r="L133" t="s">
        <v>438</v>
      </c>
      <c r="M133">
        <v>152</v>
      </c>
      <c r="N133">
        <v>152</v>
      </c>
      <c r="P133" t="s">
        <v>689</v>
      </c>
      <c r="AW133" t="b">
        <v>1</v>
      </c>
      <c r="AX133" t="s">
        <v>690</v>
      </c>
      <c r="BJ133" t="s">
        <v>4436</v>
      </c>
      <c r="BM133" t="str">
        <f>IF(COUNTIFS('在庫使用計画 (ノート全体試算)'!C:C,マスタ_EOLリスト[[#This Row],[製品型番]])=0,"記載なし","")</f>
        <v/>
      </c>
      <c r="BN133" t="str">
        <f>IF(COUNTIFS('在庫使用計画 (一般)'!C:C,マスタ_EOLリスト[[#This Row],[製品型番]])=0,"記載なし","")</f>
        <v/>
      </c>
      <c r="BO133" t="str">
        <f>IF(COUNTIFS('在庫使用計画 (法人)'!C:C,マスタ_EOLリスト[[#This Row],[製品型番]])=0,"記載なし","")</f>
        <v/>
      </c>
      <c r="BP133" t="str">
        <f>IF(COUNTIFS('在庫使用計画 (全体実績+予測）0701'!C:C,マスタ_EOLリスト[[#This Row],[製品型番]])=0,"記載なし","")</f>
        <v/>
      </c>
      <c r="BQ133" t="str">
        <f ca="1">IF(COUNTIFS('在庫使用計画 (計画　予測)'!C:C,マスタ_EOLリスト[[#This Row],[製品型番]])=0,"記載なし","")</f>
        <v/>
      </c>
      <c r="BR133" t="str">
        <f>IF(COUNTIFS(在庫確認!B:B,マスタ_EOLリスト[[#This Row],[製品型番]])=0,"記載なし","")</f>
        <v/>
      </c>
      <c r="BS133" t="e">
        <f>COUNTIF(#REF!,マスタ_EOLリスト[[#This Row],[製品型番]])</f>
        <v>#REF!</v>
      </c>
    </row>
    <row r="134" spans="1:71">
      <c r="A134" t="str">
        <v>F-14RP7S</v>
      </c>
      <c r="B134" t="s">
        <v>142</v>
      </c>
      <c r="C134" t="s">
        <v>539</v>
      </c>
      <c r="D134" t="s">
        <v>691</v>
      </c>
      <c r="E134">
        <v>206310</v>
      </c>
      <c r="F134" t="s">
        <v>692</v>
      </c>
      <c r="G134" t="s">
        <v>687</v>
      </c>
      <c r="H134" t="s">
        <v>693</v>
      </c>
      <c r="I134">
        <v>14</v>
      </c>
      <c r="K134" t="s">
        <v>571</v>
      </c>
      <c r="L134" t="s">
        <v>438</v>
      </c>
      <c r="M134">
        <v>0</v>
      </c>
      <c r="N134">
        <v>0</v>
      </c>
      <c r="R134" t="s">
        <v>694</v>
      </c>
      <c r="U134" t="s">
        <v>695</v>
      </c>
      <c r="AN134" t="s">
        <v>622</v>
      </c>
      <c r="AO134">
        <v>19</v>
      </c>
      <c r="AP134">
        <v>2.37</v>
      </c>
      <c r="AQ134" t="s">
        <v>696</v>
      </c>
      <c r="AU134" t="s">
        <v>547</v>
      </c>
      <c r="AV134" t="s">
        <v>549</v>
      </c>
      <c r="AW134" t="s">
        <v>21</v>
      </c>
      <c r="AX134" t="s">
        <v>144</v>
      </c>
      <c r="BM134" t="str">
        <f>IF(COUNTIFS('在庫使用計画 (ノート全体試算)'!C:C,マスタ_EOLリスト[[#This Row],[製品型番]])=0,"記載なし","")</f>
        <v/>
      </c>
      <c r="BN134" t="str">
        <f>IF(COUNTIFS('在庫使用計画 (一般)'!C:C,マスタ_EOLリスト[[#This Row],[製品型番]])=0,"記載なし","")</f>
        <v/>
      </c>
      <c r="BO134" t="str">
        <f>IF(COUNTIFS('在庫使用計画 (法人)'!C:C,マスタ_EOLリスト[[#This Row],[製品型番]])=0,"記載なし","")</f>
        <v/>
      </c>
      <c r="BP134" t="str">
        <f>IF(COUNTIFS('在庫使用計画 (全体実績+予測）0701'!C:C,マスタ_EOLリスト[[#This Row],[製品型番]])=0,"記載なし","")</f>
        <v/>
      </c>
      <c r="BQ134" t="str">
        <f ca="1">IF(COUNTIFS('在庫使用計画 (計画　予測)'!C:C,マスタ_EOLリスト[[#This Row],[製品型番]])=0,"記載なし","")</f>
        <v>記載なし</v>
      </c>
      <c r="BR134" t="str">
        <f>IF(COUNTIFS(在庫確認!B:B,マスタ_EOLリスト[[#This Row],[製品型番]])=0,"記載なし","")</f>
        <v/>
      </c>
      <c r="BS134" t="e">
        <f>COUNTIF(#REF!,マスタ_EOLリスト[[#This Row],[製品型番]])</f>
        <v>#REF!</v>
      </c>
    </row>
    <row r="135" spans="1:71">
      <c r="A135" t="str">
        <v>F-14RP7S</v>
      </c>
      <c r="B135" t="s">
        <v>142</v>
      </c>
      <c r="C135" t="s">
        <v>539</v>
      </c>
      <c r="D135" t="s">
        <v>691</v>
      </c>
      <c r="E135">
        <v>212292</v>
      </c>
      <c r="F135" t="s">
        <v>697</v>
      </c>
      <c r="G135" t="s">
        <v>687</v>
      </c>
      <c r="H135" t="s">
        <v>693</v>
      </c>
      <c r="I135">
        <v>14</v>
      </c>
      <c r="K135" t="s">
        <v>641</v>
      </c>
      <c r="L135" t="s">
        <v>438</v>
      </c>
      <c r="M135">
        <v>0</v>
      </c>
      <c r="N135">
        <v>0</v>
      </c>
      <c r="W135">
        <v>600</v>
      </c>
      <c r="AN135" t="s">
        <v>622</v>
      </c>
      <c r="AO135">
        <v>19</v>
      </c>
      <c r="AP135">
        <v>2.37</v>
      </c>
      <c r="AQ135" t="s">
        <v>696</v>
      </c>
      <c r="AU135" t="s">
        <v>547</v>
      </c>
      <c r="AV135" t="s">
        <v>549</v>
      </c>
      <c r="AW135" t="s">
        <v>21</v>
      </c>
      <c r="AX135" t="s">
        <v>144</v>
      </c>
      <c r="BA135" t="s">
        <v>169</v>
      </c>
      <c r="BB135" t="s">
        <v>170</v>
      </c>
      <c r="BC135" t="s">
        <v>169</v>
      </c>
      <c r="BD135" t="s">
        <v>169</v>
      </c>
      <c r="BM135" t="str">
        <f>IF(COUNTIFS('在庫使用計画 (ノート全体試算)'!C:C,マスタ_EOLリスト[[#This Row],[製品型番]])=0,"記載なし","")</f>
        <v/>
      </c>
      <c r="BN135" t="str">
        <f>IF(COUNTIFS('在庫使用計画 (一般)'!C:C,マスタ_EOLリスト[[#This Row],[製品型番]])=0,"記載なし","")</f>
        <v/>
      </c>
      <c r="BO135" t="str">
        <f>IF(COUNTIFS('在庫使用計画 (法人)'!C:C,マスタ_EOLリスト[[#This Row],[製品型番]])=0,"記載なし","")</f>
        <v/>
      </c>
      <c r="BP135" t="str">
        <f>IF(COUNTIFS('在庫使用計画 (全体実績+予測）0701'!C:C,マスタ_EOLリスト[[#This Row],[製品型番]])=0,"記載なし","")</f>
        <v/>
      </c>
      <c r="BQ135" t="str">
        <f ca="1">IF(COUNTIFS('在庫使用計画 (計画　予測)'!C:C,マスタ_EOLリスト[[#This Row],[製品型番]])=0,"記載なし","")</f>
        <v>記載なし</v>
      </c>
      <c r="BR135" t="str">
        <f>IF(COUNTIFS(在庫確認!B:B,マスタ_EOLリスト[[#This Row],[製品型番]])=0,"記載なし","")</f>
        <v/>
      </c>
      <c r="BS135" t="e">
        <f>COUNTIF(#REF!,マスタ_EOLリスト[[#This Row],[製品型番]])</f>
        <v>#REF!</v>
      </c>
    </row>
    <row r="136" spans="1:71">
      <c r="A136" t="str">
        <v>F-14RP7S</v>
      </c>
      <c r="B136" t="s">
        <v>147</v>
      </c>
      <c r="C136" t="s">
        <v>539</v>
      </c>
      <c r="D136" t="s">
        <v>691</v>
      </c>
      <c r="E136">
        <v>223063</v>
      </c>
      <c r="F136" t="s">
        <v>698</v>
      </c>
      <c r="G136" t="s">
        <v>687</v>
      </c>
      <c r="H136" t="s">
        <v>693</v>
      </c>
      <c r="I136">
        <v>14</v>
      </c>
      <c r="K136" t="s">
        <v>641</v>
      </c>
      <c r="L136" t="s">
        <v>438</v>
      </c>
      <c r="M136">
        <v>1</v>
      </c>
      <c r="N136">
        <v>1</v>
      </c>
      <c r="AW136" t="b">
        <v>1</v>
      </c>
      <c r="AX136" t="s">
        <v>2697</v>
      </c>
      <c r="BJ136" t="s">
        <v>685</v>
      </c>
      <c r="BM136" t="str">
        <f>IF(COUNTIFS('在庫使用計画 (ノート全体試算)'!C:C,マスタ_EOLリスト[[#This Row],[製品型番]])=0,"記載なし","")</f>
        <v/>
      </c>
      <c r="BN136" t="str">
        <f>IF(COUNTIFS('在庫使用計画 (一般)'!C:C,マスタ_EOLリスト[[#This Row],[製品型番]])=0,"記載なし","")</f>
        <v/>
      </c>
      <c r="BO136" t="str">
        <f>IF(COUNTIFS('在庫使用計画 (法人)'!C:C,マスタ_EOLリスト[[#This Row],[製品型番]])=0,"記載なし","")</f>
        <v/>
      </c>
      <c r="BP136" t="str">
        <f>IF(COUNTIFS('在庫使用計画 (全体実績+予測）0701'!C:C,マスタ_EOLリスト[[#This Row],[製品型番]])=0,"記載なし","")</f>
        <v/>
      </c>
      <c r="BQ136" t="str">
        <f ca="1">IF(COUNTIFS('在庫使用計画 (計画　予測)'!C:C,マスタ_EOLリスト[[#This Row],[製品型番]])=0,"記載なし","")</f>
        <v>記載なし</v>
      </c>
      <c r="BR136" t="str">
        <f>IF(COUNTIFS(在庫確認!B:B,マスタ_EOLリスト[[#This Row],[製品型番]])=0,"記載なし","")</f>
        <v/>
      </c>
      <c r="BS136" t="e">
        <f>COUNTIF(#REF!,マスタ_EOLリスト[[#This Row],[製品型番]])</f>
        <v>#REF!</v>
      </c>
    </row>
    <row r="137" spans="1:71">
      <c r="A137" t="str">
        <v>F-14RP7S</v>
      </c>
      <c r="B137" t="s">
        <v>147</v>
      </c>
      <c r="C137" t="s">
        <v>539</v>
      </c>
      <c r="D137" t="s">
        <v>691</v>
      </c>
      <c r="E137">
        <v>317565</v>
      </c>
      <c r="F137" t="s">
        <v>699</v>
      </c>
      <c r="G137" t="s">
        <v>687</v>
      </c>
      <c r="H137" t="s">
        <v>693</v>
      </c>
      <c r="I137">
        <v>14</v>
      </c>
      <c r="K137" t="s">
        <v>641</v>
      </c>
      <c r="L137" t="s">
        <v>438</v>
      </c>
      <c r="M137">
        <v>0</v>
      </c>
      <c r="N137">
        <v>0</v>
      </c>
      <c r="AW137" t="b">
        <v>1</v>
      </c>
      <c r="AX137" t="s">
        <v>144</v>
      </c>
      <c r="BJ137" t="s">
        <v>685</v>
      </c>
      <c r="BM137" t="str">
        <f>IF(COUNTIFS('在庫使用計画 (ノート全体試算)'!C:C,マスタ_EOLリスト[[#This Row],[製品型番]])=0,"記載なし","")</f>
        <v/>
      </c>
      <c r="BN137" t="str">
        <f>IF(COUNTIFS('在庫使用計画 (一般)'!C:C,マスタ_EOLリスト[[#This Row],[製品型番]])=0,"記載なし","")</f>
        <v/>
      </c>
      <c r="BO137" t="str">
        <f>IF(COUNTIFS('在庫使用計画 (法人)'!C:C,マスタ_EOLリスト[[#This Row],[製品型番]])=0,"記載なし","")</f>
        <v/>
      </c>
      <c r="BP137" t="str">
        <f>IF(COUNTIFS('在庫使用計画 (全体実績+予測）0701'!C:C,マスタ_EOLリスト[[#This Row],[製品型番]])=0,"記載なし","")</f>
        <v/>
      </c>
      <c r="BQ137" t="str">
        <f ca="1">IF(COUNTIFS('在庫使用計画 (計画　予測)'!C:C,マスタ_EOLリスト[[#This Row],[製品型番]])=0,"記載なし","")</f>
        <v>記載なし</v>
      </c>
      <c r="BR137" t="str">
        <f>IF(COUNTIFS(在庫確認!B:B,マスタ_EOLリスト[[#This Row],[製品型番]])=0,"記載なし","")</f>
        <v/>
      </c>
      <c r="BS137" t="e">
        <f>COUNTIF(#REF!,マスタ_EOLリスト[[#This Row],[製品型番]])</f>
        <v>#REF!</v>
      </c>
    </row>
    <row r="138" spans="1:71">
      <c r="A138" t="str">
        <v>F-14RP7H-B</v>
      </c>
      <c r="B138" t="s">
        <v>147</v>
      </c>
      <c r="C138" t="s">
        <v>539</v>
      </c>
      <c r="D138" t="s">
        <v>700</v>
      </c>
      <c r="E138">
        <v>286429</v>
      </c>
      <c r="F138" t="s">
        <v>701</v>
      </c>
      <c r="G138" t="s">
        <v>687</v>
      </c>
      <c r="H138" t="s">
        <v>702</v>
      </c>
      <c r="I138">
        <v>14</v>
      </c>
      <c r="K138" t="s">
        <v>703</v>
      </c>
      <c r="L138" t="s">
        <v>438</v>
      </c>
      <c r="M138">
        <v>160</v>
      </c>
      <c r="N138">
        <v>160</v>
      </c>
      <c r="P138" t="s">
        <v>689</v>
      </c>
      <c r="AW138" t="b">
        <v>1</v>
      </c>
      <c r="AX138" t="s">
        <v>704</v>
      </c>
      <c r="BJ138" t="s">
        <v>4436</v>
      </c>
      <c r="BM138" t="str">
        <f>IF(COUNTIFS('在庫使用計画 (ノート全体試算)'!C:C,マスタ_EOLリスト[[#This Row],[製品型番]])=0,"記載なし","")</f>
        <v/>
      </c>
      <c r="BN138" t="str">
        <f>IF(COUNTIFS('在庫使用計画 (一般)'!C:C,マスタ_EOLリスト[[#This Row],[製品型番]])=0,"記載なし","")</f>
        <v/>
      </c>
      <c r="BO138" t="str">
        <f>IF(COUNTIFS('在庫使用計画 (法人)'!C:C,マスタ_EOLリスト[[#This Row],[製品型番]])=0,"記載なし","")</f>
        <v/>
      </c>
      <c r="BP138" t="str">
        <f>IF(COUNTIFS('在庫使用計画 (全体実績+予測）0701'!C:C,マスタ_EOLリスト[[#This Row],[製品型番]])=0,"記載なし","")</f>
        <v/>
      </c>
      <c r="BQ138" t="str">
        <f ca="1">IF(COUNTIFS('在庫使用計画 (計画　予測)'!C:C,マスタ_EOLリスト[[#This Row],[製品型番]])=0,"記載なし","")</f>
        <v/>
      </c>
      <c r="BR138" t="str">
        <f>IF(COUNTIFS(在庫確認!B:B,マスタ_EOLリスト[[#This Row],[製品型番]])=0,"記載なし","")</f>
        <v/>
      </c>
      <c r="BS138" t="e">
        <f>COUNTIF(#REF!,マスタ_EOLリスト[[#This Row],[製品型番]])</f>
        <v>#REF!</v>
      </c>
    </row>
    <row r="139" spans="1:71">
      <c r="A139" t="str">
        <v>F-14RP7H-B</v>
      </c>
      <c r="B139" t="s">
        <v>147</v>
      </c>
      <c r="C139" t="s">
        <v>539</v>
      </c>
      <c r="D139" t="s">
        <v>700</v>
      </c>
      <c r="E139">
        <v>317450</v>
      </c>
      <c r="F139" t="s">
        <v>705</v>
      </c>
      <c r="G139" t="s">
        <v>687</v>
      </c>
      <c r="H139" t="s">
        <v>702</v>
      </c>
      <c r="I139">
        <v>14</v>
      </c>
      <c r="K139" t="s">
        <v>703</v>
      </c>
      <c r="L139" t="s">
        <v>438</v>
      </c>
      <c r="M139">
        <v>488</v>
      </c>
      <c r="N139">
        <v>488</v>
      </c>
      <c r="AW139" t="b">
        <v>1</v>
      </c>
      <c r="AX139" t="s">
        <v>706</v>
      </c>
      <c r="BJ139" t="s">
        <v>4436</v>
      </c>
      <c r="BM139" t="str">
        <f>IF(COUNTIFS('在庫使用計画 (ノート全体試算)'!C:C,マスタ_EOLリスト[[#This Row],[製品型番]])=0,"記載なし","")</f>
        <v/>
      </c>
      <c r="BN139" t="str">
        <f>IF(COUNTIFS('在庫使用計画 (一般)'!C:C,マスタ_EOLリスト[[#This Row],[製品型番]])=0,"記載なし","")</f>
        <v/>
      </c>
      <c r="BO139" t="str">
        <f>IF(COUNTIFS('在庫使用計画 (法人)'!C:C,マスタ_EOLリスト[[#This Row],[製品型番]])=0,"記載なし","")</f>
        <v/>
      </c>
      <c r="BP139" t="str">
        <f>IF(COUNTIFS('在庫使用計画 (全体実績+予測）0701'!C:C,マスタ_EOLリスト[[#This Row],[製品型番]])=0,"記載なし","")</f>
        <v/>
      </c>
      <c r="BQ139" t="str">
        <f ca="1">IF(COUNTIFS('在庫使用計画 (計画　予測)'!C:C,マスタ_EOLリスト[[#This Row],[製品型番]])=0,"記載なし","")</f>
        <v/>
      </c>
      <c r="BR139" t="str">
        <f>IF(COUNTIFS(在庫確認!B:B,マスタ_EOLリスト[[#This Row],[製品型番]])=0,"記載なし","")</f>
        <v/>
      </c>
      <c r="BS139" t="e">
        <f>COUNTIF(#REF!,マスタ_EOLリスト[[#This Row],[製品型番]])</f>
        <v>#REF!</v>
      </c>
    </row>
    <row r="140" spans="1:71">
      <c r="A140" t="str">
        <v>F-14RP7F-B</v>
      </c>
      <c r="B140" t="s">
        <v>147</v>
      </c>
      <c r="C140" t="s">
        <v>539</v>
      </c>
      <c r="D140" t="s">
        <v>707</v>
      </c>
      <c r="E140">
        <v>222649</v>
      </c>
      <c r="F140" t="s">
        <v>708</v>
      </c>
      <c r="G140" t="s">
        <v>687</v>
      </c>
      <c r="H140" t="s">
        <v>709</v>
      </c>
      <c r="I140">
        <v>14</v>
      </c>
      <c r="K140" t="s">
        <v>703</v>
      </c>
      <c r="L140" t="s">
        <v>438</v>
      </c>
      <c r="M140">
        <v>63</v>
      </c>
      <c r="N140">
        <v>63</v>
      </c>
      <c r="P140">
        <v>45962</v>
      </c>
      <c r="R140" t="s">
        <v>710</v>
      </c>
      <c r="W140">
        <v>306</v>
      </c>
      <c r="AL140">
        <v>45576</v>
      </c>
      <c r="AM140">
        <v>10</v>
      </c>
      <c r="AW140" t="b">
        <v>1</v>
      </c>
      <c r="AX140" t="s">
        <v>711</v>
      </c>
      <c r="BA140" t="s">
        <v>591</v>
      </c>
      <c r="BB140" t="s">
        <v>170</v>
      </c>
      <c r="BC140" t="s">
        <v>591</v>
      </c>
      <c r="BD140" t="s">
        <v>591</v>
      </c>
      <c r="BJ140" t="s">
        <v>700</v>
      </c>
      <c r="BM140" t="str">
        <f>IF(COUNTIFS('在庫使用計画 (ノート全体試算)'!C:C,マスタ_EOLリスト[[#This Row],[製品型番]])=0,"記載なし","")</f>
        <v/>
      </c>
      <c r="BN140" t="str">
        <f>IF(COUNTIFS('在庫使用計画 (一般)'!C:C,マスタ_EOLリスト[[#This Row],[製品型番]])=0,"記載なし","")</f>
        <v/>
      </c>
      <c r="BO140" t="str">
        <f>IF(COUNTIFS('在庫使用計画 (法人)'!C:C,マスタ_EOLリスト[[#This Row],[製品型番]])=0,"記載なし","")</f>
        <v/>
      </c>
      <c r="BP140" t="str">
        <f>IF(COUNTIFS('在庫使用計画 (全体実績+予測）0701'!C:C,マスタ_EOLリスト[[#This Row],[製品型番]])=0,"記載なし","")</f>
        <v/>
      </c>
      <c r="BQ140" t="str">
        <f ca="1">IF(COUNTIFS('在庫使用計画 (計画　予測)'!C:C,マスタ_EOLリスト[[#This Row],[製品型番]])=0,"記載なし","")</f>
        <v/>
      </c>
      <c r="BR140" t="str">
        <f>IF(COUNTIFS(在庫確認!B:B,マスタ_EOLリスト[[#This Row],[製品型番]])=0,"記載なし","")</f>
        <v/>
      </c>
      <c r="BS140" t="e">
        <f>COUNTIF(#REF!,マスタ_EOLリスト[[#This Row],[製品型番]])</f>
        <v>#REF!</v>
      </c>
    </row>
    <row r="141" spans="1:71">
      <c r="A141" t="str">
        <v>F-14RP7</v>
      </c>
      <c r="B141" t="s">
        <v>142</v>
      </c>
      <c r="C141" t="s">
        <v>539</v>
      </c>
      <c r="D141" t="s">
        <v>712</v>
      </c>
      <c r="E141">
        <v>184059</v>
      </c>
      <c r="F141" t="s">
        <v>713</v>
      </c>
      <c r="G141" t="s">
        <v>687</v>
      </c>
      <c r="H141" t="s">
        <v>714</v>
      </c>
      <c r="I141">
        <v>14</v>
      </c>
      <c r="K141" t="s">
        <v>571</v>
      </c>
      <c r="L141" t="s">
        <v>438</v>
      </c>
      <c r="M141">
        <v>0</v>
      </c>
      <c r="N141">
        <v>0</v>
      </c>
      <c r="P141">
        <v>45148</v>
      </c>
      <c r="W141">
        <v>2130</v>
      </c>
      <c r="AI141" t="s">
        <v>715</v>
      </c>
      <c r="AJ141" t="s">
        <v>716</v>
      </c>
      <c r="AK141">
        <v>184314</v>
      </c>
      <c r="AL141" t="s">
        <v>21</v>
      </c>
      <c r="AM141" t="s">
        <v>21</v>
      </c>
      <c r="AN141" t="s">
        <v>622</v>
      </c>
      <c r="AO141">
        <v>19</v>
      </c>
      <c r="AP141">
        <v>2.37</v>
      </c>
      <c r="AQ141" t="s">
        <v>696</v>
      </c>
      <c r="AU141" t="s">
        <v>547</v>
      </c>
      <c r="AV141" t="s">
        <v>549</v>
      </c>
      <c r="AW141" t="s">
        <v>21</v>
      </c>
      <c r="AX141" t="s">
        <v>144</v>
      </c>
      <c r="BM141" t="str">
        <f>IF(COUNTIFS('在庫使用計画 (ノート全体試算)'!C:C,マスタ_EOLリスト[[#This Row],[製品型番]])=0,"記載なし","")</f>
        <v/>
      </c>
      <c r="BN141" t="str">
        <f>IF(COUNTIFS('在庫使用計画 (一般)'!C:C,マスタ_EOLリスト[[#This Row],[製品型番]])=0,"記載なし","")</f>
        <v/>
      </c>
      <c r="BO141" t="str">
        <f>IF(COUNTIFS('在庫使用計画 (法人)'!C:C,マスタ_EOLリスト[[#This Row],[製品型番]])=0,"記載なし","")</f>
        <v/>
      </c>
      <c r="BP141" t="str">
        <f>IF(COUNTIFS('在庫使用計画 (全体実績+予測）0701'!C:C,マスタ_EOLリスト[[#This Row],[製品型番]])=0,"記載なし","")</f>
        <v/>
      </c>
      <c r="BQ141" t="str">
        <f ca="1">IF(COUNTIFS('在庫使用計画 (計画　予測)'!C:C,マスタ_EOLリスト[[#This Row],[製品型番]])=0,"記載なし","")</f>
        <v>記載なし</v>
      </c>
      <c r="BR141" t="str">
        <f>IF(COUNTIFS(在庫確認!B:B,マスタ_EOLリスト[[#This Row],[製品型番]])=0,"記載なし","")</f>
        <v/>
      </c>
      <c r="BS141" t="e">
        <f>COUNTIF(#REF!,マスタ_EOLリスト[[#This Row],[製品型番]])</f>
        <v>#REF!</v>
      </c>
    </row>
    <row r="142" spans="1:71">
      <c r="A142" t="str">
        <v>F-14RP7</v>
      </c>
      <c r="B142" t="s">
        <v>142</v>
      </c>
      <c r="C142" t="s">
        <v>539</v>
      </c>
      <c r="D142" t="s">
        <v>712</v>
      </c>
      <c r="E142">
        <v>199324</v>
      </c>
      <c r="F142" t="s">
        <v>717</v>
      </c>
      <c r="G142" t="s">
        <v>687</v>
      </c>
      <c r="H142" t="s">
        <v>714</v>
      </c>
      <c r="I142">
        <v>14</v>
      </c>
      <c r="K142" t="s">
        <v>571</v>
      </c>
      <c r="L142" t="s">
        <v>438</v>
      </c>
      <c r="M142">
        <v>0</v>
      </c>
      <c r="N142">
        <v>0</v>
      </c>
      <c r="R142" t="s">
        <v>173</v>
      </c>
      <c r="Z142">
        <v>212292</v>
      </c>
      <c r="AK142">
        <v>202786</v>
      </c>
      <c r="AL142">
        <v>45553</v>
      </c>
      <c r="AM142">
        <v>35</v>
      </c>
      <c r="AN142" t="s">
        <v>622</v>
      </c>
      <c r="AO142">
        <v>19</v>
      </c>
      <c r="AP142">
        <v>2.37</v>
      </c>
      <c r="AQ142" t="s">
        <v>696</v>
      </c>
      <c r="AU142" t="s">
        <v>547</v>
      </c>
      <c r="AV142" t="s">
        <v>549</v>
      </c>
      <c r="AW142" t="s">
        <v>21</v>
      </c>
      <c r="AX142" t="s">
        <v>144</v>
      </c>
      <c r="BM142" t="str">
        <f>IF(COUNTIFS('在庫使用計画 (ノート全体試算)'!C:C,マスタ_EOLリスト[[#This Row],[製品型番]])=0,"記載なし","")</f>
        <v/>
      </c>
      <c r="BN142" t="str">
        <f>IF(COUNTIFS('在庫使用計画 (一般)'!C:C,マスタ_EOLリスト[[#This Row],[製品型番]])=0,"記載なし","")</f>
        <v/>
      </c>
      <c r="BO142" t="str">
        <f>IF(COUNTIFS('在庫使用計画 (法人)'!C:C,マスタ_EOLリスト[[#This Row],[製品型番]])=0,"記載なし","")</f>
        <v/>
      </c>
      <c r="BP142" t="str">
        <f>IF(COUNTIFS('在庫使用計画 (全体実績+予測）0701'!C:C,マスタ_EOLリスト[[#This Row],[製品型番]])=0,"記載なし","")</f>
        <v/>
      </c>
      <c r="BQ142" t="str">
        <f ca="1">IF(COUNTIFS('在庫使用計画 (計画　予測)'!C:C,マスタ_EOLリスト[[#This Row],[製品型番]])=0,"記載なし","")</f>
        <v>記載なし</v>
      </c>
      <c r="BR142" t="str">
        <f>IF(COUNTIFS(在庫確認!B:B,マスタ_EOLリスト[[#This Row],[製品型番]])=0,"記載なし","")</f>
        <v/>
      </c>
      <c r="BS142" t="e">
        <f>COUNTIF(#REF!,マスタ_EOLリスト[[#This Row],[製品型番]])</f>
        <v>#REF!</v>
      </c>
    </row>
    <row r="143" spans="1:71">
      <c r="A143" t="str">
        <v>F-14PN7A</v>
      </c>
      <c r="B143" t="s">
        <v>147</v>
      </c>
      <c r="C143" t="s">
        <v>539</v>
      </c>
      <c r="D143" t="s">
        <v>718</v>
      </c>
      <c r="E143">
        <v>295638</v>
      </c>
      <c r="F143" t="s">
        <v>719</v>
      </c>
      <c r="G143" t="s">
        <v>720</v>
      </c>
      <c r="H143" t="s">
        <v>721</v>
      </c>
      <c r="I143">
        <v>14</v>
      </c>
      <c r="J143" t="s">
        <v>248</v>
      </c>
      <c r="K143" t="s">
        <v>562</v>
      </c>
      <c r="L143" t="s">
        <v>438</v>
      </c>
      <c r="M143">
        <v>301</v>
      </c>
      <c r="N143">
        <v>1001</v>
      </c>
      <c r="P143">
        <v>46049</v>
      </c>
      <c r="Q143" t="s">
        <v>563</v>
      </c>
      <c r="AW143" t="b">
        <v>1</v>
      </c>
      <c r="AX143" t="s">
        <v>722</v>
      </c>
      <c r="BA143" t="s">
        <v>442</v>
      </c>
      <c r="BB143" t="s">
        <v>170</v>
      </c>
      <c r="BC143" t="s">
        <v>442</v>
      </c>
      <c r="BD143" t="s">
        <v>442</v>
      </c>
      <c r="BJ143" t="s">
        <v>253</v>
      </c>
      <c r="BM143" t="str">
        <f>IF(COUNTIFS('在庫使用計画 (ノート全体試算)'!C:C,マスタ_EOLリスト[[#This Row],[製品型番]])=0,"記載なし","")</f>
        <v/>
      </c>
      <c r="BN143" t="str">
        <f>IF(COUNTIFS('在庫使用計画 (一般)'!C:C,マスタ_EOLリスト[[#This Row],[製品型番]])=0,"記載なし","")</f>
        <v/>
      </c>
      <c r="BO143" t="str">
        <f>IF(COUNTIFS('在庫使用計画 (法人)'!C:C,マスタ_EOLリスト[[#This Row],[製品型番]])=0,"記載なし","")</f>
        <v/>
      </c>
      <c r="BP143" t="str">
        <f>IF(COUNTIFS('在庫使用計画 (全体実績+予測）0701'!C:C,マスタ_EOLリスト[[#This Row],[製品型番]])=0,"記載なし","")</f>
        <v/>
      </c>
      <c r="BQ143" t="str">
        <f ca="1">IF(COUNTIFS('在庫使用計画 (計画　予測)'!C:C,マスタ_EOLリスト[[#This Row],[製品型番]])=0,"記載なし","")</f>
        <v/>
      </c>
      <c r="BR143" t="str">
        <f>IF(COUNTIFS(在庫確認!B:B,マスタ_EOLリスト[[#This Row],[製品型番]])=0,"記載なし","")</f>
        <v/>
      </c>
      <c r="BS143" t="e">
        <f>COUNTIF(#REF!,マスタ_EOLリスト[[#This Row],[製品型番]])</f>
        <v>#REF!</v>
      </c>
    </row>
    <row r="144" spans="1:71">
      <c r="A144" t="str">
        <v>F-14PN7A</v>
      </c>
      <c r="B144" t="s">
        <v>147</v>
      </c>
      <c r="C144" t="s">
        <v>539</v>
      </c>
      <c r="D144" t="s">
        <v>718</v>
      </c>
      <c r="E144">
        <v>367379</v>
      </c>
      <c r="F144" t="s">
        <v>723</v>
      </c>
      <c r="G144" t="s">
        <v>720</v>
      </c>
      <c r="H144" t="s">
        <v>721</v>
      </c>
      <c r="I144">
        <v>14</v>
      </c>
      <c r="J144" t="s">
        <v>248</v>
      </c>
      <c r="K144" t="s">
        <v>562</v>
      </c>
      <c r="L144" t="s">
        <v>438</v>
      </c>
      <c r="M144">
        <v>0</v>
      </c>
      <c r="N144">
        <v>0</v>
      </c>
      <c r="P144">
        <v>46049</v>
      </c>
      <c r="Q144" t="s">
        <v>563</v>
      </c>
      <c r="AW144" t="b">
        <v>1</v>
      </c>
      <c r="AX144" t="s">
        <v>144</v>
      </c>
      <c r="BA144" t="s">
        <v>442</v>
      </c>
      <c r="BB144" t="s">
        <v>170</v>
      </c>
      <c r="BC144" t="s">
        <v>442</v>
      </c>
      <c r="BD144" t="s">
        <v>442</v>
      </c>
      <c r="BJ144" t="s">
        <v>253</v>
      </c>
      <c r="BM144" t="str">
        <f>IF(COUNTIFS('在庫使用計画 (ノート全体試算)'!C:C,マスタ_EOLリスト[[#This Row],[製品型番]])=0,"記載なし","")</f>
        <v/>
      </c>
      <c r="BN144" t="str">
        <f>IF(COUNTIFS('在庫使用計画 (一般)'!C:C,マスタ_EOLリスト[[#This Row],[製品型番]])=0,"記載なし","")</f>
        <v/>
      </c>
      <c r="BO144" t="str">
        <f>IF(COUNTIFS('在庫使用計画 (法人)'!C:C,マスタ_EOLリスト[[#This Row],[製品型番]])=0,"記載なし","")</f>
        <v/>
      </c>
      <c r="BP144" t="str">
        <f>IF(COUNTIFS('在庫使用計画 (全体実績+予測）0701'!C:C,マスタ_EOLリスト[[#This Row],[製品型番]])=0,"記載なし","")</f>
        <v/>
      </c>
      <c r="BQ144" t="str">
        <f ca="1">IF(COUNTIFS('在庫使用計画 (計画　予測)'!C:C,マスタ_EOLリスト[[#This Row],[製品型番]])=0,"記載なし","")</f>
        <v/>
      </c>
      <c r="BR144" t="str">
        <f>IF(COUNTIFS(在庫確認!B:B,マスタ_EOLリスト[[#This Row],[製品型番]])=0,"記載なし","")</f>
        <v/>
      </c>
      <c r="BS144" t="e">
        <f>COUNTIF(#REF!,マスタ_EOLリスト[[#This Row],[製品型番]])</f>
        <v>#REF!</v>
      </c>
    </row>
    <row r="145" spans="1:71">
      <c r="A145" t="str">
        <v>F-14LN7LA</v>
      </c>
      <c r="B145" t="s">
        <v>142</v>
      </c>
      <c r="C145" t="s">
        <v>539</v>
      </c>
      <c r="D145" t="s">
        <v>724</v>
      </c>
      <c r="E145">
        <v>203746</v>
      </c>
      <c r="F145" t="s">
        <v>725</v>
      </c>
      <c r="G145" t="s">
        <v>720</v>
      </c>
      <c r="H145" t="s">
        <v>726</v>
      </c>
      <c r="I145">
        <v>14</v>
      </c>
      <c r="J145" t="s">
        <v>248</v>
      </c>
      <c r="K145" t="s">
        <v>554</v>
      </c>
      <c r="L145" t="s">
        <v>438</v>
      </c>
      <c r="M145">
        <v>0</v>
      </c>
      <c r="N145">
        <v>0</v>
      </c>
      <c r="P145">
        <v>45565</v>
      </c>
      <c r="Q145" t="s">
        <v>555</v>
      </c>
      <c r="R145" t="s">
        <v>556</v>
      </c>
      <c r="Z145">
        <v>223058</v>
      </c>
      <c r="AA145" t="s">
        <v>727</v>
      </c>
      <c r="AL145">
        <v>45576</v>
      </c>
      <c r="AM145">
        <v>2</v>
      </c>
      <c r="AN145" t="s">
        <v>547</v>
      </c>
      <c r="AO145">
        <v>20</v>
      </c>
      <c r="AQ145" t="s">
        <v>548</v>
      </c>
      <c r="AU145" t="s">
        <v>547</v>
      </c>
      <c r="AV145" t="s">
        <v>549</v>
      </c>
      <c r="AW145" t="s">
        <v>21</v>
      </c>
      <c r="AX145" t="s">
        <v>144</v>
      </c>
      <c r="BM145" t="str">
        <f>IF(COUNTIFS('在庫使用計画 (ノート全体試算)'!C:C,マスタ_EOLリスト[[#This Row],[製品型番]])=0,"記載なし","")</f>
        <v/>
      </c>
      <c r="BN145" t="str">
        <f>IF(COUNTIFS('在庫使用計画 (一般)'!C:C,マスタ_EOLリスト[[#This Row],[製品型番]])=0,"記載なし","")</f>
        <v/>
      </c>
      <c r="BO145" t="str">
        <f>IF(COUNTIFS('在庫使用計画 (法人)'!C:C,マスタ_EOLリスト[[#This Row],[製品型番]])=0,"記載なし","")</f>
        <v/>
      </c>
      <c r="BP145" t="str">
        <f>IF(COUNTIFS('在庫使用計画 (全体実績+予測）0701'!C:C,マスタ_EOLリスト[[#This Row],[製品型番]])=0,"記載なし","")</f>
        <v/>
      </c>
      <c r="BQ145" t="str">
        <f ca="1">IF(COUNTIFS('在庫使用計画 (計画　予測)'!C:C,マスタ_EOLリスト[[#This Row],[製品型番]])=0,"記載なし","")</f>
        <v/>
      </c>
      <c r="BR145" t="str">
        <f>IF(COUNTIFS(在庫確認!B:B,マスタ_EOLリスト[[#This Row],[製品型番]])=0,"記載なし","")</f>
        <v/>
      </c>
      <c r="BS145" t="e">
        <f>COUNTIF(#REF!,マスタ_EOLリスト[[#This Row],[製品型番]])</f>
        <v>#REF!</v>
      </c>
    </row>
    <row r="146" spans="1:71">
      <c r="A146" t="str">
        <v>F-14LN7LA</v>
      </c>
      <c r="B146" t="s">
        <v>335</v>
      </c>
      <c r="C146" t="s">
        <v>539</v>
      </c>
      <c r="D146" t="s">
        <v>724</v>
      </c>
      <c r="E146">
        <v>223058</v>
      </c>
      <c r="F146" t="s">
        <v>728</v>
      </c>
      <c r="G146" t="s">
        <v>720</v>
      </c>
      <c r="H146" t="s">
        <v>726</v>
      </c>
      <c r="I146">
        <v>14</v>
      </c>
      <c r="J146" t="s">
        <v>248</v>
      </c>
      <c r="K146" t="s">
        <v>554</v>
      </c>
      <c r="L146" t="s">
        <v>438</v>
      </c>
      <c r="M146">
        <v>62</v>
      </c>
      <c r="N146">
        <v>62</v>
      </c>
      <c r="Q146" t="s">
        <v>555</v>
      </c>
      <c r="R146" t="s">
        <v>556</v>
      </c>
      <c r="W146">
        <v>750</v>
      </c>
      <c r="AL146">
        <v>45576</v>
      </c>
      <c r="AM146">
        <v>2</v>
      </c>
      <c r="AN146" t="s">
        <v>547</v>
      </c>
      <c r="AO146">
        <v>20</v>
      </c>
      <c r="AQ146" t="s">
        <v>548</v>
      </c>
      <c r="AU146" t="s">
        <v>547</v>
      </c>
      <c r="AV146" t="s">
        <v>549</v>
      </c>
      <c r="AW146" t="b">
        <v>1</v>
      </c>
      <c r="AX146" t="s">
        <v>729</v>
      </c>
      <c r="BA146" t="s">
        <v>442</v>
      </c>
      <c r="BB146" t="s">
        <v>170</v>
      </c>
      <c r="BC146" t="s">
        <v>442</v>
      </c>
      <c r="BD146" t="s">
        <v>442</v>
      </c>
      <c r="BJ146" t="s">
        <v>730</v>
      </c>
      <c r="BM146" t="str">
        <f>IF(COUNTIFS('在庫使用計画 (ノート全体試算)'!C:C,マスタ_EOLリスト[[#This Row],[製品型番]])=0,"記載なし","")</f>
        <v/>
      </c>
      <c r="BN146" t="str">
        <f>IF(COUNTIFS('在庫使用計画 (一般)'!C:C,マスタ_EOLリスト[[#This Row],[製品型番]])=0,"記載なし","")</f>
        <v/>
      </c>
      <c r="BO146" t="str">
        <f>IF(COUNTIFS('在庫使用計画 (法人)'!C:C,マスタ_EOLリスト[[#This Row],[製品型番]])=0,"記載なし","")</f>
        <v/>
      </c>
      <c r="BP146" t="str">
        <f>IF(COUNTIFS('在庫使用計画 (全体実績+予測）0701'!C:C,マスタ_EOLリスト[[#This Row],[製品型番]])=0,"記載なし","")</f>
        <v/>
      </c>
      <c r="BQ146" t="str">
        <f ca="1">IF(COUNTIFS('在庫使用計画 (計画　予測)'!C:C,マスタ_EOLリスト[[#This Row],[製品型番]])=0,"記載なし","")</f>
        <v/>
      </c>
      <c r="BR146" t="str">
        <f>IF(COUNTIFS(在庫確認!B:B,マスタ_EOLリスト[[#This Row],[製品型番]])=0,"記載なし","")</f>
        <v/>
      </c>
      <c r="BS146" t="e">
        <f>COUNTIF(#REF!,マスタ_EOLリスト[[#This Row],[製品型番]])</f>
        <v>#REF!</v>
      </c>
    </row>
    <row r="147" spans="1:71">
      <c r="A147" t="e">
        <v>#N/A</v>
      </c>
      <c r="B147" t="s">
        <v>142</v>
      </c>
      <c r="C147" t="s">
        <v>539</v>
      </c>
      <c r="D147" t="s">
        <v>731</v>
      </c>
      <c r="E147">
        <v>173423</v>
      </c>
      <c r="F147" t="s">
        <v>732</v>
      </c>
      <c r="H147" t="s">
        <v>21</v>
      </c>
      <c r="M147">
        <v>0</v>
      </c>
      <c r="N147">
        <v>0</v>
      </c>
      <c r="Q147">
        <v>45078</v>
      </c>
      <c r="W147">
        <v>1000</v>
      </c>
      <c r="X147">
        <v>823</v>
      </c>
      <c r="AF147">
        <v>0.82299999999999995</v>
      </c>
      <c r="AL147" t="s">
        <v>21</v>
      </c>
      <c r="AM147" t="s">
        <v>21</v>
      </c>
      <c r="AW147" t="s">
        <v>21</v>
      </c>
      <c r="AX147" t="s">
        <v>144</v>
      </c>
      <c r="BM147" t="str">
        <f>IF(COUNTIFS('在庫使用計画 (ノート全体試算)'!C:C,マスタ_EOLリスト[[#This Row],[製品型番]])=0,"記載なし","")</f>
        <v>記載なし</v>
      </c>
      <c r="BN147" t="str">
        <f>IF(COUNTIFS('在庫使用計画 (一般)'!C:C,マスタ_EOLリスト[[#This Row],[製品型番]])=0,"記載なし","")</f>
        <v>記載なし</v>
      </c>
      <c r="BO147" t="str">
        <f>IF(COUNTIFS('在庫使用計画 (法人)'!C:C,マスタ_EOLリスト[[#This Row],[製品型番]])=0,"記載なし","")</f>
        <v>記載なし</v>
      </c>
      <c r="BP147" t="str">
        <f>IF(COUNTIFS('在庫使用計画 (全体実績+予測）0701'!C:C,マスタ_EOLリスト[[#This Row],[製品型番]])=0,"記載なし","")</f>
        <v>記載なし</v>
      </c>
      <c r="BQ147" t="str">
        <f ca="1">IF(COUNTIFS('在庫使用計画 (計画　予測)'!C:C,マスタ_EOLリスト[[#This Row],[製品型番]])=0,"記載なし","")</f>
        <v>記載なし</v>
      </c>
      <c r="BR147" t="str">
        <f>IF(COUNTIFS(在庫確認!B:B,マスタ_EOLリスト[[#This Row],[製品型番]])=0,"記載なし","")</f>
        <v/>
      </c>
      <c r="BS147" t="e">
        <f>COUNTIF(#REF!,マスタ_EOLリスト[[#This Row],[製品型番]])</f>
        <v>#REF!</v>
      </c>
    </row>
    <row r="148" spans="1:71">
      <c r="A148" t="str">
        <v>F-14RP5V</v>
      </c>
      <c r="B148" t="s">
        <v>147</v>
      </c>
      <c r="C148" t="s">
        <v>539</v>
      </c>
      <c r="D148" t="s">
        <v>733</v>
      </c>
      <c r="E148">
        <v>286433</v>
      </c>
      <c r="F148" t="s">
        <v>734</v>
      </c>
      <c r="G148" t="s">
        <v>687</v>
      </c>
      <c r="H148" t="s">
        <v>735</v>
      </c>
      <c r="I148">
        <v>14</v>
      </c>
      <c r="K148" t="s">
        <v>619</v>
      </c>
      <c r="L148" t="s">
        <v>438</v>
      </c>
      <c r="M148">
        <v>259</v>
      </c>
      <c r="N148">
        <v>259</v>
      </c>
      <c r="P148" t="s">
        <v>736</v>
      </c>
      <c r="AW148" t="b">
        <v>1</v>
      </c>
      <c r="AX148" t="s">
        <v>737</v>
      </c>
      <c r="BJ148" t="s">
        <v>4437</v>
      </c>
      <c r="BM148" t="str">
        <f>IF(COUNTIFS('在庫使用計画 (ノート全体試算)'!C:C,マスタ_EOLリスト[[#This Row],[製品型番]])=0,"記載なし","")</f>
        <v/>
      </c>
      <c r="BN148" t="str">
        <f>IF(COUNTIFS('在庫使用計画 (一般)'!C:C,マスタ_EOLリスト[[#This Row],[製品型番]])=0,"記載なし","")</f>
        <v/>
      </c>
      <c r="BO148" t="str">
        <f>IF(COUNTIFS('在庫使用計画 (法人)'!C:C,マスタ_EOLリスト[[#This Row],[製品型番]])=0,"記載なし","")</f>
        <v/>
      </c>
      <c r="BP148" t="str">
        <f>IF(COUNTIFS('在庫使用計画 (全体実績+予測）0701'!C:C,マスタ_EOLリスト[[#This Row],[製品型番]])=0,"記載なし","")</f>
        <v/>
      </c>
      <c r="BQ148" t="str">
        <f ca="1">IF(COUNTIFS('在庫使用計画 (計画　予測)'!C:C,マスタ_EOLリスト[[#This Row],[製品型番]])=0,"記載なし","")</f>
        <v/>
      </c>
      <c r="BR148" t="str">
        <f>IF(COUNTIFS(在庫確認!B:B,マスタ_EOLリスト[[#This Row],[製品型番]])=0,"記載なし","")</f>
        <v/>
      </c>
      <c r="BS148" t="e">
        <f>COUNTIF(#REF!,マスタ_EOLリスト[[#This Row],[製品型番]])</f>
        <v>#REF!</v>
      </c>
    </row>
    <row r="149" spans="1:71">
      <c r="A149" t="str">
        <v>F-14RP5V</v>
      </c>
      <c r="B149" t="s">
        <v>147</v>
      </c>
      <c r="C149" t="s">
        <v>539</v>
      </c>
      <c r="D149" t="s">
        <v>733</v>
      </c>
      <c r="E149">
        <v>317457</v>
      </c>
      <c r="F149" t="s">
        <v>738</v>
      </c>
      <c r="G149" t="s">
        <v>687</v>
      </c>
      <c r="H149" t="s">
        <v>735</v>
      </c>
      <c r="I149">
        <v>14</v>
      </c>
      <c r="K149" t="s">
        <v>619</v>
      </c>
      <c r="L149" t="s">
        <v>438</v>
      </c>
      <c r="M149">
        <v>0</v>
      </c>
      <c r="N149">
        <v>0</v>
      </c>
      <c r="AW149" t="b">
        <v>1</v>
      </c>
      <c r="AX149" t="s">
        <v>144</v>
      </c>
      <c r="BJ149" t="s">
        <v>4437</v>
      </c>
      <c r="BM149" t="str">
        <f>IF(COUNTIFS('在庫使用計画 (ノート全体試算)'!C:C,マスタ_EOLリスト[[#This Row],[製品型番]])=0,"記載なし","")</f>
        <v/>
      </c>
      <c r="BN149" t="str">
        <f>IF(COUNTIFS('在庫使用計画 (一般)'!C:C,マスタ_EOLリスト[[#This Row],[製品型番]])=0,"記載なし","")</f>
        <v/>
      </c>
      <c r="BO149" t="str">
        <f>IF(COUNTIFS('在庫使用計画 (法人)'!C:C,マスタ_EOLリスト[[#This Row],[製品型番]])=0,"記載なし","")</f>
        <v/>
      </c>
      <c r="BP149" t="str">
        <f>IF(COUNTIFS('在庫使用計画 (全体実績+予測）0701'!C:C,マスタ_EOLリスト[[#This Row],[製品型番]])=0,"記載なし","")</f>
        <v/>
      </c>
      <c r="BQ149" t="str">
        <f ca="1">IF(COUNTIFS('在庫使用計画 (計画　予測)'!C:C,マスタ_EOLリスト[[#This Row],[製品型番]])=0,"記載なし","")</f>
        <v/>
      </c>
      <c r="BR149" t="str">
        <f>IF(COUNTIFS(在庫確認!B:B,マスタ_EOLリスト[[#This Row],[製品型番]])=0,"記載なし","")</f>
        <v/>
      </c>
      <c r="BS149" t="e">
        <f>COUNTIF(#REF!,マスタ_EOLリスト[[#This Row],[製品型番]])</f>
        <v>#REF!</v>
      </c>
    </row>
    <row r="150" spans="1:71">
      <c r="A150" t="str">
        <v>F-14RP5T</v>
      </c>
      <c r="B150" t="s">
        <v>147</v>
      </c>
      <c r="C150" t="s">
        <v>539</v>
      </c>
      <c r="D150" t="s">
        <v>739</v>
      </c>
      <c r="E150">
        <v>217464</v>
      </c>
      <c r="F150" t="s">
        <v>740</v>
      </c>
      <c r="G150" t="s">
        <v>687</v>
      </c>
      <c r="H150" t="s">
        <v>741</v>
      </c>
      <c r="I150">
        <v>14</v>
      </c>
      <c r="K150" t="s">
        <v>641</v>
      </c>
      <c r="L150" t="s">
        <v>438</v>
      </c>
      <c r="M150">
        <v>2</v>
      </c>
      <c r="N150">
        <v>2</v>
      </c>
      <c r="W150">
        <v>1100</v>
      </c>
      <c r="AN150" t="s">
        <v>622</v>
      </c>
      <c r="AO150">
        <v>19</v>
      </c>
      <c r="AP150">
        <v>2.37</v>
      </c>
      <c r="AQ150" t="s">
        <v>696</v>
      </c>
      <c r="AU150" t="s">
        <v>547</v>
      </c>
      <c r="AV150" t="s">
        <v>549</v>
      </c>
      <c r="AW150" t="b">
        <v>1</v>
      </c>
      <c r="AX150" t="s">
        <v>2698</v>
      </c>
      <c r="AZ150" t="s">
        <v>742</v>
      </c>
      <c r="BA150" t="s">
        <v>442</v>
      </c>
      <c r="BB150" t="s">
        <v>170</v>
      </c>
      <c r="BC150" t="s">
        <v>442</v>
      </c>
      <c r="BD150" t="s">
        <v>442</v>
      </c>
      <c r="BJ150" t="s">
        <v>743</v>
      </c>
      <c r="BM150" t="str">
        <f>IF(COUNTIFS('在庫使用計画 (ノート全体試算)'!C:C,マスタ_EOLリスト[[#This Row],[製品型番]])=0,"記載なし","")</f>
        <v/>
      </c>
      <c r="BN150" t="str">
        <f>IF(COUNTIFS('在庫使用計画 (一般)'!C:C,マスタ_EOLリスト[[#This Row],[製品型番]])=0,"記載なし","")</f>
        <v/>
      </c>
      <c r="BO150" t="str">
        <f>IF(COUNTIFS('在庫使用計画 (法人)'!C:C,マスタ_EOLリスト[[#This Row],[製品型番]])=0,"記載なし","")</f>
        <v/>
      </c>
      <c r="BP150" t="str">
        <f>IF(COUNTIFS('在庫使用計画 (全体実績+予測）0701'!C:C,マスタ_EOLリスト[[#This Row],[製品型番]])=0,"記載なし","")</f>
        <v/>
      </c>
      <c r="BQ150" t="str">
        <f ca="1">IF(COUNTIFS('在庫使用計画 (計画　予測)'!C:C,マスタ_EOLリスト[[#This Row],[製品型番]])=0,"記載なし","")</f>
        <v>記載なし</v>
      </c>
      <c r="BR150" t="str">
        <f>IF(COUNTIFS(在庫確認!B:B,マスタ_EOLリスト[[#This Row],[製品型番]])=0,"記載なし","")</f>
        <v/>
      </c>
      <c r="BS150" t="e">
        <f>COUNTIF(#REF!,マスタ_EOLリスト[[#This Row],[製品型番]])</f>
        <v>#REF!</v>
      </c>
    </row>
    <row r="151" spans="1:71">
      <c r="A151" t="str">
        <v>F-14RP5T</v>
      </c>
      <c r="B151" t="s">
        <v>142</v>
      </c>
      <c r="C151" t="s">
        <v>539</v>
      </c>
      <c r="D151" t="s">
        <v>739</v>
      </c>
      <c r="E151">
        <v>223064</v>
      </c>
      <c r="F151" t="s">
        <v>744</v>
      </c>
      <c r="G151" t="s">
        <v>687</v>
      </c>
      <c r="H151" t="s">
        <v>741</v>
      </c>
      <c r="I151">
        <v>14</v>
      </c>
      <c r="K151" t="s">
        <v>641</v>
      </c>
      <c r="L151" t="s">
        <v>438</v>
      </c>
      <c r="M151">
        <v>0</v>
      </c>
      <c r="N151">
        <v>0</v>
      </c>
      <c r="AW151" t="s">
        <v>21</v>
      </c>
      <c r="AX151" t="s">
        <v>144</v>
      </c>
      <c r="BJ151" t="s">
        <v>743</v>
      </c>
      <c r="BM151" t="str">
        <f>IF(COUNTIFS('在庫使用計画 (ノート全体試算)'!C:C,マスタ_EOLリスト[[#This Row],[製品型番]])=0,"記載なし","")</f>
        <v/>
      </c>
      <c r="BN151" t="str">
        <f>IF(COUNTIFS('在庫使用計画 (一般)'!C:C,マスタ_EOLリスト[[#This Row],[製品型番]])=0,"記載なし","")</f>
        <v/>
      </c>
      <c r="BO151" t="str">
        <f>IF(COUNTIFS('在庫使用計画 (法人)'!C:C,マスタ_EOLリスト[[#This Row],[製品型番]])=0,"記載なし","")</f>
        <v/>
      </c>
      <c r="BP151" t="str">
        <f>IF(COUNTIFS('在庫使用計画 (全体実績+予測）0701'!C:C,マスタ_EOLリスト[[#This Row],[製品型番]])=0,"記載なし","")</f>
        <v/>
      </c>
      <c r="BQ151" t="str">
        <f ca="1">IF(COUNTIFS('在庫使用計画 (計画　予測)'!C:C,マスタ_EOLリスト[[#This Row],[製品型番]])=0,"記載なし","")</f>
        <v>記載なし</v>
      </c>
      <c r="BR151" t="str">
        <f>IF(COUNTIFS(在庫確認!B:B,マスタ_EOLリスト[[#This Row],[製品型番]])=0,"記載なし","")</f>
        <v/>
      </c>
      <c r="BS151" t="e">
        <f>COUNTIF(#REF!,マスタ_EOLリスト[[#This Row],[製品型番]])</f>
        <v>#REF!</v>
      </c>
    </row>
    <row r="152" spans="1:71">
      <c r="A152" t="str">
        <v>F-14RP5T</v>
      </c>
      <c r="B152" t="s">
        <v>142</v>
      </c>
      <c r="C152" t="s">
        <v>539</v>
      </c>
      <c r="D152" t="s">
        <v>739</v>
      </c>
      <c r="E152">
        <v>317455</v>
      </c>
      <c r="F152" t="s">
        <v>745</v>
      </c>
      <c r="G152" t="s">
        <v>687</v>
      </c>
      <c r="H152" t="s">
        <v>741</v>
      </c>
      <c r="I152">
        <v>14</v>
      </c>
      <c r="K152" t="s">
        <v>641</v>
      </c>
      <c r="L152" t="s">
        <v>438</v>
      </c>
      <c r="M152">
        <v>0</v>
      </c>
      <c r="N152">
        <v>0</v>
      </c>
      <c r="AW152" t="s">
        <v>21</v>
      </c>
      <c r="AX152" t="s">
        <v>144</v>
      </c>
      <c r="BJ152" t="s">
        <v>743</v>
      </c>
      <c r="BM152" t="str">
        <f>IF(COUNTIFS('在庫使用計画 (ノート全体試算)'!C:C,マスタ_EOLリスト[[#This Row],[製品型番]])=0,"記載なし","")</f>
        <v/>
      </c>
      <c r="BN152" t="str">
        <f>IF(COUNTIFS('在庫使用計画 (一般)'!C:C,マスタ_EOLリスト[[#This Row],[製品型番]])=0,"記載なし","")</f>
        <v/>
      </c>
      <c r="BO152" t="str">
        <f>IF(COUNTIFS('在庫使用計画 (法人)'!C:C,マスタ_EOLリスト[[#This Row],[製品型番]])=0,"記載なし","")</f>
        <v/>
      </c>
      <c r="BP152" t="str">
        <f>IF(COUNTIFS('在庫使用計画 (全体実績+予測）0701'!C:C,マスタ_EOLリスト[[#This Row],[製品型番]])=0,"記載なし","")</f>
        <v/>
      </c>
      <c r="BQ152" t="str">
        <f ca="1">IF(COUNTIFS('在庫使用計画 (計画　予測)'!C:C,マスタ_EOLリスト[[#This Row],[製品型番]])=0,"記載なし","")</f>
        <v>記載なし</v>
      </c>
      <c r="BR152" t="str">
        <f>IF(COUNTIFS(在庫確認!B:B,マスタ_EOLリスト[[#This Row],[製品型番]])=0,"記載なし","")</f>
        <v/>
      </c>
      <c r="BS152" t="e">
        <f>COUNTIF(#REF!,マスタ_EOLリスト[[#This Row],[製品型番]])</f>
        <v>#REF!</v>
      </c>
    </row>
    <row r="153" spans="1:71">
      <c r="A153" t="str">
        <v>F-14RP5S</v>
      </c>
      <c r="B153" t="s">
        <v>142</v>
      </c>
      <c r="C153" t="s">
        <v>539</v>
      </c>
      <c r="D153" t="s">
        <v>746</v>
      </c>
      <c r="E153">
        <v>205923</v>
      </c>
      <c r="F153" t="s">
        <v>747</v>
      </c>
      <c r="G153" t="s">
        <v>687</v>
      </c>
      <c r="H153" t="s">
        <v>748</v>
      </c>
      <c r="I153">
        <v>14</v>
      </c>
      <c r="K153" t="s">
        <v>619</v>
      </c>
      <c r="L153" t="s">
        <v>438</v>
      </c>
      <c r="M153">
        <v>0</v>
      </c>
      <c r="N153">
        <v>0</v>
      </c>
      <c r="R153" t="s">
        <v>749</v>
      </c>
      <c r="Z153" t="s">
        <v>750</v>
      </c>
      <c r="AN153" t="s">
        <v>622</v>
      </c>
      <c r="AO153">
        <v>19</v>
      </c>
      <c r="AP153">
        <v>2.37</v>
      </c>
      <c r="AQ153" t="s">
        <v>696</v>
      </c>
      <c r="AU153" t="s">
        <v>547</v>
      </c>
      <c r="AV153" t="s">
        <v>549</v>
      </c>
      <c r="AW153" t="s">
        <v>21</v>
      </c>
      <c r="AX153" t="s">
        <v>144</v>
      </c>
      <c r="BM153" t="str">
        <f>IF(COUNTIFS('在庫使用計画 (ノート全体試算)'!C:C,マスタ_EOLリスト[[#This Row],[製品型番]])=0,"記載なし","")</f>
        <v/>
      </c>
      <c r="BN153" t="str">
        <f>IF(COUNTIFS('在庫使用計画 (一般)'!C:C,マスタ_EOLリスト[[#This Row],[製品型番]])=0,"記載なし","")</f>
        <v/>
      </c>
      <c r="BO153" t="str">
        <f>IF(COUNTIFS('在庫使用計画 (法人)'!C:C,マスタ_EOLリスト[[#This Row],[製品型番]])=0,"記載なし","")</f>
        <v/>
      </c>
      <c r="BP153" t="str">
        <f>IF(COUNTIFS('在庫使用計画 (全体実績+予測）0701'!C:C,マスタ_EOLリスト[[#This Row],[製品型番]])=0,"記載なし","")</f>
        <v/>
      </c>
      <c r="BQ153" t="str">
        <f ca="1">IF(COUNTIFS('在庫使用計画 (計画　予測)'!C:C,マスタ_EOLリスト[[#This Row],[製品型番]])=0,"記載なし","")</f>
        <v/>
      </c>
      <c r="BR153" t="str">
        <f>IF(COUNTIFS(在庫確認!B:B,マスタ_EOLリスト[[#This Row],[製品型番]])=0,"記載なし","")</f>
        <v/>
      </c>
      <c r="BS153" t="e">
        <f>COUNTIF(#REF!,マスタ_EOLリスト[[#This Row],[製品型番]])</f>
        <v>#REF!</v>
      </c>
    </row>
    <row r="154" spans="1:71">
      <c r="A154" t="str">
        <v>F-14RP5S</v>
      </c>
      <c r="B154" t="s">
        <v>142</v>
      </c>
      <c r="C154" t="s">
        <v>539</v>
      </c>
      <c r="D154" t="s">
        <v>746</v>
      </c>
      <c r="E154">
        <v>210646</v>
      </c>
      <c r="F154" t="s">
        <v>751</v>
      </c>
      <c r="G154" t="s">
        <v>687</v>
      </c>
      <c r="H154" t="s">
        <v>748</v>
      </c>
      <c r="I154">
        <v>14</v>
      </c>
      <c r="K154" t="s">
        <v>619</v>
      </c>
      <c r="L154" t="s">
        <v>438</v>
      </c>
      <c r="M154">
        <v>0</v>
      </c>
      <c r="N154">
        <v>0</v>
      </c>
      <c r="W154">
        <v>5020</v>
      </c>
      <c r="Z154">
        <v>223062</v>
      </c>
      <c r="AA154" t="s">
        <v>752</v>
      </c>
      <c r="AI154">
        <v>217464</v>
      </c>
      <c r="AN154" t="s">
        <v>622</v>
      </c>
      <c r="AO154">
        <v>19</v>
      </c>
      <c r="AP154">
        <v>2.37</v>
      </c>
      <c r="AQ154" t="s">
        <v>696</v>
      </c>
      <c r="AU154" t="s">
        <v>547</v>
      </c>
      <c r="AV154" t="s">
        <v>549</v>
      </c>
      <c r="AW154" t="s">
        <v>21</v>
      </c>
      <c r="AX154" t="s">
        <v>144</v>
      </c>
      <c r="BM154" t="str">
        <f>IF(COUNTIFS('在庫使用計画 (ノート全体試算)'!C:C,マスタ_EOLリスト[[#This Row],[製品型番]])=0,"記載なし","")</f>
        <v/>
      </c>
      <c r="BN154" t="str">
        <f>IF(COUNTIFS('在庫使用計画 (一般)'!C:C,マスタ_EOLリスト[[#This Row],[製品型番]])=0,"記載なし","")</f>
        <v/>
      </c>
      <c r="BO154" t="str">
        <f>IF(COUNTIFS('在庫使用計画 (法人)'!C:C,マスタ_EOLリスト[[#This Row],[製品型番]])=0,"記載なし","")</f>
        <v/>
      </c>
      <c r="BP154" t="str">
        <f>IF(COUNTIFS('在庫使用計画 (全体実績+予測）0701'!C:C,マスタ_EOLリスト[[#This Row],[製品型番]])=0,"記載なし","")</f>
        <v/>
      </c>
      <c r="BQ154" t="str">
        <f ca="1">IF(COUNTIFS('在庫使用計画 (計画　予測)'!C:C,マスタ_EOLリスト[[#This Row],[製品型番]])=0,"記載なし","")</f>
        <v/>
      </c>
      <c r="BR154" t="str">
        <f>IF(COUNTIFS(在庫確認!B:B,マスタ_EOLリスト[[#This Row],[製品型番]])=0,"記載なし","")</f>
        <v/>
      </c>
      <c r="BS154" t="e">
        <f>COUNTIF(#REF!,マスタ_EOLリスト[[#This Row],[製品型番]])</f>
        <v>#REF!</v>
      </c>
    </row>
    <row r="155" spans="1:71">
      <c r="A155" t="str">
        <v>F-14RP5S</v>
      </c>
      <c r="B155" t="s">
        <v>335</v>
      </c>
      <c r="C155" t="s">
        <v>539</v>
      </c>
      <c r="D155" t="s">
        <v>746</v>
      </c>
      <c r="E155">
        <v>223062</v>
      </c>
      <c r="F155" t="s">
        <v>753</v>
      </c>
      <c r="G155" t="s">
        <v>687</v>
      </c>
      <c r="H155" t="s">
        <v>748</v>
      </c>
      <c r="I155">
        <v>14</v>
      </c>
      <c r="K155" t="s">
        <v>619</v>
      </c>
      <c r="L155" t="s">
        <v>438</v>
      </c>
      <c r="M155">
        <v>15</v>
      </c>
      <c r="N155">
        <v>15</v>
      </c>
      <c r="R155" t="s">
        <v>754</v>
      </c>
      <c r="AN155" t="s">
        <v>622</v>
      </c>
      <c r="AO155">
        <v>19</v>
      </c>
      <c r="AP155">
        <v>2.37</v>
      </c>
      <c r="AQ155" t="s">
        <v>696</v>
      </c>
      <c r="AU155" t="s">
        <v>547</v>
      </c>
      <c r="AV155" t="s">
        <v>549</v>
      </c>
      <c r="AW155" t="b">
        <v>1</v>
      </c>
      <c r="AX155" t="s">
        <v>755</v>
      </c>
      <c r="BJ155" t="s">
        <v>739</v>
      </c>
      <c r="BM155" t="str">
        <f>IF(COUNTIFS('在庫使用計画 (ノート全体試算)'!C:C,マスタ_EOLリスト[[#This Row],[製品型番]])=0,"記載なし","")</f>
        <v/>
      </c>
      <c r="BN155" t="str">
        <f>IF(COUNTIFS('在庫使用計画 (一般)'!C:C,マスタ_EOLリスト[[#This Row],[製品型番]])=0,"記載なし","")</f>
        <v/>
      </c>
      <c r="BO155" t="str">
        <f>IF(COUNTIFS('在庫使用計画 (法人)'!C:C,マスタ_EOLリスト[[#This Row],[製品型番]])=0,"記載なし","")</f>
        <v/>
      </c>
      <c r="BP155" t="str">
        <f>IF(COUNTIFS('在庫使用計画 (全体実績+予測）0701'!C:C,マスタ_EOLリスト[[#This Row],[製品型番]])=0,"記載なし","")</f>
        <v/>
      </c>
      <c r="BQ155" t="str">
        <f ca="1">IF(COUNTIFS('在庫使用計画 (計画　予測)'!C:C,マスタ_EOLリスト[[#This Row],[製品型番]])=0,"記載なし","")</f>
        <v/>
      </c>
      <c r="BR155" t="str">
        <f>IF(COUNTIFS(在庫確認!B:B,マスタ_EOLリスト[[#This Row],[製品型番]])=0,"記載なし","")</f>
        <v/>
      </c>
      <c r="BS155" t="e">
        <f>COUNTIF(#REF!,マスタ_EOLリスト[[#This Row],[製品型番]])</f>
        <v>#REF!</v>
      </c>
    </row>
    <row r="156" spans="1:71">
      <c r="A156" t="str">
        <v>F-14RP5H-B</v>
      </c>
      <c r="B156" t="s">
        <v>147</v>
      </c>
      <c r="C156" t="s">
        <v>539</v>
      </c>
      <c r="D156" t="s">
        <v>756</v>
      </c>
      <c r="E156">
        <v>286431</v>
      </c>
      <c r="F156" t="s">
        <v>757</v>
      </c>
      <c r="G156" t="s">
        <v>687</v>
      </c>
      <c r="H156" t="s">
        <v>758</v>
      </c>
      <c r="I156">
        <v>14</v>
      </c>
      <c r="K156" t="s">
        <v>759</v>
      </c>
      <c r="M156">
        <v>1460</v>
      </c>
      <c r="N156">
        <v>1460</v>
      </c>
      <c r="P156" t="s">
        <v>760</v>
      </c>
      <c r="AW156" t="b">
        <v>1</v>
      </c>
      <c r="AX156" t="s">
        <v>761</v>
      </c>
      <c r="BJ156" t="s">
        <v>4437</v>
      </c>
      <c r="BM156" t="str">
        <f>IF(COUNTIFS('在庫使用計画 (ノート全体試算)'!C:C,マスタ_EOLリスト[[#This Row],[製品型番]])=0,"記載なし","")</f>
        <v/>
      </c>
      <c r="BN156" t="str">
        <f>IF(COUNTIFS('在庫使用計画 (一般)'!C:C,マスタ_EOLリスト[[#This Row],[製品型番]])=0,"記載なし","")</f>
        <v/>
      </c>
      <c r="BO156" t="str">
        <f>IF(COUNTIFS('在庫使用計画 (法人)'!C:C,マスタ_EOLリスト[[#This Row],[製品型番]])=0,"記載なし","")</f>
        <v/>
      </c>
      <c r="BP156" t="str">
        <f>IF(COUNTIFS('在庫使用計画 (全体実績+予測）0701'!C:C,マスタ_EOLリスト[[#This Row],[製品型番]])=0,"記載なし","")</f>
        <v/>
      </c>
      <c r="BQ156" t="str">
        <f ca="1">IF(COUNTIFS('在庫使用計画 (計画　予測)'!C:C,マスタ_EOLリスト[[#This Row],[製品型番]])=0,"記載なし","")</f>
        <v/>
      </c>
      <c r="BR156" t="str">
        <f>IF(COUNTIFS(在庫確認!B:B,マスタ_EOLリスト[[#This Row],[製品型番]])=0,"記載なし","")</f>
        <v/>
      </c>
      <c r="BS156" t="e">
        <f>COUNTIF(#REF!,マスタ_EOLリスト[[#This Row],[製品型番]])</f>
        <v>#REF!</v>
      </c>
    </row>
    <row r="157" spans="1:71">
      <c r="A157" t="str">
        <v>F-14RP5H-B</v>
      </c>
      <c r="B157" t="s">
        <v>147</v>
      </c>
      <c r="C157" t="s">
        <v>539</v>
      </c>
      <c r="D157" t="s">
        <v>756</v>
      </c>
      <c r="E157">
        <v>317451</v>
      </c>
      <c r="F157" t="s">
        <v>762</v>
      </c>
      <c r="G157" t="s">
        <v>687</v>
      </c>
      <c r="H157" t="s">
        <v>758</v>
      </c>
      <c r="I157">
        <v>14</v>
      </c>
      <c r="K157" t="s">
        <v>759</v>
      </c>
      <c r="M157">
        <v>0</v>
      </c>
      <c r="N157">
        <v>0</v>
      </c>
      <c r="AW157" t="b">
        <v>1</v>
      </c>
      <c r="AX157" t="s">
        <v>144</v>
      </c>
      <c r="BJ157" t="s">
        <v>4437</v>
      </c>
      <c r="BM157" t="str">
        <f>IF(COUNTIFS('在庫使用計画 (ノート全体試算)'!C:C,マスタ_EOLリスト[[#This Row],[製品型番]])=0,"記載なし","")</f>
        <v/>
      </c>
      <c r="BN157" t="str">
        <f>IF(COUNTIFS('在庫使用計画 (一般)'!C:C,マスタ_EOLリスト[[#This Row],[製品型番]])=0,"記載なし","")</f>
        <v/>
      </c>
      <c r="BO157" t="str">
        <f>IF(COUNTIFS('在庫使用計画 (法人)'!C:C,マスタ_EOLリスト[[#This Row],[製品型番]])=0,"記載なし","")</f>
        <v/>
      </c>
      <c r="BP157" t="str">
        <f>IF(COUNTIFS('在庫使用計画 (全体実績+予測）0701'!C:C,マスタ_EOLリスト[[#This Row],[製品型番]])=0,"記載なし","")</f>
        <v/>
      </c>
      <c r="BQ157" t="str">
        <f ca="1">IF(COUNTIFS('在庫使用計画 (計画　予測)'!C:C,マスタ_EOLリスト[[#This Row],[製品型番]])=0,"記載なし","")</f>
        <v/>
      </c>
      <c r="BR157" t="str">
        <f>IF(COUNTIFS(在庫確認!B:B,マスタ_EOLリスト[[#This Row],[製品型番]])=0,"記載なし","")</f>
        <v/>
      </c>
      <c r="BS157" t="e">
        <f>COUNTIF(#REF!,マスタ_EOLリスト[[#This Row],[製品型番]])</f>
        <v>#REF!</v>
      </c>
    </row>
    <row r="158" spans="1:71">
      <c r="A158" t="str">
        <v>F-14RP5F-B</v>
      </c>
      <c r="B158" t="s">
        <v>147</v>
      </c>
      <c r="C158" t="s">
        <v>539</v>
      </c>
      <c r="D158" t="s">
        <v>763</v>
      </c>
      <c r="E158">
        <v>222650</v>
      </c>
      <c r="F158" t="s">
        <v>764</v>
      </c>
      <c r="G158" t="s">
        <v>687</v>
      </c>
      <c r="H158" t="s">
        <v>765</v>
      </c>
      <c r="I158">
        <v>14</v>
      </c>
      <c r="K158" t="s">
        <v>759</v>
      </c>
      <c r="L158" t="s">
        <v>438</v>
      </c>
      <c r="M158">
        <v>362</v>
      </c>
      <c r="N158">
        <v>362</v>
      </c>
      <c r="P158">
        <v>45962</v>
      </c>
      <c r="R158" t="s">
        <v>710</v>
      </c>
      <c r="AL158">
        <v>45576</v>
      </c>
      <c r="AM158">
        <v>10</v>
      </c>
      <c r="AW158" t="b">
        <v>1</v>
      </c>
      <c r="AX158" t="s">
        <v>766</v>
      </c>
      <c r="BJ158" t="s">
        <v>756</v>
      </c>
      <c r="BM158" t="str">
        <f>IF(COUNTIFS('在庫使用計画 (ノート全体試算)'!C:C,マスタ_EOLリスト[[#This Row],[製品型番]])=0,"記載なし","")</f>
        <v/>
      </c>
      <c r="BN158" t="str">
        <f>IF(COUNTIFS('在庫使用計画 (一般)'!C:C,マスタ_EOLリスト[[#This Row],[製品型番]])=0,"記載なし","")</f>
        <v/>
      </c>
      <c r="BO158" t="str">
        <f>IF(COUNTIFS('在庫使用計画 (法人)'!C:C,マスタ_EOLリスト[[#This Row],[製品型番]])=0,"記載なし","")</f>
        <v/>
      </c>
      <c r="BP158" t="str">
        <f>IF(COUNTIFS('在庫使用計画 (全体実績+予測）0701'!C:C,マスタ_EOLリスト[[#This Row],[製品型番]])=0,"記載なし","")</f>
        <v/>
      </c>
      <c r="BQ158" t="str">
        <f ca="1">IF(COUNTIFS('在庫使用計画 (計画　予測)'!C:C,マスタ_EOLリスト[[#This Row],[製品型番]])=0,"記載なし","")</f>
        <v/>
      </c>
      <c r="BR158" t="str">
        <f>IF(COUNTIFS(在庫確認!B:B,マスタ_EOLリスト[[#This Row],[製品型番]])=0,"記載なし","")</f>
        <v/>
      </c>
      <c r="BS158" t="e">
        <f>COUNTIF(#REF!,マスタ_EOLリスト[[#This Row],[製品型番]])</f>
        <v>#REF!</v>
      </c>
    </row>
    <row r="159" spans="1:71">
      <c r="A159" t="str">
        <v>F-14RP5</v>
      </c>
      <c r="B159" t="s">
        <v>142</v>
      </c>
      <c r="C159" t="s">
        <v>539</v>
      </c>
      <c r="D159" t="s">
        <v>767</v>
      </c>
      <c r="E159">
        <v>184060</v>
      </c>
      <c r="F159" t="s">
        <v>768</v>
      </c>
      <c r="G159" t="s">
        <v>687</v>
      </c>
      <c r="H159" t="s">
        <v>769</v>
      </c>
      <c r="I159">
        <v>14</v>
      </c>
      <c r="K159" t="s">
        <v>641</v>
      </c>
      <c r="L159" t="s">
        <v>438</v>
      </c>
      <c r="M159">
        <v>0</v>
      </c>
      <c r="N159">
        <v>0</v>
      </c>
      <c r="P159">
        <v>45148</v>
      </c>
      <c r="W159">
        <v>4230</v>
      </c>
      <c r="Z159">
        <v>210646</v>
      </c>
      <c r="AK159">
        <v>184315</v>
      </c>
      <c r="AL159" t="s">
        <v>21</v>
      </c>
      <c r="AM159" t="s">
        <v>21</v>
      </c>
      <c r="AN159" t="s">
        <v>622</v>
      </c>
      <c r="AO159">
        <v>19</v>
      </c>
      <c r="AP159">
        <v>2.37</v>
      </c>
      <c r="AQ159" t="s">
        <v>696</v>
      </c>
      <c r="AU159" t="s">
        <v>547</v>
      </c>
      <c r="AV159" t="s">
        <v>549</v>
      </c>
      <c r="AW159" t="s">
        <v>21</v>
      </c>
      <c r="AX159" t="s">
        <v>144</v>
      </c>
      <c r="BM159" t="str">
        <f>IF(COUNTIFS('在庫使用計画 (ノート全体試算)'!C:C,マスタ_EOLリスト[[#This Row],[製品型番]])=0,"記載なし","")</f>
        <v/>
      </c>
      <c r="BN159" t="str">
        <f>IF(COUNTIFS('在庫使用計画 (一般)'!C:C,マスタ_EOLリスト[[#This Row],[製品型番]])=0,"記載なし","")</f>
        <v/>
      </c>
      <c r="BO159" t="str">
        <f>IF(COUNTIFS('在庫使用計画 (法人)'!C:C,マスタ_EOLリスト[[#This Row],[製品型番]])=0,"記載なし","")</f>
        <v/>
      </c>
      <c r="BP159" t="str">
        <f>IF(COUNTIFS('在庫使用計画 (全体実績+予測）0701'!C:C,マスタ_EOLリスト[[#This Row],[製品型番]])=0,"記載なし","")</f>
        <v>記載なし</v>
      </c>
      <c r="BQ159" t="str">
        <f ca="1">IF(COUNTIFS('在庫使用計画 (計画　予測)'!C:C,マスタ_EOLリスト[[#This Row],[製品型番]])=0,"記載なし","")</f>
        <v>記載なし</v>
      </c>
      <c r="BR159" t="str">
        <f>IF(COUNTIFS(在庫確認!B:B,マスタ_EOLリスト[[#This Row],[製品型番]])=0,"記載なし","")</f>
        <v/>
      </c>
      <c r="BS159" t="e">
        <f>COUNTIF(#REF!,マスタ_EOLリスト[[#This Row],[製品型番]])</f>
        <v>#REF!</v>
      </c>
    </row>
    <row r="160" spans="1:71">
      <c r="A160" t="str">
        <v>F-14RP5</v>
      </c>
      <c r="B160" t="s">
        <v>142</v>
      </c>
      <c r="C160" t="s">
        <v>539</v>
      </c>
      <c r="D160" t="s">
        <v>767</v>
      </c>
      <c r="E160">
        <v>199326</v>
      </c>
      <c r="F160" t="s">
        <v>770</v>
      </c>
      <c r="G160" t="s">
        <v>687</v>
      </c>
      <c r="H160" t="s">
        <v>769</v>
      </c>
      <c r="I160">
        <v>14</v>
      </c>
      <c r="K160" t="s">
        <v>641</v>
      </c>
      <c r="L160" t="s">
        <v>438</v>
      </c>
      <c r="M160">
        <v>0</v>
      </c>
      <c r="N160">
        <v>0</v>
      </c>
      <c r="R160" t="s">
        <v>173</v>
      </c>
      <c r="Z160" t="s">
        <v>750</v>
      </c>
      <c r="AK160">
        <v>202785</v>
      </c>
      <c r="AL160">
        <v>45530</v>
      </c>
      <c r="AM160">
        <v>240</v>
      </c>
      <c r="AN160" t="s">
        <v>622</v>
      </c>
      <c r="AO160">
        <v>19</v>
      </c>
      <c r="AP160">
        <v>2.37</v>
      </c>
      <c r="AQ160" t="s">
        <v>696</v>
      </c>
      <c r="AU160" t="s">
        <v>547</v>
      </c>
      <c r="AV160" t="s">
        <v>549</v>
      </c>
      <c r="AW160" t="s">
        <v>21</v>
      </c>
      <c r="AX160" t="s">
        <v>144</v>
      </c>
      <c r="BM160" t="str">
        <f>IF(COUNTIFS('在庫使用計画 (ノート全体試算)'!C:C,マスタ_EOLリスト[[#This Row],[製品型番]])=0,"記載なし","")</f>
        <v/>
      </c>
      <c r="BN160" t="str">
        <f>IF(COUNTIFS('在庫使用計画 (一般)'!C:C,マスタ_EOLリスト[[#This Row],[製品型番]])=0,"記載なし","")</f>
        <v/>
      </c>
      <c r="BO160" t="str">
        <f>IF(COUNTIFS('在庫使用計画 (法人)'!C:C,マスタ_EOLリスト[[#This Row],[製品型番]])=0,"記載なし","")</f>
        <v/>
      </c>
      <c r="BP160" t="str">
        <f>IF(COUNTIFS('在庫使用計画 (全体実績+予測）0701'!C:C,マスタ_EOLリスト[[#This Row],[製品型番]])=0,"記載なし","")</f>
        <v>記載なし</v>
      </c>
      <c r="BQ160" t="str">
        <f ca="1">IF(COUNTIFS('在庫使用計画 (計画　予測)'!C:C,マスタ_EOLリスト[[#This Row],[製品型番]])=0,"記載なし","")</f>
        <v>記載なし</v>
      </c>
      <c r="BR160" t="str">
        <f>IF(COUNTIFS(在庫確認!B:B,マスタ_EOLリスト[[#This Row],[製品型番]])=0,"記載なし","")</f>
        <v/>
      </c>
      <c r="BS160" t="e">
        <f>COUNTIF(#REF!,マスタ_EOLリスト[[#This Row],[製品型番]])</f>
        <v>#REF!</v>
      </c>
    </row>
    <row r="161" spans="1:71">
      <c r="A161" t="str">
        <v>F-14PN5A</v>
      </c>
      <c r="B161" t="s">
        <v>147</v>
      </c>
      <c r="C161" t="s">
        <v>539</v>
      </c>
      <c r="D161" t="s">
        <v>771</v>
      </c>
      <c r="E161">
        <v>295640</v>
      </c>
      <c r="F161" t="s">
        <v>772</v>
      </c>
      <c r="G161" t="s">
        <v>720</v>
      </c>
      <c r="H161" t="s">
        <v>773</v>
      </c>
      <c r="I161">
        <v>14</v>
      </c>
      <c r="J161" t="s">
        <v>248</v>
      </c>
      <c r="K161" t="s">
        <v>774</v>
      </c>
      <c r="L161" t="s">
        <v>438</v>
      </c>
      <c r="M161">
        <v>247</v>
      </c>
      <c r="N161">
        <v>1247</v>
      </c>
      <c r="P161">
        <v>46049</v>
      </c>
      <c r="Q161" t="s">
        <v>563</v>
      </c>
      <c r="AW161" t="b">
        <v>1</v>
      </c>
      <c r="AX161" t="s">
        <v>775</v>
      </c>
      <c r="BA161" t="s">
        <v>442</v>
      </c>
      <c r="BB161" t="s">
        <v>170</v>
      </c>
      <c r="BC161" t="s">
        <v>442</v>
      </c>
      <c r="BD161" t="s">
        <v>442</v>
      </c>
      <c r="BJ161" t="s">
        <v>253</v>
      </c>
      <c r="BM161" t="str">
        <f>IF(COUNTIFS('在庫使用計画 (ノート全体試算)'!C:C,マスタ_EOLリスト[[#This Row],[製品型番]])=0,"記載なし","")</f>
        <v/>
      </c>
      <c r="BN161" t="str">
        <f>IF(COUNTIFS('在庫使用計画 (一般)'!C:C,マスタ_EOLリスト[[#This Row],[製品型番]])=0,"記載なし","")</f>
        <v/>
      </c>
      <c r="BO161" t="str">
        <f>IF(COUNTIFS('在庫使用計画 (法人)'!C:C,マスタ_EOLリスト[[#This Row],[製品型番]])=0,"記載なし","")</f>
        <v/>
      </c>
      <c r="BP161" t="str">
        <f>IF(COUNTIFS('在庫使用計画 (全体実績+予測）0701'!C:C,マスタ_EOLリスト[[#This Row],[製品型番]])=0,"記載なし","")</f>
        <v/>
      </c>
      <c r="BQ161" t="str">
        <f ca="1">IF(COUNTIFS('在庫使用計画 (計画　予測)'!C:C,マスタ_EOLリスト[[#This Row],[製品型番]])=0,"記載なし","")</f>
        <v/>
      </c>
      <c r="BR161" t="str">
        <f>IF(COUNTIFS(在庫確認!B:B,マスタ_EOLリスト[[#This Row],[製品型番]])=0,"記載なし","")</f>
        <v/>
      </c>
      <c r="BS161" t="e">
        <f>COUNTIF(#REF!,マスタ_EOLリスト[[#This Row],[製品型番]])</f>
        <v>#REF!</v>
      </c>
    </row>
    <row r="162" spans="1:71">
      <c r="A162" t="str">
        <v>F-14PN5A</v>
      </c>
      <c r="B162" t="s">
        <v>147</v>
      </c>
      <c r="C162" t="s">
        <v>539</v>
      </c>
      <c r="D162" t="s">
        <v>771</v>
      </c>
      <c r="E162">
        <v>367380</v>
      </c>
      <c r="F162" t="s">
        <v>776</v>
      </c>
      <c r="G162" t="s">
        <v>720</v>
      </c>
      <c r="H162" t="s">
        <v>773</v>
      </c>
      <c r="I162">
        <v>14</v>
      </c>
      <c r="J162" t="s">
        <v>248</v>
      </c>
      <c r="K162" t="s">
        <v>774</v>
      </c>
      <c r="L162" t="s">
        <v>438</v>
      </c>
      <c r="M162">
        <v>0</v>
      </c>
      <c r="N162">
        <v>0</v>
      </c>
      <c r="P162">
        <v>46049</v>
      </c>
      <c r="Q162" t="s">
        <v>563</v>
      </c>
      <c r="AW162" t="b">
        <v>1</v>
      </c>
      <c r="AX162" t="s">
        <v>144</v>
      </c>
      <c r="BA162" t="s">
        <v>442</v>
      </c>
      <c r="BB162" t="s">
        <v>170</v>
      </c>
      <c r="BC162" t="s">
        <v>442</v>
      </c>
      <c r="BD162" t="s">
        <v>442</v>
      </c>
      <c r="BJ162" t="s">
        <v>253</v>
      </c>
      <c r="BM162" t="str">
        <f>IF(COUNTIFS('在庫使用計画 (ノート全体試算)'!C:C,マスタ_EOLリスト[[#This Row],[製品型番]])=0,"記載なし","")</f>
        <v/>
      </c>
      <c r="BN162" t="str">
        <f>IF(COUNTIFS('在庫使用計画 (一般)'!C:C,マスタ_EOLリスト[[#This Row],[製品型番]])=0,"記載なし","")</f>
        <v/>
      </c>
      <c r="BO162" t="str">
        <f>IF(COUNTIFS('在庫使用計画 (法人)'!C:C,マスタ_EOLリスト[[#This Row],[製品型番]])=0,"記載なし","")</f>
        <v/>
      </c>
      <c r="BP162" t="str">
        <f>IF(COUNTIFS('在庫使用計画 (全体実績+予測）0701'!C:C,マスタ_EOLリスト[[#This Row],[製品型番]])=0,"記載なし","")</f>
        <v/>
      </c>
      <c r="BQ162" t="str">
        <f ca="1">IF(COUNTIFS('在庫使用計画 (計画　予測)'!C:C,マスタ_EOLリスト[[#This Row],[製品型番]])=0,"記載なし","")</f>
        <v/>
      </c>
      <c r="BR162" t="str">
        <f>IF(COUNTIFS(在庫確認!B:B,マスタ_EOLリスト[[#This Row],[製品型番]])=0,"記載なし","")</f>
        <v/>
      </c>
      <c r="BS162" t="e">
        <f>COUNTIF(#REF!,マスタ_EOLリスト[[#This Row],[製品型番]])</f>
        <v>#REF!</v>
      </c>
    </row>
    <row r="163" spans="1:71">
      <c r="A163" t="str">
        <v>F-14LN5LA-228V</v>
      </c>
      <c r="B163" t="s">
        <v>142</v>
      </c>
      <c r="C163" t="s">
        <v>539</v>
      </c>
      <c r="D163" t="s">
        <v>777</v>
      </c>
      <c r="E163">
        <v>205919</v>
      </c>
      <c r="F163" t="s">
        <v>778</v>
      </c>
      <c r="G163" t="s">
        <v>720</v>
      </c>
      <c r="H163" t="s">
        <v>779</v>
      </c>
      <c r="I163">
        <v>14</v>
      </c>
      <c r="J163" t="s">
        <v>248</v>
      </c>
      <c r="K163" t="s">
        <v>631</v>
      </c>
      <c r="L163" t="s">
        <v>438</v>
      </c>
      <c r="M163">
        <v>0</v>
      </c>
      <c r="N163">
        <v>0</v>
      </c>
      <c r="W163">
        <v>698</v>
      </c>
      <c r="AN163" t="s">
        <v>547</v>
      </c>
      <c r="AO163">
        <v>20</v>
      </c>
      <c r="AQ163" t="s">
        <v>548</v>
      </c>
      <c r="AU163" t="s">
        <v>547</v>
      </c>
      <c r="AV163" t="s">
        <v>549</v>
      </c>
      <c r="AW163" t="s">
        <v>21</v>
      </c>
      <c r="AX163" t="s">
        <v>144</v>
      </c>
      <c r="BA163" t="s">
        <v>442</v>
      </c>
      <c r="BB163" t="s">
        <v>170</v>
      </c>
      <c r="BC163" t="s">
        <v>442</v>
      </c>
      <c r="BD163" t="s">
        <v>442</v>
      </c>
      <c r="BJ163" t="s">
        <v>780</v>
      </c>
      <c r="BM163" t="str">
        <f>IF(COUNTIFS('在庫使用計画 (ノート全体試算)'!C:C,マスタ_EOLリスト[[#This Row],[製品型番]])=0,"記載なし","")</f>
        <v/>
      </c>
      <c r="BN163" t="str">
        <f>IF(COUNTIFS('在庫使用計画 (一般)'!C:C,マスタ_EOLリスト[[#This Row],[製品型番]])=0,"記載なし","")</f>
        <v/>
      </c>
      <c r="BO163" t="str">
        <f>IF(COUNTIFS('在庫使用計画 (法人)'!C:C,マスタ_EOLリスト[[#This Row],[製品型番]])=0,"記載なし","")</f>
        <v/>
      </c>
      <c r="BP163" t="str">
        <f>IF(COUNTIFS('在庫使用計画 (全体実績+予測）0701'!C:C,マスタ_EOLリスト[[#This Row],[製品型番]])=0,"記載なし","")</f>
        <v/>
      </c>
      <c r="BQ163" t="str">
        <f ca="1">IF(COUNTIFS('在庫使用計画 (計画　予測)'!C:C,マスタ_EOLリスト[[#This Row],[製品型番]])=0,"記載なし","")</f>
        <v>記載なし</v>
      </c>
      <c r="BR163" t="str">
        <f>IF(COUNTIFS(在庫確認!B:B,マスタ_EOLリスト[[#This Row],[製品型番]])=0,"記載なし","")</f>
        <v/>
      </c>
      <c r="BS163" t="e">
        <f>COUNTIF(#REF!,マスタ_EOLリスト[[#This Row],[製品型番]])</f>
        <v>#REF!</v>
      </c>
    </row>
    <row r="164" spans="1:71">
      <c r="A164" t="str">
        <v>F-14LN5LA</v>
      </c>
      <c r="B164" t="s">
        <v>142</v>
      </c>
      <c r="C164" t="s">
        <v>539</v>
      </c>
      <c r="D164" t="s">
        <v>781</v>
      </c>
      <c r="E164">
        <v>203750</v>
      </c>
      <c r="F164" t="s">
        <v>782</v>
      </c>
      <c r="G164" t="s">
        <v>720</v>
      </c>
      <c r="H164" t="s">
        <v>783</v>
      </c>
      <c r="I164">
        <v>14</v>
      </c>
      <c r="J164" t="s">
        <v>248</v>
      </c>
      <c r="K164" t="s">
        <v>784</v>
      </c>
      <c r="L164" t="s">
        <v>438</v>
      </c>
      <c r="M164">
        <v>0</v>
      </c>
      <c r="N164">
        <v>0</v>
      </c>
      <c r="P164">
        <v>45565</v>
      </c>
      <c r="Q164" t="s">
        <v>555</v>
      </c>
      <c r="R164" t="s">
        <v>556</v>
      </c>
      <c r="W164">
        <v>1400</v>
      </c>
      <c r="Z164">
        <v>223057</v>
      </c>
      <c r="AA164" t="s">
        <v>727</v>
      </c>
      <c r="AL164">
        <v>45576</v>
      </c>
      <c r="AM164">
        <v>2</v>
      </c>
      <c r="AN164" t="s">
        <v>547</v>
      </c>
      <c r="AO164">
        <v>20</v>
      </c>
      <c r="AQ164" t="s">
        <v>548</v>
      </c>
      <c r="AU164" t="s">
        <v>547</v>
      </c>
      <c r="AV164" t="s">
        <v>549</v>
      </c>
      <c r="AW164" t="s">
        <v>21</v>
      </c>
      <c r="AX164" t="s">
        <v>144</v>
      </c>
      <c r="BA164" t="s">
        <v>442</v>
      </c>
      <c r="BB164" t="s">
        <v>170</v>
      </c>
      <c r="BC164" t="s">
        <v>442</v>
      </c>
      <c r="BD164" t="s">
        <v>442</v>
      </c>
      <c r="BM164" t="str">
        <f>IF(COUNTIFS('在庫使用計画 (ノート全体試算)'!C:C,マスタ_EOLリスト[[#This Row],[製品型番]])=0,"記載なし","")</f>
        <v/>
      </c>
      <c r="BN164" t="str">
        <f>IF(COUNTIFS('在庫使用計画 (一般)'!C:C,マスタ_EOLリスト[[#This Row],[製品型番]])=0,"記載なし","")</f>
        <v/>
      </c>
      <c r="BO164" t="str">
        <f>IF(COUNTIFS('在庫使用計画 (法人)'!C:C,マスタ_EOLリスト[[#This Row],[製品型番]])=0,"記載なし","")</f>
        <v/>
      </c>
      <c r="BP164" t="str">
        <f>IF(COUNTIFS('在庫使用計画 (全体実績+予測）0701'!C:C,マスタ_EOLリスト[[#This Row],[製品型番]])=0,"記載なし","")</f>
        <v/>
      </c>
      <c r="BQ164" t="str">
        <f ca="1">IF(COUNTIFS('在庫使用計画 (計画　予測)'!C:C,マスタ_EOLリスト[[#This Row],[製品型番]])=0,"記載なし","")</f>
        <v/>
      </c>
      <c r="BR164" t="str">
        <f>IF(COUNTIFS(在庫確認!B:B,マスタ_EOLリスト[[#This Row],[製品型番]])=0,"記載なし","")</f>
        <v/>
      </c>
      <c r="BS164" t="e">
        <f>COUNTIF(#REF!,マスタ_EOLリスト[[#This Row],[製品型番]])</f>
        <v>#REF!</v>
      </c>
    </row>
    <row r="165" spans="1:71">
      <c r="A165" t="str">
        <v>F-14LN5LA</v>
      </c>
      <c r="B165" t="s">
        <v>335</v>
      </c>
      <c r="C165" t="s">
        <v>539</v>
      </c>
      <c r="D165" t="s">
        <v>781</v>
      </c>
      <c r="E165">
        <v>223057</v>
      </c>
      <c r="F165" t="s">
        <v>785</v>
      </c>
      <c r="G165" t="s">
        <v>720</v>
      </c>
      <c r="H165" t="s">
        <v>783</v>
      </c>
      <c r="I165">
        <v>14</v>
      </c>
      <c r="J165" t="s">
        <v>248</v>
      </c>
      <c r="K165" t="s">
        <v>784</v>
      </c>
      <c r="L165" t="s">
        <v>438</v>
      </c>
      <c r="M165">
        <v>625</v>
      </c>
      <c r="N165">
        <v>625</v>
      </c>
      <c r="Q165" t="s">
        <v>555</v>
      </c>
      <c r="R165" t="s">
        <v>556</v>
      </c>
      <c r="W165">
        <v>700</v>
      </c>
      <c r="AL165">
        <v>45576</v>
      </c>
      <c r="AM165">
        <v>2</v>
      </c>
      <c r="AN165" t="s">
        <v>547</v>
      </c>
      <c r="AO165">
        <v>20</v>
      </c>
      <c r="AQ165" t="s">
        <v>548</v>
      </c>
      <c r="AU165" t="s">
        <v>547</v>
      </c>
      <c r="AV165" t="s">
        <v>549</v>
      </c>
      <c r="AW165" t="b">
        <v>1</v>
      </c>
      <c r="AX165" t="s">
        <v>786</v>
      </c>
      <c r="BA165" t="s">
        <v>442</v>
      </c>
      <c r="BB165" t="s">
        <v>170</v>
      </c>
      <c r="BC165" t="s">
        <v>442</v>
      </c>
      <c r="BD165" t="s">
        <v>442</v>
      </c>
      <c r="BJ165" t="s">
        <v>780</v>
      </c>
      <c r="BM165" t="str">
        <f>IF(COUNTIFS('在庫使用計画 (ノート全体試算)'!C:C,マスタ_EOLリスト[[#This Row],[製品型番]])=0,"記載なし","")</f>
        <v/>
      </c>
      <c r="BN165" t="str">
        <f>IF(COUNTIFS('在庫使用計画 (一般)'!C:C,マスタ_EOLリスト[[#This Row],[製品型番]])=0,"記載なし","")</f>
        <v/>
      </c>
      <c r="BO165" t="str">
        <f>IF(COUNTIFS('在庫使用計画 (法人)'!C:C,マスタ_EOLリスト[[#This Row],[製品型番]])=0,"記載なし","")</f>
        <v/>
      </c>
      <c r="BP165" t="str">
        <f>IF(COUNTIFS('在庫使用計画 (全体実績+予測）0701'!C:C,マスタ_EOLリスト[[#This Row],[製品型番]])=0,"記載なし","")</f>
        <v/>
      </c>
      <c r="BQ165" t="str">
        <f ca="1">IF(COUNTIFS('在庫使用計画 (計画　予測)'!C:C,マスタ_EOLリスト[[#This Row],[製品型番]])=0,"記載なし","")</f>
        <v/>
      </c>
      <c r="BR165" t="str">
        <f>IF(COUNTIFS(在庫確認!B:B,マスタ_EOLリスト[[#This Row],[製品型番]])=0,"記載なし","")</f>
        <v/>
      </c>
      <c r="BS165" t="e">
        <f>COUNTIF(#REF!,マスタ_EOLリスト[[#This Row],[製品型番]])</f>
        <v>#REF!</v>
      </c>
    </row>
    <row r="166" spans="1:71">
      <c r="A166" t="e">
        <v>#N/A</v>
      </c>
      <c r="B166" t="s">
        <v>142</v>
      </c>
      <c r="C166" t="s">
        <v>539</v>
      </c>
      <c r="D166" t="s">
        <v>787</v>
      </c>
      <c r="E166">
        <v>172548</v>
      </c>
      <c r="F166" t="s">
        <v>788</v>
      </c>
      <c r="H166" t="s">
        <v>21</v>
      </c>
      <c r="K166" t="s">
        <v>665</v>
      </c>
      <c r="M166">
        <v>0</v>
      </c>
      <c r="N166">
        <v>0</v>
      </c>
      <c r="Q166">
        <v>45078</v>
      </c>
      <c r="R166" t="s">
        <v>789</v>
      </c>
      <c r="W166">
        <v>1500</v>
      </c>
      <c r="X166">
        <v>1280</v>
      </c>
      <c r="Z166">
        <v>212292</v>
      </c>
      <c r="AA166" t="s">
        <v>712</v>
      </c>
      <c r="AF166">
        <v>0.85333333333333339</v>
      </c>
      <c r="AI166" t="s">
        <v>790</v>
      </c>
      <c r="AJ166" t="s">
        <v>751</v>
      </c>
      <c r="AL166" t="s">
        <v>21</v>
      </c>
      <c r="AM166" t="s">
        <v>21</v>
      </c>
      <c r="AW166" t="s">
        <v>21</v>
      </c>
      <c r="AX166" t="s">
        <v>144</v>
      </c>
      <c r="BA166" t="s">
        <v>591</v>
      </c>
      <c r="BB166" t="s">
        <v>170</v>
      </c>
      <c r="BC166" t="s">
        <v>591</v>
      </c>
      <c r="BD166" t="s">
        <v>591</v>
      </c>
      <c r="BM166" t="str">
        <f>IF(COUNTIFS('在庫使用計画 (ノート全体試算)'!C:C,マスタ_EOLリスト[[#This Row],[製品型番]])=0,"記載なし","")</f>
        <v>記載なし</v>
      </c>
      <c r="BN166" t="str">
        <f>IF(COUNTIFS('在庫使用計画 (一般)'!C:C,マスタ_EOLリスト[[#This Row],[製品型番]])=0,"記載なし","")</f>
        <v>記載なし</v>
      </c>
      <c r="BO166" t="str">
        <f>IF(COUNTIFS('在庫使用計画 (法人)'!C:C,マスタ_EOLリスト[[#This Row],[製品型番]])=0,"記載なし","")</f>
        <v>記載なし</v>
      </c>
      <c r="BP166" t="str">
        <f>IF(COUNTIFS('在庫使用計画 (全体実績+予測）0701'!C:C,マスタ_EOLリスト[[#This Row],[製品型番]])=0,"記載なし","")</f>
        <v>記載なし</v>
      </c>
      <c r="BQ166" t="str">
        <f ca="1">IF(COUNTIFS('在庫使用計画 (計画　予測)'!C:C,マスタ_EOLリスト[[#This Row],[製品型番]])=0,"記載なし","")</f>
        <v>記載なし</v>
      </c>
      <c r="BR166" t="str">
        <f>IF(COUNTIFS(在庫確認!B:B,マスタ_EOLリスト[[#This Row],[製品型番]])=0,"記載なし","")</f>
        <v/>
      </c>
      <c r="BS166" t="e">
        <f>COUNTIF(#REF!,マスタ_EOLリスト[[#This Row],[製品型番]])</f>
        <v>#REF!</v>
      </c>
    </row>
    <row r="167" spans="1:71">
      <c r="A167" t="e">
        <v>#N/A</v>
      </c>
      <c r="B167" t="s">
        <v>142</v>
      </c>
      <c r="C167" t="s">
        <v>539</v>
      </c>
      <c r="D167" t="s">
        <v>787</v>
      </c>
      <c r="E167">
        <v>173746</v>
      </c>
      <c r="F167" t="s">
        <v>791</v>
      </c>
      <c r="H167" t="s">
        <v>21</v>
      </c>
      <c r="K167" t="s">
        <v>665</v>
      </c>
      <c r="M167">
        <v>0</v>
      </c>
      <c r="N167">
        <v>0</v>
      </c>
      <c r="Q167">
        <v>45078</v>
      </c>
      <c r="W167">
        <v>670</v>
      </c>
      <c r="X167">
        <v>1280</v>
      </c>
      <c r="Z167">
        <v>210646</v>
      </c>
      <c r="AA167" t="s">
        <v>767</v>
      </c>
      <c r="AF167">
        <v>1.9104477611940296</v>
      </c>
      <c r="AI167" t="s">
        <v>790</v>
      </c>
      <c r="AJ167" t="s">
        <v>751</v>
      </c>
      <c r="AL167" t="s">
        <v>21</v>
      </c>
      <c r="AM167" t="s">
        <v>21</v>
      </c>
      <c r="AW167" t="s">
        <v>21</v>
      </c>
      <c r="AX167" t="s">
        <v>144</v>
      </c>
      <c r="BA167" t="s">
        <v>442</v>
      </c>
      <c r="BB167" t="s">
        <v>170</v>
      </c>
      <c r="BC167" t="s">
        <v>442</v>
      </c>
      <c r="BD167" t="s">
        <v>442</v>
      </c>
      <c r="BM167" t="str">
        <f>IF(COUNTIFS('在庫使用計画 (ノート全体試算)'!C:C,マスタ_EOLリスト[[#This Row],[製品型番]])=0,"記載なし","")</f>
        <v>記載なし</v>
      </c>
      <c r="BN167" t="str">
        <f>IF(COUNTIFS('在庫使用計画 (一般)'!C:C,マスタ_EOLリスト[[#This Row],[製品型番]])=0,"記載なし","")</f>
        <v>記載なし</v>
      </c>
      <c r="BO167" t="str">
        <f>IF(COUNTIFS('在庫使用計画 (法人)'!C:C,マスタ_EOLリスト[[#This Row],[製品型番]])=0,"記載なし","")</f>
        <v>記載なし</v>
      </c>
      <c r="BP167" t="str">
        <f>IF(COUNTIFS('在庫使用計画 (全体実績+予測）0701'!C:C,マスタ_EOLリスト[[#This Row],[製品型番]])=0,"記載なし","")</f>
        <v>記載なし</v>
      </c>
      <c r="BQ167" t="str">
        <f ca="1">IF(COUNTIFS('在庫使用計画 (計画　予測)'!C:C,マスタ_EOLリスト[[#This Row],[製品型番]])=0,"記載なし","")</f>
        <v>記載なし</v>
      </c>
      <c r="BR167" t="str">
        <f>IF(COUNTIFS(在庫確認!B:B,マスタ_EOLリスト[[#This Row],[製品型番]])=0,"記載なし","")</f>
        <v/>
      </c>
      <c r="BS167" t="e">
        <f>COUNTIF(#REF!,マスタ_EOLリスト[[#This Row],[製品型番]])</f>
        <v>#REF!</v>
      </c>
    </row>
    <row r="168" spans="1:71">
      <c r="A168" t="str">
        <v>TW15MT1H7CS</v>
      </c>
      <c r="B168" t="s">
        <v>390</v>
      </c>
      <c r="C168" t="s">
        <v>539</v>
      </c>
      <c r="D168" t="s">
        <v>792</v>
      </c>
      <c r="E168">
        <v>353117</v>
      </c>
      <c r="F168" t="s">
        <v>793</v>
      </c>
      <c r="G168" t="s">
        <v>794</v>
      </c>
      <c r="H168" t="s">
        <v>795</v>
      </c>
      <c r="I168">
        <v>15</v>
      </c>
      <c r="M168">
        <v>2</v>
      </c>
      <c r="N168">
        <v>2201</v>
      </c>
      <c r="P168">
        <v>46257</v>
      </c>
      <c r="AW168" t="b">
        <v>1</v>
      </c>
      <c r="AX168" t="s">
        <v>2608</v>
      </c>
      <c r="BJ168" t="s">
        <v>253</v>
      </c>
      <c r="BM168" t="str">
        <f>IF(COUNTIFS('在庫使用計画 (ノート全体試算)'!C:C,マスタ_EOLリスト[[#This Row],[製品型番]])=0,"記載なし","")</f>
        <v/>
      </c>
      <c r="BN168" t="str">
        <f>IF(COUNTIFS('在庫使用計画 (一般)'!C:C,マスタ_EOLリスト[[#This Row],[製品型番]])=0,"記載なし","")</f>
        <v/>
      </c>
      <c r="BO168" t="str">
        <f>IF(COUNTIFS('在庫使用計画 (法人)'!C:C,マスタ_EOLリスト[[#This Row],[製品型番]])=0,"記載なし","")</f>
        <v/>
      </c>
      <c r="BP168" t="str">
        <f>IF(COUNTIFS('在庫使用計画 (全体実績+予測）0701'!C:C,マスタ_EOLリスト[[#This Row],[製品型番]])=0,"記載なし","")</f>
        <v/>
      </c>
      <c r="BQ168" t="str">
        <f ca="1">IF(COUNTIFS('在庫使用計画 (計画　予測)'!C:C,マスタ_EOLリスト[[#This Row],[製品型番]])=0,"記載なし","")</f>
        <v/>
      </c>
      <c r="BR168" t="str">
        <f>IF(COUNTIFS(在庫確認!B:B,マスタ_EOLリスト[[#This Row],[製品型番]])=0,"記載なし","")</f>
        <v>記載なし</v>
      </c>
      <c r="BS168" t="e">
        <f>COUNTIF(#REF!,マスタ_EOLリスト[[#This Row],[製品型番]])</f>
        <v>#REF!</v>
      </c>
    </row>
    <row r="169" spans="1:71">
      <c r="A169" t="str">
        <v>TW15MT1H7CS</v>
      </c>
      <c r="B169" t="s">
        <v>390</v>
      </c>
      <c r="C169" t="s">
        <v>539</v>
      </c>
      <c r="D169" t="s">
        <v>792</v>
      </c>
      <c r="E169">
        <v>367377</v>
      </c>
      <c r="F169" t="s">
        <v>796</v>
      </c>
      <c r="G169" t="s">
        <v>794</v>
      </c>
      <c r="H169" t="s">
        <v>795</v>
      </c>
      <c r="I169">
        <v>15</v>
      </c>
      <c r="M169">
        <v>0</v>
      </c>
      <c r="N169">
        <v>0</v>
      </c>
      <c r="P169">
        <v>46257</v>
      </c>
      <c r="AW169" t="b">
        <v>1</v>
      </c>
      <c r="AX169" t="s">
        <v>144</v>
      </c>
      <c r="BJ169" t="s">
        <v>253</v>
      </c>
      <c r="BM169" t="str">
        <f>IF(COUNTIFS('在庫使用計画 (ノート全体試算)'!C:C,マスタ_EOLリスト[[#This Row],[製品型番]])=0,"記載なし","")</f>
        <v/>
      </c>
      <c r="BN169" t="str">
        <f>IF(COUNTIFS('在庫使用計画 (一般)'!C:C,マスタ_EOLリスト[[#This Row],[製品型番]])=0,"記載なし","")</f>
        <v/>
      </c>
      <c r="BO169" t="str">
        <f>IF(COUNTIFS('在庫使用計画 (法人)'!C:C,マスタ_EOLリスト[[#This Row],[製品型番]])=0,"記載なし","")</f>
        <v/>
      </c>
      <c r="BP169" t="str">
        <f>IF(COUNTIFS('在庫使用計画 (全体実績+予測）0701'!C:C,マスタ_EOLリスト[[#This Row],[製品型番]])=0,"記載なし","")</f>
        <v/>
      </c>
      <c r="BQ169" t="str">
        <f ca="1">IF(COUNTIFS('在庫使用計画 (計画　予測)'!C:C,マスタ_EOLリスト[[#This Row],[製品型番]])=0,"記載なし","")</f>
        <v/>
      </c>
      <c r="BR169" t="str">
        <f>IF(COUNTIFS(在庫確認!B:B,マスタ_EOLリスト[[#This Row],[製品型番]])=0,"記載なし","")</f>
        <v>記載なし</v>
      </c>
      <c r="BS169" t="e">
        <f>COUNTIF(#REF!,マスタ_EOLリスト[[#This Row],[製品型番]])</f>
        <v>#REF!</v>
      </c>
    </row>
    <row r="170" spans="1:71">
      <c r="A170" t="str">
        <v>TW15MT1U5CS</v>
      </c>
      <c r="B170" t="s">
        <v>390</v>
      </c>
      <c r="C170" t="s">
        <v>539</v>
      </c>
      <c r="D170" t="s">
        <v>797</v>
      </c>
      <c r="G170" t="s">
        <v>794</v>
      </c>
      <c r="H170" t="s">
        <v>798</v>
      </c>
      <c r="I170">
        <v>15</v>
      </c>
      <c r="M170">
        <v>0</v>
      </c>
      <c r="N170">
        <v>0</v>
      </c>
      <c r="R170" t="s">
        <v>799</v>
      </c>
      <c r="AW170" t="s">
        <v>21</v>
      </c>
      <c r="AX170" t="s">
        <v>144</v>
      </c>
      <c r="BJ170" t="s">
        <v>253</v>
      </c>
      <c r="BM170" t="str">
        <f>IF(COUNTIFS('在庫使用計画 (ノート全体試算)'!C:C,マスタ_EOLリスト[[#This Row],[製品型番]])=0,"記載なし","")</f>
        <v/>
      </c>
      <c r="BN170" t="str">
        <f>IF(COUNTIFS('在庫使用計画 (一般)'!C:C,マスタ_EOLリスト[[#This Row],[製品型番]])=0,"記載なし","")</f>
        <v/>
      </c>
      <c r="BO170" t="str">
        <f>IF(COUNTIFS('在庫使用計画 (法人)'!C:C,マスタ_EOLリスト[[#This Row],[製品型番]])=0,"記載なし","")</f>
        <v/>
      </c>
      <c r="BP170" t="str">
        <f>IF(COUNTIFS('在庫使用計画 (全体実績+予測）0701'!C:C,マスタ_EOLリスト[[#This Row],[製品型番]])=0,"記載なし","")</f>
        <v/>
      </c>
      <c r="BQ170" t="str">
        <f ca="1">IF(COUNTIFS('在庫使用計画 (計画　予測)'!C:C,マスタ_EOLリスト[[#This Row],[製品型番]])=0,"記載なし","")</f>
        <v/>
      </c>
      <c r="BR170" t="str">
        <f>IF(COUNTIFS(在庫確認!B:B,マスタ_EOLリスト[[#This Row],[製品型番]])=0,"記載なし","")</f>
        <v>記載なし</v>
      </c>
      <c r="BS170" t="e">
        <f>COUNTIF(#REF!,マスタ_EOLリスト[[#This Row],[製品型番]])</f>
        <v>#REF!</v>
      </c>
    </row>
    <row r="171" spans="1:71">
      <c r="A171" t="str">
        <v>TW14C7G</v>
      </c>
      <c r="B171" t="s">
        <v>390</v>
      </c>
      <c r="C171" t="s">
        <v>539</v>
      </c>
      <c r="D171" t="s">
        <v>800</v>
      </c>
      <c r="E171">
        <v>327324</v>
      </c>
      <c r="F171" t="s">
        <v>801</v>
      </c>
      <c r="G171" t="s">
        <v>802</v>
      </c>
      <c r="H171" t="s">
        <v>803</v>
      </c>
      <c r="I171">
        <v>14</v>
      </c>
      <c r="K171" t="s">
        <v>544</v>
      </c>
      <c r="L171" t="s">
        <v>438</v>
      </c>
      <c r="M171">
        <v>0</v>
      </c>
      <c r="N171">
        <v>172</v>
      </c>
      <c r="AW171" t="b">
        <v>1</v>
      </c>
      <c r="AX171" t="s">
        <v>144</v>
      </c>
      <c r="BJ171" t="s">
        <v>253</v>
      </c>
      <c r="BM171" t="str">
        <f>IF(COUNTIFS('在庫使用計画 (ノート全体試算)'!C:C,マスタ_EOLリスト[[#This Row],[製品型番]])=0,"記載なし","")</f>
        <v/>
      </c>
      <c r="BN171" t="str">
        <f>IF(COUNTIFS('在庫使用計画 (一般)'!C:C,マスタ_EOLリスト[[#This Row],[製品型番]])=0,"記載なし","")</f>
        <v/>
      </c>
      <c r="BO171" t="str">
        <f>IF(COUNTIFS('在庫使用計画 (法人)'!C:C,マスタ_EOLリスト[[#This Row],[製品型番]])=0,"記載なし","")</f>
        <v/>
      </c>
      <c r="BP171" t="str">
        <f>IF(COUNTIFS('在庫使用計画 (全体実績+予測）0701'!C:C,マスタ_EOLリスト[[#This Row],[製品型番]])=0,"記載なし","")</f>
        <v/>
      </c>
      <c r="BQ171" t="str">
        <f ca="1">IF(COUNTIFS('在庫使用計画 (計画　予測)'!C:C,マスタ_EOLリスト[[#This Row],[製品型番]])=0,"記載なし","")</f>
        <v/>
      </c>
      <c r="BR171" t="str">
        <f>IF(COUNTIFS(在庫確認!B:B,マスタ_EOLリスト[[#This Row],[製品型番]])=0,"記載なし","")</f>
        <v>記載なし</v>
      </c>
      <c r="BS171" t="e">
        <f>COUNTIF(#REF!,マスタ_EOLリスト[[#This Row],[製品型番]])</f>
        <v>#REF!</v>
      </c>
    </row>
    <row r="172" spans="1:71">
      <c r="A172" t="str">
        <v>TW14C7G</v>
      </c>
      <c r="B172" t="s">
        <v>390</v>
      </c>
      <c r="C172" t="s">
        <v>539</v>
      </c>
      <c r="D172" t="s">
        <v>800</v>
      </c>
      <c r="E172">
        <v>367376</v>
      </c>
      <c r="F172" t="s">
        <v>804</v>
      </c>
      <c r="G172" t="s">
        <v>802</v>
      </c>
      <c r="H172" t="s">
        <v>803</v>
      </c>
      <c r="I172">
        <v>14</v>
      </c>
      <c r="K172" t="s">
        <v>544</v>
      </c>
      <c r="L172" t="s">
        <v>438</v>
      </c>
      <c r="M172">
        <v>0</v>
      </c>
      <c r="N172">
        <v>0</v>
      </c>
      <c r="AW172" t="b">
        <v>1</v>
      </c>
      <c r="AX172" t="s">
        <v>144</v>
      </c>
      <c r="BJ172" t="s">
        <v>253</v>
      </c>
      <c r="BM172" t="str">
        <f>IF(COUNTIFS('在庫使用計画 (ノート全体試算)'!C:C,マスタ_EOLリスト[[#This Row],[製品型番]])=0,"記載なし","")</f>
        <v/>
      </c>
      <c r="BN172" t="str">
        <f>IF(COUNTIFS('在庫使用計画 (一般)'!C:C,マスタ_EOLリスト[[#This Row],[製品型番]])=0,"記載なし","")</f>
        <v/>
      </c>
      <c r="BO172" t="str">
        <f>IF(COUNTIFS('在庫使用計画 (法人)'!C:C,マスタ_EOLリスト[[#This Row],[製品型番]])=0,"記載なし","")</f>
        <v/>
      </c>
      <c r="BP172" t="str">
        <f>IF(COUNTIFS('在庫使用計画 (全体実績+予測）0701'!C:C,マスタ_EOLリスト[[#This Row],[製品型番]])=0,"記載なし","")</f>
        <v/>
      </c>
      <c r="BQ172" t="str">
        <f ca="1">IF(COUNTIFS('在庫使用計画 (計画　予測)'!C:C,マスタ_EOLリスト[[#This Row],[製品型番]])=0,"記載なし","")</f>
        <v/>
      </c>
      <c r="BR172" t="str">
        <f>IF(COUNTIFS(在庫確認!B:B,マスタ_EOLリスト[[#This Row],[製品型番]])=0,"記載なし","")</f>
        <v>記載なし</v>
      </c>
      <c r="BS172" t="e">
        <f>COUNTIF(#REF!,マスタ_EOLリスト[[#This Row],[製品型番]])</f>
        <v>#REF!</v>
      </c>
    </row>
    <row r="173" spans="1:71">
      <c r="A173" t="str">
        <v>TW14C7C</v>
      </c>
      <c r="B173" t="s">
        <v>390</v>
      </c>
      <c r="C173" t="s">
        <v>539</v>
      </c>
      <c r="D173" t="s">
        <v>805</v>
      </c>
      <c r="E173">
        <v>327323</v>
      </c>
      <c r="F173" t="s">
        <v>806</v>
      </c>
      <c r="G173" t="s">
        <v>802</v>
      </c>
      <c r="H173" t="s">
        <v>807</v>
      </c>
      <c r="I173">
        <v>14</v>
      </c>
      <c r="K173" t="s">
        <v>544</v>
      </c>
      <c r="L173" t="s">
        <v>438</v>
      </c>
      <c r="M173">
        <v>0</v>
      </c>
      <c r="N173">
        <v>166</v>
      </c>
      <c r="AW173" t="b">
        <v>1</v>
      </c>
      <c r="AX173" t="s">
        <v>144</v>
      </c>
      <c r="BJ173" t="s">
        <v>253</v>
      </c>
      <c r="BM173" t="str">
        <f>IF(COUNTIFS('在庫使用計画 (ノート全体試算)'!C:C,マスタ_EOLリスト[[#This Row],[製品型番]])=0,"記載なし","")</f>
        <v/>
      </c>
      <c r="BN173" t="str">
        <f>IF(COUNTIFS('在庫使用計画 (一般)'!C:C,マスタ_EOLリスト[[#This Row],[製品型番]])=0,"記載なし","")</f>
        <v/>
      </c>
      <c r="BO173" t="str">
        <f>IF(COUNTIFS('在庫使用計画 (法人)'!C:C,マスタ_EOLリスト[[#This Row],[製品型番]])=0,"記載なし","")</f>
        <v/>
      </c>
      <c r="BP173" t="str">
        <f>IF(COUNTIFS('在庫使用計画 (全体実績+予測）0701'!C:C,マスタ_EOLリスト[[#This Row],[製品型番]])=0,"記載なし","")</f>
        <v/>
      </c>
      <c r="BQ173" t="str">
        <f ca="1">IF(COUNTIFS('在庫使用計画 (計画　予測)'!C:C,マスタ_EOLリスト[[#This Row],[製品型番]])=0,"記載なし","")</f>
        <v/>
      </c>
      <c r="BR173" t="str">
        <f>IF(COUNTIFS(在庫確認!B:B,マスタ_EOLリスト[[#This Row],[製品型番]])=0,"記載なし","")</f>
        <v>記載なし</v>
      </c>
      <c r="BS173" t="e">
        <f>COUNTIF(#REF!,マスタ_EOLリスト[[#This Row],[製品型番]])</f>
        <v>#REF!</v>
      </c>
    </row>
    <row r="174" spans="1:71">
      <c r="A174" t="str">
        <v>TW14C7C</v>
      </c>
      <c r="B174" t="s">
        <v>390</v>
      </c>
      <c r="C174" t="s">
        <v>539</v>
      </c>
      <c r="D174" t="s">
        <v>805</v>
      </c>
      <c r="E174">
        <v>367374</v>
      </c>
      <c r="F174" t="s">
        <v>808</v>
      </c>
      <c r="G174" t="s">
        <v>802</v>
      </c>
      <c r="H174" t="s">
        <v>807</v>
      </c>
      <c r="I174">
        <v>14</v>
      </c>
      <c r="K174" t="s">
        <v>544</v>
      </c>
      <c r="L174" t="s">
        <v>438</v>
      </c>
      <c r="M174">
        <v>0</v>
      </c>
      <c r="N174">
        <v>0</v>
      </c>
      <c r="AW174" t="b">
        <v>1</v>
      </c>
      <c r="AX174" t="s">
        <v>144</v>
      </c>
      <c r="BJ174" t="s">
        <v>253</v>
      </c>
      <c r="BM174" t="str">
        <f>IF(COUNTIFS('在庫使用計画 (ノート全体試算)'!C:C,マスタ_EOLリスト[[#This Row],[製品型番]])=0,"記載なし","")</f>
        <v/>
      </c>
      <c r="BN174" t="str">
        <f>IF(COUNTIFS('在庫使用計画 (一般)'!C:C,マスタ_EOLリスト[[#This Row],[製品型番]])=0,"記載なし","")</f>
        <v/>
      </c>
      <c r="BO174" t="str">
        <f>IF(COUNTIFS('在庫使用計画 (法人)'!C:C,マスタ_EOLリスト[[#This Row],[製品型番]])=0,"記載なし","")</f>
        <v/>
      </c>
      <c r="BP174" t="str">
        <f>IF(COUNTIFS('在庫使用計画 (全体実績+予測）0701'!C:C,マスタ_EOLリスト[[#This Row],[製品型番]])=0,"記載なし","")</f>
        <v/>
      </c>
      <c r="BQ174" t="str">
        <f ca="1">IF(COUNTIFS('在庫使用計画 (計画　予測)'!C:C,マスタ_EOLリスト[[#This Row],[製品型番]])=0,"記載なし","")</f>
        <v/>
      </c>
      <c r="BR174" t="str">
        <f>IF(COUNTIFS(在庫確認!B:B,マスタ_EOLリスト[[#This Row],[製品型番]])=0,"記載なし","")</f>
        <v>記載なし</v>
      </c>
      <c r="BS174" t="e">
        <f>COUNTIF(#REF!,マスタ_EOLリスト[[#This Row],[製品型番]])</f>
        <v>#REF!</v>
      </c>
    </row>
    <row r="175" spans="1:71">
      <c r="A175" t="str">
        <v>TW14C7B</v>
      </c>
      <c r="B175" t="s">
        <v>390</v>
      </c>
      <c r="C175" t="s">
        <v>539</v>
      </c>
      <c r="D175" t="s">
        <v>809</v>
      </c>
      <c r="E175">
        <v>327322</v>
      </c>
      <c r="F175" t="s">
        <v>810</v>
      </c>
      <c r="G175" t="s">
        <v>802</v>
      </c>
      <c r="H175" t="s">
        <v>811</v>
      </c>
      <c r="I175">
        <v>14</v>
      </c>
      <c r="K175" t="s">
        <v>544</v>
      </c>
      <c r="L175" t="s">
        <v>438</v>
      </c>
      <c r="M175">
        <v>0</v>
      </c>
      <c r="N175">
        <v>410</v>
      </c>
      <c r="AW175" t="b">
        <v>1</v>
      </c>
      <c r="AX175" t="s">
        <v>144</v>
      </c>
      <c r="BJ175" t="s">
        <v>253</v>
      </c>
      <c r="BM175" t="str">
        <f>IF(COUNTIFS('在庫使用計画 (ノート全体試算)'!C:C,マスタ_EOLリスト[[#This Row],[製品型番]])=0,"記載なし","")</f>
        <v/>
      </c>
      <c r="BN175" t="str">
        <f>IF(COUNTIFS('在庫使用計画 (一般)'!C:C,マスタ_EOLリスト[[#This Row],[製品型番]])=0,"記載なし","")</f>
        <v/>
      </c>
      <c r="BO175" t="str">
        <f>IF(COUNTIFS('在庫使用計画 (法人)'!C:C,マスタ_EOLリスト[[#This Row],[製品型番]])=0,"記載なし","")</f>
        <v/>
      </c>
      <c r="BP175" t="str">
        <f>IF(COUNTIFS('在庫使用計画 (全体実績+予測）0701'!C:C,マスタ_EOLリスト[[#This Row],[製品型番]])=0,"記載なし","")</f>
        <v/>
      </c>
      <c r="BQ175" t="str">
        <f ca="1">IF(COUNTIFS('在庫使用計画 (計画　予測)'!C:C,マスタ_EOLリスト[[#This Row],[製品型番]])=0,"記載なし","")</f>
        <v/>
      </c>
      <c r="BR175" t="str">
        <f>IF(COUNTIFS(在庫確認!B:B,マスタ_EOLリスト[[#This Row],[製品型番]])=0,"記載なし","")</f>
        <v>記載なし</v>
      </c>
      <c r="BS175" t="e">
        <f>COUNTIF(#REF!,マスタ_EOLリスト[[#This Row],[製品型番]])</f>
        <v>#REF!</v>
      </c>
    </row>
    <row r="176" spans="1:71">
      <c r="A176" t="str">
        <v>TW14C7B</v>
      </c>
      <c r="B176" t="s">
        <v>390</v>
      </c>
      <c r="C176" t="s">
        <v>539</v>
      </c>
      <c r="D176" t="s">
        <v>809</v>
      </c>
      <c r="E176">
        <v>367372</v>
      </c>
      <c r="F176" t="s">
        <v>812</v>
      </c>
      <c r="G176" t="s">
        <v>802</v>
      </c>
      <c r="H176" t="s">
        <v>811</v>
      </c>
      <c r="I176">
        <v>14</v>
      </c>
      <c r="K176" t="s">
        <v>544</v>
      </c>
      <c r="L176" t="s">
        <v>438</v>
      </c>
      <c r="M176">
        <v>0</v>
      </c>
      <c r="N176">
        <v>0</v>
      </c>
      <c r="AW176" t="b">
        <v>1</v>
      </c>
      <c r="AX176" t="s">
        <v>144</v>
      </c>
      <c r="BJ176" t="s">
        <v>253</v>
      </c>
      <c r="BM176" t="str">
        <f>IF(COUNTIFS('在庫使用計画 (ノート全体試算)'!C:C,マスタ_EOLリスト[[#This Row],[製品型番]])=0,"記載なし","")</f>
        <v/>
      </c>
      <c r="BN176" t="str">
        <f>IF(COUNTIFS('在庫使用計画 (一般)'!C:C,マスタ_EOLリスト[[#This Row],[製品型番]])=0,"記載なし","")</f>
        <v/>
      </c>
      <c r="BO176" t="str">
        <f>IF(COUNTIFS('在庫使用計画 (法人)'!C:C,マスタ_EOLリスト[[#This Row],[製品型番]])=0,"記載なし","")</f>
        <v/>
      </c>
      <c r="BP176" t="str">
        <f>IF(COUNTIFS('在庫使用計画 (全体実績+予測）0701'!C:C,マスタ_EOLリスト[[#This Row],[製品型番]])=0,"記載なし","")</f>
        <v/>
      </c>
      <c r="BQ176" t="str">
        <f ca="1">IF(COUNTIFS('在庫使用計画 (計画　予測)'!C:C,マスタ_EOLリスト[[#This Row],[製品型番]])=0,"記載なし","")</f>
        <v/>
      </c>
      <c r="BR176" t="str">
        <f>IF(COUNTIFS(在庫確認!B:B,マスタ_EOLリスト[[#This Row],[製品型番]])=0,"記載なし","")</f>
        <v>記載なし</v>
      </c>
      <c r="BS176" t="e">
        <f>COUNTIF(#REF!,マスタ_EOLリスト[[#This Row],[製品型番]])</f>
        <v>#REF!</v>
      </c>
    </row>
    <row r="177" spans="1:71">
      <c r="A177" t="str">
        <v>TW14C5G</v>
      </c>
      <c r="B177" t="s">
        <v>390</v>
      </c>
      <c r="C177" t="s">
        <v>539</v>
      </c>
      <c r="D177" t="s">
        <v>813</v>
      </c>
      <c r="E177">
        <v>327327</v>
      </c>
      <c r="F177" t="s">
        <v>814</v>
      </c>
      <c r="G177" t="s">
        <v>802</v>
      </c>
      <c r="H177" t="s">
        <v>815</v>
      </c>
      <c r="I177">
        <v>14</v>
      </c>
      <c r="K177" t="s">
        <v>816</v>
      </c>
      <c r="L177" t="s">
        <v>438</v>
      </c>
      <c r="M177">
        <v>0</v>
      </c>
      <c r="N177">
        <v>227</v>
      </c>
      <c r="AW177" t="b">
        <v>1</v>
      </c>
      <c r="AX177" t="s">
        <v>144</v>
      </c>
      <c r="BJ177" t="s">
        <v>253</v>
      </c>
      <c r="BM177" t="str">
        <f>IF(COUNTIFS('在庫使用計画 (ノート全体試算)'!C:C,マスタ_EOLリスト[[#This Row],[製品型番]])=0,"記載なし","")</f>
        <v/>
      </c>
      <c r="BN177" t="str">
        <f>IF(COUNTIFS('在庫使用計画 (一般)'!C:C,マスタ_EOLリスト[[#This Row],[製品型番]])=0,"記載なし","")</f>
        <v/>
      </c>
      <c r="BO177" t="str">
        <f>IF(COUNTIFS('在庫使用計画 (法人)'!C:C,マスタ_EOLリスト[[#This Row],[製品型番]])=0,"記載なし","")</f>
        <v/>
      </c>
      <c r="BP177" t="str">
        <f>IF(COUNTIFS('在庫使用計画 (全体実績+予測）0701'!C:C,マスタ_EOLリスト[[#This Row],[製品型番]])=0,"記載なし","")</f>
        <v/>
      </c>
      <c r="BQ177" t="str">
        <f ca="1">IF(COUNTIFS('在庫使用計画 (計画　予測)'!C:C,マスタ_EOLリスト[[#This Row],[製品型番]])=0,"記載なし","")</f>
        <v/>
      </c>
      <c r="BR177" t="str">
        <f>IF(COUNTIFS(在庫確認!B:B,マスタ_EOLリスト[[#This Row],[製品型番]])=0,"記載なし","")</f>
        <v>記載なし</v>
      </c>
      <c r="BS177" t="e">
        <f>COUNTIF(#REF!,マスタ_EOLリスト[[#This Row],[製品型番]])</f>
        <v>#REF!</v>
      </c>
    </row>
    <row r="178" spans="1:71">
      <c r="A178" t="str">
        <v>TW14C5G</v>
      </c>
      <c r="B178" t="s">
        <v>390</v>
      </c>
      <c r="C178" t="s">
        <v>539</v>
      </c>
      <c r="D178" t="s">
        <v>813</v>
      </c>
      <c r="E178">
        <v>367375</v>
      </c>
      <c r="F178" t="s">
        <v>817</v>
      </c>
      <c r="G178" t="s">
        <v>802</v>
      </c>
      <c r="H178" t="s">
        <v>815</v>
      </c>
      <c r="I178">
        <v>14</v>
      </c>
      <c r="K178" t="s">
        <v>816</v>
      </c>
      <c r="L178" t="s">
        <v>438</v>
      </c>
      <c r="M178">
        <v>0</v>
      </c>
      <c r="N178">
        <v>0</v>
      </c>
      <c r="AW178" t="b">
        <v>1</v>
      </c>
      <c r="AX178" t="s">
        <v>144</v>
      </c>
      <c r="BJ178" t="s">
        <v>253</v>
      </c>
      <c r="BM178" t="str">
        <f>IF(COUNTIFS('在庫使用計画 (ノート全体試算)'!C:C,マスタ_EOLリスト[[#This Row],[製品型番]])=0,"記載なし","")</f>
        <v/>
      </c>
      <c r="BN178" t="str">
        <f>IF(COUNTIFS('在庫使用計画 (一般)'!C:C,マスタ_EOLリスト[[#This Row],[製品型番]])=0,"記載なし","")</f>
        <v/>
      </c>
      <c r="BO178" t="str">
        <f>IF(COUNTIFS('在庫使用計画 (法人)'!C:C,マスタ_EOLリスト[[#This Row],[製品型番]])=0,"記載なし","")</f>
        <v/>
      </c>
      <c r="BP178" t="str">
        <f>IF(COUNTIFS('在庫使用計画 (全体実績+予測）0701'!C:C,マスタ_EOLリスト[[#This Row],[製品型番]])=0,"記載なし","")</f>
        <v/>
      </c>
      <c r="BQ178" t="str">
        <f ca="1">IF(COUNTIFS('在庫使用計画 (計画　予測)'!C:C,マスタ_EOLリスト[[#This Row],[製品型番]])=0,"記載なし","")</f>
        <v/>
      </c>
      <c r="BR178" t="str">
        <f>IF(COUNTIFS(在庫確認!B:B,マスタ_EOLリスト[[#This Row],[製品型番]])=0,"記載なし","")</f>
        <v>記載なし</v>
      </c>
      <c r="BS178" t="e">
        <f>COUNTIF(#REF!,マスタ_EOLリスト[[#This Row],[製品型番]])</f>
        <v>#REF!</v>
      </c>
    </row>
    <row r="179" spans="1:71">
      <c r="A179" t="str">
        <v>TW14C5C</v>
      </c>
      <c r="B179" t="s">
        <v>390</v>
      </c>
      <c r="C179" t="s">
        <v>539</v>
      </c>
      <c r="D179" t="s">
        <v>818</v>
      </c>
      <c r="E179">
        <v>327326</v>
      </c>
      <c r="F179" t="s">
        <v>819</v>
      </c>
      <c r="G179" t="s">
        <v>802</v>
      </c>
      <c r="H179" t="s">
        <v>820</v>
      </c>
      <c r="I179">
        <v>14</v>
      </c>
      <c r="K179" t="s">
        <v>816</v>
      </c>
      <c r="L179" t="s">
        <v>438</v>
      </c>
      <c r="M179">
        <v>0</v>
      </c>
      <c r="N179">
        <v>222</v>
      </c>
      <c r="AW179" t="b">
        <v>1</v>
      </c>
      <c r="AX179" t="s">
        <v>144</v>
      </c>
      <c r="BJ179" t="s">
        <v>253</v>
      </c>
      <c r="BM179" t="str">
        <f>IF(COUNTIFS('在庫使用計画 (ノート全体試算)'!C:C,マスタ_EOLリスト[[#This Row],[製品型番]])=0,"記載なし","")</f>
        <v/>
      </c>
      <c r="BN179" t="str">
        <f>IF(COUNTIFS('在庫使用計画 (一般)'!C:C,マスタ_EOLリスト[[#This Row],[製品型番]])=0,"記載なし","")</f>
        <v/>
      </c>
      <c r="BO179" t="str">
        <f>IF(COUNTIFS('在庫使用計画 (法人)'!C:C,マスタ_EOLリスト[[#This Row],[製品型番]])=0,"記載なし","")</f>
        <v/>
      </c>
      <c r="BP179" t="str">
        <f>IF(COUNTIFS('在庫使用計画 (全体実績+予測）0701'!C:C,マスタ_EOLリスト[[#This Row],[製品型番]])=0,"記載なし","")</f>
        <v/>
      </c>
      <c r="BQ179" t="str">
        <f ca="1">IF(COUNTIFS('在庫使用計画 (計画　予測)'!C:C,マスタ_EOLリスト[[#This Row],[製品型番]])=0,"記載なし","")</f>
        <v/>
      </c>
      <c r="BR179" t="str">
        <f>IF(COUNTIFS(在庫確認!B:B,マスタ_EOLリスト[[#This Row],[製品型番]])=0,"記載なし","")</f>
        <v>記載なし</v>
      </c>
      <c r="BS179" t="e">
        <f>COUNTIF(#REF!,マスタ_EOLリスト[[#This Row],[製品型番]])</f>
        <v>#REF!</v>
      </c>
    </row>
    <row r="180" spans="1:71">
      <c r="A180" t="str">
        <v>TW14C5C</v>
      </c>
      <c r="B180" t="s">
        <v>390</v>
      </c>
      <c r="C180" t="s">
        <v>539</v>
      </c>
      <c r="D180" t="s">
        <v>818</v>
      </c>
      <c r="E180">
        <v>367373</v>
      </c>
      <c r="F180" t="s">
        <v>821</v>
      </c>
      <c r="G180" t="s">
        <v>802</v>
      </c>
      <c r="H180" t="s">
        <v>820</v>
      </c>
      <c r="I180">
        <v>14</v>
      </c>
      <c r="K180" t="s">
        <v>816</v>
      </c>
      <c r="L180" t="s">
        <v>438</v>
      </c>
      <c r="M180">
        <v>0</v>
      </c>
      <c r="N180">
        <v>0</v>
      </c>
      <c r="AW180" t="b">
        <v>1</v>
      </c>
      <c r="AX180" t="s">
        <v>144</v>
      </c>
      <c r="BJ180" t="s">
        <v>253</v>
      </c>
      <c r="BM180" t="str">
        <f>IF(COUNTIFS('在庫使用計画 (ノート全体試算)'!C:C,マスタ_EOLリスト[[#This Row],[製品型番]])=0,"記載なし","")</f>
        <v/>
      </c>
      <c r="BN180" t="str">
        <f>IF(COUNTIFS('在庫使用計画 (一般)'!C:C,マスタ_EOLリスト[[#This Row],[製品型番]])=0,"記載なし","")</f>
        <v/>
      </c>
      <c r="BO180" t="str">
        <f>IF(COUNTIFS('在庫使用計画 (法人)'!C:C,マスタ_EOLリスト[[#This Row],[製品型番]])=0,"記載なし","")</f>
        <v/>
      </c>
      <c r="BP180" t="str">
        <f>IF(COUNTIFS('在庫使用計画 (全体実績+予測）0701'!C:C,マスタ_EOLリスト[[#This Row],[製品型番]])=0,"記載なし","")</f>
        <v/>
      </c>
      <c r="BQ180" t="str">
        <f ca="1">IF(COUNTIFS('在庫使用計画 (計画　予測)'!C:C,マスタ_EOLリスト[[#This Row],[製品型番]])=0,"記載なし","")</f>
        <v/>
      </c>
      <c r="BR180" t="str">
        <f>IF(COUNTIFS(在庫確認!B:B,マスタ_EOLリスト[[#This Row],[製品型番]])=0,"記載なし","")</f>
        <v>記載なし</v>
      </c>
      <c r="BS180" t="e">
        <f>COUNTIF(#REF!,マスタ_EOLリスト[[#This Row],[製品型番]])</f>
        <v>#REF!</v>
      </c>
    </row>
    <row r="181" spans="1:71">
      <c r="A181" t="str">
        <v>TW14C5B</v>
      </c>
      <c r="B181" t="s">
        <v>390</v>
      </c>
      <c r="C181" t="s">
        <v>539</v>
      </c>
      <c r="D181" t="s">
        <v>822</v>
      </c>
      <c r="E181">
        <v>327325</v>
      </c>
      <c r="F181" t="s">
        <v>823</v>
      </c>
      <c r="G181" t="s">
        <v>802</v>
      </c>
      <c r="H181" t="s">
        <v>824</v>
      </c>
      <c r="I181">
        <v>14</v>
      </c>
      <c r="K181" t="s">
        <v>816</v>
      </c>
      <c r="L181" t="s">
        <v>438</v>
      </c>
      <c r="M181">
        <v>0</v>
      </c>
      <c r="N181">
        <v>463</v>
      </c>
      <c r="AW181" t="b">
        <v>1</v>
      </c>
      <c r="AX181" t="s">
        <v>144</v>
      </c>
      <c r="BJ181" t="s">
        <v>253</v>
      </c>
      <c r="BM181" t="str">
        <f>IF(COUNTIFS('在庫使用計画 (ノート全体試算)'!C:C,マスタ_EOLリスト[[#This Row],[製品型番]])=0,"記載なし","")</f>
        <v/>
      </c>
      <c r="BN181" t="str">
        <f>IF(COUNTIFS('在庫使用計画 (一般)'!C:C,マスタ_EOLリスト[[#This Row],[製品型番]])=0,"記載なし","")</f>
        <v/>
      </c>
      <c r="BO181" t="str">
        <f>IF(COUNTIFS('在庫使用計画 (法人)'!C:C,マスタ_EOLリスト[[#This Row],[製品型番]])=0,"記載なし","")</f>
        <v/>
      </c>
      <c r="BP181" t="str">
        <f>IF(COUNTIFS('在庫使用計画 (全体実績+予測）0701'!C:C,マスタ_EOLリスト[[#This Row],[製品型番]])=0,"記載なし","")</f>
        <v/>
      </c>
      <c r="BQ181" t="str">
        <f ca="1">IF(COUNTIFS('在庫使用計画 (計画　予測)'!C:C,マスタ_EOLリスト[[#This Row],[製品型番]])=0,"記載なし","")</f>
        <v/>
      </c>
      <c r="BR181" t="str">
        <f>IF(COUNTIFS(在庫確認!B:B,マスタ_EOLリスト[[#This Row],[製品型番]])=0,"記載なし","")</f>
        <v>記載なし</v>
      </c>
      <c r="BS181" t="e">
        <f>COUNTIF(#REF!,マスタ_EOLリスト[[#This Row],[製品型番]])</f>
        <v>#REF!</v>
      </c>
    </row>
    <row r="182" spans="1:71">
      <c r="A182" t="str">
        <v>TW14C5B</v>
      </c>
      <c r="B182" t="s">
        <v>390</v>
      </c>
      <c r="C182" t="s">
        <v>539</v>
      </c>
      <c r="D182" t="s">
        <v>822</v>
      </c>
      <c r="E182">
        <v>367370</v>
      </c>
      <c r="F182" t="s">
        <v>825</v>
      </c>
      <c r="G182" t="s">
        <v>802</v>
      </c>
      <c r="H182" t="s">
        <v>824</v>
      </c>
      <c r="I182">
        <v>14</v>
      </c>
      <c r="K182" t="s">
        <v>816</v>
      </c>
      <c r="L182" t="s">
        <v>438</v>
      </c>
      <c r="M182">
        <v>0</v>
      </c>
      <c r="N182">
        <v>0</v>
      </c>
      <c r="AW182" t="b">
        <v>1</v>
      </c>
      <c r="AX182" t="s">
        <v>144</v>
      </c>
      <c r="BJ182" t="s">
        <v>253</v>
      </c>
      <c r="BM182" t="str">
        <f>IF(COUNTIFS('在庫使用計画 (ノート全体試算)'!C:C,マスタ_EOLリスト[[#This Row],[製品型番]])=0,"記載なし","")</f>
        <v/>
      </c>
      <c r="BN182" t="str">
        <f>IF(COUNTIFS('在庫使用計画 (一般)'!C:C,マスタ_EOLリスト[[#This Row],[製品型番]])=0,"記載なし","")</f>
        <v/>
      </c>
      <c r="BO182" t="str">
        <f>IF(COUNTIFS('在庫使用計画 (法人)'!C:C,マスタ_EOLリスト[[#This Row],[製品型番]])=0,"記載なし","")</f>
        <v/>
      </c>
      <c r="BP182" t="str">
        <f>IF(COUNTIFS('在庫使用計画 (全体実績+予測）0701'!C:C,マスタ_EOLリスト[[#This Row],[製品型番]])=0,"記載なし","")</f>
        <v/>
      </c>
      <c r="BQ182" t="str">
        <f ca="1">IF(COUNTIFS('在庫使用計画 (計画　予測)'!C:C,マスタ_EOLリスト[[#This Row],[製品型番]])=0,"記載なし","")</f>
        <v/>
      </c>
      <c r="BR182" t="str">
        <f>IF(COUNTIFS(在庫確認!B:B,マスタ_EOLリスト[[#This Row],[製品型番]])=0,"記載なし","")</f>
        <v>記載なし</v>
      </c>
      <c r="BS182" t="e">
        <f>COUNTIF(#REF!,マスタ_EOLリスト[[#This Row],[製品型番]])</f>
        <v>#REF!</v>
      </c>
    </row>
    <row r="183" spans="1:71">
      <c r="A183" t="str">
        <v>TW14A5G</v>
      </c>
      <c r="B183" t="s">
        <v>390</v>
      </c>
      <c r="C183" t="s">
        <v>539</v>
      </c>
      <c r="D183" t="s">
        <v>826</v>
      </c>
      <c r="E183">
        <v>327330</v>
      </c>
      <c r="F183" t="s">
        <v>827</v>
      </c>
      <c r="G183" t="s">
        <v>802</v>
      </c>
      <c r="H183" t="s">
        <v>828</v>
      </c>
      <c r="I183">
        <v>14</v>
      </c>
      <c r="K183" t="s">
        <v>829</v>
      </c>
      <c r="L183" t="s">
        <v>438</v>
      </c>
      <c r="M183">
        <v>0</v>
      </c>
      <c r="N183">
        <v>266</v>
      </c>
      <c r="AW183" t="b">
        <v>1</v>
      </c>
      <c r="AX183" t="s">
        <v>144</v>
      </c>
      <c r="BJ183" t="s">
        <v>253</v>
      </c>
      <c r="BM183" t="str">
        <f>IF(COUNTIFS('在庫使用計画 (ノート全体試算)'!C:C,マスタ_EOLリスト[[#This Row],[製品型番]])=0,"記載なし","")</f>
        <v/>
      </c>
      <c r="BN183" t="str">
        <f>IF(COUNTIFS('在庫使用計画 (一般)'!C:C,マスタ_EOLリスト[[#This Row],[製品型番]])=0,"記載なし","")</f>
        <v/>
      </c>
      <c r="BO183" t="str">
        <f>IF(COUNTIFS('在庫使用計画 (法人)'!C:C,マスタ_EOLリスト[[#This Row],[製品型番]])=0,"記載なし","")</f>
        <v/>
      </c>
      <c r="BP183" t="str">
        <f>IF(COUNTIFS('在庫使用計画 (全体実績+予測）0701'!C:C,マスタ_EOLリスト[[#This Row],[製品型番]])=0,"記載なし","")</f>
        <v/>
      </c>
      <c r="BQ183" t="str">
        <f ca="1">IF(COUNTIFS('在庫使用計画 (計画　予測)'!C:C,マスタ_EOLリスト[[#This Row],[製品型番]])=0,"記載なし","")</f>
        <v>記載なし</v>
      </c>
      <c r="BR183" t="str">
        <f>IF(COUNTIFS(在庫確認!B:B,マスタ_EOLリスト[[#This Row],[製品型番]])=0,"記載なし","")</f>
        <v>記載なし</v>
      </c>
      <c r="BS183" t="e">
        <f>COUNTIF(#REF!,マスタ_EOLリスト[[#This Row],[製品型番]])</f>
        <v>#REF!</v>
      </c>
    </row>
    <row r="184" spans="1:71">
      <c r="A184" t="str">
        <v>TW14A5G</v>
      </c>
      <c r="B184" t="s">
        <v>390</v>
      </c>
      <c r="C184" t="s">
        <v>539</v>
      </c>
      <c r="D184" t="s">
        <v>826</v>
      </c>
      <c r="E184">
        <v>367369</v>
      </c>
      <c r="F184" t="s">
        <v>830</v>
      </c>
      <c r="G184" t="s">
        <v>802</v>
      </c>
      <c r="H184" t="s">
        <v>828</v>
      </c>
      <c r="I184">
        <v>14</v>
      </c>
      <c r="K184" t="s">
        <v>829</v>
      </c>
      <c r="L184" t="s">
        <v>438</v>
      </c>
      <c r="M184">
        <v>0</v>
      </c>
      <c r="N184">
        <v>0</v>
      </c>
      <c r="AW184" t="b">
        <v>1</v>
      </c>
      <c r="AX184" t="s">
        <v>144</v>
      </c>
      <c r="BJ184" t="s">
        <v>253</v>
      </c>
      <c r="BM184" t="str">
        <f>IF(COUNTIFS('在庫使用計画 (ノート全体試算)'!C:C,マスタ_EOLリスト[[#This Row],[製品型番]])=0,"記載なし","")</f>
        <v/>
      </c>
      <c r="BN184" t="str">
        <f>IF(COUNTIFS('在庫使用計画 (一般)'!C:C,マスタ_EOLリスト[[#This Row],[製品型番]])=0,"記載なし","")</f>
        <v/>
      </c>
      <c r="BO184" t="str">
        <f>IF(COUNTIFS('在庫使用計画 (法人)'!C:C,マスタ_EOLリスト[[#This Row],[製品型番]])=0,"記載なし","")</f>
        <v/>
      </c>
      <c r="BP184" t="str">
        <f>IF(COUNTIFS('在庫使用計画 (全体実績+予測）0701'!C:C,マスタ_EOLリスト[[#This Row],[製品型番]])=0,"記載なし","")</f>
        <v/>
      </c>
      <c r="BQ184" t="str">
        <f ca="1">IF(COUNTIFS('在庫使用計画 (計画　予測)'!C:C,マスタ_EOLリスト[[#This Row],[製品型番]])=0,"記載なし","")</f>
        <v>記載なし</v>
      </c>
      <c r="BR184" t="str">
        <f>IF(COUNTIFS(在庫確認!B:B,マスタ_EOLリスト[[#This Row],[製品型番]])=0,"記載なし","")</f>
        <v>記載なし</v>
      </c>
      <c r="BS184" t="e">
        <f>COUNTIF(#REF!,マスタ_EOLリスト[[#This Row],[製品型番]])</f>
        <v>#REF!</v>
      </c>
    </row>
    <row r="185" spans="1:71">
      <c r="A185" t="str">
        <v>TW14A5C</v>
      </c>
      <c r="B185" t="s">
        <v>390</v>
      </c>
      <c r="C185" t="s">
        <v>539</v>
      </c>
      <c r="D185" t="s">
        <v>831</v>
      </c>
      <c r="E185">
        <v>327329</v>
      </c>
      <c r="F185" t="s">
        <v>832</v>
      </c>
      <c r="G185" t="s">
        <v>802</v>
      </c>
      <c r="H185" t="s">
        <v>833</v>
      </c>
      <c r="I185">
        <v>14</v>
      </c>
      <c r="K185" t="s">
        <v>829</v>
      </c>
      <c r="L185" t="s">
        <v>438</v>
      </c>
      <c r="M185">
        <v>0</v>
      </c>
      <c r="N185">
        <v>275</v>
      </c>
      <c r="AW185" t="b">
        <v>1</v>
      </c>
      <c r="AX185" t="s">
        <v>144</v>
      </c>
      <c r="BJ185" t="s">
        <v>253</v>
      </c>
      <c r="BM185" t="str">
        <f>IF(COUNTIFS('在庫使用計画 (ノート全体試算)'!C:C,マスタ_EOLリスト[[#This Row],[製品型番]])=0,"記載なし","")</f>
        <v/>
      </c>
      <c r="BN185" t="str">
        <f>IF(COUNTIFS('在庫使用計画 (一般)'!C:C,マスタ_EOLリスト[[#This Row],[製品型番]])=0,"記載なし","")</f>
        <v/>
      </c>
      <c r="BO185" t="str">
        <f>IF(COUNTIFS('在庫使用計画 (法人)'!C:C,マスタ_EOLリスト[[#This Row],[製品型番]])=0,"記載なし","")</f>
        <v/>
      </c>
      <c r="BP185" t="str">
        <f>IF(COUNTIFS('在庫使用計画 (全体実績+予測）0701'!C:C,マスタ_EOLリスト[[#This Row],[製品型番]])=0,"記載なし","")</f>
        <v/>
      </c>
      <c r="BQ185" t="str">
        <f ca="1">IF(COUNTIFS('在庫使用計画 (計画　予測)'!C:C,マスタ_EOLリスト[[#This Row],[製品型番]])=0,"記載なし","")</f>
        <v>記載なし</v>
      </c>
      <c r="BR185" t="str">
        <f>IF(COUNTIFS(在庫確認!B:B,マスタ_EOLリスト[[#This Row],[製品型番]])=0,"記載なし","")</f>
        <v>記載なし</v>
      </c>
      <c r="BS185" t="e">
        <f>COUNTIF(#REF!,マスタ_EOLリスト[[#This Row],[製品型番]])</f>
        <v>#REF!</v>
      </c>
    </row>
    <row r="186" spans="1:71">
      <c r="A186" t="str">
        <v>TW14A5C</v>
      </c>
      <c r="B186" t="s">
        <v>390</v>
      </c>
      <c r="C186" t="s">
        <v>539</v>
      </c>
      <c r="D186" t="s">
        <v>831</v>
      </c>
      <c r="E186">
        <v>367368</v>
      </c>
      <c r="F186" t="s">
        <v>834</v>
      </c>
      <c r="G186" t="s">
        <v>802</v>
      </c>
      <c r="H186" t="s">
        <v>833</v>
      </c>
      <c r="I186">
        <v>14</v>
      </c>
      <c r="K186" t="s">
        <v>829</v>
      </c>
      <c r="L186" t="s">
        <v>438</v>
      </c>
      <c r="M186">
        <v>0</v>
      </c>
      <c r="N186">
        <v>0</v>
      </c>
      <c r="AW186" t="b">
        <v>1</v>
      </c>
      <c r="AX186" t="s">
        <v>144</v>
      </c>
      <c r="BJ186" t="s">
        <v>253</v>
      </c>
      <c r="BM186" t="str">
        <f>IF(COUNTIFS('在庫使用計画 (ノート全体試算)'!C:C,マスタ_EOLリスト[[#This Row],[製品型番]])=0,"記載なし","")</f>
        <v/>
      </c>
      <c r="BN186" t="str">
        <f>IF(COUNTIFS('在庫使用計画 (一般)'!C:C,マスタ_EOLリスト[[#This Row],[製品型番]])=0,"記載なし","")</f>
        <v/>
      </c>
      <c r="BO186" t="str">
        <f>IF(COUNTIFS('在庫使用計画 (法人)'!C:C,マスタ_EOLリスト[[#This Row],[製品型番]])=0,"記載なし","")</f>
        <v/>
      </c>
      <c r="BP186" t="str">
        <f>IF(COUNTIFS('在庫使用計画 (全体実績+予測）0701'!C:C,マスタ_EOLリスト[[#This Row],[製品型番]])=0,"記載なし","")</f>
        <v/>
      </c>
      <c r="BQ186" t="str">
        <f ca="1">IF(COUNTIFS('在庫使用計画 (計画　予測)'!C:C,マスタ_EOLリスト[[#This Row],[製品型番]])=0,"記載なし","")</f>
        <v>記載なし</v>
      </c>
      <c r="BR186" t="str">
        <f>IF(COUNTIFS(在庫確認!B:B,マスタ_EOLリスト[[#This Row],[製品型番]])=0,"記載なし","")</f>
        <v>記載なし</v>
      </c>
      <c r="BS186" t="e">
        <f>COUNTIF(#REF!,マスタ_EOLリスト[[#This Row],[製品型番]])</f>
        <v>#REF!</v>
      </c>
    </row>
    <row r="187" spans="1:71">
      <c r="A187" t="str">
        <v>TW14A5B</v>
      </c>
      <c r="B187" t="s">
        <v>390</v>
      </c>
      <c r="C187" t="s">
        <v>539</v>
      </c>
      <c r="D187" t="s">
        <v>835</v>
      </c>
      <c r="E187">
        <v>327328</v>
      </c>
      <c r="F187" t="s">
        <v>836</v>
      </c>
      <c r="G187" t="s">
        <v>802</v>
      </c>
      <c r="H187" t="s">
        <v>837</v>
      </c>
      <c r="I187">
        <v>14</v>
      </c>
      <c r="K187" t="s">
        <v>829</v>
      </c>
      <c r="L187" t="s">
        <v>438</v>
      </c>
      <c r="M187">
        <v>0</v>
      </c>
      <c r="N187">
        <v>437</v>
      </c>
      <c r="AW187" t="b">
        <v>1</v>
      </c>
      <c r="AX187" t="s">
        <v>144</v>
      </c>
      <c r="BJ187" t="s">
        <v>253</v>
      </c>
      <c r="BM187" t="str">
        <f>IF(COUNTIFS('在庫使用計画 (ノート全体試算)'!C:C,マスタ_EOLリスト[[#This Row],[製品型番]])=0,"記載なし","")</f>
        <v/>
      </c>
      <c r="BN187" t="str">
        <f>IF(COUNTIFS('在庫使用計画 (一般)'!C:C,マスタ_EOLリスト[[#This Row],[製品型番]])=0,"記載なし","")</f>
        <v/>
      </c>
      <c r="BO187" t="str">
        <f>IF(COUNTIFS('在庫使用計画 (法人)'!C:C,マスタ_EOLリスト[[#This Row],[製品型番]])=0,"記載なし","")</f>
        <v/>
      </c>
      <c r="BP187" t="str">
        <f>IF(COUNTIFS('在庫使用計画 (全体実績+予測）0701'!C:C,マスタ_EOLリスト[[#This Row],[製品型番]])=0,"記載なし","")</f>
        <v/>
      </c>
      <c r="BQ187" t="str">
        <f ca="1">IF(COUNTIFS('在庫使用計画 (計画　予測)'!C:C,マスタ_EOLリスト[[#This Row],[製品型番]])=0,"記載なし","")</f>
        <v>記載なし</v>
      </c>
      <c r="BR187" t="str">
        <f>IF(COUNTIFS(在庫確認!B:B,マスタ_EOLリスト[[#This Row],[製品型番]])=0,"記載なし","")</f>
        <v>記載なし</v>
      </c>
      <c r="BS187" t="e">
        <f>COUNTIF(#REF!,マスタ_EOLリスト[[#This Row],[製品型番]])</f>
        <v>#REF!</v>
      </c>
    </row>
    <row r="188" spans="1:71">
      <c r="A188" t="str">
        <v>TW14A5B</v>
      </c>
      <c r="B188" t="s">
        <v>390</v>
      </c>
      <c r="C188" t="s">
        <v>539</v>
      </c>
      <c r="D188" t="s">
        <v>835</v>
      </c>
      <c r="E188">
        <v>367367</v>
      </c>
      <c r="F188" t="s">
        <v>838</v>
      </c>
      <c r="G188" t="s">
        <v>802</v>
      </c>
      <c r="H188" t="s">
        <v>837</v>
      </c>
      <c r="I188">
        <v>14</v>
      </c>
      <c r="K188" t="s">
        <v>829</v>
      </c>
      <c r="L188" t="s">
        <v>438</v>
      </c>
      <c r="M188">
        <v>0</v>
      </c>
      <c r="N188">
        <v>0</v>
      </c>
      <c r="AW188" t="b">
        <v>1</v>
      </c>
      <c r="AX188" t="s">
        <v>144</v>
      </c>
      <c r="BJ188" t="s">
        <v>253</v>
      </c>
      <c r="BM188" t="str">
        <f>IF(COUNTIFS('在庫使用計画 (ノート全体試算)'!C:C,マスタ_EOLリスト[[#This Row],[製品型番]])=0,"記載なし","")</f>
        <v/>
      </c>
      <c r="BN188" t="str">
        <f>IF(COUNTIFS('在庫使用計画 (一般)'!C:C,マスタ_EOLリスト[[#This Row],[製品型番]])=0,"記載なし","")</f>
        <v/>
      </c>
      <c r="BO188" t="str">
        <f>IF(COUNTIFS('在庫使用計画 (法人)'!C:C,マスタ_EOLリスト[[#This Row],[製品型番]])=0,"記載なし","")</f>
        <v/>
      </c>
      <c r="BP188" t="str">
        <f>IF(COUNTIFS('在庫使用計画 (全体実績+予測）0701'!C:C,マスタ_EOLリスト[[#This Row],[製品型番]])=0,"記載なし","")</f>
        <v/>
      </c>
      <c r="BQ188" t="str">
        <f ca="1">IF(COUNTIFS('在庫使用計画 (計画　予測)'!C:C,マスタ_EOLリスト[[#This Row],[製品型番]])=0,"記載なし","")</f>
        <v>記載なし</v>
      </c>
      <c r="BR188" t="str">
        <f>IF(COUNTIFS(在庫確認!B:B,マスタ_EOLリスト[[#This Row],[製品型番]])=0,"記載なし","")</f>
        <v>記載なし</v>
      </c>
      <c r="BS188" t="e">
        <f>COUNTIF(#REF!,マスタ_EOLリスト[[#This Row],[製品型番]])</f>
        <v>#REF!</v>
      </c>
    </row>
    <row r="189" spans="1:71">
      <c r="A189" t="str">
        <v>F-14BR5A</v>
      </c>
      <c r="B189" t="s">
        <v>147</v>
      </c>
      <c r="C189" t="s">
        <v>539</v>
      </c>
      <c r="D189" t="s">
        <v>839</v>
      </c>
      <c r="E189">
        <v>222644</v>
      </c>
      <c r="F189" t="s">
        <v>840</v>
      </c>
      <c r="G189" t="s">
        <v>687</v>
      </c>
      <c r="H189" t="s">
        <v>841</v>
      </c>
      <c r="I189">
        <v>14</v>
      </c>
      <c r="K189" t="s">
        <v>842</v>
      </c>
      <c r="L189" t="s">
        <v>438</v>
      </c>
      <c r="M189">
        <v>14</v>
      </c>
      <c r="N189">
        <v>14</v>
      </c>
      <c r="P189" t="s">
        <v>843</v>
      </c>
      <c r="W189">
        <v>1426</v>
      </c>
      <c r="AW189" t="b">
        <v>1</v>
      </c>
      <c r="AX189" t="s">
        <v>844</v>
      </c>
      <c r="BJ189" t="s">
        <v>4438</v>
      </c>
      <c r="BM189" t="str">
        <f>IF(COUNTIFS('在庫使用計画 (ノート全体試算)'!C:C,マスタ_EOLリスト[[#This Row],[製品型番]])=0,"記載なし","")</f>
        <v/>
      </c>
      <c r="BN189" t="str">
        <f>IF(COUNTIFS('在庫使用計画 (一般)'!C:C,マスタ_EOLリスト[[#This Row],[製品型番]])=0,"記載なし","")</f>
        <v/>
      </c>
      <c r="BO189" t="str">
        <f>IF(COUNTIFS('在庫使用計画 (法人)'!C:C,マスタ_EOLリスト[[#This Row],[製品型番]])=0,"記載なし","")</f>
        <v/>
      </c>
      <c r="BP189" t="str">
        <f>IF(COUNTIFS('在庫使用計画 (全体実績+予測）0701'!C:C,マスタ_EOLリスト[[#This Row],[製品型番]])=0,"記載なし","")</f>
        <v/>
      </c>
      <c r="BQ189" t="str">
        <f ca="1">IF(COUNTIFS('在庫使用計画 (計画　予測)'!C:C,マスタ_EOLリスト[[#This Row],[製品型番]])=0,"記載なし","")</f>
        <v/>
      </c>
      <c r="BR189" t="str">
        <f>IF(COUNTIFS(在庫確認!B:B,マスタ_EOLリスト[[#This Row],[製品型番]])=0,"記載なし","")</f>
        <v/>
      </c>
      <c r="BS189" t="e">
        <f>COUNTIF(#REF!,マスタ_EOLリスト[[#This Row],[製品型番]])</f>
        <v>#REF!</v>
      </c>
    </row>
    <row r="190" spans="1:71">
      <c r="A190" t="str">
        <v>F-14BR5A</v>
      </c>
      <c r="B190" t="s">
        <v>147</v>
      </c>
      <c r="C190" t="s">
        <v>539</v>
      </c>
      <c r="D190" t="s">
        <v>839</v>
      </c>
      <c r="E190">
        <v>317459</v>
      </c>
      <c r="F190" t="s">
        <v>845</v>
      </c>
      <c r="G190" t="s">
        <v>687</v>
      </c>
      <c r="H190" t="s">
        <v>841</v>
      </c>
      <c r="I190">
        <v>14</v>
      </c>
      <c r="K190" t="s">
        <v>842</v>
      </c>
      <c r="M190">
        <v>656</v>
      </c>
      <c r="N190">
        <v>656</v>
      </c>
      <c r="AW190" t="b">
        <v>1</v>
      </c>
      <c r="AX190" t="s">
        <v>846</v>
      </c>
      <c r="BJ190" t="s">
        <v>4438</v>
      </c>
      <c r="BM190" t="str">
        <f>IF(COUNTIFS('在庫使用計画 (ノート全体試算)'!C:C,マスタ_EOLリスト[[#This Row],[製品型番]])=0,"記載なし","")</f>
        <v/>
      </c>
      <c r="BN190" t="str">
        <f>IF(COUNTIFS('在庫使用計画 (一般)'!C:C,マスタ_EOLリスト[[#This Row],[製品型番]])=0,"記載なし","")</f>
        <v/>
      </c>
      <c r="BO190" t="str">
        <f>IF(COUNTIFS('在庫使用計画 (法人)'!C:C,マスタ_EOLリスト[[#This Row],[製品型番]])=0,"記載なし","")</f>
        <v/>
      </c>
      <c r="BP190" t="str">
        <f>IF(COUNTIFS('在庫使用計画 (全体実績+予測）0701'!C:C,マスタ_EOLリスト[[#This Row],[製品型番]])=0,"記載なし","")</f>
        <v/>
      </c>
      <c r="BQ190" t="str">
        <f ca="1">IF(COUNTIFS('在庫使用計画 (計画　予測)'!C:C,マスタ_EOLリスト[[#This Row],[製品型番]])=0,"記載なし","")</f>
        <v/>
      </c>
      <c r="BR190" t="str">
        <f>IF(COUNTIFS(在庫確認!B:B,マスタ_EOLリスト[[#This Row],[製品型番]])=0,"記載なし","")</f>
        <v/>
      </c>
      <c r="BS190" t="e">
        <f>COUNTIF(#REF!,マスタ_EOLリスト[[#This Row],[製品型番]])</f>
        <v>#REF!</v>
      </c>
    </row>
    <row r="191" spans="1:71">
      <c r="A191" t="str">
        <v>M9652</v>
      </c>
      <c r="B191" t="s">
        <v>147</v>
      </c>
      <c r="C191" t="s">
        <v>539</v>
      </c>
      <c r="D191" t="s">
        <v>847</v>
      </c>
      <c r="E191">
        <v>218585</v>
      </c>
      <c r="F191" t="s">
        <v>848</v>
      </c>
      <c r="G191" t="s">
        <v>849</v>
      </c>
      <c r="H191" t="s">
        <v>850</v>
      </c>
      <c r="I191">
        <v>16</v>
      </c>
      <c r="K191" t="s">
        <v>851</v>
      </c>
      <c r="L191" t="s">
        <v>852</v>
      </c>
      <c r="M191">
        <v>177</v>
      </c>
      <c r="N191">
        <v>177</v>
      </c>
      <c r="W191">
        <v>200</v>
      </c>
      <c r="AW191" t="b">
        <v>1</v>
      </c>
      <c r="AX191" t="s">
        <v>853</v>
      </c>
      <c r="BJ191" t="s">
        <v>253</v>
      </c>
      <c r="BM191" t="str">
        <f>IF(COUNTIFS('在庫使用計画 (ノート全体試算)'!C:C,マスタ_EOLリスト[[#This Row],[製品型番]])=0,"記載なし","")</f>
        <v/>
      </c>
      <c r="BN191" t="str">
        <f>IF(COUNTIFS('在庫使用計画 (一般)'!C:C,マスタ_EOLリスト[[#This Row],[製品型番]])=0,"記載なし","")</f>
        <v/>
      </c>
      <c r="BO191" t="str">
        <f>IF(COUNTIFS('在庫使用計画 (法人)'!C:C,マスタ_EOLリスト[[#This Row],[製品型番]])=0,"記載なし","")</f>
        <v/>
      </c>
      <c r="BP191" t="str">
        <f>IF(COUNTIFS('在庫使用計画 (全体実績+予測）0701'!C:C,マスタ_EOLリスト[[#This Row],[製品型番]])=0,"記載なし","")</f>
        <v/>
      </c>
      <c r="BQ191" t="str">
        <f ca="1">IF(COUNTIFS('在庫使用計画 (計画　予測)'!C:C,マスタ_EOLリスト[[#This Row],[製品型番]])=0,"記載なし","")</f>
        <v/>
      </c>
      <c r="BR191" t="str">
        <f>IF(COUNTIFS(在庫確認!B:B,マスタ_EOLリスト[[#This Row],[製品型番]])=0,"記載なし","")</f>
        <v/>
      </c>
      <c r="BS191" t="e">
        <f>COUNTIF(#REF!,マスタ_EOLリスト[[#This Row],[製品型番]])</f>
        <v>#REF!</v>
      </c>
    </row>
    <row r="192" spans="1:71">
      <c r="A192" t="str">
        <v>M9622</v>
      </c>
      <c r="B192" t="s">
        <v>147</v>
      </c>
      <c r="C192" t="s">
        <v>539</v>
      </c>
      <c r="D192" t="s">
        <v>854</v>
      </c>
      <c r="E192">
        <v>218586</v>
      </c>
      <c r="F192" t="s">
        <v>855</v>
      </c>
      <c r="G192" t="s">
        <v>856</v>
      </c>
      <c r="H192" t="s">
        <v>857</v>
      </c>
      <c r="I192">
        <v>16</v>
      </c>
      <c r="K192" t="s">
        <v>851</v>
      </c>
      <c r="L192" t="s">
        <v>858</v>
      </c>
      <c r="M192">
        <v>36</v>
      </c>
      <c r="N192">
        <v>36</v>
      </c>
      <c r="W192">
        <v>100</v>
      </c>
      <c r="AW192" t="b">
        <v>1</v>
      </c>
      <c r="AX192" t="s">
        <v>859</v>
      </c>
      <c r="BA192" t="s">
        <v>442</v>
      </c>
      <c r="BB192" t="s">
        <v>170</v>
      </c>
      <c r="BC192" t="s">
        <v>442</v>
      </c>
      <c r="BD192" t="s">
        <v>442</v>
      </c>
      <c r="BJ192" t="s">
        <v>253</v>
      </c>
      <c r="BM192" t="str">
        <f>IF(COUNTIFS('在庫使用計画 (ノート全体試算)'!C:C,マスタ_EOLリスト[[#This Row],[製品型番]])=0,"記載なし","")</f>
        <v/>
      </c>
      <c r="BN192" t="str">
        <f>IF(COUNTIFS('在庫使用計画 (一般)'!C:C,マスタ_EOLリスト[[#This Row],[製品型番]])=0,"記載なし","")</f>
        <v/>
      </c>
      <c r="BO192" t="str">
        <f>IF(COUNTIFS('在庫使用計画 (法人)'!C:C,マスタ_EOLリスト[[#This Row],[製品型番]])=0,"記載なし","")</f>
        <v/>
      </c>
      <c r="BP192" t="str">
        <f>IF(COUNTIFS('在庫使用計画 (全体実績+予測）0701'!C:C,マスタ_EOLリスト[[#This Row],[製品型番]])=0,"記載なし","")</f>
        <v/>
      </c>
      <c r="BQ192" t="str">
        <f ca="1">IF(COUNTIFS('在庫使用計画 (計画　予測)'!C:C,マスタ_EOLリスト[[#This Row],[製品型番]])=0,"記載なし","")</f>
        <v/>
      </c>
      <c r="BR192" t="str">
        <f>IF(COUNTIFS(在庫確認!B:B,マスタ_EOLリスト[[#This Row],[製品型番]])=0,"記載なし","")</f>
        <v/>
      </c>
      <c r="BS192" t="e">
        <f>COUNTIF(#REF!,マスタ_EOLリスト[[#This Row],[製品型番]])</f>
        <v>#REF!</v>
      </c>
    </row>
    <row r="193" spans="1:71">
      <c r="A193" t="str">
        <v>F-14MTL</v>
      </c>
      <c r="B193" t="s">
        <v>142</v>
      </c>
      <c r="C193" t="s">
        <v>539</v>
      </c>
      <c r="D193" t="s">
        <v>860</v>
      </c>
      <c r="E193">
        <v>193203</v>
      </c>
      <c r="F193" t="s">
        <v>861</v>
      </c>
      <c r="G193" t="s">
        <v>720</v>
      </c>
      <c r="H193" t="s">
        <v>862</v>
      </c>
      <c r="I193">
        <v>14</v>
      </c>
      <c r="K193" t="s">
        <v>863</v>
      </c>
      <c r="L193" t="s">
        <v>438</v>
      </c>
      <c r="M193">
        <v>0</v>
      </c>
      <c r="N193">
        <v>0</v>
      </c>
      <c r="O193" t="s">
        <v>864</v>
      </c>
      <c r="P193">
        <v>45456</v>
      </c>
      <c r="Q193">
        <v>45352</v>
      </c>
      <c r="V193">
        <v>1200</v>
      </c>
      <c r="W193">
        <v>1006</v>
      </c>
      <c r="AB193">
        <v>203750</v>
      </c>
      <c r="AC193" t="s">
        <v>781</v>
      </c>
      <c r="AK193">
        <v>194895</v>
      </c>
      <c r="AL193">
        <v>45478</v>
      </c>
      <c r="AM193">
        <v>100</v>
      </c>
      <c r="AN193" t="s">
        <v>547</v>
      </c>
      <c r="AO193">
        <v>20</v>
      </c>
      <c r="AQ193" t="s">
        <v>865</v>
      </c>
      <c r="AU193" t="s">
        <v>547</v>
      </c>
      <c r="AV193" t="s">
        <v>549</v>
      </c>
      <c r="AW193" t="s">
        <v>21</v>
      </c>
      <c r="AX193" t="s">
        <v>144</v>
      </c>
      <c r="BA193" t="s">
        <v>442</v>
      </c>
      <c r="BB193" t="s">
        <v>170</v>
      </c>
      <c r="BC193" t="s">
        <v>442</v>
      </c>
      <c r="BD193" t="s">
        <v>442</v>
      </c>
      <c r="BM193" t="str">
        <f>IF(COUNTIFS('在庫使用計画 (ノート全体試算)'!C:C,マスタ_EOLリスト[[#This Row],[製品型番]])=0,"記載なし","")</f>
        <v/>
      </c>
      <c r="BN193" t="str">
        <f>IF(COUNTIFS('在庫使用計画 (一般)'!C:C,マスタ_EOLリスト[[#This Row],[製品型番]])=0,"記載なし","")</f>
        <v/>
      </c>
      <c r="BO193" t="str">
        <f>IF(COUNTIFS('在庫使用計画 (法人)'!C:C,マスタ_EOLリスト[[#This Row],[製品型番]])=0,"記載なし","")</f>
        <v/>
      </c>
      <c r="BP193" t="str">
        <f>IF(COUNTIFS('在庫使用計画 (全体実績+予測）0701'!C:C,マスタ_EOLリスト[[#This Row],[製品型番]])=0,"記載なし","")</f>
        <v/>
      </c>
      <c r="BQ193" t="str">
        <f ca="1">IF(COUNTIFS('在庫使用計画 (計画　予測)'!C:C,マスタ_EOLリスト[[#This Row],[製品型番]])=0,"記載なし","")</f>
        <v>記載なし</v>
      </c>
      <c r="BR193" t="str">
        <f>IF(COUNTIFS(在庫確認!B:B,マスタ_EOLリスト[[#This Row],[製品型番]])=0,"記載なし","")</f>
        <v/>
      </c>
      <c r="BS193" t="e">
        <f>COUNTIF(#REF!,マスタ_EOLリスト[[#This Row],[製品型番]])</f>
        <v>#REF!</v>
      </c>
    </row>
    <row r="194" spans="1:71">
      <c r="A194" t="str">
        <v>F-14MTL</v>
      </c>
      <c r="B194" t="s">
        <v>142</v>
      </c>
      <c r="C194" t="s">
        <v>539</v>
      </c>
      <c r="D194" t="s">
        <v>860</v>
      </c>
      <c r="E194">
        <v>199323</v>
      </c>
      <c r="F194" t="s">
        <v>866</v>
      </c>
      <c r="G194" t="s">
        <v>720</v>
      </c>
      <c r="H194" t="s">
        <v>862</v>
      </c>
      <c r="I194">
        <v>14</v>
      </c>
      <c r="L194" t="s">
        <v>438</v>
      </c>
      <c r="M194">
        <v>0</v>
      </c>
      <c r="N194">
        <v>0</v>
      </c>
      <c r="P194" t="s">
        <v>867</v>
      </c>
      <c r="Q194">
        <v>45352</v>
      </c>
      <c r="R194" t="s">
        <v>173</v>
      </c>
      <c r="AK194">
        <v>207661</v>
      </c>
      <c r="AL194">
        <v>45483</v>
      </c>
      <c r="AM194">
        <v>125</v>
      </c>
      <c r="AN194" t="s">
        <v>547</v>
      </c>
      <c r="AO194">
        <v>20</v>
      </c>
      <c r="AQ194" t="s">
        <v>865</v>
      </c>
      <c r="AU194" t="s">
        <v>547</v>
      </c>
      <c r="AV194" t="s">
        <v>549</v>
      </c>
      <c r="AW194" t="s">
        <v>21</v>
      </c>
      <c r="AX194" t="s">
        <v>144</v>
      </c>
      <c r="BM194" t="str">
        <f>IF(COUNTIFS('在庫使用計画 (ノート全体試算)'!C:C,マスタ_EOLリスト[[#This Row],[製品型番]])=0,"記載なし","")</f>
        <v/>
      </c>
      <c r="BN194" t="str">
        <f>IF(COUNTIFS('在庫使用計画 (一般)'!C:C,マスタ_EOLリスト[[#This Row],[製品型番]])=0,"記載なし","")</f>
        <v/>
      </c>
      <c r="BO194" t="str">
        <f>IF(COUNTIFS('在庫使用計画 (法人)'!C:C,マスタ_EOLリスト[[#This Row],[製品型番]])=0,"記載なし","")</f>
        <v/>
      </c>
      <c r="BP194" t="str">
        <f>IF(COUNTIFS('在庫使用計画 (全体実績+予測）0701'!C:C,マスタ_EOLリスト[[#This Row],[製品型番]])=0,"記載なし","")</f>
        <v/>
      </c>
      <c r="BQ194" t="str">
        <f ca="1">IF(COUNTIFS('在庫使用計画 (計画　予測)'!C:C,マスタ_EOLリスト[[#This Row],[製品型番]])=0,"記載なし","")</f>
        <v>記載なし</v>
      </c>
      <c r="BR194" t="str">
        <f>IF(COUNTIFS(在庫確認!B:B,マスタ_EOLリスト[[#This Row],[製品型番]])=0,"記載なし","")</f>
        <v/>
      </c>
      <c r="BS194" t="e">
        <f>COUNTIF(#REF!,マスタ_EOLリスト[[#This Row],[製品型番]])</f>
        <v>#REF!</v>
      </c>
    </row>
    <row r="195" spans="1:71">
      <c r="A195" t="str">
        <v>VF-AD5 8GB</v>
      </c>
      <c r="B195" t="s">
        <v>142</v>
      </c>
      <c r="C195" t="s">
        <v>539</v>
      </c>
      <c r="D195" t="s">
        <v>868</v>
      </c>
      <c r="E195">
        <v>173424</v>
      </c>
      <c r="F195" t="s">
        <v>869</v>
      </c>
      <c r="G195" t="s">
        <v>870</v>
      </c>
      <c r="M195">
        <v>0</v>
      </c>
      <c r="N195">
        <v>0</v>
      </c>
      <c r="Q195">
        <v>45261</v>
      </c>
      <c r="R195" t="s">
        <v>871</v>
      </c>
      <c r="W195">
        <v>998</v>
      </c>
      <c r="X195">
        <v>362</v>
      </c>
      <c r="AF195">
        <v>0.36272545090180358</v>
      </c>
      <c r="AL195" t="s">
        <v>21</v>
      </c>
      <c r="AM195" t="s">
        <v>21</v>
      </c>
      <c r="AW195" t="s">
        <v>21</v>
      </c>
      <c r="AX195" t="s">
        <v>144</v>
      </c>
      <c r="BM195" t="str">
        <f>IF(COUNTIFS('在庫使用計画 (ノート全体試算)'!C:C,マスタ_EOLリスト[[#This Row],[製品型番]])=0,"記載なし","")</f>
        <v/>
      </c>
      <c r="BN195" t="str">
        <f>IF(COUNTIFS('在庫使用計画 (一般)'!C:C,マスタ_EOLリスト[[#This Row],[製品型番]])=0,"記載なし","")</f>
        <v>記載なし</v>
      </c>
      <c r="BO195" t="str">
        <f>IF(COUNTIFS('在庫使用計画 (法人)'!C:C,マスタ_EOLリスト[[#This Row],[製品型番]])=0,"記載なし","")</f>
        <v>記載なし</v>
      </c>
      <c r="BP195" t="str">
        <f>IF(COUNTIFS('在庫使用計画 (全体実績+予測）0701'!C:C,マスタ_EOLリスト[[#This Row],[製品型番]])=0,"記載なし","")</f>
        <v/>
      </c>
      <c r="BQ195" t="str">
        <f ca="1">IF(COUNTIFS('在庫使用計画 (計画　予測)'!C:C,マスタ_EOLリスト[[#This Row],[製品型番]])=0,"記載なし","")</f>
        <v>記載なし</v>
      </c>
      <c r="BR195" t="str">
        <f>IF(COUNTIFS(在庫確認!B:B,マスタ_EOLリスト[[#This Row],[製品型番]])=0,"記載なし","")</f>
        <v/>
      </c>
      <c r="BS195" t="e">
        <f>COUNTIF(#REF!,マスタ_EOLリスト[[#This Row],[製品型番]])</f>
        <v>#REF!</v>
      </c>
    </row>
    <row r="196" spans="1:71">
      <c r="A196" t="str">
        <v>VF-AD5</v>
      </c>
      <c r="B196" t="s">
        <v>142</v>
      </c>
      <c r="C196" t="s">
        <v>539</v>
      </c>
      <c r="D196" t="s">
        <v>872</v>
      </c>
      <c r="E196">
        <v>168239</v>
      </c>
      <c r="F196" t="s">
        <v>873</v>
      </c>
      <c r="M196">
        <v>0</v>
      </c>
      <c r="N196">
        <v>0</v>
      </c>
      <c r="Q196">
        <v>45261</v>
      </c>
      <c r="R196" t="s">
        <v>874</v>
      </c>
      <c r="W196">
        <v>2720</v>
      </c>
      <c r="X196">
        <v>682</v>
      </c>
      <c r="AF196">
        <v>0.25073529411764706</v>
      </c>
      <c r="AL196" t="s">
        <v>21</v>
      </c>
      <c r="AM196" t="s">
        <v>21</v>
      </c>
      <c r="AW196" t="s">
        <v>21</v>
      </c>
      <c r="AX196" t="s">
        <v>144</v>
      </c>
      <c r="BA196" t="s">
        <v>207</v>
      </c>
      <c r="BB196" t="s">
        <v>207</v>
      </c>
      <c r="BC196" t="s">
        <v>207</v>
      </c>
      <c r="BD196" t="s">
        <v>207</v>
      </c>
      <c r="BM196" t="str">
        <f>IF(COUNTIFS('在庫使用計画 (ノート全体試算)'!C:C,マスタ_EOLリスト[[#This Row],[製品型番]])=0,"記載なし","")</f>
        <v/>
      </c>
      <c r="BN196" t="str">
        <f>IF(COUNTIFS('在庫使用計画 (一般)'!C:C,マスタ_EOLリスト[[#This Row],[製品型番]])=0,"記載なし","")</f>
        <v>記載なし</v>
      </c>
      <c r="BO196" t="str">
        <f>IF(COUNTIFS('在庫使用計画 (法人)'!C:C,マスタ_EOLリスト[[#This Row],[製品型番]])=0,"記載なし","")</f>
        <v/>
      </c>
      <c r="BP196" t="str">
        <f>IF(COUNTIFS('在庫使用計画 (全体実績+予測）0701'!C:C,マスタ_EOLリスト[[#This Row],[製品型番]])=0,"記載なし","")</f>
        <v/>
      </c>
      <c r="BQ196" t="str">
        <f ca="1">IF(COUNTIFS('在庫使用計画 (計画　予測)'!C:C,マスタ_EOLリスト[[#This Row],[製品型番]])=0,"記載なし","")</f>
        <v>記載なし</v>
      </c>
      <c r="BR196" t="str">
        <f>IF(COUNTIFS(在庫確認!B:B,マスタ_EOLリスト[[#This Row],[製品型番]])=0,"記載なし","")</f>
        <v/>
      </c>
      <c r="BS196" t="e">
        <f>COUNTIF(#REF!,マスタ_EOLリスト[[#This Row],[製品型番]])</f>
        <v>#REF!</v>
      </c>
    </row>
    <row r="197" spans="1:71">
      <c r="A197" t="str">
        <v>VF-AD5</v>
      </c>
      <c r="B197" t="s">
        <v>142</v>
      </c>
      <c r="C197" t="s">
        <v>539</v>
      </c>
      <c r="D197" t="s">
        <v>872</v>
      </c>
      <c r="E197">
        <v>173742</v>
      </c>
      <c r="F197" t="s">
        <v>875</v>
      </c>
      <c r="G197" t="s">
        <v>870</v>
      </c>
      <c r="M197">
        <v>0</v>
      </c>
      <c r="N197">
        <v>0</v>
      </c>
      <c r="Q197">
        <v>45261</v>
      </c>
      <c r="R197" t="s">
        <v>871</v>
      </c>
      <c r="W197">
        <v>2280</v>
      </c>
      <c r="AF197">
        <v>0</v>
      </c>
      <c r="AH197" t="s">
        <v>876</v>
      </c>
      <c r="AL197" t="s">
        <v>21</v>
      </c>
      <c r="AM197" t="s">
        <v>21</v>
      </c>
      <c r="AW197" t="s">
        <v>21</v>
      </c>
      <c r="AX197" t="s">
        <v>144</v>
      </c>
      <c r="BA197" t="s">
        <v>207</v>
      </c>
      <c r="BB197" t="s">
        <v>207</v>
      </c>
      <c r="BC197" t="s">
        <v>207</v>
      </c>
      <c r="BD197" t="s">
        <v>207</v>
      </c>
      <c r="BM197" t="str">
        <f>IF(COUNTIFS('在庫使用計画 (ノート全体試算)'!C:C,マスタ_EOLリスト[[#This Row],[製品型番]])=0,"記載なし","")</f>
        <v/>
      </c>
      <c r="BN197" t="str">
        <f>IF(COUNTIFS('在庫使用計画 (一般)'!C:C,マスタ_EOLリスト[[#This Row],[製品型番]])=0,"記載なし","")</f>
        <v>記載なし</v>
      </c>
      <c r="BO197" t="str">
        <f>IF(COUNTIFS('在庫使用計画 (法人)'!C:C,マスタ_EOLリスト[[#This Row],[製品型番]])=0,"記載なし","")</f>
        <v/>
      </c>
      <c r="BP197" t="str">
        <f>IF(COUNTIFS('在庫使用計画 (全体実績+予測）0701'!C:C,マスタ_EOLリスト[[#This Row],[製品型番]])=0,"記載なし","")</f>
        <v/>
      </c>
      <c r="BQ197" t="str">
        <f ca="1">IF(COUNTIFS('在庫使用計画 (計画　予測)'!C:C,マスタ_EOLリスト[[#This Row],[製品型番]])=0,"記載なし","")</f>
        <v>記載なし</v>
      </c>
      <c r="BR197" t="str">
        <f>IF(COUNTIFS(在庫確認!B:B,マスタ_EOLリスト[[#This Row],[製品型番]])=0,"記載なし","")</f>
        <v/>
      </c>
      <c r="BS197" t="e">
        <f>COUNTIF(#REF!,マスタ_EOLリスト[[#This Row],[製品型番]])</f>
        <v>#REF!</v>
      </c>
    </row>
    <row r="198" spans="1:71">
      <c r="A198" t="e">
        <v>#N/A</v>
      </c>
      <c r="B198" t="s">
        <v>142</v>
      </c>
      <c r="C198" t="s">
        <v>539</v>
      </c>
      <c r="D198" t="s">
        <v>877</v>
      </c>
      <c r="E198">
        <v>166581</v>
      </c>
      <c r="F198" t="s">
        <v>878</v>
      </c>
      <c r="H198" t="s">
        <v>21</v>
      </c>
      <c r="M198">
        <v>0</v>
      </c>
      <c r="N198">
        <v>0</v>
      </c>
      <c r="Q198">
        <v>45078</v>
      </c>
      <c r="R198" t="s">
        <v>871</v>
      </c>
      <c r="W198">
        <v>6000</v>
      </c>
      <c r="X198">
        <v>3525</v>
      </c>
      <c r="AF198">
        <v>0.58750000000000002</v>
      </c>
      <c r="AL198" t="s">
        <v>21</v>
      </c>
      <c r="AM198" t="s">
        <v>21</v>
      </c>
      <c r="AW198" t="s">
        <v>21</v>
      </c>
      <c r="AX198" t="s">
        <v>144</v>
      </c>
      <c r="BA198" t="s">
        <v>207</v>
      </c>
      <c r="BB198" t="s">
        <v>207</v>
      </c>
      <c r="BC198" t="s">
        <v>207</v>
      </c>
      <c r="BD198" t="s">
        <v>207</v>
      </c>
      <c r="BM198" t="str">
        <f>IF(COUNTIFS('在庫使用計画 (ノート全体試算)'!C:C,マスタ_EOLリスト[[#This Row],[製品型番]])=0,"記載なし","")</f>
        <v>記載なし</v>
      </c>
      <c r="BN198" t="str">
        <f>IF(COUNTIFS('在庫使用計画 (一般)'!C:C,マスタ_EOLリスト[[#This Row],[製品型番]])=0,"記載なし","")</f>
        <v>記載なし</v>
      </c>
      <c r="BO198" t="str">
        <f>IF(COUNTIFS('在庫使用計画 (法人)'!C:C,マスタ_EOLリスト[[#This Row],[製品型番]])=0,"記載なし","")</f>
        <v>記載なし</v>
      </c>
      <c r="BP198" t="str">
        <f>IF(COUNTIFS('在庫使用計画 (全体実績+予測）0701'!C:C,マスタ_EOLリスト[[#This Row],[製品型番]])=0,"記載なし","")</f>
        <v>記載なし</v>
      </c>
      <c r="BQ198" t="str">
        <f ca="1">IF(COUNTIFS('在庫使用計画 (計画　予測)'!C:C,マスタ_EOLリスト[[#This Row],[製品型番]])=0,"記載なし","")</f>
        <v>記載なし</v>
      </c>
      <c r="BR198" t="str">
        <f>IF(COUNTIFS(在庫確認!B:B,マスタ_EOLリスト[[#This Row],[製品型番]])=0,"記載なし","")</f>
        <v/>
      </c>
      <c r="BS198" t="e">
        <f>COUNTIF(#REF!,マスタ_EOLリスト[[#This Row],[製品型番]])</f>
        <v>#REF!</v>
      </c>
    </row>
    <row r="199" spans="1:71">
      <c r="A199" t="e">
        <v>#N/A</v>
      </c>
      <c r="B199" t="s">
        <v>142</v>
      </c>
      <c r="C199" t="s">
        <v>539</v>
      </c>
      <c r="D199" t="s">
        <v>879</v>
      </c>
      <c r="E199">
        <v>165090</v>
      </c>
      <c r="F199" t="s">
        <v>880</v>
      </c>
      <c r="H199" t="s">
        <v>21</v>
      </c>
      <c r="M199">
        <v>0</v>
      </c>
      <c r="N199">
        <v>0</v>
      </c>
      <c r="W199">
        <v>3559</v>
      </c>
      <c r="X199">
        <v>155</v>
      </c>
      <c r="AF199">
        <v>4.3551559426805282E-2</v>
      </c>
      <c r="AL199" t="s">
        <v>21</v>
      </c>
      <c r="AM199" t="s">
        <v>21</v>
      </c>
      <c r="AW199" t="s">
        <v>21</v>
      </c>
      <c r="AX199" t="s">
        <v>144</v>
      </c>
      <c r="BA199" t="s">
        <v>207</v>
      </c>
      <c r="BB199" t="s">
        <v>207</v>
      </c>
      <c r="BC199" t="s">
        <v>207</v>
      </c>
      <c r="BD199" t="s">
        <v>207</v>
      </c>
      <c r="BM199" t="str">
        <f>IF(COUNTIFS('在庫使用計画 (ノート全体試算)'!C:C,マスタ_EOLリスト[[#This Row],[製品型番]])=0,"記載なし","")</f>
        <v>記載なし</v>
      </c>
      <c r="BN199" t="str">
        <f>IF(COUNTIFS('在庫使用計画 (一般)'!C:C,マスタ_EOLリスト[[#This Row],[製品型番]])=0,"記載なし","")</f>
        <v>記載なし</v>
      </c>
      <c r="BO199" t="str">
        <f>IF(COUNTIFS('在庫使用計画 (法人)'!C:C,マスタ_EOLリスト[[#This Row],[製品型番]])=0,"記載なし","")</f>
        <v>記載なし</v>
      </c>
      <c r="BP199" t="str">
        <f>IF(COUNTIFS('在庫使用計画 (全体実績+予測）0701'!C:C,マスタ_EOLリスト[[#This Row],[製品型番]])=0,"記載なし","")</f>
        <v>記載なし</v>
      </c>
      <c r="BQ199" t="str">
        <f ca="1">IF(COUNTIFS('在庫使用計画 (計画　予測)'!C:C,マスタ_EOLリスト[[#This Row],[製品型番]])=0,"記載なし","")</f>
        <v>記載なし</v>
      </c>
      <c r="BR199" t="str">
        <f>IF(COUNTIFS(在庫確認!B:B,マスタ_EOLリスト[[#This Row],[製品型番]])=0,"記載なし","")</f>
        <v/>
      </c>
      <c r="BS199" t="e">
        <f>COUNTIF(#REF!,マスタ_EOLリスト[[#This Row],[製品型番]])</f>
        <v>#REF!</v>
      </c>
    </row>
    <row r="200" spans="1:71">
      <c r="A200" t="e">
        <v>#N/A</v>
      </c>
      <c r="B200" t="s">
        <v>142</v>
      </c>
      <c r="C200" t="s">
        <v>539</v>
      </c>
      <c r="D200" t="s">
        <v>881</v>
      </c>
      <c r="E200">
        <v>169043</v>
      </c>
      <c r="F200" t="s">
        <v>882</v>
      </c>
      <c r="H200" t="s">
        <v>21</v>
      </c>
      <c r="M200">
        <v>0</v>
      </c>
      <c r="N200">
        <v>0</v>
      </c>
      <c r="Q200">
        <v>44986</v>
      </c>
      <c r="S200">
        <v>20</v>
      </c>
      <c r="W200">
        <v>1900</v>
      </c>
      <c r="X200">
        <v>1623</v>
      </c>
      <c r="AD200">
        <v>20</v>
      </c>
      <c r="AE200">
        <v>1.0526315789473684E-2</v>
      </c>
      <c r="AF200">
        <v>0.85421052631578942</v>
      </c>
      <c r="AG200">
        <v>0</v>
      </c>
      <c r="AH200">
        <v>0.13526315789473689</v>
      </c>
      <c r="AL200" t="s">
        <v>21</v>
      </c>
      <c r="AM200" t="s">
        <v>21</v>
      </c>
      <c r="AW200" t="s">
        <v>21</v>
      </c>
      <c r="AX200" t="s">
        <v>144</v>
      </c>
      <c r="BA200" t="s">
        <v>207</v>
      </c>
      <c r="BB200" t="s">
        <v>207</v>
      </c>
      <c r="BC200" t="s">
        <v>207</v>
      </c>
      <c r="BD200" t="s">
        <v>207</v>
      </c>
      <c r="BM200" t="str">
        <f>IF(COUNTIFS('在庫使用計画 (ノート全体試算)'!C:C,マスタ_EOLリスト[[#This Row],[製品型番]])=0,"記載なし","")</f>
        <v>記載なし</v>
      </c>
      <c r="BN200" t="str">
        <f>IF(COUNTIFS('在庫使用計画 (一般)'!C:C,マスタ_EOLリスト[[#This Row],[製品型番]])=0,"記載なし","")</f>
        <v>記載なし</v>
      </c>
      <c r="BO200" t="str">
        <f>IF(COUNTIFS('在庫使用計画 (法人)'!C:C,マスタ_EOLリスト[[#This Row],[製品型番]])=0,"記載なし","")</f>
        <v>記載なし</v>
      </c>
      <c r="BP200" t="str">
        <f>IF(COUNTIFS('在庫使用計画 (全体実績+予測）0701'!C:C,マスタ_EOLリスト[[#This Row],[製品型番]])=0,"記載なし","")</f>
        <v>記載なし</v>
      </c>
      <c r="BQ200" t="str">
        <f ca="1">IF(COUNTIFS('在庫使用計画 (計画　予測)'!C:C,マスタ_EOLリスト[[#This Row],[製品型番]])=0,"記載なし","")</f>
        <v>記載なし</v>
      </c>
      <c r="BR200" t="str">
        <f>IF(COUNTIFS(在庫確認!B:B,マスタ_EOLリスト[[#This Row],[製品型番]])=0,"記載なし","")</f>
        <v/>
      </c>
      <c r="BS200" t="e">
        <f>COUNTIF(#REF!,マスタ_EOLリスト[[#This Row],[製品型番]])</f>
        <v>#REF!</v>
      </c>
    </row>
    <row r="201" spans="1:71">
      <c r="A201" t="e">
        <v>#N/A</v>
      </c>
      <c r="B201" t="s">
        <v>142</v>
      </c>
      <c r="C201" t="s">
        <v>539</v>
      </c>
      <c r="D201" t="s">
        <v>883</v>
      </c>
      <c r="E201">
        <v>169041</v>
      </c>
      <c r="F201" t="s">
        <v>884</v>
      </c>
      <c r="H201" t="s">
        <v>21</v>
      </c>
      <c r="M201">
        <v>0</v>
      </c>
      <c r="N201">
        <v>0</v>
      </c>
      <c r="Q201">
        <v>44986</v>
      </c>
      <c r="W201">
        <v>1600</v>
      </c>
      <c r="X201">
        <v>1215</v>
      </c>
      <c r="AD201">
        <v>50</v>
      </c>
      <c r="AE201">
        <v>3.125E-2</v>
      </c>
      <c r="AF201">
        <v>0.75937500000000002</v>
      </c>
      <c r="AG201">
        <v>0</v>
      </c>
      <c r="AH201">
        <v>0.20937500000000001</v>
      </c>
      <c r="AL201" t="s">
        <v>21</v>
      </c>
      <c r="AM201" t="s">
        <v>21</v>
      </c>
      <c r="AW201" t="s">
        <v>21</v>
      </c>
      <c r="AX201" t="s">
        <v>144</v>
      </c>
      <c r="BM201" t="str">
        <f>IF(COUNTIFS('在庫使用計画 (ノート全体試算)'!C:C,マスタ_EOLリスト[[#This Row],[製品型番]])=0,"記載なし","")</f>
        <v>記載なし</v>
      </c>
      <c r="BN201" t="str">
        <f>IF(COUNTIFS('在庫使用計画 (一般)'!C:C,マスタ_EOLリスト[[#This Row],[製品型番]])=0,"記載なし","")</f>
        <v>記載なし</v>
      </c>
      <c r="BO201" t="str">
        <f>IF(COUNTIFS('在庫使用計画 (法人)'!C:C,マスタ_EOLリスト[[#This Row],[製品型番]])=0,"記載なし","")</f>
        <v>記載なし</v>
      </c>
      <c r="BP201" t="str">
        <f>IF(COUNTIFS('在庫使用計画 (全体実績+予測）0701'!C:C,マスタ_EOLリスト[[#This Row],[製品型番]])=0,"記載なし","")</f>
        <v>記載なし</v>
      </c>
      <c r="BQ201" t="str">
        <f ca="1">IF(COUNTIFS('在庫使用計画 (計画　予測)'!C:C,マスタ_EOLリスト[[#This Row],[製品型番]])=0,"記載なし","")</f>
        <v>記載なし</v>
      </c>
      <c r="BR201" t="str">
        <f>IF(COUNTIFS(在庫確認!B:B,マスタ_EOLリスト[[#This Row],[製品型番]])=0,"記載なし","")</f>
        <v/>
      </c>
      <c r="BS201" t="e">
        <f>COUNTIF(#REF!,マスタ_EOLリスト[[#This Row],[製品型番]])</f>
        <v>#REF!</v>
      </c>
    </row>
    <row r="202" spans="1:71">
      <c r="A202" t="e">
        <v>#N/A</v>
      </c>
      <c r="B202" t="s">
        <v>142</v>
      </c>
      <c r="C202" t="s">
        <v>539</v>
      </c>
      <c r="D202" t="s">
        <v>885</v>
      </c>
      <c r="E202">
        <v>169040</v>
      </c>
      <c r="F202" t="s">
        <v>886</v>
      </c>
      <c r="H202" t="s">
        <v>21</v>
      </c>
      <c r="M202">
        <v>0</v>
      </c>
      <c r="N202">
        <v>0</v>
      </c>
      <c r="Q202">
        <v>44986</v>
      </c>
      <c r="S202">
        <v>5</v>
      </c>
      <c r="T202">
        <v>44972</v>
      </c>
      <c r="W202">
        <v>2300</v>
      </c>
      <c r="X202">
        <v>1964</v>
      </c>
      <c r="AD202">
        <v>5</v>
      </c>
      <c r="AE202">
        <v>2.1739130434782609E-3</v>
      </c>
      <c r="AF202">
        <v>0.85391304347826091</v>
      </c>
      <c r="AG202">
        <v>0</v>
      </c>
      <c r="AH202">
        <v>0.14391304347826084</v>
      </c>
      <c r="AL202" t="s">
        <v>21</v>
      </c>
      <c r="AM202" t="s">
        <v>21</v>
      </c>
      <c r="AW202" t="s">
        <v>21</v>
      </c>
      <c r="AX202" t="s">
        <v>144</v>
      </c>
      <c r="BM202" t="str">
        <f>IF(COUNTIFS('在庫使用計画 (ノート全体試算)'!C:C,マスタ_EOLリスト[[#This Row],[製品型番]])=0,"記載なし","")</f>
        <v>記載なし</v>
      </c>
      <c r="BN202" t="str">
        <f>IF(COUNTIFS('在庫使用計画 (一般)'!C:C,マスタ_EOLリスト[[#This Row],[製品型番]])=0,"記載なし","")</f>
        <v>記載なし</v>
      </c>
      <c r="BO202" t="str">
        <f>IF(COUNTIFS('在庫使用計画 (法人)'!C:C,マスタ_EOLリスト[[#This Row],[製品型番]])=0,"記載なし","")</f>
        <v>記載なし</v>
      </c>
      <c r="BP202" t="str">
        <f>IF(COUNTIFS('在庫使用計画 (全体実績+予測）0701'!C:C,マスタ_EOLリスト[[#This Row],[製品型番]])=0,"記載なし","")</f>
        <v>記載なし</v>
      </c>
      <c r="BQ202" t="str">
        <f ca="1">IF(COUNTIFS('在庫使用計画 (計画　予測)'!C:C,マスタ_EOLリスト[[#This Row],[製品型番]])=0,"記載なし","")</f>
        <v>記載なし</v>
      </c>
      <c r="BR202" t="str">
        <f>IF(COUNTIFS(在庫確認!B:B,マスタ_EOLリスト[[#This Row],[製品型番]])=0,"記載なし","")</f>
        <v/>
      </c>
      <c r="BS202" t="e">
        <f>COUNTIF(#REF!,マスタ_EOLリスト[[#This Row],[製品型番]])</f>
        <v>#REF!</v>
      </c>
    </row>
    <row r="203" spans="1:71">
      <c r="A203" t="str">
        <v>R5-AA6</v>
      </c>
      <c r="B203" t="s">
        <v>142</v>
      </c>
      <c r="C203" t="s">
        <v>539</v>
      </c>
      <c r="D203" t="s">
        <v>887</v>
      </c>
      <c r="E203">
        <v>172770</v>
      </c>
      <c r="F203" t="s">
        <v>888</v>
      </c>
      <c r="K203" t="s">
        <v>889</v>
      </c>
      <c r="L203">
        <v>3060</v>
      </c>
      <c r="M203">
        <v>0</v>
      </c>
      <c r="N203">
        <v>0</v>
      </c>
      <c r="W203">
        <v>6060</v>
      </c>
      <c r="AL203" t="s">
        <v>21</v>
      </c>
      <c r="AM203" t="s">
        <v>21</v>
      </c>
      <c r="AW203" t="s">
        <v>21</v>
      </c>
      <c r="AX203" t="s">
        <v>144</v>
      </c>
      <c r="BM203" t="str">
        <f>IF(COUNTIFS('在庫使用計画 (ノート全体試算)'!C:C,マスタ_EOLリスト[[#This Row],[製品型番]])=0,"記載なし","")</f>
        <v/>
      </c>
      <c r="BN203" t="str">
        <f>IF(COUNTIFS('在庫使用計画 (一般)'!C:C,マスタ_EOLリスト[[#This Row],[製品型番]])=0,"記載なし","")</f>
        <v/>
      </c>
      <c r="BO203" t="str">
        <f>IF(COUNTIFS('在庫使用計画 (法人)'!C:C,マスタ_EOLリスト[[#This Row],[製品型番]])=0,"記載なし","")</f>
        <v/>
      </c>
      <c r="BP203" t="str">
        <f>IF(COUNTIFS('在庫使用計画 (全体実績+予測）0701'!C:C,マスタ_EOLリスト[[#This Row],[製品型番]])=0,"記載なし","")</f>
        <v/>
      </c>
      <c r="BQ203" t="str">
        <f ca="1">IF(COUNTIFS('在庫使用計画 (計画　予測)'!C:C,マスタ_EOLリスト[[#This Row],[製品型番]])=0,"記載なし","")</f>
        <v>記載なし</v>
      </c>
      <c r="BR203" t="str">
        <f>IF(COUNTIFS(在庫確認!B:B,マスタ_EOLリスト[[#This Row],[製品型番]])=0,"記載なし","")</f>
        <v/>
      </c>
      <c r="BS203" t="e">
        <f>COUNTIF(#REF!,マスタ_EOLリスト[[#This Row],[製品型番]])</f>
        <v>#REF!</v>
      </c>
    </row>
    <row r="204" spans="1:71">
      <c r="A204" t="e">
        <v>#N/A</v>
      </c>
      <c r="B204" t="s">
        <v>142</v>
      </c>
      <c r="C204" t="s">
        <v>539</v>
      </c>
      <c r="D204" t="s">
        <v>890</v>
      </c>
      <c r="E204">
        <v>172132</v>
      </c>
      <c r="F204" t="s">
        <v>891</v>
      </c>
      <c r="H204" t="s">
        <v>21</v>
      </c>
      <c r="M204">
        <v>0</v>
      </c>
      <c r="N204">
        <v>0</v>
      </c>
      <c r="W204">
        <v>479</v>
      </c>
      <c r="X204">
        <v>749</v>
      </c>
      <c r="AF204">
        <v>1.5636743215031317</v>
      </c>
      <c r="AI204" t="s">
        <v>790</v>
      </c>
      <c r="AJ204" t="s">
        <v>751</v>
      </c>
      <c r="AL204">
        <v>45566</v>
      </c>
      <c r="AM204">
        <v>15</v>
      </c>
      <c r="AW204" t="s">
        <v>21</v>
      </c>
      <c r="AX204" t="s">
        <v>144</v>
      </c>
      <c r="BM204" t="str">
        <f>IF(COUNTIFS('在庫使用計画 (ノート全体試算)'!C:C,マスタ_EOLリスト[[#This Row],[製品型番]])=0,"記載なし","")</f>
        <v>記載なし</v>
      </c>
      <c r="BN204" t="str">
        <f>IF(COUNTIFS('在庫使用計画 (一般)'!C:C,マスタ_EOLリスト[[#This Row],[製品型番]])=0,"記載なし","")</f>
        <v>記載なし</v>
      </c>
      <c r="BO204" t="str">
        <f>IF(COUNTIFS('在庫使用計画 (法人)'!C:C,マスタ_EOLリスト[[#This Row],[製品型番]])=0,"記載なし","")</f>
        <v>記載なし</v>
      </c>
      <c r="BP204" t="str">
        <f>IF(COUNTIFS('在庫使用計画 (全体実績+予測）0701'!C:C,マスタ_EOLリスト[[#This Row],[製品型番]])=0,"記載なし","")</f>
        <v>記載なし</v>
      </c>
      <c r="BQ204" t="str">
        <f ca="1">IF(COUNTIFS('在庫使用計画 (計画　予測)'!C:C,マスタ_EOLリスト[[#This Row],[製品型番]])=0,"記載なし","")</f>
        <v>記載なし</v>
      </c>
      <c r="BR204" t="str">
        <f>IF(COUNTIFS(在庫確認!B:B,マスタ_EOLリスト[[#This Row],[製品型番]])=0,"記載なし","")</f>
        <v/>
      </c>
      <c r="BS204" t="e">
        <f>COUNTIF(#REF!,マスタ_EOLリスト[[#This Row],[製品型番]])</f>
        <v>#REF!</v>
      </c>
    </row>
    <row r="205" spans="1:71">
      <c r="A205" t="e">
        <v>#N/A</v>
      </c>
      <c r="B205" t="s">
        <v>142</v>
      </c>
      <c r="C205" t="s">
        <v>539</v>
      </c>
      <c r="D205" t="s">
        <v>890</v>
      </c>
      <c r="E205">
        <v>173747</v>
      </c>
      <c r="F205" t="s">
        <v>892</v>
      </c>
      <c r="H205" t="s">
        <v>21</v>
      </c>
      <c r="M205">
        <v>0</v>
      </c>
      <c r="N205">
        <v>0</v>
      </c>
      <c r="Q205">
        <v>45078</v>
      </c>
      <c r="S205">
        <v>5</v>
      </c>
      <c r="W205">
        <v>459</v>
      </c>
      <c r="X205">
        <v>749</v>
      </c>
      <c r="AF205">
        <v>1.6318082788671024</v>
      </c>
      <c r="AI205" t="s">
        <v>790</v>
      </c>
      <c r="AJ205" t="s">
        <v>751</v>
      </c>
      <c r="AL205" t="s">
        <v>21</v>
      </c>
      <c r="AM205" t="s">
        <v>21</v>
      </c>
      <c r="AW205" t="s">
        <v>21</v>
      </c>
      <c r="AX205" t="s">
        <v>144</v>
      </c>
      <c r="BM205" t="str">
        <f>IF(COUNTIFS('在庫使用計画 (ノート全体試算)'!C:C,マスタ_EOLリスト[[#This Row],[製品型番]])=0,"記載なし","")</f>
        <v>記載なし</v>
      </c>
      <c r="BN205" t="str">
        <f>IF(COUNTIFS('在庫使用計画 (一般)'!C:C,マスタ_EOLリスト[[#This Row],[製品型番]])=0,"記載なし","")</f>
        <v>記載なし</v>
      </c>
      <c r="BO205" t="str">
        <f>IF(COUNTIFS('在庫使用計画 (法人)'!C:C,マスタ_EOLリスト[[#This Row],[製品型番]])=0,"記載なし","")</f>
        <v>記載なし</v>
      </c>
      <c r="BP205" t="str">
        <f>IF(COUNTIFS('在庫使用計画 (全体実績+予測）0701'!C:C,マスタ_EOLリスト[[#This Row],[製品型番]])=0,"記載なし","")</f>
        <v>記載なし</v>
      </c>
      <c r="BQ205" t="str">
        <f ca="1">IF(COUNTIFS('在庫使用計画 (計画　予測)'!C:C,マスタ_EOLリスト[[#This Row],[製品型番]])=0,"記載なし","")</f>
        <v>記載なし</v>
      </c>
      <c r="BR205" t="str">
        <f>IF(COUNTIFS(在庫確認!B:B,マスタ_EOLリスト[[#This Row],[製品型番]])=0,"記載なし","")</f>
        <v/>
      </c>
      <c r="BS205" t="e">
        <f>COUNTIF(#REF!,マスタ_EOLリスト[[#This Row],[製品型番]])</f>
        <v>#REF!</v>
      </c>
    </row>
    <row r="206" spans="1:71">
      <c r="A206" t="e">
        <v>#N/A</v>
      </c>
      <c r="B206" t="s">
        <v>142</v>
      </c>
      <c r="C206" t="s">
        <v>539</v>
      </c>
      <c r="D206" t="s">
        <v>893</v>
      </c>
      <c r="E206">
        <v>172089</v>
      </c>
      <c r="F206" t="s">
        <v>894</v>
      </c>
      <c r="H206" t="s">
        <v>21</v>
      </c>
      <c r="M206">
        <v>0</v>
      </c>
      <c r="N206">
        <v>0</v>
      </c>
      <c r="R206" t="s">
        <v>871</v>
      </c>
      <c r="W206">
        <v>327</v>
      </c>
      <c r="X206">
        <v>0</v>
      </c>
      <c r="Z206">
        <v>212292</v>
      </c>
      <c r="AA206" t="s">
        <v>712</v>
      </c>
      <c r="AF206">
        <v>0</v>
      </c>
      <c r="AI206" t="s">
        <v>790</v>
      </c>
      <c r="AJ206" t="s">
        <v>751</v>
      </c>
      <c r="AL206" t="s">
        <v>21</v>
      </c>
      <c r="AM206" t="s">
        <v>21</v>
      </c>
      <c r="AW206" t="s">
        <v>21</v>
      </c>
      <c r="AX206" t="s">
        <v>144</v>
      </c>
      <c r="BA206" t="s">
        <v>591</v>
      </c>
      <c r="BB206" t="s">
        <v>170</v>
      </c>
      <c r="BC206" t="s">
        <v>591</v>
      </c>
      <c r="BD206" t="s">
        <v>591</v>
      </c>
      <c r="BM206" t="str">
        <f>IF(COUNTIFS('在庫使用計画 (ノート全体試算)'!C:C,マスタ_EOLリスト[[#This Row],[製品型番]])=0,"記載なし","")</f>
        <v>記載なし</v>
      </c>
      <c r="BN206" t="str">
        <f>IF(COUNTIFS('在庫使用計画 (一般)'!C:C,マスタ_EOLリスト[[#This Row],[製品型番]])=0,"記載なし","")</f>
        <v>記載なし</v>
      </c>
      <c r="BO206" t="str">
        <f>IF(COUNTIFS('在庫使用計画 (法人)'!C:C,マスタ_EOLリスト[[#This Row],[製品型番]])=0,"記載なし","")</f>
        <v>記載なし</v>
      </c>
      <c r="BP206" t="str">
        <f>IF(COUNTIFS('在庫使用計画 (全体実績+予測）0701'!C:C,マスタ_EOLリスト[[#This Row],[製品型番]])=0,"記載なし","")</f>
        <v>記載なし</v>
      </c>
      <c r="BQ206" t="str">
        <f ca="1">IF(COUNTIFS('在庫使用計画 (計画　予測)'!C:C,マスタ_EOLリスト[[#This Row],[製品型番]])=0,"記載なし","")</f>
        <v>記載なし</v>
      </c>
      <c r="BR206" t="str">
        <f>IF(COUNTIFS(在庫確認!B:B,マスタ_EOLリスト[[#This Row],[製品型番]])=0,"記載なし","")</f>
        <v/>
      </c>
      <c r="BS206" t="e">
        <f>COUNTIF(#REF!,マスタ_EOLリスト[[#This Row],[製品型番]])</f>
        <v>#REF!</v>
      </c>
    </row>
    <row r="207" spans="1:71">
      <c r="A207" t="e">
        <v>#N/A</v>
      </c>
      <c r="B207" t="s">
        <v>142</v>
      </c>
      <c r="C207" t="s">
        <v>539</v>
      </c>
      <c r="D207" t="s">
        <v>893</v>
      </c>
      <c r="E207">
        <v>173743</v>
      </c>
      <c r="F207" t="s">
        <v>895</v>
      </c>
      <c r="H207" t="s">
        <v>21</v>
      </c>
      <c r="M207">
        <v>0</v>
      </c>
      <c r="N207">
        <v>0</v>
      </c>
      <c r="R207" t="s">
        <v>871</v>
      </c>
      <c r="W207">
        <v>1173</v>
      </c>
      <c r="X207">
        <v>0</v>
      </c>
      <c r="Z207">
        <v>212292</v>
      </c>
      <c r="AA207" t="s">
        <v>712</v>
      </c>
      <c r="AF207">
        <v>0</v>
      </c>
      <c r="AI207" t="s">
        <v>790</v>
      </c>
      <c r="AJ207" t="s">
        <v>751</v>
      </c>
      <c r="AL207" t="s">
        <v>21</v>
      </c>
      <c r="AM207" t="s">
        <v>21</v>
      </c>
      <c r="AW207" t="s">
        <v>21</v>
      </c>
      <c r="AX207" t="s">
        <v>144</v>
      </c>
      <c r="BM207" t="str">
        <f>IF(COUNTIFS('在庫使用計画 (ノート全体試算)'!C:C,マスタ_EOLリスト[[#This Row],[製品型番]])=0,"記載なし","")</f>
        <v>記載なし</v>
      </c>
      <c r="BN207" t="str">
        <f>IF(COUNTIFS('在庫使用計画 (一般)'!C:C,マスタ_EOLリスト[[#This Row],[製品型番]])=0,"記載なし","")</f>
        <v>記載なし</v>
      </c>
      <c r="BO207" t="str">
        <f>IF(COUNTIFS('在庫使用計画 (法人)'!C:C,マスタ_EOLリスト[[#This Row],[製品型番]])=0,"記載なし","")</f>
        <v>記載なし</v>
      </c>
      <c r="BP207" t="str">
        <f>IF(COUNTIFS('在庫使用計画 (全体実績+予測）0701'!C:C,マスタ_EOLリスト[[#This Row],[製品型番]])=0,"記載なし","")</f>
        <v>記載なし</v>
      </c>
      <c r="BQ207" t="str">
        <f ca="1">IF(COUNTIFS('在庫使用計画 (計画　予測)'!C:C,マスタ_EOLリスト[[#This Row],[製品型番]])=0,"記載なし","")</f>
        <v>記載なし</v>
      </c>
      <c r="BR207" t="str">
        <f>IF(COUNTIFS(在庫確認!B:B,マスタ_EOLリスト[[#This Row],[製品型番]])=0,"記載なし","")</f>
        <v/>
      </c>
      <c r="BS207" t="e">
        <f>COUNTIF(#REF!,マスタ_EOLリスト[[#This Row],[製品型番]])</f>
        <v>#REF!</v>
      </c>
    </row>
    <row r="208" spans="1:71">
      <c r="A208" t="e">
        <v>#N/A</v>
      </c>
      <c r="B208" t="s">
        <v>142</v>
      </c>
      <c r="C208" t="s">
        <v>539</v>
      </c>
      <c r="D208" t="s">
        <v>896</v>
      </c>
      <c r="E208">
        <v>172130</v>
      </c>
      <c r="F208" t="s">
        <v>897</v>
      </c>
      <c r="H208" t="s">
        <v>21</v>
      </c>
      <c r="K208" t="s">
        <v>665</v>
      </c>
      <c r="M208">
        <v>0</v>
      </c>
      <c r="N208">
        <v>0</v>
      </c>
      <c r="R208" t="s">
        <v>898</v>
      </c>
      <c r="W208">
        <v>995</v>
      </c>
      <c r="X208">
        <v>1312</v>
      </c>
      <c r="AF208">
        <v>1.3185929648241206</v>
      </c>
      <c r="AI208" t="s">
        <v>790</v>
      </c>
      <c r="AJ208" t="s">
        <v>751</v>
      </c>
      <c r="AL208">
        <v>45566</v>
      </c>
      <c r="AM208">
        <v>15</v>
      </c>
      <c r="AW208" t="s">
        <v>21</v>
      </c>
      <c r="AX208" t="s">
        <v>144</v>
      </c>
      <c r="BA208" t="s">
        <v>169</v>
      </c>
      <c r="BB208" t="s">
        <v>170</v>
      </c>
      <c r="BC208" t="s">
        <v>169</v>
      </c>
      <c r="BD208" t="s">
        <v>169</v>
      </c>
      <c r="BM208" t="str">
        <f>IF(COUNTIFS('在庫使用計画 (ノート全体試算)'!C:C,マスタ_EOLリスト[[#This Row],[製品型番]])=0,"記載なし","")</f>
        <v>記載なし</v>
      </c>
      <c r="BN208" t="str">
        <f>IF(COUNTIFS('在庫使用計画 (一般)'!C:C,マスタ_EOLリスト[[#This Row],[製品型番]])=0,"記載なし","")</f>
        <v>記載なし</v>
      </c>
      <c r="BO208" t="str">
        <f>IF(COUNTIFS('在庫使用計画 (法人)'!C:C,マスタ_EOLリスト[[#This Row],[製品型番]])=0,"記載なし","")</f>
        <v>記載なし</v>
      </c>
      <c r="BP208" t="str">
        <f>IF(COUNTIFS('在庫使用計画 (全体実績+予測）0701'!C:C,マスタ_EOLリスト[[#This Row],[製品型番]])=0,"記載なし","")</f>
        <v>記載なし</v>
      </c>
      <c r="BQ208" t="str">
        <f ca="1">IF(COUNTIFS('在庫使用計画 (計画　予測)'!C:C,マスタ_EOLリスト[[#This Row],[製品型番]])=0,"記載なし","")</f>
        <v>記載なし</v>
      </c>
      <c r="BR208" t="str">
        <f>IF(COUNTIFS(在庫確認!B:B,マスタ_EOLリスト[[#This Row],[製品型番]])=0,"記載なし","")</f>
        <v/>
      </c>
      <c r="BS208" t="e">
        <f>COUNTIF(#REF!,マスタ_EOLリスト[[#This Row],[製品型番]])</f>
        <v>#REF!</v>
      </c>
    </row>
    <row r="209" spans="1:71">
      <c r="A209" t="e">
        <v>#N/A</v>
      </c>
      <c r="B209" t="s">
        <v>142</v>
      </c>
      <c r="C209" t="s">
        <v>539</v>
      </c>
      <c r="D209" t="s">
        <v>896</v>
      </c>
      <c r="E209">
        <v>172547</v>
      </c>
      <c r="F209" t="s">
        <v>899</v>
      </c>
      <c r="H209" t="s">
        <v>21</v>
      </c>
      <c r="K209" t="s">
        <v>665</v>
      </c>
      <c r="M209">
        <v>0</v>
      </c>
      <c r="N209">
        <v>0</v>
      </c>
      <c r="Q209">
        <v>45078</v>
      </c>
      <c r="W209">
        <v>500</v>
      </c>
      <c r="X209">
        <v>1312</v>
      </c>
      <c r="Z209">
        <v>212292</v>
      </c>
      <c r="AA209" t="s">
        <v>712</v>
      </c>
      <c r="AF209">
        <v>2.6240000000000001</v>
      </c>
      <c r="AI209" t="s">
        <v>790</v>
      </c>
      <c r="AJ209" t="s">
        <v>751</v>
      </c>
      <c r="AL209" t="s">
        <v>21</v>
      </c>
      <c r="AM209" t="s">
        <v>21</v>
      </c>
      <c r="AW209" t="s">
        <v>21</v>
      </c>
      <c r="AX209" t="s">
        <v>144</v>
      </c>
      <c r="BA209" t="s">
        <v>413</v>
      </c>
      <c r="BB209" t="s">
        <v>160</v>
      </c>
      <c r="BC209" t="s">
        <v>160</v>
      </c>
      <c r="BD209" t="s">
        <v>160</v>
      </c>
      <c r="BM209" t="str">
        <f>IF(COUNTIFS('在庫使用計画 (ノート全体試算)'!C:C,マスタ_EOLリスト[[#This Row],[製品型番]])=0,"記載なし","")</f>
        <v>記載なし</v>
      </c>
      <c r="BN209" t="str">
        <f>IF(COUNTIFS('在庫使用計画 (一般)'!C:C,マスタ_EOLリスト[[#This Row],[製品型番]])=0,"記載なし","")</f>
        <v>記載なし</v>
      </c>
      <c r="BO209" t="str">
        <f>IF(COUNTIFS('在庫使用計画 (法人)'!C:C,マスタ_EOLリスト[[#This Row],[製品型番]])=0,"記載なし","")</f>
        <v>記載なし</v>
      </c>
      <c r="BP209" t="str">
        <f>IF(COUNTIFS('在庫使用計画 (全体実績+予測）0701'!C:C,マスタ_EOLリスト[[#This Row],[製品型番]])=0,"記載なし","")</f>
        <v>記載なし</v>
      </c>
      <c r="BQ209" t="str">
        <f ca="1">IF(COUNTIFS('在庫使用計画 (計画　予測)'!C:C,マスタ_EOLリスト[[#This Row],[製品型番]])=0,"記載なし","")</f>
        <v>記載なし</v>
      </c>
      <c r="BR209" t="str">
        <f>IF(COUNTIFS(在庫確認!B:B,マスタ_EOLリスト[[#This Row],[製品型番]])=0,"記載なし","")</f>
        <v/>
      </c>
      <c r="BS209" t="e">
        <f>COUNTIF(#REF!,マスタ_EOLリスト[[#This Row],[製品型番]])</f>
        <v>#REF!</v>
      </c>
    </row>
    <row r="210" spans="1:71">
      <c r="A210" t="e">
        <v>#N/A</v>
      </c>
      <c r="B210" t="s">
        <v>142</v>
      </c>
      <c r="C210" t="s">
        <v>539</v>
      </c>
      <c r="D210" t="s">
        <v>896</v>
      </c>
      <c r="E210">
        <v>173745</v>
      </c>
      <c r="F210" t="s">
        <v>900</v>
      </c>
      <c r="H210" t="s">
        <v>21</v>
      </c>
      <c r="K210" t="s">
        <v>665</v>
      </c>
      <c r="M210">
        <v>0</v>
      </c>
      <c r="N210">
        <v>0</v>
      </c>
      <c r="R210" t="s">
        <v>898</v>
      </c>
      <c r="W210">
        <v>321</v>
      </c>
      <c r="AF210">
        <v>0</v>
      </c>
      <c r="AI210" t="s">
        <v>790</v>
      </c>
      <c r="AJ210" t="s">
        <v>751</v>
      </c>
      <c r="AL210">
        <v>45566</v>
      </c>
      <c r="AM210">
        <v>15</v>
      </c>
      <c r="AW210" t="s">
        <v>21</v>
      </c>
      <c r="AX210" t="s">
        <v>144</v>
      </c>
      <c r="BA210" t="s">
        <v>160</v>
      </c>
      <c r="BB210" t="s">
        <v>160</v>
      </c>
      <c r="BC210" t="s">
        <v>160</v>
      </c>
      <c r="BD210" t="s">
        <v>160</v>
      </c>
      <c r="BM210" t="str">
        <f>IF(COUNTIFS('在庫使用計画 (ノート全体試算)'!C:C,マスタ_EOLリスト[[#This Row],[製品型番]])=0,"記載なし","")</f>
        <v>記載なし</v>
      </c>
      <c r="BN210" t="str">
        <f>IF(COUNTIFS('在庫使用計画 (一般)'!C:C,マスタ_EOLリスト[[#This Row],[製品型番]])=0,"記載なし","")</f>
        <v>記載なし</v>
      </c>
      <c r="BO210" t="str">
        <f>IF(COUNTIFS('在庫使用計画 (法人)'!C:C,マスタ_EOLリスト[[#This Row],[製品型番]])=0,"記載なし","")</f>
        <v>記載なし</v>
      </c>
      <c r="BP210" t="str">
        <f>IF(COUNTIFS('在庫使用計画 (全体実績+予測）0701'!C:C,マスタ_EOLリスト[[#This Row],[製品型番]])=0,"記載なし","")</f>
        <v>記載なし</v>
      </c>
      <c r="BQ210" t="str">
        <f ca="1">IF(COUNTIFS('在庫使用計画 (計画　予測)'!C:C,マスタ_EOLリスト[[#This Row],[製品型番]])=0,"記載なし","")</f>
        <v>記載なし</v>
      </c>
      <c r="BR210" t="str">
        <f>IF(COUNTIFS(在庫確認!B:B,マスタ_EOLリスト[[#This Row],[製品型番]])=0,"記載なし","")</f>
        <v/>
      </c>
      <c r="BS210" t="e">
        <f>COUNTIF(#REF!,マスタ_EOLリスト[[#This Row],[製品型番]])</f>
        <v>#REF!</v>
      </c>
    </row>
    <row r="211" spans="1:71">
      <c r="A211" t="str">
        <v>F-14RPL</v>
      </c>
      <c r="B211" t="s">
        <v>142</v>
      </c>
      <c r="C211" t="s">
        <v>539</v>
      </c>
      <c r="D211" t="s">
        <v>901</v>
      </c>
      <c r="E211">
        <v>184061</v>
      </c>
      <c r="F211" t="s">
        <v>902</v>
      </c>
      <c r="G211" t="s">
        <v>903</v>
      </c>
      <c r="K211" t="s">
        <v>641</v>
      </c>
      <c r="L211" t="s">
        <v>438</v>
      </c>
      <c r="M211">
        <v>0</v>
      </c>
      <c r="N211">
        <v>0</v>
      </c>
      <c r="P211">
        <v>45148</v>
      </c>
      <c r="W211">
        <v>3100</v>
      </c>
      <c r="AC211" t="s">
        <v>904</v>
      </c>
      <c r="AH211" t="s">
        <v>905</v>
      </c>
      <c r="AL211">
        <v>45471</v>
      </c>
      <c r="AM211">
        <v>80</v>
      </c>
      <c r="AN211" t="s">
        <v>547</v>
      </c>
      <c r="AO211">
        <v>19</v>
      </c>
      <c r="AP211">
        <v>3.42</v>
      </c>
      <c r="AQ211" t="s">
        <v>156</v>
      </c>
      <c r="AW211" t="s">
        <v>21</v>
      </c>
      <c r="AX211" t="s">
        <v>144</v>
      </c>
      <c r="BA211" t="s">
        <v>169</v>
      </c>
      <c r="BB211" t="s">
        <v>170</v>
      </c>
      <c r="BC211" t="s">
        <v>169</v>
      </c>
      <c r="BD211" t="s">
        <v>169</v>
      </c>
      <c r="BM211" t="str">
        <f>IF(COUNTIFS('在庫使用計画 (ノート全体試算)'!C:C,マスタ_EOLリスト[[#This Row],[製品型番]])=0,"記載なし","")</f>
        <v/>
      </c>
      <c r="BN211" t="str">
        <f>IF(COUNTIFS('在庫使用計画 (一般)'!C:C,マスタ_EOLリスト[[#This Row],[製品型番]])=0,"記載なし","")</f>
        <v/>
      </c>
      <c r="BO211" t="str">
        <f>IF(COUNTIFS('在庫使用計画 (法人)'!C:C,マスタ_EOLリスト[[#This Row],[製品型番]])=0,"記載なし","")</f>
        <v/>
      </c>
      <c r="BP211" t="str">
        <f>IF(COUNTIFS('在庫使用計画 (全体実績+予測）0701'!C:C,マスタ_EOLリスト[[#This Row],[製品型番]])=0,"記載なし","")</f>
        <v/>
      </c>
      <c r="BQ211" t="str">
        <f ca="1">IF(COUNTIFS('在庫使用計画 (計画　予測)'!C:C,マスタ_EOLリスト[[#This Row],[製品型番]])=0,"記載なし","")</f>
        <v>記載なし</v>
      </c>
      <c r="BR211" t="str">
        <f>IF(COUNTIFS(在庫確認!B:B,マスタ_EOLリスト[[#This Row],[製品型番]])=0,"記載なし","")</f>
        <v/>
      </c>
      <c r="BS211" t="e">
        <f>COUNTIF(#REF!,マスタ_EOLリスト[[#This Row],[製品型番]])</f>
        <v>#REF!</v>
      </c>
    </row>
    <row r="212" spans="1:71">
      <c r="A212" t="e">
        <v>#N/A</v>
      </c>
      <c r="B212" t="s">
        <v>142</v>
      </c>
      <c r="C212" t="s">
        <v>539</v>
      </c>
      <c r="D212" t="s">
        <v>906</v>
      </c>
      <c r="E212">
        <v>166681</v>
      </c>
      <c r="F212" t="s">
        <v>907</v>
      </c>
      <c r="H212" t="s">
        <v>21</v>
      </c>
      <c r="L212" t="s">
        <v>438</v>
      </c>
      <c r="M212">
        <v>0</v>
      </c>
      <c r="N212">
        <v>0</v>
      </c>
      <c r="W212">
        <v>3998</v>
      </c>
      <c r="X212">
        <v>297</v>
      </c>
      <c r="Z212">
        <v>184060</v>
      </c>
      <c r="AF212">
        <v>7.4287143571785882E-2</v>
      </c>
      <c r="AL212" t="s">
        <v>21</v>
      </c>
      <c r="AM212" t="s">
        <v>21</v>
      </c>
      <c r="AW212" t="s">
        <v>21</v>
      </c>
      <c r="AX212" t="s">
        <v>144</v>
      </c>
      <c r="BM212" t="str">
        <f>IF(COUNTIFS('在庫使用計画 (ノート全体試算)'!C:C,マスタ_EOLリスト[[#This Row],[製品型番]])=0,"記載なし","")</f>
        <v>記載なし</v>
      </c>
      <c r="BN212" t="str">
        <f>IF(COUNTIFS('在庫使用計画 (一般)'!C:C,マスタ_EOLリスト[[#This Row],[製品型番]])=0,"記載なし","")</f>
        <v>記載なし</v>
      </c>
      <c r="BO212" t="str">
        <f>IF(COUNTIFS('在庫使用計画 (法人)'!C:C,マスタ_EOLリスト[[#This Row],[製品型番]])=0,"記載なし","")</f>
        <v>記載なし</v>
      </c>
      <c r="BP212" t="str">
        <f>IF(COUNTIFS('在庫使用計画 (全体実績+予測）0701'!C:C,マスタ_EOLリスト[[#This Row],[製品型番]])=0,"記載なし","")</f>
        <v>記載なし</v>
      </c>
      <c r="BQ212" t="str">
        <f ca="1">IF(COUNTIFS('在庫使用計画 (計画　予測)'!C:C,マスタ_EOLリスト[[#This Row],[製品型番]])=0,"記載なし","")</f>
        <v>記載なし</v>
      </c>
      <c r="BR212" t="str">
        <f>IF(COUNTIFS(在庫確認!B:B,マスタ_EOLリスト[[#This Row],[製品型番]])=0,"記載なし","")</f>
        <v/>
      </c>
      <c r="BS212" t="e">
        <f>COUNTIF(#REF!,マスタ_EOLリスト[[#This Row],[製品型番]])</f>
        <v>#REF!</v>
      </c>
    </row>
    <row r="213" spans="1:71">
      <c r="A213" t="e">
        <v>#N/A</v>
      </c>
      <c r="B213" t="s">
        <v>142</v>
      </c>
      <c r="C213" t="s">
        <v>539</v>
      </c>
      <c r="E213">
        <v>164278</v>
      </c>
      <c r="F213" t="s">
        <v>908</v>
      </c>
      <c r="M213">
        <v>0</v>
      </c>
      <c r="N213">
        <v>0</v>
      </c>
      <c r="W213">
        <v>600</v>
      </c>
      <c r="AF213">
        <v>0</v>
      </c>
      <c r="AL213" t="s">
        <v>21</v>
      </c>
      <c r="AM213" t="s">
        <v>21</v>
      </c>
      <c r="AW213" t="s">
        <v>21</v>
      </c>
      <c r="AX213" t="s">
        <v>144</v>
      </c>
      <c r="BM213" t="str">
        <f>IF(COUNTIFS('在庫使用計画 (ノート全体試算)'!C:C,マスタ_EOLリスト[[#This Row],[製品型番]])=0,"記載なし","")</f>
        <v>記載なし</v>
      </c>
      <c r="BN213" t="str">
        <f>IF(COUNTIFS('在庫使用計画 (一般)'!C:C,マスタ_EOLリスト[[#This Row],[製品型番]])=0,"記載なし","")</f>
        <v>記載なし</v>
      </c>
      <c r="BO213" t="str">
        <f>IF(COUNTIFS('在庫使用計画 (法人)'!C:C,マスタ_EOLリスト[[#This Row],[製品型番]])=0,"記載なし","")</f>
        <v>記載なし</v>
      </c>
      <c r="BP213" t="str">
        <f>IF(COUNTIFS('在庫使用計画 (全体実績+予測）0701'!C:C,マスタ_EOLリスト[[#This Row],[製品型番]])=0,"記載なし","")</f>
        <v>記載なし</v>
      </c>
      <c r="BQ213" t="str">
        <f ca="1">IF(COUNTIFS('在庫使用計画 (計画　予測)'!C:C,マスタ_EOLリスト[[#This Row],[製品型番]])=0,"記載なし","")</f>
        <v>記載なし</v>
      </c>
      <c r="BR213" t="str">
        <f>IF(COUNTIFS(在庫確認!B:B,マスタ_EOLリスト[[#This Row],[製品型番]])=0,"記載なし","")</f>
        <v>記載なし</v>
      </c>
      <c r="BS213" t="e">
        <f>COUNTIF(#REF!,マスタ_EOLリスト[[#This Row],[製品型番]])</f>
        <v>#REF!</v>
      </c>
    </row>
    <row r="214" spans="1:71">
      <c r="A214" t="e">
        <v>#N/A</v>
      </c>
      <c r="B214" t="s">
        <v>142</v>
      </c>
      <c r="C214" t="s">
        <v>539</v>
      </c>
      <c r="E214">
        <v>172131</v>
      </c>
      <c r="F214" t="s">
        <v>909</v>
      </c>
      <c r="M214">
        <v>0</v>
      </c>
      <c r="N214">
        <v>0</v>
      </c>
      <c r="R214" t="s">
        <v>910</v>
      </c>
      <c r="W214">
        <v>330</v>
      </c>
      <c r="AF214">
        <v>0</v>
      </c>
      <c r="AI214" t="s">
        <v>790</v>
      </c>
      <c r="AJ214" t="s">
        <v>751</v>
      </c>
      <c r="AL214" t="s">
        <v>21</v>
      </c>
      <c r="AM214" t="s">
        <v>21</v>
      </c>
      <c r="AW214" t="s">
        <v>21</v>
      </c>
      <c r="AX214" t="s">
        <v>144</v>
      </c>
      <c r="BM214" t="str">
        <f>IF(COUNTIFS('在庫使用計画 (ノート全体試算)'!C:C,マスタ_EOLリスト[[#This Row],[製品型番]])=0,"記載なし","")</f>
        <v>記載なし</v>
      </c>
      <c r="BN214" t="str">
        <f>IF(COUNTIFS('在庫使用計画 (一般)'!C:C,マスタ_EOLリスト[[#This Row],[製品型番]])=0,"記載なし","")</f>
        <v>記載なし</v>
      </c>
      <c r="BO214" t="str">
        <f>IF(COUNTIFS('在庫使用計画 (法人)'!C:C,マスタ_EOLリスト[[#This Row],[製品型番]])=0,"記載なし","")</f>
        <v>記載なし</v>
      </c>
      <c r="BP214" t="str">
        <f>IF(COUNTIFS('在庫使用計画 (全体実績+予測）0701'!C:C,マスタ_EOLリスト[[#This Row],[製品型番]])=0,"記載なし","")</f>
        <v>記載なし</v>
      </c>
      <c r="BQ214" t="str">
        <f ca="1">IF(COUNTIFS('在庫使用計画 (計画　予測)'!C:C,マスタ_EOLリスト[[#This Row],[製品型番]])=0,"記載なし","")</f>
        <v>記載なし</v>
      </c>
      <c r="BR214" t="str">
        <f>IF(COUNTIFS(在庫確認!B:B,マスタ_EOLリスト[[#This Row],[製品型番]])=0,"記載なし","")</f>
        <v>記載なし</v>
      </c>
      <c r="BS214" t="e">
        <f>COUNTIF(#REF!,マスタ_EOLリスト[[#This Row],[製品型番]])</f>
        <v>#REF!</v>
      </c>
    </row>
    <row r="215" spans="1:71">
      <c r="A215" t="e">
        <v>#N/A</v>
      </c>
      <c r="B215" t="s">
        <v>142</v>
      </c>
      <c r="C215" t="s">
        <v>9</v>
      </c>
      <c r="D215" t="s">
        <v>911</v>
      </c>
      <c r="E215">
        <v>168015</v>
      </c>
      <c r="F215" t="s">
        <v>912</v>
      </c>
      <c r="H215" t="s">
        <v>21</v>
      </c>
      <c r="K215" t="s">
        <v>913</v>
      </c>
      <c r="L215">
        <v>3070</v>
      </c>
      <c r="M215">
        <v>0</v>
      </c>
      <c r="N215">
        <v>0</v>
      </c>
      <c r="Q215" t="s">
        <v>914</v>
      </c>
      <c r="W215">
        <v>3000</v>
      </c>
      <c r="X215">
        <v>1823</v>
      </c>
      <c r="AF215">
        <v>0.60766666666666669</v>
      </c>
      <c r="AL215" t="s">
        <v>21</v>
      </c>
      <c r="AM215" t="s">
        <v>21</v>
      </c>
      <c r="AW215" t="s">
        <v>21</v>
      </c>
      <c r="AX215" t="s">
        <v>144</v>
      </c>
      <c r="BM215" t="str">
        <f>IF(COUNTIFS('在庫使用計画 (ノート全体試算)'!C:C,マスタ_EOLリスト[[#This Row],[製品型番]])=0,"記載なし","")</f>
        <v>記載なし</v>
      </c>
      <c r="BN215" t="str">
        <f>IF(COUNTIFS('在庫使用計画 (一般)'!C:C,マスタ_EOLリスト[[#This Row],[製品型番]])=0,"記載なし","")</f>
        <v>記載なし</v>
      </c>
      <c r="BO215" t="str">
        <f>IF(COUNTIFS('在庫使用計画 (法人)'!C:C,マスタ_EOLリスト[[#This Row],[製品型番]])=0,"記載なし","")</f>
        <v>記載なし</v>
      </c>
      <c r="BP215" t="str">
        <f>IF(COUNTIFS('在庫使用計画 (全体実績+予測）0701'!C:C,マスタ_EOLリスト[[#This Row],[製品型番]])=0,"記載なし","")</f>
        <v>記載なし</v>
      </c>
      <c r="BQ215" t="str">
        <f ca="1">IF(COUNTIFS('在庫使用計画 (計画　予測)'!C:C,マスタ_EOLリスト[[#This Row],[製品型番]])=0,"記載なし","")</f>
        <v>記載なし</v>
      </c>
      <c r="BR215" t="str">
        <f>IF(COUNTIFS(在庫確認!B:B,マスタ_EOLリスト[[#This Row],[製品型番]])=0,"記載なし","")</f>
        <v/>
      </c>
      <c r="BS215" t="e">
        <f>COUNTIF(#REF!,マスタ_EOLリスト[[#This Row],[製品型番]])</f>
        <v>#REF!</v>
      </c>
    </row>
    <row r="216" spans="1:71">
      <c r="A216" t="e">
        <v>#N/A</v>
      </c>
      <c r="B216" t="s">
        <v>142</v>
      </c>
      <c r="C216" t="s">
        <v>9</v>
      </c>
      <c r="D216" t="s">
        <v>911</v>
      </c>
      <c r="E216">
        <v>173422</v>
      </c>
      <c r="F216" t="s">
        <v>915</v>
      </c>
      <c r="H216" t="s">
        <v>21</v>
      </c>
      <c r="K216" t="s">
        <v>913</v>
      </c>
      <c r="L216">
        <v>3070</v>
      </c>
      <c r="M216">
        <v>0</v>
      </c>
      <c r="N216">
        <v>0</v>
      </c>
      <c r="Q216" t="s">
        <v>914</v>
      </c>
      <c r="W216">
        <v>500</v>
      </c>
      <c r="AF216">
        <v>0</v>
      </c>
      <c r="AL216" t="s">
        <v>21</v>
      </c>
      <c r="AM216" t="s">
        <v>21</v>
      </c>
      <c r="AW216" t="s">
        <v>21</v>
      </c>
      <c r="AX216" t="s">
        <v>144</v>
      </c>
      <c r="BM216" t="str">
        <f>IF(COUNTIFS('在庫使用計画 (ノート全体試算)'!C:C,マスタ_EOLリスト[[#This Row],[製品型番]])=0,"記載なし","")</f>
        <v>記載なし</v>
      </c>
      <c r="BN216" t="str">
        <f>IF(COUNTIFS('在庫使用計画 (一般)'!C:C,マスタ_EOLリスト[[#This Row],[製品型番]])=0,"記載なし","")</f>
        <v>記載なし</v>
      </c>
      <c r="BO216" t="str">
        <f>IF(COUNTIFS('在庫使用計画 (法人)'!C:C,マスタ_EOLリスト[[#This Row],[製品型番]])=0,"記載なし","")</f>
        <v>記載なし</v>
      </c>
      <c r="BP216" t="str">
        <f>IF(COUNTIFS('在庫使用計画 (全体実績+予測）0701'!C:C,マスタ_EOLリスト[[#This Row],[製品型番]])=0,"記載なし","")</f>
        <v>記載なし</v>
      </c>
      <c r="BQ216" t="str">
        <f ca="1">IF(COUNTIFS('在庫使用計画 (計画　予測)'!C:C,マスタ_EOLリスト[[#This Row],[製品型番]])=0,"記載なし","")</f>
        <v>記載なし</v>
      </c>
      <c r="BR216" t="str">
        <f>IF(COUNTIFS(在庫確認!B:B,マスタ_EOLリスト[[#This Row],[製品型番]])=0,"記載なし","")</f>
        <v/>
      </c>
      <c r="BS216" t="e">
        <f>COUNTIF(#REF!,マスタ_EOLリスト[[#This Row],[製品型番]])</f>
        <v>#REF!</v>
      </c>
    </row>
    <row r="217" spans="1:71">
      <c r="A217" t="e">
        <v>#N/A</v>
      </c>
      <c r="B217" t="s">
        <v>142</v>
      </c>
      <c r="C217" t="s">
        <v>9</v>
      </c>
      <c r="D217" t="s">
        <v>916</v>
      </c>
      <c r="E217">
        <v>168016</v>
      </c>
      <c r="F217" t="s">
        <v>917</v>
      </c>
      <c r="H217" t="s">
        <v>21</v>
      </c>
      <c r="K217" t="s">
        <v>913</v>
      </c>
      <c r="L217">
        <v>3060</v>
      </c>
      <c r="M217">
        <v>0</v>
      </c>
      <c r="N217">
        <v>0</v>
      </c>
      <c r="Q217">
        <v>44958</v>
      </c>
      <c r="S217">
        <v>15</v>
      </c>
      <c r="T217">
        <v>44778</v>
      </c>
      <c r="W217">
        <v>8449</v>
      </c>
      <c r="X217">
        <v>6408</v>
      </c>
      <c r="AF217">
        <v>0.75843295064504668</v>
      </c>
      <c r="AG217">
        <v>0</v>
      </c>
      <c r="AH217">
        <v>0.24156704935495321</v>
      </c>
      <c r="AL217" t="s">
        <v>21</v>
      </c>
      <c r="AM217" t="s">
        <v>21</v>
      </c>
      <c r="AW217" t="s">
        <v>21</v>
      </c>
      <c r="AX217" t="s">
        <v>144</v>
      </c>
      <c r="BM217" t="str">
        <f>IF(COUNTIFS('在庫使用計画 (ノート全体試算)'!C:C,マスタ_EOLリスト[[#This Row],[製品型番]])=0,"記載なし","")</f>
        <v>記載なし</v>
      </c>
      <c r="BN217" t="str">
        <f>IF(COUNTIFS('在庫使用計画 (一般)'!C:C,マスタ_EOLリスト[[#This Row],[製品型番]])=0,"記載なし","")</f>
        <v>記載なし</v>
      </c>
      <c r="BO217" t="str">
        <f>IF(COUNTIFS('在庫使用計画 (法人)'!C:C,マスタ_EOLリスト[[#This Row],[製品型番]])=0,"記載なし","")</f>
        <v>記載なし</v>
      </c>
      <c r="BP217" t="str">
        <f>IF(COUNTIFS('在庫使用計画 (全体実績+予測）0701'!C:C,マスタ_EOLリスト[[#This Row],[製品型番]])=0,"記載なし","")</f>
        <v>記載なし</v>
      </c>
      <c r="BQ217" t="str">
        <f ca="1">IF(COUNTIFS('在庫使用計画 (計画　予測)'!C:C,マスタ_EOLリスト[[#This Row],[製品型番]])=0,"記載なし","")</f>
        <v>記載なし</v>
      </c>
      <c r="BR217" t="str">
        <f>IF(COUNTIFS(在庫確認!B:B,マスタ_EOLリスト[[#This Row],[製品型番]])=0,"記載なし","")</f>
        <v/>
      </c>
      <c r="BS217" t="e">
        <f>COUNTIF(#REF!,マスタ_EOLリスト[[#This Row],[製品型番]])</f>
        <v>#REF!</v>
      </c>
    </row>
    <row r="218" spans="1:71">
      <c r="A218" t="e">
        <v>#N/A</v>
      </c>
      <c r="B218" t="s">
        <v>142</v>
      </c>
      <c r="C218" t="s">
        <v>9</v>
      </c>
      <c r="D218" t="s">
        <v>916</v>
      </c>
      <c r="E218">
        <v>173420</v>
      </c>
      <c r="F218" t="s">
        <v>918</v>
      </c>
      <c r="H218" t="s">
        <v>21</v>
      </c>
      <c r="K218" t="s">
        <v>913</v>
      </c>
      <c r="L218">
        <v>3060</v>
      </c>
      <c r="M218">
        <v>0</v>
      </c>
      <c r="N218">
        <v>0</v>
      </c>
      <c r="Q218">
        <v>44958</v>
      </c>
      <c r="S218" t="s">
        <v>490</v>
      </c>
      <c r="T218" t="s">
        <v>919</v>
      </c>
      <c r="W218">
        <v>250</v>
      </c>
      <c r="AF218">
        <v>0</v>
      </c>
      <c r="AG218">
        <v>0</v>
      </c>
      <c r="AH218">
        <v>1</v>
      </c>
      <c r="AL218">
        <v>45457</v>
      </c>
      <c r="AM218">
        <v>20</v>
      </c>
      <c r="AW218" t="s">
        <v>21</v>
      </c>
      <c r="AX218" t="s">
        <v>144</v>
      </c>
      <c r="BM218" t="str">
        <f>IF(COUNTIFS('在庫使用計画 (ノート全体試算)'!C:C,マスタ_EOLリスト[[#This Row],[製品型番]])=0,"記載なし","")</f>
        <v>記載なし</v>
      </c>
      <c r="BN218" t="str">
        <f>IF(COUNTIFS('在庫使用計画 (一般)'!C:C,マスタ_EOLリスト[[#This Row],[製品型番]])=0,"記載なし","")</f>
        <v>記載なし</v>
      </c>
      <c r="BO218" t="str">
        <f>IF(COUNTIFS('在庫使用計画 (法人)'!C:C,マスタ_EOLリスト[[#This Row],[製品型番]])=0,"記載なし","")</f>
        <v>記載なし</v>
      </c>
      <c r="BP218" t="str">
        <f>IF(COUNTIFS('在庫使用計画 (全体実績+予測）0701'!C:C,マスタ_EOLリスト[[#This Row],[製品型番]])=0,"記載なし","")</f>
        <v>記載なし</v>
      </c>
      <c r="BQ218" t="str">
        <f ca="1">IF(COUNTIFS('在庫使用計画 (計画　予測)'!C:C,マスタ_EOLリスト[[#This Row],[製品型番]])=0,"記載なし","")</f>
        <v>記載なし</v>
      </c>
      <c r="BR218" t="str">
        <f>IF(COUNTIFS(在庫確認!B:B,マスタ_EOLリスト[[#This Row],[製品型番]])=0,"記載なし","")</f>
        <v/>
      </c>
      <c r="BS218" t="e">
        <f>COUNTIF(#REF!,マスタ_EOLリスト[[#This Row],[製品型番]])</f>
        <v>#REF!</v>
      </c>
    </row>
    <row r="219" spans="1:71">
      <c r="A219" t="e">
        <v>#N/A</v>
      </c>
      <c r="B219" t="s">
        <v>142</v>
      </c>
      <c r="C219" t="s">
        <v>9</v>
      </c>
      <c r="D219" t="s">
        <v>920</v>
      </c>
      <c r="E219">
        <v>185415</v>
      </c>
      <c r="H219" t="s">
        <v>21</v>
      </c>
      <c r="K219" t="s">
        <v>889</v>
      </c>
      <c r="L219" t="s">
        <v>921</v>
      </c>
      <c r="M219">
        <v>0</v>
      </c>
      <c r="N219">
        <v>0</v>
      </c>
      <c r="P219">
        <v>45148</v>
      </c>
      <c r="Q219">
        <v>45170</v>
      </c>
      <c r="R219" t="s">
        <v>922</v>
      </c>
      <c r="S219">
        <v>30</v>
      </c>
      <c r="T219" t="s">
        <v>923</v>
      </c>
      <c r="V219">
        <v>1000</v>
      </c>
      <c r="W219">
        <v>1005</v>
      </c>
      <c r="X219">
        <v>151</v>
      </c>
      <c r="Z219" t="s">
        <v>234</v>
      </c>
      <c r="AA219" t="s">
        <v>234</v>
      </c>
      <c r="AC219" t="s">
        <v>924</v>
      </c>
      <c r="AL219">
        <v>45471</v>
      </c>
      <c r="AM219">
        <v>80</v>
      </c>
      <c r="AW219" t="s">
        <v>21</v>
      </c>
      <c r="AX219" t="s">
        <v>144</v>
      </c>
      <c r="BA219" t="s">
        <v>413</v>
      </c>
      <c r="BB219" t="s">
        <v>160</v>
      </c>
      <c r="BC219" t="s">
        <v>160</v>
      </c>
      <c r="BD219" t="s">
        <v>160</v>
      </c>
      <c r="BM219" t="str">
        <f>IF(COUNTIFS('在庫使用計画 (ノート全体試算)'!C:C,マスタ_EOLリスト[[#This Row],[製品型番]])=0,"記載なし","")</f>
        <v>記載なし</v>
      </c>
      <c r="BN219" t="str">
        <f>IF(COUNTIFS('在庫使用計画 (一般)'!C:C,マスタ_EOLリスト[[#This Row],[製品型番]])=0,"記載なし","")</f>
        <v>記載なし</v>
      </c>
      <c r="BO219" t="str">
        <f>IF(COUNTIFS('在庫使用計画 (法人)'!C:C,マスタ_EOLリスト[[#This Row],[製品型番]])=0,"記載なし","")</f>
        <v>記載なし</v>
      </c>
      <c r="BP219" t="str">
        <f>IF(COUNTIFS('在庫使用計画 (全体実績+予測）0701'!C:C,マスタ_EOLリスト[[#This Row],[製品型番]])=0,"記載なし","")</f>
        <v>記載なし</v>
      </c>
      <c r="BQ219" t="str">
        <f ca="1">IF(COUNTIFS('在庫使用計画 (計画　予測)'!C:C,マスタ_EOLリスト[[#This Row],[製品型番]])=0,"記載なし","")</f>
        <v>記載なし</v>
      </c>
      <c r="BR219" t="str">
        <f>IF(COUNTIFS(在庫確認!B:B,マスタ_EOLリスト[[#This Row],[製品型番]])=0,"記載なし","")</f>
        <v/>
      </c>
      <c r="BS219" t="e">
        <f>COUNTIF(#REF!,マスタ_EOLリスト[[#This Row],[製品型番]])</f>
        <v>#REF!</v>
      </c>
    </row>
    <row r="220" spans="1:71">
      <c r="A220" t="e">
        <v>#N/A</v>
      </c>
      <c r="B220" t="s">
        <v>142</v>
      </c>
      <c r="C220" t="s">
        <v>9</v>
      </c>
      <c r="D220" t="s">
        <v>925</v>
      </c>
      <c r="E220">
        <v>175493</v>
      </c>
      <c r="F220" t="s">
        <v>926</v>
      </c>
      <c r="H220" t="s">
        <v>21</v>
      </c>
      <c r="K220" t="s">
        <v>889</v>
      </c>
      <c r="L220" t="s">
        <v>921</v>
      </c>
      <c r="M220">
        <v>0</v>
      </c>
      <c r="N220">
        <v>0</v>
      </c>
      <c r="Q220">
        <v>45169</v>
      </c>
      <c r="S220">
        <v>5</v>
      </c>
      <c r="T220">
        <v>45050</v>
      </c>
      <c r="W220">
        <v>3895</v>
      </c>
      <c r="X220">
        <v>3657</v>
      </c>
      <c r="AD220">
        <v>10</v>
      </c>
      <c r="AE220">
        <v>2.5673940949935813E-3</v>
      </c>
      <c r="AF220">
        <v>0.93889602053915278</v>
      </c>
      <c r="AG220">
        <v>0</v>
      </c>
      <c r="AH220">
        <v>5.8536585365853641E-2</v>
      </c>
      <c r="AI220" t="s">
        <v>234</v>
      </c>
      <c r="AL220">
        <v>45457</v>
      </c>
      <c r="AM220">
        <v>20</v>
      </c>
      <c r="AW220" t="s">
        <v>21</v>
      </c>
      <c r="AX220" t="s">
        <v>144</v>
      </c>
      <c r="BM220" t="str">
        <f>IF(COUNTIFS('在庫使用計画 (ノート全体試算)'!C:C,マスタ_EOLリスト[[#This Row],[製品型番]])=0,"記載なし","")</f>
        <v>記載なし</v>
      </c>
      <c r="BN220" t="str">
        <f>IF(COUNTIFS('在庫使用計画 (一般)'!C:C,マスタ_EOLリスト[[#This Row],[製品型番]])=0,"記載なし","")</f>
        <v>記載なし</v>
      </c>
      <c r="BO220" t="str">
        <f>IF(COUNTIFS('在庫使用計画 (法人)'!C:C,マスタ_EOLリスト[[#This Row],[製品型番]])=0,"記載なし","")</f>
        <v>記載なし</v>
      </c>
      <c r="BP220" t="str">
        <f>IF(COUNTIFS('在庫使用計画 (全体実績+予測）0701'!C:C,マスタ_EOLリスト[[#This Row],[製品型番]])=0,"記載なし","")</f>
        <v>記載なし</v>
      </c>
      <c r="BQ220" t="str">
        <f ca="1">IF(COUNTIFS('在庫使用計画 (計画　予測)'!C:C,マスタ_EOLリスト[[#This Row],[製品型番]])=0,"記載なし","")</f>
        <v>記載なし</v>
      </c>
      <c r="BR220" t="str">
        <f>IF(COUNTIFS(在庫確認!B:B,マスタ_EOLリスト[[#This Row],[製品型番]])=0,"記載なし","")</f>
        <v/>
      </c>
      <c r="BS220" t="e">
        <f>COUNTIF(#REF!,マスタ_EOLリスト[[#This Row],[製品型番]])</f>
        <v>#REF!</v>
      </c>
    </row>
    <row r="221" spans="1:71">
      <c r="A221" t="e">
        <v>#N/A</v>
      </c>
      <c r="B221" t="s">
        <v>142</v>
      </c>
      <c r="C221" t="s">
        <v>9</v>
      </c>
      <c r="D221" t="s">
        <v>927</v>
      </c>
      <c r="E221">
        <v>185414</v>
      </c>
      <c r="H221" t="s">
        <v>21</v>
      </c>
      <c r="K221" t="s">
        <v>889</v>
      </c>
      <c r="L221" t="s">
        <v>928</v>
      </c>
      <c r="M221">
        <v>0</v>
      </c>
      <c r="N221">
        <v>0</v>
      </c>
      <c r="P221">
        <v>45148</v>
      </c>
      <c r="Q221">
        <v>45170</v>
      </c>
      <c r="R221" t="s">
        <v>922</v>
      </c>
      <c r="S221">
        <v>20</v>
      </c>
      <c r="T221" t="s">
        <v>923</v>
      </c>
      <c r="V221">
        <v>1000</v>
      </c>
      <c r="W221">
        <v>1005</v>
      </c>
      <c r="X221">
        <v>45</v>
      </c>
      <c r="Z221" t="s">
        <v>234</v>
      </c>
      <c r="AA221" t="s">
        <v>234</v>
      </c>
      <c r="AC221" t="s">
        <v>929</v>
      </c>
      <c r="AL221">
        <v>45471</v>
      </c>
      <c r="AM221">
        <v>80</v>
      </c>
      <c r="AW221" t="s">
        <v>21</v>
      </c>
      <c r="AX221" t="s">
        <v>144</v>
      </c>
      <c r="BM221" t="str">
        <f>IF(COUNTIFS('在庫使用計画 (ノート全体試算)'!C:C,マスタ_EOLリスト[[#This Row],[製品型番]])=0,"記載なし","")</f>
        <v>記載なし</v>
      </c>
      <c r="BN221" t="str">
        <f>IF(COUNTIFS('在庫使用計画 (一般)'!C:C,マスタ_EOLリスト[[#This Row],[製品型番]])=0,"記載なし","")</f>
        <v>記載なし</v>
      </c>
      <c r="BO221" t="str">
        <f>IF(COUNTIFS('在庫使用計画 (法人)'!C:C,マスタ_EOLリスト[[#This Row],[製品型番]])=0,"記載なし","")</f>
        <v>記載なし</v>
      </c>
      <c r="BP221" t="str">
        <f>IF(COUNTIFS('在庫使用計画 (全体実績+予測）0701'!C:C,マスタ_EOLリスト[[#This Row],[製品型番]])=0,"記載なし","")</f>
        <v>記載なし</v>
      </c>
      <c r="BQ221" t="str">
        <f ca="1">IF(COUNTIFS('在庫使用計画 (計画　予測)'!C:C,マスタ_EOLリスト[[#This Row],[製品型番]])=0,"記載なし","")</f>
        <v>記載なし</v>
      </c>
      <c r="BR221" t="str">
        <f>IF(COUNTIFS(在庫確認!B:B,マスタ_EOLリスト[[#This Row],[製品型番]])=0,"記載なし","")</f>
        <v/>
      </c>
      <c r="BS221" t="e">
        <f>COUNTIF(#REF!,マスタ_EOLリスト[[#This Row],[製品型番]])</f>
        <v>#REF!</v>
      </c>
    </row>
    <row r="222" spans="1:71">
      <c r="A222" t="e">
        <v>#N/A</v>
      </c>
      <c r="B222" t="s">
        <v>142</v>
      </c>
      <c r="C222" t="s">
        <v>9</v>
      </c>
      <c r="D222" t="s">
        <v>930</v>
      </c>
      <c r="E222">
        <v>175492</v>
      </c>
      <c r="F222" t="s">
        <v>931</v>
      </c>
      <c r="H222" t="s">
        <v>21</v>
      </c>
      <c r="K222" t="s">
        <v>889</v>
      </c>
      <c r="L222" t="s">
        <v>928</v>
      </c>
      <c r="M222">
        <v>0</v>
      </c>
      <c r="N222">
        <v>0</v>
      </c>
      <c r="Q222">
        <v>45107</v>
      </c>
      <c r="S222">
        <v>15</v>
      </c>
      <c r="T222">
        <v>45050</v>
      </c>
      <c r="W222">
        <v>3995</v>
      </c>
      <c r="X222">
        <v>3674</v>
      </c>
      <c r="AD222">
        <v>37</v>
      </c>
      <c r="AE222">
        <v>9.2615769712140177E-3</v>
      </c>
      <c r="AF222">
        <v>0.91964956195244052</v>
      </c>
      <c r="AG222">
        <v>0</v>
      </c>
      <c r="AH222">
        <v>7.1088861076345461E-2</v>
      </c>
      <c r="AI222" t="s">
        <v>234</v>
      </c>
      <c r="AL222">
        <v>45457</v>
      </c>
      <c r="AM222">
        <v>20</v>
      </c>
      <c r="AW222" t="s">
        <v>21</v>
      </c>
      <c r="AX222" t="s">
        <v>144</v>
      </c>
      <c r="BM222" t="str">
        <f>IF(COUNTIFS('在庫使用計画 (ノート全体試算)'!C:C,マスタ_EOLリスト[[#This Row],[製品型番]])=0,"記載なし","")</f>
        <v>記載なし</v>
      </c>
      <c r="BN222" t="str">
        <f>IF(COUNTIFS('在庫使用計画 (一般)'!C:C,マスタ_EOLリスト[[#This Row],[製品型番]])=0,"記載なし","")</f>
        <v>記載なし</v>
      </c>
      <c r="BO222" t="str">
        <f>IF(COUNTIFS('在庫使用計画 (法人)'!C:C,マスタ_EOLリスト[[#This Row],[製品型番]])=0,"記載なし","")</f>
        <v>記載なし</v>
      </c>
      <c r="BP222" t="str">
        <f>IF(COUNTIFS('在庫使用計画 (全体実績+予測）0701'!C:C,マスタ_EOLリスト[[#This Row],[製品型番]])=0,"記載なし","")</f>
        <v>記載なし</v>
      </c>
      <c r="BQ222" t="str">
        <f ca="1">IF(COUNTIFS('在庫使用計画 (計画　予測)'!C:C,マスタ_EOLリスト[[#This Row],[製品型番]])=0,"記載なし","")</f>
        <v>記載なし</v>
      </c>
      <c r="BR222" t="str">
        <f>IF(COUNTIFS(在庫確認!B:B,マスタ_EOLリスト[[#This Row],[製品型番]])=0,"記載なし","")</f>
        <v/>
      </c>
      <c r="BS222" t="e">
        <f>COUNTIF(#REF!,マスタ_EOLリスト[[#This Row],[製品型番]])</f>
        <v>#REF!</v>
      </c>
    </row>
    <row r="223" spans="1:71">
      <c r="A223" t="e">
        <v>#N/A</v>
      </c>
      <c r="B223" t="s">
        <v>142</v>
      </c>
      <c r="C223" t="s">
        <v>9</v>
      </c>
      <c r="D223" t="s">
        <v>932</v>
      </c>
      <c r="E223">
        <v>172639</v>
      </c>
      <c r="F223" t="s">
        <v>933</v>
      </c>
      <c r="H223" t="s">
        <v>21</v>
      </c>
      <c r="K223" t="s">
        <v>889</v>
      </c>
      <c r="L223">
        <v>3080</v>
      </c>
      <c r="M223">
        <v>0</v>
      </c>
      <c r="N223">
        <v>0</v>
      </c>
      <c r="Q223">
        <v>44986</v>
      </c>
      <c r="S223">
        <v>15</v>
      </c>
      <c r="T223">
        <v>44964</v>
      </c>
      <c r="W223">
        <v>600</v>
      </c>
      <c r="X223">
        <v>512</v>
      </c>
      <c r="AD223">
        <v>21</v>
      </c>
      <c r="AE223">
        <v>3.5000000000000003E-2</v>
      </c>
      <c r="AF223">
        <v>0.85333333333333339</v>
      </c>
      <c r="AG223">
        <v>0</v>
      </c>
      <c r="AH223">
        <v>0.11166666666666659</v>
      </c>
      <c r="AL223" t="s">
        <v>21</v>
      </c>
      <c r="AM223" t="s">
        <v>21</v>
      </c>
      <c r="AW223" t="s">
        <v>21</v>
      </c>
      <c r="AX223" t="s">
        <v>144</v>
      </c>
      <c r="BM223" t="str">
        <f>IF(COUNTIFS('在庫使用計画 (ノート全体試算)'!C:C,マスタ_EOLリスト[[#This Row],[製品型番]])=0,"記載なし","")</f>
        <v>記載なし</v>
      </c>
      <c r="BN223" t="str">
        <f>IF(COUNTIFS('在庫使用計画 (一般)'!C:C,マスタ_EOLリスト[[#This Row],[製品型番]])=0,"記載なし","")</f>
        <v>記載なし</v>
      </c>
      <c r="BO223" t="str">
        <f>IF(COUNTIFS('在庫使用計画 (法人)'!C:C,マスタ_EOLリスト[[#This Row],[製品型番]])=0,"記載なし","")</f>
        <v>記載なし</v>
      </c>
      <c r="BP223" t="str">
        <f>IF(COUNTIFS('在庫使用計画 (全体実績+予測）0701'!C:C,マスタ_EOLリスト[[#This Row],[製品型番]])=0,"記載なし","")</f>
        <v>記載なし</v>
      </c>
      <c r="BQ223" t="str">
        <f ca="1">IF(COUNTIFS('在庫使用計画 (計画　予測)'!C:C,マスタ_EOLリスト[[#This Row],[製品型番]])=0,"記載なし","")</f>
        <v>記載なし</v>
      </c>
      <c r="BR223" t="str">
        <f>IF(COUNTIFS(在庫確認!B:B,マスタ_EOLリスト[[#This Row],[製品型番]])=0,"記載なし","")</f>
        <v/>
      </c>
      <c r="BS223" t="e">
        <f>COUNTIF(#REF!,マスタ_EOLリスト[[#This Row],[製品型番]])</f>
        <v>#REF!</v>
      </c>
    </row>
    <row r="224" spans="1:71">
      <c r="A224" t="e">
        <v>#N/A</v>
      </c>
      <c r="B224" t="s">
        <v>142</v>
      </c>
      <c r="C224" t="s">
        <v>9</v>
      </c>
      <c r="D224" t="s">
        <v>934</v>
      </c>
      <c r="E224">
        <v>172640</v>
      </c>
      <c r="F224" t="s">
        <v>935</v>
      </c>
      <c r="H224" t="s">
        <v>21</v>
      </c>
      <c r="K224" t="s">
        <v>889</v>
      </c>
      <c r="L224">
        <v>3070</v>
      </c>
      <c r="M224">
        <v>0</v>
      </c>
      <c r="N224">
        <v>0</v>
      </c>
      <c r="Q224">
        <v>44986</v>
      </c>
      <c r="S224">
        <v>50</v>
      </c>
      <c r="T224">
        <v>44964</v>
      </c>
      <c r="W224">
        <v>1280</v>
      </c>
      <c r="X224">
        <v>1093</v>
      </c>
      <c r="AD224">
        <v>95</v>
      </c>
      <c r="AE224">
        <v>7.421875E-2</v>
      </c>
      <c r="AF224">
        <v>0.85390624999999998</v>
      </c>
      <c r="AG224">
        <v>0</v>
      </c>
      <c r="AH224">
        <v>7.1875000000000022E-2</v>
      </c>
      <c r="AL224">
        <v>45457</v>
      </c>
      <c r="AM224">
        <v>18</v>
      </c>
      <c r="AW224" t="s">
        <v>21</v>
      </c>
      <c r="AX224" t="s">
        <v>144</v>
      </c>
      <c r="BM224" t="str">
        <f>IF(COUNTIFS('在庫使用計画 (ノート全体試算)'!C:C,マスタ_EOLリスト[[#This Row],[製品型番]])=0,"記載なし","")</f>
        <v>記載なし</v>
      </c>
      <c r="BN224" t="str">
        <f>IF(COUNTIFS('在庫使用計画 (一般)'!C:C,マスタ_EOLリスト[[#This Row],[製品型番]])=0,"記載なし","")</f>
        <v>記載なし</v>
      </c>
      <c r="BO224" t="str">
        <f>IF(COUNTIFS('在庫使用計画 (法人)'!C:C,マスタ_EOLリスト[[#This Row],[製品型番]])=0,"記載なし","")</f>
        <v>記載なし</v>
      </c>
      <c r="BP224" t="str">
        <f>IF(COUNTIFS('在庫使用計画 (全体実績+予測）0701'!C:C,マスタ_EOLリスト[[#This Row],[製品型番]])=0,"記載なし","")</f>
        <v>記載なし</v>
      </c>
      <c r="BQ224" t="str">
        <f ca="1">IF(COUNTIFS('在庫使用計画 (計画　予測)'!C:C,マスタ_EOLリスト[[#This Row],[製品型番]])=0,"記載なし","")</f>
        <v>記載なし</v>
      </c>
      <c r="BR224" t="str">
        <f>IF(COUNTIFS(在庫確認!B:B,マスタ_EOLリスト[[#This Row],[製品型番]])=0,"記載なし","")</f>
        <v/>
      </c>
      <c r="BS224" t="e">
        <f>COUNTIF(#REF!,マスタ_EOLリスト[[#This Row],[製品型番]])</f>
        <v>#REF!</v>
      </c>
    </row>
    <row r="225" spans="1:71">
      <c r="A225" t="e">
        <v>#N/A</v>
      </c>
      <c r="B225" t="s">
        <v>142</v>
      </c>
      <c r="C225" t="s">
        <v>9</v>
      </c>
      <c r="D225" t="s">
        <v>936</v>
      </c>
      <c r="E225">
        <v>166262</v>
      </c>
      <c r="F225" t="s">
        <v>937</v>
      </c>
      <c r="H225" t="s">
        <v>21</v>
      </c>
      <c r="K225" t="s">
        <v>938</v>
      </c>
      <c r="L225">
        <v>3060</v>
      </c>
      <c r="M225">
        <v>0</v>
      </c>
      <c r="N225">
        <v>0</v>
      </c>
      <c r="Q225">
        <v>44958</v>
      </c>
      <c r="W225">
        <v>2300</v>
      </c>
      <c r="X225">
        <v>1324</v>
      </c>
      <c r="AF225">
        <v>0.57565217391304346</v>
      </c>
      <c r="AL225" t="s">
        <v>21</v>
      </c>
      <c r="AM225" t="s">
        <v>21</v>
      </c>
      <c r="AW225" t="s">
        <v>21</v>
      </c>
      <c r="AX225" t="s">
        <v>144</v>
      </c>
      <c r="BM225" t="str">
        <f>IF(COUNTIFS('在庫使用計画 (ノート全体試算)'!C:C,マスタ_EOLリスト[[#This Row],[製品型番]])=0,"記載なし","")</f>
        <v>記載なし</v>
      </c>
      <c r="BN225" t="str">
        <f>IF(COUNTIFS('在庫使用計画 (一般)'!C:C,マスタ_EOLリスト[[#This Row],[製品型番]])=0,"記載なし","")</f>
        <v>記載なし</v>
      </c>
      <c r="BO225" t="str">
        <f>IF(COUNTIFS('在庫使用計画 (法人)'!C:C,マスタ_EOLリスト[[#This Row],[製品型番]])=0,"記載なし","")</f>
        <v>記載なし</v>
      </c>
      <c r="BP225" t="str">
        <f>IF(COUNTIFS('在庫使用計画 (全体実績+予測）0701'!C:C,マスタ_EOLリスト[[#This Row],[製品型番]])=0,"記載なし","")</f>
        <v>記載なし</v>
      </c>
      <c r="BQ225" t="str">
        <f ca="1">IF(COUNTIFS('在庫使用計画 (計画　予測)'!C:C,マスタ_EOLリスト[[#This Row],[製品型番]])=0,"記載なし","")</f>
        <v>記載なし</v>
      </c>
      <c r="BR225" t="str">
        <f>IF(COUNTIFS(在庫確認!B:B,マスタ_EOLリスト[[#This Row],[製品型番]])=0,"記載なし","")</f>
        <v/>
      </c>
      <c r="BS225" t="e">
        <f>COUNTIF(#REF!,マスタ_EOLリスト[[#This Row],[製品型番]])</f>
        <v>#REF!</v>
      </c>
    </row>
    <row r="226" spans="1:71">
      <c r="A226" t="e">
        <v>#N/A</v>
      </c>
      <c r="B226" t="s">
        <v>142</v>
      </c>
      <c r="C226" t="s">
        <v>9</v>
      </c>
      <c r="D226" t="s">
        <v>939</v>
      </c>
      <c r="E226">
        <v>169366</v>
      </c>
      <c r="F226" t="s">
        <v>940</v>
      </c>
      <c r="H226" t="s">
        <v>21</v>
      </c>
      <c r="K226" t="s">
        <v>941</v>
      </c>
      <c r="L226">
        <v>3060</v>
      </c>
      <c r="M226">
        <v>0</v>
      </c>
      <c r="N226">
        <v>0</v>
      </c>
      <c r="W226">
        <v>3140</v>
      </c>
      <c r="X226">
        <v>586</v>
      </c>
      <c r="AF226">
        <v>0.18662420382165604</v>
      </c>
      <c r="AL226" t="s">
        <v>21</v>
      </c>
      <c r="AM226" t="s">
        <v>21</v>
      </c>
      <c r="AW226" t="s">
        <v>21</v>
      </c>
      <c r="AX226" t="s">
        <v>144</v>
      </c>
      <c r="BM226" t="str">
        <f>IF(COUNTIFS('在庫使用計画 (ノート全体試算)'!C:C,マスタ_EOLリスト[[#This Row],[製品型番]])=0,"記載なし","")</f>
        <v>記載なし</v>
      </c>
      <c r="BN226" t="str">
        <f>IF(COUNTIFS('在庫使用計画 (一般)'!C:C,マスタ_EOLリスト[[#This Row],[製品型番]])=0,"記載なし","")</f>
        <v>記載なし</v>
      </c>
      <c r="BO226" t="str">
        <f>IF(COUNTIFS('在庫使用計画 (法人)'!C:C,マスタ_EOLリスト[[#This Row],[製品型番]])=0,"記載なし","")</f>
        <v>記載なし</v>
      </c>
      <c r="BP226" t="str">
        <f>IF(COUNTIFS('在庫使用計画 (全体実績+予測）0701'!C:C,マスタ_EOLリスト[[#This Row],[製品型番]])=0,"記載なし","")</f>
        <v>記載なし</v>
      </c>
      <c r="BQ226" t="str">
        <f ca="1">IF(COUNTIFS('在庫使用計画 (計画　予測)'!C:C,マスタ_EOLリスト[[#This Row],[製品型番]])=0,"記載なし","")</f>
        <v>記載なし</v>
      </c>
      <c r="BR226" t="str">
        <f>IF(COUNTIFS(在庫確認!B:B,マスタ_EOLリスト[[#This Row],[製品型番]])=0,"記載なし","")</f>
        <v/>
      </c>
      <c r="BS226" t="e">
        <f>COUNTIF(#REF!,マスタ_EOLリスト[[#This Row],[製品型番]])</f>
        <v>#REF!</v>
      </c>
    </row>
    <row r="227" spans="1:71">
      <c r="A227" t="e">
        <v>#N/A</v>
      </c>
      <c r="B227" t="s">
        <v>142</v>
      </c>
      <c r="C227" t="s">
        <v>9</v>
      </c>
      <c r="D227" t="s">
        <v>261</v>
      </c>
      <c r="E227">
        <v>181639</v>
      </c>
      <c r="F227" t="s">
        <v>942</v>
      </c>
      <c r="H227" t="s">
        <v>21</v>
      </c>
      <c r="M227">
        <v>0</v>
      </c>
      <c r="N227">
        <v>0</v>
      </c>
      <c r="P227">
        <v>45106</v>
      </c>
      <c r="R227" t="s">
        <v>179</v>
      </c>
      <c r="V227">
        <v>1000</v>
      </c>
      <c r="W227">
        <v>390</v>
      </c>
      <c r="X227">
        <v>90</v>
      </c>
      <c r="AC227" t="s">
        <v>282</v>
      </c>
      <c r="AH227" t="s">
        <v>289</v>
      </c>
      <c r="AL227" t="s">
        <v>21</v>
      </c>
      <c r="AM227" t="s">
        <v>21</v>
      </c>
      <c r="AN227" t="s">
        <v>266</v>
      </c>
      <c r="AO227">
        <v>19</v>
      </c>
      <c r="AP227">
        <v>7.89</v>
      </c>
      <c r="AQ227" t="s">
        <v>156</v>
      </c>
      <c r="AW227" t="s">
        <v>21</v>
      </c>
      <c r="AX227" t="s">
        <v>144</v>
      </c>
      <c r="BM227" t="str">
        <f>IF(COUNTIFS('在庫使用計画 (ノート全体試算)'!C:C,マスタ_EOLリスト[[#This Row],[製品型番]])=0,"記載なし","")</f>
        <v>記載なし</v>
      </c>
      <c r="BN227" t="str">
        <f>IF(COUNTIFS('在庫使用計画 (一般)'!C:C,マスタ_EOLリスト[[#This Row],[製品型番]])=0,"記載なし","")</f>
        <v>記載なし</v>
      </c>
      <c r="BO227" t="str">
        <f>IF(COUNTIFS('在庫使用計画 (法人)'!C:C,マスタ_EOLリスト[[#This Row],[製品型番]])=0,"記載なし","")</f>
        <v>記載なし</v>
      </c>
      <c r="BP227" t="str">
        <f>IF(COUNTIFS('在庫使用計画 (全体実績+予測）0701'!C:C,マスタ_EOLリスト[[#This Row],[製品型番]])=0,"記載なし","")</f>
        <v>記載なし</v>
      </c>
      <c r="BQ227" t="str">
        <f ca="1">IF(COUNTIFS('在庫使用計画 (計画　予測)'!C:C,マスタ_EOLリスト[[#This Row],[製品型番]])=0,"記載なし","")</f>
        <v>記載なし</v>
      </c>
      <c r="BR227" t="str">
        <f>IF(COUNTIFS(在庫確認!B:B,マスタ_EOLリスト[[#This Row],[製品型番]])=0,"記載なし","")</f>
        <v>記載なし</v>
      </c>
      <c r="BS227" t="e">
        <f>COUNTIF(#REF!,マスタ_EOLリスト[[#This Row],[製品型番]])</f>
        <v>#REF!</v>
      </c>
    </row>
    <row r="228" spans="1:71">
      <c r="A228" t="e">
        <v>#N/A</v>
      </c>
      <c r="B228" t="s">
        <v>142</v>
      </c>
      <c r="C228" t="s">
        <v>9</v>
      </c>
      <c r="D228" t="s">
        <v>273</v>
      </c>
      <c r="E228">
        <v>179159</v>
      </c>
      <c r="F228" t="s">
        <v>943</v>
      </c>
      <c r="H228" t="s">
        <v>21</v>
      </c>
      <c r="M228">
        <v>0</v>
      </c>
      <c r="N228">
        <v>0</v>
      </c>
      <c r="P228">
        <v>45056</v>
      </c>
      <c r="R228" t="s">
        <v>179</v>
      </c>
      <c r="V228">
        <v>2860</v>
      </c>
      <c r="W228">
        <v>2345</v>
      </c>
      <c r="X228">
        <v>1399</v>
      </c>
      <c r="Z228">
        <v>186232</v>
      </c>
      <c r="AC228" t="s">
        <v>282</v>
      </c>
      <c r="AH228" t="s">
        <v>289</v>
      </c>
      <c r="AL228">
        <v>45457</v>
      </c>
      <c r="AM228">
        <v>20</v>
      </c>
      <c r="AW228" t="s">
        <v>21</v>
      </c>
      <c r="AX228" t="s">
        <v>144</v>
      </c>
      <c r="BM228" t="str">
        <f>IF(COUNTIFS('在庫使用計画 (ノート全体試算)'!C:C,マスタ_EOLリスト[[#This Row],[製品型番]])=0,"記載なし","")</f>
        <v>記載なし</v>
      </c>
      <c r="BN228" t="str">
        <f>IF(COUNTIFS('在庫使用計画 (一般)'!C:C,マスタ_EOLリスト[[#This Row],[製品型番]])=0,"記載なし","")</f>
        <v>記載なし</v>
      </c>
      <c r="BO228" t="str">
        <f>IF(COUNTIFS('在庫使用計画 (法人)'!C:C,マスタ_EOLリスト[[#This Row],[製品型番]])=0,"記載なし","")</f>
        <v>記載なし</v>
      </c>
      <c r="BP228" t="str">
        <f>IF(COUNTIFS('在庫使用計画 (全体実績+予測）0701'!C:C,マスタ_EOLリスト[[#This Row],[製品型番]])=0,"記載なし","")</f>
        <v>記載なし</v>
      </c>
      <c r="BQ228" t="str">
        <f ca="1">IF(COUNTIFS('在庫使用計画 (計画　予測)'!C:C,マスタ_EOLリスト[[#This Row],[製品型番]])=0,"記載なし","")</f>
        <v>記載なし</v>
      </c>
      <c r="BR228" t="str">
        <f>IF(COUNTIFS(在庫確認!B:B,マスタ_EOLリスト[[#This Row],[製品型番]])=0,"記載なし","")</f>
        <v>記載なし</v>
      </c>
      <c r="BS228" t="e">
        <f>COUNTIF(#REF!,マスタ_EOLリスト[[#This Row],[製品型番]])</f>
        <v>#REF!</v>
      </c>
    </row>
    <row r="229" spans="1:71">
      <c r="A229" t="e">
        <v>#N/A</v>
      </c>
      <c r="B229" t="s">
        <v>142</v>
      </c>
      <c r="C229" t="s">
        <v>9</v>
      </c>
      <c r="D229" t="s">
        <v>280</v>
      </c>
      <c r="E229">
        <v>186237</v>
      </c>
      <c r="F229" t="s">
        <v>944</v>
      </c>
      <c r="H229" t="s">
        <v>21</v>
      </c>
      <c r="M229">
        <v>0</v>
      </c>
      <c r="N229">
        <v>0</v>
      </c>
      <c r="P229" t="s">
        <v>276</v>
      </c>
      <c r="Q229" t="s">
        <v>240</v>
      </c>
      <c r="R229" t="s">
        <v>179</v>
      </c>
      <c r="W229">
        <v>325</v>
      </c>
      <c r="AC229" t="s">
        <v>264</v>
      </c>
      <c r="AH229" t="s">
        <v>289</v>
      </c>
      <c r="AL229">
        <v>45471</v>
      </c>
      <c r="AM229">
        <v>80</v>
      </c>
      <c r="AN229" t="s">
        <v>266</v>
      </c>
      <c r="AO229">
        <v>19</v>
      </c>
      <c r="AP229">
        <v>7.89</v>
      </c>
      <c r="AQ229" t="s">
        <v>156</v>
      </c>
      <c r="AW229" t="s">
        <v>21</v>
      </c>
      <c r="AX229" t="s">
        <v>144</v>
      </c>
      <c r="BM229" t="str">
        <f>IF(COUNTIFS('在庫使用計画 (ノート全体試算)'!C:C,マスタ_EOLリスト[[#This Row],[製品型番]])=0,"記載なし","")</f>
        <v>記載なし</v>
      </c>
      <c r="BN229" t="str">
        <f>IF(COUNTIFS('在庫使用計画 (一般)'!C:C,マスタ_EOLリスト[[#This Row],[製品型番]])=0,"記載なし","")</f>
        <v>記載なし</v>
      </c>
      <c r="BO229" t="str">
        <f>IF(COUNTIFS('在庫使用計画 (法人)'!C:C,マスタ_EOLリスト[[#This Row],[製品型番]])=0,"記載なし","")</f>
        <v>記載なし</v>
      </c>
      <c r="BP229" t="str">
        <f>IF(COUNTIFS('在庫使用計画 (全体実績+予測）0701'!C:C,マスタ_EOLリスト[[#This Row],[製品型番]])=0,"記載なし","")</f>
        <v>記載なし</v>
      </c>
      <c r="BQ229" t="str">
        <f ca="1">IF(COUNTIFS('在庫使用計画 (計画　予測)'!C:C,マスタ_EOLリスト[[#This Row],[製品型番]])=0,"記載なし","")</f>
        <v>記載なし</v>
      </c>
      <c r="BR229" t="str">
        <f>IF(COUNTIFS(在庫確認!B:B,マスタ_EOLリスト[[#This Row],[製品型番]])=0,"記載なし","")</f>
        <v>記載なし</v>
      </c>
      <c r="BS229" t="e">
        <f>COUNTIF(#REF!,マスタ_EOLリスト[[#This Row],[製品型番]])</f>
        <v>#REF!</v>
      </c>
    </row>
    <row r="230" spans="1:71">
      <c r="A230" t="e">
        <v>#N/A</v>
      </c>
      <c r="B230" t="s">
        <v>142</v>
      </c>
      <c r="C230" t="s">
        <v>9</v>
      </c>
      <c r="D230" t="s">
        <v>945</v>
      </c>
      <c r="E230">
        <v>172641</v>
      </c>
      <c r="F230" t="s">
        <v>946</v>
      </c>
      <c r="H230" t="s">
        <v>21</v>
      </c>
      <c r="K230" t="s">
        <v>889</v>
      </c>
      <c r="L230">
        <v>3060</v>
      </c>
      <c r="M230">
        <v>0</v>
      </c>
      <c r="N230">
        <v>0</v>
      </c>
      <c r="Q230">
        <v>45078</v>
      </c>
      <c r="R230" t="s">
        <v>947</v>
      </c>
      <c r="S230">
        <v>40</v>
      </c>
      <c r="W230">
        <v>4930</v>
      </c>
      <c r="X230">
        <v>4133</v>
      </c>
      <c r="Z230">
        <v>181639</v>
      </c>
      <c r="AC230">
        <v>45113</v>
      </c>
      <c r="AD230">
        <v>242</v>
      </c>
      <c r="AE230">
        <v>4.9087221095334685E-2</v>
      </c>
      <c r="AF230">
        <v>0.83833671399594323</v>
      </c>
      <c r="AG230">
        <v>0</v>
      </c>
      <c r="AH230">
        <v>0.11257606490872207</v>
      </c>
      <c r="AL230">
        <v>45457</v>
      </c>
      <c r="AM230">
        <v>18</v>
      </c>
      <c r="AW230" t="s">
        <v>21</v>
      </c>
      <c r="AX230" t="s">
        <v>144</v>
      </c>
      <c r="BM230" t="str">
        <f>IF(COUNTIFS('在庫使用計画 (ノート全体試算)'!C:C,マスタ_EOLリスト[[#This Row],[製品型番]])=0,"記載なし","")</f>
        <v>記載なし</v>
      </c>
      <c r="BN230" t="str">
        <f>IF(COUNTIFS('在庫使用計画 (一般)'!C:C,マスタ_EOLリスト[[#This Row],[製品型番]])=0,"記載なし","")</f>
        <v>記載なし</v>
      </c>
      <c r="BO230" t="str">
        <f>IF(COUNTIFS('在庫使用計画 (法人)'!C:C,マスタ_EOLリスト[[#This Row],[製品型番]])=0,"記載なし","")</f>
        <v>記載なし</v>
      </c>
      <c r="BP230" t="str">
        <f>IF(COUNTIFS('在庫使用計画 (全体実績+予測）0701'!C:C,マスタ_EOLリスト[[#This Row],[製品型番]])=0,"記載なし","")</f>
        <v>記載なし</v>
      </c>
      <c r="BQ230" t="str">
        <f ca="1">IF(COUNTIFS('在庫使用計画 (計画　予測)'!C:C,マスタ_EOLリスト[[#This Row],[製品型番]])=0,"記載なし","")</f>
        <v>記載なし</v>
      </c>
      <c r="BR230" t="str">
        <f>IF(COUNTIFS(在庫確認!B:B,マスタ_EOLリスト[[#This Row],[製品型番]])=0,"記載なし","")</f>
        <v/>
      </c>
      <c r="BS230" t="e">
        <f>COUNTIF(#REF!,マスタ_EOLリスト[[#This Row],[製品型番]])</f>
        <v>#REF!</v>
      </c>
    </row>
    <row r="231" spans="1:71">
      <c r="A231" t="e">
        <v>#N/A</v>
      </c>
      <c r="B231" t="s">
        <v>142</v>
      </c>
      <c r="C231" t="s">
        <v>9</v>
      </c>
      <c r="D231" t="s">
        <v>948</v>
      </c>
      <c r="E231">
        <v>169729</v>
      </c>
      <c r="F231" t="s">
        <v>949</v>
      </c>
      <c r="H231" t="s">
        <v>21</v>
      </c>
      <c r="K231" t="s">
        <v>913</v>
      </c>
      <c r="L231">
        <v>3060</v>
      </c>
      <c r="M231">
        <v>0</v>
      </c>
      <c r="N231">
        <v>0</v>
      </c>
      <c r="Q231" t="s">
        <v>914</v>
      </c>
      <c r="W231">
        <v>6310</v>
      </c>
      <c r="X231">
        <v>3051</v>
      </c>
      <c r="AF231">
        <v>0.48351822503961966</v>
      </c>
      <c r="AL231" t="s">
        <v>21</v>
      </c>
      <c r="AM231" t="s">
        <v>21</v>
      </c>
      <c r="AW231" t="s">
        <v>21</v>
      </c>
      <c r="AX231" t="s">
        <v>144</v>
      </c>
      <c r="BM231" t="str">
        <f>IF(COUNTIFS('在庫使用計画 (ノート全体試算)'!C:C,マスタ_EOLリスト[[#This Row],[製品型番]])=0,"記載なし","")</f>
        <v>記載なし</v>
      </c>
      <c r="BN231" t="str">
        <f>IF(COUNTIFS('在庫使用計画 (一般)'!C:C,マスタ_EOLリスト[[#This Row],[製品型番]])=0,"記載なし","")</f>
        <v>記載なし</v>
      </c>
      <c r="BO231" t="str">
        <f>IF(COUNTIFS('在庫使用計画 (法人)'!C:C,マスタ_EOLリスト[[#This Row],[製品型番]])=0,"記載なし","")</f>
        <v>記載なし</v>
      </c>
      <c r="BP231" t="str">
        <f>IF(COUNTIFS('在庫使用計画 (全体実績+予測）0701'!C:C,マスタ_EOLリスト[[#This Row],[製品型番]])=0,"記載なし","")</f>
        <v>記載なし</v>
      </c>
      <c r="BQ231" t="str">
        <f ca="1">IF(COUNTIFS('在庫使用計画 (計画　予測)'!C:C,マスタ_EOLリスト[[#This Row],[製品型番]])=0,"記載なし","")</f>
        <v>記載なし</v>
      </c>
      <c r="BR231" t="str">
        <f>IF(COUNTIFS(在庫確認!B:B,マスタ_EOLリスト[[#This Row],[製品型番]])=0,"記載なし","")</f>
        <v/>
      </c>
      <c r="BS231" t="e">
        <f>COUNTIF(#REF!,マスタ_EOLリスト[[#This Row],[製品型番]])</f>
        <v>#REF!</v>
      </c>
    </row>
    <row r="232" spans="1:71">
      <c r="A232" t="e">
        <v>#N/A</v>
      </c>
      <c r="B232" t="s">
        <v>142</v>
      </c>
      <c r="C232" t="s">
        <v>9</v>
      </c>
      <c r="D232" t="s">
        <v>950</v>
      </c>
      <c r="E232">
        <v>166260</v>
      </c>
      <c r="F232" t="s">
        <v>951</v>
      </c>
      <c r="G232" t="s">
        <v>952</v>
      </c>
      <c r="H232" t="s">
        <v>953</v>
      </c>
      <c r="K232" t="s">
        <v>954</v>
      </c>
      <c r="L232">
        <v>3060</v>
      </c>
      <c r="M232">
        <v>0</v>
      </c>
      <c r="N232">
        <v>0</v>
      </c>
      <c r="W232">
        <v>5500</v>
      </c>
      <c r="AF232">
        <v>0</v>
      </c>
      <c r="AL232" t="s">
        <v>21</v>
      </c>
      <c r="AM232" t="s">
        <v>21</v>
      </c>
      <c r="AW232" t="s">
        <v>21</v>
      </c>
      <c r="AX232" t="s">
        <v>144</v>
      </c>
      <c r="BM232" t="str">
        <f>IF(COUNTIFS('在庫使用計画 (ノート全体試算)'!C:C,マスタ_EOLリスト[[#This Row],[製品型番]])=0,"記載なし","")</f>
        <v>記載なし</v>
      </c>
      <c r="BN232" t="str">
        <f>IF(COUNTIFS('在庫使用計画 (一般)'!C:C,マスタ_EOLリスト[[#This Row],[製品型番]])=0,"記載なし","")</f>
        <v>記載なし</v>
      </c>
      <c r="BO232" t="str">
        <f>IF(COUNTIFS('在庫使用計画 (法人)'!C:C,マスタ_EOLリスト[[#This Row],[製品型番]])=0,"記載なし","")</f>
        <v>記載なし</v>
      </c>
      <c r="BP232" t="str">
        <f>IF(COUNTIFS('在庫使用計画 (全体実績+予測）0701'!C:C,マスタ_EOLリスト[[#This Row],[製品型番]])=0,"記載なし","")</f>
        <v>記載なし</v>
      </c>
      <c r="BQ232" t="str">
        <f ca="1">IF(COUNTIFS('在庫使用計画 (計画　予測)'!C:C,マスタ_EOLリスト[[#This Row],[製品型番]])=0,"記載なし","")</f>
        <v>記載なし</v>
      </c>
      <c r="BR232" t="str">
        <f>IF(COUNTIFS(在庫確認!B:B,マスタ_EOLリスト[[#This Row],[製品型番]])=0,"記載なし","")</f>
        <v>記載なし</v>
      </c>
      <c r="BS232" t="e">
        <f>COUNTIF(#REF!,マスタ_EOLリスト[[#This Row],[製品型番]])</f>
        <v>#REF!</v>
      </c>
    </row>
    <row r="233" spans="1:71">
      <c r="A233" t="e">
        <v>#N/A</v>
      </c>
      <c r="B233" t="s">
        <v>142</v>
      </c>
      <c r="C233" t="s">
        <v>9</v>
      </c>
      <c r="D233" t="s">
        <v>950</v>
      </c>
      <c r="E233">
        <v>167583</v>
      </c>
      <c r="F233" t="s">
        <v>955</v>
      </c>
      <c r="G233" t="s">
        <v>952</v>
      </c>
      <c r="H233" t="s">
        <v>956</v>
      </c>
      <c r="K233" t="s">
        <v>954</v>
      </c>
      <c r="L233">
        <v>3060</v>
      </c>
      <c r="M233">
        <v>0</v>
      </c>
      <c r="N233">
        <v>0</v>
      </c>
      <c r="W233">
        <v>5380</v>
      </c>
      <c r="AF233">
        <v>0</v>
      </c>
      <c r="AL233" t="s">
        <v>21</v>
      </c>
      <c r="AM233" t="s">
        <v>21</v>
      </c>
      <c r="AW233" t="s">
        <v>21</v>
      </c>
      <c r="AX233" t="s">
        <v>144</v>
      </c>
      <c r="BM233" t="str">
        <f>IF(COUNTIFS('在庫使用計画 (ノート全体試算)'!C:C,マスタ_EOLリスト[[#This Row],[製品型番]])=0,"記載なし","")</f>
        <v>記載なし</v>
      </c>
      <c r="BN233" t="str">
        <f>IF(COUNTIFS('在庫使用計画 (一般)'!C:C,マスタ_EOLリスト[[#This Row],[製品型番]])=0,"記載なし","")</f>
        <v>記載なし</v>
      </c>
      <c r="BO233" t="str">
        <f>IF(COUNTIFS('在庫使用計画 (法人)'!C:C,マスタ_EOLリスト[[#This Row],[製品型番]])=0,"記載なし","")</f>
        <v>記載なし</v>
      </c>
      <c r="BP233" t="str">
        <f>IF(COUNTIFS('在庫使用計画 (全体実績+予測）0701'!C:C,マスタ_EOLリスト[[#This Row],[製品型番]])=0,"記載なし","")</f>
        <v>記載なし</v>
      </c>
      <c r="BQ233" t="str">
        <f ca="1">IF(COUNTIFS('在庫使用計画 (計画　予測)'!C:C,マスタ_EOLリスト[[#This Row],[製品型番]])=0,"記載なし","")</f>
        <v>記載なし</v>
      </c>
      <c r="BR233" t="str">
        <f>IF(COUNTIFS(在庫確認!B:B,マスタ_EOLリスト[[#This Row],[製品型番]])=0,"記載なし","")</f>
        <v>記載なし</v>
      </c>
      <c r="BS233" t="e">
        <f>COUNTIF(#REF!,マスタ_EOLリスト[[#This Row],[製品型番]])</f>
        <v>#REF!</v>
      </c>
    </row>
    <row r="234" spans="1:71">
      <c r="A234" t="e">
        <v>#N/A</v>
      </c>
      <c r="B234" t="s">
        <v>142</v>
      </c>
      <c r="C234" t="s">
        <v>9</v>
      </c>
      <c r="D234" t="s">
        <v>957</v>
      </c>
      <c r="E234">
        <v>170326</v>
      </c>
      <c r="F234" t="s">
        <v>958</v>
      </c>
      <c r="H234" t="s">
        <v>21</v>
      </c>
      <c r="K234" t="s">
        <v>959</v>
      </c>
      <c r="L234">
        <v>3060</v>
      </c>
      <c r="M234">
        <v>0</v>
      </c>
      <c r="N234">
        <v>0</v>
      </c>
      <c r="W234">
        <v>1000</v>
      </c>
      <c r="X234">
        <v>672</v>
      </c>
      <c r="AF234">
        <v>0.67200000000000004</v>
      </c>
      <c r="AL234" t="s">
        <v>21</v>
      </c>
      <c r="AM234" t="s">
        <v>21</v>
      </c>
      <c r="AW234" t="s">
        <v>21</v>
      </c>
      <c r="AX234" t="s">
        <v>144</v>
      </c>
      <c r="BM234" t="str">
        <f>IF(COUNTIFS('在庫使用計画 (ノート全体試算)'!C:C,マスタ_EOLリスト[[#This Row],[製品型番]])=0,"記載なし","")</f>
        <v>記載なし</v>
      </c>
      <c r="BN234" t="str">
        <f>IF(COUNTIFS('在庫使用計画 (一般)'!C:C,マスタ_EOLリスト[[#This Row],[製品型番]])=0,"記載なし","")</f>
        <v>記載なし</v>
      </c>
      <c r="BO234" t="str">
        <f>IF(COUNTIFS('在庫使用計画 (法人)'!C:C,マスタ_EOLリスト[[#This Row],[製品型番]])=0,"記載なし","")</f>
        <v>記載なし</v>
      </c>
      <c r="BP234" t="str">
        <f>IF(COUNTIFS('在庫使用計画 (全体実績+予測）0701'!C:C,マスタ_EOLリスト[[#This Row],[製品型番]])=0,"記載なし","")</f>
        <v>記載なし</v>
      </c>
      <c r="BQ234" t="str">
        <f ca="1">IF(COUNTIFS('在庫使用計画 (計画　予測)'!C:C,マスタ_EOLリスト[[#This Row],[製品型番]])=0,"記載なし","")</f>
        <v>記載なし</v>
      </c>
      <c r="BR234" t="str">
        <f>IF(COUNTIFS(在庫確認!B:B,マスタ_EOLリスト[[#This Row],[製品型番]])=0,"記載なし","")</f>
        <v/>
      </c>
      <c r="BS234" t="e">
        <f>COUNTIF(#REF!,マスタ_EOLリスト[[#This Row],[製品型番]])</f>
        <v>#REF!</v>
      </c>
    </row>
    <row r="235" spans="1:71">
      <c r="A235" t="e">
        <v>#N/A</v>
      </c>
      <c r="B235" t="s">
        <v>142</v>
      </c>
      <c r="C235" t="s">
        <v>9</v>
      </c>
      <c r="D235" t="s">
        <v>960</v>
      </c>
      <c r="E235">
        <v>172905</v>
      </c>
      <c r="F235" t="s">
        <v>961</v>
      </c>
      <c r="H235" t="s">
        <v>21</v>
      </c>
      <c r="K235" t="s">
        <v>889</v>
      </c>
      <c r="L235">
        <v>3050</v>
      </c>
      <c r="M235">
        <v>0</v>
      </c>
      <c r="N235">
        <v>0</v>
      </c>
      <c r="Q235">
        <v>45017</v>
      </c>
      <c r="S235">
        <v>60</v>
      </c>
      <c r="T235">
        <v>44986</v>
      </c>
      <c r="W235">
        <v>2940</v>
      </c>
      <c r="X235">
        <v>2591</v>
      </c>
      <c r="Z235">
        <v>181640</v>
      </c>
      <c r="AC235">
        <v>45113</v>
      </c>
      <c r="AD235">
        <v>145</v>
      </c>
      <c r="AE235">
        <v>4.9319727891156462E-2</v>
      </c>
      <c r="AF235">
        <v>0.88129251700680267</v>
      </c>
      <c r="AG235">
        <v>0</v>
      </c>
      <c r="AH235">
        <v>6.9387755102040871E-2</v>
      </c>
      <c r="AL235">
        <v>45457</v>
      </c>
      <c r="AM235">
        <v>20</v>
      </c>
      <c r="AW235" t="s">
        <v>21</v>
      </c>
      <c r="AX235" t="s">
        <v>144</v>
      </c>
      <c r="BM235" t="str">
        <f>IF(COUNTIFS('在庫使用計画 (ノート全体試算)'!C:C,マスタ_EOLリスト[[#This Row],[製品型番]])=0,"記載なし","")</f>
        <v>記載なし</v>
      </c>
      <c r="BN235" t="str">
        <f>IF(COUNTIFS('在庫使用計画 (一般)'!C:C,マスタ_EOLリスト[[#This Row],[製品型番]])=0,"記載なし","")</f>
        <v>記載なし</v>
      </c>
      <c r="BO235" t="str">
        <f>IF(COUNTIFS('在庫使用計画 (法人)'!C:C,マスタ_EOLリスト[[#This Row],[製品型番]])=0,"記載なし","")</f>
        <v>記載なし</v>
      </c>
      <c r="BP235" t="str">
        <f>IF(COUNTIFS('在庫使用計画 (全体実績+予測）0701'!C:C,マスタ_EOLリスト[[#This Row],[製品型番]])=0,"記載なし","")</f>
        <v>記載なし</v>
      </c>
      <c r="BQ235" t="str">
        <f ca="1">IF(COUNTIFS('在庫使用計画 (計画　予測)'!C:C,マスタ_EOLリスト[[#This Row],[製品型番]])=0,"記載なし","")</f>
        <v>記載なし</v>
      </c>
      <c r="BR235" t="str">
        <f>IF(COUNTIFS(在庫確認!B:B,マスタ_EOLリスト[[#This Row],[製品型番]])=0,"記載なし","")</f>
        <v/>
      </c>
      <c r="BS235" t="e">
        <f>COUNTIF(#REF!,マスタ_EOLリスト[[#This Row],[製品型番]])</f>
        <v>#REF!</v>
      </c>
    </row>
    <row r="236" spans="1:71">
      <c r="A236" t="e">
        <v>#N/A</v>
      </c>
      <c r="B236" t="s">
        <v>142</v>
      </c>
      <c r="C236" t="s">
        <v>9</v>
      </c>
      <c r="D236" t="s">
        <v>962</v>
      </c>
      <c r="E236">
        <v>179163</v>
      </c>
      <c r="F236" t="s">
        <v>963</v>
      </c>
      <c r="H236" t="s">
        <v>21</v>
      </c>
      <c r="M236">
        <v>0</v>
      </c>
      <c r="N236">
        <v>0</v>
      </c>
      <c r="P236">
        <v>45056</v>
      </c>
      <c r="Q236">
        <v>45231</v>
      </c>
      <c r="R236" t="s">
        <v>964</v>
      </c>
      <c r="S236">
        <v>30</v>
      </c>
      <c r="T236" t="s">
        <v>923</v>
      </c>
      <c r="V236">
        <v>9010</v>
      </c>
      <c r="W236">
        <v>3485</v>
      </c>
      <c r="X236">
        <v>1613</v>
      </c>
      <c r="AC236" t="s">
        <v>965</v>
      </c>
      <c r="AL236" t="s">
        <v>21</v>
      </c>
      <c r="AM236" t="s">
        <v>21</v>
      </c>
      <c r="AN236" t="s">
        <v>266</v>
      </c>
      <c r="AO236">
        <v>19</v>
      </c>
      <c r="AP236">
        <v>7.89</v>
      </c>
      <c r="AQ236" t="s">
        <v>156</v>
      </c>
      <c r="AW236" t="s">
        <v>21</v>
      </c>
      <c r="AX236" t="s">
        <v>144</v>
      </c>
      <c r="BM236" t="str">
        <f>IF(COUNTIFS('在庫使用計画 (ノート全体試算)'!C:C,マスタ_EOLリスト[[#This Row],[製品型番]])=0,"記載なし","")</f>
        <v>記載なし</v>
      </c>
      <c r="BN236" t="str">
        <f>IF(COUNTIFS('在庫使用計画 (一般)'!C:C,マスタ_EOLリスト[[#This Row],[製品型番]])=0,"記載なし","")</f>
        <v>記載なし</v>
      </c>
      <c r="BO236" t="str">
        <f>IF(COUNTIFS('在庫使用計画 (法人)'!C:C,マスタ_EOLリスト[[#This Row],[製品型番]])=0,"記載なし","")</f>
        <v>記載なし</v>
      </c>
      <c r="BP236" t="str">
        <f>IF(COUNTIFS('在庫使用計画 (全体実績+予測）0701'!C:C,マスタ_EOLリスト[[#This Row],[製品型番]])=0,"記載なし","")</f>
        <v>記載なし</v>
      </c>
      <c r="BQ236" t="str">
        <f ca="1">IF(COUNTIFS('在庫使用計画 (計画　予測)'!C:C,マスタ_EOLリスト[[#This Row],[製品型番]])=0,"記載なし","")</f>
        <v>記載なし</v>
      </c>
      <c r="BR236" t="str">
        <f>IF(COUNTIFS(在庫確認!B:B,マスタ_EOLリスト[[#This Row],[製品型番]])=0,"記載なし","")</f>
        <v>記載なし</v>
      </c>
      <c r="BS236" t="e">
        <f>COUNTIF(#REF!,マスタ_EOLリスト[[#This Row],[製品型番]])</f>
        <v>#REF!</v>
      </c>
    </row>
    <row r="237" spans="1:71">
      <c r="A237" t="e">
        <v>#N/A</v>
      </c>
      <c r="B237" t="s">
        <v>142</v>
      </c>
      <c r="C237" t="s">
        <v>9</v>
      </c>
      <c r="D237" t="s">
        <v>966</v>
      </c>
      <c r="E237">
        <v>168356</v>
      </c>
      <c r="F237" t="s">
        <v>967</v>
      </c>
      <c r="H237" t="s">
        <v>21</v>
      </c>
      <c r="K237" t="s">
        <v>968</v>
      </c>
      <c r="L237" t="s">
        <v>969</v>
      </c>
      <c r="M237">
        <v>0</v>
      </c>
      <c r="N237">
        <v>0</v>
      </c>
      <c r="Q237" t="s">
        <v>914</v>
      </c>
      <c r="W237">
        <v>1600</v>
      </c>
      <c r="X237">
        <v>2023</v>
      </c>
      <c r="AF237">
        <v>1.264375</v>
      </c>
      <c r="AL237" t="s">
        <v>21</v>
      </c>
      <c r="AM237" t="s">
        <v>21</v>
      </c>
      <c r="AW237" t="s">
        <v>21</v>
      </c>
      <c r="AX237" t="s">
        <v>144</v>
      </c>
      <c r="BM237" t="str">
        <f>IF(COUNTIFS('在庫使用計画 (ノート全体試算)'!C:C,マスタ_EOLリスト[[#This Row],[製品型番]])=0,"記載なし","")</f>
        <v>記載なし</v>
      </c>
      <c r="BN237" t="str">
        <f>IF(COUNTIFS('在庫使用計画 (一般)'!C:C,マスタ_EOLリスト[[#This Row],[製品型番]])=0,"記載なし","")</f>
        <v>記載なし</v>
      </c>
      <c r="BO237" t="str">
        <f>IF(COUNTIFS('在庫使用計画 (法人)'!C:C,マスタ_EOLリスト[[#This Row],[製品型番]])=0,"記載なし","")</f>
        <v>記載なし</v>
      </c>
      <c r="BP237" t="str">
        <f>IF(COUNTIFS('在庫使用計画 (全体実績+予測）0701'!C:C,マスタ_EOLリスト[[#This Row],[製品型番]])=0,"記載なし","")</f>
        <v>記載なし</v>
      </c>
      <c r="BQ237" t="str">
        <f ca="1">IF(COUNTIFS('在庫使用計画 (計画　予測)'!C:C,マスタ_EOLリスト[[#This Row],[製品型番]])=0,"記載なし","")</f>
        <v>記載なし</v>
      </c>
      <c r="BR237" t="str">
        <f>IF(COUNTIFS(在庫確認!B:B,マスタ_EOLリスト[[#This Row],[製品型番]])=0,"記載なし","")</f>
        <v/>
      </c>
      <c r="BS237" t="e">
        <f>COUNTIF(#REF!,マスタ_EOLリスト[[#This Row],[製品型番]])</f>
        <v>#REF!</v>
      </c>
    </row>
    <row r="238" spans="1:71">
      <c r="A238" t="e">
        <v>#N/A</v>
      </c>
      <c r="B238" t="s">
        <v>142</v>
      </c>
      <c r="C238" t="s">
        <v>9</v>
      </c>
      <c r="D238" t="s">
        <v>966</v>
      </c>
      <c r="E238">
        <v>169817</v>
      </c>
      <c r="F238" t="s">
        <v>970</v>
      </c>
      <c r="H238" t="s">
        <v>21</v>
      </c>
      <c r="K238" t="s">
        <v>968</v>
      </c>
      <c r="L238" t="s">
        <v>969</v>
      </c>
      <c r="M238">
        <v>0</v>
      </c>
      <c r="N238">
        <v>0</v>
      </c>
      <c r="Q238" t="s">
        <v>914</v>
      </c>
      <c r="W238">
        <v>1110</v>
      </c>
      <c r="X238">
        <v>2023</v>
      </c>
      <c r="AF238">
        <v>1.8225225225225223</v>
      </c>
      <c r="AL238" t="s">
        <v>21</v>
      </c>
      <c r="AM238" t="s">
        <v>21</v>
      </c>
      <c r="AW238" t="s">
        <v>21</v>
      </c>
      <c r="AX238" t="s">
        <v>144</v>
      </c>
      <c r="BM238" t="str">
        <f>IF(COUNTIFS('在庫使用計画 (ノート全体試算)'!C:C,マスタ_EOLリスト[[#This Row],[製品型番]])=0,"記載なし","")</f>
        <v>記載なし</v>
      </c>
      <c r="BN238" t="str">
        <f>IF(COUNTIFS('在庫使用計画 (一般)'!C:C,マスタ_EOLリスト[[#This Row],[製品型番]])=0,"記載なし","")</f>
        <v>記載なし</v>
      </c>
      <c r="BO238" t="str">
        <f>IF(COUNTIFS('在庫使用計画 (法人)'!C:C,マスタ_EOLリスト[[#This Row],[製品型番]])=0,"記載なし","")</f>
        <v>記載なし</v>
      </c>
      <c r="BP238" t="str">
        <f>IF(COUNTIFS('在庫使用計画 (全体実績+予測）0701'!C:C,マスタ_EOLリスト[[#This Row],[製品型番]])=0,"記載なし","")</f>
        <v>記載なし</v>
      </c>
      <c r="BQ238" t="str">
        <f ca="1">IF(COUNTIFS('在庫使用計画 (計画　予測)'!C:C,マスタ_EOLリスト[[#This Row],[製品型番]])=0,"記載なし","")</f>
        <v>記載なし</v>
      </c>
      <c r="BR238" t="str">
        <f>IF(COUNTIFS(在庫確認!B:B,マスタ_EOLリスト[[#This Row],[製品型番]])=0,"記載なし","")</f>
        <v/>
      </c>
      <c r="BS238" t="e">
        <f>COUNTIF(#REF!,マスタ_EOLリスト[[#This Row],[製品型番]])</f>
        <v>#REF!</v>
      </c>
    </row>
    <row r="239" spans="1:71">
      <c r="A239" t="e">
        <v>#N/A</v>
      </c>
      <c r="B239" t="s">
        <v>142</v>
      </c>
      <c r="C239" t="s">
        <v>9</v>
      </c>
      <c r="D239" t="s">
        <v>971</v>
      </c>
      <c r="E239">
        <v>168357</v>
      </c>
      <c r="F239" t="s">
        <v>972</v>
      </c>
      <c r="H239" t="s">
        <v>21</v>
      </c>
      <c r="K239" t="s">
        <v>973</v>
      </c>
      <c r="L239">
        <v>3050</v>
      </c>
      <c r="M239">
        <v>0</v>
      </c>
      <c r="N239">
        <v>0</v>
      </c>
      <c r="Q239" t="s">
        <v>914</v>
      </c>
      <c r="W239">
        <v>1800</v>
      </c>
      <c r="X239">
        <v>1472</v>
      </c>
      <c r="AF239">
        <v>0.81777777777777771</v>
      </c>
      <c r="AL239" t="s">
        <v>21</v>
      </c>
      <c r="AM239" t="s">
        <v>21</v>
      </c>
      <c r="AW239" t="s">
        <v>21</v>
      </c>
      <c r="AX239" t="s">
        <v>144</v>
      </c>
      <c r="BM239" t="str">
        <f>IF(COUNTIFS('在庫使用計画 (ノート全体試算)'!C:C,マスタ_EOLリスト[[#This Row],[製品型番]])=0,"記載なし","")</f>
        <v>記載なし</v>
      </c>
      <c r="BN239" t="str">
        <f>IF(COUNTIFS('在庫使用計画 (一般)'!C:C,マスタ_EOLリスト[[#This Row],[製品型番]])=0,"記載なし","")</f>
        <v>記載なし</v>
      </c>
      <c r="BO239" t="str">
        <f>IF(COUNTIFS('在庫使用計画 (法人)'!C:C,マスタ_EOLリスト[[#This Row],[製品型番]])=0,"記載なし","")</f>
        <v>記載なし</v>
      </c>
      <c r="BP239" t="str">
        <f>IF(COUNTIFS('在庫使用計画 (全体実績+予測）0701'!C:C,マスタ_EOLリスト[[#This Row],[製品型番]])=0,"記載なし","")</f>
        <v>記載なし</v>
      </c>
      <c r="BQ239" t="str">
        <f ca="1">IF(COUNTIFS('在庫使用計画 (計画　予測)'!C:C,マスタ_EOLリスト[[#This Row],[製品型番]])=0,"記載なし","")</f>
        <v>記載なし</v>
      </c>
      <c r="BR239" t="str">
        <f>IF(COUNTIFS(在庫確認!B:B,マスタ_EOLリスト[[#This Row],[製品型番]])=0,"記載なし","")</f>
        <v/>
      </c>
      <c r="BS239" t="e">
        <f>COUNTIF(#REF!,マスタ_EOLリスト[[#This Row],[製品型番]])</f>
        <v>#REF!</v>
      </c>
    </row>
    <row r="240" spans="1:71">
      <c r="A240" t="e">
        <v>#N/A</v>
      </c>
      <c r="B240" t="s">
        <v>142</v>
      </c>
      <c r="C240" t="s">
        <v>9</v>
      </c>
      <c r="D240" t="s">
        <v>971</v>
      </c>
      <c r="E240">
        <v>169814</v>
      </c>
      <c r="F240" t="s">
        <v>974</v>
      </c>
      <c r="H240" t="s">
        <v>21</v>
      </c>
      <c r="K240" t="s">
        <v>973</v>
      </c>
      <c r="L240">
        <v>3050</v>
      </c>
      <c r="M240">
        <v>0</v>
      </c>
      <c r="N240">
        <v>0</v>
      </c>
      <c r="Q240" t="s">
        <v>914</v>
      </c>
      <c r="W240">
        <v>2110</v>
      </c>
      <c r="AF240">
        <v>0</v>
      </c>
      <c r="AL240" t="s">
        <v>21</v>
      </c>
      <c r="AM240" t="s">
        <v>21</v>
      </c>
      <c r="AW240" t="s">
        <v>21</v>
      </c>
      <c r="AX240" t="s">
        <v>144</v>
      </c>
      <c r="BM240" t="str">
        <f>IF(COUNTIFS('在庫使用計画 (ノート全体試算)'!C:C,マスタ_EOLリスト[[#This Row],[製品型番]])=0,"記載なし","")</f>
        <v>記載なし</v>
      </c>
      <c r="BN240" t="str">
        <f>IF(COUNTIFS('在庫使用計画 (一般)'!C:C,マスタ_EOLリスト[[#This Row],[製品型番]])=0,"記載なし","")</f>
        <v>記載なし</v>
      </c>
      <c r="BO240" t="str">
        <f>IF(COUNTIFS('在庫使用計画 (法人)'!C:C,マスタ_EOLリスト[[#This Row],[製品型番]])=0,"記載なし","")</f>
        <v>記載なし</v>
      </c>
      <c r="BP240" t="str">
        <f>IF(COUNTIFS('在庫使用計画 (全体実績+予測）0701'!C:C,マスタ_EOLリスト[[#This Row],[製品型番]])=0,"記載なし","")</f>
        <v>記載なし</v>
      </c>
      <c r="BQ240" t="str">
        <f ca="1">IF(COUNTIFS('在庫使用計画 (計画　予測)'!C:C,マスタ_EOLリスト[[#This Row],[製品型番]])=0,"記載なし","")</f>
        <v>記載なし</v>
      </c>
      <c r="BR240" t="str">
        <f>IF(COUNTIFS(在庫確認!B:B,マスタ_EOLリスト[[#This Row],[製品型番]])=0,"記載なし","")</f>
        <v/>
      </c>
      <c r="BS240" t="e">
        <f>COUNTIF(#REF!,マスタ_EOLリスト[[#This Row],[製品型番]])</f>
        <v>#REF!</v>
      </c>
    </row>
    <row r="241" spans="1:71">
      <c r="A241" t="e">
        <v>#N/A</v>
      </c>
      <c r="B241" t="s">
        <v>142</v>
      </c>
      <c r="C241" t="s">
        <v>9</v>
      </c>
      <c r="D241" t="s">
        <v>975</v>
      </c>
      <c r="E241">
        <v>168358</v>
      </c>
      <c r="F241" t="s">
        <v>976</v>
      </c>
      <c r="H241" t="s">
        <v>21</v>
      </c>
      <c r="K241" t="s">
        <v>968</v>
      </c>
      <c r="L241">
        <v>1650</v>
      </c>
      <c r="M241">
        <v>0</v>
      </c>
      <c r="N241">
        <v>0</v>
      </c>
      <c r="Q241" t="s">
        <v>914</v>
      </c>
      <c r="W241">
        <v>3800</v>
      </c>
      <c r="X241">
        <v>5920</v>
      </c>
      <c r="AF241">
        <v>1.5578947368421052</v>
      </c>
      <c r="AL241" t="s">
        <v>21</v>
      </c>
      <c r="AM241" t="s">
        <v>21</v>
      </c>
      <c r="AW241" t="s">
        <v>21</v>
      </c>
      <c r="AX241" t="s">
        <v>144</v>
      </c>
      <c r="BM241" t="str">
        <f>IF(COUNTIFS('在庫使用計画 (ノート全体試算)'!C:C,マスタ_EOLリスト[[#This Row],[製品型番]])=0,"記載なし","")</f>
        <v>記載なし</v>
      </c>
      <c r="BN241" t="str">
        <f>IF(COUNTIFS('在庫使用計画 (一般)'!C:C,マスタ_EOLリスト[[#This Row],[製品型番]])=0,"記載なし","")</f>
        <v>記載なし</v>
      </c>
      <c r="BO241" t="str">
        <f>IF(COUNTIFS('在庫使用計画 (法人)'!C:C,マスタ_EOLリスト[[#This Row],[製品型番]])=0,"記載なし","")</f>
        <v>記載なし</v>
      </c>
      <c r="BP241" t="str">
        <f>IF(COUNTIFS('在庫使用計画 (全体実績+予測）0701'!C:C,マスタ_EOLリスト[[#This Row],[製品型番]])=0,"記載なし","")</f>
        <v>記載なし</v>
      </c>
      <c r="BQ241" t="str">
        <f ca="1">IF(COUNTIFS('在庫使用計画 (計画　予測)'!C:C,マスタ_EOLリスト[[#This Row],[製品型番]])=0,"記載なし","")</f>
        <v>記載なし</v>
      </c>
      <c r="BR241" t="str">
        <f>IF(COUNTIFS(在庫確認!B:B,マスタ_EOLリスト[[#This Row],[製品型番]])=0,"記載なし","")</f>
        <v/>
      </c>
      <c r="BS241" t="e">
        <f>COUNTIF(#REF!,マスタ_EOLリスト[[#This Row],[製品型番]])</f>
        <v>#REF!</v>
      </c>
    </row>
    <row r="242" spans="1:71">
      <c r="A242" t="e">
        <v>#N/A</v>
      </c>
      <c r="B242" t="s">
        <v>142</v>
      </c>
      <c r="C242" t="s">
        <v>9</v>
      </c>
      <c r="D242" t="s">
        <v>975</v>
      </c>
      <c r="E242">
        <v>169818</v>
      </c>
      <c r="F242" t="s">
        <v>977</v>
      </c>
      <c r="H242" t="s">
        <v>21</v>
      </c>
      <c r="K242" t="s">
        <v>968</v>
      </c>
      <c r="L242">
        <v>1650</v>
      </c>
      <c r="M242">
        <v>0</v>
      </c>
      <c r="N242">
        <v>0</v>
      </c>
      <c r="Q242" t="s">
        <v>914</v>
      </c>
      <c r="W242">
        <v>4910</v>
      </c>
      <c r="AF242">
        <v>0</v>
      </c>
      <c r="AL242" t="s">
        <v>21</v>
      </c>
      <c r="AM242" t="s">
        <v>21</v>
      </c>
      <c r="AW242" t="s">
        <v>21</v>
      </c>
      <c r="AX242" t="s">
        <v>144</v>
      </c>
      <c r="BM242" t="str">
        <f>IF(COUNTIFS('在庫使用計画 (ノート全体試算)'!C:C,マスタ_EOLリスト[[#This Row],[製品型番]])=0,"記載なし","")</f>
        <v>記載なし</v>
      </c>
      <c r="BN242" t="str">
        <f>IF(COUNTIFS('在庫使用計画 (一般)'!C:C,マスタ_EOLリスト[[#This Row],[製品型番]])=0,"記載なし","")</f>
        <v>記載なし</v>
      </c>
      <c r="BO242" t="str">
        <f>IF(COUNTIFS('在庫使用計画 (法人)'!C:C,マスタ_EOLリスト[[#This Row],[製品型番]])=0,"記載なし","")</f>
        <v>記載なし</v>
      </c>
      <c r="BP242" t="str">
        <f>IF(COUNTIFS('在庫使用計画 (全体実績+予測）0701'!C:C,マスタ_EOLリスト[[#This Row],[製品型番]])=0,"記載なし","")</f>
        <v>記載なし</v>
      </c>
      <c r="BQ242" t="str">
        <f ca="1">IF(COUNTIFS('在庫使用計画 (計画　予測)'!C:C,マスタ_EOLリスト[[#This Row],[製品型番]])=0,"記載なし","")</f>
        <v>記載なし</v>
      </c>
      <c r="BR242" t="str">
        <f>IF(COUNTIFS(在庫確認!B:B,マスタ_EOLリスト[[#This Row],[製品型番]])=0,"記載なし","")</f>
        <v/>
      </c>
      <c r="BS242" t="e">
        <f>COUNTIF(#REF!,マスタ_EOLリスト[[#This Row],[製品型番]])</f>
        <v>#REF!</v>
      </c>
    </row>
    <row r="243" spans="1:71">
      <c r="A243" t="e">
        <v>#N/A</v>
      </c>
      <c r="B243" t="s">
        <v>142</v>
      </c>
      <c r="C243" t="s">
        <v>9</v>
      </c>
      <c r="D243" t="s">
        <v>978</v>
      </c>
      <c r="E243">
        <v>172648</v>
      </c>
      <c r="F243" t="s">
        <v>979</v>
      </c>
      <c r="G243" t="s">
        <v>537</v>
      </c>
      <c r="H243" t="s">
        <v>21</v>
      </c>
      <c r="K243" t="s">
        <v>889</v>
      </c>
      <c r="L243" t="s">
        <v>969</v>
      </c>
      <c r="M243">
        <v>0</v>
      </c>
      <c r="N243">
        <v>0</v>
      </c>
      <c r="Q243">
        <v>45200</v>
      </c>
      <c r="R243" t="s">
        <v>980</v>
      </c>
      <c r="S243">
        <v>21</v>
      </c>
      <c r="T243" t="s">
        <v>923</v>
      </c>
      <c r="W243">
        <v>2000</v>
      </c>
      <c r="X243">
        <v>1509</v>
      </c>
      <c r="Z243">
        <v>185107</v>
      </c>
      <c r="AA243" t="s">
        <v>400</v>
      </c>
      <c r="AC243">
        <v>45261</v>
      </c>
      <c r="AF243">
        <v>0.75449999999999995</v>
      </c>
      <c r="AL243" t="s">
        <v>21</v>
      </c>
      <c r="AM243" t="s">
        <v>21</v>
      </c>
      <c r="AW243" t="s">
        <v>21</v>
      </c>
      <c r="AX243" t="s">
        <v>144</v>
      </c>
      <c r="BM243" t="str">
        <f>IF(COUNTIFS('在庫使用計画 (ノート全体試算)'!C:C,マスタ_EOLリスト[[#This Row],[製品型番]])=0,"記載なし","")</f>
        <v>記載なし</v>
      </c>
      <c r="BN243" t="str">
        <f>IF(COUNTIFS('在庫使用計画 (一般)'!C:C,マスタ_EOLリスト[[#This Row],[製品型番]])=0,"記載なし","")</f>
        <v>記載なし</v>
      </c>
      <c r="BO243" t="str">
        <f>IF(COUNTIFS('在庫使用計画 (法人)'!C:C,マスタ_EOLリスト[[#This Row],[製品型番]])=0,"記載なし","")</f>
        <v>記載なし</v>
      </c>
      <c r="BP243" t="str">
        <f>IF(COUNTIFS('在庫使用計画 (全体実績+予測）0701'!C:C,マスタ_EOLリスト[[#This Row],[製品型番]])=0,"記載なし","")</f>
        <v>記載なし</v>
      </c>
      <c r="BQ243" t="str">
        <f ca="1">IF(COUNTIFS('在庫使用計画 (計画　予測)'!C:C,マスタ_EOLリスト[[#This Row],[製品型番]])=0,"記載なし","")</f>
        <v>記載なし</v>
      </c>
      <c r="BR243" t="str">
        <f>IF(COUNTIFS(在庫確認!B:B,マスタ_EOLリスト[[#This Row],[製品型番]])=0,"記載なし","")</f>
        <v/>
      </c>
      <c r="BS243" t="e">
        <f>COUNTIF(#REF!,マスタ_EOLリスト[[#This Row],[製品型番]])</f>
        <v>#REF!</v>
      </c>
    </row>
    <row r="244" spans="1:71">
      <c r="A244" t="e">
        <v>#N/A</v>
      </c>
      <c r="B244" t="s">
        <v>142</v>
      </c>
      <c r="C244" t="s">
        <v>9</v>
      </c>
      <c r="E244">
        <v>168355</v>
      </c>
      <c r="F244" t="s">
        <v>981</v>
      </c>
      <c r="M244">
        <v>0</v>
      </c>
      <c r="N244">
        <v>0</v>
      </c>
      <c r="W244">
        <v>500</v>
      </c>
      <c r="AF244">
        <v>0</v>
      </c>
      <c r="AL244" t="s">
        <v>21</v>
      </c>
      <c r="AM244" t="s">
        <v>21</v>
      </c>
      <c r="AW244" t="s">
        <v>21</v>
      </c>
      <c r="AX244" t="s">
        <v>144</v>
      </c>
      <c r="BM244" t="str">
        <f>IF(COUNTIFS('在庫使用計画 (ノート全体試算)'!C:C,マスタ_EOLリスト[[#This Row],[製品型番]])=0,"記載なし","")</f>
        <v>記載なし</v>
      </c>
      <c r="BN244" t="str">
        <f>IF(COUNTIFS('在庫使用計画 (一般)'!C:C,マスタ_EOLリスト[[#This Row],[製品型番]])=0,"記載なし","")</f>
        <v>記載なし</v>
      </c>
      <c r="BO244" t="str">
        <f>IF(COUNTIFS('在庫使用計画 (法人)'!C:C,マスタ_EOLリスト[[#This Row],[製品型番]])=0,"記載なし","")</f>
        <v>記載なし</v>
      </c>
      <c r="BP244" t="str">
        <f>IF(COUNTIFS('在庫使用計画 (全体実績+予測）0701'!C:C,マスタ_EOLリスト[[#This Row],[製品型番]])=0,"記載なし","")</f>
        <v>記載なし</v>
      </c>
      <c r="BQ244" t="str">
        <f ca="1">IF(COUNTIFS('在庫使用計画 (計画　予測)'!C:C,マスタ_EOLリスト[[#This Row],[製品型番]])=0,"記載なし","")</f>
        <v>記載なし</v>
      </c>
      <c r="BR244" t="str">
        <f>IF(COUNTIFS(在庫確認!B:B,マスタ_EOLリスト[[#This Row],[製品型番]])=0,"記載なし","")</f>
        <v>記載なし</v>
      </c>
      <c r="BS244" t="e">
        <f>COUNTIF(#REF!,マスタ_EOLリスト[[#This Row],[製品型番]])</f>
        <v>#REF!</v>
      </c>
    </row>
    <row r="245" spans="1:71">
      <c r="A245" t="str">
        <v>M9651</v>
      </c>
      <c r="B245" t="s">
        <v>142</v>
      </c>
      <c r="C245" t="s">
        <v>982</v>
      </c>
      <c r="D245" t="s">
        <v>983</v>
      </c>
      <c r="E245">
        <v>203724</v>
      </c>
      <c r="F245" t="s">
        <v>984</v>
      </c>
      <c r="G245" t="s">
        <v>849</v>
      </c>
      <c r="H245" t="s">
        <v>985</v>
      </c>
      <c r="I245">
        <v>16</v>
      </c>
      <c r="K245" t="s">
        <v>851</v>
      </c>
      <c r="L245" t="s">
        <v>852</v>
      </c>
      <c r="M245">
        <v>0</v>
      </c>
      <c r="N245">
        <v>0</v>
      </c>
      <c r="W245">
        <v>20</v>
      </c>
      <c r="Z245">
        <v>218585</v>
      </c>
      <c r="AA245" t="s">
        <v>848</v>
      </c>
      <c r="AL245">
        <v>45553</v>
      </c>
      <c r="AM245">
        <v>35</v>
      </c>
      <c r="AN245" t="s">
        <v>202</v>
      </c>
      <c r="AW245" t="s">
        <v>21</v>
      </c>
      <c r="AX245" t="s">
        <v>144</v>
      </c>
      <c r="BA245" t="s">
        <v>160</v>
      </c>
      <c r="BB245" t="s">
        <v>160</v>
      </c>
      <c r="BC245" t="s">
        <v>160</v>
      </c>
      <c r="BD245" t="s">
        <v>160</v>
      </c>
      <c r="BM245" t="str">
        <f>IF(COUNTIFS('在庫使用計画 (ノート全体試算)'!C:C,マスタ_EOLリスト[[#This Row],[製品型番]])=0,"記載なし","")</f>
        <v/>
      </c>
      <c r="BN245" t="str">
        <f>IF(COUNTIFS('在庫使用計画 (一般)'!C:C,マスタ_EOLリスト[[#This Row],[製品型番]])=0,"記載なし","")</f>
        <v/>
      </c>
      <c r="BO245" t="str">
        <f>IF(COUNTIFS('在庫使用計画 (法人)'!C:C,マスタ_EOLリスト[[#This Row],[製品型番]])=0,"記載なし","")</f>
        <v/>
      </c>
      <c r="BP245" t="str">
        <f>IF(COUNTIFS('在庫使用計画 (全体実績+予測）0701'!C:C,マスタ_EOLリスト[[#This Row],[製品型番]])=0,"記載なし","")</f>
        <v/>
      </c>
      <c r="BQ245" t="str">
        <f ca="1">IF(COUNTIFS('在庫使用計画 (計画　予測)'!C:C,マスタ_EOLリスト[[#This Row],[製品型番]])=0,"記載なし","")</f>
        <v/>
      </c>
      <c r="BR245" t="str">
        <f>IF(COUNTIFS(在庫確認!B:B,マスタ_EOLリスト[[#This Row],[製品型番]])=0,"記載なし","")</f>
        <v/>
      </c>
      <c r="BS245" t="e">
        <f>COUNTIF(#REF!,マスタ_EOLリスト[[#This Row],[製品型番]])</f>
        <v>#REF!</v>
      </c>
    </row>
    <row r="246" spans="1:71">
      <c r="A246" t="str">
        <v>M9621</v>
      </c>
      <c r="B246" t="s">
        <v>335</v>
      </c>
      <c r="C246" t="s">
        <v>982</v>
      </c>
      <c r="D246" t="s">
        <v>986</v>
      </c>
      <c r="E246">
        <v>203726</v>
      </c>
      <c r="F246" t="s">
        <v>987</v>
      </c>
      <c r="G246" t="s">
        <v>856</v>
      </c>
      <c r="H246" t="s">
        <v>988</v>
      </c>
      <c r="I246">
        <v>16</v>
      </c>
      <c r="K246" t="s">
        <v>851</v>
      </c>
      <c r="L246" t="s">
        <v>858</v>
      </c>
      <c r="M246">
        <v>16</v>
      </c>
      <c r="N246">
        <v>16</v>
      </c>
      <c r="W246">
        <v>155</v>
      </c>
      <c r="Z246">
        <v>218586</v>
      </c>
      <c r="AA246" t="s">
        <v>855</v>
      </c>
      <c r="AL246">
        <v>45553</v>
      </c>
      <c r="AM246">
        <v>35</v>
      </c>
      <c r="AN246" t="s">
        <v>202</v>
      </c>
      <c r="AW246" t="b">
        <v>1</v>
      </c>
      <c r="AX246" t="s">
        <v>989</v>
      </c>
      <c r="BA246" t="s">
        <v>160</v>
      </c>
      <c r="BB246" t="s">
        <v>160</v>
      </c>
      <c r="BC246" t="s">
        <v>160</v>
      </c>
      <c r="BD246" t="s">
        <v>160</v>
      </c>
      <c r="BJ246" t="s">
        <v>854</v>
      </c>
      <c r="BM246" t="str">
        <f>IF(COUNTIFS('在庫使用計画 (ノート全体試算)'!C:C,マスタ_EOLリスト[[#This Row],[製品型番]])=0,"記載なし","")</f>
        <v/>
      </c>
      <c r="BN246" t="str">
        <f>IF(COUNTIFS('在庫使用計画 (一般)'!C:C,マスタ_EOLリスト[[#This Row],[製品型番]])=0,"記載なし","")</f>
        <v/>
      </c>
      <c r="BO246" t="str">
        <f>IF(COUNTIFS('在庫使用計画 (法人)'!C:C,マスタ_EOLリスト[[#This Row],[製品型番]])=0,"記載なし","")</f>
        <v/>
      </c>
      <c r="BP246" t="str">
        <f>IF(COUNTIFS('在庫使用計画 (全体実績+予測）0701'!C:C,マスタ_EOLリスト[[#This Row],[製品型番]])=0,"記載なし","")</f>
        <v/>
      </c>
      <c r="BQ246" t="str">
        <f ca="1">IF(COUNTIFS('在庫使用計画 (計画　予測)'!C:C,マスタ_EOLリスト[[#This Row],[製品型番]])=0,"記載なし","")</f>
        <v/>
      </c>
      <c r="BR246" t="str">
        <f>IF(COUNTIFS(在庫確認!B:B,マスタ_EOLリスト[[#This Row],[製品型番]])=0,"記載なし","")</f>
        <v/>
      </c>
      <c r="BS246" t="e">
        <f>COUNTIF(#REF!,マスタ_EOLリスト[[#This Row],[製品型番]])</f>
        <v>#REF!</v>
      </c>
    </row>
    <row r="247" spans="1:71">
      <c r="A247" t="str">
        <v>A4-M</v>
      </c>
      <c r="B247" t="s">
        <v>142</v>
      </c>
      <c r="C247" t="s">
        <v>982</v>
      </c>
      <c r="D247" t="s">
        <v>990</v>
      </c>
      <c r="E247">
        <v>209065</v>
      </c>
      <c r="F247" t="s">
        <v>991</v>
      </c>
      <c r="G247" t="s">
        <v>357</v>
      </c>
      <c r="H247" t="s">
        <v>992</v>
      </c>
      <c r="I247">
        <v>14</v>
      </c>
      <c r="K247" t="s">
        <v>268</v>
      </c>
      <c r="M247">
        <v>0</v>
      </c>
      <c r="N247">
        <v>0</v>
      </c>
      <c r="W247">
        <v>500</v>
      </c>
      <c r="AW247" t="s">
        <v>21</v>
      </c>
      <c r="AX247" t="s">
        <v>144</v>
      </c>
      <c r="BA247" t="s">
        <v>160</v>
      </c>
      <c r="BB247" t="s">
        <v>160</v>
      </c>
      <c r="BC247" t="s">
        <v>160</v>
      </c>
      <c r="BD247" t="s">
        <v>160</v>
      </c>
      <c r="BM247" t="str">
        <f>IF(COUNTIFS('在庫使用計画 (ノート全体試算)'!C:C,マスタ_EOLリスト[[#This Row],[製品型番]])=0,"記載なし","")</f>
        <v/>
      </c>
      <c r="BN247" t="str">
        <f>IF(COUNTIFS('在庫使用計画 (一般)'!C:C,マスタ_EOLリスト[[#This Row],[製品型番]])=0,"記載なし","")</f>
        <v/>
      </c>
      <c r="BO247" t="str">
        <f>IF(COUNTIFS('在庫使用計画 (法人)'!C:C,マスタ_EOLリスト[[#This Row],[製品型番]])=0,"記載なし","")</f>
        <v/>
      </c>
      <c r="BP247" t="str">
        <f>IF(COUNTIFS('在庫使用計画 (全体実績+予測）0701'!C:C,マスタ_EOLリスト[[#This Row],[製品型番]])=0,"記載なし","")</f>
        <v/>
      </c>
      <c r="BQ247" t="str">
        <f ca="1">IF(COUNTIFS('在庫使用計画 (計画　予測)'!C:C,マスタ_EOLリスト[[#This Row],[製品型番]])=0,"記載なし","")</f>
        <v/>
      </c>
      <c r="BR247" t="str">
        <f>IF(COUNTIFS(在庫確認!B:B,マスタ_EOLリスト[[#This Row],[製品型番]])=0,"記載なし","")</f>
        <v/>
      </c>
      <c r="BS247" t="e">
        <f>COUNTIF(#REF!,マスタ_EOLリスト[[#This Row],[製品型番]])</f>
        <v>#REF!</v>
      </c>
    </row>
    <row r="248" spans="1:71">
      <c r="A248" t="e">
        <v>#N/A</v>
      </c>
      <c r="B248" t="s">
        <v>142</v>
      </c>
      <c r="C248" t="s">
        <v>982</v>
      </c>
      <c r="D248" t="s">
        <v>993</v>
      </c>
      <c r="E248">
        <v>167479</v>
      </c>
      <c r="F248" t="s">
        <v>994</v>
      </c>
      <c r="H248" t="s">
        <v>21</v>
      </c>
      <c r="M248">
        <v>0</v>
      </c>
      <c r="N248">
        <v>0</v>
      </c>
      <c r="W248">
        <v>238</v>
      </c>
      <c r="AF248">
        <v>0</v>
      </c>
      <c r="AL248" t="s">
        <v>21</v>
      </c>
      <c r="AM248" t="s">
        <v>21</v>
      </c>
      <c r="AW248" t="s">
        <v>21</v>
      </c>
      <c r="AX248" t="s">
        <v>144</v>
      </c>
      <c r="BM248" t="str">
        <f>IF(COUNTIFS('在庫使用計画 (ノート全体試算)'!C:C,マスタ_EOLリスト[[#This Row],[製品型番]])=0,"記載なし","")</f>
        <v>記載なし</v>
      </c>
      <c r="BN248" t="str">
        <f>IF(COUNTIFS('在庫使用計画 (一般)'!C:C,マスタ_EOLリスト[[#This Row],[製品型番]])=0,"記載なし","")</f>
        <v>記載なし</v>
      </c>
      <c r="BO248" t="str">
        <f>IF(COUNTIFS('在庫使用計画 (法人)'!C:C,マスタ_EOLリスト[[#This Row],[製品型番]])=0,"記載なし","")</f>
        <v>記載なし</v>
      </c>
      <c r="BP248" t="str">
        <f>IF(COUNTIFS('在庫使用計画 (全体実績+予測）0701'!C:C,マスタ_EOLリスト[[#This Row],[製品型番]])=0,"記載なし","")</f>
        <v>記載なし</v>
      </c>
      <c r="BQ248" t="str">
        <f ca="1">IF(COUNTIFS('在庫使用計画 (計画　予測)'!C:C,マスタ_EOLリスト[[#This Row],[製品型番]])=0,"記載なし","")</f>
        <v>記載なし</v>
      </c>
      <c r="BR248" t="str">
        <f>IF(COUNTIFS(在庫確認!B:B,マスタ_EOLリスト[[#This Row],[製品型番]])=0,"記載なし","")</f>
        <v/>
      </c>
      <c r="BS248" t="e">
        <f>COUNTIF(#REF!,マスタ_EOLリスト[[#This Row],[製品型番]])</f>
        <v>#REF!</v>
      </c>
    </row>
    <row r="249" spans="1:71">
      <c r="A249" t="e">
        <v>#N/A</v>
      </c>
      <c r="B249" t="s">
        <v>142</v>
      </c>
      <c r="C249" t="s">
        <v>982</v>
      </c>
      <c r="D249" t="s">
        <v>993</v>
      </c>
      <c r="E249">
        <v>172133</v>
      </c>
      <c r="F249" t="s">
        <v>995</v>
      </c>
      <c r="H249" t="s">
        <v>21</v>
      </c>
      <c r="M249">
        <v>0</v>
      </c>
      <c r="N249">
        <v>0</v>
      </c>
      <c r="W249">
        <v>326</v>
      </c>
      <c r="AF249">
        <v>0</v>
      </c>
      <c r="AL249" t="s">
        <v>21</v>
      </c>
      <c r="AM249" t="s">
        <v>21</v>
      </c>
      <c r="AW249" t="s">
        <v>21</v>
      </c>
      <c r="AX249" t="s">
        <v>144</v>
      </c>
      <c r="BM249" t="str">
        <f>IF(COUNTIFS('在庫使用計画 (ノート全体試算)'!C:C,マスタ_EOLリスト[[#This Row],[製品型番]])=0,"記載なし","")</f>
        <v>記載なし</v>
      </c>
      <c r="BN249" t="str">
        <f>IF(COUNTIFS('在庫使用計画 (一般)'!C:C,マスタ_EOLリスト[[#This Row],[製品型番]])=0,"記載なし","")</f>
        <v>記載なし</v>
      </c>
      <c r="BO249" t="str">
        <f>IF(COUNTIFS('在庫使用計画 (法人)'!C:C,マスタ_EOLリスト[[#This Row],[製品型番]])=0,"記載なし","")</f>
        <v>記載なし</v>
      </c>
      <c r="BP249" t="str">
        <f>IF(COUNTIFS('在庫使用計画 (全体実績+予測）0701'!C:C,マスタ_EOLリスト[[#This Row],[製品型番]])=0,"記載なし","")</f>
        <v>記載なし</v>
      </c>
      <c r="BQ249" t="str">
        <f ca="1">IF(COUNTIFS('在庫使用計画 (計画　予測)'!C:C,マスタ_EOLリスト[[#This Row],[製品型番]])=0,"記載なし","")</f>
        <v>記載なし</v>
      </c>
      <c r="BR249" t="str">
        <f>IF(COUNTIFS(在庫確認!B:B,マスタ_EOLリスト[[#This Row],[製品型番]])=0,"記載なし","")</f>
        <v/>
      </c>
      <c r="BS249" t="e">
        <f>COUNTIF(#REF!,マスタ_EOLリスト[[#This Row],[製品型番]])</f>
        <v>#REF!</v>
      </c>
    </row>
    <row r="250" spans="1:71">
      <c r="A250" t="e">
        <v>#N/A</v>
      </c>
      <c r="B250" t="s">
        <v>142</v>
      </c>
      <c r="C250" t="s">
        <v>982</v>
      </c>
      <c r="D250" t="s">
        <v>993</v>
      </c>
      <c r="E250">
        <v>173442</v>
      </c>
      <c r="F250" t="s">
        <v>996</v>
      </c>
      <c r="H250" t="s">
        <v>21</v>
      </c>
      <c r="M250">
        <v>0</v>
      </c>
      <c r="N250">
        <v>0</v>
      </c>
      <c r="W250">
        <v>436</v>
      </c>
      <c r="X250">
        <v>578</v>
      </c>
      <c r="AF250">
        <v>1.3256880733944951</v>
      </c>
      <c r="AL250" t="s">
        <v>21</v>
      </c>
      <c r="AM250" t="s">
        <v>21</v>
      </c>
      <c r="AW250" t="s">
        <v>21</v>
      </c>
      <c r="AX250" t="s">
        <v>144</v>
      </c>
      <c r="BM250" t="str">
        <f>IF(COUNTIFS('在庫使用計画 (ノート全体試算)'!C:C,マスタ_EOLリスト[[#This Row],[製品型番]])=0,"記載なし","")</f>
        <v>記載なし</v>
      </c>
      <c r="BN250" t="str">
        <f>IF(COUNTIFS('在庫使用計画 (一般)'!C:C,マスタ_EOLリスト[[#This Row],[製品型番]])=0,"記載なし","")</f>
        <v>記載なし</v>
      </c>
      <c r="BO250" t="str">
        <f>IF(COUNTIFS('在庫使用計画 (法人)'!C:C,マスタ_EOLリスト[[#This Row],[製品型番]])=0,"記載なし","")</f>
        <v>記載なし</v>
      </c>
      <c r="BP250" t="str">
        <f>IF(COUNTIFS('在庫使用計画 (全体実績+予測）0701'!C:C,マスタ_EOLリスト[[#This Row],[製品型番]])=0,"記載なし","")</f>
        <v>記載なし</v>
      </c>
      <c r="BQ250" t="str">
        <f ca="1">IF(COUNTIFS('在庫使用計画 (計画　予測)'!C:C,マスタ_EOLリスト[[#This Row],[製品型番]])=0,"記載なし","")</f>
        <v>記載なし</v>
      </c>
      <c r="BR250" t="str">
        <f>IF(COUNTIFS(在庫確認!B:B,マスタ_EOLリスト[[#This Row],[製品型番]])=0,"記載なし","")</f>
        <v/>
      </c>
      <c r="BS250" t="e">
        <f>COUNTIF(#REF!,マスタ_EOLリスト[[#This Row],[製品型番]])</f>
        <v>#REF!</v>
      </c>
    </row>
    <row r="251" spans="1:71">
      <c r="A251" t="e">
        <v>#N/A</v>
      </c>
      <c r="B251" t="s">
        <v>142</v>
      </c>
      <c r="C251" t="s">
        <v>982</v>
      </c>
      <c r="D251" t="s">
        <v>997</v>
      </c>
      <c r="E251">
        <v>168693</v>
      </c>
      <c r="F251" t="s">
        <v>998</v>
      </c>
      <c r="H251" t="s">
        <v>21</v>
      </c>
      <c r="M251">
        <v>0</v>
      </c>
      <c r="N251">
        <v>0</v>
      </c>
      <c r="W251">
        <v>365</v>
      </c>
      <c r="AF251">
        <v>0</v>
      </c>
      <c r="AL251" t="s">
        <v>21</v>
      </c>
      <c r="AM251" t="s">
        <v>21</v>
      </c>
      <c r="AW251" t="s">
        <v>21</v>
      </c>
      <c r="AX251" t="s">
        <v>144</v>
      </c>
      <c r="BM251" t="str">
        <f>IF(COUNTIFS('在庫使用計画 (ノート全体試算)'!C:C,マスタ_EOLリスト[[#This Row],[製品型番]])=0,"記載なし","")</f>
        <v>記載なし</v>
      </c>
      <c r="BN251" t="str">
        <f>IF(COUNTIFS('在庫使用計画 (一般)'!C:C,マスタ_EOLリスト[[#This Row],[製品型番]])=0,"記載なし","")</f>
        <v>記載なし</v>
      </c>
      <c r="BO251" t="str">
        <f>IF(COUNTIFS('在庫使用計画 (法人)'!C:C,マスタ_EOLリスト[[#This Row],[製品型番]])=0,"記載なし","")</f>
        <v>記載なし</v>
      </c>
      <c r="BP251" t="str">
        <f>IF(COUNTIFS('在庫使用計画 (全体実績+予測）0701'!C:C,マスタ_EOLリスト[[#This Row],[製品型番]])=0,"記載なし","")</f>
        <v>記載なし</v>
      </c>
      <c r="BQ251" t="str">
        <f ca="1">IF(COUNTIFS('在庫使用計画 (計画　予測)'!C:C,マスタ_EOLリスト[[#This Row],[製品型番]])=0,"記載なし","")</f>
        <v>記載なし</v>
      </c>
      <c r="BR251" t="str">
        <f>IF(COUNTIFS(在庫確認!B:B,マスタ_EOLリスト[[#This Row],[製品型番]])=0,"記載なし","")</f>
        <v/>
      </c>
      <c r="BS251" t="e">
        <f>COUNTIF(#REF!,マスタ_EOLリスト[[#This Row],[製品型番]])</f>
        <v>#REF!</v>
      </c>
    </row>
    <row r="252" spans="1:71">
      <c r="A252" t="e">
        <v>#N/A</v>
      </c>
      <c r="B252" t="s">
        <v>142</v>
      </c>
      <c r="C252" t="s">
        <v>982</v>
      </c>
      <c r="D252" t="s">
        <v>997</v>
      </c>
      <c r="E252">
        <v>172134</v>
      </c>
      <c r="F252" t="s">
        <v>999</v>
      </c>
      <c r="H252" t="s">
        <v>21</v>
      </c>
      <c r="M252">
        <v>0</v>
      </c>
      <c r="N252">
        <v>0</v>
      </c>
      <c r="W252">
        <v>530</v>
      </c>
      <c r="X252">
        <v>402</v>
      </c>
      <c r="AF252">
        <v>0.7584905660377359</v>
      </c>
      <c r="AL252" t="s">
        <v>21</v>
      </c>
      <c r="AM252" t="s">
        <v>21</v>
      </c>
      <c r="AW252" t="s">
        <v>21</v>
      </c>
      <c r="AX252" t="s">
        <v>144</v>
      </c>
      <c r="BA252" t="s">
        <v>413</v>
      </c>
      <c r="BB252" t="s">
        <v>160</v>
      </c>
      <c r="BC252" t="s">
        <v>160</v>
      </c>
      <c r="BD252" t="s">
        <v>160</v>
      </c>
      <c r="BM252" t="str">
        <f>IF(COUNTIFS('在庫使用計画 (ノート全体試算)'!C:C,マスタ_EOLリスト[[#This Row],[製品型番]])=0,"記載なし","")</f>
        <v>記載なし</v>
      </c>
      <c r="BN252" t="str">
        <f>IF(COUNTIFS('在庫使用計画 (一般)'!C:C,マスタ_EOLリスト[[#This Row],[製品型番]])=0,"記載なし","")</f>
        <v>記載なし</v>
      </c>
      <c r="BO252" t="str">
        <f>IF(COUNTIFS('在庫使用計画 (法人)'!C:C,マスタ_EOLリスト[[#This Row],[製品型番]])=0,"記載なし","")</f>
        <v>記載なし</v>
      </c>
      <c r="BP252" t="str">
        <f>IF(COUNTIFS('在庫使用計画 (全体実績+予測）0701'!C:C,マスタ_EOLリスト[[#This Row],[製品型番]])=0,"記載なし","")</f>
        <v>記載なし</v>
      </c>
      <c r="BQ252" t="str">
        <f ca="1">IF(COUNTIFS('在庫使用計画 (計画　予測)'!C:C,マスタ_EOLリスト[[#This Row],[製品型番]])=0,"記載なし","")</f>
        <v>記載なし</v>
      </c>
      <c r="BR252" t="str">
        <f>IF(COUNTIFS(在庫確認!B:B,マスタ_EOLリスト[[#This Row],[製品型番]])=0,"記載なし","")</f>
        <v/>
      </c>
      <c r="BS252" t="e">
        <f>COUNTIF(#REF!,マスタ_EOLリスト[[#This Row],[製品型番]])</f>
        <v>#REF!</v>
      </c>
    </row>
    <row r="253" spans="1:71">
      <c r="A253" t="e">
        <v>#N/A</v>
      </c>
      <c r="B253" t="s">
        <v>142</v>
      </c>
      <c r="C253" t="s">
        <v>982</v>
      </c>
      <c r="D253" t="s">
        <v>997</v>
      </c>
      <c r="E253">
        <v>173443</v>
      </c>
      <c r="F253" t="s">
        <v>1000</v>
      </c>
      <c r="H253" t="s">
        <v>21</v>
      </c>
      <c r="M253">
        <v>0</v>
      </c>
      <c r="N253">
        <v>0</v>
      </c>
      <c r="W253">
        <v>105</v>
      </c>
      <c r="AF253">
        <v>0</v>
      </c>
      <c r="AL253" t="s">
        <v>21</v>
      </c>
      <c r="AM253" t="s">
        <v>21</v>
      </c>
      <c r="AW253" t="s">
        <v>21</v>
      </c>
      <c r="AX253" t="s">
        <v>144</v>
      </c>
      <c r="BA253" t="s">
        <v>413</v>
      </c>
      <c r="BB253" t="s">
        <v>160</v>
      </c>
      <c r="BC253" t="s">
        <v>160</v>
      </c>
      <c r="BD253" t="s">
        <v>160</v>
      </c>
      <c r="BM253" t="str">
        <f>IF(COUNTIFS('在庫使用計画 (ノート全体試算)'!C:C,マスタ_EOLリスト[[#This Row],[製品型番]])=0,"記載なし","")</f>
        <v>記載なし</v>
      </c>
      <c r="BN253" t="str">
        <f>IF(COUNTIFS('在庫使用計画 (一般)'!C:C,マスタ_EOLリスト[[#This Row],[製品型番]])=0,"記載なし","")</f>
        <v>記載なし</v>
      </c>
      <c r="BO253" t="str">
        <f>IF(COUNTIFS('在庫使用計画 (法人)'!C:C,マスタ_EOLリスト[[#This Row],[製品型番]])=0,"記載なし","")</f>
        <v>記載なし</v>
      </c>
      <c r="BP253" t="str">
        <f>IF(COUNTIFS('在庫使用計画 (全体実績+予測）0701'!C:C,マスタ_EOLリスト[[#This Row],[製品型番]])=0,"記載なし","")</f>
        <v>記載なし</v>
      </c>
      <c r="BQ253" t="str">
        <f ca="1">IF(COUNTIFS('在庫使用計画 (計画　予測)'!C:C,マスタ_EOLリスト[[#This Row],[製品型番]])=0,"記載なし","")</f>
        <v>記載なし</v>
      </c>
      <c r="BR253" t="str">
        <f>IF(COUNTIFS(在庫確認!B:B,マスタ_EOLリスト[[#This Row],[製品型番]])=0,"記載なし","")</f>
        <v/>
      </c>
      <c r="BS253" t="e">
        <f>COUNTIF(#REF!,マスタ_EOLリスト[[#This Row],[製品型番]])</f>
        <v>#REF!</v>
      </c>
    </row>
    <row r="254" spans="1:71">
      <c r="A254" t="e">
        <v>#N/A</v>
      </c>
      <c r="B254" t="s">
        <v>142</v>
      </c>
      <c r="C254" t="s">
        <v>982</v>
      </c>
      <c r="D254" t="s">
        <v>1001</v>
      </c>
      <c r="E254">
        <v>170826</v>
      </c>
      <c r="F254" t="s">
        <v>1002</v>
      </c>
      <c r="H254" t="s">
        <v>21</v>
      </c>
      <c r="K254" t="s">
        <v>913</v>
      </c>
      <c r="L254">
        <v>3070</v>
      </c>
      <c r="M254">
        <v>0</v>
      </c>
      <c r="N254">
        <v>0</v>
      </c>
      <c r="W254">
        <v>300</v>
      </c>
      <c r="X254">
        <v>233</v>
      </c>
      <c r="AF254">
        <v>0.77666666666666651</v>
      </c>
      <c r="AL254" t="s">
        <v>21</v>
      </c>
      <c r="AM254" t="s">
        <v>21</v>
      </c>
      <c r="AW254" t="s">
        <v>21</v>
      </c>
      <c r="AX254" t="s">
        <v>144</v>
      </c>
      <c r="BA254" t="s">
        <v>413</v>
      </c>
      <c r="BB254" t="s">
        <v>160</v>
      </c>
      <c r="BC254" t="s">
        <v>160</v>
      </c>
      <c r="BD254" t="s">
        <v>160</v>
      </c>
      <c r="BM254" t="str">
        <f>IF(COUNTIFS('在庫使用計画 (ノート全体試算)'!C:C,マスタ_EOLリスト[[#This Row],[製品型番]])=0,"記載なし","")</f>
        <v>記載なし</v>
      </c>
      <c r="BN254" t="str">
        <f>IF(COUNTIFS('在庫使用計画 (一般)'!C:C,マスタ_EOLリスト[[#This Row],[製品型番]])=0,"記載なし","")</f>
        <v>記載なし</v>
      </c>
      <c r="BO254" t="str">
        <f>IF(COUNTIFS('在庫使用計画 (法人)'!C:C,マスタ_EOLリスト[[#This Row],[製品型番]])=0,"記載なし","")</f>
        <v>記載なし</v>
      </c>
      <c r="BP254" t="str">
        <f>IF(COUNTIFS('在庫使用計画 (全体実績+予測）0701'!C:C,マスタ_EOLリスト[[#This Row],[製品型番]])=0,"記載なし","")</f>
        <v>記載なし</v>
      </c>
      <c r="BQ254" t="str">
        <f ca="1">IF(COUNTIFS('在庫使用計画 (計画　予測)'!C:C,マスタ_EOLリスト[[#This Row],[製品型番]])=0,"記載なし","")</f>
        <v>記載なし</v>
      </c>
      <c r="BR254" t="str">
        <f>IF(COUNTIFS(在庫確認!B:B,マスタ_EOLリスト[[#This Row],[製品型番]])=0,"記載なし","")</f>
        <v/>
      </c>
      <c r="BS254" t="e">
        <f>COUNTIF(#REF!,マスタ_EOLリスト[[#This Row],[製品型番]])</f>
        <v>#REF!</v>
      </c>
    </row>
    <row r="255" spans="1:71">
      <c r="A255" t="e">
        <v>#N/A</v>
      </c>
      <c r="B255" t="s">
        <v>142</v>
      </c>
      <c r="C255" t="s">
        <v>982</v>
      </c>
      <c r="D255" t="s">
        <v>1003</v>
      </c>
      <c r="E255">
        <v>169363</v>
      </c>
      <c r="F255" t="s">
        <v>1004</v>
      </c>
      <c r="H255" t="s">
        <v>21</v>
      </c>
      <c r="K255" t="s">
        <v>913</v>
      </c>
      <c r="L255">
        <v>3060</v>
      </c>
      <c r="M255">
        <v>0</v>
      </c>
      <c r="N255">
        <v>0</v>
      </c>
      <c r="W255">
        <v>600</v>
      </c>
      <c r="X255">
        <v>301</v>
      </c>
      <c r="AF255">
        <v>0.50166666666666671</v>
      </c>
      <c r="AL255" t="s">
        <v>21</v>
      </c>
      <c r="AM255" t="s">
        <v>21</v>
      </c>
      <c r="AW255" t="s">
        <v>21</v>
      </c>
      <c r="AX255" t="s">
        <v>144</v>
      </c>
      <c r="BM255" t="str">
        <f>IF(COUNTIFS('在庫使用計画 (ノート全体試算)'!C:C,マスタ_EOLリスト[[#This Row],[製品型番]])=0,"記載なし","")</f>
        <v>記載なし</v>
      </c>
      <c r="BN255" t="str">
        <f>IF(COUNTIFS('在庫使用計画 (一般)'!C:C,マスタ_EOLリスト[[#This Row],[製品型番]])=0,"記載なし","")</f>
        <v>記載なし</v>
      </c>
      <c r="BO255" t="str">
        <f>IF(COUNTIFS('在庫使用計画 (法人)'!C:C,マスタ_EOLリスト[[#This Row],[製品型番]])=0,"記載なし","")</f>
        <v>記載なし</v>
      </c>
      <c r="BP255" t="str">
        <f>IF(COUNTIFS('在庫使用計画 (全体実績+予測）0701'!C:C,マスタ_EOLリスト[[#This Row],[製品型番]])=0,"記載なし","")</f>
        <v>記載なし</v>
      </c>
      <c r="BQ255" t="str">
        <f ca="1">IF(COUNTIFS('在庫使用計画 (計画　予測)'!C:C,マスタ_EOLリスト[[#This Row],[製品型番]])=0,"記載なし","")</f>
        <v>記載なし</v>
      </c>
      <c r="BR255" t="str">
        <f>IF(COUNTIFS(在庫確認!B:B,マスタ_EOLリスト[[#This Row],[製品型番]])=0,"記載なし","")</f>
        <v/>
      </c>
      <c r="BS255" t="e">
        <f>COUNTIF(#REF!,マスタ_EOLリスト[[#This Row],[製品型番]])</f>
        <v>#REF!</v>
      </c>
    </row>
    <row r="256" spans="1:71">
      <c r="A256" t="str">
        <v>R7-RL</v>
      </c>
      <c r="B256" t="s">
        <v>142</v>
      </c>
      <c r="C256" t="s">
        <v>982</v>
      </c>
      <c r="D256" t="s">
        <v>1005</v>
      </c>
      <c r="E256">
        <v>184058</v>
      </c>
      <c r="F256" t="s">
        <v>1006</v>
      </c>
      <c r="G256" t="s">
        <v>417</v>
      </c>
      <c r="H256" t="s">
        <v>1007</v>
      </c>
      <c r="K256" t="s">
        <v>177</v>
      </c>
      <c r="L256">
        <v>4070</v>
      </c>
      <c r="M256">
        <v>0</v>
      </c>
      <c r="N256">
        <v>0</v>
      </c>
      <c r="P256" t="s">
        <v>1008</v>
      </c>
      <c r="Q256" t="s">
        <v>240</v>
      </c>
      <c r="S256">
        <v>5</v>
      </c>
      <c r="U256" t="s">
        <v>384</v>
      </c>
      <c r="W256">
        <v>400</v>
      </c>
      <c r="Z256">
        <v>193188</v>
      </c>
      <c r="AA256">
        <v>0</v>
      </c>
      <c r="AH256" t="s">
        <v>1009</v>
      </c>
      <c r="AL256">
        <v>45455</v>
      </c>
      <c r="AM256">
        <v>100</v>
      </c>
      <c r="AW256" t="s">
        <v>21</v>
      </c>
      <c r="AX256" t="s">
        <v>144</v>
      </c>
      <c r="BM256" t="str">
        <f>IF(COUNTIFS('在庫使用計画 (ノート全体試算)'!C:C,マスタ_EOLリスト[[#This Row],[製品型番]])=0,"記載なし","")</f>
        <v/>
      </c>
      <c r="BN256" t="str">
        <f>IF(COUNTIFS('在庫使用計画 (一般)'!C:C,マスタ_EOLリスト[[#This Row],[製品型番]])=0,"記載なし","")</f>
        <v/>
      </c>
      <c r="BO256" t="str">
        <f>IF(COUNTIFS('在庫使用計画 (法人)'!C:C,マスタ_EOLリスト[[#This Row],[製品型番]])=0,"記載なし","")</f>
        <v/>
      </c>
      <c r="BP256" t="str">
        <f>IF(COUNTIFS('在庫使用計画 (全体実績+予測）0701'!C:C,マスタ_EOLリスト[[#This Row],[製品型番]])=0,"記載なし","")</f>
        <v/>
      </c>
      <c r="BQ256" t="str">
        <f ca="1">IF(COUNTIFS('在庫使用計画 (計画　予測)'!C:C,マスタ_EOLリスト[[#This Row],[製品型番]])=0,"記載なし","")</f>
        <v/>
      </c>
      <c r="BR256" t="str">
        <f>IF(COUNTIFS(在庫確認!B:B,マスタ_EOLリスト[[#This Row],[製品型番]])=0,"記載なし","")</f>
        <v/>
      </c>
      <c r="BS256" t="e">
        <f>COUNTIF(#REF!,マスタ_EOLリスト[[#This Row],[製品型番]])</f>
        <v>#REF!</v>
      </c>
    </row>
    <row r="257" spans="1:71">
      <c r="A257" t="e">
        <v>#N/A</v>
      </c>
      <c r="B257" t="s">
        <v>142</v>
      </c>
      <c r="C257" t="s">
        <v>982</v>
      </c>
      <c r="D257" t="s">
        <v>1010</v>
      </c>
      <c r="E257">
        <v>172442</v>
      </c>
      <c r="F257" t="s">
        <v>1011</v>
      </c>
      <c r="H257" t="s">
        <v>21</v>
      </c>
      <c r="K257" t="s">
        <v>889</v>
      </c>
      <c r="L257" t="s">
        <v>1012</v>
      </c>
      <c r="M257">
        <v>0</v>
      </c>
      <c r="N257">
        <v>0</v>
      </c>
      <c r="W257">
        <v>200</v>
      </c>
      <c r="X257">
        <v>158</v>
      </c>
      <c r="AF257">
        <v>0.79</v>
      </c>
      <c r="AL257" t="s">
        <v>21</v>
      </c>
      <c r="AM257" t="s">
        <v>21</v>
      </c>
      <c r="AW257" t="s">
        <v>21</v>
      </c>
      <c r="AX257" t="s">
        <v>144</v>
      </c>
      <c r="BA257" t="s">
        <v>1013</v>
      </c>
      <c r="BB257" t="s">
        <v>1013</v>
      </c>
      <c r="BC257" t="s">
        <v>1013</v>
      </c>
      <c r="BD257" t="s">
        <v>1013</v>
      </c>
      <c r="BM257" t="str">
        <f>IF(COUNTIFS('在庫使用計画 (ノート全体試算)'!C:C,マスタ_EOLリスト[[#This Row],[製品型番]])=0,"記載なし","")</f>
        <v>記載なし</v>
      </c>
      <c r="BN257" t="str">
        <f>IF(COUNTIFS('在庫使用計画 (一般)'!C:C,マスタ_EOLリスト[[#This Row],[製品型番]])=0,"記載なし","")</f>
        <v>記載なし</v>
      </c>
      <c r="BO257" t="str">
        <f>IF(COUNTIFS('在庫使用計画 (法人)'!C:C,マスタ_EOLリスト[[#This Row],[製品型番]])=0,"記載なし","")</f>
        <v>記載なし</v>
      </c>
      <c r="BP257" t="str">
        <f>IF(COUNTIFS('在庫使用計画 (全体実績+予測）0701'!C:C,マスタ_EOLリスト[[#This Row],[製品型番]])=0,"記載なし","")</f>
        <v>記載なし</v>
      </c>
      <c r="BQ257" t="str">
        <f ca="1">IF(COUNTIFS('在庫使用計画 (計画　予測)'!C:C,マスタ_EOLリスト[[#This Row],[製品型番]])=0,"記載なし","")</f>
        <v>記載なし</v>
      </c>
      <c r="BR257" t="str">
        <f>IF(COUNTIFS(在庫確認!B:B,マスタ_EOLリスト[[#This Row],[製品型番]])=0,"記載なし","")</f>
        <v/>
      </c>
      <c r="BS257" t="e">
        <f>COUNTIF(#REF!,マスタ_EOLリスト[[#This Row],[製品型番]])</f>
        <v>#REF!</v>
      </c>
    </row>
    <row r="258" spans="1:71">
      <c r="A258" t="str">
        <v>R6-RL</v>
      </c>
      <c r="B258" t="s">
        <v>142</v>
      </c>
      <c r="C258" t="s">
        <v>982</v>
      </c>
      <c r="D258" t="s">
        <v>1014</v>
      </c>
      <c r="E258">
        <v>181641</v>
      </c>
      <c r="F258" t="s">
        <v>1015</v>
      </c>
      <c r="G258" t="s">
        <v>263</v>
      </c>
      <c r="H258" t="s">
        <v>1016</v>
      </c>
      <c r="K258" t="s">
        <v>288</v>
      </c>
      <c r="L258">
        <v>4060</v>
      </c>
      <c r="M258">
        <v>0</v>
      </c>
      <c r="N258">
        <v>0</v>
      </c>
      <c r="P258">
        <v>45096</v>
      </c>
      <c r="Q258" t="s">
        <v>240</v>
      </c>
      <c r="W258">
        <v>1640</v>
      </c>
      <c r="X258">
        <v>401</v>
      </c>
      <c r="AB258">
        <v>209064</v>
      </c>
      <c r="AC258" t="s">
        <v>1017</v>
      </c>
      <c r="AI258" t="s">
        <v>1018</v>
      </c>
      <c r="AL258">
        <v>45455</v>
      </c>
      <c r="AM258">
        <v>100</v>
      </c>
      <c r="AN258" t="s">
        <v>266</v>
      </c>
      <c r="AO258">
        <v>19</v>
      </c>
      <c r="AP258">
        <v>7.89</v>
      </c>
      <c r="AQ258" t="s">
        <v>156</v>
      </c>
      <c r="AW258" t="s">
        <v>21</v>
      </c>
      <c r="AX258" t="s">
        <v>144</v>
      </c>
      <c r="BA258" t="s">
        <v>1013</v>
      </c>
      <c r="BB258" t="s">
        <v>1013</v>
      </c>
      <c r="BC258" t="s">
        <v>1013</v>
      </c>
      <c r="BD258" t="s">
        <v>1013</v>
      </c>
      <c r="BM258" t="str">
        <f>IF(COUNTIFS('在庫使用計画 (ノート全体試算)'!C:C,マスタ_EOLリスト[[#This Row],[製品型番]])=0,"記載なし","")</f>
        <v/>
      </c>
      <c r="BN258" t="str">
        <f>IF(COUNTIFS('在庫使用計画 (一般)'!C:C,マスタ_EOLリスト[[#This Row],[製品型番]])=0,"記載なし","")</f>
        <v/>
      </c>
      <c r="BO258" t="str">
        <f>IF(COUNTIFS('在庫使用計画 (法人)'!C:C,マスタ_EOLリスト[[#This Row],[製品型番]])=0,"記載なし","")</f>
        <v/>
      </c>
      <c r="BP258" t="str">
        <f>IF(COUNTIFS('在庫使用計画 (全体実績+予測）0701'!C:C,マスタ_EOLリスト[[#This Row],[製品型番]])=0,"記載なし","")</f>
        <v/>
      </c>
      <c r="BQ258" t="str">
        <f ca="1">IF(COUNTIFS('在庫使用計画 (計画　予測)'!C:C,マスタ_EOLリスト[[#This Row],[製品型番]])=0,"記載なし","")</f>
        <v>記載なし</v>
      </c>
      <c r="BR258" t="str">
        <f>IF(COUNTIFS(在庫確認!B:B,マスタ_EOLリスト[[#This Row],[製品型番]])=0,"記載なし","")</f>
        <v/>
      </c>
      <c r="BS258" t="e">
        <f>COUNTIF(#REF!,マスタ_EOLリスト[[#This Row],[製品型番]])</f>
        <v>#REF!</v>
      </c>
    </row>
    <row r="259" spans="1:71">
      <c r="A259" t="str">
        <v>R6-MT</v>
      </c>
      <c r="B259" t="s">
        <v>142</v>
      </c>
      <c r="C259" t="s">
        <v>982</v>
      </c>
      <c r="D259" t="s">
        <v>1017</v>
      </c>
      <c r="E259">
        <v>193709</v>
      </c>
      <c r="F259" t="s">
        <v>1019</v>
      </c>
      <c r="G259" t="s">
        <v>246</v>
      </c>
      <c r="H259" t="s">
        <v>1020</v>
      </c>
      <c r="K259" t="s">
        <v>268</v>
      </c>
      <c r="L259">
        <v>0</v>
      </c>
      <c r="M259">
        <v>0</v>
      </c>
      <c r="N259">
        <v>0</v>
      </c>
      <c r="P259">
        <v>45463</v>
      </c>
      <c r="Q259" t="s">
        <v>178</v>
      </c>
      <c r="V259">
        <v>500</v>
      </c>
      <c r="W259">
        <v>506</v>
      </c>
      <c r="Z259">
        <v>209064</v>
      </c>
      <c r="AA259" t="s">
        <v>1021</v>
      </c>
      <c r="AL259">
        <v>45519</v>
      </c>
      <c r="AM259">
        <v>10</v>
      </c>
      <c r="AN259" t="s">
        <v>251</v>
      </c>
      <c r="AW259" t="s">
        <v>21</v>
      </c>
      <c r="AX259" t="s">
        <v>144</v>
      </c>
      <c r="BA259" t="s">
        <v>1013</v>
      </c>
      <c r="BB259" t="s">
        <v>1013</v>
      </c>
      <c r="BC259" t="s">
        <v>1013</v>
      </c>
      <c r="BD259" t="s">
        <v>1013</v>
      </c>
      <c r="BM259" t="str">
        <f>IF(COUNTIFS('在庫使用計画 (ノート全体試算)'!C:C,マスタ_EOLリスト[[#This Row],[製品型番]])=0,"記載なし","")</f>
        <v/>
      </c>
      <c r="BN259" t="str">
        <f>IF(COUNTIFS('在庫使用計画 (一般)'!C:C,マスタ_EOLリスト[[#This Row],[製品型番]])=0,"記載なし","")</f>
        <v/>
      </c>
      <c r="BO259" t="str">
        <f>IF(COUNTIFS('在庫使用計画 (法人)'!C:C,マスタ_EOLリスト[[#This Row],[製品型番]])=0,"記載なし","")</f>
        <v/>
      </c>
      <c r="BP259" t="str">
        <f>IF(COUNTIFS('在庫使用計画 (全体実績+予測）0701'!C:C,マスタ_EOLリスト[[#This Row],[製品型番]])=0,"記載なし","")</f>
        <v/>
      </c>
      <c r="BQ259" t="str">
        <f ca="1">IF(COUNTIFS('在庫使用計画 (計画　予測)'!C:C,マスタ_EOLリスト[[#This Row],[製品型番]])=0,"記載なし","")</f>
        <v/>
      </c>
      <c r="BR259" t="str">
        <f>IF(COUNTIFS(在庫確認!B:B,マスタ_EOLリスト[[#This Row],[製品型番]])=0,"記載なし","")</f>
        <v/>
      </c>
      <c r="BS259" t="e">
        <f>COUNTIF(#REF!,マスタ_EOLリスト[[#This Row],[製品型番]])</f>
        <v>#REF!</v>
      </c>
    </row>
    <row r="260" spans="1:71">
      <c r="A260" t="str">
        <v>R6-MT</v>
      </c>
      <c r="B260" t="s">
        <v>142</v>
      </c>
      <c r="C260" t="s">
        <v>982</v>
      </c>
      <c r="D260" t="s">
        <v>1017</v>
      </c>
      <c r="E260">
        <v>199328</v>
      </c>
      <c r="F260" t="s">
        <v>1022</v>
      </c>
      <c r="G260" t="s">
        <v>246</v>
      </c>
      <c r="H260" t="s">
        <v>1020</v>
      </c>
      <c r="K260" t="s">
        <v>268</v>
      </c>
      <c r="L260">
        <v>0</v>
      </c>
      <c r="M260">
        <v>0</v>
      </c>
      <c r="N260">
        <v>0</v>
      </c>
      <c r="AL260">
        <v>45530</v>
      </c>
      <c r="AM260">
        <v>240</v>
      </c>
      <c r="AN260" t="s">
        <v>251</v>
      </c>
      <c r="AW260" t="s">
        <v>21</v>
      </c>
      <c r="AX260" t="s">
        <v>144</v>
      </c>
      <c r="BA260" t="s">
        <v>174</v>
      </c>
      <c r="BB260" t="s">
        <v>170</v>
      </c>
      <c r="BC260" t="s">
        <v>174</v>
      </c>
      <c r="BD260" t="s">
        <v>174</v>
      </c>
      <c r="BM260" t="str">
        <f>IF(COUNTIFS('在庫使用計画 (ノート全体試算)'!C:C,マスタ_EOLリスト[[#This Row],[製品型番]])=0,"記載なし","")</f>
        <v/>
      </c>
      <c r="BN260" t="str">
        <f>IF(COUNTIFS('在庫使用計画 (一般)'!C:C,マスタ_EOLリスト[[#This Row],[製品型番]])=0,"記載なし","")</f>
        <v/>
      </c>
      <c r="BO260" t="str">
        <f>IF(COUNTIFS('在庫使用計画 (法人)'!C:C,マスタ_EOLリスト[[#This Row],[製品型番]])=0,"記載なし","")</f>
        <v/>
      </c>
      <c r="BP260" t="str">
        <f>IF(COUNTIFS('在庫使用計画 (全体実績+予測）0701'!C:C,マスタ_EOLリスト[[#This Row],[製品型番]])=0,"記載なし","")</f>
        <v/>
      </c>
      <c r="BQ260" t="str">
        <f ca="1">IF(COUNTIFS('在庫使用計画 (計画　予測)'!C:C,マスタ_EOLリスト[[#This Row],[製品型番]])=0,"記載なし","")</f>
        <v/>
      </c>
      <c r="BR260" t="str">
        <f>IF(COUNTIFS(在庫確認!B:B,マスタ_EOLリスト[[#This Row],[製品型番]])=0,"記載なし","")</f>
        <v/>
      </c>
      <c r="BS260" t="e">
        <f>COUNTIF(#REF!,マスタ_EOLリスト[[#This Row],[製品型番]])</f>
        <v>#REF!</v>
      </c>
    </row>
    <row r="261" spans="1:71">
      <c r="A261" t="str">
        <v>R6-MT</v>
      </c>
      <c r="B261" t="s">
        <v>142</v>
      </c>
      <c r="C261" t="s">
        <v>982</v>
      </c>
      <c r="D261" t="s">
        <v>1017</v>
      </c>
      <c r="E261">
        <v>209064</v>
      </c>
      <c r="F261" t="s">
        <v>1021</v>
      </c>
      <c r="G261" t="s">
        <v>246</v>
      </c>
      <c r="H261" t="s">
        <v>1020</v>
      </c>
      <c r="K261" t="s">
        <v>268</v>
      </c>
      <c r="L261">
        <v>0</v>
      </c>
      <c r="M261">
        <v>0</v>
      </c>
      <c r="N261">
        <v>0</v>
      </c>
      <c r="W261">
        <v>300</v>
      </c>
      <c r="Z261">
        <v>199408</v>
      </c>
      <c r="AN261" t="s">
        <v>251</v>
      </c>
      <c r="AW261" t="s">
        <v>21</v>
      </c>
      <c r="AX261" t="s">
        <v>144</v>
      </c>
      <c r="BM261" t="str">
        <f>IF(COUNTIFS('在庫使用計画 (ノート全体試算)'!C:C,マスタ_EOLリスト[[#This Row],[製品型番]])=0,"記載なし","")</f>
        <v/>
      </c>
      <c r="BN261" t="str">
        <f>IF(COUNTIFS('在庫使用計画 (一般)'!C:C,マスタ_EOLリスト[[#This Row],[製品型番]])=0,"記載なし","")</f>
        <v/>
      </c>
      <c r="BO261" t="str">
        <f>IF(COUNTIFS('在庫使用計画 (法人)'!C:C,マスタ_EOLリスト[[#This Row],[製品型番]])=0,"記載なし","")</f>
        <v/>
      </c>
      <c r="BP261" t="str">
        <f>IF(COUNTIFS('在庫使用計画 (全体実績+予測）0701'!C:C,マスタ_EOLリスト[[#This Row],[製品型番]])=0,"記載なし","")</f>
        <v/>
      </c>
      <c r="BQ261" t="str">
        <f ca="1">IF(COUNTIFS('在庫使用計画 (計画　予測)'!C:C,マスタ_EOLリスト[[#This Row],[製品型番]])=0,"記載なし","")</f>
        <v/>
      </c>
      <c r="BR261" t="str">
        <f>IF(COUNTIFS(在庫確認!B:B,マスタ_EOLリスト[[#This Row],[製品型番]])=0,"記載なし","")</f>
        <v/>
      </c>
      <c r="BS261" t="e">
        <f>COUNTIF(#REF!,マスタ_EOLリスト[[#This Row],[製品型番]])</f>
        <v>#REF!</v>
      </c>
    </row>
    <row r="262" spans="1:71">
      <c r="A262" t="e">
        <v>#N/A</v>
      </c>
      <c r="B262" t="s">
        <v>142</v>
      </c>
      <c r="C262" t="s">
        <v>982</v>
      </c>
      <c r="D262" t="s">
        <v>1023</v>
      </c>
      <c r="E262">
        <v>169742</v>
      </c>
      <c r="F262" t="s">
        <v>1024</v>
      </c>
      <c r="H262" t="s">
        <v>21</v>
      </c>
      <c r="K262" t="s">
        <v>913</v>
      </c>
      <c r="L262">
        <v>0</v>
      </c>
      <c r="M262">
        <v>0</v>
      </c>
      <c r="N262">
        <v>0</v>
      </c>
      <c r="W262">
        <v>2410</v>
      </c>
      <c r="X262">
        <v>766</v>
      </c>
      <c r="AF262">
        <v>0.31784232365145226</v>
      </c>
      <c r="AL262" t="s">
        <v>21</v>
      </c>
      <c r="AM262" t="s">
        <v>21</v>
      </c>
      <c r="AW262" t="s">
        <v>21</v>
      </c>
      <c r="AX262" t="s">
        <v>144</v>
      </c>
      <c r="BA262" t="s">
        <v>1025</v>
      </c>
      <c r="BB262" t="s">
        <v>170</v>
      </c>
      <c r="BC262" t="s">
        <v>1025</v>
      </c>
      <c r="BD262" t="s">
        <v>591</v>
      </c>
      <c r="BM262" t="str">
        <f>IF(COUNTIFS('在庫使用計画 (ノート全体試算)'!C:C,マスタ_EOLリスト[[#This Row],[製品型番]])=0,"記載なし","")</f>
        <v>記載なし</v>
      </c>
      <c r="BN262" t="str">
        <f>IF(COUNTIFS('在庫使用計画 (一般)'!C:C,マスタ_EOLリスト[[#This Row],[製品型番]])=0,"記載なし","")</f>
        <v>記載なし</v>
      </c>
      <c r="BO262" t="str">
        <f>IF(COUNTIFS('在庫使用計画 (法人)'!C:C,マスタ_EOLリスト[[#This Row],[製品型番]])=0,"記載なし","")</f>
        <v>記載なし</v>
      </c>
      <c r="BP262" t="str">
        <f>IF(COUNTIFS('在庫使用計画 (全体実績+予測）0701'!C:C,マスタ_EOLリスト[[#This Row],[製品型番]])=0,"記載なし","")</f>
        <v>記載なし</v>
      </c>
      <c r="BQ262" t="str">
        <f ca="1">IF(COUNTIFS('在庫使用計画 (計画　予測)'!C:C,マスタ_EOLリスト[[#This Row],[製品型番]])=0,"記載なし","")</f>
        <v>記載なし</v>
      </c>
      <c r="BR262" t="str">
        <f>IF(COUNTIFS(在庫確認!B:B,マスタ_EOLリスト[[#This Row],[製品型番]])=0,"記載なし","")</f>
        <v/>
      </c>
      <c r="BS262" t="e">
        <f>COUNTIF(#REF!,マスタ_EOLリスト[[#This Row],[製品型番]])</f>
        <v>#REF!</v>
      </c>
    </row>
    <row r="263" spans="1:71">
      <c r="A263" t="e">
        <v>#N/A</v>
      </c>
      <c r="B263" t="s">
        <v>142</v>
      </c>
      <c r="C263" t="s">
        <v>982</v>
      </c>
      <c r="D263" t="s">
        <v>1026</v>
      </c>
      <c r="E263">
        <v>169743</v>
      </c>
      <c r="F263" t="s">
        <v>1027</v>
      </c>
      <c r="H263" t="s">
        <v>21</v>
      </c>
      <c r="K263" t="s">
        <v>913</v>
      </c>
      <c r="L263">
        <v>3060</v>
      </c>
      <c r="M263">
        <v>0</v>
      </c>
      <c r="N263">
        <v>0</v>
      </c>
      <c r="W263">
        <v>610</v>
      </c>
      <c r="X263">
        <v>193</v>
      </c>
      <c r="AF263">
        <v>0.31639344262295083</v>
      </c>
      <c r="AL263" t="s">
        <v>21</v>
      </c>
      <c r="AM263" t="s">
        <v>21</v>
      </c>
      <c r="AW263" t="s">
        <v>21</v>
      </c>
      <c r="AX263" t="s">
        <v>144</v>
      </c>
      <c r="BA263" t="s">
        <v>591</v>
      </c>
      <c r="BB263" t="s">
        <v>170</v>
      </c>
      <c r="BC263" t="s">
        <v>591</v>
      </c>
      <c r="BD263" t="s">
        <v>591</v>
      </c>
      <c r="BM263" t="str">
        <f>IF(COUNTIFS('在庫使用計画 (ノート全体試算)'!C:C,マスタ_EOLリスト[[#This Row],[製品型番]])=0,"記載なし","")</f>
        <v>記載なし</v>
      </c>
      <c r="BN263" t="str">
        <f>IF(COUNTIFS('在庫使用計画 (一般)'!C:C,マスタ_EOLリスト[[#This Row],[製品型番]])=0,"記載なし","")</f>
        <v>記載なし</v>
      </c>
      <c r="BO263" t="str">
        <f>IF(COUNTIFS('在庫使用計画 (法人)'!C:C,マスタ_EOLリスト[[#This Row],[製品型番]])=0,"記載なし","")</f>
        <v>記載なし</v>
      </c>
      <c r="BP263" t="str">
        <f>IF(COUNTIFS('在庫使用計画 (全体実績+予測）0701'!C:C,マスタ_EOLリスト[[#This Row],[製品型番]])=0,"記載なし","")</f>
        <v>記載なし</v>
      </c>
      <c r="BQ263" t="str">
        <f ca="1">IF(COUNTIFS('在庫使用計画 (計画　予測)'!C:C,マスタ_EOLリスト[[#This Row],[製品型番]])=0,"記載なし","")</f>
        <v>記載なし</v>
      </c>
      <c r="BR263" t="str">
        <f>IF(COUNTIFS(在庫確認!B:B,マスタ_EOLリスト[[#This Row],[製品型番]])=0,"記載なし","")</f>
        <v/>
      </c>
      <c r="BS263" t="e">
        <f>COUNTIF(#REF!,マスタ_EOLリスト[[#This Row],[製品型番]])</f>
        <v>#REF!</v>
      </c>
    </row>
    <row r="264" spans="1:71">
      <c r="A264" t="e">
        <v>#N/A</v>
      </c>
      <c r="B264" t="s">
        <v>142</v>
      </c>
      <c r="C264" t="s">
        <v>982</v>
      </c>
      <c r="D264" t="s">
        <v>1028</v>
      </c>
      <c r="E264">
        <v>168388</v>
      </c>
      <c r="F264" t="s">
        <v>1029</v>
      </c>
      <c r="H264" t="s">
        <v>21</v>
      </c>
      <c r="K264" t="s">
        <v>913</v>
      </c>
      <c r="L264">
        <v>3050</v>
      </c>
      <c r="M264">
        <v>0</v>
      </c>
      <c r="N264">
        <v>0</v>
      </c>
      <c r="W264">
        <v>1200</v>
      </c>
      <c r="AF264">
        <v>0</v>
      </c>
      <c r="AL264" t="s">
        <v>21</v>
      </c>
      <c r="AM264" t="s">
        <v>21</v>
      </c>
      <c r="AW264" t="s">
        <v>21</v>
      </c>
      <c r="AX264" t="s">
        <v>144</v>
      </c>
      <c r="BA264" t="s">
        <v>442</v>
      </c>
      <c r="BB264" t="s">
        <v>170</v>
      </c>
      <c r="BC264" t="s">
        <v>442</v>
      </c>
      <c r="BD264" t="s">
        <v>442</v>
      </c>
      <c r="BM264" t="str">
        <f>IF(COUNTIFS('在庫使用計画 (ノート全体試算)'!C:C,マスタ_EOLリスト[[#This Row],[製品型番]])=0,"記載なし","")</f>
        <v>記載なし</v>
      </c>
      <c r="BN264" t="str">
        <f>IF(COUNTIFS('在庫使用計画 (一般)'!C:C,マスタ_EOLリスト[[#This Row],[製品型番]])=0,"記載なし","")</f>
        <v>記載なし</v>
      </c>
      <c r="BO264" t="str">
        <f>IF(COUNTIFS('在庫使用計画 (法人)'!C:C,マスタ_EOLリスト[[#This Row],[製品型番]])=0,"記載なし","")</f>
        <v>記載なし</v>
      </c>
      <c r="BP264" t="str">
        <f>IF(COUNTIFS('在庫使用計画 (全体実績+予測）0701'!C:C,マスタ_EOLリスト[[#This Row],[製品型番]])=0,"記載なし","")</f>
        <v>記載なし</v>
      </c>
      <c r="BQ264" t="str">
        <f ca="1">IF(COUNTIFS('在庫使用計画 (計画　予測)'!C:C,マスタ_EOLリスト[[#This Row],[製品型番]])=0,"記載なし","")</f>
        <v>記載なし</v>
      </c>
      <c r="BR264" t="str">
        <f>IF(COUNTIFS(在庫確認!B:B,マスタ_EOLリスト[[#This Row],[製品型番]])=0,"記載なし","")</f>
        <v/>
      </c>
      <c r="BS264" t="e">
        <f>COUNTIF(#REF!,マスタ_EOLリスト[[#This Row],[製品型番]])</f>
        <v>#REF!</v>
      </c>
    </row>
    <row r="265" spans="1:71">
      <c r="A265" t="e">
        <v>#N/A</v>
      </c>
      <c r="B265" t="s">
        <v>142</v>
      </c>
      <c r="C265" t="s">
        <v>982</v>
      </c>
      <c r="D265" t="s">
        <v>1028</v>
      </c>
      <c r="E265">
        <v>169815</v>
      </c>
      <c r="F265" t="s">
        <v>1030</v>
      </c>
      <c r="H265" t="s">
        <v>21</v>
      </c>
      <c r="K265" t="s">
        <v>913</v>
      </c>
      <c r="L265">
        <v>3050</v>
      </c>
      <c r="M265">
        <v>0</v>
      </c>
      <c r="N265">
        <v>0</v>
      </c>
      <c r="W265">
        <v>410</v>
      </c>
      <c r="X265">
        <v>663</v>
      </c>
      <c r="AF265">
        <v>1.6170731707317074</v>
      </c>
      <c r="AL265" t="s">
        <v>21</v>
      </c>
      <c r="AM265" t="s">
        <v>21</v>
      </c>
      <c r="AW265" t="s">
        <v>21</v>
      </c>
      <c r="AX265" t="s">
        <v>144</v>
      </c>
      <c r="BA265" t="s">
        <v>442</v>
      </c>
      <c r="BB265" t="s">
        <v>170</v>
      </c>
      <c r="BC265" t="s">
        <v>442</v>
      </c>
      <c r="BD265" t="s">
        <v>442</v>
      </c>
      <c r="BM265" t="str">
        <f>IF(COUNTIFS('在庫使用計画 (ノート全体試算)'!C:C,マスタ_EOLリスト[[#This Row],[製品型番]])=0,"記載なし","")</f>
        <v>記載なし</v>
      </c>
      <c r="BN265" t="str">
        <f>IF(COUNTIFS('在庫使用計画 (一般)'!C:C,マスタ_EOLリスト[[#This Row],[製品型番]])=0,"記載なし","")</f>
        <v>記載なし</v>
      </c>
      <c r="BO265" t="str">
        <f>IF(COUNTIFS('在庫使用計画 (法人)'!C:C,マスタ_EOLリスト[[#This Row],[製品型番]])=0,"記載なし","")</f>
        <v>記載なし</v>
      </c>
      <c r="BP265" t="str">
        <f>IF(COUNTIFS('在庫使用計画 (全体実績+予測）0701'!C:C,マスタ_EOLリスト[[#This Row],[製品型番]])=0,"記載なし","")</f>
        <v>記載なし</v>
      </c>
      <c r="BQ265" t="str">
        <f ca="1">IF(COUNTIFS('在庫使用計画 (計画　予測)'!C:C,マスタ_EOLリスト[[#This Row],[製品型番]])=0,"記載なし","")</f>
        <v>記載なし</v>
      </c>
      <c r="BR265" t="str">
        <f>IF(COUNTIFS(在庫確認!B:B,マスタ_EOLリスト[[#This Row],[製品型番]])=0,"記載なし","")</f>
        <v/>
      </c>
      <c r="BS265" t="e">
        <f>COUNTIF(#REF!,マスタ_EOLリスト[[#This Row],[製品型番]])</f>
        <v>#REF!</v>
      </c>
    </row>
    <row r="266" spans="1:71">
      <c r="A266" t="e">
        <v>#N/A</v>
      </c>
      <c r="B266" t="s">
        <v>142</v>
      </c>
      <c r="C266" t="s">
        <v>982</v>
      </c>
      <c r="D266" t="s">
        <v>1031</v>
      </c>
      <c r="E266">
        <v>168389</v>
      </c>
      <c r="F266" t="s">
        <v>1032</v>
      </c>
      <c r="H266" t="s">
        <v>21</v>
      </c>
      <c r="K266" t="s">
        <v>913</v>
      </c>
      <c r="L266">
        <v>3050</v>
      </c>
      <c r="M266">
        <v>0</v>
      </c>
      <c r="N266">
        <v>0</v>
      </c>
      <c r="W266">
        <v>500</v>
      </c>
      <c r="X266">
        <v>230</v>
      </c>
      <c r="AF266">
        <v>0.46</v>
      </c>
      <c r="AL266" t="s">
        <v>21</v>
      </c>
      <c r="AM266" t="s">
        <v>21</v>
      </c>
      <c r="AW266" t="s">
        <v>21</v>
      </c>
      <c r="AX266" t="s">
        <v>144</v>
      </c>
      <c r="BA266" t="s">
        <v>1033</v>
      </c>
      <c r="BB266" t="s">
        <v>1033</v>
      </c>
      <c r="BC266" t="s">
        <v>1033</v>
      </c>
      <c r="BD266" t="s">
        <v>1033</v>
      </c>
      <c r="BM266" t="str">
        <f>IF(COUNTIFS('在庫使用計画 (ノート全体試算)'!C:C,マスタ_EOLリスト[[#This Row],[製品型番]])=0,"記載なし","")</f>
        <v>記載なし</v>
      </c>
      <c r="BN266" t="str">
        <f>IF(COUNTIFS('在庫使用計画 (一般)'!C:C,マスタ_EOLリスト[[#This Row],[製品型番]])=0,"記載なし","")</f>
        <v>記載なし</v>
      </c>
      <c r="BO266" t="str">
        <f>IF(COUNTIFS('在庫使用計画 (法人)'!C:C,マスタ_EOLリスト[[#This Row],[製品型番]])=0,"記載なし","")</f>
        <v>記載なし</v>
      </c>
      <c r="BP266" t="str">
        <f>IF(COUNTIFS('在庫使用計画 (全体実績+予測）0701'!C:C,マスタ_EOLリスト[[#This Row],[製品型番]])=0,"記載なし","")</f>
        <v>記載なし</v>
      </c>
      <c r="BQ266" t="str">
        <f ca="1">IF(COUNTIFS('在庫使用計画 (計画　予測)'!C:C,マスタ_EOLリスト[[#This Row],[製品型番]])=0,"記載なし","")</f>
        <v>記載なし</v>
      </c>
      <c r="BR266" t="str">
        <f>IF(COUNTIFS(在庫確認!B:B,マスタ_EOLリスト[[#This Row],[製品型番]])=0,"記載なし","")</f>
        <v/>
      </c>
      <c r="BS266" t="e">
        <f>COUNTIF(#REF!,マスタ_EOLリスト[[#This Row],[製品型番]])</f>
        <v>#REF!</v>
      </c>
    </row>
    <row r="267" spans="1:71">
      <c r="A267" t="e">
        <v>#N/A</v>
      </c>
      <c r="B267" t="s">
        <v>142</v>
      </c>
      <c r="C267" t="s">
        <v>982</v>
      </c>
      <c r="D267" t="s">
        <v>1031</v>
      </c>
      <c r="E267">
        <v>169816</v>
      </c>
      <c r="F267" t="s">
        <v>1034</v>
      </c>
      <c r="H267" t="s">
        <v>21</v>
      </c>
      <c r="K267" t="s">
        <v>913</v>
      </c>
      <c r="L267">
        <v>3050</v>
      </c>
      <c r="M267">
        <v>0</v>
      </c>
      <c r="N267">
        <v>0</v>
      </c>
      <c r="W267">
        <v>210</v>
      </c>
      <c r="AF267">
        <v>0</v>
      </c>
      <c r="AL267" t="s">
        <v>21</v>
      </c>
      <c r="AM267" t="s">
        <v>21</v>
      </c>
      <c r="AW267" t="s">
        <v>21</v>
      </c>
      <c r="AX267" t="s">
        <v>144</v>
      </c>
      <c r="BA267" t="s">
        <v>442</v>
      </c>
      <c r="BB267" t="s">
        <v>170</v>
      </c>
      <c r="BC267" t="s">
        <v>442</v>
      </c>
      <c r="BD267" t="s">
        <v>442</v>
      </c>
      <c r="BM267" t="str">
        <f>IF(COUNTIFS('在庫使用計画 (ノート全体試算)'!C:C,マスタ_EOLリスト[[#This Row],[製品型番]])=0,"記載なし","")</f>
        <v>記載なし</v>
      </c>
      <c r="BN267" t="str">
        <f>IF(COUNTIFS('在庫使用計画 (一般)'!C:C,マスタ_EOLリスト[[#This Row],[製品型番]])=0,"記載なし","")</f>
        <v>記載なし</v>
      </c>
      <c r="BO267" t="str">
        <f>IF(COUNTIFS('在庫使用計画 (法人)'!C:C,マスタ_EOLリスト[[#This Row],[製品型番]])=0,"記載なし","")</f>
        <v>記載なし</v>
      </c>
      <c r="BP267" t="str">
        <f>IF(COUNTIFS('在庫使用計画 (全体実績+予測）0701'!C:C,マスタ_EOLリスト[[#This Row],[製品型番]])=0,"記載なし","")</f>
        <v>記載なし</v>
      </c>
      <c r="BQ267" t="str">
        <f ca="1">IF(COUNTIFS('在庫使用計画 (計画　予測)'!C:C,マスタ_EOLリスト[[#This Row],[製品型番]])=0,"記載なし","")</f>
        <v>記載なし</v>
      </c>
      <c r="BR267" t="str">
        <f>IF(COUNTIFS(在庫確認!B:B,マスタ_EOLリスト[[#This Row],[製品型番]])=0,"記載なし","")</f>
        <v/>
      </c>
      <c r="BS267" t="e">
        <f>COUNTIF(#REF!,マスタ_EOLリスト[[#This Row],[製品型番]])</f>
        <v>#REF!</v>
      </c>
    </row>
    <row r="268" spans="1:71">
      <c r="A268" t="str">
        <v>R5-RL6R</v>
      </c>
      <c r="B268" t="s">
        <v>142</v>
      </c>
      <c r="C268" t="s">
        <v>982</v>
      </c>
      <c r="D268" t="s">
        <v>1035</v>
      </c>
      <c r="E268">
        <v>193711</v>
      </c>
      <c r="F268" t="s">
        <v>1036</v>
      </c>
      <c r="G268" t="s">
        <v>275</v>
      </c>
      <c r="H268" t="s">
        <v>1037</v>
      </c>
      <c r="K268" t="s">
        <v>318</v>
      </c>
      <c r="L268">
        <v>4060</v>
      </c>
      <c r="M268">
        <v>0</v>
      </c>
      <c r="N268">
        <v>0</v>
      </c>
      <c r="P268">
        <v>45428</v>
      </c>
      <c r="Q268" t="s">
        <v>1038</v>
      </c>
      <c r="V268">
        <v>1400</v>
      </c>
      <c r="W268">
        <v>786</v>
      </c>
      <c r="AK268">
        <v>194891</v>
      </c>
      <c r="AL268">
        <v>45519</v>
      </c>
      <c r="AM268">
        <v>150</v>
      </c>
      <c r="AW268" t="s">
        <v>21</v>
      </c>
      <c r="AX268" t="s">
        <v>144</v>
      </c>
      <c r="BA268" t="s">
        <v>591</v>
      </c>
      <c r="BB268" t="s">
        <v>170</v>
      </c>
      <c r="BC268" t="s">
        <v>591</v>
      </c>
      <c r="BD268" t="s">
        <v>591</v>
      </c>
      <c r="BM268" t="str">
        <f>IF(COUNTIFS('在庫使用計画 (ノート全体試算)'!C:C,マスタ_EOLリスト[[#This Row],[製品型番]])=0,"記載なし","")</f>
        <v/>
      </c>
      <c r="BN268" t="str">
        <f>IF(COUNTIFS('在庫使用計画 (一般)'!C:C,マスタ_EOLリスト[[#This Row],[製品型番]])=0,"記載なし","")</f>
        <v/>
      </c>
      <c r="BO268" t="str">
        <f>IF(COUNTIFS('在庫使用計画 (法人)'!C:C,マスタ_EOLリスト[[#This Row],[製品型番]])=0,"記載なし","")</f>
        <v/>
      </c>
      <c r="BP268" t="str">
        <f>IF(COUNTIFS('在庫使用計画 (全体実績+予測）0701'!C:C,マスタ_EOLリスト[[#This Row],[製品型番]])=0,"記載なし","")</f>
        <v/>
      </c>
      <c r="BQ268" t="str">
        <f ca="1">IF(COUNTIFS('在庫使用計画 (計画　予測)'!C:C,マスタ_EOLリスト[[#This Row],[製品型番]])=0,"記載なし","")</f>
        <v/>
      </c>
      <c r="BR268" t="str">
        <f>IF(COUNTIFS(在庫確認!B:B,マスタ_EOLリスト[[#This Row],[製品型番]])=0,"記載なし","")</f>
        <v/>
      </c>
      <c r="BS268" t="e">
        <f>COUNTIF(#REF!,マスタ_EOLリスト[[#This Row],[製品型番]])</f>
        <v>#REF!</v>
      </c>
    </row>
    <row r="269" spans="1:71">
      <c r="A269" t="str">
        <v>R5-RL6R</v>
      </c>
      <c r="B269" t="s">
        <v>142</v>
      </c>
      <c r="C269" t="s">
        <v>982</v>
      </c>
      <c r="D269" t="s">
        <v>1035</v>
      </c>
      <c r="E269">
        <v>199026</v>
      </c>
      <c r="F269" t="s">
        <v>1039</v>
      </c>
      <c r="G269" t="s">
        <v>275</v>
      </c>
      <c r="H269" t="s">
        <v>1037</v>
      </c>
      <c r="K269" t="s">
        <v>318</v>
      </c>
      <c r="L269">
        <v>4060</v>
      </c>
      <c r="M269">
        <v>0</v>
      </c>
      <c r="N269">
        <v>0</v>
      </c>
      <c r="R269" t="s">
        <v>173</v>
      </c>
      <c r="W269">
        <v>1350</v>
      </c>
      <c r="AK269">
        <v>207659</v>
      </c>
      <c r="AL269">
        <v>45525</v>
      </c>
      <c r="AM269">
        <v>70</v>
      </c>
      <c r="AW269" t="s">
        <v>21</v>
      </c>
      <c r="AX269" t="s">
        <v>144</v>
      </c>
      <c r="BA269" t="s">
        <v>591</v>
      </c>
      <c r="BB269" t="s">
        <v>170</v>
      </c>
      <c r="BC269" t="s">
        <v>591</v>
      </c>
      <c r="BD269" t="s">
        <v>591</v>
      </c>
      <c r="BM269" t="str">
        <f>IF(COUNTIFS('在庫使用計画 (ノート全体試算)'!C:C,マスタ_EOLリスト[[#This Row],[製品型番]])=0,"記載なし","")</f>
        <v/>
      </c>
      <c r="BN269" t="str">
        <f>IF(COUNTIFS('在庫使用計画 (一般)'!C:C,マスタ_EOLリスト[[#This Row],[製品型番]])=0,"記載なし","")</f>
        <v/>
      </c>
      <c r="BO269" t="str">
        <f>IF(COUNTIFS('在庫使用計画 (法人)'!C:C,マスタ_EOLリスト[[#This Row],[製品型番]])=0,"記載なし","")</f>
        <v/>
      </c>
      <c r="BP269" t="str">
        <f>IF(COUNTIFS('在庫使用計画 (全体実績+予測）0701'!C:C,マスタ_EOLリスト[[#This Row],[製品型番]])=0,"記載なし","")</f>
        <v/>
      </c>
      <c r="BQ269" t="str">
        <f ca="1">IF(COUNTIFS('在庫使用計画 (計画　予測)'!C:C,マスタ_EOLリスト[[#This Row],[製品型番]])=0,"記載なし","")</f>
        <v/>
      </c>
      <c r="BR269" t="str">
        <f>IF(COUNTIFS(在庫確認!B:B,マスタ_EOLリスト[[#This Row],[製品型番]])=0,"記載なし","")</f>
        <v/>
      </c>
      <c r="BS269" t="e">
        <f>COUNTIF(#REF!,マスタ_EOLリスト[[#This Row],[製品型番]])</f>
        <v>#REF!</v>
      </c>
    </row>
    <row r="270" spans="1:71">
      <c r="A270" t="str">
        <v>R5-RL6</v>
      </c>
      <c r="B270" t="s">
        <v>142</v>
      </c>
      <c r="C270" t="s">
        <v>982</v>
      </c>
      <c r="D270" t="s">
        <v>1040</v>
      </c>
      <c r="E270">
        <v>179161</v>
      </c>
      <c r="F270" t="s">
        <v>1041</v>
      </c>
      <c r="G270" t="s">
        <v>275</v>
      </c>
      <c r="H270" t="s">
        <v>1042</v>
      </c>
      <c r="K270" t="s">
        <v>239</v>
      </c>
      <c r="L270">
        <v>4060</v>
      </c>
      <c r="M270">
        <v>0</v>
      </c>
      <c r="N270">
        <v>0</v>
      </c>
      <c r="P270">
        <v>45043</v>
      </c>
      <c r="Q270" t="s">
        <v>165</v>
      </c>
      <c r="V270">
        <v>7350</v>
      </c>
      <c r="W270">
        <v>4840</v>
      </c>
      <c r="X270">
        <v>1649</v>
      </c>
      <c r="Z270">
        <v>189169</v>
      </c>
      <c r="AA270">
        <v>0</v>
      </c>
      <c r="AB270" t="s">
        <v>271</v>
      </c>
      <c r="AC270" t="s">
        <v>1043</v>
      </c>
      <c r="AL270" t="s">
        <v>21</v>
      </c>
      <c r="AM270" t="s">
        <v>21</v>
      </c>
      <c r="AW270" t="s">
        <v>21</v>
      </c>
      <c r="AX270" t="s">
        <v>144</v>
      </c>
      <c r="BA270" t="s">
        <v>413</v>
      </c>
      <c r="BB270" t="s">
        <v>160</v>
      </c>
      <c r="BC270" t="s">
        <v>160</v>
      </c>
      <c r="BD270" t="s">
        <v>160</v>
      </c>
      <c r="BM270" t="str">
        <f>IF(COUNTIFS('在庫使用計画 (ノート全体試算)'!C:C,マスタ_EOLリスト[[#This Row],[製品型番]])=0,"記載なし","")</f>
        <v/>
      </c>
      <c r="BN270" t="str">
        <f>IF(COUNTIFS('在庫使用計画 (一般)'!C:C,マスタ_EOLリスト[[#This Row],[製品型番]])=0,"記載なし","")</f>
        <v/>
      </c>
      <c r="BO270" t="str">
        <f>IF(COUNTIFS('在庫使用計画 (法人)'!C:C,マスタ_EOLリスト[[#This Row],[製品型番]])=0,"記載なし","")</f>
        <v/>
      </c>
      <c r="BP270" t="str">
        <f>IF(COUNTIFS('在庫使用計画 (全体実績+予測）0701'!C:C,マスタ_EOLリスト[[#This Row],[製品型番]])=0,"記載なし","")</f>
        <v/>
      </c>
      <c r="BQ270" t="str">
        <f ca="1">IF(COUNTIFS('在庫使用計画 (計画　予測)'!C:C,マスタ_EOLリスト[[#This Row],[製品型番]])=0,"記載なし","")</f>
        <v>記載なし</v>
      </c>
      <c r="BR270" t="str">
        <f>IF(COUNTIFS(在庫確認!B:B,マスタ_EOLリスト[[#This Row],[製品型番]])=0,"記載なし","")</f>
        <v/>
      </c>
      <c r="BS270" t="e">
        <f>COUNTIF(#REF!,マスタ_EOLリスト[[#This Row],[製品型番]])</f>
        <v>#REF!</v>
      </c>
    </row>
    <row r="271" spans="1:71">
      <c r="A271" t="str">
        <v>R5-RL5R</v>
      </c>
      <c r="B271" t="s">
        <v>142</v>
      </c>
      <c r="C271" t="s">
        <v>982</v>
      </c>
      <c r="D271" t="s">
        <v>1044</v>
      </c>
      <c r="E271">
        <v>193711</v>
      </c>
      <c r="F271" t="s">
        <v>1045</v>
      </c>
      <c r="G271" t="s">
        <v>326</v>
      </c>
      <c r="H271" t="s">
        <v>1046</v>
      </c>
      <c r="K271" t="s">
        <v>288</v>
      </c>
      <c r="L271">
        <v>4050</v>
      </c>
      <c r="M271">
        <v>0</v>
      </c>
      <c r="N271">
        <v>0</v>
      </c>
      <c r="P271">
        <v>45428</v>
      </c>
      <c r="Q271" t="s">
        <v>1038</v>
      </c>
      <c r="V271">
        <v>1300</v>
      </c>
      <c r="W271">
        <v>786</v>
      </c>
      <c r="AK271">
        <v>194887</v>
      </c>
      <c r="AL271">
        <v>45519</v>
      </c>
      <c r="AM271">
        <v>460</v>
      </c>
      <c r="AW271" t="s">
        <v>21</v>
      </c>
      <c r="AX271" t="s">
        <v>144</v>
      </c>
      <c r="BA271" t="s">
        <v>1013</v>
      </c>
      <c r="BB271" t="s">
        <v>1013</v>
      </c>
      <c r="BC271" t="s">
        <v>1013</v>
      </c>
      <c r="BD271" t="s">
        <v>1013</v>
      </c>
      <c r="BM271" t="str">
        <f>IF(COUNTIFS('在庫使用計画 (ノート全体試算)'!C:C,マスタ_EOLリスト[[#This Row],[製品型番]])=0,"記載なし","")</f>
        <v/>
      </c>
      <c r="BN271" t="str">
        <f>IF(COUNTIFS('在庫使用計画 (一般)'!C:C,マスタ_EOLリスト[[#This Row],[製品型番]])=0,"記載なし","")</f>
        <v/>
      </c>
      <c r="BO271" t="str">
        <f>IF(COUNTIFS('在庫使用計画 (法人)'!C:C,マスタ_EOLリスト[[#This Row],[製品型番]])=0,"記載なし","")</f>
        <v/>
      </c>
      <c r="BP271" t="str">
        <f>IF(COUNTIFS('在庫使用計画 (全体実績+予測）0701'!C:C,マスタ_EOLリスト[[#This Row],[製品型番]])=0,"記載なし","")</f>
        <v/>
      </c>
      <c r="BQ271" t="str">
        <f ca="1">IF(COUNTIFS('在庫使用計画 (計画　予測)'!C:C,マスタ_EOLリスト[[#This Row],[製品型番]])=0,"記載なし","")</f>
        <v/>
      </c>
      <c r="BR271" t="str">
        <f>IF(COUNTIFS(在庫確認!B:B,マスタ_EOLリスト[[#This Row],[製品型番]])=0,"記載なし","")</f>
        <v/>
      </c>
      <c r="BS271" t="e">
        <f>COUNTIF(#REF!,マスタ_EOLリスト[[#This Row],[製品型番]])</f>
        <v>#REF!</v>
      </c>
    </row>
    <row r="272" spans="1:71">
      <c r="A272" t="str">
        <v>R5-RL5R</v>
      </c>
      <c r="B272" t="s">
        <v>142</v>
      </c>
      <c r="C272" t="s">
        <v>982</v>
      </c>
      <c r="D272" t="s">
        <v>1044</v>
      </c>
      <c r="E272">
        <v>199027</v>
      </c>
      <c r="F272" t="s">
        <v>1047</v>
      </c>
      <c r="G272" t="s">
        <v>326</v>
      </c>
      <c r="H272" t="s">
        <v>1046</v>
      </c>
      <c r="K272" t="s">
        <v>288</v>
      </c>
      <c r="L272">
        <v>4050</v>
      </c>
      <c r="M272">
        <v>0</v>
      </c>
      <c r="N272">
        <v>0</v>
      </c>
      <c r="R272" t="s">
        <v>173</v>
      </c>
      <c r="W272">
        <v>1540</v>
      </c>
      <c r="AK272">
        <v>207660</v>
      </c>
      <c r="AL272">
        <v>45566</v>
      </c>
      <c r="AM272">
        <v>400</v>
      </c>
      <c r="AW272" t="s">
        <v>21</v>
      </c>
      <c r="AX272" t="s">
        <v>144</v>
      </c>
      <c r="BA272" t="s">
        <v>413</v>
      </c>
      <c r="BB272" t="s">
        <v>160</v>
      </c>
      <c r="BC272" t="s">
        <v>160</v>
      </c>
      <c r="BD272" t="s">
        <v>160</v>
      </c>
      <c r="BM272" t="str">
        <f>IF(COUNTIFS('在庫使用計画 (ノート全体試算)'!C:C,マスタ_EOLリスト[[#This Row],[製品型番]])=0,"記載なし","")</f>
        <v/>
      </c>
      <c r="BN272" t="str">
        <f>IF(COUNTIFS('在庫使用計画 (一般)'!C:C,マスタ_EOLリスト[[#This Row],[製品型番]])=0,"記載なし","")</f>
        <v/>
      </c>
      <c r="BO272" t="str">
        <f>IF(COUNTIFS('在庫使用計画 (法人)'!C:C,マスタ_EOLリスト[[#This Row],[製品型番]])=0,"記載なし","")</f>
        <v/>
      </c>
      <c r="BP272" t="str">
        <f>IF(COUNTIFS('在庫使用計画 (全体実績+予測）0701'!C:C,マスタ_EOLリスト[[#This Row],[製品型番]])=0,"記載なし","")</f>
        <v/>
      </c>
      <c r="BQ272" t="str">
        <f ca="1">IF(COUNTIFS('在庫使用計画 (計画　予測)'!C:C,マスタ_EOLリスト[[#This Row],[製品型番]])=0,"記載なし","")</f>
        <v/>
      </c>
      <c r="BR272" t="str">
        <f>IF(COUNTIFS(在庫確認!B:B,マスタ_EOLリスト[[#This Row],[製品型番]])=0,"記載なし","")</f>
        <v/>
      </c>
      <c r="BS272" t="e">
        <f>COUNTIF(#REF!,マスタ_EOLリスト[[#This Row],[製品型番]])</f>
        <v>#REF!</v>
      </c>
    </row>
    <row r="273" spans="1:71">
      <c r="A273" t="str">
        <v>R5-RL5</v>
      </c>
      <c r="B273" t="s">
        <v>142</v>
      </c>
      <c r="C273" t="s">
        <v>982</v>
      </c>
      <c r="D273" t="s">
        <v>532</v>
      </c>
      <c r="E273">
        <v>179162</v>
      </c>
      <c r="F273" t="s">
        <v>1048</v>
      </c>
      <c r="G273" t="s">
        <v>275</v>
      </c>
      <c r="H273" t="s">
        <v>534</v>
      </c>
      <c r="K273" t="s">
        <v>288</v>
      </c>
      <c r="L273">
        <v>4050</v>
      </c>
      <c r="M273">
        <v>0</v>
      </c>
      <c r="N273">
        <v>0</v>
      </c>
      <c r="P273">
        <v>45043</v>
      </c>
      <c r="Q273" t="s">
        <v>1049</v>
      </c>
      <c r="V273">
        <v>7550</v>
      </c>
      <c r="W273">
        <v>4910</v>
      </c>
      <c r="X273">
        <v>1547</v>
      </c>
      <c r="AC273" t="s">
        <v>1043</v>
      </c>
      <c r="AF273">
        <v>0.31507128309572302</v>
      </c>
      <c r="AL273">
        <v>45457</v>
      </c>
      <c r="AM273">
        <v>20</v>
      </c>
      <c r="AW273" t="s">
        <v>21</v>
      </c>
      <c r="AX273" t="s">
        <v>144</v>
      </c>
      <c r="BA273" t="s">
        <v>1013</v>
      </c>
      <c r="BB273" t="s">
        <v>1013</v>
      </c>
      <c r="BC273" t="s">
        <v>1013</v>
      </c>
      <c r="BD273" t="s">
        <v>1013</v>
      </c>
      <c r="BM273" t="str">
        <f>IF(COUNTIFS('在庫使用計画 (ノート全体試算)'!C:C,マスタ_EOLリスト[[#This Row],[製品型番]])=0,"記載なし","")</f>
        <v/>
      </c>
      <c r="BN273" t="str">
        <f>IF(COUNTIFS('在庫使用計画 (一般)'!C:C,マスタ_EOLリスト[[#This Row],[製品型番]])=0,"記載なし","")</f>
        <v/>
      </c>
      <c r="BO273" t="str">
        <f>IF(COUNTIFS('在庫使用計画 (法人)'!C:C,マスタ_EOLリスト[[#This Row],[製品型番]])=0,"記載なし","")</f>
        <v/>
      </c>
      <c r="BP273" t="str">
        <f>IF(COUNTIFS('在庫使用計画 (全体実績+予測）0701'!C:C,マスタ_EOLリスト[[#This Row],[製品型番]])=0,"記載なし","")</f>
        <v/>
      </c>
      <c r="BQ273" t="str">
        <f ca="1">IF(COUNTIFS('在庫使用計画 (計画　予測)'!C:C,マスタ_EOLリスト[[#This Row],[製品型番]])=0,"記載なし","")</f>
        <v>記載なし</v>
      </c>
      <c r="BR273" t="str">
        <f>IF(COUNTIFS(在庫確認!B:B,マスタ_EOLリスト[[#This Row],[製品型番]])=0,"記載なし","")</f>
        <v/>
      </c>
      <c r="BS273" t="e">
        <f>COUNTIF(#REF!,マスタ_EOLリスト[[#This Row],[製品型番]])</f>
        <v>#REF!</v>
      </c>
    </row>
    <row r="274" spans="1:71">
      <c r="A274" t="str">
        <v>R5-AA6</v>
      </c>
      <c r="B274" t="s">
        <v>142</v>
      </c>
      <c r="C274" t="s">
        <v>982</v>
      </c>
      <c r="D274" t="s">
        <v>887</v>
      </c>
      <c r="E274">
        <v>172770</v>
      </c>
      <c r="F274" t="s">
        <v>888</v>
      </c>
      <c r="G274" t="s">
        <v>952</v>
      </c>
      <c r="K274" t="s">
        <v>889</v>
      </c>
      <c r="L274">
        <v>3060</v>
      </c>
      <c r="M274">
        <v>0</v>
      </c>
      <c r="N274">
        <v>0</v>
      </c>
      <c r="R274" t="s">
        <v>1050</v>
      </c>
      <c r="W274">
        <v>6060</v>
      </c>
      <c r="Z274">
        <v>199026</v>
      </c>
      <c r="AA274" t="s">
        <v>1035</v>
      </c>
      <c r="AL274" t="s">
        <v>21</v>
      </c>
      <c r="AM274" t="s">
        <v>21</v>
      </c>
      <c r="AW274" t="s">
        <v>21</v>
      </c>
      <c r="AX274" t="s">
        <v>144</v>
      </c>
      <c r="BM274" t="str">
        <f>IF(COUNTIFS('在庫使用計画 (ノート全体試算)'!C:C,マスタ_EOLリスト[[#This Row],[製品型番]])=0,"記載なし","")</f>
        <v/>
      </c>
      <c r="BN274" t="str">
        <f>IF(COUNTIFS('在庫使用計画 (一般)'!C:C,マスタ_EOLリスト[[#This Row],[製品型番]])=0,"記載なし","")</f>
        <v/>
      </c>
      <c r="BO274" t="str">
        <f>IF(COUNTIFS('在庫使用計画 (法人)'!C:C,マスタ_EOLリスト[[#This Row],[製品型番]])=0,"記載なし","")</f>
        <v/>
      </c>
      <c r="BP274" t="str">
        <f>IF(COUNTIFS('在庫使用計画 (全体実績+予測）0701'!C:C,マスタ_EOLリスト[[#This Row],[製品型番]])=0,"記載なし","")</f>
        <v/>
      </c>
      <c r="BQ274" t="str">
        <f ca="1">IF(COUNTIFS('在庫使用計画 (計画　予測)'!C:C,マスタ_EOLリスト[[#This Row],[製品型番]])=0,"記載なし","")</f>
        <v>記載なし</v>
      </c>
      <c r="BR274" t="str">
        <f>IF(COUNTIFS(在庫確認!B:B,マスタ_EOLリスト[[#This Row],[製品型番]])=0,"記載なし","")</f>
        <v/>
      </c>
      <c r="BS274" t="e">
        <f>COUNTIF(#REF!,マスタ_EOLリスト[[#This Row],[製品型番]])</f>
        <v>#REF!</v>
      </c>
    </row>
    <row r="275" spans="1:71">
      <c r="A275" t="e">
        <v>#N/A</v>
      </c>
      <c r="B275" t="s">
        <v>142</v>
      </c>
      <c r="C275" t="s">
        <v>982</v>
      </c>
      <c r="D275" t="s">
        <v>1051</v>
      </c>
      <c r="E275">
        <v>187689</v>
      </c>
      <c r="F275" t="s">
        <v>1052</v>
      </c>
      <c r="G275" t="s">
        <v>326</v>
      </c>
      <c r="H275" t="s">
        <v>21</v>
      </c>
      <c r="K275" t="s">
        <v>371</v>
      </c>
      <c r="L275">
        <v>3050</v>
      </c>
      <c r="M275">
        <v>0</v>
      </c>
      <c r="N275">
        <v>0</v>
      </c>
      <c r="Q275" t="s">
        <v>165</v>
      </c>
      <c r="W275">
        <v>830</v>
      </c>
      <c r="Z275">
        <v>193714</v>
      </c>
      <c r="AA275" t="s">
        <v>1044</v>
      </c>
      <c r="AL275">
        <v>45518</v>
      </c>
      <c r="AM275">
        <v>255</v>
      </c>
      <c r="AN275" t="s">
        <v>266</v>
      </c>
      <c r="AO275">
        <v>19</v>
      </c>
      <c r="AP275">
        <v>7.89</v>
      </c>
      <c r="AQ275" t="s">
        <v>156</v>
      </c>
      <c r="AW275" t="s">
        <v>21</v>
      </c>
      <c r="AX275" t="s">
        <v>144</v>
      </c>
      <c r="BA275" t="s">
        <v>160</v>
      </c>
      <c r="BB275" t="s">
        <v>160</v>
      </c>
      <c r="BC275" t="s">
        <v>160</v>
      </c>
      <c r="BD275" t="s">
        <v>160</v>
      </c>
      <c r="BM275" t="str">
        <f>IF(COUNTIFS('在庫使用計画 (ノート全体試算)'!C:C,マスタ_EOLリスト[[#This Row],[製品型番]])=0,"記載なし","")</f>
        <v>記載なし</v>
      </c>
      <c r="BN275" t="str">
        <f>IF(COUNTIFS('在庫使用計画 (一般)'!C:C,マスタ_EOLリスト[[#This Row],[製品型番]])=0,"記載なし","")</f>
        <v>記載なし</v>
      </c>
      <c r="BO275" t="str">
        <f>IF(COUNTIFS('在庫使用計画 (法人)'!C:C,マスタ_EOLリスト[[#This Row],[製品型番]])=0,"記載なし","")</f>
        <v>記載なし</v>
      </c>
      <c r="BP275" t="str">
        <f>IF(COUNTIFS('在庫使用計画 (全体実績+予測）0701'!C:C,マスタ_EOLリスト[[#This Row],[製品型番]])=0,"記載なし","")</f>
        <v>記載なし</v>
      </c>
      <c r="BQ275" t="str">
        <f ca="1">IF(COUNTIFS('在庫使用計画 (計画　予測)'!C:C,マスタ_EOLリスト[[#This Row],[製品型番]])=0,"記載なし","")</f>
        <v>記載なし</v>
      </c>
      <c r="BR275" t="str">
        <f>IF(COUNTIFS(在庫確認!B:B,マスタ_EOLリスト[[#This Row],[製品型番]])=0,"記載なし","")</f>
        <v/>
      </c>
      <c r="BS275" t="e">
        <f>COUNTIF(#REF!,マスタ_EOLリスト[[#This Row],[製品型番]])</f>
        <v>#REF!</v>
      </c>
    </row>
    <row r="276" spans="1:71">
      <c r="A276" t="e">
        <v>#N/A</v>
      </c>
      <c r="B276" t="s">
        <v>142</v>
      </c>
      <c r="C276" t="s">
        <v>982</v>
      </c>
      <c r="D276" t="s">
        <v>1053</v>
      </c>
      <c r="E276">
        <v>166233</v>
      </c>
      <c r="F276" t="s">
        <v>1054</v>
      </c>
      <c r="G276" t="s">
        <v>952</v>
      </c>
      <c r="H276" t="s">
        <v>1055</v>
      </c>
      <c r="M276">
        <v>0</v>
      </c>
      <c r="N276">
        <v>0</v>
      </c>
      <c r="W276">
        <v>1700</v>
      </c>
      <c r="AF276">
        <v>0</v>
      </c>
      <c r="AL276" t="s">
        <v>21</v>
      </c>
      <c r="AM276" t="s">
        <v>21</v>
      </c>
      <c r="AW276" t="s">
        <v>21</v>
      </c>
      <c r="AX276" t="s">
        <v>144</v>
      </c>
      <c r="BA276" t="s">
        <v>227</v>
      </c>
      <c r="BB276" t="s">
        <v>227</v>
      </c>
      <c r="BC276" t="s">
        <v>227</v>
      </c>
      <c r="BD276" t="s">
        <v>227</v>
      </c>
      <c r="BM276" t="str">
        <f>IF(COUNTIFS('在庫使用計画 (ノート全体試算)'!C:C,マスタ_EOLリスト[[#This Row],[製品型番]])=0,"記載なし","")</f>
        <v>記載なし</v>
      </c>
      <c r="BN276" t="str">
        <f>IF(COUNTIFS('在庫使用計画 (一般)'!C:C,マスタ_EOLリスト[[#This Row],[製品型番]])=0,"記載なし","")</f>
        <v>記載なし</v>
      </c>
      <c r="BO276" t="str">
        <f>IF(COUNTIFS('在庫使用計画 (法人)'!C:C,マスタ_EOLリスト[[#This Row],[製品型番]])=0,"記載なし","")</f>
        <v>記載なし</v>
      </c>
      <c r="BP276" t="str">
        <f>IF(COUNTIFS('在庫使用計画 (全体実績+予測）0701'!C:C,マスタ_EOLリスト[[#This Row],[製品型番]])=0,"記載なし","")</f>
        <v>記載なし</v>
      </c>
      <c r="BQ276" t="str">
        <f ca="1">IF(COUNTIFS('在庫使用計画 (計画　予測)'!C:C,マスタ_EOLリスト[[#This Row],[製品型番]])=0,"記載なし","")</f>
        <v>記載なし</v>
      </c>
      <c r="BR276" t="str">
        <f>IF(COUNTIFS(在庫確認!B:B,マスタ_EOLリスト[[#This Row],[製品型番]])=0,"記載なし","")</f>
        <v>記載なし</v>
      </c>
      <c r="BS276" t="e">
        <f>COUNTIF(#REF!,マスタ_EOLリスト[[#This Row],[製品型番]])</f>
        <v>#REF!</v>
      </c>
    </row>
    <row r="277" spans="1:71">
      <c r="A277" t="e">
        <v>#N/A</v>
      </c>
      <c r="B277" t="s">
        <v>142</v>
      </c>
      <c r="C277" t="s">
        <v>982</v>
      </c>
      <c r="D277" t="s">
        <v>1056</v>
      </c>
      <c r="E277">
        <v>168391</v>
      </c>
      <c r="F277" t="s">
        <v>1057</v>
      </c>
      <c r="H277" t="s">
        <v>21</v>
      </c>
      <c r="K277" t="s">
        <v>968</v>
      </c>
      <c r="L277">
        <v>1650</v>
      </c>
      <c r="M277">
        <v>0</v>
      </c>
      <c r="N277">
        <v>0</v>
      </c>
      <c r="W277">
        <v>1200</v>
      </c>
      <c r="X277">
        <v>558</v>
      </c>
      <c r="AF277">
        <v>0.46500000000000002</v>
      </c>
      <c r="AL277" t="s">
        <v>21</v>
      </c>
      <c r="AM277" t="s">
        <v>21</v>
      </c>
      <c r="AW277" t="s">
        <v>21</v>
      </c>
      <c r="AX277" t="s">
        <v>144</v>
      </c>
      <c r="BA277" t="s">
        <v>1013</v>
      </c>
      <c r="BB277" t="s">
        <v>1013</v>
      </c>
      <c r="BC277" t="s">
        <v>1013</v>
      </c>
      <c r="BD277" t="s">
        <v>1013</v>
      </c>
      <c r="BM277" t="str">
        <f>IF(COUNTIFS('在庫使用計画 (ノート全体試算)'!C:C,マスタ_EOLリスト[[#This Row],[製品型番]])=0,"記載なし","")</f>
        <v>記載なし</v>
      </c>
      <c r="BN277" t="str">
        <f>IF(COUNTIFS('在庫使用計画 (一般)'!C:C,マスタ_EOLリスト[[#This Row],[製品型番]])=0,"記載なし","")</f>
        <v>記載なし</v>
      </c>
      <c r="BO277" t="str">
        <f>IF(COUNTIFS('在庫使用計画 (法人)'!C:C,マスタ_EOLリスト[[#This Row],[製品型番]])=0,"記載なし","")</f>
        <v>記載なし</v>
      </c>
      <c r="BP277" t="str">
        <f>IF(COUNTIFS('在庫使用計画 (全体実績+予測）0701'!C:C,マスタ_EOLリスト[[#This Row],[製品型番]])=0,"記載なし","")</f>
        <v>記載なし</v>
      </c>
      <c r="BQ277" t="str">
        <f ca="1">IF(COUNTIFS('在庫使用計画 (計画　予測)'!C:C,マスタ_EOLリスト[[#This Row],[製品型番]])=0,"記載なし","")</f>
        <v>記載なし</v>
      </c>
      <c r="BR277" t="str">
        <f>IF(COUNTIFS(在庫確認!B:B,マスタ_EOLリスト[[#This Row],[製品型番]])=0,"記載なし","")</f>
        <v/>
      </c>
      <c r="BS277" t="e">
        <f>COUNTIF(#REF!,マスタ_EOLリスト[[#This Row],[製品型番]])</f>
        <v>#REF!</v>
      </c>
    </row>
    <row r="278" spans="1:71">
      <c r="A278" t="e">
        <v>#N/A</v>
      </c>
      <c r="B278" t="s">
        <v>142</v>
      </c>
      <c r="C278" t="s">
        <v>982</v>
      </c>
      <c r="D278" t="s">
        <v>1056</v>
      </c>
      <c r="E278">
        <v>169819</v>
      </c>
      <c r="F278" t="s">
        <v>1058</v>
      </c>
      <c r="H278" t="s">
        <v>21</v>
      </c>
      <c r="K278" t="s">
        <v>968</v>
      </c>
      <c r="L278">
        <v>1650</v>
      </c>
      <c r="M278">
        <v>0</v>
      </c>
      <c r="N278">
        <v>0</v>
      </c>
      <c r="W278">
        <v>410</v>
      </c>
      <c r="AF278">
        <v>0</v>
      </c>
      <c r="AL278" t="s">
        <v>21</v>
      </c>
      <c r="AM278" t="s">
        <v>21</v>
      </c>
      <c r="AW278" t="s">
        <v>21</v>
      </c>
      <c r="AX278" t="s">
        <v>144</v>
      </c>
      <c r="BA278" t="s">
        <v>413</v>
      </c>
      <c r="BB278" t="s">
        <v>160</v>
      </c>
      <c r="BC278" t="s">
        <v>160</v>
      </c>
      <c r="BD278" t="s">
        <v>160</v>
      </c>
      <c r="BM278" t="str">
        <f>IF(COUNTIFS('在庫使用計画 (ノート全体試算)'!C:C,マスタ_EOLリスト[[#This Row],[製品型番]])=0,"記載なし","")</f>
        <v>記載なし</v>
      </c>
      <c r="BN278" t="str">
        <f>IF(COUNTIFS('在庫使用計画 (一般)'!C:C,マスタ_EOLリスト[[#This Row],[製品型番]])=0,"記載なし","")</f>
        <v>記載なし</v>
      </c>
      <c r="BO278" t="str">
        <f>IF(COUNTIFS('在庫使用計画 (法人)'!C:C,マスタ_EOLリスト[[#This Row],[製品型番]])=0,"記載なし","")</f>
        <v>記載なし</v>
      </c>
      <c r="BP278" t="str">
        <f>IF(COUNTIFS('在庫使用計画 (全体実績+予測）0701'!C:C,マスタ_EOLリスト[[#This Row],[製品型番]])=0,"記載なし","")</f>
        <v>記載なし</v>
      </c>
      <c r="BQ278" t="str">
        <f ca="1">IF(COUNTIFS('在庫使用計画 (計画　予測)'!C:C,マスタ_EOLリスト[[#This Row],[製品型番]])=0,"記載なし","")</f>
        <v>記載なし</v>
      </c>
      <c r="BR278" t="str">
        <f>IF(COUNTIFS(在庫確認!B:B,マスタ_EOLリスト[[#This Row],[製品型番]])=0,"記載なし","")</f>
        <v/>
      </c>
      <c r="BS278" t="e">
        <f>COUNTIF(#REF!,マスタ_EOLリスト[[#This Row],[製品型番]])</f>
        <v>#REF!</v>
      </c>
    </row>
    <row r="279" spans="1:71">
      <c r="A279" t="e">
        <v>#N/A</v>
      </c>
      <c r="B279" t="s">
        <v>142</v>
      </c>
      <c r="C279" t="s">
        <v>982</v>
      </c>
      <c r="D279" t="s">
        <v>1059</v>
      </c>
      <c r="E279">
        <v>166229</v>
      </c>
      <c r="F279" t="s">
        <v>1060</v>
      </c>
      <c r="H279" t="s">
        <v>21</v>
      </c>
      <c r="K279" t="s">
        <v>1061</v>
      </c>
      <c r="L279">
        <v>3060</v>
      </c>
      <c r="M279">
        <v>0</v>
      </c>
      <c r="N279">
        <v>0</v>
      </c>
      <c r="W279">
        <v>2000</v>
      </c>
      <c r="X279">
        <v>245</v>
      </c>
      <c r="AF279">
        <v>0.1225</v>
      </c>
      <c r="AL279" t="s">
        <v>21</v>
      </c>
      <c r="AM279" t="s">
        <v>21</v>
      </c>
      <c r="AW279" t="s">
        <v>21</v>
      </c>
      <c r="AX279" t="s">
        <v>144</v>
      </c>
      <c r="BA279" t="s">
        <v>1013</v>
      </c>
      <c r="BB279" t="s">
        <v>1013</v>
      </c>
      <c r="BC279" t="s">
        <v>1013</v>
      </c>
      <c r="BD279" t="s">
        <v>1013</v>
      </c>
      <c r="BM279" t="str">
        <f>IF(COUNTIFS('在庫使用計画 (ノート全体試算)'!C:C,マスタ_EOLリスト[[#This Row],[製品型番]])=0,"記載なし","")</f>
        <v>記載なし</v>
      </c>
      <c r="BN279" t="str">
        <f>IF(COUNTIFS('在庫使用計画 (一般)'!C:C,マスタ_EOLリスト[[#This Row],[製品型番]])=0,"記載なし","")</f>
        <v>記載なし</v>
      </c>
      <c r="BO279" t="str">
        <f>IF(COUNTIFS('在庫使用計画 (法人)'!C:C,マスタ_EOLリスト[[#This Row],[製品型番]])=0,"記載なし","")</f>
        <v>記載なし</v>
      </c>
      <c r="BP279" t="str">
        <f>IF(COUNTIFS('在庫使用計画 (全体実績+予測）0701'!C:C,マスタ_EOLリスト[[#This Row],[製品型番]])=0,"記載なし","")</f>
        <v>記載なし</v>
      </c>
      <c r="BQ279" t="str">
        <f ca="1">IF(COUNTIFS('在庫使用計画 (計画　予測)'!C:C,マスタ_EOLリスト[[#This Row],[製品型番]])=0,"記載なし","")</f>
        <v>記載なし</v>
      </c>
      <c r="BR279" t="str">
        <f>IF(COUNTIFS(在庫確認!B:B,マスタ_EOLリスト[[#This Row],[製品型番]])=0,"記載なし","")</f>
        <v/>
      </c>
      <c r="BS279" t="e">
        <f>COUNTIF(#REF!,マスタ_EOLリスト[[#This Row],[製品型番]])</f>
        <v>#REF!</v>
      </c>
    </row>
    <row r="280" spans="1:71">
      <c r="A280" t="str">
        <v>A4-R</v>
      </c>
      <c r="B280" t="s">
        <v>142</v>
      </c>
      <c r="C280" t="s">
        <v>982</v>
      </c>
      <c r="D280" t="s">
        <v>535</v>
      </c>
      <c r="E280">
        <v>181642</v>
      </c>
      <c r="F280" t="s">
        <v>1062</v>
      </c>
      <c r="G280" t="s">
        <v>537</v>
      </c>
      <c r="H280" t="s">
        <v>538</v>
      </c>
      <c r="K280" t="s">
        <v>288</v>
      </c>
      <c r="M280">
        <v>0</v>
      </c>
      <c r="N280">
        <v>0</v>
      </c>
      <c r="P280">
        <v>45096</v>
      </c>
      <c r="S280" t="s">
        <v>1063</v>
      </c>
      <c r="W280">
        <v>1570</v>
      </c>
      <c r="X280">
        <v>461</v>
      </c>
      <c r="AL280">
        <v>45513</v>
      </c>
      <c r="AM280">
        <v>535</v>
      </c>
      <c r="AW280" t="s">
        <v>21</v>
      </c>
      <c r="AX280" t="s">
        <v>144</v>
      </c>
      <c r="BA280" t="s">
        <v>227</v>
      </c>
      <c r="BB280" t="s">
        <v>227</v>
      </c>
      <c r="BC280" t="s">
        <v>227</v>
      </c>
      <c r="BD280" t="s">
        <v>227</v>
      </c>
      <c r="BM280" t="str">
        <f>IF(COUNTIFS('在庫使用計画 (ノート全体試算)'!C:C,マスタ_EOLリスト[[#This Row],[製品型番]])=0,"記載なし","")</f>
        <v/>
      </c>
      <c r="BN280" t="str">
        <f>IF(COUNTIFS('在庫使用計画 (一般)'!C:C,マスタ_EOLリスト[[#This Row],[製品型番]])=0,"記載なし","")</f>
        <v/>
      </c>
      <c r="BO280" t="str">
        <f>IF(COUNTIFS('在庫使用計画 (法人)'!C:C,マスタ_EOLリスト[[#This Row],[製品型番]])=0,"記載なし","")</f>
        <v/>
      </c>
      <c r="BP280" t="str">
        <f>IF(COUNTIFS('在庫使用計画 (全体実績+予測）0701'!C:C,マスタ_EOLリスト[[#This Row],[製品型番]])=0,"記載なし","")</f>
        <v/>
      </c>
      <c r="BQ280" t="str">
        <f ca="1">IF(COUNTIFS('在庫使用計画 (計画　予測)'!C:C,マスタ_EOLリスト[[#This Row],[製品型番]])=0,"記載なし","")</f>
        <v>記載なし</v>
      </c>
      <c r="BR280" t="str">
        <f>IF(COUNTIFS(在庫確認!B:B,マスタ_EOLリスト[[#This Row],[製品型番]])=0,"記載なし","")</f>
        <v/>
      </c>
      <c r="BS280" t="e">
        <f>COUNTIF(#REF!,マスタ_EOLリスト[[#This Row],[製品型番]])</f>
        <v>#REF!</v>
      </c>
    </row>
    <row r="281" spans="1:71">
      <c r="A281" t="str">
        <v>A4-M</v>
      </c>
      <c r="B281" t="s">
        <v>142</v>
      </c>
      <c r="C281" t="s">
        <v>982</v>
      </c>
      <c r="D281" t="s">
        <v>990</v>
      </c>
      <c r="E281">
        <v>193716</v>
      </c>
      <c r="F281" t="s">
        <v>1064</v>
      </c>
      <c r="G281" t="s">
        <v>357</v>
      </c>
      <c r="H281" t="s">
        <v>992</v>
      </c>
      <c r="K281" t="s">
        <v>268</v>
      </c>
      <c r="M281">
        <v>0</v>
      </c>
      <c r="N281">
        <v>0</v>
      </c>
      <c r="P281">
        <v>45463</v>
      </c>
      <c r="Q281" t="s">
        <v>178</v>
      </c>
      <c r="V281">
        <v>300</v>
      </c>
      <c r="W281">
        <v>226</v>
      </c>
      <c r="AL281">
        <v>45519</v>
      </c>
      <c r="AM281">
        <v>80</v>
      </c>
      <c r="AW281" t="s">
        <v>21</v>
      </c>
      <c r="AX281" t="s">
        <v>144</v>
      </c>
      <c r="BA281" t="s">
        <v>160</v>
      </c>
      <c r="BB281" t="s">
        <v>160</v>
      </c>
      <c r="BC281" t="s">
        <v>160</v>
      </c>
      <c r="BD281" t="s">
        <v>160</v>
      </c>
      <c r="BM281" t="str">
        <f>IF(COUNTIFS('在庫使用計画 (ノート全体試算)'!C:C,マスタ_EOLリスト[[#This Row],[製品型番]])=0,"記載なし","")</f>
        <v/>
      </c>
      <c r="BN281" t="str">
        <f>IF(COUNTIFS('在庫使用計画 (一般)'!C:C,マスタ_EOLリスト[[#This Row],[製品型番]])=0,"記載なし","")</f>
        <v/>
      </c>
      <c r="BO281" t="str">
        <f>IF(COUNTIFS('在庫使用計画 (法人)'!C:C,マスタ_EOLリスト[[#This Row],[製品型番]])=0,"記載なし","")</f>
        <v/>
      </c>
      <c r="BP281" t="str">
        <f>IF(COUNTIFS('在庫使用計画 (全体実績+予測）0701'!C:C,マスタ_EOLリスト[[#This Row],[製品型番]])=0,"記載なし","")</f>
        <v/>
      </c>
      <c r="BQ281" t="str">
        <f ca="1">IF(COUNTIFS('在庫使用計画 (計画　予測)'!C:C,マスタ_EOLリスト[[#This Row],[製品型番]])=0,"記載なし","")</f>
        <v/>
      </c>
      <c r="BR281" t="str">
        <f>IF(COUNTIFS(在庫確認!B:B,マスタ_EOLリスト[[#This Row],[製品型番]])=0,"記載なし","")</f>
        <v/>
      </c>
      <c r="BS281" t="e">
        <f>COUNTIF(#REF!,マスタ_EOLリスト[[#This Row],[製品型番]])</f>
        <v>#REF!</v>
      </c>
    </row>
    <row r="282" spans="1:71">
      <c r="A282" t="str">
        <v>A4-M</v>
      </c>
      <c r="B282" t="s">
        <v>142</v>
      </c>
      <c r="C282" t="s">
        <v>982</v>
      </c>
      <c r="D282" t="s">
        <v>990</v>
      </c>
      <c r="E282">
        <v>199330</v>
      </c>
      <c r="F282" t="s">
        <v>1065</v>
      </c>
      <c r="G282" t="s">
        <v>357</v>
      </c>
      <c r="H282" t="s">
        <v>992</v>
      </c>
      <c r="K282" t="s">
        <v>268</v>
      </c>
      <c r="M282">
        <v>0</v>
      </c>
      <c r="N282">
        <v>0</v>
      </c>
      <c r="Z282">
        <v>209065</v>
      </c>
      <c r="AL282">
        <v>45566</v>
      </c>
      <c r="AM282">
        <v>120</v>
      </c>
      <c r="AW282" t="s">
        <v>21</v>
      </c>
      <c r="AX282" t="s">
        <v>144</v>
      </c>
      <c r="BA282" t="s">
        <v>160</v>
      </c>
      <c r="BB282" t="s">
        <v>160</v>
      </c>
      <c r="BC282" t="s">
        <v>160</v>
      </c>
      <c r="BD282" t="s">
        <v>160</v>
      </c>
      <c r="BM282" t="str">
        <f>IF(COUNTIFS('在庫使用計画 (ノート全体試算)'!C:C,マスタ_EOLリスト[[#This Row],[製品型番]])=0,"記載なし","")</f>
        <v/>
      </c>
      <c r="BN282" t="str">
        <f>IF(COUNTIFS('在庫使用計画 (一般)'!C:C,マスタ_EOLリスト[[#This Row],[製品型番]])=0,"記載なし","")</f>
        <v/>
      </c>
      <c r="BO282" t="str">
        <f>IF(COUNTIFS('在庫使用計画 (法人)'!C:C,マスタ_EOLリスト[[#This Row],[製品型番]])=0,"記載なし","")</f>
        <v/>
      </c>
      <c r="BP282" t="str">
        <f>IF(COUNTIFS('在庫使用計画 (全体実績+予測）0701'!C:C,マスタ_EOLリスト[[#This Row],[製品型番]])=0,"記載なし","")</f>
        <v/>
      </c>
      <c r="BQ282" t="str">
        <f ca="1">IF(COUNTIFS('在庫使用計画 (計画　予測)'!C:C,マスタ_EOLリスト[[#This Row],[製品型番]])=0,"記載なし","")</f>
        <v/>
      </c>
      <c r="BR282" t="str">
        <f>IF(COUNTIFS(在庫確認!B:B,マスタ_EOLリスト[[#This Row],[製品型番]])=0,"記載なし","")</f>
        <v/>
      </c>
      <c r="BS282" t="e">
        <f>COUNTIF(#REF!,マスタ_EOLリスト[[#This Row],[製品型番]])</f>
        <v>#REF!</v>
      </c>
    </row>
    <row r="283" spans="1:71">
      <c r="A283" t="e">
        <v>#N/A</v>
      </c>
      <c r="B283" t="s">
        <v>142</v>
      </c>
      <c r="C283" t="s">
        <v>982</v>
      </c>
      <c r="D283" t="s">
        <v>1066</v>
      </c>
      <c r="E283">
        <v>172646</v>
      </c>
      <c r="F283" t="s">
        <v>1067</v>
      </c>
      <c r="G283" t="s">
        <v>537</v>
      </c>
      <c r="H283" t="s">
        <v>21</v>
      </c>
      <c r="M283">
        <v>0</v>
      </c>
      <c r="N283">
        <v>0</v>
      </c>
      <c r="R283" t="s">
        <v>1068</v>
      </c>
      <c r="W283">
        <v>600</v>
      </c>
      <c r="X283">
        <v>1130</v>
      </c>
      <c r="AF283">
        <v>1.8833333333333333</v>
      </c>
      <c r="AL283" t="s">
        <v>21</v>
      </c>
      <c r="AM283" t="s">
        <v>21</v>
      </c>
      <c r="AW283" t="s">
        <v>21</v>
      </c>
      <c r="AX283" t="s">
        <v>144</v>
      </c>
      <c r="BA283" t="s">
        <v>169</v>
      </c>
      <c r="BB283" t="s">
        <v>170</v>
      </c>
      <c r="BC283" t="s">
        <v>169</v>
      </c>
      <c r="BD283" t="s">
        <v>169</v>
      </c>
      <c r="BM283" t="str">
        <f>IF(COUNTIFS('在庫使用計画 (ノート全体試算)'!C:C,マスタ_EOLリスト[[#This Row],[製品型番]])=0,"記載なし","")</f>
        <v>記載なし</v>
      </c>
      <c r="BN283" t="str">
        <f>IF(COUNTIFS('在庫使用計画 (一般)'!C:C,マスタ_EOLリスト[[#This Row],[製品型番]])=0,"記載なし","")</f>
        <v>記載なし</v>
      </c>
      <c r="BO283" t="str">
        <f>IF(COUNTIFS('在庫使用計画 (法人)'!C:C,マスタ_EOLリスト[[#This Row],[製品型番]])=0,"記載なし","")</f>
        <v>記載なし</v>
      </c>
      <c r="BP283" t="str">
        <f>IF(COUNTIFS('在庫使用計画 (全体実績+予測）0701'!C:C,マスタ_EOLリスト[[#This Row],[製品型番]])=0,"記載なし","")</f>
        <v>記載なし</v>
      </c>
      <c r="BQ283" t="str">
        <f ca="1">IF(COUNTIFS('在庫使用計画 (計画　予測)'!C:C,マスタ_EOLリスト[[#This Row],[製品型番]])=0,"記載なし","")</f>
        <v>記載なし</v>
      </c>
      <c r="BR283" t="str">
        <f>IF(COUNTIFS(在庫確認!B:B,マスタ_EOLリスト[[#This Row],[製品型番]])=0,"記載なし","")</f>
        <v/>
      </c>
      <c r="BS283" t="e">
        <f>COUNTIF(#REF!,マスタ_EOLリスト[[#This Row],[製品型番]])</f>
        <v>#REF!</v>
      </c>
    </row>
    <row r="284" spans="1:71">
      <c r="A284" t="e">
        <v>#N/A</v>
      </c>
      <c r="B284" t="s">
        <v>142</v>
      </c>
      <c r="C284" t="s">
        <v>982</v>
      </c>
      <c r="D284" t="s">
        <v>1066</v>
      </c>
      <c r="E284">
        <v>175026</v>
      </c>
      <c r="F284" t="s">
        <v>1069</v>
      </c>
      <c r="G284" t="s">
        <v>537</v>
      </c>
      <c r="H284" t="s">
        <v>21</v>
      </c>
      <c r="M284">
        <v>0</v>
      </c>
      <c r="N284">
        <v>0</v>
      </c>
      <c r="Q284">
        <v>45017</v>
      </c>
      <c r="R284" t="s">
        <v>1070</v>
      </c>
      <c r="S284">
        <v>20</v>
      </c>
      <c r="T284">
        <v>44980</v>
      </c>
      <c r="W284">
        <v>700</v>
      </c>
      <c r="X284">
        <v>1130</v>
      </c>
      <c r="AB284">
        <v>209065</v>
      </c>
      <c r="AC284" t="s">
        <v>990</v>
      </c>
      <c r="AD284">
        <v>20</v>
      </c>
      <c r="AE284">
        <v>2.8571428571428571E-2</v>
      </c>
      <c r="AF284">
        <v>1.6142857142857143</v>
      </c>
      <c r="AG284">
        <v>0</v>
      </c>
      <c r="AH284">
        <v>-0.6428571428571429</v>
      </c>
      <c r="AL284" t="s">
        <v>21</v>
      </c>
      <c r="AM284" t="s">
        <v>21</v>
      </c>
      <c r="AW284" t="s">
        <v>21</v>
      </c>
      <c r="AX284" t="s">
        <v>144</v>
      </c>
      <c r="BA284" t="s">
        <v>591</v>
      </c>
      <c r="BB284" t="s">
        <v>170</v>
      </c>
      <c r="BC284" t="s">
        <v>591</v>
      </c>
      <c r="BD284" t="s">
        <v>591</v>
      </c>
      <c r="BM284" t="str">
        <f>IF(COUNTIFS('在庫使用計画 (ノート全体試算)'!C:C,マスタ_EOLリスト[[#This Row],[製品型番]])=0,"記載なし","")</f>
        <v>記載なし</v>
      </c>
      <c r="BN284" t="str">
        <f>IF(COUNTIFS('在庫使用計画 (一般)'!C:C,マスタ_EOLリスト[[#This Row],[製品型番]])=0,"記載なし","")</f>
        <v>記載なし</v>
      </c>
      <c r="BO284" t="str">
        <f>IF(COUNTIFS('在庫使用計画 (法人)'!C:C,マスタ_EOLリスト[[#This Row],[製品型番]])=0,"記載なし","")</f>
        <v>記載なし</v>
      </c>
      <c r="BP284" t="str">
        <f>IF(COUNTIFS('在庫使用計画 (全体実績+予測）0701'!C:C,マスタ_EOLリスト[[#This Row],[製品型番]])=0,"記載なし","")</f>
        <v>記載なし</v>
      </c>
      <c r="BQ284" t="str">
        <f ca="1">IF(COUNTIFS('在庫使用計画 (計画　予測)'!C:C,マスタ_EOLリスト[[#This Row],[製品型番]])=0,"記載なし","")</f>
        <v>記載なし</v>
      </c>
      <c r="BR284" t="str">
        <f>IF(COUNTIFS(在庫確認!B:B,マスタ_EOLリスト[[#This Row],[製品型番]])=0,"記載なし","")</f>
        <v/>
      </c>
      <c r="BS284" t="e">
        <f>COUNTIF(#REF!,マスタ_EOLリスト[[#This Row],[製品型番]])</f>
        <v>#REF!</v>
      </c>
    </row>
    <row r="285" spans="1:71">
      <c r="A285" t="e">
        <v>#N/A</v>
      </c>
      <c r="B285" t="s">
        <v>142</v>
      </c>
      <c r="C285" t="s">
        <v>982</v>
      </c>
      <c r="E285">
        <v>210180</v>
      </c>
      <c r="F285" t="s">
        <v>1071</v>
      </c>
      <c r="H285" t="s">
        <v>21</v>
      </c>
      <c r="M285">
        <v>0</v>
      </c>
      <c r="N285">
        <v>0</v>
      </c>
      <c r="P285" t="s">
        <v>1072</v>
      </c>
      <c r="R285" t="s">
        <v>1073</v>
      </c>
      <c r="AW285" t="s">
        <v>21</v>
      </c>
      <c r="AX285" t="s">
        <v>144</v>
      </c>
      <c r="BA285" t="s">
        <v>413</v>
      </c>
      <c r="BB285" t="s">
        <v>160</v>
      </c>
      <c r="BC285" t="s">
        <v>160</v>
      </c>
      <c r="BD285" t="s">
        <v>160</v>
      </c>
      <c r="BM285" t="str">
        <f>IF(COUNTIFS('在庫使用計画 (ノート全体試算)'!C:C,マスタ_EOLリスト[[#This Row],[製品型番]])=0,"記載なし","")</f>
        <v>記載なし</v>
      </c>
      <c r="BN285" t="str">
        <f>IF(COUNTIFS('在庫使用計画 (一般)'!C:C,マスタ_EOLリスト[[#This Row],[製品型番]])=0,"記載なし","")</f>
        <v>記載なし</v>
      </c>
      <c r="BO285" t="str">
        <f>IF(COUNTIFS('在庫使用計画 (法人)'!C:C,マスタ_EOLリスト[[#This Row],[製品型番]])=0,"記載なし","")</f>
        <v>記載なし</v>
      </c>
      <c r="BP285" t="str">
        <f>IF(COUNTIFS('在庫使用計画 (全体実績+予測）0701'!C:C,マスタ_EOLリスト[[#This Row],[製品型番]])=0,"記載なし","")</f>
        <v>記載なし</v>
      </c>
      <c r="BQ285" t="str">
        <f ca="1">IF(COUNTIFS('在庫使用計画 (計画　予測)'!C:C,マスタ_EOLリスト[[#This Row],[製品型番]])=0,"記載なし","")</f>
        <v>記載なし</v>
      </c>
      <c r="BR285" t="str">
        <f>IF(COUNTIFS(在庫確認!B:B,マスタ_EOLリスト[[#This Row],[製品型番]])=0,"記載なし","")</f>
        <v>記載なし</v>
      </c>
      <c r="BS285" t="e">
        <f>COUNTIF(#REF!,マスタ_EOLリスト[[#This Row],[製品型番]])</f>
        <v>#REF!</v>
      </c>
    </row>
  </sheetData>
  <phoneticPr fontId="4"/>
  <conditionalFormatting sqref="A2:A99">
    <cfRule type="expression" dxfId="127" priority="3">
      <formula>ISERROR(A2)</formula>
    </cfRule>
  </conditionalFormatting>
  <conditionalFormatting sqref="D2:D285">
    <cfRule type="duplicateValues" dxfId="126" priority="416"/>
  </conditionalFormatting>
  <conditionalFormatting sqref="BM2:BR285">
    <cfRule type="cellIs" dxfId="125" priority="1" operator="equal">
      <formula>"記載なし"</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5A032-8C15-46C8-9688-778DBA26FD41}">
  <sheetPr codeName="Sheet5"/>
  <dimension ref="B1:R9"/>
  <sheetViews>
    <sheetView workbookViewId="0">
      <selection activeCell="H2" sqref="H2:I3"/>
    </sheetView>
  </sheetViews>
  <sheetFormatPr defaultRowHeight="18.75"/>
  <cols>
    <col min="2" max="2" width="12.625" bestFit="1" customWidth="1"/>
    <col min="3" max="3" width="10.25" bestFit="1" customWidth="1"/>
    <col min="4" max="4" width="3.375" bestFit="1" customWidth="1"/>
    <col min="5" max="5" width="10.5" bestFit="1" customWidth="1"/>
    <col min="7" max="7" width="11.25" bestFit="1" customWidth="1"/>
    <col min="8" max="8" width="15" bestFit="1" customWidth="1"/>
    <col min="9" max="9" width="14.75" bestFit="1" customWidth="1"/>
    <col min="10" max="10" width="50.125" bestFit="1" customWidth="1"/>
  </cols>
  <sheetData>
    <row r="1" spans="2:18" ht="19.5" thickBot="1"/>
    <row r="2" spans="2:18" ht="19.5" thickBot="1">
      <c r="B2" s="1198" t="s">
        <v>1074</v>
      </c>
      <c r="C2" s="1202">
        <v>43</v>
      </c>
      <c r="D2" s="1199" t="s">
        <v>1075</v>
      </c>
      <c r="G2" s="49" t="s">
        <v>1076</v>
      </c>
      <c r="H2" t="s">
        <v>1077</v>
      </c>
      <c r="I2" t="s">
        <v>1078</v>
      </c>
      <c r="N2" t="s">
        <v>1075</v>
      </c>
      <c r="O2">
        <v>40</v>
      </c>
      <c r="P2">
        <v>41</v>
      </c>
      <c r="Q2">
        <v>42</v>
      </c>
      <c r="R2">
        <v>43</v>
      </c>
    </row>
    <row r="3" spans="2:18">
      <c r="B3" s="612" t="s">
        <v>1079</v>
      </c>
      <c r="C3" s="1201">
        <f>DATE($C$2+1982,8,1)</f>
        <v>45870</v>
      </c>
      <c r="D3" s="616" t="s">
        <v>1080</v>
      </c>
      <c r="E3" s="1200">
        <f>DATE($C$2+1983,7,31)</f>
        <v>46234</v>
      </c>
      <c r="G3" s="2052" t="s">
        <v>1081</v>
      </c>
      <c r="H3" t="s">
        <v>2735</v>
      </c>
      <c r="I3" s="1978">
        <v>46206.535468344904</v>
      </c>
      <c r="N3" t="s">
        <v>1082</v>
      </c>
      <c r="O3">
        <v>36293</v>
      </c>
      <c r="P3">
        <v>41075</v>
      </c>
      <c r="Q3">
        <v>41710</v>
      </c>
      <c r="R3">
        <v>21838</v>
      </c>
    </row>
    <row r="4" spans="2:18">
      <c r="I4" s="2107"/>
      <c r="N4" t="s">
        <v>1083</v>
      </c>
      <c r="O4">
        <v>44</v>
      </c>
      <c r="P4">
        <v>64</v>
      </c>
      <c r="Q4">
        <v>59</v>
      </c>
      <c r="R4">
        <v>37</v>
      </c>
    </row>
    <row r="5" spans="2:18">
      <c r="B5" s="141" t="s">
        <v>1084</v>
      </c>
      <c r="C5" s="1287" cm="1">
        <f t="array" ref="C5">INT(実績ファイル更新日時[更新日時])-1</f>
        <v>46205</v>
      </c>
      <c r="E5" s="1287">
        <f ca="1">TODAY()</f>
        <v>46209</v>
      </c>
      <c r="I5" s="2107"/>
      <c r="N5" t="s">
        <v>1085</v>
      </c>
      <c r="O5" s="966">
        <f>O3/O4</f>
        <v>824.84090909090912</v>
      </c>
      <c r="P5" s="966">
        <f t="shared" ref="P5:R5" si="0">P3/P4</f>
        <v>641.796875</v>
      </c>
      <c r="Q5" s="966">
        <f t="shared" si="0"/>
        <v>706.94915254237287</v>
      </c>
      <c r="R5" s="966">
        <f t="shared" si="0"/>
        <v>590.21621621621625</v>
      </c>
    </row>
    <row r="6" spans="2:18">
      <c r="B6" s="141" t="s">
        <v>1086</v>
      </c>
      <c r="C6" s="1287">
        <f>EOMONTH($C$5,-1)+1</f>
        <v>46204</v>
      </c>
    </row>
    <row r="7" spans="2:18">
      <c r="B7" s="141" t="s">
        <v>1087</v>
      </c>
      <c r="C7" s="1287">
        <f>EOMONTH($C$5,0)</f>
        <v>46234</v>
      </c>
      <c r="N7" t="s">
        <v>1088</v>
      </c>
      <c r="Q7">
        <v>30000</v>
      </c>
    </row>
    <row r="8" spans="2:18">
      <c r="B8" s="141" t="s">
        <v>1089</v>
      </c>
      <c r="C8" s="141">
        <f>C7-C5</f>
        <v>29</v>
      </c>
      <c r="N8" t="s">
        <v>1090</v>
      </c>
      <c r="Q8" s="966">
        <f>Q7/800</f>
        <v>37.5</v>
      </c>
    </row>
    <row r="9" spans="2:18">
      <c r="B9" s="141" t="s">
        <v>1091</v>
      </c>
      <c r="C9" s="1288">
        <f>($C$7-$C$5)/DAY($C$7)</f>
        <v>0.93548387096774188</v>
      </c>
    </row>
  </sheetData>
  <phoneticPr fontId="4"/>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3FD72-6364-45A1-8604-2CC4F63A8BD5}">
  <sheetPr codeName="Sheet12"/>
  <dimension ref="A2:T229"/>
  <sheetViews>
    <sheetView zoomScaleNormal="100" workbookViewId="0">
      <selection activeCell="C108" sqref="C108:C109"/>
    </sheetView>
  </sheetViews>
  <sheetFormatPr defaultRowHeight="18.75"/>
  <cols>
    <col min="2" max="2" width="15.25" customWidth="1"/>
    <col min="13" max="13" width="10.25" customWidth="1"/>
    <col min="14" max="14" width="10.625" customWidth="1"/>
  </cols>
  <sheetData>
    <row r="2" spans="1:2">
      <c r="A2" t="s">
        <v>1092</v>
      </c>
    </row>
    <row r="3" spans="1:2">
      <c r="B3" t="s">
        <v>1093</v>
      </c>
    </row>
    <row r="4" spans="1:2">
      <c r="B4" t="s">
        <v>1094</v>
      </c>
    </row>
    <row r="7" spans="1:2">
      <c r="A7" t="s">
        <v>1095</v>
      </c>
    </row>
    <row r="8" spans="1:2">
      <c r="B8" t="s">
        <v>1096</v>
      </c>
    </row>
    <row r="9" spans="1:2">
      <c r="B9" t="s">
        <v>1097</v>
      </c>
    </row>
    <row r="10" spans="1:2">
      <c r="B10" t="s">
        <v>1098</v>
      </c>
    </row>
    <row r="11" spans="1:2">
      <c r="B11" t="s">
        <v>1099</v>
      </c>
    </row>
    <row r="12" spans="1:2">
      <c r="B12" t="s">
        <v>1100</v>
      </c>
    </row>
    <row r="13" spans="1:2">
      <c r="B13" s="562" t="s">
        <v>68</v>
      </c>
    </row>
    <row r="14" spans="1:2">
      <c r="B14" s="562"/>
    </row>
    <row r="15" spans="1:2">
      <c r="B15" s="562"/>
    </row>
    <row r="16" spans="1:2">
      <c r="B16" s="562"/>
    </row>
    <row r="17" spans="1:17">
      <c r="B17" s="562"/>
    </row>
    <row r="18" spans="1:17">
      <c r="A18" s="645" t="s">
        <v>1101</v>
      </c>
      <c r="B18" s="645"/>
      <c r="C18" s="645"/>
      <c r="D18" s="645"/>
      <c r="E18" s="645"/>
      <c r="F18" s="645"/>
      <c r="G18" s="645"/>
      <c r="H18" s="645"/>
      <c r="I18" s="645"/>
      <c r="J18" s="645"/>
      <c r="K18" s="645"/>
      <c r="L18" s="645"/>
      <c r="M18" s="645"/>
    </row>
    <row r="19" spans="1:17">
      <c r="B19" t="s">
        <v>1102</v>
      </c>
    </row>
    <row r="20" spans="1:17">
      <c r="B20" t="s">
        <v>1103</v>
      </c>
    </row>
    <row r="21" spans="1:17">
      <c r="B21" t="s">
        <v>1104</v>
      </c>
    </row>
    <row r="22" spans="1:17">
      <c r="B22" t="s">
        <v>1105</v>
      </c>
    </row>
    <row r="24" spans="1:17">
      <c r="B24" t="s">
        <v>1106</v>
      </c>
      <c r="C24" t="s">
        <v>1107</v>
      </c>
    </row>
    <row r="25" spans="1:17">
      <c r="B25" t="s">
        <v>1108</v>
      </c>
      <c r="C25" t="s">
        <v>1109</v>
      </c>
    </row>
    <row r="26" spans="1:17">
      <c r="B26" t="s">
        <v>1110</v>
      </c>
      <c r="C26" t="s">
        <v>1111</v>
      </c>
    </row>
    <row r="27" spans="1:17">
      <c r="C27" t="s">
        <v>1112</v>
      </c>
    </row>
    <row r="28" spans="1:17">
      <c r="C28" t="s">
        <v>1113</v>
      </c>
    </row>
    <row r="29" spans="1:17">
      <c r="C29" t="s">
        <v>1114</v>
      </c>
    </row>
    <row r="30" spans="1:17">
      <c r="C30" t="s">
        <v>1115</v>
      </c>
    </row>
    <row r="32" spans="1:17">
      <c r="B32" t="s">
        <v>1116</v>
      </c>
      <c r="Q32" t="s">
        <v>1117</v>
      </c>
    </row>
    <row r="33" spans="1:17">
      <c r="B33" t="s">
        <v>1106</v>
      </c>
      <c r="C33" t="s">
        <v>1118</v>
      </c>
      <c r="Q33" t="s">
        <v>1119</v>
      </c>
    </row>
    <row r="34" spans="1:17">
      <c r="B34" t="s">
        <v>1108</v>
      </c>
      <c r="C34" t="s">
        <v>1120</v>
      </c>
      <c r="Q34" t="s">
        <v>1121</v>
      </c>
    </row>
    <row r="35" spans="1:17">
      <c r="B35" t="s">
        <v>1110</v>
      </c>
      <c r="C35" t="s">
        <v>1122</v>
      </c>
      <c r="Q35" t="s">
        <v>1123</v>
      </c>
    </row>
    <row r="36" spans="1:17">
      <c r="C36" t="s">
        <v>1124</v>
      </c>
    </row>
    <row r="37" spans="1:17">
      <c r="C37" t="s">
        <v>1125</v>
      </c>
    </row>
    <row r="40" spans="1:17">
      <c r="A40" s="645" t="s">
        <v>1126</v>
      </c>
      <c r="B40" s="645"/>
      <c r="C40" s="645"/>
      <c r="D40" s="645"/>
      <c r="E40" s="645"/>
      <c r="F40" s="645"/>
      <c r="G40" s="645"/>
      <c r="H40" s="645"/>
      <c r="I40" s="645"/>
      <c r="J40" s="645"/>
      <c r="K40" s="645"/>
      <c r="L40" s="645"/>
      <c r="M40" s="645"/>
      <c r="N40" s="645"/>
      <c r="O40" s="645"/>
      <c r="P40" s="645"/>
    </row>
    <row r="41" spans="1:17">
      <c r="B41" s="562" t="s">
        <v>1127</v>
      </c>
    </row>
    <row r="42" spans="1:17">
      <c r="B42" s="562"/>
      <c r="C42" t="s">
        <v>1128</v>
      </c>
    </row>
    <row r="43" spans="1:17">
      <c r="B43" s="562" t="s">
        <v>1129</v>
      </c>
    </row>
    <row r="44" spans="1:17">
      <c r="C44" t="s">
        <v>1130</v>
      </c>
    </row>
    <row r="45" spans="1:17">
      <c r="C45" t="s">
        <v>1131</v>
      </c>
    </row>
    <row r="46" spans="1:17">
      <c r="B46" s="562" t="s">
        <v>1132</v>
      </c>
    </row>
    <row r="47" spans="1:17">
      <c r="C47" t="s">
        <v>1133</v>
      </c>
    </row>
    <row r="48" spans="1:17">
      <c r="C48" t="s">
        <v>1134</v>
      </c>
    </row>
    <row r="50" spans="1:20">
      <c r="B50" s="562" t="s">
        <v>1135</v>
      </c>
      <c r="C50" t="s">
        <v>1136</v>
      </c>
    </row>
    <row r="51" spans="1:20">
      <c r="B51" t="s">
        <v>1137</v>
      </c>
    </row>
    <row r="54" spans="1:20">
      <c r="A54" s="645" t="s">
        <v>1138</v>
      </c>
      <c r="B54" s="645"/>
      <c r="C54" s="645"/>
      <c r="D54" s="645"/>
      <c r="E54" s="645"/>
      <c r="F54" s="645"/>
      <c r="G54" s="645"/>
      <c r="H54" s="645"/>
      <c r="I54" s="645"/>
      <c r="J54" s="645"/>
      <c r="K54" s="645"/>
      <c r="L54" s="645"/>
      <c r="M54" s="645"/>
      <c r="N54" s="645"/>
      <c r="O54" s="645"/>
      <c r="P54" s="645"/>
    </row>
    <row r="55" spans="1:20">
      <c r="B55" t="s">
        <v>1139</v>
      </c>
      <c r="C55" s="1031" t="s">
        <v>1140</v>
      </c>
      <c r="I55" t="s">
        <v>1141</v>
      </c>
    </row>
    <row r="56" spans="1:20">
      <c r="C56" s="1031" t="s">
        <v>1142</v>
      </c>
      <c r="I56" t="s">
        <v>1141</v>
      </c>
    </row>
    <row r="57" spans="1:20">
      <c r="C57" s="1031" t="s">
        <v>1143</v>
      </c>
      <c r="I57" t="s">
        <v>1141</v>
      </c>
    </row>
    <row r="58" spans="1:20">
      <c r="C58" s="562" t="s">
        <v>1144</v>
      </c>
    </row>
    <row r="59" spans="1:20">
      <c r="C59" s="1166" t="s">
        <v>1145</v>
      </c>
      <c r="N59" t="s">
        <v>1146</v>
      </c>
    </row>
    <row r="60" spans="1:20">
      <c r="C60" s="1031" t="s">
        <v>1147</v>
      </c>
    </row>
    <row r="61" spans="1:20">
      <c r="C61" s="1117" t="s">
        <v>1148</v>
      </c>
    </row>
    <row r="62" spans="1:20">
      <c r="B62" t="s">
        <v>1149</v>
      </c>
      <c r="C62" t="s">
        <v>1150</v>
      </c>
    </row>
    <row r="63" spans="1:20">
      <c r="C63" t="s">
        <v>1151</v>
      </c>
      <c r="T63" t="s">
        <v>1152</v>
      </c>
    </row>
    <row r="64" spans="1:20">
      <c r="C64" t="s">
        <v>1153</v>
      </c>
    </row>
    <row r="65" spans="1:20">
      <c r="C65" t="s">
        <v>1154</v>
      </c>
      <c r="T65" t="s">
        <v>1155</v>
      </c>
    </row>
    <row r="66" spans="1:20">
      <c r="C66" t="s">
        <v>1156</v>
      </c>
      <c r="S66">
        <v>1</v>
      </c>
      <c r="T66" t="s">
        <v>1157</v>
      </c>
    </row>
    <row r="67" spans="1:20">
      <c r="C67" t="s">
        <v>1158</v>
      </c>
      <c r="S67">
        <v>2</v>
      </c>
      <c r="T67" t="s">
        <v>1159</v>
      </c>
    </row>
    <row r="68" spans="1:20">
      <c r="C68" s="562" t="s">
        <v>1160</v>
      </c>
      <c r="T68" t="s">
        <v>1161</v>
      </c>
    </row>
    <row r="69" spans="1:20">
      <c r="C69" t="s">
        <v>1162</v>
      </c>
      <c r="S69">
        <v>3</v>
      </c>
      <c r="T69" t="s">
        <v>1163</v>
      </c>
    </row>
    <row r="70" spans="1:20">
      <c r="C70" t="s">
        <v>1164</v>
      </c>
      <c r="T70" t="s">
        <v>1165</v>
      </c>
    </row>
    <row r="71" spans="1:20">
      <c r="C71" s="309" t="s">
        <v>1166</v>
      </c>
      <c r="T71" t="s">
        <v>1167</v>
      </c>
    </row>
    <row r="72" spans="1:20">
      <c r="C72" t="s">
        <v>1168</v>
      </c>
      <c r="S72">
        <v>4</v>
      </c>
      <c r="T72" t="s">
        <v>1169</v>
      </c>
    </row>
    <row r="73" spans="1:20">
      <c r="C73" t="s">
        <v>1170</v>
      </c>
      <c r="T73" t="s">
        <v>1171</v>
      </c>
    </row>
    <row r="75" spans="1:20">
      <c r="C75" t="s">
        <v>1172</v>
      </c>
      <c r="T75" t="s">
        <v>1173</v>
      </c>
    </row>
    <row r="76" spans="1:20">
      <c r="C76" s="309" t="s">
        <v>1174</v>
      </c>
      <c r="T76" t="s">
        <v>1175</v>
      </c>
    </row>
    <row r="77" spans="1:20">
      <c r="C77" t="s">
        <v>1176</v>
      </c>
    </row>
    <row r="78" spans="1:20">
      <c r="C78" s="309"/>
    </row>
    <row r="79" spans="1:20">
      <c r="C79" s="309"/>
    </row>
    <row r="80" spans="1:20">
      <c r="A80" s="645" t="s">
        <v>1177</v>
      </c>
      <c r="B80" s="645"/>
      <c r="C80" s="645"/>
      <c r="D80" s="645"/>
      <c r="E80" s="645"/>
      <c r="F80" s="645"/>
      <c r="G80" s="645"/>
      <c r="H80" s="645"/>
      <c r="I80" s="645"/>
      <c r="J80" s="645"/>
      <c r="K80" s="645"/>
      <c r="L80" s="645"/>
      <c r="M80" s="645"/>
      <c r="N80" s="645"/>
      <c r="O80" s="645"/>
      <c r="P80" s="645"/>
    </row>
    <row r="81" spans="2:3">
      <c r="B81" t="s">
        <v>1178</v>
      </c>
      <c r="C81" t="s">
        <v>1179</v>
      </c>
    </row>
    <row r="82" spans="2:3">
      <c r="C82" t="s">
        <v>1180</v>
      </c>
    </row>
    <row r="83" spans="2:3">
      <c r="C83" s="562" t="s">
        <v>1181</v>
      </c>
    </row>
    <row r="84" spans="2:3">
      <c r="C84" s="562" t="s">
        <v>1144</v>
      </c>
    </row>
    <row r="85" spans="2:3">
      <c r="C85" t="s">
        <v>1182</v>
      </c>
    </row>
    <row r="86" spans="2:3">
      <c r="C86" t="s">
        <v>1183</v>
      </c>
    </row>
    <row r="87" spans="2:3">
      <c r="C87" t="s">
        <v>1184</v>
      </c>
    </row>
    <row r="89" spans="2:3">
      <c r="B89" t="s">
        <v>1185</v>
      </c>
      <c r="C89" t="s">
        <v>1186</v>
      </c>
    </row>
    <row r="90" spans="2:3">
      <c r="C90" t="s">
        <v>1187</v>
      </c>
    </row>
    <row r="91" spans="2:3">
      <c r="C91" t="s">
        <v>1188</v>
      </c>
    </row>
    <row r="92" spans="2:3">
      <c r="C92" t="s">
        <v>1189</v>
      </c>
    </row>
    <row r="94" spans="2:3">
      <c r="B94" t="s">
        <v>1190</v>
      </c>
      <c r="C94" t="s">
        <v>1191</v>
      </c>
    </row>
    <row r="95" spans="2:3">
      <c r="C95" t="s">
        <v>1192</v>
      </c>
    </row>
    <row r="96" spans="2:3">
      <c r="C96" t="s">
        <v>1193</v>
      </c>
    </row>
    <row r="97" spans="3:3">
      <c r="C97" t="s">
        <v>1194</v>
      </c>
    </row>
    <row r="98" spans="3:3">
      <c r="C98" t="s">
        <v>1195</v>
      </c>
    </row>
    <row r="99" spans="3:3">
      <c r="C99" t="s">
        <v>1196</v>
      </c>
    </row>
    <row r="100" spans="3:3">
      <c r="C100" t="s">
        <v>1197</v>
      </c>
    </row>
    <row r="101" spans="3:3">
      <c r="C101" t="s">
        <v>1198</v>
      </c>
    </row>
    <row r="102" spans="3:3">
      <c r="C102" t="s">
        <v>1199</v>
      </c>
    </row>
    <row r="103" spans="3:3">
      <c r="C103" t="s">
        <v>1200</v>
      </c>
    </row>
    <row r="104" spans="3:3">
      <c r="C104" t="s">
        <v>1201</v>
      </c>
    </row>
    <row r="106" spans="3:3">
      <c r="C106" t="s">
        <v>1202</v>
      </c>
    </row>
    <row r="107" spans="3:3">
      <c r="C107" t="s">
        <v>1203</v>
      </c>
    </row>
    <row r="108" spans="3:3">
      <c r="C108" s="650" t="s">
        <v>1204</v>
      </c>
    </row>
    <row r="109" spans="3:3">
      <c r="C109" s="650" t="s">
        <v>1205</v>
      </c>
    </row>
    <row r="110" spans="3:3">
      <c r="C110" t="s">
        <v>1206</v>
      </c>
    </row>
    <row r="112" spans="3:3">
      <c r="C112" t="s">
        <v>1207</v>
      </c>
    </row>
    <row r="113" spans="1:19">
      <c r="C113" t="s">
        <v>1208</v>
      </c>
    </row>
    <row r="114" spans="1:19">
      <c r="C114" t="s">
        <v>1209</v>
      </c>
    </row>
    <row r="115" spans="1:19">
      <c r="C115" t="s">
        <v>1210</v>
      </c>
    </row>
    <row r="119" spans="1:19">
      <c r="A119" s="645" t="s">
        <v>1211</v>
      </c>
      <c r="B119" s="645"/>
      <c r="C119" s="645"/>
      <c r="D119" s="645"/>
      <c r="E119" s="645"/>
      <c r="F119" s="645"/>
      <c r="G119" s="645"/>
      <c r="H119" s="645"/>
      <c r="I119" s="645"/>
      <c r="J119" s="645"/>
      <c r="K119" s="645"/>
      <c r="L119" s="645"/>
      <c r="M119" s="645"/>
      <c r="N119" s="645"/>
      <c r="O119" s="645"/>
      <c r="P119" s="645"/>
    </row>
    <row r="120" spans="1:19">
      <c r="B120" t="s">
        <v>1212</v>
      </c>
      <c r="C120" s="562" t="s">
        <v>1213</v>
      </c>
      <c r="N120" s="141"/>
      <c r="O120" s="141"/>
      <c r="P120" s="216">
        <v>45870</v>
      </c>
      <c r="Q120" s="216">
        <v>45901</v>
      </c>
      <c r="R120" s="216">
        <v>45931</v>
      </c>
      <c r="S120" s="216">
        <v>45962</v>
      </c>
    </row>
    <row r="121" spans="1:19">
      <c r="C121" t="s">
        <v>1214</v>
      </c>
      <c r="N121" s="26" t="s">
        <v>1215</v>
      </c>
      <c r="O121" s="141"/>
      <c r="P121" s="219">
        <v>764</v>
      </c>
      <c r="Q121" s="564">
        <v>617</v>
      </c>
      <c r="R121" s="476">
        <v>558.18882839721255</v>
      </c>
      <c r="S121" s="476">
        <v>585.80827989681723</v>
      </c>
    </row>
    <row r="122" spans="1:19">
      <c r="P122" t="s">
        <v>1216</v>
      </c>
    </row>
    <row r="123" spans="1:19">
      <c r="Q123" t="s">
        <v>1217</v>
      </c>
    </row>
    <row r="124" spans="1:19">
      <c r="R124" t="s">
        <v>1218</v>
      </c>
    </row>
    <row r="127" spans="1:19">
      <c r="A127" s="645" t="s">
        <v>1219</v>
      </c>
      <c r="B127" s="645"/>
      <c r="C127" s="645"/>
      <c r="D127" s="645"/>
      <c r="E127" s="645"/>
      <c r="F127" s="645"/>
      <c r="G127" s="645"/>
      <c r="H127" s="645"/>
      <c r="I127" s="645"/>
      <c r="J127" s="645"/>
      <c r="K127" s="645"/>
      <c r="L127" s="645"/>
      <c r="M127" s="645"/>
      <c r="N127" s="645"/>
      <c r="O127" s="645"/>
      <c r="P127" s="645"/>
    </row>
    <row r="128" spans="1:19">
      <c r="B128">
        <v>1</v>
      </c>
      <c r="C128" t="s">
        <v>1220</v>
      </c>
    </row>
    <row r="129" spans="1:20">
      <c r="B129">
        <v>2</v>
      </c>
      <c r="C129" t="s">
        <v>1221</v>
      </c>
    </row>
    <row r="130" spans="1:20">
      <c r="B130">
        <v>3</v>
      </c>
      <c r="C130" t="s">
        <v>1222</v>
      </c>
    </row>
    <row r="131" spans="1:20">
      <c r="B131">
        <v>4</v>
      </c>
      <c r="C131" t="s">
        <v>1223</v>
      </c>
    </row>
    <row r="132" spans="1:20">
      <c r="B132">
        <v>5</v>
      </c>
      <c r="C132" t="s">
        <v>1224</v>
      </c>
    </row>
    <row r="133" spans="1:20">
      <c r="C133" s="711"/>
    </row>
    <row r="135" spans="1:20">
      <c r="A135" s="645" t="s">
        <v>1225</v>
      </c>
      <c r="B135" s="645"/>
      <c r="C135" s="645"/>
      <c r="D135" s="645"/>
      <c r="E135" s="645"/>
      <c r="F135" s="645"/>
      <c r="G135" s="645"/>
      <c r="H135" s="645"/>
      <c r="I135" s="645"/>
      <c r="J135" s="645"/>
      <c r="K135" s="645"/>
      <c r="L135" s="645"/>
      <c r="M135" s="645"/>
      <c r="N135" s="645"/>
      <c r="O135" s="645"/>
      <c r="P135" s="645"/>
    </row>
    <row r="136" spans="1:20">
      <c r="B136" t="s">
        <v>1226</v>
      </c>
      <c r="N136" s="141"/>
      <c r="O136" s="141"/>
      <c r="P136" s="216">
        <v>45870</v>
      </c>
      <c r="Q136" s="216">
        <v>45901</v>
      </c>
      <c r="R136" s="216">
        <v>45931</v>
      </c>
      <c r="S136" s="216">
        <v>45962</v>
      </c>
    </row>
    <row r="137" spans="1:20">
      <c r="B137" t="s">
        <v>1227</v>
      </c>
      <c r="M137" s="624"/>
      <c r="N137" s="26" t="s">
        <v>1215</v>
      </c>
      <c r="O137" s="141"/>
      <c r="P137" s="219">
        <v>764</v>
      </c>
      <c r="Q137" s="564">
        <v>617</v>
      </c>
      <c r="R137" s="476">
        <v>558.18882839721255</v>
      </c>
      <c r="S137" s="476">
        <v>585.80827989681723</v>
      </c>
    </row>
    <row r="138" spans="1:20">
      <c r="B138" t="s">
        <v>1228</v>
      </c>
      <c r="P138" t="s">
        <v>1216</v>
      </c>
    </row>
    <row r="139" spans="1:20">
      <c r="B139" t="s">
        <v>1229</v>
      </c>
      <c r="Q139" t="s">
        <v>1217</v>
      </c>
    </row>
    <row r="140" spans="1:20">
      <c r="B140" t="s">
        <v>1230</v>
      </c>
      <c r="R140" t="s">
        <v>1218</v>
      </c>
    </row>
    <row r="141" spans="1:20">
      <c r="R141" s="625" t="s">
        <v>1231</v>
      </c>
    </row>
    <row r="142" spans="1:20">
      <c r="P142" s="563">
        <v>0.9075023560968537</v>
      </c>
      <c r="Q142" s="563">
        <v>0.82770851709523896</v>
      </c>
      <c r="R142" s="563">
        <v>0.90468205574912897</v>
      </c>
      <c r="S142" s="563">
        <v>1.0494804806088853</v>
      </c>
      <c r="T142" t="s">
        <v>1232</v>
      </c>
    </row>
    <row r="143" spans="1:20">
      <c r="B143" t="s">
        <v>1233</v>
      </c>
      <c r="T143" t="s">
        <v>1234</v>
      </c>
    </row>
    <row r="144" spans="1:20">
      <c r="B144" t="s">
        <v>1235</v>
      </c>
      <c r="T144" t="s">
        <v>1236</v>
      </c>
    </row>
    <row r="145" spans="1:17">
      <c r="B145" t="s">
        <v>1237</v>
      </c>
    </row>
    <row r="147" spans="1:17">
      <c r="B147" t="s">
        <v>1238</v>
      </c>
    </row>
    <row r="148" spans="1:17">
      <c r="B148" t="s">
        <v>1239</v>
      </c>
    </row>
    <row r="150" spans="1:17">
      <c r="B150" t="s">
        <v>1240</v>
      </c>
    </row>
    <row r="151" spans="1:17">
      <c r="B151" t="s">
        <v>1241</v>
      </c>
    </row>
    <row r="156" spans="1:17">
      <c r="A156" s="645" t="s">
        <v>1242</v>
      </c>
      <c r="B156" s="645"/>
      <c r="C156" s="645"/>
      <c r="D156" s="645"/>
      <c r="E156" s="645"/>
      <c r="F156" s="645"/>
      <c r="G156" s="645"/>
      <c r="H156" s="645"/>
      <c r="I156" s="645"/>
      <c r="J156" s="645"/>
      <c r="K156" s="645"/>
      <c r="L156" s="645"/>
      <c r="M156" s="645"/>
      <c r="N156" s="645"/>
      <c r="O156" s="645"/>
      <c r="P156" s="645"/>
    </row>
    <row r="157" spans="1:17">
      <c r="B157" t="s">
        <v>1243</v>
      </c>
    </row>
    <row r="158" spans="1:17">
      <c r="B158" t="s">
        <v>1244</v>
      </c>
    </row>
    <row r="159" spans="1:17">
      <c r="F159" s="131" t="s">
        <v>1245</v>
      </c>
      <c r="G159" s="131" t="s">
        <v>1246</v>
      </c>
      <c r="H159" s="131" t="s">
        <v>1247</v>
      </c>
      <c r="I159" s="131" t="s">
        <v>1248</v>
      </c>
      <c r="J159" s="131" t="s">
        <v>1249</v>
      </c>
      <c r="K159" s="131" t="s">
        <v>1250</v>
      </c>
      <c r="L159" s="131" t="s">
        <v>1251</v>
      </c>
      <c r="M159" s="131" t="s">
        <v>1252</v>
      </c>
      <c r="N159" s="131" t="s">
        <v>1253</v>
      </c>
      <c r="O159" s="131" t="s">
        <v>1254</v>
      </c>
      <c r="P159" s="131" t="s">
        <v>1255</v>
      </c>
      <c r="Q159" s="131" t="s">
        <v>1256</v>
      </c>
    </row>
    <row r="160" spans="1:17">
      <c r="B160" t="s">
        <v>1257</v>
      </c>
      <c r="F160" s="130">
        <v>7.5406342842909285E-2</v>
      </c>
      <c r="G160" s="130">
        <v>6.6042416355208564E-2</v>
      </c>
      <c r="H160" s="130">
        <v>5.9262701873629607E-2</v>
      </c>
      <c r="I160" s="130">
        <v>6.3689562486838422E-2</v>
      </c>
      <c r="J160" s="130">
        <v>0.10866966083531893</v>
      </c>
      <c r="K160" s="130">
        <v>8.7282782255135194E-2</v>
      </c>
      <c r="L160" s="130">
        <v>7.4697777158646575E-2</v>
      </c>
      <c r="M160" s="130">
        <v>0.10939599359088319</v>
      </c>
      <c r="N160" s="130">
        <v>9.4391577235410237E-2</v>
      </c>
      <c r="O160" s="130">
        <v>8.3906676158480298E-2</v>
      </c>
      <c r="P160" s="130">
        <v>8.7418592351460656E-2</v>
      </c>
      <c r="Q160" s="130">
        <v>8.9835916856079043E-2</v>
      </c>
    </row>
    <row r="161" spans="2:18">
      <c r="B161" t="s">
        <v>1258</v>
      </c>
      <c r="C161" s="127" t="s">
        <v>1259</v>
      </c>
      <c r="D161" t="s">
        <v>1260</v>
      </c>
    </row>
    <row r="163" spans="2:18">
      <c r="B163" t="s">
        <v>1261</v>
      </c>
      <c r="F163" t="s">
        <v>1262</v>
      </c>
      <c r="G163" t="s">
        <v>1263</v>
      </c>
      <c r="H163" t="s">
        <v>1264</v>
      </c>
      <c r="I163" t="s">
        <v>1265</v>
      </c>
      <c r="R163" t="s">
        <v>1266</v>
      </c>
    </row>
    <row r="164" spans="2:18">
      <c r="B164" t="s">
        <v>1267</v>
      </c>
      <c r="F164" s="131" t="s">
        <v>1245</v>
      </c>
      <c r="G164" s="131" t="s">
        <v>1246</v>
      </c>
      <c r="H164" s="131" t="s">
        <v>1247</v>
      </c>
      <c r="I164" s="131" t="s">
        <v>1248</v>
      </c>
      <c r="J164" s="131" t="s">
        <v>1249</v>
      </c>
      <c r="K164" s="131" t="s">
        <v>1250</v>
      </c>
      <c r="L164" s="131" t="s">
        <v>1251</v>
      </c>
      <c r="M164" s="131" t="s">
        <v>1252</v>
      </c>
      <c r="N164" s="131" t="s">
        <v>1253</v>
      </c>
      <c r="O164" s="131" t="s">
        <v>1254</v>
      </c>
      <c r="P164" s="131" t="s">
        <v>1255</v>
      </c>
      <c r="Q164" s="131" t="s">
        <v>1256</v>
      </c>
      <c r="R164" t="s">
        <v>1268</v>
      </c>
    </row>
    <row r="165" spans="2:18">
      <c r="F165" s="128">
        <v>3000</v>
      </c>
      <c r="G165" s="138">
        <f>$R$165*G160</f>
        <v>2627.4613195122784</v>
      </c>
      <c r="H165" s="138">
        <f>$R$165*H160</f>
        <v>2357.7340966033448</v>
      </c>
      <c r="I165" s="128" t="s">
        <v>1265</v>
      </c>
      <c r="J165" s="128"/>
      <c r="K165" s="128"/>
      <c r="L165" s="128"/>
      <c r="M165" s="128"/>
      <c r="N165" s="128"/>
      <c r="O165" s="128"/>
      <c r="P165" s="128"/>
      <c r="Q165" s="128"/>
      <c r="R165" s="128">
        <f>F165/F160</f>
        <v>39784.451637573351</v>
      </c>
    </row>
    <row r="166" spans="2:18">
      <c r="B166" t="s">
        <v>1269</v>
      </c>
      <c r="F166" s="128"/>
      <c r="G166" s="138"/>
      <c r="H166" s="138"/>
      <c r="I166" s="128"/>
      <c r="J166" s="128"/>
      <c r="K166" s="128"/>
      <c r="L166" s="128"/>
      <c r="M166" s="128"/>
      <c r="N166" s="128"/>
      <c r="O166" s="128"/>
      <c r="P166" s="128"/>
      <c r="Q166" s="128"/>
      <c r="R166" s="128"/>
    </row>
    <row r="167" spans="2:18">
      <c r="B167" t="s">
        <v>1270</v>
      </c>
    </row>
    <row r="168" spans="2:18">
      <c r="B168" t="s">
        <v>1271</v>
      </c>
    </row>
    <row r="169" spans="2:18">
      <c r="B169" t="s">
        <v>1272</v>
      </c>
    </row>
    <row r="170" spans="2:18">
      <c r="B170" t="s">
        <v>1273</v>
      </c>
    </row>
    <row r="172" spans="2:18">
      <c r="B172" t="s">
        <v>1274</v>
      </c>
    </row>
    <row r="173" spans="2:18">
      <c r="B173" t="s">
        <v>1275</v>
      </c>
    </row>
    <row r="174" spans="2:18">
      <c r="B174" t="s">
        <v>1276</v>
      </c>
    </row>
    <row r="175" spans="2:18">
      <c r="B175" t="s">
        <v>1277</v>
      </c>
    </row>
    <row r="176" spans="2:18">
      <c r="B176" t="s">
        <v>1278</v>
      </c>
    </row>
    <row r="182" spans="2:18">
      <c r="B182" t="s">
        <v>1279</v>
      </c>
    </row>
    <row r="183" spans="2:18">
      <c r="B183" t="s">
        <v>1280</v>
      </c>
      <c r="R183" t="s">
        <v>1262</v>
      </c>
    </row>
    <row r="184" spans="2:18">
      <c r="F184" s="131" t="s">
        <v>1245</v>
      </c>
      <c r="G184" s="131" t="s">
        <v>1246</v>
      </c>
      <c r="H184" s="131" t="s">
        <v>1247</v>
      </c>
      <c r="I184" s="131" t="s">
        <v>1248</v>
      </c>
      <c r="J184" s="131" t="s">
        <v>1249</v>
      </c>
      <c r="K184" s="131" t="s">
        <v>1250</v>
      </c>
      <c r="L184" s="131" t="s">
        <v>1251</v>
      </c>
      <c r="M184" s="131" t="s">
        <v>1252</v>
      </c>
      <c r="N184" s="131" t="s">
        <v>1253</v>
      </c>
      <c r="O184" s="131" t="s">
        <v>1254</v>
      </c>
      <c r="P184" s="131" t="s">
        <v>1255</v>
      </c>
      <c r="Q184" s="131" t="s">
        <v>1256</v>
      </c>
      <c r="R184" t="s">
        <v>1268</v>
      </c>
    </row>
    <row r="185" spans="2:18">
      <c r="B185" t="s">
        <v>1269</v>
      </c>
      <c r="F185" s="128">
        <f t="shared" ref="F185:Q185" si="0">F160*$R$185</f>
        <v>3770.3171421454645</v>
      </c>
      <c r="G185" s="128">
        <f t="shared" si="0"/>
        <v>3302.1208177604281</v>
      </c>
      <c r="H185" s="128">
        <f t="shared" si="0"/>
        <v>2963.1350936814802</v>
      </c>
      <c r="I185" s="128">
        <f t="shared" si="0"/>
        <v>3184.4781243419211</v>
      </c>
      <c r="J185" s="128">
        <f t="shared" si="0"/>
        <v>5433.4830417659459</v>
      </c>
      <c r="K185" s="128">
        <f t="shared" si="0"/>
        <v>4364.1391127567595</v>
      </c>
      <c r="L185" s="128">
        <f t="shared" si="0"/>
        <v>3734.8888579323288</v>
      </c>
      <c r="M185" s="128">
        <f t="shared" si="0"/>
        <v>5469.7996795441595</v>
      </c>
      <c r="N185" s="128">
        <f t="shared" si="0"/>
        <v>4719.578861770512</v>
      </c>
      <c r="O185" s="128">
        <f t="shared" si="0"/>
        <v>4195.3338079240148</v>
      </c>
      <c r="P185" s="128">
        <f t="shared" si="0"/>
        <v>4370.9296175730324</v>
      </c>
      <c r="Q185" s="128">
        <f t="shared" si="0"/>
        <v>4491.7958428039519</v>
      </c>
      <c r="R185" s="50">
        <v>50000</v>
      </c>
    </row>
    <row r="186" spans="2:18">
      <c r="B186" t="s">
        <v>1281</v>
      </c>
    </row>
    <row r="187" spans="2:18">
      <c r="B187" t="s">
        <v>1282</v>
      </c>
    </row>
    <row r="189" spans="2:18">
      <c r="B189" t="s">
        <v>1274</v>
      </c>
      <c r="J189">
        <v>3770</v>
      </c>
    </row>
    <row r="190" spans="2:18" ht="19.5" thickBot="1">
      <c r="B190" t="s">
        <v>1283</v>
      </c>
      <c r="I190" s="143" t="s">
        <v>1284</v>
      </c>
      <c r="J190" s="143">
        <f>SUM(J191:J195)</f>
        <v>3900</v>
      </c>
      <c r="K190" s="143">
        <f>SUM(K191:K195)</f>
        <v>3200</v>
      </c>
    </row>
    <row r="191" spans="2:18" ht="19.5" thickTop="1">
      <c r="B191" t="s">
        <v>1285</v>
      </c>
      <c r="I191" s="142" t="s">
        <v>1286</v>
      </c>
      <c r="J191" s="142">
        <v>100</v>
      </c>
      <c r="K191">
        <v>100</v>
      </c>
    </row>
    <row r="192" spans="2:18">
      <c r="B192" t="s">
        <v>1287</v>
      </c>
      <c r="I192" s="141" t="s">
        <v>1288</v>
      </c>
      <c r="J192" s="141">
        <v>300</v>
      </c>
      <c r="K192">
        <v>300</v>
      </c>
    </row>
    <row r="193" spans="1:16">
      <c r="B193" t="s">
        <v>1289</v>
      </c>
      <c r="I193" s="141" t="s">
        <v>1290</v>
      </c>
      <c r="J193" s="141">
        <v>1000</v>
      </c>
      <c r="K193">
        <v>1000</v>
      </c>
    </row>
    <row r="194" spans="1:16">
      <c r="B194" t="s">
        <v>1291</v>
      </c>
      <c r="I194" s="141" t="s">
        <v>1292</v>
      </c>
      <c r="J194" s="141">
        <v>2000</v>
      </c>
      <c r="K194">
        <v>1500</v>
      </c>
    </row>
    <row r="195" spans="1:16">
      <c r="I195" s="141" t="s">
        <v>1293</v>
      </c>
      <c r="J195" s="141">
        <v>500</v>
      </c>
      <c r="K195">
        <v>300</v>
      </c>
    </row>
    <row r="196" spans="1:16">
      <c r="B196" t="s">
        <v>1294</v>
      </c>
    </row>
    <row r="197" spans="1:16">
      <c r="B197" t="s">
        <v>1295</v>
      </c>
    </row>
    <row r="198" spans="1:16">
      <c r="B198" t="s">
        <v>1296</v>
      </c>
    </row>
    <row r="199" spans="1:16">
      <c r="B199" t="s">
        <v>1297</v>
      </c>
    </row>
    <row r="200" spans="1:16">
      <c r="B200" t="s">
        <v>1298</v>
      </c>
    </row>
    <row r="201" spans="1:16">
      <c r="B201" t="s">
        <v>1299</v>
      </c>
    </row>
    <row r="204" spans="1:16">
      <c r="A204" s="645" t="s">
        <v>1300</v>
      </c>
      <c r="B204" s="645"/>
      <c r="C204" s="645"/>
      <c r="D204" s="645"/>
      <c r="E204" s="645"/>
      <c r="F204" s="645"/>
      <c r="G204" s="645"/>
      <c r="H204" s="645"/>
      <c r="I204" s="645"/>
      <c r="J204" s="645"/>
      <c r="K204" s="645"/>
      <c r="L204" s="645"/>
      <c r="M204" s="645"/>
      <c r="N204" s="645"/>
      <c r="O204" s="645"/>
      <c r="P204" s="645"/>
    </row>
    <row r="205" spans="1:16">
      <c r="B205" t="s">
        <v>1301</v>
      </c>
    </row>
    <row r="206" spans="1:16">
      <c r="B206" t="s">
        <v>1302</v>
      </c>
    </row>
    <row r="208" spans="1:16">
      <c r="B208" t="s">
        <v>1303</v>
      </c>
    </row>
    <row r="209" spans="2:2">
      <c r="B209" t="s">
        <v>1304</v>
      </c>
    </row>
    <row r="210" spans="2:2">
      <c r="B210" t="s">
        <v>1305</v>
      </c>
    </row>
    <row r="211" spans="2:2">
      <c r="B211" t="s">
        <v>1306</v>
      </c>
    </row>
    <row r="212" spans="2:2">
      <c r="B212" t="s">
        <v>1307</v>
      </c>
    </row>
    <row r="213" spans="2:2">
      <c r="B213" t="s">
        <v>1308</v>
      </c>
    </row>
    <row r="214" spans="2:2">
      <c r="B214" t="s">
        <v>1309</v>
      </c>
    </row>
    <row r="215" spans="2:2">
      <c r="B215" t="s">
        <v>1310</v>
      </c>
    </row>
    <row r="217" spans="2:2">
      <c r="B217" t="s">
        <v>1311</v>
      </c>
    </row>
    <row r="218" spans="2:2">
      <c r="B218" t="s">
        <v>1312</v>
      </c>
    </row>
    <row r="219" spans="2:2">
      <c r="B219" t="s">
        <v>1313</v>
      </c>
    </row>
    <row r="220" spans="2:2">
      <c r="B220" t="s">
        <v>1314</v>
      </c>
    </row>
    <row r="221" spans="2:2">
      <c r="B221" t="s">
        <v>1315</v>
      </c>
    </row>
    <row r="222" spans="2:2">
      <c r="B222" t="s">
        <v>1316</v>
      </c>
    </row>
    <row r="223" spans="2:2">
      <c r="B223" t="s">
        <v>1317</v>
      </c>
    </row>
    <row r="225" spans="1:16">
      <c r="A225" s="645" t="s">
        <v>1300</v>
      </c>
      <c r="B225" s="645"/>
      <c r="C225" s="645"/>
      <c r="D225" s="645"/>
      <c r="E225" s="645"/>
      <c r="F225" s="645"/>
      <c r="G225" s="645"/>
      <c r="H225" s="645"/>
      <c r="I225" s="645"/>
      <c r="J225" s="645"/>
      <c r="K225" s="645"/>
      <c r="L225" s="645"/>
      <c r="M225" s="645"/>
      <c r="N225" s="645"/>
      <c r="O225" s="645"/>
      <c r="P225" s="645"/>
    </row>
    <row r="226" spans="1:16">
      <c r="B226" t="s">
        <v>1318</v>
      </c>
    </row>
    <row r="227" spans="1:16">
      <c r="B227" t="s">
        <v>1319</v>
      </c>
    </row>
    <row r="228" spans="1:16">
      <c r="C228" s="1031" t="s">
        <v>1320</v>
      </c>
    </row>
    <row r="229" spans="1:16">
      <c r="C229" s="1031" t="s">
        <v>1321</v>
      </c>
    </row>
  </sheetData>
  <phoneticPr fontId="4"/>
  <conditionalFormatting sqref="P120:S120">
    <cfRule type="timePeriod" dxfId="124" priority="1" timePeriod="thisMonth">
      <formula>AND(MONTH(P120)=MONTH(TODAY()),YEAR(P120)=YEAR(TODAY()))</formula>
    </cfRule>
  </conditionalFormatting>
  <conditionalFormatting sqref="P136:S136">
    <cfRule type="timePeriod" dxfId="123" priority="2" timePeriod="thisMonth">
      <formula>AND(MONTH(P136)=MONTH(TODAY()),YEAR(P136)=YEAR(TODAY()))</formula>
    </cfRule>
  </conditionalFormatting>
  <hyperlinks>
    <hyperlink ref="B13" r:id="rId1" xr:uid="{52250243-C10B-4F1A-A02C-F87C903AF0D3}"/>
    <hyperlink ref="B41" location="'在庫使用計画 (全体実績+予測）'!A1" display="【在庫使用計画（全体実績+予測）】：先月までは実績、当月は着地予測を入力、次月以降は過去の係数（ブランドごとの前月比係数）をもとに予測値を試算" xr:uid="{65AAE949-AFA9-42F8-B655-8CFB95F424B2}"/>
    <hyperlink ref="B43" location="'在庫使用計画 (ノート全体試算)'!A1" display="【在庫使用計画 (ノート全体試算)】：TWとして全体の販売計画数を表示、このファイルをもとに日付ファイルを作成し、NoteONE計画のファイルに反映する" xr:uid="{1B1CF58B-6B69-48C3-BBEB-59C515E9E051}"/>
    <hyperlink ref="B46" location="在庫確認!A1" display="【在庫確認】：起点時（基本的には月初時点）の在庫と注残を確認。この先4か月、つまりこれから発注するものが入荷するまで販売計画を満たす在庫があるかどうか" xr:uid="{EB5F25B1-45B7-410B-B92D-26FEBD1EE738}"/>
    <hyperlink ref="B50" location="'43期'!A1" display="43期" xr:uid="{9828DE9A-FF7C-4408-B8E0-7788E96EB224}"/>
    <hyperlink ref="C58" location="'在庫使用計画 (計画　予測)'!A1" display="【在庫使用計画（計画　予測）】のシートを確認。" xr:uid="{5D364A05-4879-4DF7-A114-B365EA639411}"/>
    <hyperlink ref="C76" r:id="rId2" xr:uid="{39885D64-7AA8-482B-A803-9F34B6435D7C}"/>
    <hyperlink ref="C71" r:id="rId3" xr:uid="{FAD65B49-D10A-40D6-AB34-673D19DF6030}"/>
    <hyperlink ref="C84" location="'在庫使用計画 (計画　予測)'!A1" display="【在庫使用計画（計画　予測）】のシートを確認。" xr:uid="{75AFB27F-635F-4BA0-9582-535B7A850B15}"/>
    <hyperlink ref="C83" r:id="rId4" display="x月分宿題（修正依頼）" xr:uid="{E4CDA514-E3FD-4C44-B15D-D66EEC69E316}"/>
    <hyperlink ref="C68" location="'在庫使用計画 (ノート全体試算)'!A1" display="・説明可能な状況になったら、【在庫使用計画 (ノート全体試算)】のシートをコピーし、名称を在庫使用計画 (mmdd)に変更。　※mmddは当日の日付" xr:uid="{FBD3323B-ED6D-416F-B3B6-16AF73E342A7}"/>
    <hyperlink ref="C56" location="'Onenote貼り付け(0115)'!A1" display="「Onenote貼り付け(mmdd)」シート更新" xr:uid="{9E1A1CDE-91FA-46E4-9941-1C47B00D6572}"/>
    <hyperlink ref="C59" location="'在庫使用計画 (4ヶ月計)'!A1" display="「在庫使用計画(mmdd)」シートのバックアップと「4ヶ月計」シートの推移を追加更新" xr:uid="{0797B407-A956-4604-803D-C1719F60769B}"/>
    <hyperlink ref="C55" location="'SAP貼り付け(0115)'!A1" display="SAP貼り付け(mmdd)シートの更新" xr:uid="{70CC8A1D-8131-495D-8E47-B8C0B7137696}"/>
    <hyperlink ref="C120" location="'在庫使用計画 (全体実績+予測）'!A1" display="「在庫使用計画 (全体実績+予測）」シートの更新" xr:uid="{2313B8D0-4E43-41DA-9968-97756B6105C3}"/>
    <hyperlink ref="C57" location="マスタ!A1" display="「マスタ」シート更新" xr:uid="{23C1F3CE-EBDD-4737-AE5F-2F6C5521D979}"/>
    <hyperlink ref="C60" location="'(全体実績+予測）の元データ'!A1" display="(全体実績+予測）の元データ" xr:uid="{87C7FFF0-AB84-4B73-ADFB-D8F7A88B7093}"/>
    <hyperlink ref="C228" r:id="rId5" xr:uid="{4109EE48-F0B6-4408-B276-011F3528A9E1}"/>
    <hyperlink ref="C229" r:id="rId6" xr:uid="{8BBF69B6-9D2E-4367-BB5E-8D9E05B3EED1}"/>
  </hyperlinks>
  <pageMargins left="0.7" right="0.7" top="0.75" bottom="0.75" header="0.3" footer="0.3"/>
  <drawing r:id="rId7"/>
  <legacyDrawing r:id="rId8"/>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80ABC-D9EB-4E75-A584-7E732B076FD6}">
  <sheetPr codeName="Sheet30"/>
  <dimension ref="A1:AX144"/>
  <sheetViews>
    <sheetView workbookViewId="0"/>
  </sheetViews>
  <sheetFormatPr defaultColWidth="9" defaultRowHeight="18.600000000000001" customHeight="1" outlineLevelCol="1"/>
  <cols>
    <col min="1" max="1" width="9" style="15"/>
    <col min="2" max="2" width="30.75" style="113" customWidth="1"/>
    <col min="3" max="3" width="19.25" style="113" bestFit="1" customWidth="1"/>
    <col min="4" max="4" width="8.25" style="113" bestFit="1" customWidth="1"/>
    <col min="5" max="5" width="19.75" style="15" hidden="1" customWidth="1" outlineLevel="1"/>
    <col min="6" max="6" width="10.5" style="15" hidden="1" customWidth="1" outlineLevel="1"/>
    <col min="7" max="7" width="11.25" style="15" hidden="1" customWidth="1" outlineLevel="1"/>
    <col min="8" max="8" width="10.5" style="110" customWidth="1" collapsed="1"/>
    <col min="9" max="10" width="10.5" style="110" customWidth="1"/>
    <col min="11" max="12" width="10.5" style="110" hidden="1" customWidth="1" outlineLevel="1"/>
    <col min="13" max="13" width="8.75" style="110" customWidth="1" collapsed="1"/>
    <col min="14" max="18" width="8.75" style="110" hidden="1" customWidth="1" outlineLevel="1"/>
    <col min="19" max="19" width="8.75" style="15" hidden="1" customWidth="1" outlineLevel="1"/>
    <col min="20" max="20" width="9" style="15" collapsed="1"/>
    <col min="21" max="29" width="9" style="15" hidden="1" customWidth="1" outlineLevel="1"/>
    <col min="30" max="30" width="0" style="15" hidden="1" customWidth="1" outlineLevel="1" collapsed="1"/>
    <col min="31" max="34" width="0" style="15" hidden="1" customWidth="1" outlineLevel="1"/>
    <col min="35" max="35" width="9" style="15" collapsed="1"/>
    <col min="36" max="41" width="0" style="15" hidden="1" customWidth="1" outlineLevel="1"/>
    <col min="42" max="42" width="9" style="15" collapsed="1"/>
    <col min="43" max="16384" width="9" style="15"/>
  </cols>
  <sheetData>
    <row r="1" spans="1:50" s="972" customFormat="1" ht="18.600000000000001" customHeight="1">
      <c r="A1" s="969"/>
      <c r="B1" s="970" t="s">
        <v>1322</v>
      </c>
      <c r="C1" s="970" t="s">
        <v>10</v>
      </c>
      <c r="D1" s="970" t="s">
        <v>1323</v>
      </c>
      <c r="E1" s="970" t="s">
        <v>1324</v>
      </c>
      <c r="F1" s="970" t="s">
        <v>1325</v>
      </c>
      <c r="G1" s="970" t="s">
        <v>1326</v>
      </c>
      <c r="H1" s="970" t="s">
        <v>1327</v>
      </c>
      <c r="I1" s="970" t="s">
        <v>1328</v>
      </c>
      <c r="J1" s="970" t="s">
        <v>1329</v>
      </c>
      <c r="K1" s="970">
        <v>922</v>
      </c>
      <c r="L1" s="970">
        <v>929</v>
      </c>
      <c r="M1" s="970">
        <v>1003</v>
      </c>
      <c r="N1" s="970">
        <v>1006</v>
      </c>
      <c r="O1" s="970">
        <v>1014</v>
      </c>
      <c r="P1" s="970">
        <v>1016</v>
      </c>
      <c r="Q1" s="970">
        <v>1020</v>
      </c>
      <c r="R1" s="970">
        <v>1027</v>
      </c>
      <c r="S1" s="970">
        <v>1028</v>
      </c>
      <c r="T1" s="970">
        <v>1105</v>
      </c>
      <c r="U1" s="970">
        <v>1110</v>
      </c>
      <c r="V1" s="970">
        <v>1111</v>
      </c>
      <c r="W1" s="970">
        <v>1112</v>
      </c>
      <c r="X1" s="971">
        <v>1117</v>
      </c>
      <c r="Y1" s="971">
        <v>1118</v>
      </c>
      <c r="Z1" s="971">
        <v>1120</v>
      </c>
      <c r="AA1" s="971">
        <v>1125</v>
      </c>
      <c r="AB1" s="971">
        <v>1128</v>
      </c>
      <c r="AC1" s="971">
        <v>1202</v>
      </c>
      <c r="AD1" s="971">
        <v>1205</v>
      </c>
      <c r="AE1" s="971">
        <v>1211</v>
      </c>
      <c r="AF1" s="971">
        <v>1215</v>
      </c>
      <c r="AG1" s="971">
        <v>1219</v>
      </c>
      <c r="AH1" s="971" t="s">
        <v>1330</v>
      </c>
      <c r="AI1" s="971" t="s">
        <v>1331</v>
      </c>
      <c r="AJ1" s="971" t="s">
        <v>1332</v>
      </c>
      <c r="AK1" s="971" t="s">
        <v>1333</v>
      </c>
      <c r="AL1" s="971" t="s">
        <v>1334</v>
      </c>
      <c r="AM1" s="971" t="s">
        <v>1335</v>
      </c>
      <c r="AN1" s="971" t="s">
        <v>1336</v>
      </c>
      <c r="AO1" s="971" t="s">
        <v>1337</v>
      </c>
      <c r="AP1" s="971" t="s">
        <v>1338</v>
      </c>
      <c r="AQ1" s="971" t="s">
        <v>1339</v>
      </c>
      <c r="AR1" s="971" t="s">
        <v>1340</v>
      </c>
      <c r="AS1" s="971" t="s">
        <v>1341</v>
      </c>
      <c r="AT1" s="971" t="s">
        <v>1342</v>
      </c>
      <c r="AU1" s="971" t="s">
        <v>1343</v>
      </c>
      <c r="AV1" s="971"/>
      <c r="AW1" s="971"/>
      <c r="AX1" s="971"/>
    </row>
    <row r="2" spans="1:50" s="21" customFormat="1" ht="18.600000000000001" customHeight="1">
      <c r="A2" s="33" t="s">
        <v>1344</v>
      </c>
      <c r="B2" s="934" t="str" cm="1">
        <f t="array" ref="B2:B27">IF(C2:C27="","",_xlfn.XLOOKUP(C2:C27,マスタ_EOLリスト[製品型番],マスタ_EOLリスト[綽名]))</f>
        <v>CLE-X58-275HX-5090-L6</v>
      </c>
      <c r="C2" s="26" t="s">
        <v>1345</v>
      </c>
      <c r="D2" s="25" t="e" cm="1">
        <f t="array" ref="D2:D27">IF($C2:$C27&lt;&gt;"",
_xlfn.MAXIFS(#REF!,マスタ_EOLリスト[製品型番],$C2:$C27),
"")</f>
        <v>#REF!</v>
      </c>
      <c r="E2" s="26" t="s">
        <v>1346</v>
      </c>
      <c r="F2" s="26">
        <v>5090</v>
      </c>
      <c r="G2" s="24" t="s">
        <v>1347</v>
      </c>
      <c r="H2" s="38" cm="1">
        <f t="array" ref="H2:H27">IF($C2:$C27&lt;&gt;"",
_xlfn.XLOOKUP($C2:$C27,
  '在庫使用計画 (ノート全体試算)'!C:C,
  '在庫使用計画 (ノート全体試算)'!G:G),"")</f>
        <v>66</v>
      </c>
      <c r="I2" s="700" t="e" cm="1">
        <f t="array" ref="I2:I27">IF(_xlfn.ANCHORARRAY(D2)&lt;&gt;"",
_xlfn.XLOOKUP(_xlfn.ANCHORARRAY(D2),購買計画one_note_貼り付け[コード],購買計画one_note_貼り付け[納品日],""),
"")</f>
        <v>#REF!</v>
      </c>
      <c r="J2" s="416" t="e" cm="1">
        <f t="array" ref="J2:J27">IF(_xlfn.ANCHORARRAY(D2)&lt;&gt;"",
_xlfn.XLOOKUP(_xlfn.ANCHORARRAY(D2),購買計画one_note_貼り付け[コード],購買計画one_note_貼り付け[数量],""),
"")</f>
        <v>#REF!</v>
      </c>
      <c r="K2" s="38">
        <v>157.7007911563993</v>
      </c>
      <c r="L2" s="38">
        <v>186.63679791778711</v>
      </c>
      <c r="M2" s="38">
        <v>186.63679791778711</v>
      </c>
      <c r="N2" s="38">
        <v>186.63679791778711</v>
      </c>
      <c r="O2" s="38">
        <v>165.63679791778711</v>
      </c>
      <c r="P2" s="38">
        <v>165.63679791778711</v>
      </c>
      <c r="Q2" s="38">
        <v>165.63679791778711</v>
      </c>
      <c r="R2" s="38">
        <v>165.63679791778711</v>
      </c>
      <c r="S2" s="38">
        <v>165.63679791778711</v>
      </c>
      <c r="T2" s="38">
        <v>190</v>
      </c>
      <c r="U2" s="38">
        <v>190</v>
      </c>
      <c r="V2" s="38">
        <v>190</v>
      </c>
      <c r="W2" s="38">
        <v>190</v>
      </c>
      <c r="X2" s="74">
        <v>190</v>
      </c>
      <c r="Y2" s="74">
        <v>190</v>
      </c>
      <c r="Z2" s="74">
        <v>190</v>
      </c>
      <c r="AA2" s="74">
        <v>190</v>
      </c>
      <c r="AB2" s="74">
        <v>227</v>
      </c>
      <c r="AC2" s="74">
        <v>227</v>
      </c>
      <c r="AD2" s="74">
        <v>227</v>
      </c>
      <c r="AE2" s="74">
        <v>181.77703497955557</v>
      </c>
      <c r="AF2" s="74">
        <v>181.77703497955557</v>
      </c>
      <c r="AG2" s="74">
        <v>164.09835373251042</v>
      </c>
      <c r="AH2" s="74">
        <v>164.09835373251042</v>
      </c>
      <c r="AI2" s="74">
        <v>143.10704265593262</v>
      </c>
      <c r="AJ2" s="74">
        <v>143.10704265593262</v>
      </c>
      <c r="AK2" s="74">
        <v>159.41505142047555</v>
      </c>
      <c r="AL2" s="74">
        <v>160.41505142047555</v>
      </c>
      <c r="AM2" s="74">
        <v>160.41505142047555</v>
      </c>
      <c r="AN2" s="74">
        <v>160.41505142047555</v>
      </c>
      <c r="AO2" s="74">
        <v>160.41505142047555</v>
      </c>
      <c r="AP2" s="74">
        <v>141.94173849952463</v>
      </c>
      <c r="AQ2" s="74">
        <v>144.94173849952463</v>
      </c>
      <c r="AR2" s="74">
        <v>144.94173849952463</v>
      </c>
      <c r="AS2" s="74">
        <v>144.94173849952463</v>
      </c>
      <c r="AT2" s="74">
        <v>144.94173849952463</v>
      </c>
      <c r="AU2" s="74">
        <v>176.94173849952463</v>
      </c>
      <c r="AV2" s="74" t="str" cm="1">
        <f t="array" aca="1" ref="AV2" ca="1">IFERROR(_xlfn.XLOOKUP($C2,
INDIRECT("'在庫使用計画 ("&amp;AV$1&amp;")'!D:D"),
INDIRECT("'在庫使用計画 ("&amp;AV$1&amp;")'!I:I")
),"")</f>
        <v/>
      </c>
      <c r="AW2" s="74" t="str" cm="1">
        <f t="array" aca="1" ref="AW2" ca="1">IFERROR(_xlfn.XLOOKUP($C2,
INDIRECT("'在庫使用計画 ("&amp;AW$1&amp;")'!D:D"),
INDIRECT("'在庫使用計画 ("&amp;AW$1&amp;")'!I:I")
),"")</f>
        <v/>
      </c>
      <c r="AX2" s="74" t="str" cm="1">
        <f t="array" aca="1" ref="AX2" ca="1">IFERROR(_xlfn.XLOOKUP($C2,
INDIRECT("'在庫使用計画 ("&amp;AX$1&amp;")'!D:D"),
INDIRECT("'在庫使用計画 ("&amp;AX$1&amp;")'!I:I")
),"")</f>
        <v/>
      </c>
    </row>
    <row r="3" spans="1:50" s="21" customFormat="1" ht="18.600000000000001" customHeight="1">
      <c r="A3" s="33"/>
      <c r="B3" s="934" t="str">
        <v>CLE-X58-290HXP-5090-L6-GG</v>
      </c>
      <c r="C3" s="26" t="s">
        <v>184</v>
      </c>
      <c r="D3" s="25" t="e">
        <v>#REF!</v>
      </c>
      <c r="E3" s="26"/>
      <c r="F3" s="26"/>
      <c r="G3" s="24"/>
      <c r="H3" s="38">
        <v>137</v>
      </c>
      <c r="I3" s="700" t="e">
        <v>#REF!</v>
      </c>
      <c r="J3" s="416" t="e">
        <v>#REF!</v>
      </c>
      <c r="K3" s="38"/>
      <c r="L3" s="38"/>
      <c r="M3" s="38"/>
      <c r="N3" s="38"/>
      <c r="O3" s="38"/>
      <c r="P3" s="38"/>
      <c r="Q3" s="38"/>
      <c r="R3" s="38"/>
      <c r="S3" s="38"/>
      <c r="T3" s="38"/>
      <c r="U3" s="38"/>
      <c r="V3" s="38"/>
      <c r="W3" s="38"/>
      <c r="X3" s="74"/>
      <c r="Y3" s="74"/>
      <c r="Z3" s="74"/>
      <c r="AA3" s="74"/>
      <c r="AB3" s="74"/>
      <c r="AC3" s="74"/>
      <c r="AD3" s="74"/>
      <c r="AE3" s="74"/>
      <c r="AF3" s="74"/>
      <c r="AG3" s="74"/>
      <c r="AH3" s="74"/>
      <c r="AI3" s="74"/>
      <c r="AJ3" s="74"/>
      <c r="AK3" s="74"/>
      <c r="AL3" s="74"/>
      <c r="AM3" s="74"/>
      <c r="AN3" s="74"/>
      <c r="AO3" s="74"/>
      <c r="AP3" s="74"/>
      <c r="AQ3" s="74">
        <v>26.921683176617229</v>
      </c>
      <c r="AR3" s="74"/>
      <c r="AS3" s="74"/>
      <c r="AT3" s="74"/>
      <c r="AU3" s="74"/>
      <c r="AV3" s="74"/>
      <c r="AW3" s="74"/>
      <c r="AX3" s="74"/>
    </row>
    <row r="4" spans="1:50" s="21" customFormat="1" ht="18.600000000000001" customHeight="1">
      <c r="A4" s="33"/>
      <c r="B4" s="934" t="e">
        <v>#N/A</v>
      </c>
      <c r="C4" s="26" t="s">
        <v>1348</v>
      </c>
      <c r="D4" s="25" t="e">
        <v>#REF!</v>
      </c>
      <c r="E4" s="26"/>
      <c r="F4" s="26"/>
      <c r="G4" s="24"/>
      <c r="H4" s="38" t="e">
        <v>#N/A</v>
      </c>
      <c r="I4" s="700" t="e">
        <v>#REF!</v>
      </c>
      <c r="J4" s="416" t="e">
        <v>#REF!</v>
      </c>
      <c r="K4" s="38"/>
      <c r="L4" s="38"/>
      <c r="M4" s="38"/>
      <c r="N4" s="38"/>
      <c r="O4" s="38"/>
      <c r="P4" s="38"/>
      <c r="Q4" s="38"/>
      <c r="R4" s="38"/>
      <c r="S4" s="38"/>
      <c r="T4" s="38"/>
      <c r="U4" s="38"/>
      <c r="V4" s="38"/>
      <c r="W4" s="38"/>
      <c r="X4" s="74"/>
      <c r="Y4" s="74"/>
      <c r="Z4" s="74"/>
      <c r="AA4" s="74"/>
      <c r="AB4" s="74"/>
      <c r="AC4" s="74"/>
      <c r="AD4" s="74"/>
      <c r="AE4" s="74"/>
      <c r="AF4" s="74"/>
      <c r="AG4" s="74"/>
      <c r="AH4" s="74"/>
      <c r="AI4" s="74"/>
      <c r="AJ4" s="74"/>
      <c r="AK4" s="74"/>
      <c r="AL4" s="74"/>
      <c r="AM4" s="74"/>
      <c r="AN4" s="74"/>
      <c r="AO4" s="74"/>
      <c r="AP4" s="74"/>
      <c r="AQ4" s="74">
        <v>0</v>
      </c>
      <c r="AR4" s="74"/>
      <c r="AS4" s="74"/>
      <c r="AT4" s="74"/>
      <c r="AU4" s="74"/>
      <c r="AV4" s="74"/>
      <c r="AW4" s="74"/>
      <c r="AX4" s="74"/>
    </row>
    <row r="5" spans="1:50" s="21" customFormat="1" ht="18.600000000000001" customHeight="1">
      <c r="A5" s="33"/>
      <c r="B5" s="26" t="str">
        <v/>
      </c>
      <c r="C5" s="26"/>
      <c r="D5" s="25" t="str">
        <v/>
      </c>
      <c r="E5" s="26"/>
      <c r="F5" s="26"/>
      <c r="G5" s="26"/>
      <c r="H5" s="38" t="str">
        <v/>
      </c>
      <c r="I5" s="700" t="str">
        <v/>
      </c>
      <c r="J5" s="416" t="str">
        <v/>
      </c>
      <c r="K5" s="38" t="s">
        <v>21</v>
      </c>
      <c r="L5" s="38" t="s">
        <v>21</v>
      </c>
      <c r="M5" s="38" t="s">
        <v>21</v>
      </c>
      <c r="N5" s="38" t="s">
        <v>21</v>
      </c>
      <c r="O5" s="38" t="s">
        <v>21</v>
      </c>
      <c r="P5" s="38" t="s">
        <v>21</v>
      </c>
      <c r="Q5" s="38"/>
      <c r="R5" s="38" t="s">
        <v>21</v>
      </c>
      <c r="S5" s="38" t="s">
        <v>21</v>
      </c>
      <c r="T5" s="38" t="s">
        <v>21</v>
      </c>
      <c r="U5" s="38" t="s">
        <v>21</v>
      </c>
      <c r="V5" s="38" t="s">
        <v>21</v>
      </c>
      <c r="W5" s="38" t="s">
        <v>21</v>
      </c>
      <c r="X5" s="74" t="s">
        <v>21</v>
      </c>
      <c r="Y5" s="74" t="s">
        <v>21</v>
      </c>
      <c r="Z5" s="74" t="s">
        <v>21</v>
      </c>
      <c r="AA5" s="74" t="s">
        <v>21</v>
      </c>
      <c r="AB5" s="74" t="s">
        <v>21</v>
      </c>
      <c r="AC5" s="74" t="s">
        <v>21</v>
      </c>
      <c r="AD5" s="74" t="s">
        <v>21</v>
      </c>
      <c r="AE5" s="74" t="s">
        <v>21</v>
      </c>
      <c r="AF5" s="74" t="s">
        <v>21</v>
      </c>
      <c r="AG5" s="74" t="s">
        <v>21</v>
      </c>
      <c r="AH5" s="74" t="s">
        <v>21</v>
      </c>
      <c r="AI5" s="74" t="s">
        <v>21</v>
      </c>
      <c r="AJ5" s="74" t="s">
        <v>21</v>
      </c>
      <c r="AK5" s="74" t="s">
        <v>21</v>
      </c>
      <c r="AL5" s="74" t="s">
        <v>21</v>
      </c>
      <c r="AM5" s="74" t="s">
        <v>21</v>
      </c>
      <c r="AN5" s="74" t="s">
        <v>21</v>
      </c>
      <c r="AO5" s="74" t="s">
        <v>21</v>
      </c>
      <c r="AP5" s="74" t="s">
        <v>21</v>
      </c>
      <c r="AQ5" s="74" t="s">
        <v>21</v>
      </c>
      <c r="AR5" s="74" t="s">
        <v>21</v>
      </c>
      <c r="AS5" s="74" t="s">
        <v>21</v>
      </c>
      <c r="AT5" s="74" t="s">
        <v>21</v>
      </c>
      <c r="AU5" s="74" t="s">
        <v>21</v>
      </c>
      <c r="AV5" s="74" t="str" cm="1">
        <f t="array" aca="1" ref="AV5" ca="1">IFERROR(_xlfn.XLOOKUP($C5,
INDIRECT("'在庫使用計画 ("&amp;AV$1&amp;")'!D:D"),
INDIRECT("'在庫使用計画 ("&amp;AV$1&amp;")'!I:I")
),"")</f>
        <v/>
      </c>
      <c r="AW5" s="74" t="str" cm="1">
        <f t="array" aca="1" ref="AW5" ca="1">IFERROR(_xlfn.XLOOKUP($C5,
INDIRECT("'在庫使用計画 ("&amp;AW$1&amp;")'!D:D"),
INDIRECT("'在庫使用計画 ("&amp;AW$1&amp;")'!I:I")
),"")</f>
        <v/>
      </c>
      <c r="AX5" s="74" t="str" cm="1">
        <f t="array" aca="1" ref="AX5" ca="1">IFERROR(_xlfn.XLOOKUP($C5,
INDIRECT("'在庫使用計画 ("&amp;AX$1&amp;")'!D:D"),
INDIRECT("'在庫使用計画 ("&amp;AX$1&amp;")'!I:I")
),"")</f>
        <v/>
      </c>
    </row>
    <row r="6" spans="1:50" s="21" customFormat="1" ht="18.600000000000001" customHeight="1">
      <c r="A6" s="32" t="s">
        <v>1349</v>
      </c>
      <c r="B6" s="26" t="str">
        <v>UNW-K-9955HX-5070Ti-L6</v>
      </c>
      <c r="C6" s="25" t="s">
        <v>1350</v>
      </c>
      <c r="D6" s="25" t="e">
        <v>#REF!</v>
      </c>
      <c r="E6" s="26" t="s">
        <v>1351</v>
      </c>
      <c r="F6" s="24" t="s">
        <v>1352</v>
      </c>
      <c r="G6" s="24" t="s">
        <v>1347</v>
      </c>
      <c r="H6" s="38">
        <v>11</v>
      </c>
      <c r="I6" s="700" t="e">
        <v>#REF!</v>
      </c>
      <c r="J6" s="416" t="e">
        <v>#REF!</v>
      </c>
      <c r="K6" s="38">
        <v>581.02728435378867</v>
      </c>
      <c r="L6" s="38">
        <v>550.40934002691461</v>
      </c>
      <c r="M6" s="38">
        <v>508.89653267273849</v>
      </c>
      <c r="N6" s="38">
        <v>508.89653267273849</v>
      </c>
      <c r="O6" s="38">
        <v>508.89653267273849</v>
      </c>
      <c r="P6" s="38">
        <v>508.89653267273849</v>
      </c>
      <c r="Q6" s="38">
        <v>508.89653267273849</v>
      </c>
      <c r="R6" s="38">
        <v>508.89653267273849</v>
      </c>
      <c r="S6" s="38">
        <v>508.89653267273849</v>
      </c>
      <c r="T6" s="38">
        <v>497.94981656476455</v>
      </c>
      <c r="U6" s="38">
        <v>497.94981656476455</v>
      </c>
      <c r="V6" s="38">
        <v>497.94981656476455</v>
      </c>
      <c r="W6" s="38">
        <v>497.94981656476455</v>
      </c>
      <c r="X6" s="74">
        <v>497.94981656476455</v>
      </c>
      <c r="Y6" s="74">
        <v>497.94981656476455</v>
      </c>
      <c r="Z6" s="74">
        <v>545.94981656476455</v>
      </c>
      <c r="AA6" s="74">
        <v>545.94981656476455</v>
      </c>
      <c r="AB6" s="74">
        <v>602.33455314737319</v>
      </c>
      <c r="AC6" s="74">
        <v>602.33455314737319</v>
      </c>
      <c r="AD6" s="74">
        <v>602.33455314737319</v>
      </c>
      <c r="AE6" s="74">
        <v>273.49832870399996</v>
      </c>
      <c r="AF6" s="74">
        <v>273.49832870399996</v>
      </c>
      <c r="AG6" s="74">
        <v>281.34423806378652</v>
      </c>
      <c r="AH6" s="74">
        <v>281.34423806378652</v>
      </c>
      <c r="AI6" s="74">
        <v>289.37464929576419</v>
      </c>
      <c r="AJ6" s="74">
        <v>289.37464929576419</v>
      </c>
      <c r="AK6" s="74">
        <v>324.75961697237028</v>
      </c>
      <c r="AL6" s="74">
        <v>324.75961697237028</v>
      </c>
      <c r="AM6" s="74">
        <v>324.75961697237028</v>
      </c>
      <c r="AN6" s="74">
        <v>324.75961697237028</v>
      </c>
      <c r="AO6" s="74">
        <v>324.75961697237028</v>
      </c>
      <c r="AP6" s="74">
        <v>296.82521549857393</v>
      </c>
      <c r="AQ6" s="74">
        <v>311.82521549857393</v>
      </c>
      <c r="AR6" s="74">
        <v>311.82521549857393</v>
      </c>
      <c r="AS6" s="74">
        <v>311.82521549857393</v>
      </c>
      <c r="AT6" s="74">
        <v>311.82521549857393</v>
      </c>
      <c r="AU6" s="74">
        <v>311.82521549857393</v>
      </c>
      <c r="AV6" s="74" t="str" cm="1">
        <f t="array" aca="1" ref="AV6" ca="1">IFERROR(_xlfn.XLOOKUP($C6,
INDIRECT("'在庫使用計画 ("&amp;AV$1&amp;")'!D:D"),
INDIRECT("'在庫使用計画 ("&amp;AV$1&amp;")'!I:I")
),"")</f>
        <v/>
      </c>
      <c r="AW6" s="74" t="str" cm="1">
        <f t="array" aca="1" ref="AW6" ca="1">IFERROR(_xlfn.XLOOKUP($C6,
INDIRECT("'在庫使用計画 ("&amp;AW$1&amp;")'!D:D"),
INDIRECT("'在庫使用計画 ("&amp;AW$1&amp;")'!I:I")
),"")</f>
        <v/>
      </c>
      <c r="AX6" s="74" t="str" cm="1">
        <f t="array" aca="1" ref="AX6" ca="1">IFERROR(_xlfn.XLOOKUP($C6,
INDIRECT("'在庫使用計画 ("&amp;AX$1&amp;")'!D:D"),
INDIRECT("'在庫使用計画 ("&amp;AX$1&amp;")'!I:I")
),"")</f>
        <v/>
      </c>
    </row>
    <row r="7" spans="1:50" s="21" customFormat="1" ht="18.600000000000001" customHeight="1">
      <c r="A7" s="51"/>
      <c r="B7" s="26" t="e">
        <v>#N/A</v>
      </c>
      <c r="C7" s="25" t="s">
        <v>1353</v>
      </c>
      <c r="D7" s="25" t="e">
        <v>#REF!</v>
      </c>
      <c r="E7" s="26" t="s">
        <v>1354</v>
      </c>
      <c r="F7" s="24" t="s">
        <v>1352</v>
      </c>
      <c r="G7" s="24" t="s">
        <v>1347</v>
      </c>
      <c r="H7" s="38" t="e">
        <v>#N/A</v>
      </c>
      <c r="I7" s="700" t="e">
        <v>#REF!</v>
      </c>
      <c r="J7" s="416" t="e">
        <v>#REF!</v>
      </c>
      <c r="K7" s="38">
        <v>499.77757125829777</v>
      </c>
      <c r="L7" s="38">
        <v>488.11959323280809</v>
      </c>
      <c r="M7" s="38">
        <v>302.6860570770275</v>
      </c>
      <c r="N7" s="38">
        <v>302.6860570770275</v>
      </c>
      <c r="O7" s="38">
        <v>305.6860570770275</v>
      </c>
      <c r="P7" s="38">
        <v>305.6860570770275</v>
      </c>
      <c r="Q7" s="38">
        <v>305.6860570770275</v>
      </c>
      <c r="R7" s="38">
        <v>305.6860570770275</v>
      </c>
      <c r="S7" s="38">
        <v>305.6860570770275</v>
      </c>
      <c r="T7" s="38">
        <v>297.44416963632801</v>
      </c>
      <c r="U7" s="38">
        <v>297.44416963632801</v>
      </c>
      <c r="V7" s="38">
        <v>297.44416963632801</v>
      </c>
      <c r="W7" s="38">
        <v>297.44416963632801</v>
      </c>
      <c r="X7" s="74">
        <v>297.44416963632801</v>
      </c>
      <c r="Y7" s="74">
        <v>297.44416963632801</v>
      </c>
      <c r="Z7" s="74">
        <v>297.44416963632801</v>
      </c>
      <c r="AA7" s="74">
        <v>297.44416963632801</v>
      </c>
      <c r="AB7" s="74">
        <v>329.62263839645368</v>
      </c>
      <c r="AC7" s="74">
        <v>329.62263839645368</v>
      </c>
      <c r="AD7" s="74">
        <v>329.62263839645368</v>
      </c>
      <c r="AE7" s="74">
        <v>499.99665740799992</v>
      </c>
      <c r="AF7" s="74">
        <v>499.99665740799992</v>
      </c>
      <c r="AG7" s="74">
        <v>496.63929926131766</v>
      </c>
      <c r="AH7" s="74">
        <v>496.63929926131766</v>
      </c>
      <c r="AI7" s="74">
        <v>511.69577726356204</v>
      </c>
      <c r="AJ7" s="74">
        <v>511.69577726356204</v>
      </c>
      <c r="AK7" s="74">
        <v>459.64837523823365</v>
      </c>
      <c r="AL7" s="74">
        <v>459.64837523823365</v>
      </c>
      <c r="AM7" s="74">
        <v>459.64837523823365</v>
      </c>
      <c r="AN7" s="74">
        <v>459.64837523823365</v>
      </c>
      <c r="AO7" s="74">
        <v>459.64837523823365</v>
      </c>
      <c r="AP7" s="74">
        <v>433.11925285578468</v>
      </c>
      <c r="AQ7" s="74">
        <v>0</v>
      </c>
      <c r="AR7" s="74">
        <v>0</v>
      </c>
      <c r="AS7" s="74">
        <v>0</v>
      </c>
      <c r="AT7" s="74">
        <v>0</v>
      </c>
      <c r="AU7" s="74" t="s">
        <v>21</v>
      </c>
      <c r="AV7" s="74" t="str" cm="1">
        <f t="array" aca="1" ref="AV7" ca="1">IFERROR(_xlfn.XLOOKUP($C7,
INDIRECT("'在庫使用計画 ("&amp;AV$1&amp;")'!D:D"),
INDIRECT("'在庫使用計画 ("&amp;AV$1&amp;")'!I:I")
),"")</f>
        <v/>
      </c>
      <c r="AW7" s="74" t="str" cm="1">
        <f t="array" aca="1" ref="AW7" ca="1">IFERROR(_xlfn.XLOOKUP($C7,
INDIRECT("'在庫使用計画 ("&amp;AW$1&amp;")'!D:D"),
INDIRECT("'在庫使用計画 ("&amp;AW$1&amp;")'!I:I")
),"")</f>
        <v/>
      </c>
      <c r="AX7" s="74" t="str" cm="1">
        <f t="array" aca="1" ref="AX7" ca="1">IFERROR(_xlfn.XLOOKUP($C7,
INDIRECT("'在庫使用計画 ("&amp;AX$1&amp;")'!D:D"),
INDIRECT("'在庫使用計画 ("&amp;AX$1&amp;")'!I:I")
),"")</f>
        <v/>
      </c>
    </row>
    <row r="8" spans="1:50" s="21" customFormat="1" ht="18.600000000000001" customHeight="1">
      <c r="A8" s="51"/>
      <c r="B8" s="26" t="str">
        <v>UNW-K-275HX-5070Ti-L6</v>
      </c>
      <c r="C8" s="25" t="s">
        <v>1355</v>
      </c>
      <c r="D8" s="25" t="e">
        <v>#REF!</v>
      </c>
      <c r="E8" s="26" t="s">
        <v>1354</v>
      </c>
      <c r="F8" s="24" t="s">
        <v>1352</v>
      </c>
      <c r="G8" s="24" t="s">
        <v>1347</v>
      </c>
      <c r="H8" s="38">
        <v>553</v>
      </c>
      <c r="I8" s="700" t="e">
        <v>#REF!</v>
      </c>
      <c r="J8" s="416" t="e">
        <v>#REF!</v>
      </c>
      <c r="K8" s="38">
        <v>499.77757125829777</v>
      </c>
      <c r="L8" s="38">
        <v>488.11959323280809</v>
      </c>
      <c r="M8" s="38">
        <v>302.6860570770275</v>
      </c>
      <c r="N8" s="38">
        <v>302.6860570770275</v>
      </c>
      <c r="O8" s="38">
        <v>305.6860570770275</v>
      </c>
      <c r="P8" s="38">
        <v>305.6860570770275</v>
      </c>
      <c r="Q8" s="38">
        <v>305.6860570770275</v>
      </c>
      <c r="R8" s="38">
        <v>305.6860570770275</v>
      </c>
      <c r="S8" s="38">
        <v>305.6860570770275</v>
      </c>
      <c r="T8" s="38">
        <v>297.44416963632801</v>
      </c>
      <c r="U8" s="38">
        <v>297.44416963632801</v>
      </c>
      <c r="V8" s="38">
        <v>297.44416963632801</v>
      </c>
      <c r="W8" s="38">
        <v>297.44416963632801</v>
      </c>
      <c r="X8" s="74">
        <v>297.44416963632801</v>
      </c>
      <c r="Y8" s="74">
        <v>297.44416963632801</v>
      </c>
      <c r="Z8" s="74">
        <v>297.44416963632801</v>
      </c>
      <c r="AA8" s="74">
        <v>297.44416963632801</v>
      </c>
      <c r="AB8" s="74">
        <v>329.62263839645368</v>
      </c>
      <c r="AC8" s="74">
        <v>329.62263839645368</v>
      </c>
      <c r="AD8" s="74">
        <v>329.62263839645368</v>
      </c>
      <c r="AE8" s="74">
        <v>499.99665740799992</v>
      </c>
      <c r="AF8" s="74">
        <v>499.99665740799992</v>
      </c>
      <c r="AG8" s="74">
        <v>496.63929926131766</v>
      </c>
      <c r="AH8" s="74">
        <v>496.63929926131766</v>
      </c>
      <c r="AI8" s="74">
        <v>511.69577726356204</v>
      </c>
      <c r="AJ8" s="74">
        <v>511.69577726356204</v>
      </c>
      <c r="AK8" s="74">
        <v>459.64837523823365</v>
      </c>
      <c r="AL8" s="74">
        <v>459.64837523823365</v>
      </c>
      <c r="AM8" s="74">
        <v>459.64837523823365</v>
      </c>
      <c r="AN8" s="74">
        <v>459.64837523823365</v>
      </c>
      <c r="AO8" s="74">
        <v>459.64837523823365</v>
      </c>
      <c r="AP8" s="74">
        <v>433.11925285578468</v>
      </c>
      <c r="AQ8" s="74">
        <v>455.11925285578468</v>
      </c>
      <c r="AR8" s="74">
        <v>467.11925285578468</v>
      </c>
      <c r="AS8" s="74">
        <v>467.11925285578468</v>
      </c>
      <c r="AT8" s="74">
        <v>467.11925285578468</v>
      </c>
      <c r="AU8" s="74">
        <v>467.11925285578468</v>
      </c>
      <c r="AV8" s="74" t="str" cm="1">
        <f t="array" aca="1" ref="AV8" ca="1">IFERROR(_xlfn.XLOOKUP($C8,
INDIRECT("'在庫使用計画 ("&amp;AV$1&amp;")'!D:D"),
INDIRECT("'在庫使用計画 ("&amp;AV$1&amp;")'!I:I")
),"")</f>
        <v/>
      </c>
      <c r="AW8" s="74" t="str" cm="1">
        <f t="array" aca="1" ref="AW8" ca="1">IFERROR(_xlfn.XLOOKUP($C8,
INDIRECT("'在庫使用計画 ("&amp;AW$1&amp;")'!D:D"),
INDIRECT("'在庫使用計画 ("&amp;AW$1&amp;")'!I:I")
),"")</f>
        <v/>
      </c>
      <c r="AX8" s="74" t="str" cm="1">
        <f t="array" aca="1" ref="AX8" ca="1">IFERROR(_xlfn.XLOOKUP($C8,
INDIRECT("'在庫使用計画 ("&amp;AX$1&amp;")'!D:D"),
INDIRECT("'在庫使用計画 ("&amp;AX$1&amp;")'!I:I")
),"")</f>
        <v/>
      </c>
    </row>
    <row r="9" spans="1:50" s="21" customFormat="1" ht="18.600000000000001" customHeight="1">
      <c r="A9" s="51"/>
      <c r="B9" s="26" t="str">
        <v>UNW-K-290HXP-5070Ti-L6</v>
      </c>
      <c r="C9" s="25" t="s">
        <v>208</v>
      </c>
      <c r="D9" s="25" t="e">
        <v>#REF!</v>
      </c>
      <c r="E9" s="26" t="s">
        <v>1356</v>
      </c>
      <c r="F9" s="24">
        <v>5070</v>
      </c>
      <c r="G9" s="24" t="s">
        <v>1347</v>
      </c>
      <c r="H9" s="38" t="e">
        <v>#N/A</v>
      </c>
      <c r="I9" s="700" t="e">
        <v>#REF!</v>
      </c>
      <c r="J9" s="416" t="e">
        <v>#REF!</v>
      </c>
      <c r="K9" s="38">
        <v>433.9361862058766</v>
      </c>
      <c r="L9" s="38">
        <v>431.1262689063434</v>
      </c>
      <c r="M9" s="38">
        <v>328.10521488804426</v>
      </c>
      <c r="N9" s="38">
        <v>328.10521488804426</v>
      </c>
      <c r="O9" s="38">
        <v>361.10521488804426</v>
      </c>
      <c r="P9" s="38">
        <v>361.10521488804426</v>
      </c>
      <c r="Q9" s="38">
        <v>361.10521488804426</v>
      </c>
      <c r="R9" s="38">
        <v>361.10521488804426</v>
      </c>
      <c r="S9" s="38">
        <v>361.10521488804426</v>
      </c>
      <c r="T9" s="38">
        <v>440.89273318536101</v>
      </c>
      <c r="U9" s="38">
        <v>424.3086625242081</v>
      </c>
      <c r="V9" s="38">
        <v>424.3086625242081</v>
      </c>
      <c r="W9" s="38">
        <v>424.3086625242081</v>
      </c>
      <c r="X9" s="74">
        <v>424.3086625242081</v>
      </c>
      <c r="Y9" s="74">
        <v>424.3086625242081</v>
      </c>
      <c r="Z9" s="74">
        <v>424.3086625242081</v>
      </c>
      <c r="AA9" s="74">
        <v>424.3086625242081</v>
      </c>
      <c r="AB9" s="74">
        <v>583.01244923264278</v>
      </c>
      <c r="AC9" s="74">
        <v>583.01244923264278</v>
      </c>
      <c r="AD9" s="74">
        <v>583.01244923264278</v>
      </c>
      <c r="AE9" s="74">
        <v>358.2753636835555</v>
      </c>
      <c r="AF9" s="74">
        <v>358.2753636835555</v>
      </c>
      <c r="AG9" s="74">
        <v>386.5409455288073</v>
      </c>
      <c r="AH9" s="74">
        <v>386.5409455288073</v>
      </c>
      <c r="AI9" s="74">
        <v>379.58873460762942</v>
      </c>
      <c r="AJ9" s="74">
        <v>379.58873460762942</v>
      </c>
      <c r="AK9" s="74">
        <v>416.59962981432972</v>
      </c>
      <c r="AL9" s="74">
        <v>416.59962981432972</v>
      </c>
      <c r="AM9" s="74">
        <v>416.59962981432972</v>
      </c>
      <c r="AN9" s="74">
        <v>416.59962981432972</v>
      </c>
      <c r="AO9" s="74">
        <v>416.59962981432972</v>
      </c>
      <c r="AP9" s="74">
        <v>384.17887928367713</v>
      </c>
      <c r="AQ9" s="74">
        <v>0</v>
      </c>
      <c r="AR9" s="74">
        <v>0</v>
      </c>
      <c r="AS9" s="74">
        <v>0</v>
      </c>
      <c r="AT9" s="74">
        <v>0</v>
      </c>
      <c r="AU9" s="74">
        <v>0</v>
      </c>
      <c r="AV9" s="74" t="str" cm="1">
        <f t="array" aca="1" ref="AV9" ca="1">IFERROR(_xlfn.XLOOKUP($C9,
INDIRECT("'在庫使用計画 ("&amp;AV$1&amp;")'!D:D"),
INDIRECT("'在庫使用計画 ("&amp;AV$1&amp;")'!I:I")
),"")</f>
        <v/>
      </c>
      <c r="AW9" s="74" t="str" cm="1">
        <f t="array" aca="1" ref="AW9" ca="1">IFERROR(_xlfn.XLOOKUP($C9,
INDIRECT("'在庫使用計画 ("&amp;AW$1&amp;")'!D:D"),
INDIRECT("'在庫使用計画 ("&amp;AW$1&amp;")'!I:I")
),"")</f>
        <v/>
      </c>
      <c r="AX9" s="74" t="str" cm="1">
        <f t="array" aca="1" ref="AX9" ca="1">IFERROR(_xlfn.XLOOKUP($C9,
INDIRECT("'在庫使用計画 ("&amp;AX$1&amp;")'!D:D"),
INDIRECT("'在庫使用計画 ("&amp;AX$1&amp;")'!I:I")
),"")</f>
        <v/>
      </c>
    </row>
    <row r="10" spans="1:50" s="21" customFormat="1" ht="18.600000000000001" customHeight="1">
      <c r="A10" s="51"/>
      <c r="B10" s="26" t="str">
        <v>UNW-K-255HX-5070-L6</v>
      </c>
      <c r="C10" s="25" t="s">
        <v>1357</v>
      </c>
      <c r="D10" s="25" t="e">
        <v>#REF!</v>
      </c>
      <c r="E10" s="26" t="s">
        <v>1356</v>
      </c>
      <c r="F10" s="24">
        <v>5070</v>
      </c>
      <c r="G10" s="24" t="s">
        <v>1347</v>
      </c>
      <c r="H10" s="38">
        <v>268</v>
      </c>
      <c r="I10" s="700" t="e">
        <v>#REF!</v>
      </c>
      <c r="J10" s="416" t="e">
        <v>#REF!</v>
      </c>
      <c r="K10" s="38">
        <v>433.9361862058766</v>
      </c>
      <c r="L10" s="38">
        <v>431.1262689063434</v>
      </c>
      <c r="M10" s="38">
        <v>328.10521488804426</v>
      </c>
      <c r="N10" s="38">
        <v>328.10521488804426</v>
      </c>
      <c r="O10" s="38">
        <v>361.10521488804426</v>
      </c>
      <c r="P10" s="38">
        <v>361.10521488804426</v>
      </c>
      <c r="Q10" s="38">
        <v>361.10521488804426</v>
      </c>
      <c r="R10" s="38">
        <v>361.10521488804426</v>
      </c>
      <c r="S10" s="38">
        <v>361.10521488804426</v>
      </c>
      <c r="T10" s="38">
        <v>440.89273318536101</v>
      </c>
      <c r="U10" s="38">
        <v>424.3086625242081</v>
      </c>
      <c r="V10" s="38">
        <v>424.3086625242081</v>
      </c>
      <c r="W10" s="38">
        <v>424.3086625242081</v>
      </c>
      <c r="X10" s="74">
        <v>424.3086625242081</v>
      </c>
      <c r="Y10" s="74">
        <v>424.3086625242081</v>
      </c>
      <c r="Z10" s="74">
        <v>424.3086625242081</v>
      </c>
      <c r="AA10" s="74">
        <v>424.3086625242081</v>
      </c>
      <c r="AB10" s="74">
        <v>583.01244923264278</v>
      </c>
      <c r="AC10" s="74">
        <v>583.01244923264278</v>
      </c>
      <c r="AD10" s="74">
        <v>583.01244923264278</v>
      </c>
      <c r="AE10" s="74">
        <v>358.2753636835555</v>
      </c>
      <c r="AF10" s="74">
        <v>358.2753636835555</v>
      </c>
      <c r="AG10" s="74">
        <v>386.5409455288073</v>
      </c>
      <c r="AH10" s="74">
        <v>386.5409455288073</v>
      </c>
      <c r="AI10" s="74">
        <v>379.58873460762942</v>
      </c>
      <c r="AJ10" s="74">
        <v>379.58873460762942</v>
      </c>
      <c r="AK10" s="74">
        <v>416.59962981432972</v>
      </c>
      <c r="AL10" s="74">
        <v>416.59962981432972</v>
      </c>
      <c r="AM10" s="74">
        <v>416.59962981432972</v>
      </c>
      <c r="AN10" s="74">
        <v>416.59962981432972</v>
      </c>
      <c r="AO10" s="74">
        <v>416.59962981432972</v>
      </c>
      <c r="AP10" s="74">
        <v>384.17887928367713</v>
      </c>
      <c r="AQ10" s="74">
        <v>371.17887928367713</v>
      </c>
      <c r="AR10" s="74">
        <v>319.17342698235814</v>
      </c>
      <c r="AS10" s="74">
        <v>319.17342698235814</v>
      </c>
      <c r="AT10" s="74">
        <v>319.17342698235814</v>
      </c>
      <c r="AU10" s="74">
        <v>319.17342698235814</v>
      </c>
      <c r="AV10" s="74" t="str" cm="1">
        <f t="array" aca="1" ref="AV10" ca="1">IFERROR(_xlfn.XLOOKUP($C10,
INDIRECT("'在庫使用計画 ("&amp;AV$1&amp;")'!D:D"),
INDIRECT("'在庫使用計画 ("&amp;AV$1&amp;")'!I:I")
),"")</f>
        <v/>
      </c>
      <c r="AW10" s="74" t="str" cm="1">
        <f t="array" aca="1" ref="AW10" ca="1">IFERROR(_xlfn.XLOOKUP($C10,
INDIRECT("'在庫使用計画 ("&amp;AW$1&amp;")'!D:D"),
INDIRECT("'在庫使用計画 ("&amp;AW$1&amp;")'!I:I")
),"")</f>
        <v/>
      </c>
      <c r="AX10" s="74" t="str" cm="1">
        <f t="array" aca="1" ref="AX10" ca="1">IFERROR(_xlfn.XLOOKUP($C10,
INDIRECT("'在庫使用計画 ("&amp;AX$1&amp;")'!D:D"),
INDIRECT("'在庫使用計画 ("&amp;AX$1&amp;")'!I:I")
),"")</f>
        <v/>
      </c>
    </row>
    <row r="11" spans="1:50" s="21" customFormat="1" ht="18.600000000000001" customHeight="1">
      <c r="A11" s="51"/>
      <c r="B11" s="26" t="str">
        <v>UNW-K-270HXP-5070-L6</v>
      </c>
      <c r="C11" s="25" t="s">
        <v>220</v>
      </c>
      <c r="D11" s="25" t="e">
        <v>#REF!</v>
      </c>
      <c r="E11" s="26" t="s">
        <v>1358</v>
      </c>
      <c r="F11" s="24">
        <v>5060</v>
      </c>
      <c r="G11" s="24" t="s">
        <v>1347</v>
      </c>
      <c r="H11" s="38" t="e">
        <v>#N/A</v>
      </c>
      <c r="I11" s="700" t="e">
        <v>#REF!</v>
      </c>
      <c r="J11" s="416" t="e">
        <v>#REF!</v>
      </c>
      <c r="K11" s="38">
        <v>317.37121419314195</v>
      </c>
      <c r="L11" s="38">
        <v>325.36413040776114</v>
      </c>
      <c r="M11" s="38">
        <v>411.9515131198001</v>
      </c>
      <c r="N11" s="38">
        <v>411.9515131198001</v>
      </c>
      <c r="O11" s="38">
        <v>411.9515131198001</v>
      </c>
      <c r="P11" s="38">
        <v>411.9515131198001</v>
      </c>
      <c r="Q11" s="38">
        <v>411.9515131198001</v>
      </c>
      <c r="R11" s="38">
        <v>411.9515131198001</v>
      </c>
      <c r="S11" s="38">
        <v>411.9515131198001</v>
      </c>
      <c r="T11" s="38">
        <v>451.9515131198001</v>
      </c>
      <c r="U11" s="38">
        <v>451.9515131198001</v>
      </c>
      <c r="V11" s="38">
        <v>451.9515131198001</v>
      </c>
      <c r="W11" s="38">
        <v>451.9515131198001</v>
      </c>
      <c r="X11" s="74">
        <v>451.9515131198001</v>
      </c>
      <c r="Y11" s="74">
        <v>451.9515131198001</v>
      </c>
      <c r="Z11" s="74">
        <v>451.9515131198001</v>
      </c>
      <c r="AA11" s="74">
        <v>451.9515131198001</v>
      </c>
      <c r="AB11" s="74">
        <v>443.39758632249413</v>
      </c>
      <c r="AC11" s="74">
        <v>443.39758632249413</v>
      </c>
      <c r="AD11" s="74">
        <v>443.39758632249413</v>
      </c>
      <c r="AE11" s="74">
        <v>384.66220987733334</v>
      </c>
      <c r="AF11" s="74">
        <v>384.66220987733334</v>
      </c>
      <c r="AG11" s="74">
        <v>297.63929926131766</v>
      </c>
      <c r="AH11" s="74">
        <v>297.63929926131766</v>
      </c>
      <c r="AI11" s="74">
        <v>279.69577726356198</v>
      </c>
      <c r="AJ11" s="74">
        <v>279.69577726356198</v>
      </c>
      <c r="AK11" s="74">
        <v>246.24242923762864</v>
      </c>
      <c r="AL11" s="74">
        <v>276.24242923762864</v>
      </c>
      <c r="AM11" s="74">
        <v>276.24242923762864</v>
      </c>
      <c r="AN11" s="74">
        <v>276.24242923762864</v>
      </c>
      <c r="AO11" s="74">
        <v>276.24242923762864</v>
      </c>
      <c r="AP11" s="74">
        <v>262.23714078415242</v>
      </c>
      <c r="AQ11" s="74">
        <v>0</v>
      </c>
      <c r="AR11" s="74">
        <v>0</v>
      </c>
      <c r="AS11" s="74">
        <v>0</v>
      </c>
      <c r="AT11" s="74">
        <v>0</v>
      </c>
      <c r="AU11" s="74">
        <v>0</v>
      </c>
      <c r="AV11" s="74" t="str" cm="1">
        <f t="array" aca="1" ref="AV11" ca="1">IFERROR(_xlfn.XLOOKUP($C11,
INDIRECT("'在庫使用計画 ("&amp;AV$1&amp;")'!D:D"),
INDIRECT("'在庫使用計画 ("&amp;AV$1&amp;")'!I:I")
),"")</f>
        <v/>
      </c>
      <c r="AW11" s="74" t="str" cm="1">
        <f t="array" aca="1" ref="AW11" ca="1">IFERROR(_xlfn.XLOOKUP($C11,
INDIRECT("'在庫使用計画 ("&amp;AW$1&amp;")'!D:D"),
INDIRECT("'在庫使用計画 ("&amp;AW$1&amp;")'!I:I")
),"")</f>
        <v/>
      </c>
      <c r="AX11" s="74" t="str" cm="1">
        <f t="array" aca="1" ref="AX11" ca="1">IFERROR(_xlfn.XLOOKUP($C11,
INDIRECT("'在庫使用計画 ("&amp;AX$1&amp;")'!D:D"),
INDIRECT("'在庫使用計画 ("&amp;AX$1&amp;")'!I:I")
),"")</f>
        <v/>
      </c>
    </row>
    <row r="12" spans="1:50" s="21" customFormat="1" ht="18.600000000000001" customHeight="1">
      <c r="A12" s="51"/>
      <c r="B12" s="26" t="str">
        <v>CLE-V56-350-5060-L6</v>
      </c>
      <c r="C12" s="25" t="s">
        <v>1359</v>
      </c>
      <c r="D12" s="25" t="e">
        <v>#REF!</v>
      </c>
      <c r="E12" s="26" t="s">
        <v>1358</v>
      </c>
      <c r="F12" s="24">
        <v>5060</v>
      </c>
      <c r="G12" s="24" t="s">
        <v>1347</v>
      </c>
      <c r="H12" s="38">
        <v>0</v>
      </c>
      <c r="I12" s="700" t="e">
        <v>#REF!</v>
      </c>
      <c r="J12" s="416" t="e">
        <v>#REF!</v>
      </c>
      <c r="K12" s="38">
        <v>317.37121419314195</v>
      </c>
      <c r="L12" s="38">
        <v>325.36413040776114</v>
      </c>
      <c r="M12" s="38">
        <v>411.9515131198001</v>
      </c>
      <c r="N12" s="38">
        <v>411.9515131198001</v>
      </c>
      <c r="O12" s="38">
        <v>411.9515131198001</v>
      </c>
      <c r="P12" s="38">
        <v>411.9515131198001</v>
      </c>
      <c r="Q12" s="38">
        <v>411.9515131198001</v>
      </c>
      <c r="R12" s="38">
        <v>411.9515131198001</v>
      </c>
      <c r="S12" s="38">
        <v>411.9515131198001</v>
      </c>
      <c r="T12" s="38">
        <v>451.9515131198001</v>
      </c>
      <c r="U12" s="38">
        <v>451.9515131198001</v>
      </c>
      <c r="V12" s="38">
        <v>451.9515131198001</v>
      </c>
      <c r="W12" s="38">
        <v>451.9515131198001</v>
      </c>
      <c r="X12" s="74">
        <v>451.9515131198001</v>
      </c>
      <c r="Y12" s="74">
        <v>451.9515131198001</v>
      </c>
      <c r="Z12" s="74">
        <v>451.9515131198001</v>
      </c>
      <c r="AA12" s="74">
        <v>451.9515131198001</v>
      </c>
      <c r="AB12" s="74">
        <v>443.39758632249413</v>
      </c>
      <c r="AC12" s="74">
        <v>443.39758632249413</v>
      </c>
      <c r="AD12" s="74">
        <v>443.39758632249413</v>
      </c>
      <c r="AE12" s="74">
        <v>384.66220987733334</v>
      </c>
      <c r="AF12" s="74">
        <v>384.66220987733334</v>
      </c>
      <c r="AG12" s="74">
        <v>297.63929926131766</v>
      </c>
      <c r="AH12" s="74">
        <v>297.63929926131766</v>
      </c>
      <c r="AI12" s="74">
        <v>279.69577726356198</v>
      </c>
      <c r="AJ12" s="74">
        <v>279.69577726356198</v>
      </c>
      <c r="AK12" s="74">
        <v>246.24242923762864</v>
      </c>
      <c r="AL12" s="74">
        <v>276.24242923762864</v>
      </c>
      <c r="AM12" s="74">
        <v>276.24242923762864</v>
      </c>
      <c r="AN12" s="74">
        <v>276.24242923762864</v>
      </c>
      <c r="AO12" s="74">
        <v>276.24242923762864</v>
      </c>
      <c r="AP12" s="74">
        <v>262.23714078415242</v>
      </c>
      <c r="AQ12" s="74">
        <v>254.23714078415244</v>
      </c>
      <c r="AR12" s="74">
        <v>254.23714078415244</v>
      </c>
      <c r="AS12" s="74">
        <v>254.23714078415244</v>
      </c>
      <c r="AT12" s="74">
        <v>254.23714078415244</v>
      </c>
      <c r="AU12" s="74">
        <v>254.23714078415244</v>
      </c>
      <c r="AV12" s="74" t="str" cm="1">
        <f t="array" aca="1" ref="AV12" ca="1">IFERROR(_xlfn.XLOOKUP($C12,
INDIRECT("'在庫使用計画 ("&amp;AV$1&amp;")'!D:D"),
INDIRECT("'在庫使用計画 ("&amp;AV$1&amp;")'!I:I")
),"")</f>
        <v/>
      </c>
      <c r="AW12" s="74" t="str" cm="1">
        <f t="array" aca="1" ref="AW12" ca="1">IFERROR(_xlfn.XLOOKUP($C12,
INDIRECT("'在庫使用計画 ("&amp;AW$1&amp;")'!D:D"),
INDIRECT("'在庫使用計画 ("&amp;AW$1&amp;")'!I:I")
),"")</f>
        <v/>
      </c>
      <c r="AX12" s="74" t="str" cm="1">
        <f t="array" aca="1" ref="AX12" ca="1">IFERROR(_xlfn.XLOOKUP($C12,
INDIRECT("'在庫使用計画 ("&amp;AX$1&amp;")'!D:D"),
INDIRECT("'在庫使用計画 ("&amp;AX$1&amp;")'!I:I")
),"")</f>
        <v/>
      </c>
    </row>
    <row r="13" spans="1:50" s="21" customFormat="1" ht="18.600000000000001" customHeight="1">
      <c r="A13" s="51"/>
      <c r="B13" s="26" t="str">
        <v>UNW-U-255HX-5060-L6</v>
      </c>
      <c r="C13" s="25" t="s">
        <v>1360</v>
      </c>
      <c r="D13" s="25" t="e">
        <v>#REF!</v>
      </c>
      <c r="E13" s="26" t="s">
        <v>1356</v>
      </c>
      <c r="F13" s="24">
        <v>5060</v>
      </c>
      <c r="G13" s="24" t="s">
        <v>1347</v>
      </c>
      <c r="H13" s="38">
        <v>5</v>
      </c>
      <c r="I13" s="700" t="e">
        <v>#REF!</v>
      </c>
      <c r="J13" s="416" t="e">
        <v>#REF!</v>
      </c>
      <c r="K13" s="38">
        <v>587.65526455381428</v>
      </c>
      <c r="L13" s="38">
        <v>619.74083799237314</v>
      </c>
      <c r="M13" s="38">
        <v>187.94816759847464</v>
      </c>
      <c r="N13" s="38">
        <v>187.94816759847464</v>
      </c>
      <c r="O13" s="38">
        <v>185.94816759847464</v>
      </c>
      <c r="P13" s="38">
        <v>185.94816759847464</v>
      </c>
      <c r="Q13" s="38">
        <v>185.94816759847464</v>
      </c>
      <c r="R13" s="38">
        <v>185.94816759847464</v>
      </c>
      <c r="S13" s="38">
        <v>185.94816759847464</v>
      </c>
      <c r="T13" s="38">
        <v>284.75547545548295</v>
      </c>
      <c r="U13" s="38">
        <v>284.75547545548295</v>
      </c>
      <c r="V13" s="38">
        <v>284.75547545548295</v>
      </c>
      <c r="W13" s="38">
        <v>284.75547545548295</v>
      </c>
      <c r="X13" s="74">
        <v>284.75547545548295</v>
      </c>
      <c r="Y13" s="74">
        <v>284.75547545548295</v>
      </c>
      <c r="Z13" s="74">
        <v>284.75547545548295</v>
      </c>
      <c r="AA13" s="74">
        <v>284.75547545548295</v>
      </c>
      <c r="AB13" s="74">
        <v>423.82858675330539</v>
      </c>
      <c r="AC13" s="74">
        <v>423.82858675330539</v>
      </c>
      <c r="AD13" s="74">
        <v>448.82858675330539</v>
      </c>
      <c r="AE13" s="74">
        <v>332.44695854489601</v>
      </c>
      <c r="AF13" s="74">
        <v>332.44695854489601</v>
      </c>
      <c r="AG13" s="74">
        <v>318.39890248834024</v>
      </c>
      <c r="AH13" s="74">
        <v>318.39890248834024</v>
      </c>
      <c r="AI13" s="74">
        <v>332.07136177062176</v>
      </c>
      <c r="AJ13" s="74">
        <v>332.07136177062176</v>
      </c>
      <c r="AK13" s="74">
        <v>351.2073916133815</v>
      </c>
      <c r="AL13" s="74">
        <v>351.2073916133815</v>
      </c>
      <c r="AM13" s="74">
        <v>351.2073916133815</v>
      </c>
      <c r="AN13" s="74">
        <v>351.2073916133815</v>
      </c>
      <c r="AO13" s="74">
        <v>351.2073916133815</v>
      </c>
      <c r="AP13" s="74">
        <v>346.23577585673542</v>
      </c>
      <c r="AQ13" s="74">
        <v>350.23577585673542</v>
      </c>
      <c r="AR13" s="74">
        <v>233.23577585673542</v>
      </c>
      <c r="AS13" s="74">
        <v>233.23577585673542</v>
      </c>
      <c r="AT13" s="74">
        <v>233.23577585673542</v>
      </c>
      <c r="AU13" s="74">
        <v>233.23577585673542</v>
      </c>
      <c r="AV13" s="74" t="str" cm="1">
        <f t="array" aca="1" ref="AV13" ca="1">IFERROR(_xlfn.XLOOKUP($C13,
INDIRECT("'在庫使用計画 ("&amp;AV$1&amp;")'!D:D"),
INDIRECT("'在庫使用計画 ("&amp;AV$1&amp;")'!I:I")
),"")</f>
        <v/>
      </c>
      <c r="AW13" s="74" t="str" cm="1">
        <f t="array" aca="1" ref="AW13" ca="1">IFERROR(_xlfn.XLOOKUP($C13,
INDIRECT("'在庫使用計画 ("&amp;AW$1&amp;")'!D:D"),
INDIRECT("'在庫使用計画 ("&amp;AW$1&amp;")'!I:I")
),"")</f>
        <v/>
      </c>
      <c r="AX13" s="74" t="str" cm="1">
        <f t="array" aca="1" ref="AX13" ca="1">IFERROR(_xlfn.XLOOKUP($C13,
INDIRECT("'在庫使用計画 ("&amp;AX$1&amp;")'!D:D"),
INDIRECT("'在庫使用計画 ("&amp;AX$1&amp;")'!I:I")
),"")</f>
        <v/>
      </c>
    </row>
    <row r="14" spans="1:50" s="21" customFormat="1" ht="18.600000000000001" customHeight="1">
      <c r="A14" s="33"/>
      <c r="B14" s="26" t="str">
        <v/>
      </c>
      <c r="C14" s="26"/>
      <c r="D14" s="25" t="str">
        <v/>
      </c>
      <c r="E14" s="26"/>
      <c r="F14" s="26"/>
      <c r="G14" s="26"/>
      <c r="H14" s="38" t="str">
        <v/>
      </c>
      <c r="I14" s="700" t="str">
        <v/>
      </c>
      <c r="J14" s="416" t="str">
        <v/>
      </c>
      <c r="K14" s="38" t="s">
        <v>21</v>
      </c>
      <c r="L14" s="38" t="s">
        <v>21</v>
      </c>
      <c r="M14" s="38" t="s">
        <v>21</v>
      </c>
      <c r="N14" s="38" t="s">
        <v>21</v>
      </c>
      <c r="O14" s="38" t="s">
        <v>21</v>
      </c>
      <c r="P14" s="38" t="s">
        <v>21</v>
      </c>
      <c r="Q14" s="38"/>
      <c r="R14" s="38" t="s">
        <v>21</v>
      </c>
      <c r="S14" s="38" t="s">
        <v>21</v>
      </c>
      <c r="T14" s="38" t="s">
        <v>21</v>
      </c>
      <c r="U14" s="38" t="s">
        <v>21</v>
      </c>
      <c r="V14" s="38" t="s">
        <v>21</v>
      </c>
      <c r="W14" s="38" t="s">
        <v>21</v>
      </c>
      <c r="X14" s="74" t="s">
        <v>21</v>
      </c>
      <c r="Y14" s="74" t="s">
        <v>21</v>
      </c>
      <c r="Z14" s="74" t="s">
        <v>21</v>
      </c>
      <c r="AA14" s="74" t="s">
        <v>21</v>
      </c>
      <c r="AB14" s="74" t="s">
        <v>21</v>
      </c>
      <c r="AC14" s="74" t="s">
        <v>21</v>
      </c>
      <c r="AD14" s="74" t="s">
        <v>21</v>
      </c>
      <c r="AE14" s="74" t="s">
        <v>21</v>
      </c>
      <c r="AF14" s="74" t="s">
        <v>21</v>
      </c>
      <c r="AG14" s="74" t="s">
        <v>21</v>
      </c>
      <c r="AH14" s="74" t="s">
        <v>21</v>
      </c>
      <c r="AI14" s="74" t="s">
        <v>21</v>
      </c>
      <c r="AJ14" s="74" t="s">
        <v>21</v>
      </c>
      <c r="AK14" s="74" t="s">
        <v>21</v>
      </c>
      <c r="AL14" s="74" t="s">
        <v>21</v>
      </c>
      <c r="AM14" s="74" t="s">
        <v>21</v>
      </c>
      <c r="AN14" s="74" t="s">
        <v>21</v>
      </c>
      <c r="AO14" s="74" t="s">
        <v>21</v>
      </c>
      <c r="AP14" s="74" t="s">
        <v>21</v>
      </c>
      <c r="AQ14" s="74" t="s">
        <v>21</v>
      </c>
      <c r="AR14" s="74" t="s">
        <v>21</v>
      </c>
      <c r="AS14" s="74" t="s">
        <v>21</v>
      </c>
      <c r="AT14" s="74" t="s">
        <v>21</v>
      </c>
      <c r="AU14" s="74" t="s">
        <v>21</v>
      </c>
      <c r="AV14" s="74" t="str" cm="1">
        <f t="array" aca="1" ref="AV14" ca="1">IFERROR(_xlfn.XLOOKUP($C14,
INDIRECT("'在庫使用計画 ("&amp;AV$1&amp;")'!D:D"),
INDIRECT("'在庫使用計画 ("&amp;AV$1&amp;")'!I:I")
),"")</f>
        <v/>
      </c>
      <c r="AW14" s="74" t="str" cm="1">
        <f t="array" aca="1" ref="AW14" ca="1">IFERROR(_xlfn.XLOOKUP($C14,
INDIRECT("'在庫使用計画 ("&amp;AW$1&amp;")'!D:D"),
INDIRECT("'在庫使用計画 ("&amp;AW$1&amp;")'!I:I")
),"")</f>
        <v/>
      </c>
      <c r="AX14" s="74" t="str" cm="1">
        <f t="array" aca="1" ref="AX14" ca="1">IFERROR(_xlfn.XLOOKUP($C14,
INDIRECT("'在庫使用計画 ("&amp;AX$1&amp;")'!D:D"),
INDIRECT("'在庫使用計画 ("&amp;AX$1&amp;")'!I:I")
),"")</f>
        <v/>
      </c>
    </row>
    <row r="15" spans="1:50" s="21" customFormat="1" ht="18.600000000000001" customHeight="1">
      <c r="A15" s="293" t="s">
        <v>1361</v>
      </c>
      <c r="B15" s="26" t="str">
        <v>UNW-2-14650HX-5070-L6-DDR5-15.3</v>
      </c>
      <c r="C15" s="26" t="s">
        <v>394</v>
      </c>
      <c r="D15" s="25" t="e">
        <v>#REF!</v>
      </c>
      <c r="E15" s="26" t="s">
        <v>1362</v>
      </c>
      <c r="F15" s="26">
        <v>5060</v>
      </c>
      <c r="G15" s="26" t="s">
        <v>1347</v>
      </c>
      <c r="H15" s="38">
        <v>0</v>
      </c>
      <c r="I15" s="700" t="e">
        <v>#REF!</v>
      </c>
      <c r="J15" s="416" t="e">
        <v>#REF!</v>
      </c>
      <c r="K15" s="38">
        <v>1605.1239158293624</v>
      </c>
      <c r="L15" s="38">
        <v>2223.3461314625606</v>
      </c>
      <c r="M15" s="38">
        <v>2223.3461314625606</v>
      </c>
      <c r="N15" s="38">
        <v>2223.3461314625606</v>
      </c>
      <c r="O15" s="38">
        <v>2178.3461314625606</v>
      </c>
      <c r="P15" s="38">
        <v>2178.3461314625606</v>
      </c>
      <c r="Q15" s="38">
        <v>2178.3461314625606</v>
      </c>
      <c r="R15" s="38">
        <v>2178.3461314625606</v>
      </c>
      <c r="S15" s="38">
        <v>2178.3461314625606</v>
      </c>
      <c r="T15" s="38">
        <v>1619.5341895103918</v>
      </c>
      <c r="U15" s="38">
        <v>1619.5341895103918</v>
      </c>
      <c r="V15" s="38">
        <v>1619.5341895103918</v>
      </c>
      <c r="W15" s="38">
        <v>1619.5341895103918</v>
      </c>
      <c r="X15" s="74">
        <v>1619.5341895103918</v>
      </c>
      <c r="Y15" s="74">
        <v>1619.5341895103918</v>
      </c>
      <c r="Z15" s="74">
        <v>1844.5341895103918</v>
      </c>
      <c r="AA15" s="74">
        <v>1844.5341895103918</v>
      </c>
      <c r="AB15" s="74">
        <v>2046.928912535808</v>
      </c>
      <c r="AC15" s="74">
        <v>2046.928912535808</v>
      </c>
      <c r="AD15" s="74">
        <v>2046.928912535808</v>
      </c>
      <c r="AE15" s="74">
        <v>1183.7670072035553</v>
      </c>
      <c r="AF15" s="74">
        <v>1183.7670072035553</v>
      </c>
      <c r="AG15" s="74">
        <v>1587.7975938182483</v>
      </c>
      <c r="AH15" s="74">
        <v>1587.7975938182483</v>
      </c>
      <c r="AI15" s="74">
        <v>1574.4075245471884</v>
      </c>
      <c r="AJ15" s="74">
        <v>1574.4075245471884</v>
      </c>
      <c r="AK15" s="74">
        <v>1772.2818705622585</v>
      </c>
      <c r="AL15" s="74">
        <v>1772.2818705622585</v>
      </c>
      <c r="AM15" s="74">
        <v>1772.2818705622585</v>
      </c>
      <c r="AN15" s="74">
        <v>1772.2818705622585</v>
      </c>
      <c r="AO15" s="74">
        <v>1772.2818705622585</v>
      </c>
      <c r="AP15" s="74">
        <v>1702.7196119169594</v>
      </c>
      <c r="AQ15" s="74">
        <v>0</v>
      </c>
      <c r="AR15" s="74">
        <v>0</v>
      </c>
      <c r="AS15" s="74">
        <v>0</v>
      </c>
      <c r="AT15" s="74">
        <v>0</v>
      </c>
      <c r="AU15" s="74">
        <v>0</v>
      </c>
      <c r="AV15" s="74" t="str" cm="1">
        <f t="array" aca="1" ref="AV15" ca="1">IFERROR(_xlfn.XLOOKUP($C15,
INDIRECT("'在庫使用計画 ("&amp;AV$1&amp;")'!D:D"),
INDIRECT("'在庫使用計画 ("&amp;AV$1&amp;")'!I:I")
),"")</f>
        <v/>
      </c>
      <c r="AW15" s="74" t="str" cm="1">
        <f t="array" aca="1" ref="AW15" ca="1">IFERROR(_xlfn.XLOOKUP($C15,
INDIRECT("'在庫使用計画 ("&amp;AW$1&amp;")'!D:D"),
INDIRECT("'在庫使用計画 ("&amp;AW$1&amp;")'!I:I")
),"")</f>
        <v/>
      </c>
      <c r="AX15" s="74" t="str" cm="1">
        <f t="array" aca="1" ref="AX15" ca="1">IFERROR(_xlfn.XLOOKUP($C15,
INDIRECT("'在庫使用計画 ("&amp;AX$1&amp;")'!D:D"),
INDIRECT("'在庫使用計画 ("&amp;AX$1&amp;")'!I:I")
),"")</f>
        <v/>
      </c>
    </row>
    <row r="16" spans="1:50" s="21" customFormat="1" ht="18.600000000000001" customHeight="1">
      <c r="A16" s="293"/>
      <c r="B16" s="26" t="str">
        <v>CLE-V35-14650HX-5060-L6</v>
      </c>
      <c r="C16" s="26" t="s">
        <v>1363</v>
      </c>
      <c r="D16" s="25" t="e">
        <v>#REF!</v>
      </c>
      <c r="E16" s="26" t="s">
        <v>1362</v>
      </c>
      <c r="F16" s="26">
        <v>5060</v>
      </c>
      <c r="G16" s="26" t="s">
        <v>1347</v>
      </c>
      <c r="H16" s="38">
        <v>152</v>
      </c>
      <c r="I16" s="700" t="e">
        <v>#REF!</v>
      </c>
      <c r="J16" s="416" t="e">
        <v>#REF!</v>
      </c>
      <c r="K16" s="38">
        <v>1605.1239158293624</v>
      </c>
      <c r="L16" s="38">
        <v>2223.3461314625606</v>
      </c>
      <c r="M16" s="38">
        <v>2223.3461314625606</v>
      </c>
      <c r="N16" s="38">
        <v>2223.3461314625606</v>
      </c>
      <c r="O16" s="38">
        <v>2178.3461314625606</v>
      </c>
      <c r="P16" s="38">
        <v>2178.3461314625606</v>
      </c>
      <c r="Q16" s="38">
        <v>2178.3461314625606</v>
      </c>
      <c r="R16" s="38">
        <v>2178.3461314625606</v>
      </c>
      <c r="S16" s="38">
        <v>2178.3461314625606</v>
      </c>
      <c r="T16" s="38">
        <v>1619.5341895103918</v>
      </c>
      <c r="U16" s="38">
        <v>1619.5341895103918</v>
      </c>
      <c r="V16" s="38">
        <v>1619.5341895103918</v>
      </c>
      <c r="W16" s="38">
        <v>1619.5341895103918</v>
      </c>
      <c r="X16" s="74">
        <v>1619.5341895103918</v>
      </c>
      <c r="Y16" s="74">
        <v>1619.5341895103918</v>
      </c>
      <c r="Z16" s="74">
        <v>1844.5341895103918</v>
      </c>
      <c r="AA16" s="74">
        <v>1844.5341895103918</v>
      </c>
      <c r="AB16" s="74">
        <v>2046.928912535808</v>
      </c>
      <c r="AC16" s="74">
        <v>2046.928912535808</v>
      </c>
      <c r="AD16" s="74">
        <v>2046.928912535808</v>
      </c>
      <c r="AE16" s="74">
        <v>1183.7670072035553</v>
      </c>
      <c r="AF16" s="74">
        <v>1183.7670072035553</v>
      </c>
      <c r="AG16" s="74">
        <v>1587.7975938182483</v>
      </c>
      <c r="AH16" s="74">
        <v>1587.7975938182483</v>
      </c>
      <c r="AI16" s="74">
        <v>1574.4075245471884</v>
      </c>
      <c r="AJ16" s="74">
        <v>1574.4075245471884</v>
      </c>
      <c r="AK16" s="74">
        <v>1772.2818705622585</v>
      </c>
      <c r="AL16" s="74">
        <v>1772.2818705622585</v>
      </c>
      <c r="AM16" s="74">
        <v>1772.2818705622585</v>
      </c>
      <c r="AN16" s="74">
        <v>1772.2818705622585</v>
      </c>
      <c r="AO16" s="74">
        <v>1772.2818705622585</v>
      </c>
      <c r="AP16" s="74">
        <v>1702.7196119169594</v>
      </c>
      <c r="AQ16" s="74">
        <v>1577.7196119169594</v>
      </c>
      <c r="AR16" s="74">
        <v>1587.7196119169594</v>
      </c>
      <c r="AS16" s="74">
        <v>1587.7196119169594</v>
      </c>
      <c r="AT16" s="74">
        <v>1587.7196119169594</v>
      </c>
      <c r="AU16" s="74">
        <v>1587.7196119169594</v>
      </c>
      <c r="AV16" s="74" t="str" cm="1">
        <f t="array" aca="1" ref="AV16" ca="1">IFERROR(_xlfn.XLOOKUP($C16,
INDIRECT("'在庫使用計画 ("&amp;AV$1&amp;")'!D:D"),
INDIRECT("'在庫使用計画 ("&amp;AV$1&amp;")'!I:I")
),"")</f>
        <v/>
      </c>
      <c r="AW16" s="74" t="str" cm="1">
        <f t="array" aca="1" ref="AW16" ca="1">IFERROR(_xlfn.XLOOKUP($C16,
INDIRECT("'在庫使用計画 ("&amp;AW$1&amp;")'!D:D"),
INDIRECT("'在庫使用計画 ("&amp;AW$1&amp;")'!I:I")
),"")</f>
        <v/>
      </c>
      <c r="AX16" s="74" t="str" cm="1">
        <f t="array" aca="1" ref="AX16" ca="1">IFERROR(_xlfn.XLOOKUP($C16,
INDIRECT("'在庫使用計画 ("&amp;AX$1&amp;")'!D:D"),
INDIRECT("'在庫使用計画 ("&amp;AX$1&amp;")'!I:I")
),"")</f>
        <v/>
      </c>
    </row>
    <row r="17" spans="1:50" s="21" customFormat="1" ht="18.600000000000001" customHeight="1">
      <c r="A17" s="293"/>
      <c r="B17" s="26" t="str">
        <v>UNW-2-14650HX-5060-L6-DDR5-15.3</v>
      </c>
      <c r="C17" s="26" t="s">
        <v>306</v>
      </c>
      <c r="D17" s="25" t="e">
        <v>#REF!</v>
      </c>
      <c r="E17" s="26" t="s">
        <v>1362</v>
      </c>
      <c r="F17" s="26">
        <v>5050</v>
      </c>
      <c r="G17" s="26" t="s">
        <v>1347</v>
      </c>
      <c r="H17" s="38">
        <v>1355</v>
      </c>
      <c r="I17" s="700" t="e">
        <v>#REF!</v>
      </c>
      <c r="J17" s="416" t="e">
        <v>#REF!</v>
      </c>
      <c r="K17" s="38">
        <v>1404.4848567725674</v>
      </c>
      <c r="L17" s="38">
        <v>1416.4565216310446</v>
      </c>
      <c r="M17" s="38">
        <v>1275.7410272201009</v>
      </c>
      <c r="N17" s="38">
        <v>1275.7410272201009</v>
      </c>
      <c r="O17" s="38">
        <v>1140.7410272201009</v>
      </c>
      <c r="P17" s="38">
        <v>1140.7410272201009</v>
      </c>
      <c r="Q17" s="38">
        <v>1140.7410272201009</v>
      </c>
      <c r="R17" s="38">
        <v>1140.7410272201009</v>
      </c>
      <c r="S17" s="38">
        <v>1140.7410272201009</v>
      </c>
      <c r="T17" s="38">
        <v>1844.0278284776873</v>
      </c>
      <c r="U17" s="38">
        <v>1964.0278284776873</v>
      </c>
      <c r="V17" s="38">
        <v>1633.5893012969036</v>
      </c>
      <c r="W17" s="38">
        <v>1633.5893012969036</v>
      </c>
      <c r="X17" s="74">
        <v>1633.5893012969036</v>
      </c>
      <c r="Y17" s="74">
        <v>1633.5893012969036</v>
      </c>
      <c r="Z17" s="74">
        <v>1633.5893012969036</v>
      </c>
      <c r="AA17" s="74">
        <v>1633.5893012969036</v>
      </c>
      <c r="AB17" s="74">
        <v>1698.2276882570404</v>
      </c>
      <c r="AC17" s="74">
        <v>1698.2276882570404</v>
      </c>
      <c r="AD17" s="74">
        <v>1698.2276882570404</v>
      </c>
      <c r="AE17" s="74">
        <v>1479.4258744888887</v>
      </c>
      <c r="AF17" s="74">
        <v>1479.4258744888887</v>
      </c>
      <c r="AG17" s="74">
        <v>1545.4368930795661</v>
      </c>
      <c r="AH17" s="74">
        <v>1545.4368930795661</v>
      </c>
      <c r="AI17" s="74">
        <v>1469.1033018107505</v>
      </c>
      <c r="AJ17" s="74">
        <v>1469.1033018107505</v>
      </c>
      <c r="AK17" s="74">
        <v>1106.6927698170286</v>
      </c>
      <c r="AL17" s="74">
        <v>1106.6927698170286</v>
      </c>
      <c r="AM17" s="74">
        <v>1106.6927698170286</v>
      </c>
      <c r="AN17" s="74">
        <v>1106.6927698170286</v>
      </c>
      <c r="AO17" s="74">
        <v>1106.6927698170286</v>
      </c>
      <c r="AP17" s="74">
        <v>959.94992806402661</v>
      </c>
      <c r="AQ17" s="74">
        <v>0</v>
      </c>
      <c r="AR17" s="74">
        <v>0</v>
      </c>
      <c r="AS17" s="74">
        <v>0</v>
      </c>
      <c r="AT17" s="74">
        <v>0</v>
      </c>
      <c r="AU17" s="74">
        <v>0</v>
      </c>
      <c r="AV17" s="74" t="str" cm="1">
        <f t="array" aca="1" ref="AV17" ca="1">IFERROR(_xlfn.XLOOKUP($C17,
INDIRECT("'在庫使用計画 ("&amp;AV$1&amp;")'!D:D"),
INDIRECT("'在庫使用計画 ("&amp;AV$1&amp;")'!I:I")
),"")</f>
        <v/>
      </c>
      <c r="AW17" s="74" t="str" cm="1">
        <f t="array" aca="1" ref="AW17" ca="1">IFERROR(_xlfn.XLOOKUP($C17,
INDIRECT("'在庫使用計画 ("&amp;AW$1&amp;")'!D:D"),
INDIRECT("'在庫使用計画 ("&amp;AW$1&amp;")'!I:I")
),"")</f>
        <v/>
      </c>
      <c r="AX17" s="74" t="str" cm="1">
        <f t="array" aca="1" ref="AX17" ca="1">IFERROR(_xlfn.XLOOKUP($C17,
INDIRECT("'在庫使用計画 ("&amp;AX$1&amp;")'!D:D"),
INDIRECT("'在庫使用計画 ("&amp;AX$1&amp;")'!I:I")
),"")</f>
        <v/>
      </c>
    </row>
    <row r="18" spans="1:50" s="21" customFormat="1" ht="18.600000000000001" customHeight="1">
      <c r="A18" s="293"/>
      <c r="B18" s="26" t="str">
        <v>CLE-V35-14650HX-5050-L6</v>
      </c>
      <c r="C18" s="26" t="s">
        <v>1364</v>
      </c>
      <c r="D18" s="25" t="e">
        <v>#REF!</v>
      </c>
      <c r="E18" s="26" t="s">
        <v>1362</v>
      </c>
      <c r="F18" s="26">
        <v>5050</v>
      </c>
      <c r="G18" s="26" t="s">
        <v>1347</v>
      </c>
      <c r="H18" s="38">
        <v>702</v>
      </c>
      <c r="I18" s="700" t="e">
        <v>#REF!</v>
      </c>
      <c r="J18" s="416" t="e">
        <v>#REF!</v>
      </c>
      <c r="K18" s="38">
        <v>1404.4848567725674</v>
      </c>
      <c r="L18" s="38">
        <v>1416.4565216310446</v>
      </c>
      <c r="M18" s="38">
        <v>1275.7410272201009</v>
      </c>
      <c r="N18" s="38">
        <v>1275.7410272201009</v>
      </c>
      <c r="O18" s="38">
        <v>1140.7410272201009</v>
      </c>
      <c r="P18" s="38">
        <v>1140.7410272201009</v>
      </c>
      <c r="Q18" s="38">
        <v>1140.7410272201009</v>
      </c>
      <c r="R18" s="38">
        <v>1140.7410272201009</v>
      </c>
      <c r="S18" s="38">
        <v>1140.7410272201009</v>
      </c>
      <c r="T18" s="38">
        <v>1844.0278284776873</v>
      </c>
      <c r="U18" s="38">
        <v>1964.0278284776873</v>
      </c>
      <c r="V18" s="38">
        <v>1633.5893012969036</v>
      </c>
      <c r="W18" s="38">
        <v>1633.5893012969036</v>
      </c>
      <c r="X18" s="74">
        <v>1633.5893012969036</v>
      </c>
      <c r="Y18" s="74">
        <v>1633.5893012969036</v>
      </c>
      <c r="Z18" s="74">
        <v>1633.5893012969036</v>
      </c>
      <c r="AA18" s="74">
        <v>1633.5893012969036</v>
      </c>
      <c r="AB18" s="74">
        <v>1698.2276882570404</v>
      </c>
      <c r="AC18" s="74">
        <v>1698.2276882570404</v>
      </c>
      <c r="AD18" s="74">
        <v>1698.2276882570404</v>
      </c>
      <c r="AE18" s="74">
        <v>1479.4258744888887</v>
      </c>
      <c r="AF18" s="74">
        <v>1479.4258744888887</v>
      </c>
      <c r="AG18" s="74">
        <v>1545.4368930795661</v>
      </c>
      <c r="AH18" s="74">
        <v>1545.4368930795661</v>
      </c>
      <c r="AI18" s="74">
        <v>1469.1033018107505</v>
      </c>
      <c r="AJ18" s="74">
        <v>1469.1033018107505</v>
      </c>
      <c r="AK18" s="74">
        <v>1106.6927698170286</v>
      </c>
      <c r="AL18" s="74">
        <v>1106.6927698170286</v>
      </c>
      <c r="AM18" s="74">
        <v>1106.6927698170286</v>
      </c>
      <c r="AN18" s="74">
        <v>1106.6927698170286</v>
      </c>
      <c r="AO18" s="74">
        <v>1106.6927698170286</v>
      </c>
      <c r="AP18" s="74">
        <v>959.94992806402661</v>
      </c>
      <c r="AQ18" s="74">
        <v>969.94992806402661</v>
      </c>
      <c r="AR18" s="74">
        <v>1025.867134911791</v>
      </c>
      <c r="AS18" s="74">
        <v>1025.867134911791</v>
      </c>
      <c r="AT18" s="74">
        <v>1025.867134911791</v>
      </c>
      <c r="AU18" s="74">
        <v>1025.867134911791</v>
      </c>
      <c r="AV18" s="74" t="str" cm="1">
        <f t="array" aca="1" ref="AV18" ca="1">IFERROR(_xlfn.XLOOKUP($C18,
INDIRECT("'在庫使用計画 ("&amp;AV$1&amp;")'!D:D"),
INDIRECT("'在庫使用計画 ("&amp;AV$1&amp;")'!I:I")
),"")</f>
        <v/>
      </c>
      <c r="AW18" s="74" t="str" cm="1">
        <f t="array" aca="1" ref="AW18" ca="1">IFERROR(_xlfn.XLOOKUP($C18,
INDIRECT("'在庫使用計画 ("&amp;AW$1&amp;")'!D:D"),
INDIRECT("'在庫使用計画 ("&amp;AW$1&amp;")'!I:I")
),"")</f>
        <v/>
      </c>
      <c r="AX18" s="74" t="str" cm="1">
        <f t="array" aca="1" ref="AX18" ca="1">IFERROR(_xlfn.XLOOKUP($C18,
INDIRECT("'在庫使用計画 ("&amp;AX$1&amp;")'!D:D"),
INDIRECT("'在庫使用計画 ("&amp;AX$1&amp;")'!I:I")
),"")</f>
        <v/>
      </c>
    </row>
    <row r="19" spans="1:50" s="21" customFormat="1" ht="18.600000000000001" customHeight="1">
      <c r="A19" s="293"/>
      <c r="B19" s="26" t="str">
        <v>UNW-E-14450HX-5050-L6-DDR5-15.6</v>
      </c>
      <c r="C19" s="26" t="s">
        <v>334</v>
      </c>
      <c r="D19" s="25" t="e">
        <v>#REF!</v>
      </c>
      <c r="E19" s="26" t="s">
        <v>1365</v>
      </c>
      <c r="F19" s="26">
        <v>4050</v>
      </c>
      <c r="G19" s="26" t="s">
        <v>1347</v>
      </c>
      <c r="H19" s="38">
        <v>1805</v>
      </c>
      <c r="I19" s="700" t="e">
        <v>#REF!</v>
      </c>
      <c r="J19" s="416" t="e">
        <v>#REF!</v>
      </c>
      <c r="K19" s="38">
        <v>3367.7493151956319</v>
      </c>
      <c r="L19" s="38">
        <v>3401.1798547820727</v>
      </c>
      <c r="M19" s="38">
        <v>3401.1798547820727</v>
      </c>
      <c r="N19" s="38">
        <v>3401.1798547820727</v>
      </c>
      <c r="O19" s="38">
        <v>3346.1798547820727</v>
      </c>
      <c r="P19" s="38">
        <v>3346.1798547820727</v>
      </c>
      <c r="Q19" s="38">
        <v>3346.1798547820727</v>
      </c>
      <c r="R19" s="38">
        <v>3436.1798547820727</v>
      </c>
      <c r="S19" s="38">
        <v>3436.1798547820727</v>
      </c>
      <c r="T19" s="38">
        <v>4371.2301723996643</v>
      </c>
      <c r="U19" s="38">
        <v>4551.2301723996643</v>
      </c>
      <c r="V19" s="38">
        <v>4371</v>
      </c>
      <c r="W19" s="38">
        <v>4371</v>
      </c>
      <c r="X19" s="74">
        <v>4371</v>
      </c>
      <c r="Y19" s="74">
        <v>4371</v>
      </c>
      <c r="Z19" s="74">
        <v>1987.6980600793202</v>
      </c>
      <c r="AA19" s="74">
        <v>1987.6980600793202</v>
      </c>
      <c r="AB19" s="74">
        <v>2407.0576940208266</v>
      </c>
      <c r="AC19" s="74">
        <v>2407.0576940208266</v>
      </c>
      <c r="AD19" s="74">
        <v>2407.0576940208266</v>
      </c>
      <c r="AE19" s="74">
        <v>2407.0576940208266</v>
      </c>
      <c r="AF19" s="74">
        <v>2407.0576940208266</v>
      </c>
      <c r="AG19" s="74">
        <v>2436.8193328930101</v>
      </c>
      <c r="AH19" s="74">
        <v>2436.8193328930101</v>
      </c>
      <c r="AI19" s="74">
        <v>2394.2450901406983</v>
      </c>
      <c r="AJ19" s="74">
        <v>2394.2450901406983</v>
      </c>
      <c r="AK19" s="74">
        <v>2864.8425656139907</v>
      </c>
      <c r="AL19" s="74">
        <v>2864.8425656139907</v>
      </c>
      <c r="AM19" s="74">
        <v>2864.8425656139907</v>
      </c>
      <c r="AN19" s="74">
        <v>2864.8425656139907</v>
      </c>
      <c r="AO19" s="74">
        <v>2864.8425656139907</v>
      </c>
      <c r="AP19" s="74">
        <v>2854.729166408878</v>
      </c>
      <c r="AQ19" s="74">
        <v>0</v>
      </c>
      <c r="AR19" s="74">
        <v>0</v>
      </c>
      <c r="AS19" s="74">
        <v>0</v>
      </c>
      <c r="AT19" s="74">
        <v>0</v>
      </c>
      <c r="AU19" s="74">
        <v>0</v>
      </c>
      <c r="AV19" s="74" t="str" cm="1">
        <f t="array" aca="1" ref="AV19" ca="1">IFERROR(_xlfn.XLOOKUP($C19,
INDIRECT("'在庫使用計画 ("&amp;AV$1&amp;")'!D:D"),
INDIRECT("'在庫使用計画 ("&amp;AV$1&amp;")'!I:I")
),"")</f>
        <v/>
      </c>
      <c r="AW19" s="74" t="str" cm="1">
        <f t="array" aca="1" ref="AW19" ca="1">IFERROR(_xlfn.XLOOKUP($C19,
INDIRECT("'在庫使用計画 ("&amp;AW$1&amp;")'!D:D"),
INDIRECT("'在庫使用計画 ("&amp;AW$1&amp;")'!I:I")
),"")</f>
        <v/>
      </c>
      <c r="AX19" s="74" t="str" cm="1">
        <f t="array" aca="1" ref="AX19" ca="1">IFERROR(_xlfn.XLOOKUP($C19,
INDIRECT("'在庫使用計画 ("&amp;AX$1&amp;")'!D:D"),
INDIRECT("'在庫使用計画 ("&amp;AX$1&amp;")'!I:I")
),"")</f>
        <v/>
      </c>
    </row>
    <row r="20" spans="1:50" s="21" customFormat="1" ht="18.600000000000001" customHeight="1">
      <c r="A20" s="293"/>
      <c r="B20" s="26" t="str">
        <v>UNW-E-13620H-4050-L6</v>
      </c>
      <c r="C20" s="26" t="s">
        <v>1215</v>
      </c>
      <c r="D20" s="25" t="e">
        <v>#REF!</v>
      </c>
      <c r="E20" s="26" t="s">
        <v>1365</v>
      </c>
      <c r="F20" s="26">
        <v>4050</v>
      </c>
      <c r="G20" s="26" t="s">
        <v>1347</v>
      </c>
      <c r="H20" s="38">
        <v>1414</v>
      </c>
      <c r="I20" s="700" t="e">
        <v>#REF!</v>
      </c>
      <c r="J20" s="416" t="e">
        <v>#REF!</v>
      </c>
      <c r="K20" s="38">
        <v>3367.7493151956319</v>
      </c>
      <c r="L20" s="38">
        <v>3401.1798547820727</v>
      </c>
      <c r="M20" s="38">
        <v>3401.1798547820727</v>
      </c>
      <c r="N20" s="38">
        <v>3401.1798547820727</v>
      </c>
      <c r="O20" s="38">
        <v>3346.1798547820727</v>
      </c>
      <c r="P20" s="38">
        <v>3346.1798547820727</v>
      </c>
      <c r="Q20" s="38">
        <v>3346.1798547820727</v>
      </c>
      <c r="R20" s="38">
        <v>3436.1798547820727</v>
      </c>
      <c r="S20" s="38">
        <v>3436.1798547820727</v>
      </c>
      <c r="T20" s="38">
        <v>4371.2301723996643</v>
      </c>
      <c r="U20" s="38">
        <v>4551.2301723996643</v>
      </c>
      <c r="V20" s="38">
        <v>4371</v>
      </c>
      <c r="W20" s="38">
        <v>4371</v>
      </c>
      <c r="X20" s="74">
        <v>4371</v>
      </c>
      <c r="Y20" s="74">
        <v>4371</v>
      </c>
      <c r="Z20" s="74">
        <v>1987.6980600793202</v>
      </c>
      <c r="AA20" s="74">
        <v>1987.6980600793202</v>
      </c>
      <c r="AB20" s="74">
        <v>2407.0576940208266</v>
      </c>
      <c r="AC20" s="74">
        <v>2407.0576940208266</v>
      </c>
      <c r="AD20" s="74">
        <v>2407.0576940208266</v>
      </c>
      <c r="AE20" s="74">
        <v>2407.0576940208266</v>
      </c>
      <c r="AF20" s="74">
        <v>2407.0576940208266</v>
      </c>
      <c r="AG20" s="74">
        <v>2436.8193328930101</v>
      </c>
      <c r="AH20" s="74">
        <v>2436.8193328930101</v>
      </c>
      <c r="AI20" s="74">
        <v>2394.2450901406983</v>
      </c>
      <c r="AJ20" s="74">
        <v>2394.2450901406983</v>
      </c>
      <c r="AK20" s="74">
        <v>2864.8425656139907</v>
      </c>
      <c r="AL20" s="74">
        <v>2864.8425656139907</v>
      </c>
      <c r="AM20" s="74">
        <v>2864.8425656139907</v>
      </c>
      <c r="AN20" s="74">
        <v>2864.8425656139907</v>
      </c>
      <c r="AO20" s="74">
        <v>2864.8425656139907</v>
      </c>
      <c r="AP20" s="74">
        <v>2854.729166408878</v>
      </c>
      <c r="AQ20" s="74">
        <v>2533.729166408878</v>
      </c>
      <c r="AR20" s="74">
        <v>2556.7291664088775</v>
      </c>
      <c r="AS20" s="74">
        <v>2556.7291664088775</v>
      </c>
      <c r="AT20" s="74">
        <v>2556.7291664088775</v>
      </c>
      <c r="AU20" s="74">
        <v>2556.7291664088775</v>
      </c>
      <c r="AV20" s="74" t="str" cm="1">
        <f t="array" aca="1" ref="AV20" ca="1">IFERROR(_xlfn.XLOOKUP($C20,
INDIRECT("'在庫使用計画 ("&amp;AV$1&amp;")'!D:D"),
INDIRECT("'在庫使用計画 ("&amp;AV$1&amp;")'!I:I")
),"")</f>
        <v/>
      </c>
      <c r="AW20" s="74" t="str" cm="1">
        <f t="array" aca="1" ref="AW20" ca="1">IFERROR(_xlfn.XLOOKUP($C20,
INDIRECT("'在庫使用計画 ("&amp;AW$1&amp;")'!D:D"),
INDIRECT("'在庫使用計画 ("&amp;AW$1&amp;")'!I:I")
),"")</f>
        <v/>
      </c>
      <c r="AX20" s="74" t="str" cm="1">
        <f t="array" aca="1" ref="AX20" ca="1">IFERROR(_xlfn.XLOOKUP($C20,
INDIRECT("'在庫使用計画 ("&amp;AX$1&amp;")'!D:D"),
INDIRECT("'在庫使用計画 ("&amp;AX$1&amp;")'!I:I")
),"")</f>
        <v/>
      </c>
    </row>
    <row r="21" spans="1:50" s="70" customFormat="1" ht="18.600000000000001" customHeight="1">
      <c r="A21" s="67"/>
      <c r="B21" s="26" t="str">
        <v>UNW-E-13620H-3050-L6</v>
      </c>
      <c r="C21" s="25" t="s">
        <v>1366</v>
      </c>
      <c r="D21" s="25" t="e">
        <v>#REF!</v>
      </c>
      <c r="E21" s="68" t="s">
        <v>1367</v>
      </c>
      <c r="F21" s="68">
        <v>3050</v>
      </c>
      <c r="G21" s="68" t="s">
        <v>1347</v>
      </c>
      <c r="H21" s="38">
        <v>2039</v>
      </c>
      <c r="I21" s="700" t="e">
        <v>#REF!</v>
      </c>
      <c r="J21" s="416" t="e">
        <v>#REF!</v>
      </c>
      <c r="K21" s="38">
        <v>5255.8117405461498</v>
      </c>
      <c r="L21" s="38">
        <v>5324.3603441231353</v>
      </c>
      <c r="M21" s="38">
        <v>5324.3603441231353</v>
      </c>
      <c r="N21" s="38">
        <v>5324.3603441231353</v>
      </c>
      <c r="O21" s="38">
        <v>5304.3603441231353</v>
      </c>
      <c r="P21" s="38">
        <v>5304.3603441231353</v>
      </c>
      <c r="Q21" s="38">
        <v>5304.3603441231353</v>
      </c>
      <c r="R21" s="38">
        <v>5304.3603441231353</v>
      </c>
      <c r="S21" s="38">
        <v>5304.3603441231353</v>
      </c>
      <c r="T21" s="38">
        <v>5367.7355067960198</v>
      </c>
      <c r="U21" s="38">
        <v>5762.1097839609183</v>
      </c>
      <c r="V21" s="38">
        <v>5582</v>
      </c>
      <c r="W21" s="38">
        <v>5582</v>
      </c>
      <c r="X21" s="74">
        <v>5582</v>
      </c>
      <c r="Y21" s="74">
        <v>5582</v>
      </c>
      <c r="Z21" s="74">
        <v>4728.1802654527683</v>
      </c>
      <c r="AA21" s="74">
        <v>4728.1802654527683</v>
      </c>
      <c r="AB21" s="74">
        <v>5096.5299615873482</v>
      </c>
      <c r="AC21" s="74">
        <v>5096.5299615873482</v>
      </c>
      <c r="AD21" s="74">
        <v>5096.5299615873482</v>
      </c>
      <c r="AE21" s="74">
        <v>5096.5299615873482</v>
      </c>
      <c r="AF21" s="74">
        <v>5096.5299615873482</v>
      </c>
      <c r="AG21" s="74">
        <v>4210.5567747284067</v>
      </c>
      <c r="AH21" s="74">
        <v>4210.5567747284067</v>
      </c>
      <c r="AI21" s="74">
        <v>4140.3127110661389</v>
      </c>
      <c r="AJ21" s="74">
        <v>4140.3127110661389</v>
      </c>
      <c r="AK21" s="74">
        <v>3662.5159656430833</v>
      </c>
      <c r="AL21" s="74">
        <v>3662.5159656430833</v>
      </c>
      <c r="AM21" s="74">
        <v>3662.5159656430833</v>
      </c>
      <c r="AN21" s="74">
        <v>3662.5159656430833</v>
      </c>
      <c r="AO21" s="74">
        <v>3662.5159656430833</v>
      </c>
      <c r="AP21" s="74">
        <v>3299.9066807651384</v>
      </c>
      <c r="AQ21" s="74">
        <v>3119.9066807651384</v>
      </c>
      <c r="AR21" s="74">
        <v>2947.2339999999999</v>
      </c>
      <c r="AS21" s="74">
        <v>2947.2339999999999</v>
      </c>
      <c r="AT21" s="74">
        <v>2947.2339999999999</v>
      </c>
      <c r="AU21" s="74">
        <v>2947.2339999999999</v>
      </c>
      <c r="AV21" s="74" t="str" cm="1">
        <f t="array" aca="1" ref="AV21" ca="1">IFERROR(_xlfn.XLOOKUP($C21,
INDIRECT("'在庫使用計画 ("&amp;AV$1&amp;")'!D:D"),
INDIRECT("'在庫使用計画 ("&amp;AV$1&amp;")'!I:I")
),"")</f>
        <v/>
      </c>
      <c r="AW21" s="74" t="str" cm="1">
        <f t="array" aca="1" ref="AW21" ca="1">IFERROR(_xlfn.XLOOKUP($C21,
INDIRECT("'在庫使用計画 ("&amp;AW$1&amp;")'!D:D"),
INDIRECT("'在庫使用計画 ("&amp;AW$1&amp;")'!I:I")
),"")</f>
        <v/>
      </c>
      <c r="AX21" s="74" t="str" cm="1">
        <f t="array" aca="1" ref="AX21" ca="1">IFERROR(_xlfn.XLOOKUP($C21,
INDIRECT("'在庫使用計画 ("&amp;AX$1&amp;")'!D:D"),
INDIRECT("'在庫使用計画 ("&amp;AX$1&amp;")'!I:I")
),"")</f>
        <v/>
      </c>
    </row>
    <row r="22" spans="1:50" s="70" customFormat="1" ht="18.600000000000001" customHeight="1">
      <c r="A22" s="67"/>
      <c r="B22" s="26" t="str">
        <v>TFH-E-13420H-3050-L6</v>
      </c>
      <c r="C22" s="55" t="s">
        <v>1368</v>
      </c>
      <c r="D22" s="25" t="e">
        <v>#REF!</v>
      </c>
      <c r="E22" s="26" t="s">
        <v>1369</v>
      </c>
      <c r="F22" s="68">
        <v>3050</v>
      </c>
      <c r="G22" s="68"/>
      <c r="H22" s="38">
        <v>5</v>
      </c>
      <c r="I22" s="700" t="e">
        <v>#REF!</v>
      </c>
      <c r="J22" s="416" t="e">
        <v>#REF!</v>
      </c>
      <c r="K22" s="38">
        <v>333.30897380997243</v>
      </c>
      <c r="L22" s="38">
        <v>378.30897380997243</v>
      </c>
      <c r="M22" s="38">
        <v>378.30897380997243</v>
      </c>
      <c r="N22" s="38">
        <v>378.30897380997243</v>
      </c>
      <c r="O22" s="38">
        <v>378.30897380997243</v>
      </c>
      <c r="P22" s="38">
        <v>378.30897380997243</v>
      </c>
      <c r="Q22" s="38">
        <v>378.30897380997243</v>
      </c>
      <c r="R22" s="38">
        <v>378.30897380997243</v>
      </c>
      <c r="S22" s="38">
        <v>378.30897380997243</v>
      </c>
      <c r="T22" s="38">
        <v>330</v>
      </c>
      <c r="U22" s="38">
        <v>330</v>
      </c>
      <c r="V22" s="38">
        <v>330</v>
      </c>
      <c r="W22" s="38">
        <v>330</v>
      </c>
      <c r="X22" s="74">
        <v>330</v>
      </c>
      <c r="Y22" s="74">
        <v>330</v>
      </c>
      <c r="Z22" s="74">
        <v>330</v>
      </c>
      <c r="AA22" s="74">
        <v>330</v>
      </c>
      <c r="AB22" s="74">
        <v>235</v>
      </c>
      <c r="AC22" s="74">
        <v>235</v>
      </c>
      <c r="AD22" s="74">
        <v>235</v>
      </c>
      <c r="AE22" s="74">
        <v>235</v>
      </c>
      <c r="AF22" s="74">
        <v>235</v>
      </c>
      <c r="AG22" s="74">
        <v>235</v>
      </c>
      <c r="AH22" s="74">
        <v>235</v>
      </c>
      <c r="AI22" s="74">
        <v>260</v>
      </c>
      <c r="AJ22" s="74">
        <v>260</v>
      </c>
      <c r="AK22" s="74">
        <v>260</v>
      </c>
      <c r="AL22" s="74">
        <v>260</v>
      </c>
      <c r="AM22" s="74">
        <v>260</v>
      </c>
      <c r="AN22" s="74">
        <v>260</v>
      </c>
      <c r="AO22" s="74">
        <v>260</v>
      </c>
      <c r="AP22" s="74">
        <v>190</v>
      </c>
      <c r="AQ22" s="74">
        <v>207</v>
      </c>
      <c r="AR22" s="74">
        <v>425.27949297203133</v>
      </c>
      <c r="AS22" s="74">
        <v>425.27949297203133</v>
      </c>
      <c r="AT22" s="74">
        <v>425.27949297203133</v>
      </c>
      <c r="AU22" s="74">
        <v>425.27949297203133</v>
      </c>
      <c r="AV22" s="74" t="str" cm="1">
        <f t="array" aca="1" ref="AV22" ca="1">IFERROR(_xlfn.XLOOKUP($C22,
INDIRECT("'在庫使用計画 ("&amp;AV$1&amp;")'!D:D"),
INDIRECT("'在庫使用計画 ("&amp;AV$1&amp;")'!I:I")
),"")</f>
        <v/>
      </c>
      <c r="AW22" s="74" t="str" cm="1">
        <f t="array" aca="1" ref="AW22" ca="1">IFERROR(_xlfn.XLOOKUP($C22,
INDIRECT("'在庫使用計画 ("&amp;AW$1&amp;")'!D:D"),
INDIRECT("'在庫使用計画 ("&amp;AW$1&amp;")'!I:I")
),"")</f>
        <v/>
      </c>
      <c r="AX22" s="74" t="str" cm="1">
        <f t="array" aca="1" ref="AX22" ca="1">IFERROR(_xlfn.XLOOKUP($C22,
INDIRECT("'在庫使用計画 ("&amp;AX$1&amp;")'!D:D"),
INDIRECT("'在庫使用計画 ("&amp;AX$1&amp;")'!I:I")
),"")</f>
        <v/>
      </c>
    </row>
    <row r="23" spans="1:50" s="21" customFormat="1" ht="18.600000000000001" customHeight="1">
      <c r="A23" s="33"/>
      <c r="B23" s="26" t="str">
        <v>TFH-E-12450H-3050-L6</v>
      </c>
      <c r="C23" s="55" t="s">
        <v>1370</v>
      </c>
      <c r="D23" s="25" t="e">
        <v>#REF!</v>
      </c>
      <c r="E23" s="26" t="s">
        <v>1371</v>
      </c>
      <c r="F23" s="26">
        <v>3050</v>
      </c>
      <c r="G23" s="26" t="s">
        <v>1372</v>
      </c>
      <c r="H23" s="38">
        <v>0</v>
      </c>
      <c r="I23" s="700" t="e">
        <v>#REF!</v>
      </c>
      <c r="J23" s="416" t="e">
        <v>#REF!</v>
      </c>
      <c r="K23" s="38" t="s">
        <v>21</v>
      </c>
      <c r="L23" s="38">
        <v>45</v>
      </c>
      <c r="M23" s="38">
        <v>45</v>
      </c>
      <c r="N23" s="38">
        <v>45</v>
      </c>
      <c r="O23" s="38">
        <v>45</v>
      </c>
      <c r="P23" s="38">
        <v>45</v>
      </c>
      <c r="Q23" s="38">
        <v>45</v>
      </c>
      <c r="R23" s="38">
        <v>45</v>
      </c>
      <c r="S23" s="38">
        <v>45</v>
      </c>
      <c r="T23" s="38">
        <v>30</v>
      </c>
      <c r="U23" s="38">
        <v>30</v>
      </c>
      <c r="V23" s="38">
        <v>30</v>
      </c>
      <c r="W23" s="38">
        <v>30</v>
      </c>
      <c r="X23" s="74">
        <v>30</v>
      </c>
      <c r="Y23" s="74">
        <v>30</v>
      </c>
      <c r="Z23" s="74">
        <v>30</v>
      </c>
      <c r="AA23" s="74">
        <v>30</v>
      </c>
      <c r="AB23" s="74">
        <v>15</v>
      </c>
      <c r="AC23" s="74">
        <v>15</v>
      </c>
      <c r="AD23" s="74">
        <v>15</v>
      </c>
      <c r="AE23" s="74">
        <v>15</v>
      </c>
      <c r="AF23" s="74">
        <v>15</v>
      </c>
      <c r="AG23" s="74">
        <v>15</v>
      </c>
      <c r="AH23" s="74">
        <v>15</v>
      </c>
      <c r="AI23" s="74">
        <v>0</v>
      </c>
      <c r="AJ23" s="74">
        <v>0</v>
      </c>
      <c r="AK23" s="74">
        <v>0</v>
      </c>
      <c r="AL23" s="74">
        <v>0</v>
      </c>
      <c r="AM23" s="74">
        <v>0</v>
      </c>
      <c r="AN23" s="74">
        <v>0</v>
      </c>
      <c r="AO23" s="74">
        <v>0</v>
      </c>
      <c r="AP23" s="74">
        <v>0</v>
      </c>
      <c r="AQ23" s="74">
        <v>0</v>
      </c>
      <c r="AR23" s="74">
        <v>0</v>
      </c>
      <c r="AS23" s="74">
        <v>0</v>
      </c>
      <c r="AT23" s="74">
        <v>0</v>
      </c>
      <c r="AU23" s="74">
        <v>0</v>
      </c>
      <c r="AV23" s="74" t="str" cm="1">
        <f t="array" aca="1" ref="AV23" ca="1">IFERROR(_xlfn.XLOOKUP($C23,
INDIRECT("'在庫使用計画 ("&amp;AV$1&amp;")'!D:D"),
INDIRECT("'在庫使用計画 ("&amp;AV$1&amp;")'!I:I")
),"")</f>
        <v/>
      </c>
      <c r="AW23" s="74" t="str" cm="1">
        <f t="array" aca="1" ref="AW23" ca="1">IFERROR(_xlfn.XLOOKUP($C23,
INDIRECT("'在庫使用計画 ("&amp;AW$1&amp;")'!D:D"),
INDIRECT("'在庫使用計画 ("&amp;AW$1&amp;")'!I:I")
),"")</f>
        <v/>
      </c>
      <c r="AX23" s="74" t="str" cm="1">
        <f t="array" aca="1" ref="AX23" ca="1">IFERROR(_xlfn.XLOOKUP($C23,
INDIRECT("'在庫使用計画 ("&amp;AX$1&amp;")'!D:D"),
INDIRECT("'在庫使用計画 ("&amp;AX$1&amp;")'!I:I")
),"")</f>
        <v/>
      </c>
    </row>
    <row r="24" spans="1:50" s="21" customFormat="1" ht="18.600000000000001" customHeight="1">
      <c r="A24" s="33"/>
      <c r="B24" s="26" t="str">
        <v/>
      </c>
      <c r="C24" s="26"/>
      <c r="D24" s="25" t="str">
        <v/>
      </c>
      <c r="E24" s="26"/>
      <c r="F24" s="26"/>
      <c r="G24" s="26"/>
      <c r="H24" s="38" t="str">
        <v/>
      </c>
      <c r="I24" s="700" t="str">
        <v/>
      </c>
      <c r="J24" s="416" t="str">
        <v/>
      </c>
      <c r="K24" s="38" t="s">
        <v>21</v>
      </c>
      <c r="L24" s="38" t="s">
        <v>21</v>
      </c>
      <c r="M24" s="38" t="s">
        <v>21</v>
      </c>
      <c r="N24" s="38" t="s">
        <v>21</v>
      </c>
      <c r="O24" s="38" t="s">
        <v>21</v>
      </c>
      <c r="P24" s="38" t="s">
        <v>21</v>
      </c>
      <c r="Q24" s="38" t="s">
        <v>21</v>
      </c>
      <c r="R24" s="38" t="s">
        <v>21</v>
      </c>
      <c r="S24" s="38" t="s">
        <v>21</v>
      </c>
      <c r="T24" s="38" t="s">
        <v>21</v>
      </c>
      <c r="U24" s="38" t="s">
        <v>21</v>
      </c>
      <c r="V24" s="38" t="s">
        <v>21</v>
      </c>
      <c r="W24" s="38" t="s">
        <v>21</v>
      </c>
      <c r="X24" s="74" t="s">
        <v>21</v>
      </c>
      <c r="Y24" s="74" t="s">
        <v>21</v>
      </c>
      <c r="Z24" s="74" t="s">
        <v>21</v>
      </c>
      <c r="AA24" s="74" t="s">
        <v>21</v>
      </c>
      <c r="AB24" s="74" t="s">
        <v>21</v>
      </c>
      <c r="AC24" s="74" t="s">
        <v>21</v>
      </c>
      <c r="AD24" s="74" t="s">
        <v>21</v>
      </c>
      <c r="AE24" s="74" t="s">
        <v>21</v>
      </c>
      <c r="AF24" s="74" t="s">
        <v>21</v>
      </c>
      <c r="AG24" s="74" t="s">
        <v>21</v>
      </c>
      <c r="AH24" s="74" t="s">
        <v>21</v>
      </c>
      <c r="AI24" s="74" t="s">
        <v>21</v>
      </c>
      <c r="AJ24" s="74" t="s">
        <v>21</v>
      </c>
      <c r="AK24" s="74" t="s">
        <v>21</v>
      </c>
      <c r="AL24" s="74" t="s">
        <v>21</v>
      </c>
      <c r="AM24" s="74" t="s">
        <v>21</v>
      </c>
      <c r="AN24" s="74" t="s">
        <v>21</v>
      </c>
      <c r="AO24" s="74" t="s">
        <v>21</v>
      </c>
      <c r="AP24" s="74" t="s">
        <v>21</v>
      </c>
      <c r="AQ24" s="74" t="s">
        <v>21</v>
      </c>
      <c r="AR24" s="74" t="s">
        <v>21</v>
      </c>
      <c r="AS24" s="74" t="s">
        <v>21</v>
      </c>
      <c r="AT24" s="74" t="s">
        <v>21</v>
      </c>
      <c r="AU24" s="74" t="s">
        <v>21</v>
      </c>
      <c r="AV24" s="74" t="str" cm="1">
        <f t="array" aca="1" ref="AV24" ca="1">IFERROR(_xlfn.XLOOKUP($C24,
INDIRECT("'在庫使用計画 ("&amp;AV$1&amp;")'!D:D"),
INDIRECT("'在庫使用計画 ("&amp;AV$1&amp;")'!I:I")
),"")</f>
        <v/>
      </c>
      <c r="AW24" s="74" t="str" cm="1">
        <f t="array" aca="1" ref="AW24" ca="1">IFERROR(_xlfn.XLOOKUP($C24,
INDIRECT("'在庫使用計画 ("&amp;AW$1&amp;")'!D:D"),
INDIRECT("'在庫使用計画 ("&amp;AW$1&amp;")'!I:I")
),"")</f>
        <v/>
      </c>
      <c r="AX24" s="74" t="str" cm="1">
        <f t="array" aca="1" ref="AX24" ca="1">IFERROR(_xlfn.XLOOKUP($C24,
INDIRECT("'在庫使用計画 ("&amp;AX$1&amp;")'!D:D"),
INDIRECT("'在庫使用計画 ("&amp;AX$1&amp;")'!I:I")
),"")</f>
        <v/>
      </c>
    </row>
    <row r="25" spans="1:50" s="70" customFormat="1" ht="18.600000000000001" customHeight="1">
      <c r="A25" s="67" t="s">
        <v>1373</v>
      </c>
      <c r="B25" s="26" t="str">
        <v>CLE-V540-155H-4050-L6</v>
      </c>
      <c r="C25" s="25" t="s">
        <v>1374</v>
      </c>
      <c r="D25" s="25" t="e">
        <v>#REF!</v>
      </c>
      <c r="E25" s="68" t="s">
        <v>1375</v>
      </c>
      <c r="F25" s="68">
        <v>4050</v>
      </c>
      <c r="G25" s="68" t="s">
        <v>1347</v>
      </c>
      <c r="H25" s="38">
        <v>290</v>
      </c>
      <c r="I25" s="700" t="e">
        <v>#REF!</v>
      </c>
      <c r="J25" s="416" t="e">
        <v>#REF!</v>
      </c>
      <c r="K25" s="38" t="s">
        <v>21</v>
      </c>
      <c r="L25" s="38" t="s">
        <v>21</v>
      </c>
      <c r="M25" s="38" t="s">
        <v>21</v>
      </c>
      <c r="N25" s="38" t="s">
        <v>21</v>
      </c>
      <c r="O25" s="38" t="s">
        <v>21</v>
      </c>
      <c r="P25" s="38" t="s">
        <v>21</v>
      </c>
      <c r="Q25" s="38" t="s">
        <v>21</v>
      </c>
      <c r="R25" s="38">
        <v>0</v>
      </c>
      <c r="S25" s="38">
        <v>0</v>
      </c>
      <c r="T25" s="38">
        <v>600</v>
      </c>
      <c r="U25" s="38">
        <v>600</v>
      </c>
      <c r="V25" s="38">
        <v>600</v>
      </c>
      <c r="W25" s="38">
        <v>600</v>
      </c>
      <c r="X25" s="74">
        <v>600</v>
      </c>
      <c r="Y25" s="74">
        <v>600</v>
      </c>
      <c r="Z25" s="74">
        <v>600</v>
      </c>
      <c r="AA25" s="74">
        <v>600</v>
      </c>
      <c r="AB25" s="74">
        <v>1000</v>
      </c>
      <c r="AC25" s="74">
        <v>1000</v>
      </c>
      <c r="AD25" s="74">
        <v>1000</v>
      </c>
      <c r="AE25" s="74">
        <v>1000</v>
      </c>
      <c r="AF25" s="74">
        <v>1000</v>
      </c>
      <c r="AG25" s="74">
        <v>1000</v>
      </c>
      <c r="AH25" s="74">
        <v>1000</v>
      </c>
      <c r="AI25" s="74">
        <v>1000</v>
      </c>
      <c r="AJ25" s="74">
        <v>1000</v>
      </c>
      <c r="AK25" s="74">
        <v>1000</v>
      </c>
      <c r="AL25" s="74">
        <v>1000</v>
      </c>
      <c r="AM25" s="74">
        <v>1000</v>
      </c>
      <c r="AN25" s="74">
        <v>840</v>
      </c>
      <c r="AO25" s="74">
        <v>840</v>
      </c>
      <c r="AP25" s="74">
        <v>880</v>
      </c>
      <c r="AQ25" s="74">
        <v>880</v>
      </c>
      <c r="AR25" s="74">
        <v>880</v>
      </c>
      <c r="AS25" s="74">
        <v>880</v>
      </c>
      <c r="AT25" s="74">
        <v>880</v>
      </c>
      <c r="AU25" s="74">
        <v>880</v>
      </c>
      <c r="AV25" s="74" t="str" cm="1">
        <f t="array" aca="1" ref="AV25" ca="1">IFERROR(_xlfn.XLOOKUP($C25,
INDIRECT("'在庫使用計画 ("&amp;AV$1&amp;")'!D:D"),
INDIRECT("'在庫使用計画 ("&amp;AV$1&amp;")'!I:I")
),"")</f>
        <v/>
      </c>
      <c r="AW25" s="74" t="str" cm="1">
        <f t="array" aca="1" ref="AW25" ca="1">IFERROR(_xlfn.XLOOKUP($C25,
INDIRECT("'在庫使用計画 ("&amp;AW$1&amp;")'!D:D"),
INDIRECT("'在庫使用計画 ("&amp;AW$1&amp;")'!I:I")
),"")</f>
        <v/>
      </c>
      <c r="AX25" s="74" t="str" cm="1">
        <f t="array" aca="1" ref="AX25" ca="1">IFERROR(_xlfn.XLOOKUP($C25,
INDIRECT("'在庫使用計画 ("&amp;AX$1&amp;")'!D:D"),
INDIRECT("'在庫使用計画 ("&amp;AX$1&amp;")'!I:I")
),"")</f>
        <v/>
      </c>
    </row>
    <row r="26" spans="1:50" s="21" customFormat="1" ht="18.600000000000001" customHeight="1">
      <c r="A26" s="293"/>
      <c r="B26" s="26" t="str">
        <v/>
      </c>
      <c r="C26" s="26"/>
      <c r="D26" s="25" t="str">
        <v/>
      </c>
      <c r="E26" s="26"/>
      <c r="F26" s="26"/>
      <c r="G26" s="26"/>
      <c r="H26" s="38" t="str">
        <v/>
      </c>
      <c r="I26" s="700" t="str">
        <v/>
      </c>
      <c r="J26" s="416" t="str">
        <v/>
      </c>
      <c r="K26" s="38"/>
      <c r="L26" s="38"/>
      <c r="M26" s="38"/>
      <c r="N26" s="38"/>
      <c r="O26" s="38"/>
      <c r="P26" s="38"/>
      <c r="Q26" s="38"/>
      <c r="R26" s="38"/>
      <c r="S26" s="38"/>
      <c r="T26" s="38"/>
      <c r="U26" s="38"/>
      <c r="V26" s="38"/>
      <c r="W26" s="38"/>
      <c r="X26" s="74"/>
      <c r="Y26" s="74"/>
      <c r="Z26" s="74"/>
      <c r="AA26" s="74"/>
      <c r="AB26" s="74"/>
      <c r="AC26" s="74"/>
      <c r="AD26" s="74"/>
      <c r="AE26" s="74"/>
      <c r="AF26" s="74"/>
      <c r="AG26" s="74"/>
      <c r="AH26" s="74"/>
      <c r="AI26" s="74"/>
      <c r="AJ26" s="74"/>
      <c r="AK26" s="74"/>
      <c r="AL26" s="74"/>
      <c r="AM26" s="74"/>
      <c r="AN26" s="74"/>
      <c r="AO26" s="74"/>
      <c r="AP26" s="74"/>
      <c r="AQ26" s="74"/>
      <c r="AR26" s="74"/>
      <c r="AS26" s="74"/>
      <c r="AT26" s="74"/>
      <c r="AU26" s="74"/>
      <c r="AV26" s="74"/>
      <c r="AW26" s="74"/>
      <c r="AX26" s="74"/>
    </row>
    <row r="27" spans="1:50" s="21" customFormat="1" ht="18.600000000000001" customHeight="1">
      <c r="A27" s="33"/>
      <c r="B27" s="26" t="str">
        <v/>
      </c>
      <c r="C27" s="26"/>
      <c r="D27" s="26" t="str">
        <v/>
      </c>
      <c r="E27" s="26"/>
      <c r="F27" s="26"/>
      <c r="G27" s="26"/>
      <c r="H27" s="38" t="str">
        <v/>
      </c>
      <c r="I27" s="700" t="str">
        <v/>
      </c>
      <c r="J27" s="416" t="str">
        <v/>
      </c>
      <c r="K27" s="38" t="s">
        <v>21</v>
      </c>
      <c r="L27" s="38" t="s">
        <v>21</v>
      </c>
      <c r="M27" s="38" t="s">
        <v>21</v>
      </c>
      <c r="N27" s="38" t="s">
        <v>21</v>
      </c>
      <c r="O27" s="38" t="s">
        <v>21</v>
      </c>
      <c r="P27" s="38" t="s">
        <v>21</v>
      </c>
      <c r="Q27" s="38" t="s">
        <v>21</v>
      </c>
      <c r="R27" s="38" t="s">
        <v>21</v>
      </c>
      <c r="S27" s="38" t="s">
        <v>21</v>
      </c>
      <c r="T27" s="38" t="s">
        <v>21</v>
      </c>
      <c r="U27" s="38" t="s">
        <v>21</v>
      </c>
      <c r="V27" s="38" t="s">
        <v>21</v>
      </c>
      <c r="W27" s="38" t="s">
        <v>21</v>
      </c>
      <c r="X27" s="74" t="s">
        <v>21</v>
      </c>
      <c r="Y27" s="74" t="s">
        <v>21</v>
      </c>
      <c r="Z27" s="74" t="s">
        <v>21</v>
      </c>
      <c r="AA27" s="74" t="s">
        <v>21</v>
      </c>
      <c r="AB27" s="74" t="s">
        <v>21</v>
      </c>
      <c r="AC27" s="74" t="s">
        <v>21</v>
      </c>
      <c r="AD27" s="74" t="s">
        <v>21</v>
      </c>
      <c r="AE27" s="74" t="s">
        <v>21</v>
      </c>
      <c r="AF27" s="74" t="s">
        <v>21</v>
      </c>
      <c r="AG27" s="74" t="s">
        <v>21</v>
      </c>
      <c r="AH27" s="74" t="s">
        <v>21</v>
      </c>
      <c r="AI27" s="74" t="s">
        <v>21</v>
      </c>
      <c r="AJ27" s="74" t="s">
        <v>21</v>
      </c>
      <c r="AK27" s="74" t="s">
        <v>21</v>
      </c>
      <c r="AL27" s="74" t="s">
        <v>21</v>
      </c>
      <c r="AM27" s="74" t="s">
        <v>21</v>
      </c>
      <c r="AN27" s="74" t="s">
        <v>21</v>
      </c>
      <c r="AO27" s="74" t="s">
        <v>21</v>
      </c>
      <c r="AP27" s="74" t="s">
        <v>21</v>
      </c>
      <c r="AQ27" s="74" t="s">
        <v>21</v>
      </c>
      <c r="AR27" s="74" t="s">
        <v>21</v>
      </c>
      <c r="AS27" s="74" t="s">
        <v>21</v>
      </c>
      <c r="AT27" s="74" t="s">
        <v>21</v>
      </c>
      <c r="AU27" s="74" t="s">
        <v>21</v>
      </c>
      <c r="AV27" s="74" t="str" cm="1">
        <f t="array" aca="1" ref="AV27" ca="1">IFERROR(_xlfn.XLOOKUP($C27,
INDIRECT("'在庫使用計画 ("&amp;AV$1&amp;")'!D:D"),
INDIRECT("'在庫使用計画 ("&amp;AV$1&amp;")'!I:I")
),"")</f>
        <v/>
      </c>
      <c r="AW27" s="74" t="str" cm="1">
        <f t="array" aca="1" ref="AW27" ca="1">IFERROR(_xlfn.XLOOKUP($C27,
INDIRECT("'在庫使用計画 ("&amp;AW$1&amp;")'!D:D"),
INDIRECT("'在庫使用計画 ("&amp;AW$1&amp;")'!I:I")
),"")</f>
        <v/>
      </c>
      <c r="AX27" s="74" t="str" cm="1">
        <f t="array" aca="1" ref="AX27" ca="1">IFERROR(_xlfn.XLOOKUP($C27,
INDIRECT("'在庫使用計画 ("&amp;AX$1&amp;")'!D:D"),
INDIRECT("'在庫使用計画 ("&amp;AX$1&amp;")'!I:I")
),"")</f>
        <v/>
      </c>
    </row>
    <row r="28" spans="1:50" s="21" customFormat="1" ht="18.600000000000001" customHeight="1">
      <c r="A28" s="160"/>
      <c r="B28" s="152" t="s">
        <v>1376</v>
      </c>
      <c r="C28" s="152" t="s">
        <v>1377</v>
      </c>
      <c r="D28" s="152"/>
      <c r="E28" s="152"/>
      <c r="F28" s="152"/>
      <c r="G28" s="152"/>
      <c r="H28" s="45"/>
      <c r="I28" s="45"/>
      <c r="J28" s="45"/>
      <c r="K28" s="45">
        <v>14543.947113875003</v>
      </c>
      <c r="L28" s="45">
        <v>15390.048794292774</v>
      </c>
      <c r="M28" s="45">
        <v>14574.160614671713</v>
      </c>
      <c r="N28" s="45">
        <v>14574.160614671713</v>
      </c>
      <c r="O28" s="45">
        <v>14332.160614671713</v>
      </c>
      <c r="P28" s="45">
        <v>14332.160614671713</v>
      </c>
      <c r="Q28" s="45">
        <v>14332.160614671713</v>
      </c>
      <c r="R28" s="155">
        <v>14422.160614671713</v>
      </c>
      <c r="S28" s="155">
        <v>14422.160614671713</v>
      </c>
      <c r="T28" s="155">
        <v>16325.5214051455</v>
      </c>
      <c r="U28" s="155">
        <v>17003.311611649246</v>
      </c>
      <c r="V28" s="155">
        <v>16312.53312810788</v>
      </c>
      <c r="W28" s="155">
        <v>16312.53312810788</v>
      </c>
      <c r="X28" s="155">
        <v>16312.53312810788</v>
      </c>
      <c r="Y28" s="155">
        <v>16312.53312810788</v>
      </c>
      <c r="Z28" s="155">
        <v>13348.411453639968</v>
      </c>
      <c r="AA28" s="155">
        <v>13348.411453639968</v>
      </c>
      <c r="AB28" s="155">
        <v>15107.940070253291</v>
      </c>
      <c r="AC28" s="155">
        <v>15107.940070253291</v>
      </c>
      <c r="AD28" s="155">
        <v>15132.940070253291</v>
      </c>
      <c r="AE28" s="155">
        <v>13447.437090497959</v>
      </c>
      <c r="AF28" s="155">
        <v>13447.437090497959</v>
      </c>
      <c r="AG28" s="155">
        <v>12975.271632855311</v>
      </c>
      <c r="AH28" s="155">
        <v>12975.271632855311</v>
      </c>
      <c r="AI28" s="155">
        <v>12773.601970421849</v>
      </c>
      <c r="AJ28" s="155">
        <v>12773.601970421849</v>
      </c>
      <c r="AK28" s="155">
        <v>12624.205665932779</v>
      </c>
      <c r="AL28" s="155">
        <v>12655.205665932779</v>
      </c>
      <c r="AM28" s="155">
        <v>12655.205665932779</v>
      </c>
      <c r="AN28" s="155">
        <v>12495.205665932779</v>
      </c>
      <c r="AO28" s="155">
        <v>12495.205665932779</v>
      </c>
      <c r="AP28" s="155">
        <v>11751.84338993345</v>
      </c>
      <c r="AQ28" s="155">
        <v>11202.765073110068</v>
      </c>
      <c r="AR28" s="155">
        <v>11153.361956686789</v>
      </c>
      <c r="AS28" s="155">
        <v>11153.361956686789</v>
      </c>
      <c r="AT28" s="155">
        <v>11153.361956686789</v>
      </c>
      <c r="AU28" s="155">
        <v>11185.361956686789</v>
      </c>
      <c r="AV28" s="155">
        <f t="shared" ref="AV28:AX28" ca="1" si="0">_xlfn.AGGREGATE(9,0,AV2:AV27)</f>
        <v>0</v>
      </c>
      <c r="AW28" s="155">
        <f t="shared" ca="1" si="0"/>
        <v>0</v>
      </c>
      <c r="AX28" s="155">
        <f t="shared" ca="1" si="0"/>
        <v>0</v>
      </c>
    </row>
    <row r="29" spans="1:50" s="21" customFormat="1" ht="18.600000000000001" customHeight="1">
      <c r="A29" s="156"/>
      <c r="B29" s="158" t="s">
        <v>1378</v>
      </c>
      <c r="C29" s="157"/>
      <c r="D29" s="157"/>
      <c r="E29" s="157"/>
      <c r="F29" s="158"/>
      <c r="G29" s="158"/>
      <c r="H29" s="45"/>
      <c r="I29" s="45"/>
      <c r="J29" s="45"/>
      <c r="K29" s="45"/>
      <c r="L29" s="45"/>
      <c r="M29" s="45"/>
      <c r="N29" s="45"/>
      <c r="O29" s="45"/>
      <c r="P29" s="45"/>
      <c r="Q29" s="45"/>
      <c r="R29" s="45" t="s">
        <v>21</v>
      </c>
      <c r="S29" s="45" t="s">
        <v>21</v>
      </c>
      <c r="T29" s="45" t="s">
        <v>21</v>
      </c>
      <c r="U29" s="45" t="s">
        <v>21</v>
      </c>
      <c r="V29" s="45" t="s">
        <v>21</v>
      </c>
      <c r="W29" s="45" t="s">
        <v>21</v>
      </c>
      <c r="X29" s="155" t="s">
        <v>21</v>
      </c>
      <c r="Y29" s="155" t="s">
        <v>21</v>
      </c>
      <c r="Z29" s="155" t="s">
        <v>21</v>
      </c>
      <c r="AA29" s="155" t="s">
        <v>21</v>
      </c>
      <c r="AB29" s="155" t="s">
        <v>21</v>
      </c>
      <c r="AC29" s="155" t="s">
        <v>21</v>
      </c>
      <c r="AD29" s="155">
        <v>0</v>
      </c>
      <c r="AE29" s="155">
        <v>0</v>
      </c>
      <c r="AF29" s="155">
        <v>0</v>
      </c>
      <c r="AG29" s="155">
        <v>0</v>
      </c>
      <c r="AH29" s="155">
        <v>0</v>
      </c>
      <c r="AI29" s="155">
        <v>0</v>
      </c>
      <c r="AJ29" s="155">
        <v>0</v>
      </c>
      <c r="AK29" s="155">
        <v>0</v>
      </c>
      <c r="AL29" s="155">
        <v>0</v>
      </c>
      <c r="AM29" s="155">
        <v>0</v>
      </c>
      <c r="AN29" s="155">
        <v>0</v>
      </c>
      <c r="AO29" s="155">
        <v>0</v>
      </c>
      <c r="AP29" s="155">
        <v>0</v>
      </c>
      <c r="AQ29" s="155">
        <v>0</v>
      </c>
      <c r="AR29" s="155">
        <v>0</v>
      </c>
      <c r="AS29" s="155">
        <v>0</v>
      </c>
      <c r="AT29" s="155">
        <v>0</v>
      </c>
      <c r="AU29" s="155">
        <v>0</v>
      </c>
      <c r="AV29" s="155" t="str" cm="1">
        <f t="array" aca="1" ref="AV29" ca="1">IFERROR(_xlfn.XLOOKUP($C29,
INDIRECT("'在庫使用計画 ("&amp;AV$1&amp;")'!C:C"),
INDIRECT("'在庫使用計画 ("&amp;AV$1&amp;")'!H:H")
),"")</f>
        <v/>
      </c>
      <c r="AW29" s="155" t="str" cm="1">
        <f t="array" aca="1" ref="AW29" ca="1">IFERROR(_xlfn.XLOOKUP($C29,
INDIRECT("'在庫使用計画 ("&amp;AW$1&amp;")'!C:C"),
INDIRECT("'在庫使用計画 ("&amp;AW$1&amp;")'!H:H")
),"")</f>
        <v/>
      </c>
      <c r="AX29" s="155" t="str" cm="1">
        <f t="array" aca="1" ref="AX29" ca="1">IFERROR(_xlfn.XLOOKUP($C29,
INDIRECT("'在庫使用計画 ("&amp;AX$1&amp;")'!C:C"),
INDIRECT("'在庫使用計画 ("&amp;AX$1&amp;")'!H:H")
),"")</f>
        <v/>
      </c>
    </row>
    <row r="30" spans="1:50" s="21" customFormat="1" ht="18.600000000000001" customHeight="1">
      <c r="A30" s="32"/>
      <c r="B30" s="934" t="str" cm="1">
        <f t="array" ref="B30:B56">IF(C30:C56="","",_xlfn.XLOOKUP(C30:C56,マスタ_EOLリスト[製品型番],マスタ_EOLリスト[綽名]))</f>
        <v/>
      </c>
      <c r="C30" s="25"/>
      <c r="D30" s="25" t="str" cm="1">
        <f t="array" ref="D30:D56">IF($C30:$C56&lt;&gt;"",
_xlfn.MAXIFS(#REF!,マスタ_EOLリスト[製品型番],$C30:$C56),
"")</f>
        <v/>
      </c>
      <c r="E30" s="26"/>
      <c r="F30" s="24"/>
      <c r="G30" s="24"/>
      <c r="H30" s="38" t="str" cm="1">
        <f t="array" ref="H30:H56">IF(C30:C56&lt;&gt;"",
_xlfn.XLOOKUP($C30:$C56,
  '在庫使用計画 (ノート全体試算)'!C:C,
  '在庫使用計画 (ノート全体試算)'!G:G),"")</f>
        <v/>
      </c>
      <c r="I30" s="700" t="str" cm="1">
        <f t="array" ref="I30:I56">IF(_xlfn.ANCHORARRAY(D30)&lt;&gt;"",
_xlfn.XLOOKUP(_xlfn.ANCHORARRAY(D30),購買計画one_note_貼り付け[コード],購買計画one_note_貼り付け[納品日],""),
"")</f>
        <v/>
      </c>
      <c r="J30" s="38" t="str" cm="1">
        <f t="array" ref="J30:J56">IF(_xlfn.ANCHORARRAY(D30)&lt;&gt;"",
_xlfn.XLOOKUP(_xlfn.ANCHORARRAY(D30),購買計画one_note_貼り付け[コード],購買計画one_note_貼り付け[数量],""),
"")</f>
        <v/>
      </c>
      <c r="K30" s="38" t="s">
        <v>21</v>
      </c>
      <c r="L30" s="38" t="s">
        <v>21</v>
      </c>
      <c r="M30" s="38" t="s">
        <v>21</v>
      </c>
      <c r="N30" s="38" t="s">
        <v>21</v>
      </c>
      <c r="O30" s="38" t="s">
        <v>21</v>
      </c>
      <c r="P30" s="38"/>
      <c r="Q30" s="38"/>
      <c r="R30" s="38" t="s">
        <v>21</v>
      </c>
      <c r="S30" s="38" t="s">
        <v>21</v>
      </c>
      <c r="T30" s="38" t="s">
        <v>21</v>
      </c>
      <c r="U30" s="38" t="s">
        <v>21</v>
      </c>
      <c r="V30" s="38" t="s">
        <v>21</v>
      </c>
      <c r="W30" s="38" t="s">
        <v>21</v>
      </c>
      <c r="X30" s="74" t="s">
        <v>21</v>
      </c>
      <c r="Y30" s="74" t="s">
        <v>21</v>
      </c>
      <c r="Z30" s="74" t="s">
        <v>21</v>
      </c>
      <c r="AA30" s="74" t="s">
        <v>21</v>
      </c>
      <c r="AB30" s="74" t="s">
        <v>21</v>
      </c>
      <c r="AC30" s="74" t="s">
        <v>21</v>
      </c>
      <c r="AD30" s="74" t="s">
        <v>21</v>
      </c>
      <c r="AE30" s="74" t="s">
        <v>21</v>
      </c>
      <c r="AF30" s="74" t="s">
        <v>21</v>
      </c>
      <c r="AG30" s="74" t="s">
        <v>21</v>
      </c>
      <c r="AH30" s="74" t="s">
        <v>21</v>
      </c>
      <c r="AI30" s="74" t="s">
        <v>21</v>
      </c>
      <c r="AJ30" s="74" t="s">
        <v>21</v>
      </c>
      <c r="AK30" s="74" t="s">
        <v>21</v>
      </c>
      <c r="AL30" s="74" t="s">
        <v>21</v>
      </c>
      <c r="AM30" s="74" t="s">
        <v>21</v>
      </c>
      <c r="AN30" s="74" t="s">
        <v>21</v>
      </c>
      <c r="AO30" s="74" t="s">
        <v>21</v>
      </c>
      <c r="AP30" s="74" t="s">
        <v>21</v>
      </c>
      <c r="AQ30" s="74" t="s">
        <v>21</v>
      </c>
      <c r="AR30" s="74" t="s">
        <v>21</v>
      </c>
      <c r="AS30" s="74" t="s">
        <v>21</v>
      </c>
      <c r="AT30" s="74" t="s">
        <v>21</v>
      </c>
      <c r="AU30" s="74" t="s">
        <v>21</v>
      </c>
      <c r="AV30" s="74" t="str" cm="1">
        <f t="array" aca="1" ref="AV30" ca="1">IFERROR(_xlfn.XLOOKUP($C30,
INDIRECT("'在庫使用計画 ("&amp;AV$1&amp;")'!D:D"),
INDIRECT("'在庫使用計画 ("&amp;AV$1&amp;")'!I:I")
),"")</f>
        <v/>
      </c>
      <c r="AW30" s="74" t="str" cm="1">
        <f t="array" aca="1" ref="AW30" ca="1">IFERROR(_xlfn.XLOOKUP($C30,
INDIRECT("'在庫使用計画 ("&amp;AW$1&amp;")'!D:D"),
INDIRECT("'在庫使用計画 ("&amp;AW$1&amp;")'!I:I")
),"")</f>
        <v/>
      </c>
      <c r="AX30" s="74" t="str" cm="1">
        <f t="array" aca="1" ref="AX30" ca="1">IFERROR(_xlfn.XLOOKUP($C30,
INDIRECT("'在庫使用計画 ("&amp;AX$1&amp;")'!D:D"),
INDIRECT("'在庫使用計画 ("&amp;AX$1&amp;")'!I:I")
),"")</f>
        <v/>
      </c>
    </row>
    <row r="31" spans="1:50" s="70" customFormat="1" ht="18.600000000000001" customHeight="1">
      <c r="A31" s="71" t="s">
        <v>1379</v>
      </c>
      <c r="B31" s="26" t="e">
        <v>#N/A</v>
      </c>
      <c r="C31" s="25" t="s">
        <v>1380</v>
      </c>
      <c r="D31" s="25" t="e">
        <v>#REF!</v>
      </c>
      <c r="E31" s="26" t="s">
        <v>1381</v>
      </c>
      <c r="F31" s="34">
        <v>5070</v>
      </c>
      <c r="G31" s="24" t="s">
        <v>20</v>
      </c>
      <c r="H31" s="38" t="e">
        <v>#N/A</v>
      </c>
      <c r="I31" s="700" t="e">
        <v>#REF!</v>
      </c>
      <c r="J31" s="416" t="e">
        <v>#REF!</v>
      </c>
      <c r="K31" s="38">
        <v>392.35205364626989</v>
      </c>
      <c r="L31" s="38">
        <v>415.35205364626989</v>
      </c>
      <c r="M31" s="38">
        <v>415.35205364626989</v>
      </c>
      <c r="N31" s="38">
        <v>415.35205364626989</v>
      </c>
      <c r="O31" s="38">
        <v>415.35205364626989</v>
      </c>
      <c r="P31" s="38">
        <v>415.35205364626989</v>
      </c>
      <c r="Q31" s="38">
        <v>415.35205364626989</v>
      </c>
      <c r="R31" s="38">
        <v>415.35205364626989</v>
      </c>
      <c r="S31" s="38">
        <v>415.35205364626989</v>
      </c>
      <c r="T31" s="38">
        <v>448</v>
      </c>
      <c r="U31" s="38">
        <v>448</v>
      </c>
      <c r="V31" s="38">
        <v>448</v>
      </c>
      <c r="W31" s="38">
        <v>448</v>
      </c>
      <c r="X31" s="74">
        <v>448</v>
      </c>
      <c r="Y31" s="74">
        <v>448</v>
      </c>
      <c r="Z31" s="74">
        <v>264.97416974169738</v>
      </c>
      <c r="AA31" s="74">
        <v>264.97416974169738</v>
      </c>
      <c r="AB31" s="74">
        <v>279.63591635916356</v>
      </c>
      <c r="AC31" s="74">
        <v>279.63591635916356</v>
      </c>
      <c r="AD31" s="74">
        <v>279.63591635916356</v>
      </c>
      <c r="AE31" s="74">
        <v>279.63591635916356</v>
      </c>
      <c r="AF31" s="74">
        <v>279.63591635916356</v>
      </c>
      <c r="AG31" s="74">
        <v>210.72556708958095</v>
      </c>
      <c r="AH31" s="74">
        <v>210.72556708958095</v>
      </c>
      <c r="AI31" s="74">
        <v>190.57497116493658</v>
      </c>
      <c r="AJ31" s="74">
        <v>190.57497116493658</v>
      </c>
      <c r="AK31" s="74">
        <v>209.12345881811271</v>
      </c>
      <c r="AL31" s="74">
        <v>209.12345881811271</v>
      </c>
      <c r="AM31" s="74">
        <v>209.12345881811271</v>
      </c>
      <c r="AN31" s="74">
        <v>209.12345881811271</v>
      </c>
      <c r="AO31" s="74">
        <v>209.12345881811271</v>
      </c>
      <c r="AP31" s="74">
        <v>189.13802960694233</v>
      </c>
      <c r="AQ31" s="74">
        <v>0</v>
      </c>
      <c r="AR31" s="74">
        <v>0</v>
      </c>
      <c r="AS31" s="74">
        <v>0</v>
      </c>
      <c r="AT31" s="74">
        <v>0</v>
      </c>
      <c r="AU31" s="74">
        <v>35</v>
      </c>
      <c r="AV31" s="74" t="str" cm="1">
        <f t="array" aca="1" ref="AV31" ca="1">IFERROR(_xlfn.XLOOKUP($C31,
INDIRECT("'在庫使用計画 ("&amp;AV$1&amp;")'!D:D"),
INDIRECT("'在庫使用計画 ("&amp;AV$1&amp;")'!I:I")
),"")</f>
        <v/>
      </c>
      <c r="AW31" s="74" t="str" cm="1">
        <f t="array" aca="1" ref="AW31" ca="1">IFERROR(_xlfn.XLOOKUP($C31,
INDIRECT("'在庫使用計画 ("&amp;AW$1&amp;")'!D:D"),
INDIRECT("'在庫使用計画 ("&amp;AW$1&amp;")'!I:I")
),"")</f>
        <v/>
      </c>
      <c r="AX31" s="74" t="str" cm="1">
        <f t="array" aca="1" ref="AX31" ca="1">IFERROR(_xlfn.XLOOKUP($C31,
INDIRECT("'在庫使用計画 ("&amp;AX$1&amp;")'!D:D"),
INDIRECT("'在庫使用計画 ("&amp;AX$1&amp;")'!I:I")
),"")</f>
        <v/>
      </c>
    </row>
    <row r="32" spans="1:50" s="70" customFormat="1" ht="18.600000000000001" customHeight="1">
      <c r="A32" s="71"/>
      <c r="B32" s="26" t="str">
        <v/>
      </c>
      <c r="C32" s="25"/>
      <c r="D32" s="25" t="str">
        <v/>
      </c>
      <c r="E32" s="26"/>
      <c r="F32" s="34"/>
      <c r="G32" s="24"/>
      <c r="H32" s="38" t="str">
        <v/>
      </c>
      <c r="I32" s="700" t="str">
        <v/>
      </c>
      <c r="J32" s="416" t="str">
        <v/>
      </c>
      <c r="K32" s="38" t="s">
        <v>21</v>
      </c>
      <c r="L32" s="38" t="s">
        <v>21</v>
      </c>
      <c r="M32" s="38" t="s">
        <v>21</v>
      </c>
      <c r="N32" s="38" t="s">
        <v>21</v>
      </c>
      <c r="O32" s="38" t="s">
        <v>21</v>
      </c>
      <c r="P32" s="38"/>
      <c r="Q32" s="38" t="s">
        <v>21</v>
      </c>
      <c r="R32" s="38" t="s">
        <v>21</v>
      </c>
      <c r="S32" s="38" t="s">
        <v>21</v>
      </c>
      <c r="T32" s="38" t="s">
        <v>21</v>
      </c>
      <c r="U32" s="38" t="s">
        <v>21</v>
      </c>
      <c r="V32" s="38" t="s">
        <v>21</v>
      </c>
      <c r="W32" s="38" t="s">
        <v>21</v>
      </c>
      <c r="X32" s="74" t="s">
        <v>21</v>
      </c>
      <c r="Y32" s="74" t="s">
        <v>21</v>
      </c>
      <c r="Z32" s="74" t="s">
        <v>21</v>
      </c>
      <c r="AA32" s="74" t="s">
        <v>21</v>
      </c>
      <c r="AB32" s="74" t="s">
        <v>21</v>
      </c>
      <c r="AC32" s="74" t="s">
        <v>21</v>
      </c>
      <c r="AD32" s="74" t="s">
        <v>21</v>
      </c>
      <c r="AE32" s="74" t="s">
        <v>21</v>
      </c>
      <c r="AF32" s="74" t="s">
        <v>21</v>
      </c>
      <c r="AG32" s="74" t="s">
        <v>21</v>
      </c>
      <c r="AH32" s="74" t="s">
        <v>21</v>
      </c>
      <c r="AI32" s="74" t="s">
        <v>21</v>
      </c>
      <c r="AJ32" s="74" t="s">
        <v>21</v>
      </c>
      <c r="AK32" s="74" t="s">
        <v>21</v>
      </c>
      <c r="AL32" s="74" t="s">
        <v>21</v>
      </c>
      <c r="AM32" s="74" t="s">
        <v>21</v>
      </c>
      <c r="AN32" s="74" t="s">
        <v>21</v>
      </c>
      <c r="AO32" s="74" t="s">
        <v>21</v>
      </c>
      <c r="AP32" s="74" t="s">
        <v>21</v>
      </c>
      <c r="AQ32" s="74" t="s">
        <v>21</v>
      </c>
      <c r="AR32" s="74" t="s">
        <v>21</v>
      </c>
      <c r="AS32" s="74" t="s">
        <v>21</v>
      </c>
      <c r="AT32" s="74" t="s">
        <v>21</v>
      </c>
      <c r="AU32" s="74" t="s">
        <v>21</v>
      </c>
      <c r="AV32" s="74" t="str" cm="1">
        <f t="array" aca="1" ref="AV32" ca="1">IFERROR(_xlfn.XLOOKUP($C32,
INDIRECT("'在庫使用計画 ("&amp;AV$1&amp;")'!D:D"),
INDIRECT("'在庫使用計画 ("&amp;AV$1&amp;")'!I:I")
),"")</f>
        <v/>
      </c>
      <c r="AW32" s="74" t="str" cm="1">
        <f t="array" aca="1" ref="AW32" ca="1">IFERROR(_xlfn.XLOOKUP($C32,
INDIRECT("'在庫使用計画 ("&amp;AW$1&amp;")'!D:D"),
INDIRECT("'在庫使用計画 ("&amp;AW$1&amp;")'!I:I")
),"")</f>
        <v/>
      </c>
      <c r="AX32" s="74" t="str" cm="1">
        <f t="array" aca="1" ref="AX32" ca="1">IFERROR(_xlfn.XLOOKUP($C32,
INDIRECT("'在庫使用計画 ("&amp;AX$1&amp;")'!D:D"),
INDIRECT("'在庫使用計画 ("&amp;AX$1&amp;")'!I:I")
),"")</f>
        <v/>
      </c>
    </row>
    <row r="33" spans="1:50" s="70" customFormat="1" ht="18.600000000000001" customHeight="1">
      <c r="A33" s="71" t="s">
        <v>1379</v>
      </c>
      <c r="B33" s="26" t="str">
        <v>CLE-V37-14900HX-5070-L6 Creator</v>
      </c>
      <c r="C33" s="25" t="s">
        <v>408</v>
      </c>
      <c r="D33" s="25" t="e">
        <v>#REF!</v>
      </c>
      <c r="E33" s="26" t="s">
        <v>1381</v>
      </c>
      <c r="F33" s="34">
        <v>5070</v>
      </c>
      <c r="G33" s="24" t="s">
        <v>20</v>
      </c>
      <c r="H33" s="38">
        <v>128</v>
      </c>
      <c r="I33" s="700" t="e">
        <v>#REF!</v>
      </c>
      <c r="J33" s="416" t="e">
        <v>#REF!</v>
      </c>
      <c r="K33" s="38">
        <v>392.35205364626989</v>
      </c>
      <c r="L33" s="38">
        <v>415.35205364626989</v>
      </c>
      <c r="M33" s="38">
        <v>415.35205364626989</v>
      </c>
      <c r="N33" s="38">
        <v>415.35205364626989</v>
      </c>
      <c r="O33" s="38">
        <v>415.35205364626989</v>
      </c>
      <c r="P33" s="38">
        <v>415.35205364626989</v>
      </c>
      <c r="Q33" s="38">
        <v>415.35205364626989</v>
      </c>
      <c r="R33" s="38">
        <v>415.35205364626989</v>
      </c>
      <c r="S33" s="38">
        <v>415.35205364626989</v>
      </c>
      <c r="T33" s="38">
        <v>448</v>
      </c>
      <c r="U33" s="38">
        <v>448</v>
      </c>
      <c r="V33" s="38">
        <v>448</v>
      </c>
      <c r="W33" s="38">
        <v>448</v>
      </c>
      <c r="X33" s="74">
        <v>448</v>
      </c>
      <c r="Y33" s="74">
        <v>448</v>
      </c>
      <c r="Z33" s="74">
        <v>264.97416974169738</v>
      </c>
      <c r="AA33" s="74">
        <v>264.97416974169738</v>
      </c>
      <c r="AB33" s="74">
        <v>279.63591635916356</v>
      </c>
      <c r="AC33" s="74">
        <v>279.63591635916356</v>
      </c>
      <c r="AD33" s="74">
        <v>279.63591635916356</v>
      </c>
      <c r="AE33" s="74">
        <v>279.63591635916356</v>
      </c>
      <c r="AF33" s="74">
        <v>279.63591635916356</v>
      </c>
      <c r="AG33" s="74">
        <v>210.72556708958095</v>
      </c>
      <c r="AH33" s="74">
        <v>210.72556708958095</v>
      </c>
      <c r="AI33" s="74">
        <v>190.57497116493658</v>
      </c>
      <c r="AJ33" s="74">
        <v>190.57497116493658</v>
      </c>
      <c r="AK33" s="74">
        <v>209.12345881811271</v>
      </c>
      <c r="AL33" s="74">
        <v>209.12345881811271</v>
      </c>
      <c r="AM33" s="74">
        <v>209.12345881811271</v>
      </c>
      <c r="AN33" s="74">
        <v>209.12345881811271</v>
      </c>
      <c r="AO33" s="74">
        <v>209.12345881811271</v>
      </c>
      <c r="AP33" s="74">
        <v>189.13802960694233</v>
      </c>
      <c r="AQ33" s="74">
        <v>205.13802960694233</v>
      </c>
      <c r="AR33" s="74">
        <v>212.13802960694233</v>
      </c>
      <c r="AS33" s="74">
        <v>212.13802960694233</v>
      </c>
      <c r="AT33" s="74">
        <v>212.13802960694233</v>
      </c>
      <c r="AU33" s="74">
        <v>212.13802960694233</v>
      </c>
      <c r="AV33" s="74" t="str" cm="1">
        <f t="array" aca="1" ref="AV33" ca="1">IFERROR(_xlfn.XLOOKUP($C33,
INDIRECT("'在庫使用計画 ("&amp;AV$1&amp;")'!D:D"),
INDIRECT("'在庫使用計画 ("&amp;AV$1&amp;")'!I:I")
),"")</f>
        <v/>
      </c>
      <c r="AW33" s="74" t="str" cm="1">
        <f t="array" aca="1" ref="AW33" ca="1">IFERROR(_xlfn.XLOOKUP($C33,
INDIRECT("'在庫使用計画 ("&amp;AW$1&amp;")'!D:D"),
INDIRECT("'在庫使用計画 ("&amp;AW$1&amp;")'!I:I")
),"")</f>
        <v/>
      </c>
      <c r="AX33" s="74" t="str" cm="1">
        <f t="array" aca="1" ref="AX33" ca="1">IFERROR(_xlfn.XLOOKUP($C33,
INDIRECT("'在庫使用計画 ("&amp;AX$1&amp;")'!D:D"),
INDIRECT("'在庫使用計画 ("&amp;AX$1&amp;")'!I:I")
),"")</f>
        <v/>
      </c>
    </row>
    <row r="34" spans="1:50" s="70" customFormat="1" ht="18.600000000000001" customHeight="1">
      <c r="A34" s="71"/>
      <c r="B34" s="26" t="e">
        <v>#N/A</v>
      </c>
      <c r="C34" s="25" t="s">
        <v>1382</v>
      </c>
      <c r="D34" s="25" t="e">
        <v>#REF!</v>
      </c>
      <c r="E34" s="26"/>
      <c r="F34" s="34"/>
      <c r="G34" s="24"/>
      <c r="H34" s="38">
        <v>0</v>
      </c>
      <c r="I34" s="700" t="e">
        <v>#REF!</v>
      </c>
      <c r="J34" s="416" t="e">
        <v>#REF!</v>
      </c>
      <c r="K34" s="38" t="s">
        <v>21</v>
      </c>
      <c r="L34" s="38" t="s">
        <v>21</v>
      </c>
      <c r="M34" s="38" t="s">
        <v>21</v>
      </c>
      <c r="N34" s="38" t="s">
        <v>21</v>
      </c>
      <c r="O34" s="38" t="s">
        <v>21</v>
      </c>
      <c r="P34" s="38"/>
      <c r="Q34" s="38" t="s">
        <v>21</v>
      </c>
      <c r="R34" s="38" t="s">
        <v>21</v>
      </c>
      <c r="S34" s="38" t="s">
        <v>21</v>
      </c>
      <c r="T34" s="38" t="s">
        <v>21</v>
      </c>
      <c r="U34" s="38" t="s">
        <v>21</v>
      </c>
      <c r="V34" s="38" t="s">
        <v>21</v>
      </c>
      <c r="W34" s="38" t="s">
        <v>21</v>
      </c>
      <c r="X34" s="74" t="s">
        <v>21</v>
      </c>
      <c r="Y34" s="74" t="s">
        <v>21</v>
      </c>
      <c r="Z34" s="74" t="s">
        <v>21</v>
      </c>
      <c r="AA34" s="74" t="s">
        <v>21</v>
      </c>
      <c r="AB34" s="74" t="s">
        <v>21</v>
      </c>
      <c r="AC34" s="74" t="s">
        <v>21</v>
      </c>
      <c r="AD34" s="74" t="s">
        <v>21</v>
      </c>
      <c r="AE34" s="74" t="s">
        <v>21</v>
      </c>
      <c r="AF34" s="74" t="s">
        <v>21</v>
      </c>
      <c r="AG34" s="74" t="s">
        <v>21</v>
      </c>
      <c r="AH34" s="74" t="s">
        <v>21</v>
      </c>
      <c r="AI34" s="74" t="s">
        <v>21</v>
      </c>
      <c r="AJ34" s="74" t="s">
        <v>21</v>
      </c>
      <c r="AK34" s="74" t="s">
        <v>21</v>
      </c>
      <c r="AL34" s="74" t="s">
        <v>21</v>
      </c>
      <c r="AM34" s="74" t="s">
        <v>21</v>
      </c>
      <c r="AN34" s="74" t="s">
        <v>21</v>
      </c>
      <c r="AO34" s="74" t="s">
        <v>21</v>
      </c>
      <c r="AP34" s="74" t="s">
        <v>21</v>
      </c>
      <c r="AQ34" s="74">
        <v>0</v>
      </c>
      <c r="AR34" s="74">
        <v>0</v>
      </c>
      <c r="AS34" s="74">
        <v>0</v>
      </c>
      <c r="AT34" s="74">
        <v>0</v>
      </c>
      <c r="AU34" s="74">
        <v>0</v>
      </c>
      <c r="AV34" s="74" t="str" cm="1">
        <f t="array" aca="1" ref="AV34" ca="1">IFERROR(_xlfn.XLOOKUP($C34,
INDIRECT("'在庫使用計画 ("&amp;AV$1&amp;")'!D:D"),
INDIRECT("'在庫使用計画 ("&amp;AV$1&amp;")'!I:I")
),"")</f>
        <v/>
      </c>
      <c r="AW34" s="74" t="str" cm="1">
        <f t="array" aca="1" ref="AW34" ca="1">IFERROR(_xlfn.XLOOKUP($C34,
INDIRECT("'在庫使用計画 ("&amp;AW$1&amp;")'!D:D"),
INDIRECT("'在庫使用計画 ("&amp;AW$1&amp;")'!I:I")
),"")</f>
        <v/>
      </c>
      <c r="AX34" s="74" t="str" cm="1">
        <f t="array" aca="1" ref="AX34" ca="1">IFERROR(_xlfn.XLOOKUP($C34,
INDIRECT("'在庫使用計画 ("&amp;AX$1&amp;")'!D:D"),
INDIRECT("'在庫使用計画 ("&amp;AX$1&amp;")'!I:I")
),"")</f>
        <v/>
      </c>
    </row>
    <row r="35" spans="1:50" s="21" customFormat="1" ht="18.600000000000001" customHeight="1">
      <c r="A35" s="32" t="s">
        <v>1383</v>
      </c>
      <c r="B35" s="26" t="str">
        <v>MSH-15F5-255H-5060-L6 Creator</v>
      </c>
      <c r="C35" s="25" t="s">
        <v>420</v>
      </c>
      <c r="D35" s="25" t="e">
        <v>#REF!</v>
      </c>
      <c r="E35" s="26" t="s">
        <v>1384</v>
      </c>
      <c r="F35" s="24">
        <v>5060</v>
      </c>
      <c r="G35" s="24" t="s">
        <v>20</v>
      </c>
      <c r="H35" s="38">
        <v>20</v>
      </c>
      <c r="I35" s="700" t="e">
        <v>#REF!</v>
      </c>
      <c r="J35" s="416" t="e">
        <v>#REF!</v>
      </c>
      <c r="K35" s="38">
        <v>445</v>
      </c>
      <c r="L35" s="38">
        <v>540</v>
      </c>
      <c r="M35" s="38">
        <v>540</v>
      </c>
      <c r="N35" s="38">
        <v>540</v>
      </c>
      <c r="O35" s="38">
        <v>540</v>
      </c>
      <c r="P35" s="38">
        <v>540</v>
      </c>
      <c r="Q35" s="38">
        <v>540</v>
      </c>
      <c r="R35" s="38">
        <v>540</v>
      </c>
      <c r="S35" s="38">
        <v>540</v>
      </c>
      <c r="T35" s="38">
        <v>530</v>
      </c>
      <c r="U35" s="38">
        <v>530</v>
      </c>
      <c r="V35" s="38">
        <v>530</v>
      </c>
      <c r="W35" s="38">
        <v>530</v>
      </c>
      <c r="X35" s="74">
        <v>530</v>
      </c>
      <c r="Y35" s="74">
        <v>530</v>
      </c>
      <c r="Z35" s="74">
        <v>530</v>
      </c>
      <c r="AA35" s="74">
        <v>530</v>
      </c>
      <c r="AB35" s="74">
        <v>550</v>
      </c>
      <c r="AC35" s="74">
        <v>550</v>
      </c>
      <c r="AD35" s="74">
        <v>550</v>
      </c>
      <c r="AE35" s="74">
        <v>87.888517489777783</v>
      </c>
      <c r="AF35" s="74">
        <v>87.888517489777783</v>
      </c>
      <c r="AG35" s="74">
        <v>93.667358708189141</v>
      </c>
      <c r="AH35" s="74">
        <v>93.667358708189141</v>
      </c>
      <c r="AI35" s="74">
        <v>74.498269896193776</v>
      </c>
      <c r="AJ35" s="74">
        <v>74.498269896193776</v>
      </c>
      <c r="AK35" s="74">
        <v>112.33101045480799</v>
      </c>
      <c r="AL35" s="74">
        <v>125.33101045480799</v>
      </c>
      <c r="AM35" s="74">
        <v>125.33101045480799</v>
      </c>
      <c r="AN35" s="74">
        <v>125.33101045480799</v>
      </c>
      <c r="AO35" s="74">
        <v>125.33101045480799</v>
      </c>
      <c r="AP35" s="74">
        <v>124.56901480347115</v>
      </c>
      <c r="AQ35" s="74">
        <v>123.56901480347115</v>
      </c>
      <c r="AR35" s="74">
        <v>191.81796690307328</v>
      </c>
      <c r="AS35" s="74">
        <v>191.81796690307328</v>
      </c>
      <c r="AT35" s="74">
        <v>191.81796690307328</v>
      </c>
      <c r="AU35" s="74">
        <v>191.81796690307328</v>
      </c>
      <c r="AV35" s="74" t="str" cm="1">
        <f t="array" aca="1" ref="AV35" ca="1">IFERROR(_xlfn.XLOOKUP($C35,
INDIRECT("'在庫使用計画 ("&amp;AV$1&amp;")'!D:D"),
INDIRECT("'在庫使用計画 ("&amp;AV$1&amp;")'!I:I")
),"")</f>
        <v/>
      </c>
      <c r="AW35" s="74" t="str" cm="1">
        <f t="array" aca="1" ref="AW35" ca="1">IFERROR(_xlfn.XLOOKUP($C35,
INDIRECT("'在庫使用計画 ("&amp;AW$1&amp;")'!D:D"),
INDIRECT("'在庫使用計画 ("&amp;AW$1&amp;")'!I:I")
),"")</f>
        <v/>
      </c>
      <c r="AX35" s="74" t="str" cm="1">
        <f t="array" aca="1" ref="AX35" ca="1">IFERROR(_xlfn.XLOOKUP($C35,
INDIRECT("'在庫使用計画 ("&amp;AX$1&amp;")'!D:D"),
INDIRECT("'在庫使用計画 ("&amp;AX$1&amp;")'!I:I")
),"")</f>
        <v/>
      </c>
    </row>
    <row r="36" spans="1:50" s="21" customFormat="1" ht="18.600000000000001" customHeight="1">
      <c r="A36" s="32" t="s">
        <v>1383</v>
      </c>
      <c r="B36" s="26" t="str">
        <v>CLE-V56-AI9-470-5060-L6 Creator</v>
      </c>
      <c r="C36" s="911" t="s">
        <v>427</v>
      </c>
      <c r="D36" s="25" t="e">
        <v>#REF!</v>
      </c>
      <c r="E36" s="26"/>
      <c r="F36" s="24">
        <v>5060</v>
      </c>
      <c r="G36" s="24"/>
      <c r="H36" s="38">
        <v>348</v>
      </c>
      <c r="I36" s="700" t="e">
        <v>#REF!</v>
      </c>
      <c r="J36" s="416" t="e">
        <v>#REF!</v>
      </c>
      <c r="K36" s="38" t="s">
        <v>21</v>
      </c>
      <c r="L36" s="38" t="s">
        <v>21</v>
      </c>
      <c r="M36" s="38" t="s">
        <v>21</v>
      </c>
      <c r="N36" s="38" t="s">
        <v>21</v>
      </c>
      <c r="O36" s="38" t="s">
        <v>21</v>
      </c>
      <c r="P36" s="38"/>
      <c r="Q36" s="38" t="s">
        <v>21</v>
      </c>
      <c r="R36" s="38" t="s">
        <v>21</v>
      </c>
      <c r="S36" s="38" t="s">
        <v>21</v>
      </c>
      <c r="T36" s="38" t="s">
        <v>21</v>
      </c>
      <c r="U36" s="38" t="s">
        <v>21</v>
      </c>
      <c r="V36" s="38" t="s">
        <v>21</v>
      </c>
      <c r="W36" s="38" t="s">
        <v>21</v>
      </c>
      <c r="X36" s="74" t="s">
        <v>21</v>
      </c>
      <c r="Y36" s="74" t="s">
        <v>21</v>
      </c>
      <c r="Z36" s="74" t="s">
        <v>21</v>
      </c>
      <c r="AA36" s="74" t="s">
        <v>21</v>
      </c>
      <c r="AB36" s="74" t="s">
        <v>21</v>
      </c>
      <c r="AC36" s="74">
        <v>100</v>
      </c>
      <c r="AD36" s="74">
        <v>100</v>
      </c>
      <c r="AE36" s="74">
        <v>100</v>
      </c>
      <c r="AF36" s="74">
        <v>100</v>
      </c>
      <c r="AG36" s="74">
        <v>100</v>
      </c>
      <c r="AH36" s="74">
        <v>100</v>
      </c>
      <c r="AI36" s="74">
        <v>180</v>
      </c>
      <c r="AJ36" s="74">
        <v>180</v>
      </c>
      <c r="AK36" s="74">
        <v>180</v>
      </c>
      <c r="AL36" s="74">
        <v>180</v>
      </c>
      <c r="AM36" s="74">
        <v>180</v>
      </c>
      <c r="AN36" s="74">
        <v>180</v>
      </c>
      <c r="AO36" s="74">
        <v>180</v>
      </c>
      <c r="AP36" s="74">
        <v>260</v>
      </c>
      <c r="AQ36" s="74">
        <v>330</v>
      </c>
      <c r="AR36" s="74">
        <v>150</v>
      </c>
      <c r="AS36" s="74">
        <v>150</v>
      </c>
      <c r="AT36" s="74">
        <v>150</v>
      </c>
      <c r="AU36" s="74">
        <v>150</v>
      </c>
      <c r="AV36" s="74" t="str" cm="1">
        <f t="array" aca="1" ref="AV36" ca="1">IFERROR(_xlfn.XLOOKUP($C36,
INDIRECT("'在庫使用計画 ("&amp;AV$1&amp;")'!D:D"),
INDIRECT("'在庫使用計画 ("&amp;AV$1&amp;")'!I:I")
),"")</f>
        <v/>
      </c>
      <c r="AW36" s="74" t="str" cm="1">
        <f t="array" aca="1" ref="AW36" ca="1">IFERROR(_xlfn.XLOOKUP($C36,
INDIRECT("'在庫使用計画 ("&amp;AW$1&amp;")'!D:D"),
INDIRECT("'在庫使用計画 ("&amp;AW$1&amp;")'!I:I")
),"")</f>
        <v/>
      </c>
      <c r="AX36" s="74" t="str" cm="1">
        <f t="array" aca="1" ref="AX36" ca="1">IFERROR(_xlfn.XLOOKUP($C36,
INDIRECT("'在庫使用計画 ("&amp;AX$1&amp;")'!D:D"),
INDIRECT("'在庫使用計画 ("&amp;AX$1&amp;")'!I:I")
),"")</f>
        <v/>
      </c>
    </row>
    <row r="37" spans="1:50" s="21" customFormat="1" ht="18.600000000000001" customHeight="1">
      <c r="A37" s="32" t="s">
        <v>1383</v>
      </c>
      <c r="B37" s="26" t="str">
        <v>CLE-V54-HX370-UMA-L6 Creator</v>
      </c>
      <c r="C37" s="911" t="s">
        <v>486</v>
      </c>
      <c r="D37" s="25" t="e">
        <v>#REF!</v>
      </c>
      <c r="E37" s="26"/>
      <c r="F37" s="24">
        <v>5060</v>
      </c>
      <c r="G37" s="24"/>
      <c r="H37" s="38">
        <v>26</v>
      </c>
      <c r="I37" s="700" t="e">
        <v>#REF!</v>
      </c>
      <c r="J37" s="416" t="e">
        <v>#REF!</v>
      </c>
      <c r="K37" s="38" t="s">
        <v>21</v>
      </c>
      <c r="L37" s="38" t="s">
        <v>21</v>
      </c>
      <c r="M37" s="38" t="s">
        <v>21</v>
      </c>
      <c r="N37" s="38" t="s">
        <v>21</v>
      </c>
      <c r="O37" s="38" t="s">
        <v>21</v>
      </c>
      <c r="P37" s="38"/>
      <c r="Q37" s="38" t="s">
        <v>21</v>
      </c>
      <c r="R37" s="38" t="s">
        <v>21</v>
      </c>
      <c r="S37" s="38" t="s">
        <v>21</v>
      </c>
      <c r="T37" s="38" t="s">
        <v>21</v>
      </c>
      <c r="U37" s="38" t="s">
        <v>21</v>
      </c>
      <c r="V37" s="38" t="s">
        <v>21</v>
      </c>
      <c r="W37" s="38" t="s">
        <v>21</v>
      </c>
      <c r="X37" s="74" t="s">
        <v>21</v>
      </c>
      <c r="Y37" s="74" t="s">
        <v>21</v>
      </c>
      <c r="Z37" s="74" t="s">
        <v>21</v>
      </c>
      <c r="AA37" s="74" t="s">
        <v>21</v>
      </c>
      <c r="AB37" s="74" t="s">
        <v>21</v>
      </c>
      <c r="AC37" s="74">
        <v>100</v>
      </c>
      <c r="AD37" s="74">
        <v>100</v>
      </c>
      <c r="AE37" s="74">
        <v>100</v>
      </c>
      <c r="AF37" s="74">
        <v>100</v>
      </c>
      <c r="AG37" s="74">
        <v>100</v>
      </c>
      <c r="AH37" s="74">
        <v>100</v>
      </c>
      <c r="AI37" s="74">
        <v>180</v>
      </c>
      <c r="AJ37" s="74">
        <v>180</v>
      </c>
      <c r="AK37" s="74">
        <v>180</v>
      </c>
      <c r="AL37" s="74">
        <v>180</v>
      </c>
      <c r="AM37" s="74">
        <v>180</v>
      </c>
      <c r="AN37" s="74">
        <v>180</v>
      </c>
      <c r="AO37" s="74">
        <v>180</v>
      </c>
      <c r="AP37" s="74">
        <v>260</v>
      </c>
      <c r="AQ37" s="74">
        <v>498.91939765186282</v>
      </c>
      <c r="AR37" s="74">
        <v>498.91939765186282</v>
      </c>
      <c r="AS37" s="74">
        <v>498.91939765186282</v>
      </c>
      <c r="AT37" s="74">
        <v>498.91939765186282</v>
      </c>
      <c r="AU37" s="74">
        <v>498.91939765186282</v>
      </c>
      <c r="AV37" s="74" t="str" cm="1">
        <f t="array" aca="1" ref="AV37" ca="1">IFERROR(_xlfn.XLOOKUP($C37,
INDIRECT("'在庫使用計画 ("&amp;AV$1&amp;")'!D:D"),
INDIRECT("'在庫使用計画 ("&amp;AV$1&amp;")'!I:I")
),"")</f>
        <v/>
      </c>
      <c r="AW37" s="74" t="str" cm="1">
        <f t="array" aca="1" ref="AW37" ca="1">IFERROR(_xlfn.XLOOKUP($C37,
INDIRECT("'在庫使用計画 ("&amp;AW$1&amp;")'!D:D"),
INDIRECT("'在庫使用計画 ("&amp;AW$1&amp;")'!I:I")
),"")</f>
        <v/>
      </c>
      <c r="AX37" s="74" t="str" cm="1">
        <f t="array" aca="1" ref="AX37" ca="1">IFERROR(_xlfn.XLOOKUP($C37,
INDIRECT("'在庫使用計画 ("&amp;AX$1&amp;")'!D:D"),
INDIRECT("'在庫使用計画 ("&amp;AX$1&amp;")'!I:I")
),"")</f>
        <v/>
      </c>
    </row>
    <row r="38" spans="1:50" s="21" customFormat="1" ht="18.600000000000001" customHeight="1">
      <c r="A38" s="32" t="s">
        <v>1383</v>
      </c>
      <c r="B38" s="26" t="str">
        <v>CLE-V54-AI9-470-UMA-L6 Creator</v>
      </c>
      <c r="C38" s="911" t="s">
        <v>1385</v>
      </c>
      <c r="D38" s="25" t="e">
        <v>#REF!</v>
      </c>
      <c r="E38" s="26"/>
      <c r="F38" s="24">
        <v>5060</v>
      </c>
      <c r="G38" s="24"/>
      <c r="H38" s="38">
        <v>420</v>
      </c>
      <c r="I38" s="700" t="e">
        <v>#REF!</v>
      </c>
      <c r="J38" s="416" t="e">
        <v>#REF!</v>
      </c>
      <c r="K38" s="38" t="s">
        <v>21</v>
      </c>
      <c r="L38" s="38" t="s">
        <v>21</v>
      </c>
      <c r="M38" s="38" t="s">
        <v>21</v>
      </c>
      <c r="N38" s="38" t="s">
        <v>21</v>
      </c>
      <c r="O38" s="38" t="s">
        <v>21</v>
      </c>
      <c r="P38" s="38"/>
      <c r="Q38" s="38" t="s">
        <v>21</v>
      </c>
      <c r="R38" s="38" t="s">
        <v>21</v>
      </c>
      <c r="S38" s="38" t="s">
        <v>21</v>
      </c>
      <c r="T38" s="38" t="s">
        <v>21</v>
      </c>
      <c r="U38" s="38" t="s">
        <v>21</v>
      </c>
      <c r="V38" s="38" t="s">
        <v>21</v>
      </c>
      <c r="W38" s="38" t="s">
        <v>21</v>
      </c>
      <c r="X38" s="74" t="s">
        <v>21</v>
      </c>
      <c r="Y38" s="74" t="s">
        <v>21</v>
      </c>
      <c r="Z38" s="74" t="s">
        <v>21</v>
      </c>
      <c r="AA38" s="74" t="s">
        <v>21</v>
      </c>
      <c r="AB38" s="74" t="s">
        <v>21</v>
      </c>
      <c r="AC38" s="74">
        <v>100</v>
      </c>
      <c r="AD38" s="74">
        <v>100</v>
      </c>
      <c r="AE38" s="74">
        <v>100</v>
      </c>
      <c r="AF38" s="74">
        <v>100</v>
      </c>
      <c r="AG38" s="74">
        <v>100</v>
      </c>
      <c r="AH38" s="74">
        <v>100</v>
      </c>
      <c r="AI38" s="74">
        <v>180</v>
      </c>
      <c r="AJ38" s="74">
        <v>180</v>
      </c>
      <c r="AK38" s="74">
        <v>180</v>
      </c>
      <c r="AL38" s="74">
        <v>180</v>
      </c>
      <c r="AM38" s="74">
        <v>180</v>
      </c>
      <c r="AN38" s="74">
        <v>180</v>
      </c>
      <c r="AO38" s="74">
        <v>180</v>
      </c>
      <c r="AP38" s="74">
        <v>260</v>
      </c>
      <c r="AQ38" s="74">
        <v>396</v>
      </c>
      <c r="AR38" s="74">
        <v>116</v>
      </c>
      <c r="AS38" s="74">
        <v>116</v>
      </c>
      <c r="AT38" s="74">
        <v>116</v>
      </c>
      <c r="AU38" s="74">
        <v>116</v>
      </c>
      <c r="AV38" s="74" t="str" cm="1">
        <f t="array" aca="1" ref="AV38" ca="1">IFERROR(_xlfn.XLOOKUP($C38,
INDIRECT("'在庫使用計画 ("&amp;AV$1&amp;")'!D:D"),
INDIRECT("'在庫使用計画 ("&amp;AV$1&amp;")'!I:I")
),"")</f>
        <v/>
      </c>
      <c r="AW38" s="74" t="str" cm="1">
        <f t="array" aca="1" ref="AW38" ca="1">IFERROR(_xlfn.XLOOKUP($C38,
INDIRECT("'在庫使用計画 ("&amp;AW$1&amp;")'!D:D"),
INDIRECT("'在庫使用計画 ("&amp;AW$1&amp;")'!I:I")
),"")</f>
        <v/>
      </c>
      <c r="AX38" s="74" t="str" cm="1">
        <f t="array" aca="1" ref="AX38" ca="1">IFERROR(_xlfn.XLOOKUP($C38,
INDIRECT("'在庫使用計画 ("&amp;AX$1&amp;")'!D:D"),
INDIRECT("'在庫使用計画 ("&amp;AX$1&amp;")'!I:I")
),"")</f>
        <v/>
      </c>
    </row>
    <row r="39" spans="1:50" s="70" customFormat="1" ht="18.600000000000001" customHeight="1">
      <c r="A39" s="67"/>
      <c r="B39" s="26" t="str">
        <v/>
      </c>
      <c r="C39" s="57"/>
      <c r="D39" s="25" t="str">
        <v/>
      </c>
      <c r="E39" s="68"/>
      <c r="F39" s="68"/>
      <c r="G39" s="68"/>
      <c r="H39" s="38" t="str">
        <v/>
      </c>
      <c r="I39" s="700" t="str">
        <v/>
      </c>
      <c r="J39" s="416" t="str">
        <v/>
      </c>
      <c r="K39" s="38" t="s">
        <v>21</v>
      </c>
      <c r="L39" s="38" t="s">
        <v>21</v>
      </c>
      <c r="M39" s="38" t="s">
        <v>21</v>
      </c>
      <c r="N39" s="38" t="s">
        <v>21</v>
      </c>
      <c r="O39" s="38" t="s">
        <v>21</v>
      </c>
      <c r="P39" s="38"/>
      <c r="Q39" s="38"/>
      <c r="R39" s="38" t="s">
        <v>21</v>
      </c>
      <c r="S39" s="38" t="s">
        <v>21</v>
      </c>
      <c r="T39" s="38" t="s">
        <v>21</v>
      </c>
      <c r="U39" s="38" t="s">
        <v>21</v>
      </c>
      <c r="V39" s="38" t="s">
        <v>21</v>
      </c>
      <c r="W39" s="38" t="s">
        <v>21</v>
      </c>
      <c r="X39" s="74" t="s">
        <v>21</v>
      </c>
      <c r="Y39" s="74" t="s">
        <v>21</v>
      </c>
      <c r="Z39" s="74" t="s">
        <v>21</v>
      </c>
      <c r="AA39" s="74" t="s">
        <v>21</v>
      </c>
      <c r="AB39" s="74" t="s">
        <v>21</v>
      </c>
      <c r="AC39" s="74" t="s">
        <v>21</v>
      </c>
      <c r="AD39" s="74" t="s">
        <v>21</v>
      </c>
      <c r="AE39" s="74" t="s">
        <v>21</v>
      </c>
      <c r="AF39" s="74" t="s">
        <v>21</v>
      </c>
      <c r="AG39" s="74" t="s">
        <v>21</v>
      </c>
      <c r="AH39" s="74" t="s">
        <v>21</v>
      </c>
      <c r="AI39" s="74" t="s">
        <v>21</v>
      </c>
      <c r="AJ39" s="74" t="s">
        <v>21</v>
      </c>
      <c r="AK39" s="74" t="s">
        <v>21</v>
      </c>
      <c r="AL39" s="74" t="s">
        <v>21</v>
      </c>
      <c r="AM39" s="74" t="s">
        <v>21</v>
      </c>
      <c r="AN39" s="74" t="s">
        <v>21</v>
      </c>
      <c r="AO39" s="74" t="s">
        <v>21</v>
      </c>
      <c r="AP39" s="74" t="s">
        <v>21</v>
      </c>
      <c r="AQ39" s="74" t="s">
        <v>21</v>
      </c>
      <c r="AR39" s="74" t="s">
        <v>21</v>
      </c>
      <c r="AS39" s="74" t="s">
        <v>21</v>
      </c>
      <c r="AT39" s="74" t="s">
        <v>21</v>
      </c>
      <c r="AU39" s="74" t="s">
        <v>21</v>
      </c>
      <c r="AV39" s="74" t="str" cm="1">
        <f t="array" aca="1" ref="AV39" ca="1">IFERROR(_xlfn.XLOOKUP($C39,
INDIRECT("'在庫使用計画 ("&amp;AV$1&amp;")'!D:D"),
INDIRECT("'在庫使用計画 ("&amp;AV$1&amp;")'!I:I")
),"")</f>
        <v/>
      </c>
      <c r="AW39" s="74" t="str" cm="1">
        <f t="array" aca="1" ref="AW39" ca="1">IFERROR(_xlfn.XLOOKUP($C39,
INDIRECT("'在庫使用計画 ("&amp;AW$1&amp;")'!D:D"),
INDIRECT("'在庫使用計画 ("&amp;AW$1&amp;")'!I:I")
),"")</f>
        <v/>
      </c>
      <c r="AX39" s="74" t="str" cm="1">
        <f t="array" aca="1" ref="AX39" ca="1">IFERROR(_xlfn.XLOOKUP($C39,
INDIRECT("'在庫使用計画 ("&amp;AX$1&amp;")'!D:D"),
INDIRECT("'在庫使用計画 ("&amp;AX$1&amp;")'!I:I")
),"")</f>
        <v/>
      </c>
    </row>
    <row r="40" spans="1:50" s="70" customFormat="1" ht="18.600000000000001" customHeight="1">
      <c r="A40" s="67" t="s">
        <v>1386</v>
      </c>
      <c r="B40" s="87" t="str">
        <v>CLE-V35-14650HX-5060-L6 Creator</v>
      </c>
      <c r="C40" s="57" t="s">
        <v>444</v>
      </c>
      <c r="D40" s="25" t="e">
        <v>#REF!</v>
      </c>
      <c r="E40" s="68" t="s">
        <v>1387</v>
      </c>
      <c r="F40" s="68"/>
      <c r="G40" s="68"/>
      <c r="H40" s="38">
        <v>536</v>
      </c>
      <c r="I40" s="700" t="e">
        <v>#REF!</v>
      </c>
      <c r="J40" s="416" t="e">
        <v>#REF!</v>
      </c>
      <c r="K40" s="38">
        <v>1205</v>
      </c>
      <c r="L40" s="38">
        <v>1155</v>
      </c>
      <c r="M40" s="38">
        <v>1155</v>
      </c>
      <c r="N40" s="38">
        <v>1155</v>
      </c>
      <c r="O40" s="38">
        <v>1118</v>
      </c>
      <c r="P40" s="38">
        <v>1118</v>
      </c>
      <c r="Q40" s="38">
        <v>1118</v>
      </c>
      <c r="R40" s="38">
        <v>1118</v>
      </c>
      <c r="S40" s="38">
        <v>1118</v>
      </c>
      <c r="T40" s="38">
        <v>1063</v>
      </c>
      <c r="U40" s="38">
        <v>1063</v>
      </c>
      <c r="V40" s="38">
        <v>1063</v>
      </c>
      <c r="W40" s="38">
        <v>1063</v>
      </c>
      <c r="X40" s="74">
        <v>1063</v>
      </c>
      <c r="Y40" s="74">
        <v>1063</v>
      </c>
      <c r="Z40" s="74">
        <v>1255</v>
      </c>
      <c r="AA40" s="74">
        <v>1255</v>
      </c>
      <c r="AB40" s="74">
        <v>1525</v>
      </c>
      <c r="AC40" s="74">
        <v>1525</v>
      </c>
      <c r="AD40" s="74">
        <v>1525</v>
      </c>
      <c r="AE40" s="74">
        <v>1251.3768184177777</v>
      </c>
      <c r="AF40" s="74">
        <v>1251.3768184177777</v>
      </c>
      <c r="AG40" s="74">
        <v>1001.5134948096886</v>
      </c>
      <c r="AH40" s="74">
        <v>1001.5134948096886</v>
      </c>
      <c r="AI40" s="74">
        <v>925.21626297577859</v>
      </c>
      <c r="AJ40" s="74">
        <v>925.21626297577859</v>
      </c>
      <c r="AK40" s="74">
        <v>871.14523475185956</v>
      </c>
      <c r="AL40" s="74">
        <v>831.14523475185956</v>
      </c>
      <c r="AM40" s="74">
        <v>831.14523475185956</v>
      </c>
      <c r="AN40" s="74">
        <v>831.14523475185956</v>
      </c>
      <c r="AO40" s="74">
        <v>831.14523475185956</v>
      </c>
      <c r="AP40" s="74">
        <v>608.40347115875454</v>
      </c>
      <c r="AQ40" s="74">
        <v>648.40347115875454</v>
      </c>
      <c r="AR40" s="74">
        <v>648.40347115875454</v>
      </c>
      <c r="AS40" s="74">
        <v>648.40347115875454</v>
      </c>
      <c r="AT40" s="74">
        <v>698.40347115875454</v>
      </c>
      <c r="AU40" s="74">
        <v>698.40347115875454</v>
      </c>
      <c r="AV40" s="74" t="str" cm="1">
        <f t="array" aca="1" ref="AV40" ca="1">IFERROR(_xlfn.XLOOKUP($C40,
INDIRECT("'在庫使用計画 ("&amp;AV$1&amp;")'!D:D"),
INDIRECT("'在庫使用計画 ("&amp;AV$1&amp;")'!I:I")
),"")</f>
        <v/>
      </c>
      <c r="AW40" s="74" t="str" cm="1">
        <f t="array" aca="1" ref="AW40" ca="1">IFERROR(_xlfn.XLOOKUP($C40,
INDIRECT("'在庫使用計画 ("&amp;AW$1&amp;")'!D:D"),
INDIRECT("'在庫使用計画 ("&amp;AW$1&amp;")'!I:I")
),"")</f>
        <v/>
      </c>
      <c r="AX40" s="74" t="str" cm="1">
        <f t="array" aca="1" ref="AX40" ca="1">IFERROR(_xlfn.XLOOKUP($C40,
INDIRECT("'在庫使用計画 ("&amp;AX$1&amp;")'!D:D"),
INDIRECT("'在庫使用計画 ("&amp;AX$1&amp;")'!I:I")
),"")</f>
        <v/>
      </c>
    </row>
    <row r="41" spans="1:50" s="21" customFormat="1" ht="18.600000000000001" customHeight="1">
      <c r="A41" s="32" t="s">
        <v>1383</v>
      </c>
      <c r="B41" s="26" t="str">
        <v>QNT-NLT-240H-5060-L6-GC</v>
      </c>
      <c r="C41" s="911" t="s">
        <v>448</v>
      </c>
      <c r="D41" s="25" t="e">
        <v>#REF!</v>
      </c>
      <c r="E41" s="26"/>
      <c r="F41" s="24">
        <v>5060</v>
      </c>
      <c r="G41" s="24" t="s">
        <v>20</v>
      </c>
      <c r="H41" s="38">
        <v>1100</v>
      </c>
      <c r="I41" s="700" t="e">
        <v>#REF!</v>
      </c>
      <c r="J41" s="416" t="e">
        <v>#REF!</v>
      </c>
      <c r="K41" s="38" t="s">
        <v>21</v>
      </c>
      <c r="L41" s="38" t="s">
        <v>21</v>
      </c>
      <c r="M41" s="38" t="s">
        <v>21</v>
      </c>
      <c r="N41" s="38" t="s">
        <v>21</v>
      </c>
      <c r="O41" s="38" t="s">
        <v>21</v>
      </c>
      <c r="P41" s="38" t="s">
        <v>21</v>
      </c>
      <c r="Q41" s="38" t="s">
        <v>21</v>
      </c>
      <c r="R41" s="38">
        <v>0</v>
      </c>
      <c r="S41" s="38">
        <v>0</v>
      </c>
      <c r="T41" s="38">
        <v>0</v>
      </c>
      <c r="U41" s="38">
        <v>0</v>
      </c>
      <c r="V41" s="38">
        <v>0</v>
      </c>
      <c r="W41" s="38">
        <v>0</v>
      </c>
      <c r="X41" s="74">
        <v>0</v>
      </c>
      <c r="Y41" s="74">
        <v>0</v>
      </c>
      <c r="Z41" s="74">
        <v>0</v>
      </c>
      <c r="AA41" s="74">
        <v>0</v>
      </c>
      <c r="AB41" s="74">
        <v>0</v>
      </c>
      <c r="AC41" s="74">
        <v>0</v>
      </c>
      <c r="AD41" s="74">
        <v>0</v>
      </c>
      <c r="AE41" s="74">
        <v>0</v>
      </c>
      <c r="AF41" s="74">
        <v>0</v>
      </c>
      <c r="AG41" s="74">
        <v>0</v>
      </c>
      <c r="AH41" s="74">
        <v>0</v>
      </c>
      <c r="AI41" s="74">
        <v>0</v>
      </c>
      <c r="AJ41" s="74">
        <v>0</v>
      </c>
      <c r="AK41" s="74">
        <v>0</v>
      </c>
      <c r="AL41" s="74">
        <v>30</v>
      </c>
      <c r="AM41" s="74">
        <v>30</v>
      </c>
      <c r="AN41" s="74">
        <v>30</v>
      </c>
      <c r="AO41" s="74">
        <v>30</v>
      </c>
      <c r="AP41" s="74">
        <v>135</v>
      </c>
      <c r="AQ41" s="74">
        <v>130</v>
      </c>
      <c r="AR41" s="74">
        <v>50</v>
      </c>
      <c r="AS41" s="74">
        <v>50</v>
      </c>
      <c r="AT41" s="74">
        <v>0</v>
      </c>
      <c r="AU41" s="74">
        <v>0</v>
      </c>
      <c r="AV41" s="74" t="str" cm="1">
        <f t="array" aca="1" ref="AV41" ca="1">IFERROR(_xlfn.XLOOKUP($C41,
INDIRECT("'在庫使用計画 ("&amp;AV$1&amp;")'!D:D"),
INDIRECT("'在庫使用計画 ("&amp;AV$1&amp;")'!I:I")
),"")</f>
        <v/>
      </c>
      <c r="AW41" s="74" t="str" cm="1">
        <f t="array" aca="1" ref="AW41" ca="1">IFERROR(_xlfn.XLOOKUP($C41,
INDIRECT("'在庫使用計画 ("&amp;AW$1&amp;")'!D:D"),
INDIRECT("'在庫使用計画 ("&amp;AW$1&amp;")'!I:I")
),"")</f>
        <v/>
      </c>
      <c r="AX41" s="74" t="str" cm="1">
        <f t="array" aca="1" ref="AX41" ca="1">IFERROR(_xlfn.XLOOKUP($C41,
INDIRECT("'在庫使用計画 ("&amp;AX$1&amp;")'!D:D"),
INDIRECT("'在庫使用計画 ("&amp;AX$1&amp;")'!I:I")
),"")</f>
        <v/>
      </c>
    </row>
    <row r="42" spans="1:50" s="70" customFormat="1" ht="18.600000000000001" customHeight="1">
      <c r="A42" s="67" t="s">
        <v>1386</v>
      </c>
      <c r="B42" s="87" t="str">
        <v>CLE-V35-14650HX-5050-L6 Creator</v>
      </c>
      <c r="C42" s="57" t="s">
        <v>1388</v>
      </c>
      <c r="D42" s="25" t="e">
        <v>#REF!</v>
      </c>
      <c r="E42" s="68" t="s">
        <v>1387</v>
      </c>
      <c r="F42" s="68"/>
      <c r="G42" s="68"/>
      <c r="H42" s="38">
        <v>42</v>
      </c>
      <c r="I42" s="700" t="e">
        <v>#REF!</v>
      </c>
      <c r="J42" s="416" t="e">
        <v>#REF!</v>
      </c>
      <c r="K42" s="38">
        <v>600.07208717518859</v>
      </c>
      <c r="L42" s="38">
        <v>620.07208717518859</v>
      </c>
      <c r="M42" s="38">
        <v>620.07208717518859</v>
      </c>
      <c r="N42" s="38">
        <v>620.07208717518859</v>
      </c>
      <c r="O42" s="38">
        <v>615.07208717518859</v>
      </c>
      <c r="P42" s="38">
        <v>615.07208717518859</v>
      </c>
      <c r="Q42" s="38">
        <v>615.07208717518859</v>
      </c>
      <c r="R42" s="38">
        <v>676.07208717518859</v>
      </c>
      <c r="S42" s="38">
        <v>676.07208717518859</v>
      </c>
      <c r="T42" s="38">
        <v>705</v>
      </c>
      <c r="U42" s="38">
        <v>705</v>
      </c>
      <c r="V42" s="38">
        <v>705</v>
      </c>
      <c r="W42" s="38">
        <v>705</v>
      </c>
      <c r="X42" s="74">
        <v>705</v>
      </c>
      <c r="Y42" s="74">
        <v>705</v>
      </c>
      <c r="Z42" s="74">
        <v>715</v>
      </c>
      <c r="AA42" s="74">
        <v>715</v>
      </c>
      <c r="AB42" s="74">
        <v>800</v>
      </c>
      <c r="AC42" s="74">
        <v>800</v>
      </c>
      <c r="AD42" s="74">
        <v>800</v>
      </c>
      <c r="AE42" s="74">
        <v>512.55072736711099</v>
      </c>
      <c r="AF42" s="74">
        <v>512.55072736711099</v>
      </c>
      <c r="AG42" s="74">
        <v>555.95217224144562</v>
      </c>
      <c r="AH42" s="74">
        <v>555.95217224144562</v>
      </c>
      <c r="AI42" s="74">
        <v>514.39734717416377</v>
      </c>
      <c r="AJ42" s="74">
        <v>514.39734717416377</v>
      </c>
      <c r="AK42" s="74">
        <v>543.56040626381775</v>
      </c>
      <c r="AL42" s="74">
        <v>508.5604062638177</v>
      </c>
      <c r="AM42" s="74">
        <v>508.5604062638177</v>
      </c>
      <c r="AN42" s="74">
        <v>508.5604062638177</v>
      </c>
      <c r="AO42" s="74">
        <v>508.5604062638177</v>
      </c>
      <c r="AP42" s="74">
        <v>383.80260336906588</v>
      </c>
      <c r="AQ42" s="74">
        <v>418.80260336906588</v>
      </c>
      <c r="AR42" s="74">
        <v>418.80260336906588</v>
      </c>
      <c r="AS42" s="74">
        <v>418.80260336906588</v>
      </c>
      <c r="AT42" s="74">
        <v>448.80260336906588</v>
      </c>
      <c r="AU42" s="74">
        <v>448.80260336906588</v>
      </c>
      <c r="AV42" s="74" t="str" cm="1">
        <f t="array" aca="1" ref="AV42" ca="1">IFERROR(_xlfn.XLOOKUP($C42,
INDIRECT("'在庫使用計画 ("&amp;AV$1&amp;")'!D:D"),
INDIRECT("'在庫使用計画 ("&amp;AV$1&amp;")'!I:I")
),"")</f>
        <v/>
      </c>
      <c r="AW42" s="74" t="str" cm="1">
        <f t="array" aca="1" ref="AW42" ca="1">IFERROR(_xlfn.XLOOKUP($C42,
INDIRECT("'在庫使用計画 ("&amp;AW$1&amp;")'!D:D"),
INDIRECT("'在庫使用計画 ("&amp;AW$1&amp;")'!I:I")
),"")</f>
        <v/>
      </c>
      <c r="AX42" s="74" t="str" cm="1">
        <f t="array" aca="1" ref="AX42" ca="1">IFERROR(_xlfn.XLOOKUP($C42,
INDIRECT("'在庫使用計画 ("&amp;AX$1&amp;")'!D:D"),
INDIRECT("'在庫使用計画 ("&amp;AX$1&amp;")'!I:I")
),"")</f>
        <v/>
      </c>
    </row>
    <row r="43" spans="1:50" s="21" customFormat="1" ht="18.600000000000001" customHeight="1">
      <c r="A43" s="32" t="s">
        <v>1383</v>
      </c>
      <c r="B43" s="26" t="str">
        <v>QNT-NLT-240H-5050-L6-GC</v>
      </c>
      <c r="C43" s="911" t="s">
        <v>453</v>
      </c>
      <c r="D43" s="25" t="e">
        <v>#REF!</v>
      </c>
      <c r="E43" s="26"/>
      <c r="F43" s="24">
        <v>5050</v>
      </c>
      <c r="G43" s="24" t="s">
        <v>20</v>
      </c>
      <c r="H43" s="38">
        <v>730</v>
      </c>
      <c r="I43" s="700" t="e">
        <v>#REF!</v>
      </c>
      <c r="J43" s="416" t="e">
        <v>#REF!</v>
      </c>
      <c r="K43" s="38" t="s">
        <v>21</v>
      </c>
      <c r="L43" s="38" t="s">
        <v>21</v>
      </c>
      <c r="M43" s="38" t="s">
        <v>21</v>
      </c>
      <c r="N43" s="38" t="s">
        <v>21</v>
      </c>
      <c r="O43" s="38" t="s">
        <v>21</v>
      </c>
      <c r="P43" s="38" t="s">
        <v>21</v>
      </c>
      <c r="Q43" s="38" t="s">
        <v>21</v>
      </c>
      <c r="R43" s="38">
        <v>0</v>
      </c>
      <c r="S43" s="38">
        <v>0</v>
      </c>
      <c r="T43" s="38">
        <v>0</v>
      </c>
      <c r="U43" s="38">
        <v>0</v>
      </c>
      <c r="V43" s="38">
        <v>0</v>
      </c>
      <c r="W43" s="38">
        <v>0</v>
      </c>
      <c r="X43" s="74">
        <v>0</v>
      </c>
      <c r="Y43" s="74">
        <v>0</v>
      </c>
      <c r="Z43" s="74">
        <v>0</v>
      </c>
      <c r="AA43" s="74">
        <v>0</v>
      </c>
      <c r="AB43" s="74">
        <v>0</v>
      </c>
      <c r="AC43" s="74">
        <v>0</v>
      </c>
      <c r="AD43" s="74">
        <v>0</v>
      </c>
      <c r="AE43" s="74">
        <v>0</v>
      </c>
      <c r="AF43" s="74">
        <v>0</v>
      </c>
      <c r="AG43" s="74">
        <v>0</v>
      </c>
      <c r="AH43" s="74">
        <v>0</v>
      </c>
      <c r="AI43" s="74">
        <v>0</v>
      </c>
      <c r="AJ43" s="74">
        <v>0</v>
      </c>
      <c r="AK43" s="74">
        <v>0</v>
      </c>
      <c r="AL43" s="74">
        <v>43</v>
      </c>
      <c r="AM43" s="74">
        <v>43</v>
      </c>
      <c r="AN43" s="74">
        <v>43</v>
      </c>
      <c r="AO43" s="74">
        <v>43</v>
      </c>
      <c r="AP43" s="74">
        <v>203</v>
      </c>
      <c r="AQ43" s="74">
        <v>100</v>
      </c>
      <c r="AR43" s="74">
        <v>30</v>
      </c>
      <c r="AS43" s="74">
        <v>30</v>
      </c>
      <c r="AT43" s="74">
        <v>0</v>
      </c>
      <c r="AU43" s="74">
        <v>0</v>
      </c>
      <c r="AV43" s="74" t="str" cm="1">
        <f t="array" aca="1" ref="AV43" ca="1">IFERROR(_xlfn.XLOOKUP($C43,
INDIRECT("'在庫使用計画 ("&amp;AV$1&amp;")'!D:D"),
INDIRECT("'在庫使用計画 ("&amp;AV$1&amp;")'!I:I")
),"")</f>
        <v/>
      </c>
      <c r="AW43" s="74" t="str" cm="1">
        <f t="array" aca="1" ref="AW43" ca="1">IFERROR(_xlfn.XLOOKUP($C43,
INDIRECT("'在庫使用計画 ("&amp;AW$1&amp;")'!D:D"),
INDIRECT("'在庫使用計画 ("&amp;AW$1&amp;")'!I:I")
),"")</f>
        <v/>
      </c>
      <c r="AX43" s="74" t="str" cm="1">
        <f t="array" aca="1" ref="AX43" ca="1">IFERROR(_xlfn.XLOOKUP($C43,
INDIRECT("'在庫使用計画 ("&amp;AX$1&amp;")'!D:D"),
INDIRECT("'在庫使用計画 ("&amp;AX$1&amp;")'!I:I")
),"")</f>
        <v/>
      </c>
    </row>
    <row r="44" spans="1:50" s="70" customFormat="1" ht="18.600000000000001" customHeight="1">
      <c r="A44" s="67" t="s">
        <v>1386</v>
      </c>
      <c r="B44" s="26" t="str">
        <v>UNW-E-13620H-4050-L6 Creator</v>
      </c>
      <c r="C44" s="57" t="s">
        <v>458</v>
      </c>
      <c r="D44" s="25" t="e">
        <v>#REF!</v>
      </c>
      <c r="E44" s="68" t="s">
        <v>1365</v>
      </c>
      <c r="F44" s="68">
        <v>4050</v>
      </c>
      <c r="G44" s="68" t="s">
        <v>20</v>
      </c>
      <c r="H44" s="38">
        <v>555</v>
      </c>
      <c r="I44" s="700" t="e">
        <v>#REF!</v>
      </c>
      <c r="J44" s="416" t="e">
        <v>#REF!</v>
      </c>
      <c r="K44" s="38" t="s">
        <v>21</v>
      </c>
      <c r="L44" s="38" t="s">
        <v>21</v>
      </c>
      <c r="M44" s="38" t="s">
        <v>21</v>
      </c>
      <c r="N44" s="38" t="s">
        <v>21</v>
      </c>
      <c r="O44" s="38" t="s">
        <v>21</v>
      </c>
      <c r="P44" s="38" t="s">
        <v>21</v>
      </c>
      <c r="Q44" s="38" t="s">
        <v>21</v>
      </c>
      <c r="R44" s="38">
        <v>0</v>
      </c>
      <c r="S44" s="38">
        <v>0</v>
      </c>
      <c r="T44" s="38">
        <v>0</v>
      </c>
      <c r="U44" s="38">
        <v>0</v>
      </c>
      <c r="V44" s="38">
        <v>0</v>
      </c>
      <c r="W44" s="38">
        <v>0</v>
      </c>
      <c r="X44" s="74">
        <v>0</v>
      </c>
      <c r="Y44" s="74">
        <v>0</v>
      </c>
      <c r="Z44" s="74">
        <v>0</v>
      </c>
      <c r="AA44" s="74">
        <v>0</v>
      </c>
      <c r="AB44" s="74">
        <v>0</v>
      </c>
      <c r="AC44" s="74">
        <v>995</v>
      </c>
      <c r="AD44" s="74">
        <v>995</v>
      </c>
      <c r="AE44" s="74">
        <v>331.77369238755557</v>
      </c>
      <c r="AF44" s="74">
        <v>331.77369238755557</v>
      </c>
      <c r="AG44" s="74">
        <v>406.56339869281044</v>
      </c>
      <c r="AH44" s="74">
        <v>406.56339869281044</v>
      </c>
      <c r="AI44" s="74">
        <v>334.31372549019608</v>
      </c>
      <c r="AJ44" s="74">
        <v>334.31372549019608</v>
      </c>
      <c r="AK44" s="74">
        <v>377.96055510514572</v>
      </c>
      <c r="AL44" s="74">
        <v>452.96055510514572</v>
      </c>
      <c r="AM44" s="74">
        <v>452.96055510514572</v>
      </c>
      <c r="AN44" s="74">
        <v>452.96055510514572</v>
      </c>
      <c r="AO44" s="74">
        <v>452.96055510514572</v>
      </c>
      <c r="AP44" s="74">
        <v>406.82383869321086</v>
      </c>
      <c r="AQ44" s="74">
        <v>396.82383869321086</v>
      </c>
      <c r="AR44" s="74">
        <v>503.73988895323981</v>
      </c>
      <c r="AS44" s="74">
        <v>503.73988895323981</v>
      </c>
      <c r="AT44" s="74">
        <v>503.73988895323981</v>
      </c>
      <c r="AU44" s="74">
        <v>503.73988895323981</v>
      </c>
      <c r="AV44" s="74" t="str" cm="1">
        <f t="array" aca="1" ref="AV44" ca="1">IFERROR(_xlfn.XLOOKUP($C44,
INDIRECT("'在庫使用計画 ("&amp;AV$1&amp;")'!D:D"),
INDIRECT("'在庫使用計画 ("&amp;AV$1&amp;")'!I:I")
),"")</f>
        <v/>
      </c>
      <c r="AW44" s="74" t="str" cm="1">
        <f t="array" aca="1" ref="AW44" ca="1">IFERROR(_xlfn.XLOOKUP($C44,
INDIRECT("'在庫使用計画 ("&amp;AW$1&amp;")'!D:D"),
INDIRECT("'在庫使用計画 ("&amp;AW$1&amp;")'!I:I")
),"")</f>
        <v/>
      </c>
      <c r="AX44" s="74" t="str" cm="1">
        <f t="array" aca="1" ref="AX44" ca="1">IFERROR(_xlfn.XLOOKUP($C44,
INDIRECT("'在庫使用計画 ("&amp;AX$1&amp;")'!D:D"),
INDIRECT("'在庫使用計画 ("&amp;AX$1&amp;")'!I:I")
),"")</f>
        <v/>
      </c>
    </row>
    <row r="45" spans="1:50" s="70" customFormat="1" ht="18.600000000000001" customHeight="1">
      <c r="A45" s="67" t="s">
        <v>1386</v>
      </c>
      <c r="B45" s="26" t="str">
        <v>UNW-E-13620H-3050-L6 Creator</v>
      </c>
      <c r="C45" s="25" t="s">
        <v>463</v>
      </c>
      <c r="D45" s="25" t="e">
        <v>#REF!</v>
      </c>
      <c r="E45" s="68" t="s">
        <v>1365</v>
      </c>
      <c r="F45" s="68">
        <v>3050</v>
      </c>
      <c r="G45" s="68" t="s">
        <v>20</v>
      </c>
      <c r="H45" s="38">
        <v>11</v>
      </c>
      <c r="I45" s="700" t="e">
        <v>#REF!</v>
      </c>
      <c r="J45" s="416" t="e">
        <v>#REF!</v>
      </c>
      <c r="K45" s="38">
        <v>790.10813076278293</v>
      </c>
      <c r="L45" s="38">
        <v>788.10813076278293</v>
      </c>
      <c r="M45" s="38">
        <v>828.10813076278293</v>
      </c>
      <c r="N45" s="38">
        <v>828.10813076278293</v>
      </c>
      <c r="O45" s="38">
        <v>828.10813076278293</v>
      </c>
      <c r="P45" s="38">
        <v>828.10813076278293</v>
      </c>
      <c r="Q45" s="38">
        <v>828.10813076278293</v>
      </c>
      <c r="R45" s="38">
        <v>864.10813076278293</v>
      </c>
      <c r="S45" s="38">
        <v>864.10813076278293</v>
      </c>
      <c r="T45" s="38">
        <v>870</v>
      </c>
      <c r="U45" s="38">
        <v>870</v>
      </c>
      <c r="V45" s="38">
        <v>870</v>
      </c>
      <c r="W45" s="38">
        <v>870</v>
      </c>
      <c r="X45" s="74">
        <v>870</v>
      </c>
      <c r="Y45" s="74">
        <v>870</v>
      </c>
      <c r="Z45" s="74">
        <v>870</v>
      </c>
      <c r="AA45" s="74">
        <v>870</v>
      </c>
      <c r="AB45" s="74">
        <v>995</v>
      </c>
      <c r="AC45" s="74">
        <v>840</v>
      </c>
      <c r="AD45" s="74">
        <v>840</v>
      </c>
      <c r="AE45" s="74">
        <v>639.60312603022226</v>
      </c>
      <c r="AF45" s="74">
        <v>639.60312603022226</v>
      </c>
      <c r="AG45" s="74">
        <v>752.62575932333721</v>
      </c>
      <c r="AH45" s="74">
        <v>752.62575932333721</v>
      </c>
      <c r="AI45" s="74">
        <v>624.38004613610144</v>
      </c>
      <c r="AJ45" s="74">
        <v>624.38004613610144</v>
      </c>
      <c r="AK45" s="74">
        <v>699.06852000025901</v>
      </c>
      <c r="AL45" s="74">
        <v>699.06852000025901</v>
      </c>
      <c r="AM45" s="74">
        <v>699.06852000025901</v>
      </c>
      <c r="AN45" s="74">
        <v>699.06852000025901</v>
      </c>
      <c r="AO45" s="74">
        <v>699.06852000025901</v>
      </c>
      <c r="AP45" s="74">
        <v>501.38601327207755</v>
      </c>
      <c r="AQ45" s="74">
        <v>501.38601327207755</v>
      </c>
      <c r="AR45" s="74">
        <v>451.4265441551812</v>
      </c>
      <c r="AS45" s="74">
        <v>451.4265441551812</v>
      </c>
      <c r="AT45" s="74">
        <v>451.4265441551812</v>
      </c>
      <c r="AU45" s="74">
        <v>451.4265441551812</v>
      </c>
      <c r="AV45" s="74" t="str" cm="1">
        <f t="array" aca="1" ref="AV45" ca="1">IFERROR(_xlfn.XLOOKUP($C45,
INDIRECT("'在庫使用計画 ("&amp;AV$1&amp;")'!D:D"),
INDIRECT("'在庫使用計画 ("&amp;AV$1&amp;")'!I:I")
),"")</f>
        <v/>
      </c>
      <c r="AW45" s="74" t="str" cm="1">
        <f t="array" aca="1" ref="AW45" ca="1">IFERROR(_xlfn.XLOOKUP($C45,
INDIRECT("'在庫使用計画 ("&amp;AW$1&amp;")'!D:D"),
INDIRECT("'在庫使用計画 ("&amp;AW$1&amp;")'!I:I")
),"")</f>
        <v/>
      </c>
      <c r="AX45" s="74" t="str" cm="1">
        <f t="array" aca="1" ref="AX45" ca="1">IFERROR(_xlfn.XLOOKUP($C45,
INDIRECT("'在庫使用計画 ("&amp;AX$1&amp;")'!D:D"),
INDIRECT("'在庫使用計画 ("&amp;AX$1&amp;")'!I:I")
),"")</f>
        <v/>
      </c>
    </row>
    <row r="46" spans="1:50" s="70" customFormat="1" ht="18.600000000000001" customHeight="1">
      <c r="A46" s="67" t="s">
        <v>1386</v>
      </c>
      <c r="B46" s="26" t="e">
        <v>#N/A</v>
      </c>
      <c r="C46" s="25" t="s">
        <v>462</v>
      </c>
      <c r="D46" s="25" t="e">
        <v>#REF!</v>
      </c>
      <c r="E46" s="68" t="s">
        <v>1365</v>
      </c>
      <c r="F46" s="68">
        <v>3050</v>
      </c>
      <c r="G46" s="68" t="s">
        <v>20</v>
      </c>
      <c r="H46" s="38" t="e">
        <v>#N/A</v>
      </c>
      <c r="I46" s="700" t="e">
        <v>#REF!</v>
      </c>
      <c r="J46" s="416" t="e">
        <v>#REF!</v>
      </c>
      <c r="K46" s="38">
        <v>790.10813076278293</v>
      </c>
      <c r="L46" s="38">
        <v>788.10813076278293</v>
      </c>
      <c r="M46" s="38">
        <v>828.10813076278293</v>
      </c>
      <c r="N46" s="38">
        <v>828.10813076278293</v>
      </c>
      <c r="O46" s="38">
        <v>828.10813076278293</v>
      </c>
      <c r="P46" s="38">
        <v>828.10813076278293</v>
      </c>
      <c r="Q46" s="38">
        <v>828.10813076278293</v>
      </c>
      <c r="R46" s="38">
        <v>864.10813076278293</v>
      </c>
      <c r="S46" s="38">
        <v>864.10813076278293</v>
      </c>
      <c r="T46" s="38">
        <v>870</v>
      </c>
      <c r="U46" s="38">
        <v>870</v>
      </c>
      <c r="V46" s="38">
        <v>870</v>
      </c>
      <c r="W46" s="38">
        <v>870</v>
      </c>
      <c r="X46" s="74">
        <v>870</v>
      </c>
      <c r="Y46" s="74">
        <v>870</v>
      </c>
      <c r="Z46" s="74">
        <v>870</v>
      </c>
      <c r="AA46" s="74">
        <v>870</v>
      </c>
      <c r="AB46" s="74">
        <v>995</v>
      </c>
      <c r="AC46" s="74">
        <v>840</v>
      </c>
      <c r="AD46" s="74">
        <v>840</v>
      </c>
      <c r="AE46" s="74">
        <v>639.60312603022226</v>
      </c>
      <c r="AF46" s="74">
        <v>639.60312603022226</v>
      </c>
      <c r="AG46" s="74">
        <v>752.62575932333721</v>
      </c>
      <c r="AH46" s="74">
        <v>752.62575932333721</v>
      </c>
      <c r="AI46" s="74">
        <v>624.38004613610144</v>
      </c>
      <c r="AJ46" s="74">
        <v>624.38004613610144</v>
      </c>
      <c r="AK46" s="74">
        <v>699.06852000025901</v>
      </c>
      <c r="AL46" s="74">
        <v>699.06852000025901</v>
      </c>
      <c r="AM46" s="74">
        <v>699.06852000025901</v>
      </c>
      <c r="AN46" s="74">
        <v>699.06852000025901</v>
      </c>
      <c r="AO46" s="74">
        <v>699.06852000025901</v>
      </c>
      <c r="AP46" s="74">
        <v>501.38601327207755</v>
      </c>
      <c r="AQ46" s="74">
        <v>0</v>
      </c>
      <c r="AR46" s="74">
        <v>0</v>
      </c>
      <c r="AS46" s="74">
        <v>0</v>
      </c>
      <c r="AT46" s="74">
        <v>0</v>
      </c>
      <c r="AU46" s="74">
        <v>0</v>
      </c>
      <c r="AV46" s="74" t="str" cm="1">
        <f t="array" aca="1" ref="AV46" ca="1">IFERROR(_xlfn.XLOOKUP($C46,
INDIRECT("'在庫使用計画 ("&amp;AV$1&amp;")'!D:D"),
INDIRECT("'在庫使用計画 ("&amp;AV$1&amp;")'!I:I")
),"")</f>
        <v/>
      </c>
      <c r="AW46" s="74" t="str" cm="1">
        <f t="array" aca="1" ref="AW46" ca="1">IFERROR(_xlfn.XLOOKUP($C46,
INDIRECT("'在庫使用計画 ("&amp;AW$1&amp;")'!D:D"),
INDIRECT("'在庫使用計画 ("&amp;AW$1&amp;")'!I:I")
),"")</f>
        <v/>
      </c>
      <c r="AX46" s="74" t="str" cm="1">
        <f t="array" aca="1" ref="AX46" ca="1">IFERROR(_xlfn.XLOOKUP($C46,
INDIRECT("'在庫使用計画 ("&amp;AX$1&amp;")'!D:D"),
INDIRECT("'在庫使用計画 ("&amp;AX$1&amp;")'!I:I")
),"")</f>
        <v/>
      </c>
    </row>
    <row r="47" spans="1:50" s="70" customFormat="1" ht="18.600000000000001" customHeight="1">
      <c r="A47" s="67"/>
      <c r="B47" s="26" t="str">
        <v/>
      </c>
      <c r="C47" s="25"/>
      <c r="D47" s="25" t="str">
        <v/>
      </c>
      <c r="E47" s="68"/>
      <c r="F47" s="68"/>
      <c r="G47" s="68"/>
      <c r="H47" s="38" t="str">
        <v/>
      </c>
      <c r="I47" s="700" t="str">
        <v/>
      </c>
      <c r="J47" s="416" t="str">
        <v/>
      </c>
      <c r="K47" s="38">
        <v>1485.1802179379715</v>
      </c>
      <c r="L47" s="38">
        <v>1590.1802179379715</v>
      </c>
      <c r="M47" s="38">
        <v>1170.1802179379715</v>
      </c>
      <c r="N47" s="38">
        <v>1170.1802179379715</v>
      </c>
      <c r="O47" s="38">
        <v>1170.1802179379715</v>
      </c>
      <c r="P47" s="38">
        <v>1170.1802179379715</v>
      </c>
      <c r="Q47" s="38">
        <v>1170.1802179379715</v>
      </c>
      <c r="R47" s="38">
        <v>1235.1802179379715</v>
      </c>
      <c r="S47" s="38">
        <v>1235.1802179379715</v>
      </c>
      <c r="T47" s="38">
        <v>1160</v>
      </c>
      <c r="U47" s="38">
        <v>1160</v>
      </c>
      <c r="V47" s="38">
        <v>1160</v>
      </c>
      <c r="W47" s="38">
        <v>1160</v>
      </c>
      <c r="X47" s="74">
        <v>1160</v>
      </c>
      <c r="Y47" s="74">
        <v>1160</v>
      </c>
      <c r="Z47" s="74">
        <v>1160</v>
      </c>
      <c r="AA47" s="74">
        <v>1160</v>
      </c>
      <c r="AB47" s="74">
        <v>840</v>
      </c>
      <c r="AC47" s="74" t="s">
        <v>21</v>
      </c>
      <c r="AD47" s="74" t="s">
        <v>21</v>
      </c>
      <c r="AE47" s="74" t="s">
        <v>21</v>
      </c>
      <c r="AF47" s="74" t="s">
        <v>21</v>
      </c>
      <c r="AG47" s="74" t="s">
        <v>21</v>
      </c>
      <c r="AH47" s="74" t="s">
        <v>21</v>
      </c>
      <c r="AI47" s="74" t="s">
        <v>21</v>
      </c>
      <c r="AJ47" s="74" t="s">
        <v>21</v>
      </c>
      <c r="AK47" s="74" t="s">
        <v>21</v>
      </c>
      <c r="AL47" s="74" t="s">
        <v>21</v>
      </c>
      <c r="AM47" s="74" t="s">
        <v>21</v>
      </c>
      <c r="AN47" s="74" t="s">
        <v>21</v>
      </c>
      <c r="AO47" s="74" t="s">
        <v>21</v>
      </c>
      <c r="AP47" s="74" t="s">
        <v>21</v>
      </c>
      <c r="AQ47" s="74" t="s">
        <v>21</v>
      </c>
      <c r="AR47" s="74" t="s">
        <v>21</v>
      </c>
      <c r="AS47" s="74" t="s">
        <v>21</v>
      </c>
      <c r="AT47" s="74" t="s">
        <v>21</v>
      </c>
      <c r="AU47" s="74" t="s">
        <v>21</v>
      </c>
      <c r="AV47" s="74" t="str" cm="1">
        <f t="array" aca="1" ref="AV47" ca="1">IFERROR(_xlfn.XLOOKUP($C47,
INDIRECT("'在庫使用計画 ("&amp;AV$1&amp;")'!D:D"),
INDIRECT("'在庫使用計画 ("&amp;AV$1&amp;")'!I:I")
),"")</f>
        <v/>
      </c>
      <c r="AW47" s="74" t="str" cm="1">
        <f t="array" aca="1" ref="AW47" ca="1">IFERROR(_xlfn.XLOOKUP($C47,
INDIRECT("'在庫使用計画 ("&amp;AW$1&amp;")'!D:D"),
INDIRECT("'在庫使用計画 ("&amp;AW$1&amp;")'!I:I")
),"")</f>
        <v/>
      </c>
      <c r="AX47" s="74" t="str" cm="1">
        <f t="array" aca="1" ref="AX47" ca="1">IFERROR(_xlfn.XLOOKUP($C47,
INDIRECT("'在庫使用計画 ("&amp;AX$1&amp;")'!D:D"),
INDIRECT("'在庫使用計画 ("&amp;AX$1&amp;")'!I:I")
),"")</f>
        <v/>
      </c>
    </row>
    <row r="48" spans="1:50" s="70" customFormat="1" ht="18.600000000000001" customHeight="1">
      <c r="A48" s="67" t="s">
        <v>1389</v>
      </c>
      <c r="B48" s="26" t="str">
        <v>CLE-MiniPC-AI9-HX470-黒-GC</v>
      </c>
      <c r="C48" s="25" t="s">
        <v>514</v>
      </c>
      <c r="D48" s="25" t="e">
        <v>#REF!</v>
      </c>
      <c r="E48" s="68" t="s">
        <v>35</v>
      </c>
      <c r="F48" s="68" t="s">
        <v>438</v>
      </c>
      <c r="G48" s="112" t="s">
        <v>20</v>
      </c>
      <c r="H48" s="38" t="e">
        <v>#N/A</v>
      </c>
      <c r="I48" s="700" t="e">
        <v>#REF!</v>
      </c>
      <c r="J48" s="416" t="e">
        <v>#REF!</v>
      </c>
      <c r="K48" s="38">
        <v>708.68650461022639</v>
      </c>
      <c r="L48" s="38">
        <v>732.68650461022639</v>
      </c>
      <c r="M48" s="38">
        <v>732.68650461022639</v>
      </c>
      <c r="N48" s="38">
        <v>732.68650461022639</v>
      </c>
      <c r="O48" s="38">
        <v>953</v>
      </c>
      <c r="P48" s="38">
        <v>953</v>
      </c>
      <c r="Q48" s="38">
        <v>953</v>
      </c>
      <c r="R48" s="38">
        <v>953</v>
      </c>
      <c r="S48" s="38">
        <v>953</v>
      </c>
      <c r="T48" s="38">
        <v>913</v>
      </c>
      <c r="U48" s="38">
        <v>913</v>
      </c>
      <c r="V48" s="38">
        <v>913</v>
      </c>
      <c r="W48" s="38">
        <v>913</v>
      </c>
      <c r="X48" s="74">
        <v>913</v>
      </c>
      <c r="Y48" s="74">
        <v>913</v>
      </c>
      <c r="Z48" s="74">
        <v>913</v>
      </c>
      <c r="AA48" s="74">
        <v>913</v>
      </c>
      <c r="AB48" s="74">
        <v>963</v>
      </c>
      <c r="AC48" s="74">
        <v>0</v>
      </c>
      <c r="AD48" s="74">
        <v>0</v>
      </c>
      <c r="AE48" s="74">
        <v>0</v>
      </c>
      <c r="AF48" s="74">
        <v>0</v>
      </c>
      <c r="AG48" s="74">
        <v>0</v>
      </c>
      <c r="AH48" s="74">
        <v>0</v>
      </c>
      <c r="AI48" s="74">
        <v>0</v>
      </c>
      <c r="AJ48" s="74">
        <v>0</v>
      </c>
      <c r="AK48" s="74">
        <v>0</v>
      </c>
      <c r="AL48" s="74">
        <v>0</v>
      </c>
      <c r="AM48" s="74">
        <v>0</v>
      </c>
      <c r="AN48" s="74">
        <v>0</v>
      </c>
      <c r="AO48" s="74">
        <v>0</v>
      </c>
      <c r="AP48" s="74">
        <v>0</v>
      </c>
      <c r="AQ48" s="74">
        <v>0</v>
      </c>
      <c r="AR48" s="74">
        <v>0</v>
      </c>
      <c r="AS48" s="74">
        <v>0</v>
      </c>
      <c r="AT48" s="74">
        <v>0</v>
      </c>
      <c r="AU48" s="74">
        <v>0</v>
      </c>
      <c r="AV48" s="74" t="str" cm="1">
        <f t="array" aca="1" ref="AV48" ca="1">IFERROR(_xlfn.XLOOKUP($C48,
INDIRECT("'在庫使用計画 ("&amp;AV$1&amp;")'!D:D"),
INDIRECT("'在庫使用計画 ("&amp;AV$1&amp;")'!I:I")
),"")</f>
        <v/>
      </c>
      <c r="AW48" s="74" t="str" cm="1">
        <f t="array" aca="1" ref="AW48" ca="1">IFERROR(_xlfn.XLOOKUP($C48,
INDIRECT("'在庫使用計画 ("&amp;AW$1&amp;")'!D:D"),
INDIRECT("'在庫使用計画 ("&amp;AW$1&amp;")'!I:I")
),"")</f>
        <v/>
      </c>
      <c r="AX48" s="74" t="str" cm="1">
        <f t="array" aca="1" ref="AX48" ca="1">IFERROR(_xlfn.XLOOKUP($C48,
INDIRECT("'在庫使用計画 ("&amp;AX$1&amp;")'!D:D"),
INDIRECT("'在庫使用計画 ("&amp;AX$1&amp;")'!I:I")
),"")</f>
        <v/>
      </c>
    </row>
    <row r="49" spans="1:50" s="70" customFormat="1" ht="18.600000000000001" customHeight="1">
      <c r="A49" s="67" t="s">
        <v>1386</v>
      </c>
      <c r="B49" s="87" t="str">
        <v>CLE-MiniPC-AI9-HX470-白-GC</v>
      </c>
      <c r="C49" s="57" t="s">
        <v>509</v>
      </c>
      <c r="D49" s="25" t="e">
        <v>#REF!</v>
      </c>
      <c r="E49" s="68" t="s">
        <v>1387</v>
      </c>
      <c r="F49" s="68"/>
      <c r="G49" s="68"/>
      <c r="H49" s="38" t="e">
        <v>#N/A</v>
      </c>
      <c r="I49" s="700" t="e">
        <v>#REF!</v>
      </c>
      <c r="J49" s="416" t="e">
        <v>#REF!</v>
      </c>
      <c r="K49" s="38">
        <v>600.07208717518859</v>
      </c>
      <c r="L49" s="38">
        <v>620.07208717518859</v>
      </c>
      <c r="M49" s="38">
        <v>620.07208717518859</v>
      </c>
      <c r="N49" s="38">
        <v>620.07208717518859</v>
      </c>
      <c r="O49" s="38">
        <v>615.07208717518859</v>
      </c>
      <c r="P49" s="38">
        <v>615.07208717518859</v>
      </c>
      <c r="Q49" s="38">
        <v>615.07208717518859</v>
      </c>
      <c r="R49" s="38">
        <v>676.07208717518859</v>
      </c>
      <c r="S49" s="38">
        <v>676.07208717518859</v>
      </c>
      <c r="T49" s="38">
        <v>705</v>
      </c>
      <c r="U49" s="38">
        <v>705</v>
      </c>
      <c r="V49" s="38">
        <v>705</v>
      </c>
      <c r="W49" s="38">
        <v>705</v>
      </c>
      <c r="X49" s="74">
        <v>705</v>
      </c>
      <c r="Y49" s="74">
        <v>705</v>
      </c>
      <c r="Z49" s="74">
        <v>715</v>
      </c>
      <c r="AA49" s="74">
        <v>715</v>
      </c>
      <c r="AB49" s="74">
        <v>800</v>
      </c>
      <c r="AC49" s="74">
        <v>800</v>
      </c>
      <c r="AD49" s="74">
        <v>800</v>
      </c>
      <c r="AE49" s="74">
        <v>512.55072736711099</v>
      </c>
      <c r="AF49" s="74">
        <v>512.55072736711099</v>
      </c>
      <c r="AG49" s="74">
        <v>555.95217224144562</v>
      </c>
      <c r="AH49" s="74">
        <v>555.95217224144562</v>
      </c>
      <c r="AI49" s="74">
        <v>514.39734717416377</v>
      </c>
      <c r="AJ49" s="74">
        <v>514.39734717416377</v>
      </c>
      <c r="AK49" s="74">
        <v>543.56040626381775</v>
      </c>
      <c r="AL49" s="74">
        <v>508.5604062638177</v>
      </c>
      <c r="AM49" s="74">
        <v>508.5604062638177</v>
      </c>
      <c r="AN49" s="74">
        <v>508.5604062638177</v>
      </c>
      <c r="AO49" s="74">
        <v>508.5604062638177</v>
      </c>
      <c r="AP49" s="74">
        <v>383.80260336906588</v>
      </c>
      <c r="AQ49" s="74">
        <v>0</v>
      </c>
      <c r="AR49" s="74">
        <v>0</v>
      </c>
      <c r="AS49" s="74">
        <v>0</v>
      </c>
      <c r="AT49" s="74">
        <v>0</v>
      </c>
      <c r="AU49" s="74">
        <v>0</v>
      </c>
      <c r="AV49" s="74" t="str" cm="1">
        <f t="array" aca="1" ref="AV49" ca="1">IFERROR(_xlfn.XLOOKUP($C49,
INDIRECT("'在庫使用計画 ("&amp;AV$1&amp;")'!D:D"),
INDIRECT("'在庫使用計画 ("&amp;AV$1&amp;")'!I:I")
),"")</f>
        <v/>
      </c>
      <c r="AW49" s="74" t="str" cm="1">
        <f t="array" aca="1" ref="AW49" ca="1">IFERROR(_xlfn.XLOOKUP($C49,
INDIRECT("'在庫使用計画 ("&amp;AW$1&amp;")'!D:D"),
INDIRECT("'在庫使用計画 ("&amp;AW$1&amp;")'!I:I")
),"")</f>
        <v/>
      </c>
      <c r="AX49" s="74" t="str" cm="1">
        <f t="array" aca="1" ref="AX49" ca="1">IFERROR(_xlfn.XLOOKUP($C49,
INDIRECT("'在庫使用計画 ("&amp;AX$1&amp;")'!D:D"),
INDIRECT("'在庫使用計画 ("&amp;AX$1&amp;")'!I:I")
),"")</f>
        <v/>
      </c>
    </row>
    <row r="50" spans="1:50" s="21" customFormat="1" ht="18.600000000000001" customHeight="1">
      <c r="A50" s="32" t="s">
        <v>1383</v>
      </c>
      <c r="B50" s="26" t="str">
        <v>CLE-MiniPC-AI7-450-黒-GC</v>
      </c>
      <c r="C50" s="57" t="s">
        <v>521</v>
      </c>
      <c r="D50" s="25" t="e">
        <v>#REF!</v>
      </c>
      <c r="E50" s="26"/>
      <c r="F50" s="24">
        <v>5050</v>
      </c>
      <c r="G50" s="24" t="s">
        <v>20</v>
      </c>
      <c r="H50" s="38" t="e">
        <v>#N/A</v>
      </c>
      <c r="I50" s="700" t="e">
        <v>#REF!</v>
      </c>
      <c r="J50" s="416" t="e">
        <v>#REF!</v>
      </c>
      <c r="K50" s="38" t="s">
        <v>21</v>
      </c>
      <c r="L50" s="38" t="s">
        <v>21</v>
      </c>
      <c r="M50" s="38" t="s">
        <v>21</v>
      </c>
      <c r="N50" s="38" t="s">
        <v>21</v>
      </c>
      <c r="O50" s="38" t="s">
        <v>21</v>
      </c>
      <c r="P50" s="38" t="s">
        <v>21</v>
      </c>
      <c r="Q50" s="38" t="s">
        <v>21</v>
      </c>
      <c r="R50" s="38">
        <v>0</v>
      </c>
      <c r="S50" s="38">
        <v>0</v>
      </c>
      <c r="T50" s="38">
        <v>0</v>
      </c>
      <c r="U50" s="38">
        <v>0</v>
      </c>
      <c r="V50" s="38">
        <v>0</v>
      </c>
      <c r="W50" s="38">
        <v>0</v>
      </c>
      <c r="X50" s="74">
        <v>0</v>
      </c>
      <c r="Y50" s="74">
        <v>0</v>
      </c>
      <c r="Z50" s="74">
        <v>0</v>
      </c>
      <c r="AA50" s="74">
        <v>0</v>
      </c>
      <c r="AB50" s="74">
        <v>0</v>
      </c>
      <c r="AC50" s="74">
        <v>0</v>
      </c>
      <c r="AD50" s="74">
        <v>0</v>
      </c>
      <c r="AE50" s="74">
        <v>0</v>
      </c>
      <c r="AF50" s="74">
        <v>0</v>
      </c>
      <c r="AG50" s="74">
        <v>0</v>
      </c>
      <c r="AH50" s="74">
        <v>0</v>
      </c>
      <c r="AI50" s="74">
        <v>0</v>
      </c>
      <c r="AJ50" s="74">
        <v>0</v>
      </c>
      <c r="AK50" s="74">
        <v>0</v>
      </c>
      <c r="AL50" s="74">
        <v>43</v>
      </c>
      <c r="AM50" s="74">
        <v>43</v>
      </c>
      <c r="AN50" s="74">
        <v>43</v>
      </c>
      <c r="AO50" s="74">
        <v>43</v>
      </c>
      <c r="AP50" s="74">
        <v>203</v>
      </c>
      <c r="AQ50" s="74">
        <v>0</v>
      </c>
      <c r="AR50" s="74">
        <v>0</v>
      </c>
      <c r="AS50" s="74">
        <v>0</v>
      </c>
      <c r="AT50" s="74">
        <v>0</v>
      </c>
      <c r="AU50" s="74">
        <v>0</v>
      </c>
      <c r="AV50" s="74" t="str" cm="1">
        <f t="array" aca="1" ref="AV50" ca="1">IFERROR(_xlfn.XLOOKUP($C50,
INDIRECT("'在庫使用計画 ("&amp;AV$1&amp;")'!D:D"),
INDIRECT("'在庫使用計画 ("&amp;AV$1&amp;")'!I:I")
),"")</f>
        <v/>
      </c>
      <c r="AW50" s="74" t="str" cm="1">
        <f t="array" aca="1" ref="AW50" ca="1">IFERROR(_xlfn.XLOOKUP($C50,
INDIRECT("'在庫使用計画 ("&amp;AW$1&amp;")'!D:D"),
INDIRECT("'在庫使用計画 ("&amp;AW$1&amp;")'!I:I")
),"")</f>
        <v/>
      </c>
      <c r="AX50" s="74" t="str" cm="1">
        <f t="array" aca="1" ref="AX50" ca="1">IFERROR(_xlfn.XLOOKUP($C50,
INDIRECT("'在庫使用計画 ("&amp;AX$1&amp;")'!D:D"),
INDIRECT("'在庫使用計画 ("&amp;AX$1&amp;")'!I:I")
),"")</f>
        <v/>
      </c>
    </row>
    <row r="51" spans="1:50" s="70" customFormat="1" ht="18.600000000000001" customHeight="1">
      <c r="A51" s="67" t="s">
        <v>1386</v>
      </c>
      <c r="B51" s="26" t="str">
        <v>CLE-MiniPC-AI7-450-白-GC</v>
      </c>
      <c r="C51" s="57" t="s">
        <v>518</v>
      </c>
      <c r="D51" s="25" t="e">
        <v>#REF!</v>
      </c>
      <c r="E51" s="68" t="s">
        <v>1365</v>
      </c>
      <c r="F51" s="68">
        <v>4050</v>
      </c>
      <c r="G51" s="68" t="s">
        <v>20</v>
      </c>
      <c r="H51" s="38" t="e">
        <v>#N/A</v>
      </c>
      <c r="I51" s="700" t="e">
        <v>#REF!</v>
      </c>
      <c r="J51" s="416" t="e">
        <v>#REF!</v>
      </c>
      <c r="K51" s="38" t="s">
        <v>21</v>
      </c>
      <c r="L51" s="38" t="s">
        <v>21</v>
      </c>
      <c r="M51" s="38" t="s">
        <v>21</v>
      </c>
      <c r="N51" s="38" t="s">
        <v>21</v>
      </c>
      <c r="O51" s="38" t="s">
        <v>21</v>
      </c>
      <c r="P51" s="38" t="s">
        <v>21</v>
      </c>
      <c r="Q51" s="38" t="s">
        <v>21</v>
      </c>
      <c r="R51" s="38">
        <v>0</v>
      </c>
      <c r="S51" s="38">
        <v>0</v>
      </c>
      <c r="T51" s="38">
        <v>0</v>
      </c>
      <c r="U51" s="38">
        <v>0</v>
      </c>
      <c r="V51" s="38">
        <v>0</v>
      </c>
      <c r="W51" s="38">
        <v>0</v>
      </c>
      <c r="X51" s="74">
        <v>0</v>
      </c>
      <c r="Y51" s="74">
        <v>0</v>
      </c>
      <c r="Z51" s="74">
        <v>0</v>
      </c>
      <c r="AA51" s="74">
        <v>0</v>
      </c>
      <c r="AB51" s="74">
        <v>0</v>
      </c>
      <c r="AC51" s="74">
        <v>995</v>
      </c>
      <c r="AD51" s="74">
        <v>995</v>
      </c>
      <c r="AE51" s="74">
        <v>331.77369238755557</v>
      </c>
      <c r="AF51" s="74">
        <v>331.77369238755557</v>
      </c>
      <c r="AG51" s="74">
        <v>406.56339869281044</v>
      </c>
      <c r="AH51" s="74">
        <v>406.56339869281044</v>
      </c>
      <c r="AI51" s="74">
        <v>334.31372549019608</v>
      </c>
      <c r="AJ51" s="74">
        <v>334.31372549019608</v>
      </c>
      <c r="AK51" s="74">
        <v>377.96055510514572</v>
      </c>
      <c r="AL51" s="74">
        <v>452.96055510514572</v>
      </c>
      <c r="AM51" s="74">
        <v>452.96055510514572</v>
      </c>
      <c r="AN51" s="74">
        <v>452.96055510514572</v>
      </c>
      <c r="AO51" s="74">
        <v>452.96055510514572</v>
      </c>
      <c r="AP51" s="74">
        <v>406.82383869321086</v>
      </c>
      <c r="AQ51" s="74">
        <v>0</v>
      </c>
      <c r="AR51" s="74">
        <v>0</v>
      </c>
      <c r="AS51" s="74">
        <v>0</v>
      </c>
      <c r="AT51" s="74">
        <v>0</v>
      </c>
      <c r="AU51" s="74">
        <v>0</v>
      </c>
      <c r="AV51" s="74" t="str" cm="1">
        <f t="array" aca="1" ref="AV51" ca="1">IFERROR(_xlfn.XLOOKUP($C51,
INDIRECT("'在庫使用計画 ("&amp;AV$1&amp;")'!D:D"),
INDIRECT("'在庫使用計画 ("&amp;AV$1&amp;")'!I:I")
),"")</f>
        <v/>
      </c>
      <c r="AW51" s="74" t="str" cm="1">
        <f t="array" aca="1" ref="AW51" ca="1">IFERROR(_xlfn.XLOOKUP($C51,
INDIRECT("'在庫使用計画 ("&amp;AW$1&amp;")'!D:D"),
INDIRECT("'在庫使用計画 ("&amp;AW$1&amp;")'!I:I")
),"")</f>
        <v/>
      </c>
      <c r="AX51" s="74" t="str" cm="1">
        <f t="array" aca="1" ref="AX51" ca="1">IFERROR(_xlfn.XLOOKUP($C51,
INDIRECT("'在庫使用計画 ("&amp;AX$1&amp;")'!D:D"),
INDIRECT("'在庫使用計画 ("&amp;AX$1&amp;")'!I:I")
),"")</f>
        <v/>
      </c>
    </row>
    <row r="52" spans="1:50" s="70" customFormat="1" ht="18.600000000000001" customHeight="1">
      <c r="A52" s="67" t="s">
        <v>1386</v>
      </c>
      <c r="B52" s="26" t="str">
        <v>CLE-MiniPC-R7-255-黒-GC</v>
      </c>
      <c r="C52" s="25" t="s">
        <v>528</v>
      </c>
      <c r="D52" s="25" t="e">
        <v>#REF!</v>
      </c>
      <c r="E52" s="68" t="s">
        <v>1365</v>
      </c>
      <c r="F52" s="68">
        <v>3050</v>
      </c>
      <c r="G52" s="68" t="s">
        <v>20</v>
      </c>
      <c r="H52" s="38" t="e">
        <v>#N/A</v>
      </c>
      <c r="I52" s="700" t="e">
        <v>#REF!</v>
      </c>
      <c r="J52" s="416" t="e">
        <v>#REF!</v>
      </c>
      <c r="K52" s="38">
        <v>790.10813076278293</v>
      </c>
      <c r="L52" s="38">
        <v>788.10813076278293</v>
      </c>
      <c r="M52" s="38">
        <v>828.10813076278293</v>
      </c>
      <c r="N52" s="38">
        <v>828.10813076278293</v>
      </c>
      <c r="O52" s="38">
        <v>828.10813076278293</v>
      </c>
      <c r="P52" s="38">
        <v>828.10813076278293</v>
      </c>
      <c r="Q52" s="38">
        <v>828.10813076278293</v>
      </c>
      <c r="R52" s="38">
        <v>864.10813076278293</v>
      </c>
      <c r="S52" s="38">
        <v>864.10813076278293</v>
      </c>
      <c r="T52" s="38">
        <v>870</v>
      </c>
      <c r="U52" s="38">
        <v>870</v>
      </c>
      <c r="V52" s="38">
        <v>870</v>
      </c>
      <c r="W52" s="38">
        <v>870</v>
      </c>
      <c r="X52" s="74">
        <v>870</v>
      </c>
      <c r="Y52" s="74">
        <v>870</v>
      </c>
      <c r="Z52" s="74">
        <v>870</v>
      </c>
      <c r="AA52" s="74">
        <v>870</v>
      </c>
      <c r="AB52" s="74">
        <v>995</v>
      </c>
      <c r="AC52" s="74">
        <v>840</v>
      </c>
      <c r="AD52" s="74">
        <v>840</v>
      </c>
      <c r="AE52" s="74">
        <v>639.60312603022226</v>
      </c>
      <c r="AF52" s="74">
        <v>639.60312603022226</v>
      </c>
      <c r="AG52" s="74">
        <v>752.62575932333721</v>
      </c>
      <c r="AH52" s="74">
        <v>752.62575932333721</v>
      </c>
      <c r="AI52" s="74">
        <v>624.38004613610144</v>
      </c>
      <c r="AJ52" s="74">
        <v>624.38004613610144</v>
      </c>
      <c r="AK52" s="74">
        <v>699.06852000025901</v>
      </c>
      <c r="AL52" s="74">
        <v>699.06852000025901</v>
      </c>
      <c r="AM52" s="74">
        <v>699.06852000025901</v>
      </c>
      <c r="AN52" s="74">
        <v>699.06852000025901</v>
      </c>
      <c r="AO52" s="74">
        <v>699.06852000025901</v>
      </c>
      <c r="AP52" s="74">
        <v>501.38601327207755</v>
      </c>
      <c r="AQ52" s="74">
        <v>0</v>
      </c>
      <c r="AR52" s="74">
        <v>0</v>
      </c>
      <c r="AS52" s="74">
        <v>0</v>
      </c>
      <c r="AT52" s="74">
        <v>0</v>
      </c>
      <c r="AU52" s="74">
        <v>0</v>
      </c>
      <c r="AV52" s="74" t="str" cm="1">
        <f t="array" aca="1" ref="AV52" ca="1">IFERROR(_xlfn.XLOOKUP($C52,
INDIRECT("'在庫使用計画 ("&amp;AV$1&amp;")'!D:D"),
INDIRECT("'在庫使用計画 ("&amp;AV$1&amp;")'!I:I")
),"")</f>
        <v/>
      </c>
      <c r="AW52" s="74" t="str" cm="1">
        <f t="array" aca="1" ref="AW52" ca="1">IFERROR(_xlfn.XLOOKUP($C52,
INDIRECT("'在庫使用計画 ("&amp;AW$1&amp;")'!D:D"),
INDIRECT("'在庫使用計画 ("&amp;AW$1&amp;")'!I:I")
),"")</f>
        <v/>
      </c>
      <c r="AX52" s="74" t="str" cm="1">
        <f t="array" aca="1" ref="AX52" ca="1">IFERROR(_xlfn.XLOOKUP($C52,
INDIRECT("'在庫使用計画 ("&amp;AX$1&amp;")'!D:D"),
INDIRECT("'在庫使用計画 ("&amp;AX$1&amp;")'!I:I")
),"")</f>
        <v/>
      </c>
    </row>
    <row r="53" spans="1:50" s="70" customFormat="1" ht="18.600000000000001" customHeight="1">
      <c r="A53" s="67" t="s">
        <v>1386</v>
      </c>
      <c r="B53" s="26" t="str">
        <v>CLE-MiniPC-R7-255-白-GC</v>
      </c>
      <c r="C53" s="25" t="s">
        <v>524</v>
      </c>
      <c r="D53" s="25" t="e">
        <v>#REF!</v>
      </c>
      <c r="E53" s="68" t="s">
        <v>1365</v>
      </c>
      <c r="F53" s="68">
        <v>3050</v>
      </c>
      <c r="G53" s="68" t="s">
        <v>20</v>
      </c>
      <c r="H53" s="38" t="e">
        <v>#N/A</v>
      </c>
      <c r="I53" s="700" t="e">
        <v>#REF!</v>
      </c>
      <c r="J53" s="416" t="e">
        <v>#REF!</v>
      </c>
      <c r="K53" s="38">
        <v>790.10813076278293</v>
      </c>
      <c r="L53" s="38">
        <v>788.10813076278293</v>
      </c>
      <c r="M53" s="38">
        <v>828.10813076278293</v>
      </c>
      <c r="N53" s="38">
        <v>828.10813076278293</v>
      </c>
      <c r="O53" s="38">
        <v>828.10813076278293</v>
      </c>
      <c r="P53" s="38">
        <v>828.10813076278293</v>
      </c>
      <c r="Q53" s="38">
        <v>828.10813076278293</v>
      </c>
      <c r="R53" s="38">
        <v>864.10813076278293</v>
      </c>
      <c r="S53" s="38">
        <v>864.10813076278293</v>
      </c>
      <c r="T53" s="38">
        <v>870</v>
      </c>
      <c r="U53" s="38">
        <v>870</v>
      </c>
      <c r="V53" s="38">
        <v>870</v>
      </c>
      <c r="W53" s="38">
        <v>870</v>
      </c>
      <c r="X53" s="74">
        <v>870</v>
      </c>
      <c r="Y53" s="74">
        <v>870</v>
      </c>
      <c r="Z53" s="74">
        <v>870</v>
      </c>
      <c r="AA53" s="74">
        <v>870</v>
      </c>
      <c r="AB53" s="74">
        <v>995</v>
      </c>
      <c r="AC53" s="74">
        <v>840</v>
      </c>
      <c r="AD53" s="74">
        <v>840</v>
      </c>
      <c r="AE53" s="74">
        <v>639.60312603022226</v>
      </c>
      <c r="AF53" s="74">
        <v>639.60312603022226</v>
      </c>
      <c r="AG53" s="74">
        <v>752.62575932333721</v>
      </c>
      <c r="AH53" s="74">
        <v>752.62575932333721</v>
      </c>
      <c r="AI53" s="74">
        <v>624.38004613610144</v>
      </c>
      <c r="AJ53" s="74">
        <v>624.38004613610144</v>
      </c>
      <c r="AK53" s="74">
        <v>699.06852000025901</v>
      </c>
      <c r="AL53" s="74">
        <v>699.06852000025901</v>
      </c>
      <c r="AM53" s="74">
        <v>699.06852000025901</v>
      </c>
      <c r="AN53" s="74">
        <v>699.06852000025901</v>
      </c>
      <c r="AO53" s="74">
        <v>699.06852000025901</v>
      </c>
      <c r="AP53" s="74">
        <v>501.38601327207755</v>
      </c>
      <c r="AQ53" s="74">
        <v>0</v>
      </c>
      <c r="AR53" s="74">
        <v>0</v>
      </c>
      <c r="AS53" s="74">
        <v>0</v>
      </c>
      <c r="AT53" s="74">
        <v>0</v>
      </c>
      <c r="AU53" s="74">
        <v>0</v>
      </c>
      <c r="AV53" s="74" t="str" cm="1">
        <f t="array" aca="1" ref="AV53" ca="1">IFERROR(_xlfn.XLOOKUP($C53,
INDIRECT("'在庫使用計画 ("&amp;AV$1&amp;")'!D:D"),
INDIRECT("'在庫使用計画 ("&amp;AV$1&amp;")'!I:I")
),"")</f>
        <v/>
      </c>
      <c r="AW53" s="74" t="str" cm="1">
        <f t="array" aca="1" ref="AW53" ca="1">IFERROR(_xlfn.XLOOKUP($C53,
INDIRECT("'在庫使用計画 ("&amp;AW$1&amp;")'!D:D"),
INDIRECT("'在庫使用計画 ("&amp;AW$1&amp;")'!I:I")
),"")</f>
        <v/>
      </c>
      <c r="AX53" s="74" t="str" cm="1">
        <f t="array" aca="1" ref="AX53" ca="1">IFERROR(_xlfn.XLOOKUP($C53,
INDIRECT("'在庫使用計画 ("&amp;AX$1&amp;")'!D:D"),
INDIRECT("'在庫使用計画 ("&amp;AX$1&amp;")'!I:I")
),"")</f>
        <v/>
      </c>
    </row>
    <row r="54" spans="1:50" s="70" customFormat="1" ht="18.600000000000001" customHeight="1">
      <c r="A54" s="67"/>
      <c r="B54" s="26" t="str">
        <v/>
      </c>
      <c r="C54" s="25"/>
      <c r="D54" s="25" t="str">
        <v/>
      </c>
      <c r="E54" s="68"/>
      <c r="F54" s="68"/>
      <c r="G54" s="68"/>
      <c r="H54" s="38" t="str">
        <v/>
      </c>
      <c r="I54" s="700" t="str">
        <v/>
      </c>
      <c r="J54" s="416" t="str">
        <v/>
      </c>
      <c r="K54" s="38">
        <v>1485.1802179379715</v>
      </c>
      <c r="L54" s="38">
        <v>1590.1802179379715</v>
      </c>
      <c r="M54" s="38">
        <v>1170.1802179379715</v>
      </c>
      <c r="N54" s="38">
        <v>1170.1802179379715</v>
      </c>
      <c r="O54" s="38">
        <v>1170.1802179379715</v>
      </c>
      <c r="P54" s="38">
        <v>1170.1802179379715</v>
      </c>
      <c r="Q54" s="38">
        <v>1170.1802179379715</v>
      </c>
      <c r="R54" s="38">
        <v>1235.1802179379715</v>
      </c>
      <c r="S54" s="38">
        <v>1235.1802179379715</v>
      </c>
      <c r="T54" s="38">
        <v>1160</v>
      </c>
      <c r="U54" s="38">
        <v>1160</v>
      </c>
      <c r="V54" s="38">
        <v>1160</v>
      </c>
      <c r="W54" s="38">
        <v>1160</v>
      </c>
      <c r="X54" s="74">
        <v>1160</v>
      </c>
      <c r="Y54" s="74">
        <v>1160</v>
      </c>
      <c r="Z54" s="74">
        <v>1160</v>
      </c>
      <c r="AA54" s="74">
        <v>1160</v>
      </c>
      <c r="AB54" s="74">
        <v>840</v>
      </c>
      <c r="AC54" s="74" t="s">
        <v>21</v>
      </c>
      <c r="AD54" s="74" t="s">
        <v>21</v>
      </c>
      <c r="AE54" s="74" t="s">
        <v>21</v>
      </c>
      <c r="AF54" s="74" t="s">
        <v>21</v>
      </c>
      <c r="AG54" s="74" t="s">
        <v>21</v>
      </c>
      <c r="AH54" s="74" t="s">
        <v>21</v>
      </c>
      <c r="AI54" s="74" t="s">
        <v>21</v>
      </c>
      <c r="AJ54" s="74" t="s">
        <v>21</v>
      </c>
      <c r="AK54" s="74" t="s">
        <v>21</v>
      </c>
      <c r="AL54" s="74" t="s">
        <v>21</v>
      </c>
      <c r="AM54" s="74" t="s">
        <v>21</v>
      </c>
      <c r="AN54" s="74" t="s">
        <v>21</v>
      </c>
      <c r="AO54" s="74" t="s">
        <v>21</v>
      </c>
      <c r="AP54" s="74" t="s">
        <v>21</v>
      </c>
      <c r="AQ54" s="74" t="s">
        <v>21</v>
      </c>
      <c r="AR54" s="74" t="s">
        <v>21</v>
      </c>
      <c r="AS54" s="74" t="s">
        <v>21</v>
      </c>
      <c r="AT54" s="74" t="s">
        <v>21</v>
      </c>
      <c r="AU54" s="74" t="s">
        <v>21</v>
      </c>
      <c r="AV54" s="74" t="str" cm="1">
        <f t="array" aca="1" ref="AV54" ca="1">IFERROR(_xlfn.XLOOKUP($C54,
INDIRECT("'在庫使用計画 ("&amp;AV$1&amp;")'!D:D"),
INDIRECT("'在庫使用計画 ("&amp;AV$1&amp;")'!I:I")
),"")</f>
        <v/>
      </c>
      <c r="AW54" s="74" t="str" cm="1">
        <f t="array" aca="1" ref="AW54" ca="1">IFERROR(_xlfn.XLOOKUP($C54,
INDIRECT("'在庫使用計画 ("&amp;AW$1&amp;")'!D:D"),
INDIRECT("'在庫使用計画 ("&amp;AW$1&amp;")'!I:I")
),"")</f>
        <v/>
      </c>
      <c r="AX54" s="74" t="str" cm="1">
        <f t="array" aca="1" ref="AX54" ca="1">IFERROR(_xlfn.XLOOKUP($C54,
INDIRECT("'在庫使用計画 ("&amp;AX$1&amp;")'!D:D"),
INDIRECT("'在庫使用計画 ("&amp;AX$1&amp;")'!I:I")
),"")</f>
        <v/>
      </c>
    </row>
    <row r="55" spans="1:50" s="70" customFormat="1" ht="18.600000000000001" customHeight="1">
      <c r="A55" s="67"/>
      <c r="B55" s="26" t="str">
        <v/>
      </c>
      <c r="C55" s="25"/>
      <c r="D55" s="25" t="str">
        <v/>
      </c>
      <c r="E55" s="68"/>
      <c r="F55" s="68"/>
      <c r="G55" s="68"/>
      <c r="H55" s="38" t="str">
        <v/>
      </c>
      <c r="I55" s="700" t="str">
        <v/>
      </c>
      <c r="J55" s="416" t="str">
        <v/>
      </c>
      <c r="K55" s="38" t="s">
        <v>21</v>
      </c>
      <c r="L55" s="38" t="s">
        <v>21</v>
      </c>
      <c r="M55" s="38" t="s">
        <v>21</v>
      </c>
      <c r="N55" s="38" t="s">
        <v>21</v>
      </c>
      <c r="O55" s="38" t="s">
        <v>21</v>
      </c>
      <c r="P55" s="38" t="s">
        <v>21</v>
      </c>
      <c r="Q55" s="38" t="s">
        <v>21</v>
      </c>
      <c r="R55" s="38" t="s">
        <v>21</v>
      </c>
      <c r="S55" s="38" t="s">
        <v>21</v>
      </c>
      <c r="T55" s="38" t="s">
        <v>21</v>
      </c>
      <c r="U55" s="38" t="s">
        <v>21</v>
      </c>
      <c r="V55" s="38" t="s">
        <v>21</v>
      </c>
      <c r="W55" s="38" t="s">
        <v>21</v>
      </c>
      <c r="X55" s="74" t="s">
        <v>21</v>
      </c>
      <c r="Y55" s="74" t="s">
        <v>21</v>
      </c>
      <c r="Z55" s="74" t="s">
        <v>21</v>
      </c>
      <c r="AA55" s="74" t="s">
        <v>21</v>
      </c>
      <c r="AB55" s="74" t="s">
        <v>21</v>
      </c>
      <c r="AC55" s="74" t="s">
        <v>21</v>
      </c>
      <c r="AD55" s="74">
        <v>0</v>
      </c>
      <c r="AE55" s="74">
        <v>0</v>
      </c>
      <c r="AF55" s="74" t="s">
        <v>21</v>
      </c>
      <c r="AG55" s="74" t="s">
        <v>21</v>
      </c>
      <c r="AH55" s="74" t="s">
        <v>21</v>
      </c>
      <c r="AI55" s="74" t="s">
        <v>21</v>
      </c>
      <c r="AJ55" s="74" t="s">
        <v>21</v>
      </c>
      <c r="AK55" s="74" t="s">
        <v>21</v>
      </c>
      <c r="AL55" s="74" t="s">
        <v>21</v>
      </c>
      <c r="AM55" s="74" t="s">
        <v>21</v>
      </c>
      <c r="AN55" s="74" t="s">
        <v>21</v>
      </c>
      <c r="AO55" s="74" t="s">
        <v>21</v>
      </c>
      <c r="AP55" s="74" t="s">
        <v>21</v>
      </c>
      <c r="AQ55" s="74" t="s">
        <v>21</v>
      </c>
      <c r="AR55" s="74" t="s">
        <v>21</v>
      </c>
      <c r="AS55" s="74" t="s">
        <v>21</v>
      </c>
      <c r="AT55" s="74" t="s">
        <v>21</v>
      </c>
      <c r="AU55" s="74" t="s">
        <v>21</v>
      </c>
      <c r="AV55" s="74" t="str" cm="1">
        <f t="array" aca="1" ref="AV55" ca="1">IFERROR(_xlfn.XLOOKUP($C55,
INDIRECT("'在庫使用計画 ("&amp;AV$1&amp;")'!D:D"),
INDIRECT("'在庫使用計画 ("&amp;AV$1&amp;")'!I:I")
),"")</f>
        <v/>
      </c>
      <c r="AW55" s="74" t="str" cm="1">
        <f t="array" aca="1" ref="AW55" ca="1">IFERROR(_xlfn.XLOOKUP($C55,
INDIRECT("'在庫使用計画 ("&amp;AW$1&amp;")'!D:D"),
INDIRECT("'在庫使用計画 ("&amp;AW$1&amp;")'!I:I")
),"")</f>
        <v/>
      </c>
      <c r="AX55" s="74" t="str" cm="1">
        <f t="array" aca="1" ref="AX55" ca="1">IFERROR(_xlfn.XLOOKUP($C55,
INDIRECT("'在庫使用計画 ("&amp;AX$1&amp;")'!D:D"),
INDIRECT("'在庫使用計画 ("&amp;AX$1&amp;")'!I:I")
),"")</f>
        <v/>
      </c>
    </row>
    <row r="56" spans="1:50" s="21" customFormat="1" ht="18.600000000000001" customHeight="1">
      <c r="A56" s="33"/>
      <c r="B56" s="26" t="str">
        <v/>
      </c>
      <c r="C56" s="26"/>
      <c r="D56" s="26" t="str">
        <v/>
      </c>
      <c r="E56" s="26"/>
      <c r="F56" s="26"/>
      <c r="G56" s="26"/>
      <c r="H56" s="38" t="str">
        <v/>
      </c>
      <c r="I56" s="700" t="str">
        <v/>
      </c>
      <c r="J56" s="416" t="str">
        <v/>
      </c>
      <c r="K56" s="38" t="s">
        <v>21</v>
      </c>
      <c r="L56" s="38" t="s">
        <v>21</v>
      </c>
      <c r="M56" s="38" t="s">
        <v>21</v>
      </c>
      <c r="N56" s="38" t="s">
        <v>21</v>
      </c>
      <c r="O56" s="38" t="s">
        <v>21</v>
      </c>
      <c r="P56" s="38"/>
      <c r="Q56" s="38"/>
      <c r="R56" s="38" t="s">
        <v>21</v>
      </c>
      <c r="S56" s="38" t="s">
        <v>21</v>
      </c>
      <c r="T56" s="38" t="s">
        <v>21</v>
      </c>
      <c r="U56" s="38" t="s">
        <v>21</v>
      </c>
      <c r="V56" s="38" t="s">
        <v>21</v>
      </c>
      <c r="W56" s="38" t="s">
        <v>21</v>
      </c>
      <c r="X56" s="74" t="s">
        <v>21</v>
      </c>
      <c r="Y56" s="74" t="s">
        <v>21</v>
      </c>
      <c r="Z56" s="74" t="s">
        <v>21</v>
      </c>
      <c r="AA56" s="74" t="s">
        <v>21</v>
      </c>
      <c r="AB56" s="74" t="s">
        <v>21</v>
      </c>
      <c r="AC56" s="74" t="s">
        <v>21</v>
      </c>
      <c r="AD56" s="74" t="s">
        <v>21</v>
      </c>
      <c r="AE56" s="74" t="s">
        <v>21</v>
      </c>
      <c r="AF56" s="74" t="s">
        <v>21</v>
      </c>
      <c r="AG56" s="74" t="s">
        <v>21</v>
      </c>
      <c r="AH56" s="74" t="s">
        <v>21</v>
      </c>
      <c r="AI56" s="74" t="s">
        <v>21</v>
      </c>
      <c r="AJ56" s="74" t="s">
        <v>21</v>
      </c>
      <c r="AK56" s="74" t="s">
        <v>21</v>
      </c>
      <c r="AL56" s="74" t="s">
        <v>21</v>
      </c>
      <c r="AM56" s="74" t="s">
        <v>21</v>
      </c>
      <c r="AN56" s="74" t="s">
        <v>21</v>
      </c>
      <c r="AO56" s="74" t="s">
        <v>21</v>
      </c>
      <c r="AP56" s="74" t="s">
        <v>21</v>
      </c>
      <c r="AQ56" s="74" t="s">
        <v>21</v>
      </c>
      <c r="AR56" s="74" t="s">
        <v>21</v>
      </c>
      <c r="AS56" s="74" t="s">
        <v>21</v>
      </c>
      <c r="AT56" s="74" t="s">
        <v>21</v>
      </c>
      <c r="AU56" s="74" t="s">
        <v>21</v>
      </c>
      <c r="AV56" s="74" t="str" cm="1">
        <f t="array" aca="1" ref="AV56" ca="1">IFERROR(_xlfn.XLOOKUP($C56,
INDIRECT("'在庫使用計画 ("&amp;AV$1&amp;")'!D:D"),
INDIRECT("'在庫使用計画 ("&amp;AV$1&amp;")'!I:I")
),"")</f>
        <v/>
      </c>
      <c r="AW56" s="74" t="str" cm="1">
        <f t="array" aca="1" ref="AW56" ca="1">IFERROR(_xlfn.XLOOKUP($C56,
INDIRECT("'在庫使用計画 ("&amp;AW$1&amp;")'!D:D"),
INDIRECT("'在庫使用計画 ("&amp;AW$1&amp;")'!I:I")
),"")</f>
        <v/>
      </c>
      <c r="AX56" s="74" t="str" cm="1">
        <f t="array" aca="1" ref="AX56" ca="1">IFERROR(_xlfn.XLOOKUP($C56,
INDIRECT("'在庫使用計画 ("&amp;AX$1&amp;")'!D:D"),
INDIRECT("'在庫使用計画 ("&amp;AX$1&amp;")'!I:I")
),"")</f>
        <v/>
      </c>
    </row>
    <row r="57" spans="1:50" s="21" customFormat="1" ht="18.600000000000001" customHeight="1">
      <c r="A57" s="160"/>
      <c r="B57" s="364" t="s">
        <v>1390</v>
      </c>
      <c r="C57" s="152" t="s">
        <v>1391</v>
      </c>
      <c r="D57" s="152"/>
      <c r="E57" s="152"/>
      <c r="F57" s="152"/>
      <c r="G57" s="152"/>
      <c r="H57" s="45"/>
      <c r="I57" s="45"/>
      <c r="J57" s="45"/>
      <c r="K57" s="45">
        <v>5626.3989941324398</v>
      </c>
      <c r="L57" s="45">
        <v>5841.3989941324398</v>
      </c>
      <c r="M57" s="45">
        <v>5461.3989941324398</v>
      </c>
      <c r="N57" s="45">
        <v>5461.3989941324398</v>
      </c>
      <c r="O57" s="45">
        <v>5639.7124895222132</v>
      </c>
      <c r="P57" s="45">
        <v>5639.7124895222132</v>
      </c>
      <c r="Q57" s="45">
        <v>5639.7124895222132</v>
      </c>
      <c r="R57" s="155">
        <v>5801.7124895222132</v>
      </c>
      <c r="S57" s="155">
        <v>5801.7124895222132</v>
      </c>
      <c r="T57" s="155">
        <v>5689</v>
      </c>
      <c r="U57" s="155">
        <v>5689</v>
      </c>
      <c r="V57" s="155">
        <v>5689</v>
      </c>
      <c r="W57" s="155">
        <v>5689</v>
      </c>
      <c r="X57" s="155">
        <v>5689</v>
      </c>
      <c r="Y57" s="155">
        <v>5689</v>
      </c>
      <c r="Z57" s="155">
        <v>5707.9741697416976</v>
      </c>
      <c r="AA57" s="155">
        <v>5707.9741697416976</v>
      </c>
      <c r="AB57" s="155">
        <v>5952.6359163591633</v>
      </c>
      <c r="AC57" s="155">
        <v>6172.6359163591633</v>
      </c>
      <c r="AD57" s="155">
        <v>6172.6359163591633</v>
      </c>
      <c r="AE57" s="155">
        <v>3935.9893366329411</v>
      </c>
      <c r="AF57" s="155">
        <v>3935.9893366329411</v>
      </c>
      <c r="AG57" s="155">
        <v>3871.0019992310649</v>
      </c>
      <c r="AH57" s="155">
        <v>3871.0019992310649</v>
      </c>
      <c r="AI57" s="155">
        <v>3610.2727797001157</v>
      </c>
      <c r="AJ57" s="155">
        <v>3610.2727797001157</v>
      </c>
      <c r="AK57" s="155">
        <v>3826.9073499237247</v>
      </c>
      <c r="AL57" s="155">
        <v>3936.9073499237247</v>
      </c>
      <c r="AM57" s="155">
        <v>3936.9073499237247</v>
      </c>
      <c r="AN57" s="155">
        <v>3936.9073499237247</v>
      </c>
      <c r="AO57" s="155">
        <v>3936.9073499237247</v>
      </c>
      <c r="AP57" s="155">
        <v>3698.0423685553851</v>
      </c>
      <c r="AQ57" s="155">
        <v>3749.0423685553847</v>
      </c>
      <c r="AR57" s="155">
        <v>3271.2479017981195</v>
      </c>
      <c r="AS57" s="155">
        <v>3271.2479017981195</v>
      </c>
      <c r="AT57" s="155">
        <v>3271.2479017981195</v>
      </c>
      <c r="AU57" s="155">
        <v>3306.2479017981195</v>
      </c>
      <c r="AV57" s="155">
        <f t="shared" ref="AV57:AX57" ca="1" si="1">_xlfn.AGGREGATE(9,0,AV30:AV56)</f>
        <v>0</v>
      </c>
      <c r="AW57" s="155">
        <f t="shared" ca="1" si="1"/>
        <v>0</v>
      </c>
      <c r="AX57" s="155">
        <f t="shared" ca="1" si="1"/>
        <v>0</v>
      </c>
    </row>
    <row r="58" spans="1:50" s="21" customFormat="1" ht="18.600000000000001" customHeight="1">
      <c r="A58" s="321"/>
      <c r="B58" s="152" t="s">
        <v>1392</v>
      </c>
      <c r="C58" s="191"/>
      <c r="D58" s="191"/>
      <c r="E58" s="191"/>
      <c r="F58" s="152"/>
      <c r="G58" s="152"/>
      <c r="H58" s="45"/>
      <c r="I58" s="45"/>
      <c r="J58" s="45"/>
      <c r="K58" s="45"/>
      <c r="L58" s="45"/>
      <c r="M58" s="45"/>
      <c r="N58" s="45"/>
      <c r="O58" s="45"/>
      <c r="P58" s="45"/>
      <c r="Q58" s="45"/>
      <c r="R58" s="45" t="s">
        <v>21</v>
      </c>
      <c r="S58" s="45" t="s">
        <v>21</v>
      </c>
      <c r="T58" s="45" t="s">
        <v>21</v>
      </c>
      <c r="U58" s="45" t="s">
        <v>21</v>
      </c>
      <c r="V58" s="45" t="s">
        <v>21</v>
      </c>
      <c r="W58" s="45" t="s">
        <v>21</v>
      </c>
      <c r="X58" s="155" t="s">
        <v>21</v>
      </c>
      <c r="Y58" s="155" t="s">
        <v>21</v>
      </c>
      <c r="Z58" s="155" t="s">
        <v>21</v>
      </c>
      <c r="AA58" s="155" t="s">
        <v>21</v>
      </c>
      <c r="AB58" s="155" t="s">
        <v>21</v>
      </c>
      <c r="AC58" s="155" t="s">
        <v>21</v>
      </c>
      <c r="AD58" s="155">
        <v>0</v>
      </c>
      <c r="AE58" s="155">
        <v>0</v>
      </c>
      <c r="AF58" s="155">
        <v>0</v>
      </c>
      <c r="AG58" s="155">
        <v>0</v>
      </c>
      <c r="AH58" s="155">
        <v>0</v>
      </c>
      <c r="AI58" s="155">
        <v>0</v>
      </c>
      <c r="AJ58" s="155">
        <v>0</v>
      </c>
      <c r="AK58" s="155">
        <v>0</v>
      </c>
      <c r="AL58" s="155">
        <v>0</v>
      </c>
      <c r="AM58" s="155">
        <v>0</v>
      </c>
      <c r="AN58" s="155">
        <v>0</v>
      </c>
      <c r="AO58" s="155">
        <v>0</v>
      </c>
      <c r="AP58" s="155">
        <v>0</v>
      </c>
      <c r="AQ58" s="155">
        <v>0</v>
      </c>
      <c r="AR58" s="155">
        <v>0</v>
      </c>
      <c r="AS58" s="155">
        <v>0</v>
      </c>
      <c r="AT58" s="155">
        <v>0</v>
      </c>
      <c r="AU58" s="155">
        <v>0</v>
      </c>
      <c r="AV58" s="155" t="str" cm="1">
        <f t="array" aca="1" ref="AV58" ca="1">IFERROR(_xlfn.XLOOKUP($C58,
INDIRECT("'在庫使用計画 ("&amp;AV$1&amp;")'!C:C"),
INDIRECT("'在庫使用計画 ("&amp;AV$1&amp;")'!H:H")
),"")</f>
        <v/>
      </c>
      <c r="AW58" s="155" t="str" cm="1">
        <f t="array" aca="1" ref="AW58" ca="1">IFERROR(_xlfn.XLOOKUP($C58,
INDIRECT("'在庫使用計画 ("&amp;AW$1&amp;")'!C:C"),
INDIRECT("'在庫使用計画 ("&amp;AW$1&amp;")'!H:H")
),"")</f>
        <v/>
      </c>
      <c r="AX58" s="155" t="str" cm="1">
        <f t="array" aca="1" ref="AX58" ca="1">IFERROR(_xlfn.XLOOKUP($C58,
INDIRECT("'在庫使用計画 ("&amp;AX$1&amp;")'!C:C"),
INDIRECT("'在庫使用計画 ("&amp;AX$1&amp;")'!H:H")
),"")</f>
        <v/>
      </c>
    </row>
    <row r="59" spans="1:50" s="21" customFormat="1" ht="18.600000000000001" customHeight="1">
      <c r="A59" s="160"/>
      <c r="B59" s="152" t="s">
        <v>1393</v>
      </c>
      <c r="C59" s="152"/>
      <c r="D59" s="152"/>
      <c r="E59" s="152"/>
      <c r="F59" s="152"/>
      <c r="G59" s="152"/>
      <c r="H59" s="45"/>
      <c r="I59" s="45"/>
      <c r="J59" s="45"/>
      <c r="K59" s="45">
        <v>20170.346108007438</v>
      </c>
      <c r="L59" s="45">
        <v>21231.447788425208</v>
      </c>
      <c r="M59" s="45">
        <v>20035.559608804149</v>
      </c>
      <c r="N59" s="45">
        <v>20035.559608804149</v>
      </c>
      <c r="O59" s="45">
        <v>19971.873104193925</v>
      </c>
      <c r="P59" s="45">
        <v>19971.873104193925</v>
      </c>
      <c r="Q59" s="45">
        <v>19971.873104193925</v>
      </c>
      <c r="R59" s="155">
        <v>20223.873104193925</v>
      </c>
      <c r="S59" s="155">
        <v>20223.873104193925</v>
      </c>
      <c r="T59" s="155">
        <v>22014.5214051455</v>
      </c>
      <c r="U59" s="155">
        <v>22692.311611649246</v>
      </c>
      <c r="V59" s="155">
        <v>22001.53312810788</v>
      </c>
      <c r="W59" s="155">
        <v>22001.53312810788</v>
      </c>
      <c r="X59" s="155">
        <v>22001.53312810788</v>
      </c>
      <c r="Y59" s="155">
        <v>22001.53312810788</v>
      </c>
      <c r="Z59" s="155">
        <v>19056.385623381666</v>
      </c>
      <c r="AA59" s="155">
        <v>19056.385623381666</v>
      </c>
      <c r="AB59" s="155">
        <v>21060.575986612457</v>
      </c>
      <c r="AC59" s="155">
        <v>21280.575986612457</v>
      </c>
      <c r="AD59" s="155">
        <v>21305.575986612457</v>
      </c>
      <c r="AE59" s="155">
        <v>17383.426427130904</v>
      </c>
      <c r="AF59" s="155">
        <v>17383.426427130904</v>
      </c>
      <c r="AG59" s="155">
        <v>16846.273632086373</v>
      </c>
      <c r="AH59" s="155">
        <v>16846.273632086373</v>
      </c>
      <c r="AI59" s="155">
        <v>16383.874750121964</v>
      </c>
      <c r="AJ59" s="155">
        <v>16383.874750121964</v>
      </c>
      <c r="AK59" s="155">
        <v>16451.113015856503</v>
      </c>
      <c r="AL59" s="155">
        <v>16592.113015856503</v>
      </c>
      <c r="AM59" s="155">
        <v>16592.113015856503</v>
      </c>
      <c r="AN59" s="155">
        <v>16432.113015856503</v>
      </c>
      <c r="AO59" s="155">
        <v>16432.113015856503</v>
      </c>
      <c r="AP59" s="155">
        <v>15449.885758488837</v>
      </c>
      <c r="AQ59" s="155">
        <v>14951.807441665454</v>
      </c>
      <c r="AR59" s="155">
        <v>14424.60985848491</v>
      </c>
      <c r="AS59" s="155">
        <v>14424.60985848491</v>
      </c>
      <c r="AT59" s="155">
        <v>14424.60985848491</v>
      </c>
      <c r="AU59" s="155">
        <v>14491.60985848491</v>
      </c>
      <c r="AV59" s="155">
        <f t="shared" ref="AV59:AX59" ca="1" si="2">_xlfn.AGGREGATE(9,0,AV2:AV58)</f>
        <v>0</v>
      </c>
      <c r="AW59" s="155">
        <f t="shared" ca="1" si="2"/>
        <v>0</v>
      </c>
      <c r="AX59" s="155">
        <f t="shared" ca="1" si="2"/>
        <v>0</v>
      </c>
    </row>
    <row r="60" spans="1:50" s="21" customFormat="1" ht="18.600000000000001" customHeight="1" thickBot="1">
      <c r="A60" s="186"/>
      <c r="B60" s="187" t="s">
        <v>1394</v>
      </c>
      <c r="C60" s="188"/>
      <c r="D60" s="188"/>
      <c r="E60" s="188"/>
      <c r="F60" s="187"/>
      <c r="G60" s="189"/>
      <c r="H60" s="202"/>
      <c r="I60" s="699"/>
      <c r="J60" s="699"/>
      <c r="K60" s="325"/>
      <c r="L60" s="325"/>
      <c r="M60" s="325"/>
      <c r="N60" s="325"/>
      <c r="O60" s="325"/>
      <c r="P60" s="325"/>
      <c r="Q60" s="325"/>
      <c r="R60" s="325" t="s">
        <v>21</v>
      </c>
      <c r="S60" s="325" t="s">
        <v>21</v>
      </c>
      <c r="T60" s="325" t="s">
        <v>21</v>
      </c>
      <c r="U60" s="325" t="s">
        <v>21</v>
      </c>
      <c r="V60" s="325" t="s">
        <v>21</v>
      </c>
      <c r="W60" s="325" t="s">
        <v>21</v>
      </c>
      <c r="X60" s="359" t="s">
        <v>21</v>
      </c>
      <c r="Y60" s="359" t="s">
        <v>21</v>
      </c>
      <c r="Z60" s="359" t="s">
        <v>21</v>
      </c>
      <c r="AA60" s="359" t="s">
        <v>21</v>
      </c>
      <c r="AB60" s="359" t="s">
        <v>21</v>
      </c>
      <c r="AC60" s="359" t="s">
        <v>21</v>
      </c>
      <c r="AD60" s="359">
        <v>0</v>
      </c>
      <c r="AE60" s="359">
        <v>0</v>
      </c>
      <c r="AF60" s="359">
        <v>0</v>
      </c>
      <c r="AG60" s="359">
        <v>0</v>
      </c>
      <c r="AH60" s="359">
        <v>0</v>
      </c>
      <c r="AI60" s="359">
        <v>0</v>
      </c>
      <c r="AJ60" s="359">
        <v>0</v>
      </c>
      <c r="AK60" s="359">
        <v>0</v>
      </c>
      <c r="AL60" s="359">
        <v>0</v>
      </c>
      <c r="AM60" s="359">
        <v>0</v>
      </c>
      <c r="AN60" s="359">
        <v>0</v>
      </c>
      <c r="AO60" s="359">
        <v>0</v>
      </c>
      <c r="AP60" s="359">
        <v>0</v>
      </c>
      <c r="AQ60" s="359">
        <v>0</v>
      </c>
      <c r="AR60" s="359">
        <v>0</v>
      </c>
      <c r="AS60" s="359">
        <v>0</v>
      </c>
      <c r="AT60" s="359">
        <v>0</v>
      </c>
      <c r="AU60" s="359">
        <v>0</v>
      </c>
      <c r="AV60" s="359" t="str" cm="1">
        <f t="array" aca="1" ref="AV60" ca="1">IFERROR(_xlfn.XLOOKUP($C60,
INDIRECT("'在庫使用計画 ("&amp;AV$1&amp;")'!C:C"),
INDIRECT("'在庫使用計画 ("&amp;AV$1&amp;")'!H:H")
),"")</f>
        <v/>
      </c>
      <c r="AW60" s="359" t="str" cm="1">
        <f t="array" aca="1" ref="AW60" ca="1">IFERROR(_xlfn.XLOOKUP($C60,
INDIRECT("'在庫使用計画 ("&amp;AW$1&amp;")'!C:C"),
INDIRECT("'在庫使用計画 ("&amp;AW$1&amp;")'!H:H")
),"")</f>
        <v/>
      </c>
      <c r="AX60" s="359" t="str" cm="1">
        <f t="array" aca="1" ref="AX60" ca="1">IFERROR(_xlfn.XLOOKUP($C60,
INDIRECT("'在庫使用計画 ("&amp;AX$1&amp;")'!C:C"),
INDIRECT("'在庫使用計画 ("&amp;AX$1&amp;")'!H:H")
),"")</f>
        <v/>
      </c>
    </row>
    <row r="61" spans="1:50" s="21" customFormat="1" ht="18.600000000000001" customHeight="1">
      <c r="A61" s="29"/>
      <c r="B61" s="30" t="s">
        <v>1395</v>
      </c>
      <c r="C61" s="30"/>
      <c r="D61" s="30"/>
      <c r="E61" s="30" t="s">
        <v>1324</v>
      </c>
      <c r="F61" s="30" t="s">
        <v>1325</v>
      </c>
      <c r="G61" s="30"/>
      <c r="H61" s="40"/>
      <c r="I61" s="40"/>
      <c r="J61" s="40"/>
      <c r="K61" s="311"/>
      <c r="L61" s="311"/>
      <c r="M61" s="311"/>
      <c r="N61" s="311"/>
      <c r="O61" s="311"/>
      <c r="P61" s="311"/>
      <c r="Q61" s="311"/>
      <c r="R61" s="311" t="s">
        <v>21</v>
      </c>
      <c r="S61" s="311" t="s">
        <v>21</v>
      </c>
      <c r="T61" s="311" t="s">
        <v>21</v>
      </c>
      <c r="U61" s="311" t="s">
        <v>21</v>
      </c>
      <c r="V61" s="311" t="s">
        <v>21</v>
      </c>
      <c r="W61" s="311" t="s">
        <v>21</v>
      </c>
      <c r="X61" s="180" t="s">
        <v>21</v>
      </c>
      <c r="Y61" s="180" t="s">
        <v>21</v>
      </c>
      <c r="Z61" s="180" t="s">
        <v>21</v>
      </c>
      <c r="AA61" s="180" t="s">
        <v>21</v>
      </c>
      <c r="AB61" s="180" t="s">
        <v>21</v>
      </c>
      <c r="AC61" s="180" t="s">
        <v>21</v>
      </c>
      <c r="AD61" s="180">
        <v>0</v>
      </c>
      <c r="AE61" s="180">
        <v>0</v>
      </c>
      <c r="AF61" s="180">
        <v>0</v>
      </c>
      <c r="AG61" s="180">
        <v>0</v>
      </c>
      <c r="AH61" s="180">
        <v>0</v>
      </c>
      <c r="AI61" s="180">
        <v>0</v>
      </c>
      <c r="AJ61" s="180">
        <v>0</v>
      </c>
      <c r="AK61" s="180">
        <v>0</v>
      </c>
      <c r="AL61" s="180">
        <v>0</v>
      </c>
      <c r="AM61" s="180">
        <v>0</v>
      </c>
      <c r="AN61" s="180">
        <v>0</v>
      </c>
      <c r="AO61" s="180">
        <v>0</v>
      </c>
      <c r="AP61" s="180">
        <v>0</v>
      </c>
      <c r="AQ61" s="180">
        <v>0</v>
      </c>
      <c r="AR61" s="180">
        <v>0</v>
      </c>
      <c r="AS61" s="180">
        <v>0</v>
      </c>
      <c r="AT61" s="180">
        <v>0</v>
      </c>
      <c r="AU61" s="180">
        <v>0</v>
      </c>
      <c r="AV61" s="180" t="str" cm="1">
        <f t="array" aca="1" ref="AV61" ca="1">IFERROR(_xlfn.XLOOKUP($C61,
INDIRECT("'在庫使用計画 ("&amp;AV$1&amp;")'!C:C"),
INDIRECT("'在庫使用計画 ("&amp;AV$1&amp;")'!H:H")
),"")</f>
        <v/>
      </c>
      <c r="AW61" s="180" t="str" cm="1">
        <f t="array" aca="1" ref="AW61" ca="1">IFERROR(_xlfn.XLOOKUP($C61,
INDIRECT("'在庫使用計画 ("&amp;AW$1&amp;")'!C:C"),
INDIRECT("'在庫使用計画 ("&amp;AW$1&amp;")'!H:H")
),"")</f>
        <v/>
      </c>
      <c r="AX61" s="180" t="str" cm="1">
        <f t="array" aca="1" ref="AX61" ca="1">IFERROR(_xlfn.XLOOKUP($C61,
INDIRECT("'在庫使用計画 ("&amp;AX$1&amp;")'!C:C"),
INDIRECT("'在庫使用計画 ("&amp;AX$1&amp;")'!H:H")
),"")</f>
        <v/>
      </c>
    </row>
    <row r="62" spans="1:50" s="21" customFormat="1" ht="18.600000000000001" customHeight="1">
      <c r="A62" s="99" t="s">
        <v>1396</v>
      </c>
      <c r="B62" s="100" t="s">
        <v>1397</v>
      </c>
      <c r="C62" s="100" t="s">
        <v>1398</v>
      </c>
      <c r="D62" s="1032" t="e" cm="1">
        <f t="array" ref="D62:D125">IF($C62:$C125&lt;&gt;"",
_xlfn.MAXIFS(#REF!,マスタ_EOLリスト[製品型番],$C62:$C125),
"")</f>
        <v>#REF!</v>
      </c>
      <c r="E62" s="26"/>
      <c r="F62" s="24"/>
      <c r="G62" s="24"/>
      <c r="H62" s="38" cm="1">
        <f t="array" ref="H62:H125">IF(C62:C125&lt;&gt;"",
_xlfn.XLOOKUP($C62:$C125,
  '在庫使用計画 (ノート全体試算)'!C:C,
  '在庫使用計画 (ノート全体試算)'!G:G),"")</f>
        <v>177</v>
      </c>
      <c r="I62" s="700" t="e" cm="1">
        <f t="array" ref="I62:I125">IF(_xlfn.ANCHORARRAY(D62)&lt;&gt;"",
_xlfn.XLOOKUP(_xlfn.ANCHORARRAY(D62),購買計画one_note_貼り付け[コード],購買計画one_note_貼り付け[納品日],""),
"")</f>
        <v>#REF!</v>
      </c>
      <c r="J62" s="38" t="e" cm="1">
        <f t="array" ref="J62:J125">IF(_xlfn.ANCHORARRAY(D62)&lt;&gt;"",
_xlfn.XLOOKUP(_xlfn.ANCHORARRAY(D62),購買計画one_note_貼り付け[コード],購買計画one_note_貼り付け[数量],""),
"")</f>
        <v>#REF!</v>
      </c>
      <c r="K62" s="38">
        <v>74</v>
      </c>
      <c r="L62" s="38">
        <v>126</v>
      </c>
      <c r="M62" s="38">
        <v>63</v>
      </c>
      <c r="N62" s="38">
        <v>63</v>
      </c>
      <c r="O62" s="38">
        <v>63</v>
      </c>
      <c r="P62" s="38">
        <v>63</v>
      </c>
      <c r="Q62" s="38">
        <v>63</v>
      </c>
      <c r="R62" s="38">
        <v>63</v>
      </c>
      <c r="S62" s="38">
        <v>63</v>
      </c>
      <c r="T62" s="38">
        <v>88</v>
      </c>
      <c r="U62" s="38">
        <v>88</v>
      </c>
      <c r="V62" s="38">
        <v>88</v>
      </c>
      <c r="W62" s="38">
        <v>88</v>
      </c>
      <c r="X62" s="74">
        <v>88</v>
      </c>
      <c r="Y62" s="74">
        <v>88</v>
      </c>
      <c r="Z62" s="74">
        <v>88</v>
      </c>
      <c r="AA62" s="74">
        <v>88</v>
      </c>
      <c r="AB62" s="74">
        <v>125</v>
      </c>
      <c r="AC62" s="74">
        <v>125</v>
      </c>
      <c r="AD62" s="74">
        <v>125</v>
      </c>
      <c r="AE62" s="74">
        <v>125</v>
      </c>
      <c r="AF62" s="74">
        <v>125</v>
      </c>
      <c r="AG62" s="74">
        <v>125</v>
      </c>
      <c r="AH62" s="74">
        <v>125</v>
      </c>
      <c r="AI62" s="74">
        <v>110</v>
      </c>
      <c r="AJ62" s="74">
        <v>110</v>
      </c>
      <c r="AK62" s="74">
        <v>110</v>
      </c>
      <c r="AL62" s="74">
        <v>110</v>
      </c>
      <c r="AM62" s="74">
        <v>110</v>
      </c>
      <c r="AN62" s="74">
        <v>128</v>
      </c>
      <c r="AO62" s="74">
        <v>128</v>
      </c>
      <c r="AP62" s="74">
        <v>101</v>
      </c>
      <c r="AQ62" s="74">
        <v>101</v>
      </c>
      <c r="AR62" s="74">
        <v>101</v>
      </c>
      <c r="AS62" s="74">
        <v>101</v>
      </c>
      <c r="AT62" s="74">
        <v>101</v>
      </c>
      <c r="AU62" s="74">
        <v>101</v>
      </c>
      <c r="AV62" s="74" t="str" cm="1">
        <f t="array" aca="1" ref="AV62" ca="1">IFERROR(_xlfn.XLOOKUP($C62,
INDIRECT("'在庫使用計画 ("&amp;AV$1&amp;")'!D:D"),
INDIRECT("'在庫使用計画 ("&amp;AV$1&amp;")'!I:I")
),"")</f>
        <v/>
      </c>
      <c r="AW62" s="74" t="str" cm="1">
        <f t="array" aca="1" ref="AW62" ca="1">IFERROR(_xlfn.XLOOKUP($C62,
INDIRECT("'在庫使用計画 ("&amp;AW$1&amp;")'!D:D"),
INDIRECT("'在庫使用計画 ("&amp;AW$1&amp;")'!I:I")
),"")</f>
        <v/>
      </c>
      <c r="AX62" s="74" t="str" cm="1">
        <f t="array" aca="1" ref="AX62" ca="1">IFERROR(_xlfn.XLOOKUP($C62,
INDIRECT("'在庫使用計画 ("&amp;AX$1&amp;")'!D:D"),
INDIRECT("'在庫使用計画 ("&amp;AX$1&amp;")'!I:I")
),"")</f>
        <v/>
      </c>
    </row>
    <row r="63" spans="1:50" s="21" customFormat="1" ht="18.600000000000001" customHeight="1">
      <c r="A63" s="99" t="s">
        <v>1396</v>
      </c>
      <c r="B63" s="100" t="s">
        <v>1399</v>
      </c>
      <c r="C63" s="100" t="s">
        <v>1400</v>
      </c>
      <c r="D63" s="1032" t="e">
        <v>#REF!</v>
      </c>
      <c r="E63" s="68" t="s">
        <v>1401</v>
      </c>
      <c r="F63" s="102" t="s">
        <v>1402</v>
      </c>
      <c r="G63" s="87"/>
      <c r="H63" s="38">
        <v>36</v>
      </c>
      <c r="I63" s="700" t="e">
        <v>#REF!</v>
      </c>
      <c r="J63" s="416" t="e">
        <v>#REF!</v>
      </c>
      <c r="K63" s="38">
        <v>22</v>
      </c>
      <c r="L63" s="38">
        <v>38</v>
      </c>
      <c r="M63" s="38">
        <v>19</v>
      </c>
      <c r="N63" s="38">
        <v>19</v>
      </c>
      <c r="O63" s="38">
        <v>19</v>
      </c>
      <c r="P63" s="38">
        <v>19</v>
      </c>
      <c r="Q63" s="38">
        <v>19</v>
      </c>
      <c r="R63" s="38">
        <v>19</v>
      </c>
      <c r="S63" s="38">
        <v>19</v>
      </c>
      <c r="T63" s="38">
        <v>33</v>
      </c>
      <c r="U63" s="38">
        <v>33</v>
      </c>
      <c r="V63" s="38">
        <v>33</v>
      </c>
      <c r="W63" s="38">
        <v>33</v>
      </c>
      <c r="X63" s="74">
        <v>33</v>
      </c>
      <c r="Y63" s="74">
        <v>33</v>
      </c>
      <c r="Z63" s="74">
        <v>33</v>
      </c>
      <c r="AA63" s="74">
        <v>33</v>
      </c>
      <c r="AB63" s="74">
        <v>50</v>
      </c>
      <c r="AC63" s="74">
        <v>50</v>
      </c>
      <c r="AD63" s="74">
        <v>50</v>
      </c>
      <c r="AE63" s="74">
        <v>50</v>
      </c>
      <c r="AF63" s="74">
        <v>50</v>
      </c>
      <c r="AG63" s="74">
        <v>50</v>
      </c>
      <c r="AH63" s="74">
        <v>50</v>
      </c>
      <c r="AI63" s="74">
        <v>47</v>
      </c>
      <c r="AJ63" s="74">
        <v>47</v>
      </c>
      <c r="AK63" s="74">
        <v>47</v>
      </c>
      <c r="AL63" s="74">
        <v>47</v>
      </c>
      <c r="AM63" s="74">
        <v>47</v>
      </c>
      <c r="AN63" s="74">
        <v>64</v>
      </c>
      <c r="AO63" s="74">
        <v>64</v>
      </c>
      <c r="AP63" s="74">
        <v>59</v>
      </c>
      <c r="AQ63" s="74">
        <v>59</v>
      </c>
      <c r="AR63" s="74">
        <v>59</v>
      </c>
      <c r="AS63" s="74">
        <v>59</v>
      </c>
      <c r="AT63" s="74">
        <v>59</v>
      </c>
      <c r="AU63" s="74">
        <v>59</v>
      </c>
      <c r="AV63" s="74" t="str" cm="1">
        <f t="array" aca="1" ref="AV63" ca="1">IFERROR(_xlfn.XLOOKUP($C63,
INDIRECT("'在庫使用計画 ("&amp;AV$1&amp;")'!D:D"),
INDIRECT("'在庫使用計画 ("&amp;AV$1&amp;")'!I:I")
),"")</f>
        <v/>
      </c>
      <c r="AW63" s="74" t="str" cm="1">
        <f t="array" aca="1" ref="AW63" ca="1">IFERROR(_xlfn.XLOOKUP($C63,
INDIRECT("'在庫使用計画 ("&amp;AW$1&amp;")'!D:D"),
INDIRECT("'在庫使用計画 ("&amp;AW$1&amp;")'!I:I")
),"")</f>
        <v/>
      </c>
      <c r="AX63" s="74" t="str" cm="1">
        <f t="array" aca="1" ref="AX63" ca="1">IFERROR(_xlfn.XLOOKUP($C63,
INDIRECT("'在庫使用計画 ("&amp;AX$1&amp;")'!D:D"),
INDIRECT("'在庫使用計画 ("&amp;AX$1&amp;")'!I:I")
),"")</f>
        <v/>
      </c>
    </row>
    <row r="64" spans="1:50" s="21" customFormat="1" ht="18.600000000000001" customHeight="1">
      <c r="A64" s="99" t="s">
        <v>1396</v>
      </c>
      <c r="B64" s="55" t="s">
        <v>588</v>
      </c>
      <c r="C64" s="55" t="s">
        <v>586</v>
      </c>
      <c r="D64" s="1032" t="e">
        <v>#REF!</v>
      </c>
      <c r="E64" s="26" t="s">
        <v>1362</v>
      </c>
      <c r="F64" s="26">
        <v>5060</v>
      </c>
      <c r="G64" s="26"/>
      <c r="H64" s="38">
        <v>230</v>
      </c>
      <c r="I64" s="700" t="e">
        <v>#REF!</v>
      </c>
      <c r="J64" s="416" t="e">
        <v>#REF!</v>
      </c>
      <c r="K64" s="38">
        <v>80</v>
      </c>
      <c r="L64" s="38">
        <v>290</v>
      </c>
      <c r="M64" s="38">
        <v>290</v>
      </c>
      <c r="N64" s="38">
        <v>290</v>
      </c>
      <c r="O64" s="38">
        <v>290</v>
      </c>
      <c r="P64" s="38">
        <v>290</v>
      </c>
      <c r="Q64" s="38">
        <v>290</v>
      </c>
      <c r="R64" s="38">
        <v>290</v>
      </c>
      <c r="S64" s="38">
        <v>290</v>
      </c>
      <c r="T64" s="38">
        <v>870</v>
      </c>
      <c r="U64" s="38">
        <v>870</v>
      </c>
      <c r="V64" s="38">
        <v>870</v>
      </c>
      <c r="W64" s="38">
        <v>870</v>
      </c>
      <c r="X64" s="74">
        <v>870</v>
      </c>
      <c r="Y64" s="74">
        <v>870</v>
      </c>
      <c r="Z64" s="74">
        <v>870</v>
      </c>
      <c r="AA64" s="74">
        <v>870</v>
      </c>
      <c r="AB64" s="74">
        <v>1240</v>
      </c>
      <c r="AC64" s="74">
        <v>1240</v>
      </c>
      <c r="AD64" s="74">
        <v>1160</v>
      </c>
      <c r="AE64" s="74">
        <v>1160</v>
      </c>
      <c r="AF64" s="74">
        <v>1160</v>
      </c>
      <c r="AG64" s="74">
        <v>950</v>
      </c>
      <c r="AH64" s="74">
        <v>950</v>
      </c>
      <c r="AI64" s="74">
        <v>1270</v>
      </c>
      <c r="AJ64" s="74">
        <v>1270</v>
      </c>
      <c r="AK64" s="74">
        <v>1270</v>
      </c>
      <c r="AL64" s="74">
        <v>1210</v>
      </c>
      <c r="AM64" s="74">
        <v>1210</v>
      </c>
      <c r="AN64" s="74">
        <v>1210</v>
      </c>
      <c r="AO64" s="74">
        <v>1210</v>
      </c>
      <c r="AP64" s="74">
        <v>1410</v>
      </c>
      <c r="AQ64" s="74">
        <v>1460</v>
      </c>
      <c r="AR64" s="74">
        <v>1460</v>
      </c>
      <c r="AS64" s="74">
        <v>1460</v>
      </c>
      <c r="AT64" s="74">
        <v>1460</v>
      </c>
      <c r="AU64" s="74">
        <v>1460</v>
      </c>
      <c r="AV64" s="74" t="str" cm="1">
        <f t="array" aca="1" ref="AV64" ca="1">IFERROR(_xlfn.XLOOKUP($C64,
INDIRECT("'在庫使用計画 ("&amp;AV$1&amp;")'!D:D"),
INDIRECT("'在庫使用計画 ("&amp;AV$1&amp;")'!I:I")
),"")</f>
        <v/>
      </c>
      <c r="AW64" s="74" t="str" cm="1">
        <f t="array" aca="1" ref="AW64" ca="1">IFERROR(_xlfn.XLOOKUP($C64,
INDIRECT("'在庫使用計画 ("&amp;AW$1&amp;")'!D:D"),
INDIRECT("'在庫使用計画 ("&amp;AW$1&amp;")'!I:I")
),"")</f>
        <v/>
      </c>
      <c r="AX64" s="74" t="str" cm="1">
        <f t="array" aca="1" ref="AX64" ca="1">IFERROR(_xlfn.XLOOKUP($C64,
INDIRECT("'在庫使用計画 ("&amp;AX$1&amp;")'!D:D"),
INDIRECT("'在庫使用計画 ("&amp;AX$1&amp;")'!I:I")
),"")</f>
        <v/>
      </c>
    </row>
    <row r="65" spans="1:50" s="21" customFormat="1" ht="18.600000000000001" customHeight="1">
      <c r="A65" s="55"/>
      <c r="B65" s="55"/>
      <c r="C65" s="55"/>
      <c r="D65" s="1032" t="str">
        <v/>
      </c>
      <c r="E65" s="194"/>
      <c r="F65" s="194"/>
      <c r="G65" s="629"/>
      <c r="H65" s="38" t="str">
        <v/>
      </c>
      <c r="I65" s="700" t="str">
        <v/>
      </c>
      <c r="J65" s="416" t="str">
        <v/>
      </c>
      <c r="K65" s="38" t="s">
        <v>21</v>
      </c>
      <c r="L65" s="38" t="s">
        <v>21</v>
      </c>
      <c r="M65" s="38" t="s">
        <v>21</v>
      </c>
      <c r="N65" s="38" t="s">
        <v>21</v>
      </c>
      <c r="O65" s="38" t="s">
        <v>21</v>
      </c>
      <c r="P65" s="38"/>
      <c r="Q65" s="38" t="s">
        <v>21</v>
      </c>
      <c r="R65" s="38" t="s">
        <v>21</v>
      </c>
      <c r="S65" s="38" t="s">
        <v>21</v>
      </c>
      <c r="T65" s="38" t="s">
        <v>21</v>
      </c>
      <c r="U65" s="38" t="s">
        <v>21</v>
      </c>
      <c r="V65" s="38" t="s">
        <v>21</v>
      </c>
      <c r="W65" s="38" t="s">
        <v>21</v>
      </c>
      <c r="X65" s="74" t="s">
        <v>21</v>
      </c>
      <c r="Y65" s="74" t="s">
        <v>21</v>
      </c>
      <c r="Z65" s="74" t="s">
        <v>21</v>
      </c>
      <c r="AA65" s="74" t="s">
        <v>21</v>
      </c>
      <c r="AB65" s="74" t="s">
        <v>21</v>
      </c>
      <c r="AC65" s="74" t="s">
        <v>21</v>
      </c>
      <c r="AD65" s="74" t="s">
        <v>21</v>
      </c>
      <c r="AE65" s="74" t="s">
        <v>21</v>
      </c>
      <c r="AF65" s="74" t="s">
        <v>21</v>
      </c>
      <c r="AG65" s="74" t="s">
        <v>21</v>
      </c>
      <c r="AH65" s="74" t="s">
        <v>21</v>
      </c>
      <c r="AI65" s="74" t="s">
        <v>21</v>
      </c>
      <c r="AJ65" s="74" t="s">
        <v>21</v>
      </c>
      <c r="AK65" s="74" t="s">
        <v>21</v>
      </c>
      <c r="AL65" s="74" t="s">
        <v>21</v>
      </c>
      <c r="AM65" s="74" t="s">
        <v>21</v>
      </c>
      <c r="AN65" s="74" t="s">
        <v>21</v>
      </c>
      <c r="AO65" s="74" t="s">
        <v>21</v>
      </c>
      <c r="AP65" s="74" t="s">
        <v>21</v>
      </c>
      <c r="AQ65" s="74" t="s">
        <v>21</v>
      </c>
      <c r="AR65" s="74" t="s">
        <v>21</v>
      </c>
      <c r="AS65" s="74" t="s">
        <v>21</v>
      </c>
      <c r="AT65" s="74" t="s">
        <v>21</v>
      </c>
      <c r="AU65" s="74" t="s">
        <v>21</v>
      </c>
      <c r="AV65" s="74" t="str" cm="1">
        <f t="array" aca="1" ref="AV65" ca="1">IFERROR(_xlfn.XLOOKUP($C65,
INDIRECT("'在庫使用計画 ("&amp;AV$1&amp;")'!D:D"),
INDIRECT("'在庫使用計画 ("&amp;AV$1&amp;")'!I:I")
),"")</f>
        <v/>
      </c>
      <c r="AW65" s="74" t="str" cm="1">
        <f t="array" aca="1" ref="AW65" ca="1">IFERROR(_xlfn.XLOOKUP($C65,
INDIRECT("'在庫使用計画 ("&amp;AW$1&amp;")'!D:D"),
INDIRECT("'在庫使用計画 ("&amp;AW$1&amp;")'!I:I")
),"")</f>
        <v/>
      </c>
      <c r="AX65" s="74" t="str" cm="1">
        <f t="array" aca="1" ref="AX65" ca="1">IFERROR(_xlfn.XLOOKUP($C65,
INDIRECT("'在庫使用計画 ("&amp;AX$1&amp;")'!D:D"),
INDIRECT("'在庫使用計画 ("&amp;AX$1&amp;")'!I:I")
),"")</f>
        <v/>
      </c>
    </row>
    <row r="66" spans="1:50" s="21" customFormat="1" ht="18.600000000000001" customHeight="1">
      <c r="A66" s="58" t="s">
        <v>1403</v>
      </c>
      <c r="B66" s="300" t="s">
        <v>1404</v>
      </c>
      <c r="C66" s="300" t="s">
        <v>623</v>
      </c>
      <c r="D66" s="1032" t="e">
        <v>#REF!</v>
      </c>
      <c r="E66" s="300" t="s">
        <v>1405</v>
      </c>
      <c r="F66" s="300" t="s">
        <v>438</v>
      </c>
      <c r="G66" s="195"/>
      <c r="H66" s="38">
        <v>436</v>
      </c>
      <c r="I66" s="700" t="e">
        <v>#REF!</v>
      </c>
      <c r="J66" s="416" t="e">
        <v>#REF!</v>
      </c>
      <c r="K66" s="38">
        <v>100</v>
      </c>
      <c r="L66" s="38">
        <v>145</v>
      </c>
      <c r="M66" s="38">
        <v>55</v>
      </c>
      <c r="N66" s="38">
        <v>55</v>
      </c>
      <c r="O66" s="38">
        <v>55</v>
      </c>
      <c r="P66" s="38">
        <v>55</v>
      </c>
      <c r="Q66" s="38">
        <v>55</v>
      </c>
      <c r="R66" s="38">
        <v>55</v>
      </c>
      <c r="S66" s="38">
        <v>55</v>
      </c>
      <c r="T66" s="38">
        <v>100</v>
      </c>
      <c r="U66" s="38">
        <v>100</v>
      </c>
      <c r="V66" s="38">
        <v>100</v>
      </c>
      <c r="W66" s="38">
        <v>100</v>
      </c>
      <c r="X66" s="74">
        <v>100</v>
      </c>
      <c r="Y66" s="74">
        <v>100</v>
      </c>
      <c r="Z66" s="74">
        <v>100</v>
      </c>
      <c r="AA66" s="74">
        <v>100</v>
      </c>
      <c r="AB66" s="74">
        <v>140</v>
      </c>
      <c r="AC66" s="74">
        <v>140</v>
      </c>
      <c r="AD66" s="74">
        <v>140</v>
      </c>
      <c r="AE66" s="74">
        <v>140</v>
      </c>
      <c r="AF66" s="74">
        <v>140</v>
      </c>
      <c r="AG66" s="74">
        <v>140</v>
      </c>
      <c r="AH66" s="74">
        <v>140</v>
      </c>
      <c r="AI66" s="74">
        <v>155</v>
      </c>
      <c r="AJ66" s="74">
        <v>155</v>
      </c>
      <c r="AK66" s="74">
        <v>155</v>
      </c>
      <c r="AL66" s="74">
        <v>170</v>
      </c>
      <c r="AM66" s="74">
        <v>170</v>
      </c>
      <c r="AN66" s="74">
        <v>170</v>
      </c>
      <c r="AO66" s="74">
        <v>170</v>
      </c>
      <c r="AP66" s="74">
        <v>180</v>
      </c>
      <c r="AQ66" s="74">
        <v>190</v>
      </c>
      <c r="AR66" s="74">
        <v>190</v>
      </c>
      <c r="AS66" s="74">
        <v>190</v>
      </c>
      <c r="AT66" s="74">
        <v>190</v>
      </c>
      <c r="AU66" s="74">
        <v>190</v>
      </c>
      <c r="AV66" s="74" t="str" cm="1">
        <f t="array" aca="1" ref="AV66" ca="1">IFERROR(_xlfn.XLOOKUP($C66,
INDIRECT("'在庫使用計画 ("&amp;AV$1&amp;")'!D:D"),
INDIRECT("'在庫使用計画 ("&amp;AV$1&amp;")'!I:I")
),"")</f>
        <v/>
      </c>
      <c r="AW66" s="74" t="str" cm="1">
        <f t="array" aca="1" ref="AW66" ca="1">IFERROR(_xlfn.XLOOKUP($C66,
INDIRECT("'在庫使用計画 ("&amp;AW$1&amp;")'!D:D"),
INDIRECT("'在庫使用計画 ("&amp;AW$1&amp;")'!I:I")
),"")</f>
        <v/>
      </c>
      <c r="AX66" s="74" t="str" cm="1">
        <f t="array" aca="1" ref="AX66" ca="1">IFERROR(_xlfn.XLOOKUP($C66,
INDIRECT("'在庫使用計画 ("&amp;AX$1&amp;")'!D:D"),
INDIRECT("'在庫使用計画 ("&amp;AX$1&amp;")'!I:I")
),"")</f>
        <v/>
      </c>
    </row>
    <row r="67" spans="1:50" s="21" customFormat="1" ht="18.600000000000001" customHeight="1">
      <c r="A67" s="58"/>
      <c r="B67" s="193"/>
      <c r="C67" s="193"/>
      <c r="D67" s="1032" t="str">
        <v/>
      </c>
      <c r="E67" s="193"/>
      <c r="F67" s="193"/>
      <c r="G67" s="195"/>
      <c r="H67" s="38" t="str">
        <v/>
      </c>
      <c r="I67" s="700" t="str">
        <v/>
      </c>
      <c r="J67" s="416" t="str">
        <v/>
      </c>
      <c r="K67" s="38" t="s">
        <v>21</v>
      </c>
      <c r="L67" s="38" t="s">
        <v>21</v>
      </c>
      <c r="M67" s="38" t="s">
        <v>21</v>
      </c>
      <c r="N67" s="38" t="s">
        <v>21</v>
      </c>
      <c r="O67" s="38" t="s">
        <v>21</v>
      </c>
      <c r="P67" s="38"/>
      <c r="Q67" s="38" t="s">
        <v>21</v>
      </c>
      <c r="R67" s="38" t="s">
        <v>21</v>
      </c>
      <c r="S67" s="38" t="s">
        <v>21</v>
      </c>
      <c r="T67" s="38" t="s">
        <v>21</v>
      </c>
      <c r="U67" s="38" t="s">
        <v>21</v>
      </c>
      <c r="V67" s="38" t="s">
        <v>21</v>
      </c>
      <c r="W67" s="38" t="s">
        <v>21</v>
      </c>
      <c r="X67" s="74" t="s">
        <v>21</v>
      </c>
      <c r="Y67" s="74" t="s">
        <v>21</v>
      </c>
      <c r="Z67" s="74" t="s">
        <v>21</v>
      </c>
      <c r="AA67" s="74" t="s">
        <v>21</v>
      </c>
      <c r="AB67" s="74" t="s">
        <v>21</v>
      </c>
      <c r="AC67" s="74" t="s">
        <v>21</v>
      </c>
      <c r="AD67" s="74" t="s">
        <v>21</v>
      </c>
      <c r="AE67" s="74" t="s">
        <v>21</v>
      </c>
      <c r="AF67" s="74" t="s">
        <v>21</v>
      </c>
      <c r="AG67" s="74" t="s">
        <v>21</v>
      </c>
      <c r="AH67" s="74" t="s">
        <v>21</v>
      </c>
      <c r="AI67" s="74" t="s">
        <v>21</v>
      </c>
      <c r="AJ67" s="74" t="s">
        <v>21</v>
      </c>
      <c r="AK67" s="74" t="s">
        <v>21</v>
      </c>
      <c r="AL67" s="74" t="s">
        <v>21</v>
      </c>
      <c r="AM67" s="74" t="s">
        <v>21</v>
      </c>
      <c r="AN67" s="74" t="s">
        <v>21</v>
      </c>
      <c r="AO67" s="74" t="s">
        <v>21</v>
      </c>
      <c r="AP67" s="74" t="s">
        <v>21</v>
      </c>
      <c r="AQ67" s="74" t="s">
        <v>21</v>
      </c>
      <c r="AR67" s="74" t="s">
        <v>21</v>
      </c>
      <c r="AS67" s="74" t="s">
        <v>21</v>
      </c>
      <c r="AT67" s="74" t="s">
        <v>21</v>
      </c>
      <c r="AU67" s="74" t="s">
        <v>21</v>
      </c>
      <c r="AV67" s="74" t="str" cm="1">
        <f t="array" aca="1" ref="AV67" ca="1">IFERROR(_xlfn.XLOOKUP($C67,
INDIRECT("'在庫使用計画 ("&amp;AV$1&amp;")'!D:D"),
INDIRECT("'在庫使用計画 ("&amp;AV$1&amp;")'!I:I")
),"")</f>
        <v/>
      </c>
      <c r="AW67" s="74" t="str" cm="1">
        <f t="array" aca="1" ref="AW67" ca="1">IFERROR(_xlfn.XLOOKUP($C67,
INDIRECT("'在庫使用計画 ("&amp;AW$1&amp;")'!D:D"),
INDIRECT("'在庫使用計画 ("&amp;AW$1&amp;")'!I:I")
),"")</f>
        <v/>
      </c>
      <c r="AX67" s="74" t="str" cm="1">
        <f t="array" aca="1" ref="AX67" ca="1">IFERROR(_xlfn.XLOOKUP($C67,
INDIRECT("'在庫使用計画 ("&amp;AX$1&amp;")'!D:D"),
INDIRECT("'在庫使用計画 ("&amp;AX$1&amp;")'!I:I")
),"")</f>
        <v/>
      </c>
    </row>
    <row r="68" spans="1:50" s="21" customFormat="1" ht="18.600000000000001" customHeight="1">
      <c r="A68" s="124" t="s">
        <v>1406</v>
      </c>
      <c r="B68" s="300" t="s">
        <v>1407</v>
      </c>
      <c r="C68" s="194" t="s">
        <v>1408</v>
      </c>
      <c r="D68" s="1032" t="e">
        <v>#REF!</v>
      </c>
      <c r="E68" s="194" t="s">
        <v>1409</v>
      </c>
      <c r="F68" s="68" t="s">
        <v>1410</v>
      </c>
      <c r="G68" s="195" t="s">
        <v>1324</v>
      </c>
      <c r="H68" s="38" t="e">
        <v>#N/A</v>
      </c>
      <c r="I68" s="700" t="e">
        <v>#REF!</v>
      </c>
      <c r="J68" s="416" t="e">
        <v>#REF!</v>
      </c>
      <c r="K68" s="38">
        <v>213</v>
      </c>
      <c r="L68" s="38">
        <v>201</v>
      </c>
      <c r="M68" s="38">
        <v>201</v>
      </c>
      <c r="N68" s="38">
        <v>201</v>
      </c>
      <c r="O68" s="38">
        <v>201</v>
      </c>
      <c r="P68" s="38">
        <v>201</v>
      </c>
      <c r="Q68" s="38">
        <v>201</v>
      </c>
      <c r="R68" s="38">
        <v>201</v>
      </c>
      <c r="S68" s="38">
        <v>201</v>
      </c>
      <c r="T68" s="38">
        <v>139</v>
      </c>
      <c r="U68" s="38">
        <v>139</v>
      </c>
      <c r="V68" s="38">
        <v>139</v>
      </c>
      <c r="W68" s="38">
        <v>139</v>
      </c>
      <c r="X68" s="74">
        <v>139</v>
      </c>
      <c r="Y68" s="74">
        <v>139</v>
      </c>
      <c r="Z68" s="74">
        <v>139</v>
      </c>
      <c r="AA68" s="74">
        <v>139</v>
      </c>
      <c r="AB68" s="74">
        <v>98</v>
      </c>
      <c r="AC68" s="74">
        <v>98</v>
      </c>
      <c r="AD68" s="74">
        <v>98</v>
      </c>
      <c r="AE68" s="74">
        <v>98</v>
      </c>
      <c r="AF68" s="74">
        <v>98</v>
      </c>
      <c r="AG68" s="74">
        <v>98</v>
      </c>
      <c r="AH68" s="74">
        <v>98</v>
      </c>
      <c r="AI68" s="74">
        <v>50</v>
      </c>
      <c r="AJ68" s="74">
        <v>50</v>
      </c>
      <c r="AK68" s="74">
        <v>50</v>
      </c>
      <c r="AL68" s="74">
        <v>50</v>
      </c>
      <c r="AM68" s="74">
        <v>50</v>
      </c>
      <c r="AN68" s="74">
        <v>50</v>
      </c>
      <c r="AO68" s="74">
        <v>50</v>
      </c>
      <c r="AP68" s="74">
        <v>0</v>
      </c>
      <c r="AQ68" s="74">
        <v>0</v>
      </c>
      <c r="AR68" s="74">
        <v>0</v>
      </c>
      <c r="AS68" s="74">
        <v>0</v>
      </c>
      <c r="AT68" s="74">
        <v>0</v>
      </c>
      <c r="AU68" s="74">
        <v>0</v>
      </c>
      <c r="AV68" s="74" t="str" cm="1">
        <f t="array" aca="1" ref="AV68" ca="1">IFERROR(_xlfn.XLOOKUP($C68,
INDIRECT("'在庫使用計画 ("&amp;AV$1&amp;")'!D:D"),
INDIRECT("'在庫使用計画 ("&amp;AV$1&amp;")'!I:I")
),"")</f>
        <v/>
      </c>
      <c r="AW68" s="74" t="str" cm="1">
        <f t="array" aca="1" ref="AW68" ca="1">IFERROR(_xlfn.XLOOKUP($C68,
INDIRECT("'在庫使用計画 ("&amp;AW$1&amp;")'!D:D"),
INDIRECT("'在庫使用計画 ("&amp;AW$1&amp;")'!I:I")
),"")</f>
        <v/>
      </c>
      <c r="AX68" s="74" t="str" cm="1">
        <f t="array" aca="1" ref="AX68" ca="1">IFERROR(_xlfn.XLOOKUP($C68,
INDIRECT("'在庫使用計画 ("&amp;AX$1&amp;")'!D:D"),
INDIRECT("'在庫使用計画 ("&amp;AX$1&amp;")'!I:I")
),"")</f>
        <v/>
      </c>
    </row>
    <row r="69" spans="1:50" s="21" customFormat="1" ht="18.600000000000001" customHeight="1">
      <c r="A69" s="124" t="s">
        <v>1406</v>
      </c>
      <c r="B69" s="300" t="s">
        <v>630</v>
      </c>
      <c r="C69" s="194" t="s">
        <v>1411</v>
      </c>
      <c r="D69" s="1032" t="e">
        <v>#REF!</v>
      </c>
      <c r="E69" s="194" t="s">
        <v>1412</v>
      </c>
      <c r="F69" s="68" t="s">
        <v>1410</v>
      </c>
      <c r="G69" s="195" t="s">
        <v>1324</v>
      </c>
      <c r="H69" s="38" t="e">
        <v>#N/A</v>
      </c>
      <c r="I69" s="700" t="e">
        <v>#REF!</v>
      </c>
      <c r="J69" s="416" t="e">
        <v>#REF!</v>
      </c>
      <c r="K69" s="38">
        <v>113</v>
      </c>
      <c r="L69" s="38">
        <v>98</v>
      </c>
      <c r="M69" s="38">
        <v>98</v>
      </c>
      <c r="N69" s="38">
        <v>98</v>
      </c>
      <c r="O69" s="38">
        <v>98</v>
      </c>
      <c r="P69" s="38">
        <v>98</v>
      </c>
      <c r="Q69" s="38">
        <v>98</v>
      </c>
      <c r="R69" s="38">
        <v>98</v>
      </c>
      <c r="S69" s="38">
        <v>98</v>
      </c>
      <c r="T69" s="38">
        <v>68</v>
      </c>
      <c r="U69" s="38">
        <v>68</v>
      </c>
      <c r="V69" s="38">
        <v>68</v>
      </c>
      <c r="W69" s="38">
        <v>68</v>
      </c>
      <c r="X69" s="74">
        <v>68</v>
      </c>
      <c r="Y69" s="74">
        <v>68</v>
      </c>
      <c r="Z69" s="74">
        <v>68</v>
      </c>
      <c r="AA69" s="74">
        <v>68</v>
      </c>
      <c r="AB69" s="74">
        <v>49</v>
      </c>
      <c r="AC69" s="74">
        <v>49</v>
      </c>
      <c r="AD69" s="74">
        <v>49</v>
      </c>
      <c r="AE69" s="74">
        <v>49</v>
      </c>
      <c r="AF69" s="74">
        <v>49</v>
      </c>
      <c r="AG69" s="74">
        <v>49</v>
      </c>
      <c r="AH69" s="74">
        <v>49</v>
      </c>
      <c r="AI69" s="74">
        <v>25</v>
      </c>
      <c r="AJ69" s="74">
        <v>25</v>
      </c>
      <c r="AK69" s="74">
        <v>25</v>
      </c>
      <c r="AL69" s="74">
        <v>25</v>
      </c>
      <c r="AM69" s="74">
        <v>25</v>
      </c>
      <c r="AN69" s="74">
        <v>25</v>
      </c>
      <c r="AO69" s="74">
        <v>25</v>
      </c>
      <c r="AP69" s="74">
        <v>0</v>
      </c>
      <c r="AQ69" s="74">
        <v>0</v>
      </c>
      <c r="AR69" s="74">
        <v>0</v>
      </c>
      <c r="AS69" s="74">
        <v>0</v>
      </c>
      <c r="AT69" s="74">
        <v>0</v>
      </c>
      <c r="AU69" s="74">
        <v>0</v>
      </c>
      <c r="AV69" s="74" t="str" cm="1">
        <f t="array" aca="1" ref="AV69" ca="1">IFERROR(_xlfn.XLOOKUP($C69,
INDIRECT("'在庫使用計画 ("&amp;AV$1&amp;")'!D:D"),
INDIRECT("'在庫使用計画 ("&amp;AV$1&amp;")'!I:I")
),"")</f>
        <v/>
      </c>
      <c r="AW69" s="74" t="str" cm="1">
        <f t="array" aca="1" ref="AW69" ca="1">IFERROR(_xlfn.XLOOKUP($C69,
INDIRECT("'在庫使用計画 ("&amp;AW$1&amp;")'!D:D"),
INDIRECT("'在庫使用計画 ("&amp;AW$1&amp;")'!I:I")
),"")</f>
        <v/>
      </c>
      <c r="AX69" s="74" t="str" cm="1">
        <f t="array" aca="1" ref="AX69" ca="1">IFERROR(_xlfn.XLOOKUP($C69,
INDIRECT("'在庫使用計画 ("&amp;AX$1&amp;")'!D:D"),
INDIRECT("'在庫使用計画 ("&amp;AX$1&amp;")'!I:I")
),"")</f>
        <v/>
      </c>
    </row>
    <row r="70" spans="1:50" s="70" customFormat="1" ht="18.600000000000001" customHeight="1">
      <c r="A70" s="71" t="s">
        <v>1406</v>
      </c>
      <c r="B70" s="28" t="s">
        <v>1413</v>
      </c>
      <c r="C70" s="25" t="s">
        <v>1414</v>
      </c>
      <c r="D70" s="1032" t="e">
        <v>#REF!</v>
      </c>
      <c r="E70" s="34" t="s">
        <v>1415</v>
      </c>
      <c r="F70" s="68" t="s">
        <v>1416</v>
      </c>
      <c r="G70" s="68" t="s">
        <v>1347</v>
      </c>
      <c r="H70" s="38" t="e">
        <v>#N/A</v>
      </c>
      <c r="I70" s="700" t="e">
        <v>#REF!</v>
      </c>
      <c r="J70" s="416" t="e">
        <v>#REF!</v>
      </c>
      <c r="K70" s="38">
        <v>202</v>
      </c>
      <c r="L70" s="38">
        <v>102</v>
      </c>
      <c r="M70" s="38">
        <v>292</v>
      </c>
      <c r="N70" s="38">
        <v>292</v>
      </c>
      <c r="O70" s="38">
        <v>292</v>
      </c>
      <c r="P70" s="38">
        <v>292</v>
      </c>
      <c r="Q70" s="38">
        <v>292</v>
      </c>
      <c r="R70" s="38">
        <v>292</v>
      </c>
      <c r="S70" s="38">
        <v>292</v>
      </c>
      <c r="T70" s="38">
        <v>199</v>
      </c>
      <c r="U70" s="38">
        <v>199</v>
      </c>
      <c r="V70" s="38">
        <v>199</v>
      </c>
      <c r="W70" s="38">
        <v>199</v>
      </c>
      <c r="X70" s="74">
        <v>199</v>
      </c>
      <c r="Y70" s="74">
        <v>199</v>
      </c>
      <c r="Z70" s="74">
        <v>199</v>
      </c>
      <c r="AA70" s="74">
        <v>199</v>
      </c>
      <c r="AB70" s="74">
        <v>106</v>
      </c>
      <c r="AC70" s="74">
        <v>106</v>
      </c>
      <c r="AD70" s="74">
        <v>106</v>
      </c>
      <c r="AE70" s="74">
        <v>106</v>
      </c>
      <c r="AF70" s="74">
        <v>106</v>
      </c>
      <c r="AG70" s="74">
        <v>106</v>
      </c>
      <c r="AH70" s="74">
        <v>106</v>
      </c>
      <c r="AI70" s="74">
        <v>13</v>
      </c>
      <c r="AJ70" s="74">
        <v>13</v>
      </c>
      <c r="AK70" s="74">
        <v>13</v>
      </c>
      <c r="AL70" s="74">
        <v>13</v>
      </c>
      <c r="AM70" s="74">
        <v>13</v>
      </c>
      <c r="AN70" s="74">
        <v>13</v>
      </c>
      <c r="AO70" s="74">
        <v>13</v>
      </c>
      <c r="AP70" s="74">
        <v>0</v>
      </c>
      <c r="AQ70" s="74">
        <v>0</v>
      </c>
      <c r="AR70" s="74">
        <v>0</v>
      </c>
      <c r="AS70" s="74">
        <v>0</v>
      </c>
      <c r="AT70" s="74">
        <v>0</v>
      </c>
      <c r="AU70" s="74">
        <v>0</v>
      </c>
      <c r="AV70" s="74" t="str" cm="1">
        <f t="array" aca="1" ref="AV70" ca="1">IFERROR(_xlfn.XLOOKUP($C70,
INDIRECT("'在庫使用計画 ("&amp;AV$1&amp;")'!D:D"),
INDIRECT("'在庫使用計画 ("&amp;AV$1&amp;")'!I:I")
),"")</f>
        <v/>
      </c>
      <c r="AW70" s="74" t="str" cm="1">
        <f t="array" aca="1" ref="AW70" ca="1">IFERROR(_xlfn.XLOOKUP($C70,
INDIRECT("'在庫使用計画 ("&amp;AW$1&amp;")'!D:D"),
INDIRECT("'在庫使用計画 ("&amp;AW$1&amp;")'!I:I")
),"")</f>
        <v/>
      </c>
      <c r="AX70" s="74" t="str" cm="1">
        <f t="array" aca="1" ref="AX70" ca="1">IFERROR(_xlfn.XLOOKUP($C70,
INDIRECT("'在庫使用計画 ("&amp;AX$1&amp;")'!D:D"),
INDIRECT("'在庫使用計画 ("&amp;AX$1&amp;")'!I:I")
),"")</f>
        <v/>
      </c>
    </row>
    <row r="71" spans="1:50" s="70" customFormat="1" ht="18.600000000000001" customHeight="1">
      <c r="A71" s="71" t="s">
        <v>1406</v>
      </c>
      <c r="B71" s="1126" t="s">
        <v>1417</v>
      </c>
      <c r="C71" s="717" t="s">
        <v>551</v>
      </c>
      <c r="D71" s="1033" t="e">
        <v>#REF!</v>
      </c>
      <c r="E71" s="305" t="s">
        <v>1418</v>
      </c>
      <c r="F71" s="304" t="s">
        <v>438</v>
      </c>
      <c r="G71" s="108" t="s">
        <v>1347</v>
      </c>
      <c r="H71" s="74">
        <v>168</v>
      </c>
      <c r="I71" s="700" t="e">
        <v>#REF!</v>
      </c>
      <c r="J71" s="416" t="e">
        <v>#REF!</v>
      </c>
      <c r="K71" s="74">
        <v>202</v>
      </c>
      <c r="L71" s="74">
        <v>102</v>
      </c>
      <c r="M71" s="74"/>
      <c r="N71" s="74"/>
      <c r="O71" s="74"/>
      <c r="P71" s="74"/>
      <c r="Q71" s="74"/>
      <c r="R71" s="74" t="s">
        <v>21</v>
      </c>
      <c r="S71" s="74" t="s">
        <v>21</v>
      </c>
      <c r="T71" s="74" t="s">
        <v>21</v>
      </c>
      <c r="U71" s="74" t="s">
        <v>21</v>
      </c>
      <c r="V71" s="74">
        <v>40</v>
      </c>
      <c r="W71" s="74">
        <v>40</v>
      </c>
      <c r="X71" s="74">
        <v>40</v>
      </c>
      <c r="Y71" s="74">
        <v>40</v>
      </c>
      <c r="Z71" s="74">
        <v>40</v>
      </c>
      <c r="AA71" s="74">
        <v>40</v>
      </c>
      <c r="AB71" s="74">
        <v>95</v>
      </c>
      <c r="AC71" s="74">
        <v>95</v>
      </c>
      <c r="AD71" s="74">
        <v>95</v>
      </c>
      <c r="AE71" s="74">
        <v>95</v>
      </c>
      <c r="AF71" s="74">
        <v>95</v>
      </c>
      <c r="AG71" s="74">
        <v>95</v>
      </c>
      <c r="AH71" s="74">
        <v>95</v>
      </c>
      <c r="AI71" s="74">
        <v>140</v>
      </c>
      <c r="AJ71" s="74">
        <v>140</v>
      </c>
      <c r="AK71" s="74">
        <v>140</v>
      </c>
      <c r="AL71" s="74">
        <v>140</v>
      </c>
      <c r="AM71" s="74">
        <v>140</v>
      </c>
      <c r="AN71" s="74">
        <v>140</v>
      </c>
      <c r="AO71" s="74">
        <v>140</v>
      </c>
      <c r="AP71" s="74">
        <v>175</v>
      </c>
      <c r="AQ71" s="74">
        <v>175</v>
      </c>
      <c r="AR71" s="74">
        <v>175</v>
      </c>
      <c r="AS71" s="74">
        <v>175</v>
      </c>
      <c r="AT71" s="74">
        <v>175</v>
      </c>
      <c r="AU71" s="74">
        <v>175</v>
      </c>
      <c r="AV71" s="74" t="str" cm="1">
        <f t="array" aca="1" ref="AV71" ca="1">IFERROR(_xlfn.XLOOKUP($C71,
INDIRECT("'在庫使用計画 ("&amp;AV$1&amp;")'!D:D"),
INDIRECT("'在庫使用計画 ("&amp;AV$1&amp;")'!I:I")
),"")</f>
        <v/>
      </c>
      <c r="AW71" s="74" t="str" cm="1">
        <f t="array" aca="1" ref="AW71" ca="1">IFERROR(_xlfn.XLOOKUP($C71,
INDIRECT("'在庫使用計画 ("&amp;AW$1&amp;")'!D:D"),
INDIRECT("'在庫使用計画 ("&amp;AW$1&amp;")'!I:I")
),"")</f>
        <v/>
      </c>
      <c r="AX71" s="74" t="str" cm="1">
        <f t="array" aca="1" ref="AX71" ca="1">IFERROR(_xlfn.XLOOKUP($C71,
INDIRECT("'在庫使用計画 ("&amp;AX$1&amp;")'!D:D"),
INDIRECT("'在庫使用計画 ("&amp;AX$1&amp;")'!I:I")
),"")</f>
        <v/>
      </c>
    </row>
    <row r="72" spans="1:50" s="70" customFormat="1" ht="18.600000000000001" customHeight="1">
      <c r="A72" s="71"/>
      <c r="B72" s="28"/>
      <c r="C72" s="25"/>
      <c r="D72" s="1032" t="str">
        <v/>
      </c>
      <c r="E72" s="34"/>
      <c r="F72" s="68"/>
      <c r="G72" s="68"/>
      <c r="H72" s="38" t="str">
        <v/>
      </c>
      <c r="I72" s="700" t="str">
        <v/>
      </c>
      <c r="J72" s="416" t="str">
        <v/>
      </c>
      <c r="K72" s="38" t="s">
        <v>21</v>
      </c>
      <c r="L72" s="38" t="s">
        <v>21</v>
      </c>
      <c r="M72" s="38" t="s">
        <v>21</v>
      </c>
      <c r="N72" s="38" t="s">
        <v>21</v>
      </c>
      <c r="O72" s="38" t="s">
        <v>21</v>
      </c>
      <c r="P72" s="38"/>
      <c r="Q72" s="38"/>
      <c r="R72" s="38" t="s">
        <v>21</v>
      </c>
      <c r="S72" s="38" t="s">
        <v>21</v>
      </c>
      <c r="T72" s="38" t="s">
        <v>21</v>
      </c>
      <c r="U72" s="38" t="s">
        <v>21</v>
      </c>
      <c r="V72" s="38" t="s">
        <v>21</v>
      </c>
      <c r="W72" s="38" t="s">
        <v>21</v>
      </c>
      <c r="X72" s="74" t="s">
        <v>21</v>
      </c>
      <c r="Y72" s="74" t="s">
        <v>21</v>
      </c>
      <c r="Z72" s="74" t="s">
        <v>21</v>
      </c>
      <c r="AA72" s="74" t="s">
        <v>21</v>
      </c>
      <c r="AB72" s="74" t="s">
        <v>21</v>
      </c>
      <c r="AC72" s="74" t="s">
        <v>21</v>
      </c>
      <c r="AD72" s="74" t="s">
        <v>21</v>
      </c>
      <c r="AE72" s="74" t="s">
        <v>21</v>
      </c>
      <c r="AF72" s="74" t="s">
        <v>21</v>
      </c>
      <c r="AG72" s="74" t="s">
        <v>21</v>
      </c>
      <c r="AH72" s="74" t="s">
        <v>21</v>
      </c>
      <c r="AI72" s="74" t="s">
        <v>21</v>
      </c>
      <c r="AJ72" s="74" t="s">
        <v>21</v>
      </c>
      <c r="AK72" s="74" t="s">
        <v>21</v>
      </c>
      <c r="AL72" s="74" t="s">
        <v>21</v>
      </c>
      <c r="AM72" s="74" t="s">
        <v>21</v>
      </c>
      <c r="AN72" s="74" t="s">
        <v>21</v>
      </c>
      <c r="AO72" s="74" t="s">
        <v>21</v>
      </c>
      <c r="AP72" s="74" t="s">
        <v>21</v>
      </c>
      <c r="AQ72" s="74" t="s">
        <v>21</v>
      </c>
      <c r="AR72" s="74" t="s">
        <v>21</v>
      </c>
      <c r="AS72" s="74" t="s">
        <v>21</v>
      </c>
      <c r="AT72" s="74" t="s">
        <v>21</v>
      </c>
      <c r="AU72" s="74" t="s">
        <v>21</v>
      </c>
      <c r="AV72" s="74" t="str" cm="1">
        <f t="array" aca="1" ref="AV72" ca="1">IFERROR(_xlfn.XLOOKUP($C72,
INDIRECT("'在庫使用計画 ("&amp;AV$1&amp;")'!D:D"),
INDIRECT("'在庫使用計画 ("&amp;AV$1&amp;")'!I:I")
),"")</f>
        <v/>
      </c>
      <c r="AW72" s="74" t="str" cm="1">
        <f t="array" aca="1" ref="AW72" ca="1">IFERROR(_xlfn.XLOOKUP($C72,
INDIRECT("'在庫使用計画 ("&amp;AW$1&amp;")'!D:D"),
INDIRECT("'在庫使用計画 ("&amp;AW$1&amp;")'!I:I")
),"")</f>
        <v/>
      </c>
      <c r="AX72" s="74" t="str" cm="1">
        <f t="array" aca="1" ref="AX72" ca="1">IFERROR(_xlfn.XLOOKUP($C72,
INDIRECT("'在庫使用計画 ("&amp;AX$1&amp;")'!D:D"),
INDIRECT("'在庫使用計画 ("&amp;AX$1&amp;")'!I:I")
),"")</f>
        <v/>
      </c>
    </row>
    <row r="73" spans="1:50" s="21" customFormat="1" ht="18.600000000000001" customHeight="1">
      <c r="A73" s="71" t="s">
        <v>1419</v>
      </c>
      <c r="B73" s="28" t="s">
        <v>1420</v>
      </c>
      <c r="C73" s="25" t="s">
        <v>1421</v>
      </c>
      <c r="D73" s="1032" t="e">
        <v>#REF!</v>
      </c>
      <c r="E73" s="24" t="s">
        <v>1422</v>
      </c>
      <c r="F73" s="26" t="s">
        <v>1423</v>
      </c>
      <c r="G73" s="26" t="s">
        <v>1372</v>
      </c>
      <c r="H73" s="38">
        <v>104</v>
      </c>
      <c r="I73" s="700" t="e">
        <v>#REF!</v>
      </c>
      <c r="J73" s="416" t="e">
        <v>#REF!</v>
      </c>
      <c r="K73" s="38">
        <v>555</v>
      </c>
      <c r="L73" s="38">
        <v>538</v>
      </c>
      <c r="M73" s="38">
        <v>538</v>
      </c>
      <c r="N73" s="38">
        <v>538</v>
      </c>
      <c r="O73" s="38">
        <v>802</v>
      </c>
      <c r="P73" s="38">
        <v>802</v>
      </c>
      <c r="Q73" s="38">
        <v>802</v>
      </c>
      <c r="R73" s="38">
        <v>802</v>
      </c>
      <c r="S73" s="38">
        <v>802</v>
      </c>
      <c r="T73" s="38">
        <v>856</v>
      </c>
      <c r="U73" s="38">
        <v>856</v>
      </c>
      <c r="V73" s="38">
        <v>856</v>
      </c>
      <c r="W73" s="38">
        <v>856</v>
      </c>
      <c r="X73" s="74">
        <v>856</v>
      </c>
      <c r="Y73" s="74">
        <v>856</v>
      </c>
      <c r="Z73" s="74">
        <v>856</v>
      </c>
      <c r="AA73" s="74">
        <v>856</v>
      </c>
      <c r="AB73" s="74">
        <v>746</v>
      </c>
      <c r="AC73" s="74">
        <v>746</v>
      </c>
      <c r="AD73" s="74">
        <v>746</v>
      </c>
      <c r="AE73" s="74">
        <v>746</v>
      </c>
      <c r="AF73" s="74">
        <v>746</v>
      </c>
      <c r="AG73" s="74">
        <v>746</v>
      </c>
      <c r="AH73" s="74">
        <v>746</v>
      </c>
      <c r="AI73" s="74">
        <v>556</v>
      </c>
      <c r="AJ73" s="74">
        <v>556</v>
      </c>
      <c r="AK73" s="74">
        <v>556</v>
      </c>
      <c r="AL73" s="74">
        <v>304</v>
      </c>
      <c r="AM73" s="74">
        <v>304</v>
      </c>
      <c r="AN73" s="74">
        <v>304</v>
      </c>
      <c r="AO73" s="74">
        <v>304</v>
      </c>
      <c r="AP73" s="74">
        <v>286</v>
      </c>
      <c r="AQ73" s="74">
        <v>286</v>
      </c>
      <c r="AR73" s="74">
        <v>286</v>
      </c>
      <c r="AS73" s="74">
        <v>286</v>
      </c>
      <c r="AT73" s="74">
        <v>286</v>
      </c>
      <c r="AU73" s="74">
        <v>286</v>
      </c>
      <c r="AV73" s="74" t="str" cm="1">
        <f t="array" aca="1" ref="AV73" ca="1">IFERROR(_xlfn.XLOOKUP($C73,
INDIRECT("'在庫使用計画 ("&amp;AV$1&amp;")'!D:D"),
INDIRECT("'在庫使用計画 ("&amp;AV$1&amp;")'!I:I")
),"")</f>
        <v/>
      </c>
      <c r="AW73" s="74" t="str" cm="1">
        <f t="array" aca="1" ref="AW73" ca="1">IFERROR(_xlfn.XLOOKUP($C73,
INDIRECT("'在庫使用計画 ("&amp;AW$1&amp;")'!D:D"),
INDIRECT("'在庫使用計画 ("&amp;AW$1&amp;")'!I:I")
),"")</f>
        <v/>
      </c>
      <c r="AX73" s="74" t="str" cm="1">
        <f t="array" aca="1" ref="AX73" ca="1">IFERROR(_xlfn.XLOOKUP($C73,
INDIRECT("'在庫使用計画 ("&amp;AX$1&amp;")'!D:D"),
INDIRECT("'在庫使用計画 ("&amp;AX$1&amp;")'!I:I")
),"")</f>
        <v/>
      </c>
    </row>
    <row r="74" spans="1:50" s="21" customFormat="1" ht="18.600000000000001" customHeight="1">
      <c r="A74" s="71" t="s">
        <v>1419</v>
      </c>
      <c r="B74" s="26" t="s">
        <v>570</v>
      </c>
      <c r="C74" s="25" t="s">
        <v>567</v>
      </c>
      <c r="D74" s="1032" t="e">
        <v>#REF!</v>
      </c>
      <c r="E74" s="24" t="s">
        <v>1422</v>
      </c>
      <c r="F74" s="26" t="s">
        <v>1423</v>
      </c>
      <c r="G74" s="24" t="s">
        <v>1372</v>
      </c>
      <c r="H74" s="38">
        <v>69</v>
      </c>
      <c r="I74" s="700" t="e">
        <v>#REF!</v>
      </c>
      <c r="J74" s="416" t="e">
        <v>#REF!</v>
      </c>
      <c r="K74" s="38">
        <v>1176</v>
      </c>
      <c r="L74" s="38">
        <v>1351</v>
      </c>
      <c r="M74" s="38">
        <v>1750</v>
      </c>
      <c r="N74" s="38">
        <v>1750</v>
      </c>
      <c r="O74" s="38">
        <v>1375</v>
      </c>
      <c r="P74" s="38">
        <v>1375</v>
      </c>
      <c r="Q74" s="38">
        <v>1375</v>
      </c>
      <c r="R74" s="38">
        <v>1375</v>
      </c>
      <c r="S74" s="38">
        <v>1375</v>
      </c>
      <c r="T74" s="38">
        <v>1130</v>
      </c>
      <c r="U74" s="38">
        <v>1130</v>
      </c>
      <c r="V74" s="38">
        <v>1130</v>
      </c>
      <c r="W74" s="38">
        <v>1130</v>
      </c>
      <c r="X74" s="74">
        <v>1130</v>
      </c>
      <c r="Y74" s="74">
        <v>1130</v>
      </c>
      <c r="Z74" s="74">
        <v>1130</v>
      </c>
      <c r="AA74" s="74">
        <v>1130</v>
      </c>
      <c r="AB74" s="74">
        <v>735</v>
      </c>
      <c r="AC74" s="74">
        <v>735</v>
      </c>
      <c r="AD74" s="74">
        <v>735</v>
      </c>
      <c r="AE74" s="74">
        <v>735</v>
      </c>
      <c r="AF74" s="74">
        <v>735</v>
      </c>
      <c r="AG74" s="74">
        <v>735</v>
      </c>
      <c r="AH74" s="74">
        <v>735</v>
      </c>
      <c r="AI74" s="74">
        <v>405</v>
      </c>
      <c r="AJ74" s="74">
        <v>405</v>
      </c>
      <c r="AK74" s="74">
        <v>405</v>
      </c>
      <c r="AL74" s="74">
        <v>485</v>
      </c>
      <c r="AM74" s="74">
        <v>485</v>
      </c>
      <c r="AN74" s="74">
        <v>485</v>
      </c>
      <c r="AO74" s="74">
        <v>485</v>
      </c>
      <c r="AP74" s="74">
        <v>165</v>
      </c>
      <c r="AQ74" s="74">
        <v>165</v>
      </c>
      <c r="AR74" s="74">
        <v>165</v>
      </c>
      <c r="AS74" s="74">
        <v>165</v>
      </c>
      <c r="AT74" s="74">
        <v>165</v>
      </c>
      <c r="AU74" s="74">
        <v>165</v>
      </c>
      <c r="AV74" s="74" t="str" cm="1">
        <f t="array" aca="1" ref="AV74" ca="1">IFERROR(_xlfn.XLOOKUP($C74,
INDIRECT("'在庫使用計画 ("&amp;AV$1&amp;")'!D:D"),
INDIRECT("'在庫使用計画 ("&amp;AV$1&amp;")'!I:I")
),"")</f>
        <v/>
      </c>
      <c r="AW74" s="74" t="str" cm="1">
        <f t="array" aca="1" ref="AW74" ca="1">IFERROR(_xlfn.XLOOKUP($C74,
INDIRECT("'在庫使用計画 ("&amp;AW$1&amp;")'!D:D"),
INDIRECT("'在庫使用計画 ("&amp;AW$1&amp;")'!I:I")
),"")</f>
        <v/>
      </c>
      <c r="AX74" s="74" t="str" cm="1">
        <f t="array" aca="1" ref="AX74" ca="1">IFERROR(_xlfn.XLOOKUP($C74,
INDIRECT("'在庫使用計画 ("&amp;AX$1&amp;")'!D:D"),
INDIRECT("'在庫使用計画 ("&amp;AX$1&amp;")'!I:I")
),"")</f>
        <v/>
      </c>
    </row>
    <row r="75" spans="1:50" s="21" customFormat="1" ht="18.600000000000001" customHeight="1">
      <c r="A75" s="71" t="s">
        <v>1419</v>
      </c>
      <c r="B75" s="28" t="s">
        <v>1424</v>
      </c>
      <c r="C75" s="25" t="s">
        <v>1425</v>
      </c>
      <c r="D75" s="1032" t="e">
        <v>#REF!</v>
      </c>
      <c r="E75" s="24" t="s">
        <v>1426</v>
      </c>
      <c r="F75" s="26" t="s">
        <v>1423</v>
      </c>
      <c r="G75" s="24" t="s">
        <v>1347</v>
      </c>
      <c r="H75" s="38">
        <v>702</v>
      </c>
      <c r="I75" s="700" t="e">
        <v>#REF!</v>
      </c>
      <c r="J75" s="416" t="e">
        <v>#REF!</v>
      </c>
      <c r="K75" s="38" t="s">
        <v>21</v>
      </c>
      <c r="L75" s="38" t="s">
        <v>21</v>
      </c>
      <c r="M75" s="38" t="s">
        <v>21</v>
      </c>
      <c r="N75" s="38" t="s">
        <v>21</v>
      </c>
      <c r="O75" s="38" t="s">
        <v>21</v>
      </c>
      <c r="P75" s="38" t="s">
        <v>21</v>
      </c>
      <c r="Q75" s="38" t="s">
        <v>21</v>
      </c>
      <c r="R75" s="38">
        <v>0</v>
      </c>
      <c r="S75" s="38">
        <v>0</v>
      </c>
      <c r="T75" s="38">
        <v>145</v>
      </c>
      <c r="U75" s="38">
        <v>145</v>
      </c>
      <c r="V75" s="38">
        <v>145</v>
      </c>
      <c r="W75" s="38">
        <v>145</v>
      </c>
      <c r="X75" s="74">
        <v>145</v>
      </c>
      <c r="Y75" s="74">
        <v>145</v>
      </c>
      <c r="Z75" s="74">
        <v>145</v>
      </c>
      <c r="AA75" s="74">
        <v>145</v>
      </c>
      <c r="AB75" s="74">
        <v>741</v>
      </c>
      <c r="AC75" s="74">
        <v>741</v>
      </c>
      <c r="AD75" s="74">
        <v>741</v>
      </c>
      <c r="AE75" s="74">
        <v>741</v>
      </c>
      <c r="AF75" s="74">
        <v>741</v>
      </c>
      <c r="AG75" s="74">
        <v>741</v>
      </c>
      <c r="AH75" s="74">
        <v>741</v>
      </c>
      <c r="AI75" s="74">
        <v>1062</v>
      </c>
      <c r="AJ75" s="74">
        <v>1062</v>
      </c>
      <c r="AK75" s="74">
        <v>1062</v>
      </c>
      <c r="AL75" s="74">
        <v>870</v>
      </c>
      <c r="AM75" s="74">
        <v>870</v>
      </c>
      <c r="AN75" s="74">
        <v>870</v>
      </c>
      <c r="AO75" s="74">
        <v>870</v>
      </c>
      <c r="AP75" s="74">
        <v>1069</v>
      </c>
      <c r="AQ75" s="74">
        <v>1149</v>
      </c>
      <c r="AR75" s="74">
        <v>870</v>
      </c>
      <c r="AS75" s="74">
        <v>870</v>
      </c>
      <c r="AT75" s="74">
        <v>870</v>
      </c>
      <c r="AU75" s="74">
        <v>870</v>
      </c>
      <c r="AV75" s="74" t="str" cm="1">
        <f t="array" aca="1" ref="AV75" ca="1">IFERROR(_xlfn.XLOOKUP($C75,
INDIRECT("'在庫使用計画 ("&amp;AV$1&amp;")'!D:D"),
INDIRECT("'在庫使用計画 ("&amp;AV$1&amp;")'!I:I")
),"")</f>
        <v/>
      </c>
      <c r="AW75" s="74" t="str" cm="1">
        <f t="array" aca="1" ref="AW75" ca="1">IFERROR(_xlfn.XLOOKUP($C75,
INDIRECT("'在庫使用計画 ("&amp;AW$1&amp;")'!D:D"),
INDIRECT("'在庫使用計画 ("&amp;AW$1&amp;")'!I:I")
),"")</f>
        <v/>
      </c>
      <c r="AX75" s="74" t="str" cm="1">
        <f t="array" aca="1" ref="AX75" ca="1">IFERROR(_xlfn.XLOOKUP($C75,
INDIRECT("'在庫使用計画 ("&amp;AX$1&amp;")'!D:D"),
INDIRECT("'在庫使用計画 ("&amp;AX$1&amp;")'!I:I")
),"")</f>
        <v/>
      </c>
    </row>
    <row r="76" spans="1:50" s="21" customFormat="1" ht="18.600000000000001" customHeight="1">
      <c r="A76" s="71" t="s">
        <v>1419</v>
      </c>
      <c r="B76" s="28" t="s">
        <v>1424</v>
      </c>
      <c r="C76" s="25" t="s">
        <v>1427</v>
      </c>
      <c r="D76" s="1032" t="e">
        <v>#REF!</v>
      </c>
      <c r="E76" s="24" t="s">
        <v>1426</v>
      </c>
      <c r="F76" s="26" t="s">
        <v>1423</v>
      </c>
      <c r="G76" s="24" t="s">
        <v>1347</v>
      </c>
      <c r="H76" s="38" t="e">
        <v>#N/A</v>
      </c>
      <c r="I76" s="700" t="e">
        <v>#REF!</v>
      </c>
      <c r="J76" s="416" t="e">
        <v>#REF!</v>
      </c>
      <c r="K76" s="38" t="s">
        <v>21</v>
      </c>
      <c r="L76" s="38" t="s">
        <v>21</v>
      </c>
      <c r="M76" s="38" t="s">
        <v>21</v>
      </c>
      <c r="N76" s="38" t="s">
        <v>21</v>
      </c>
      <c r="O76" s="38" t="s">
        <v>21</v>
      </c>
      <c r="P76" s="38" t="s">
        <v>21</v>
      </c>
      <c r="Q76" s="38" t="s">
        <v>21</v>
      </c>
      <c r="R76" s="38">
        <v>0</v>
      </c>
      <c r="S76" s="38">
        <v>0</v>
      </c>
      <c r="T76" s="38">
        <v>145</v>
      </c>
      <c r="U76" s="38">
        <v>145</v>
      </c>
      <c r="V76" s="38">
        <v>145</v>
      </c>
      <c r="W76" s="38">
        <v>145</v>
      </c>
      <c r="X76" s="74">
        <v>145</v>
      </c>
      <c r="Y76" s="74">
        <v>145</v>
      </c>
      <c r="Z76" s="74">
        <v>145</v>
      </c>
      <c r="AA76" s="74">
        <v>145</v>
      </c>
      <c r="AB76" s="74">
        <v>741</v>
      </c>
      <c r="AC76" s="74">
        <v>741</v>
      </c>
      <c r="AD76" s="74">
        <v>741</v>
      </c>
      <c r="AE76" s="74">
        <v>741</v>
      </c>
      <c r="AF76" s="74">
        <v>741</v>
      </c>
      <c r="AG76" s="74">
        <v>741</v>
      </c>
      <c r="AH76" s="74">
        <v>741</v>
      </c>
      <c r="AI76" s="74">
        <v>1062</v>
      </c>
      <c r="AJ76" s="74">
        <v>1062</v>
      </c>
      <c r="AK76" s="74">
        <v>1062</v>
      </c>
      <c r="AL76" s="74">
        <v>870</v>
      </c>
      <c r="AM76" s="74">
        <v>870</v>
      </c>
      <c r="AN76" s="74">
        <v>870</v>
      </c>
      <c r="AO76" s="74">
        <v>870</v>
      </c>
      <c r="AP76" s="74">
        <v>1069</v>
      </c>
      <c r="AQ76" s="74">
        <v>0</v>
      </c>
      <c r="AR76" s="74">
        <v>0</v>
      </c>
      <c r="AS76" s="74">
        <v>0</v>
      </c>
      <c r="AT76" s="74">
        <v>0</v>
      </c>
      <c r="AU76" s="74">
        <v>0</v>
      </c>
      <c r="AV76" s="74" t="str" cm="1">
        <f t="array" aca="1" ref="AV76" ca="1">IFERROR(_xlfn.XLOOKUP($C76,
INDIRECT("'在庫使用計画 ("&amp;AV$1&amp;")'!D:D"),
INDIRECT("'在庫使用計画 ("&amp;AV$1&amp;")'!I:I")
),"")</f>
        <v/>
      </c>
      <c r="AW76" s="74" t="str" cm="1">
        <f t="array" aca="1" ref="AW76" ca="1">IFERROR(_xlfn.XLOOKUP($C76,
INDIRECT("'在庫使用計画 ("&amp;AW$1&amp;")'!D:D"),
INDIRECT("'在庫使用計画 ("&amp;AW$1&amp;")'!I:I")
),"")</f>
        <v/>
      </c>
      <c r="AX76" s="74" t="str" cm="1">
        <f t="array" aca="1" ref="AX76" ca="1">IFERROR(_xlfn.XLOOKUP($C76,
INDIRECT("'在庫使用計画 ("&amp;AX$1&amp;")'!D:D"),
INDIRECT("'在庫使用計画 ("&amp;AX$1&amp;")'!I:I")
),"")</f>
        <v/>
      </c>
    </row>
    <row r="77" spans="1:50" s="21" customFormat="1" ht="18.600000000000001" customHeight="1">
      <c r="A77" s="71" t="s">
        <v>1419</v>
      </c>
      <c r="B77" s="28" t="s">
        <v>1428</v>
      </c>
      <c r="C77" s="25" t="s">
        <v>1429</v>
      </c>
      <c r="D77" s="1032" t="e">
        <v>#REF!</v>
      </c>
      <c r="E77" s="25" t="s">
        <v>1430</v>
      </c>
      <c r="F77" s="26" t="s">
        <v>1423</v>
      </c>
      <c r="G77" s="26" t="s">
        <v>1372</v>
      </c>
      <c r="H77" s="38">
        <v>302</v>
      </c>
      <c r="I77" s="700" t="e">
        <v>#REF!</v>
      </c>
      <c r="J77" s="416" t="e">
        <v>#REF!</v>
      </c>
      <c r="K77" s="38">
        <v>300</v>
      </c>
      <c r="L77" s="38">
        <v>460</v>
      </c>
      <c r="M77" s="38">
        <v>460</v>
      </c>
      <c r="N77" s="38">
        <v>460</v>
      </c>
      <c r="O77" s="38">
        <v>460</v>
      </c>
      <c r="P77" s="38">
        <v>460</v>
      </c>
      <c r="Q77" s="38">
        <v>460</v>
      </c>
      <c r="R77" s="38">
        <v>460</v>
      </c>
      <c r="S77" s="38">
        <v>460</v>
      </c>
      <c r="T77" s="38">
        <v>600</v>
      </c>
      <c r="U77" s="38">
        <v>600</v>
      </c>
      <c r="V77" s="38">
        <v>600</v>
      </c>
      <c r="W77" s="38">
        <v>600</v>
      </c>
      <c r="X77" s="74">
        <v>600</v>
      </c>
      <c r="Y77" s="74">
        <v>600</v>
      </c>
      <c r="Z77" s="74">
        <v>600</v>
      </c>
      <c r="AA77" s="74">
        <v>600</v>
      </c>
      <c r="AB77" s="74">
        <v>710</v>
      </c>
      <c r="AC77" s="74">
        <v>710</v>
      </c>
      <c r="AD77" s="74">
        <v>710</v>
      </c>
      <c r="AE77" s="74">
        <v>710</v>
      </c>
      <c r="AF77" s="74">
        <v>710</v>
      </c>
      <c r="AG77" s="74">
        <v>710</v>
      </c>
      <c r="AH77" s="74">
        <v>710</v>
      </c>
      <c r="AI77" s="74">
        <v>680</v>
      </c>
      <c r="AJ77" s="74">
        <v>680</v>
      </c>
      <c r="AK77" s="74">
        <v>680</v>
      </c>
      <c r="AL77" s="74">
        <v>370</v>
      </c>
      <c r="AM77" s="74">
        <v>370</v>
      </c>
      <c r="AN77" s="74">
        <v>370</v>
      </c>
      <c r="AO77" s="74">
        <v>370</v>
      </c>
      <c r="AP77" s="74">
        <v>270</v>
      </c>
      <c r="AQ77" s="74">
        <v>270</v>
      </c>
      <c r="AR77" s="74">
        <v>270</v>
      </c>
      <c r="AS77" s="74">
        <v>270</v>
      </c>
      <c r="AT77" s="74">
        <v>270</v>
      </c>
      <c r="AU77" s="74">
        <v>270</v>
      </c>
      <c r="AV77" s="74" t="str" cm="1">
        <f t="array" aca="1" ref="AV77" ca="1">IFERROR(_xlfn.XLOOKUP($C77,
INDIRECT("'在庫使用計画 ("&amp;AV$1&amp;")'!D:D"),
INDIRECT("'在庫使用計画 ("&amp;AV$1&amp;")'!I:I")
),"")</f>
        <v/>
      </c>
      <c r="AW77" s="74" t="str" cm="1">
        <f t="array" aca="1" ref="AW77" ca="1">IFERROR(_xlfn.XLOOKUP($C77,
INDIRECT("'在庫使用計画 ("&amp;AW$1&amp;")'!D:D"),
INDIRECT("'在庫使用計画 ("&amp;AW$1&amp;")'!I:I")
),"")</f>
        <v/>
      </c>
      <c r="AX77" s="74" t="str" cm="1">
        <f t="array" aca="1" ref="AX77" ca="1">IFERROR(_xlfn.XLOOKUP($C77,
INDIRECT("'在庫使用計画 ("&amp;AX$1&amp;")'!D:D"),
INDIRECT("'在庫使用計画 ("&amp;AX$1&amp;")'!I:I")
),"")</f>
        <v/>
      </c>
    </row>
    <row r="78" spans="1:50" s="21" customFormat="1" ht="18.600000000000001" customHeight="1">
      <c r="A78" s="71" t="s">
        <v>1419</v>
      </c>
      <c r="B78" s="26" t="s">
        <v>1431</v>
      </c>
      <c r="C78" s="25" t="s">
        <v>638</v>
      </c>
      <c r="D78" s="1032" t="e">
        <v>#REF!</v>
      </c>
      <c r="E78" s="25" t="s">
        <v>1432</v>
      </c>
      <c r="F78" s="26" t="s">
        <v>1423</v>
      </c>
      <c r="G78" s="24" t="s">
        <v>1372</v>
      </c>
      <c r="H78" s="38">
        <v>1</v>
      </c>
      <c r="I78" s="700" t="e">
        <v>#REF!</v>
      </c>
      <c r="J78" s="416" t="e">
        <v>#REF!</v>
      </c>
      <c r="K78" s="38">
        <v>180</v>
      </c>
      <c r="L78" s="38" t="s">
        <v>21</v>
      </c>
      <c r="M78" s="38" t="s">
        <v>21</v>
      </c>
      <c r="N78" s="38" t="s">
        <v>21</v>
      </c>
      <c r="O78" s="38" t="s">
        <v>21</v>
      </c>
      <c r="P78" s="38" t="s">
        <v>21</v>
      </c>
      <c r="Q78" s="38" t="s">
        <v>21</v>
      </c>
      <c r="R78" s="38">
        <v>0</v>
      </c>
      <c r="S78" s="38">
        <v>0</v>
      </c>
      <c r="T78" s="38">
        <v>0</v>
      </c>
      <c r="U78" s="38">
        <v>0</v>
      </c>
      <c r="V78" s="38">
        <v>0</v>
      </c>
      <c r="W78" s="38">
        <v>0</v>
      </c>
      <c r="X78" s="74">
        <v>0</v>
      </c>
      <c r="Y78" s="74">
        <v>0</v>
      </c>
      <c r="Z78" s="74">
        <v>0</v>
      </c>
      <c r="AA78" s="74">
        <v>0</v>
      </c>
      <c r="AB78" s="74">
        <v>0</v>
      </c>
      <c r="AC78" s="74">
        <v>0</v>
      </c>
      <c r="AD78" s="74">
        <v>0</v>
      </c>
      <c r="AE78" s="74">
        <v>0</v>
      </c>
      <c r="AF78" s="74">
        <v>0</v>
      </c>
      <c r="AG78" s="74">
        <v>0</v>
      </c>
      <c r="AH78" s="74">
        <v>0</v>
      </c>
      <c r="AI78" s="74">
        <v>0</v>
      </c>
      <c r="AJ78" s="74">
        <v>0</v>
      </c>
      <c r="AK78" s="74">
        <v>0</v>
      </c>
      <c r="AL78" s="74">
        <v>0</v>
      </c>
      <c r="AM78" s="74">
        <v>0</v>
      </c>
      <c r="AN78" s="74">
        <v>0</v>
      </c>
      <c r="AO78" s="74">
        <v>0</v>
      </c>
      <c r="AP78" s="74">
        <v>0</v>
      </c>
      <c r="AQ78" s="74">
        <v>0</v>
      </c>
      <c r="AR78" s="74">
        <v>0</v>
      </c>
      <c r="AS78" s="74">
        <v>0</v>
      </c>
      <c r="AT78" s="74">
        <v>0</v>
      </c>
      <c r="AU78" s="74">
        <v>0</v>
      </c>
      <c r="AV78" s="74" t="str" cm="1">
        <f t="array" aca="1" ref="AV78" ca="1">IFERROR(_xlfn.XLOOKUP($C78,
INDIRECT("'在庫使用計画 ("&amp;AV$1&amp;")'!D:D"),
INDIRECT("'在庫使用計画 ("&amp;AV$1&amp;")'!I:I")
),"")</f>
        <v/>
      </c>
      <c r="AW78" s="74" t="str" cm="1">
        <f t="array" aca="1" ref="AW78" ca="1">IFERROR(_xlfn.XLOOKUP($C78,
INDIRECT("'在庫使用計画 ("&amp;AW$1&amp;")'!D:D"),
INDIRECT("'在庫使用計画 ("&amp;AW$1&amp;")'!I:I")
),"")</f>
        <v/>
      </c>
      <c r="AX78" s="74" t="str" cm="1">
        <f t="array" aca="1" ref="AX78" ca="1">IFERROR(_xlfn.XLOOKUP($C78,
INDIRECT("'在庫使用計画 ("&amp;AX$1&amp;")'!D:D"),
INDIRECT("'在庫使用計画 ("&amp;AX$1&amp;")'!I:I")
),"")</f>
        <v/>
      </c>
    </row>
    <row r="79" spans="1:50" s="21" customFormat="1" ht="18.600000000000001" customHeight="1">
      <c r="A79" s="71" t="s">
        <v>1419</v>
      </c>
      <c r="B79" s="26" t="s">
        <v>634</v>
      </c>
      <c r="C79" s="25" t="s">
        <v>1433</v>
      </c>
      <c r="D79" s="1032" t="e">
        <v>#REF!</v>
      </c>
      <c r="E79" s="25" t="s">
        <v>1434</v>
      </c>
      <c r="F79" s="26" t="s">
        <v>1423</v>
      </c>
      <c r="G79" s="24" t="s">
        <v>1372</v>
      </c>
      <c r="H79" s="38">
        <v>244</v>
      </c>
      <c r="I79" s="700" t="e">
        <v>#REF!</v>
      </c>
      <c r="J79" s="416" t="e">
        <v>#REF!</v>
      </c>
      <c r="K79" s="38">
        <v>2339</v>
      </c>
      <c r="L79" s="38">
        <v>2342</v>
      </c>
      <c r="M79" s="38">
        <v>2643</v>
      </c>
      <c r="N79" s="38">
        <v>2643</v>
      </c>
      <c r="O79" s="38">
        <v>2558</v>
      </c>
      <c r="P79" s="38">
        <v>2558</v>
      </c>
      <c r="Q79" s="38">
        <v>2358</v>
      </c>
      <c r="R79" s="38">
        <v>2808</v>
      </c>
      <c r="S79" s="38">
        <v>2808</v>
      </c>
      <c r="T79" s="38">
        <v>2808</v>
      </c>
      <c r="U79" s="38">
        <v>2808</v>
      </c>
      <c r="V79" s="38">
        <v>2808</v>
      </c>
      <c r="W79" s="38">
        <v>2808</v>
      </c>
      <c r="X79" s="74">
        <v>3064</v>
      </c>
      <c r="Y79" s="74">
        <v>3064</v>
      </c>
      <c r="Z79" s="74">
        <v>3064</v>
      </c>
      <c r="AA79" s="74">
        <v>3064</v>
      </c>
      <c r="AB79" s="74">
        <v>2568</v>
      </c>
      <c r="AC79" s="74">
        <v>2568</v>
      </c>
      <c r="AD79" s="74">
        <v>2568</v>
      </c>
      <c r="AE79" s="74">
        <v>2568</v>
      </c>
      <c r="AF79" s="74">
        <v>2568</v>
      </c>
      <c r="AG79" s="74">
        <v>2568</v>
      </c>
      <c r="AH79" s="74">
        <v>2568</v>
      </c>
      <c r="AI79" s="74">
        <v>1839</v>
      </c>
      <c r="AJ79" s="74">
        <v>1839</v>
      </c>
      <c r="AK79" s="74">
        <v>1839</v>
      </c>
      <c r="AL79" s="74">
        <v>1539</v>
      </c>
      <c r="AM79" s="74">
        <v>1539</v>
      </c>
      <c r="AN79" s="74">
        <v>1539</v>
      </c>
      <c r="AO79" s="74">
        <v>1539</v>
      </c>
      <c r="AP79" s="74">
        <v>844</v>
      </c>
      <c r="AQ79" s="74">
        <v>944</v>
      </c>
      <c r="AR79" s="74">
        <v>944</v>
      </c>
      <c r="AS79" s="74">
        <v>944</v>
      </c>
      <c r="AT79" s="74">
        <v>944</v>
      </c>
      <c r="AU79" s="74">
        <v>944</v>
      </c>
      <c r="AV79" s="74" t="str" cm="1">
        <f t="array" aca="1" ref="AV79" ca="1">IFERROR(_xlfn.XLOOKUP($C79,
INDIRECT("'在庫使用計画 ("&amp;AV$1&amp;")'!D:D"),
INDIRECT("'在庫使用計画 ("&amp;AV$1&amp;")'!I:I")
),"")</f>
        <v/>
      </c>
      <c r="AW79" s="74" t="str" cm="1">
        <f t="array" aca="1" ref="AW79" ca="1">IFERROR(_xlfn.XLOOKUP($C79,
INDIRECT("'在庫使用計画 ("&amp;AW$1&amp;")'!D:D"),
INDIRECT("'在庫使用計画 ("&amp;AW$1&amp;")'!I:I")
),"")</f>
        <v/>
      </c>
      <c r="AX79" s="74" t="str" cm="1">
        <f t="array" aca="1" ref="AX79" ca="1">IFERROR(_xlfn.XLOOKUP($C79,
INDIRECT("'在庫使用計画 ("&amp;AX$1&amp;")'!D:D"),
INDIRECT("'在庫使用計画 ("&amp;AX$1&amp;")'!I:I")
),"")</f>
        <v/>
      </c>
    </row>
    <row r="80" spans="1:50" s="21" customFormat="1" ht="18.600000000000001" customHeight="1">
      <c r="A80" s="71" t="s">
        <v>1419</v>
      </c>
      <c r="B80" s="28" t="s">
        <v>1435</v>
      </c>
      <c r="C80" s="25" t="s">
        <v>1436</v>
      </c>
      <c r="D80" s="1032" t="e">
        <v>#REF!</v>
      </c>
      <c r="E80" s="24" t="s">
        <v>1434</v>
      </c>
      <c r="F80" s="26" t="s">
        <v>1423</v>
      </c>
      <c r="G80" s="24" t="s">
        <v>1347</v>
      </c>
      <c r="H80" s="38">
        <v>471</v>
      </c>
      <c r="I80" s="700" t="e">
        <v>#REF!</v>
      </c>
      <c r="J80" s="416" t="e">
        <v>#REF!</v>
      </c>
      <c r="K80" s="38" t="s">
        <v>21</v>
      </c>
      <c r="L80" s="38" t="s">
        <v>21</v>
      </c>
      <c r="M80" s="38" t="s">
        <v>21</v>
      </c>
      <c r="N80" s="38" t="s">
        <v>21</v>
      </c>
      <c r="O80" s="38" t="s">
        <v>21</v>
      </c>
      <c r="P80" s="38" t="s">
        <v>21</v>
      </c>
      <c r="Q80" s="38" t="s">
        <v>21</v>
      </c>
      <c r="R80" s="38">
        <v>0</v>
      </c>
      <c r="S80" s="38">
        <v>0</v>
      </c>
      <c r="T80" s="38">
        <v>420</v>
      </c>
      <c r="U80" s="38">
        <v>420</v>
      </c>
      <c r="V80" s="38">
        <v>420</v>
      </c>
      <c r="W80" s="38">
        <v>420</v>
      </c>
      <c r="X80" s="74">
        <v>420</v>
      </c>
      <c r="Y80" s="74">
        <v>420</v>
      </c>
      <c r="Z80" s="74">
        <v>420</v>
      </c>
      <c r="AA80" s="74">
        <v>420</v>
      </c>
      <c r="AB80" s="74">
        <v>1132</v>
      </c>
      <c r="AC80" s="74">
        <v>1132</v>
      </c>
      <c r="AD80" s="74">
        <v>1132</v>
      </c>
      <c r="AE80" s="74">
        <v>1132</v>
      </c>
      <c r="AF80" s="74">
        <v>1132</v>
      </c>
      <c r="AG80" s="74">
        <v>1132</v>
      </c>
      <c r="AH80" s="74">
        <v>1132</v>
      </c>
      <c r="AI80" s="74">
        <v>1844</v>
      </c>
      <c r="AJ80" s="74">
        <v>1844</v>
      </c>
      <c r="AK80" s="74">
        <v>1844</v>
      </c>
      <c r="AL80" s="74">
        <v>1524</v>
      </c>
      <c r="AM80" s="74">
        <v>1524</v>
      </c>
      <c r="AN80" s="74">
        <v>1524</v>
      </c>
      <c r="AO80" s="74">
        <v>1524</v>
      </c>
      <c r="AP80" s="74">
        <v>2103</v>
      </c>
      <c r="AQ80" s="74">
        <v>2003</v>
      </c>
      <c r="AR80" s="74">
        <v>1700</v>
      </c>
      <c r="AS80" s="74">
        <v>1700</v>
      </c>
      <c r="AT80" s="74">
        <v>1700</v>
      </c>
      <c r="AU80" s="74">
        <v>1700</v>
      </c>
      <c r="AV80" s="74" t="str" cm="1">
        <f t="array" aca="1" ref="AV80" ca="1">IFERROR(_xlfn.XLOOKUP($C80,
INDIRECT("'在庫使用計画 ("&amp;AV$1&amp;")'!D:D"),
INDIRECT("'在庫使用計画 ("&amp;AV$1&amp;")'!I:I")
),"")</f>
        <v/>
      </c>
      <c r="AW80" s="74" t="str" cm="1">
        <f t="array" aca="1" ref="AW80" ca="1">IFERROR(_xlfn.XLOOKUP($C80,
INDIRECT("'在庫使用計画 ("&amp;AW$1&amp;")'!D:D"),
INDIRECT("'在庫使用計画 ("&amp;AW$1&amp;")'!I:I")
),"")</f>
        <v/>
      </c>
      <c r="AX80" s="74" t="str" cm="1">
        <f t="array" aca="1" ref="AX80" ca="1">IFERROR(_xlfn.XLOOKUP($C80,
INDIRECT("'在庫使用計画 ("&amp;AX$1&amp;")'!D:D"),
INDIRECT("'在庫使用計画 ("&amp;AX$1&amp;")'!I:I")
),"")</f>
        <v/>
      </c>
    </row>
    <row r="81" spans="1:50" s="21" customFormat="1" ht="18.600000000000001" customHeight="1">
      <c r="A81" s="71" t="s">
        <v>1419</v>
      </c>
      <c r="B81" s="26" t="s">
        <v>670</v>
      </c>
      <c r="C81" s="25" t="s">
        <v>1437</v>
      </c>
      <c r="D81" s="1032" t="e">
        <v>#REF!</v>
      </c>
      <c r="E81" s="24" t="s">
        <v>1438</v>
      </c>
      <c r="F81" s="24" t="s">
        <v>1423</v>
      </c>
      <c r="G81" s="24" t="s">
        <v>1372</v>
      </c>
      <c r="H81" s="38">
        <v>833</v>
      </c>
      <c r="I81" s="700" t="e">
        <v>#REF!</v>
      </c>
      <c r="J81" s="416" t="e">
        <v>#REF!</v>
      </c>
      <c r="K81" s="38">
        <v>866</v>
      </c>
      <c r="L81" s="38">
        <v>1010</v>
      </c>
      <c r="M81" s="38">
        <v>1010</v>
      </c>
      <c r="N81" s="38">
        <v>1010</v>
      </c>
      <c r="O81" s="38">
        <v>1105</v>
      </c>
      <c r="P81" s="38">
        <v>1105</v>
      </c>
      <c r="Q81" s="38">
        <v>1105</v>
      </c>
      <c r="R81" s="38">
        <v>1105</v>
      </c>
      <c r="S81" s="38">
        <v>1105</v>
      </c>
      <c r="T81" s="38">
        <v>1050</v>
      </c>
      <c r="U81" s="38">
        <v>1050</v>
      </c>
      <c r="V81" s="38">
        <v>1050</v>
      </c>
      <c r="W81" s="38">
        <v>1050</v>
      </c>
      <c r="X81" s="74">
        <v>1080</v>
      </c>
      <c r="Y81" s="74">
        <v>1080</v>
      </c>
      <c r="Z81" s="74">
        <v>1080</v>
      </c>
      <c r="AA81" s="74">
        <v>1080</v>
      </c>
      <c r="AB81" s="74">
        <v>945</v>
      </c>
      <c r="AC81" s="74">
        <v>945</v>
      </c>
      <c r="AD81" s="74">
        <v>945</v>
      </c>
      <c r="AE81" s="74">
        <v>945</v>
      </c>
      <c r="AF81" s="74">
        <v>945</v>
      </c>
      <c r="AG81" s="74">
        <v>945</v>
      </c>
      <c r="AH81" s="74">
        <v>945</v>
      </c>
      <c r="AI81" s="74">
        <v>650</v>
      </c>
      <c r="AJ81" s="74">
        <v>650</v>
      </c>
      <c r="AK81" s="74">
        <v>650</v>
      </c>
      <c r="AL81" s="74">
        <v>830</v>
      </c>
      <c r="AM81" s="74">
        <v>830</v>
      </c>
      <c r="AN81" s="74">
        <v>830</v>
      </c>
      <c r="AO81" s="74">
        <v>830</v>
      </c>
      <c r="AP81" s="74">
        <v>680</v>
      </c>
      <c r="AQ81" s="74">
        <v>0</v>
      </c>
      <c r="AR81" s="74">
        <v>0</v>
      </c>
      <c r="AS81" s="74">
        <v>0</v>
      </c>
      <c r="AT81" s="74">
        <v>0</v>
      </c>
      <c r="AU81" s="74">
        <v>0</v>
      </c>
      <c r="AV81" s="74" t="str" cm="1">
        <f t="array" aca="1" ref="AV81" ca="1">IFERROR(_xlfn.XLOOKUP($C81,
INDIRECT("'在庫使用計画 ("&amp;AV$1&amp;")'!D:D"),
INDIRECT("'在庫使用計画 ("&amp;AV$1&amp;")'!I:I")
),"")</f>
        <v/>
      </c>
      <c r="AW81" s="74" t="str" cm="1">
        <f t="array" aca="1" ref="AW81" ca="1">IFERROR(_xlfn.XLOOKUP($C81,
INDIRECT("'在庫使用計画 ("&amp;AW$1&amp;")'!D:D"),
INDIRECT("'在庫使用計画 ("&amp;AW$1&amp;")'!I:I")
),"")</f>
        <v/>
      </c>
      <c r="AX81" s="74" t="str" cm="1">
        <f t="array" aca="1" ref="AX81" ca="1">IFERROR(_xlfn.XLOOKUP($C81,
INDIRECT("'在庫使用計画 ("&amp;AX$1&amp;")'!D:D"),
INDIRECT("'在庫使用計画 ("&amp;AX$1&amp;")'!I:I")
),"")</f>
        <v/>
      </c>
    </row>
    <row r="82" spans="1:50" s="21" customFormat="1" ht="18.600000000000001" customHeight="1">
      <c r="A82" s="71" t="s">
        <v>1419</v>
      </c>
      <c r="B82" s="26" t="s">
        <v>670</v>
      </c>
      <c r="C82" s="25" t="s">
        <v>668</v>
      </c>
      <c r="D82" s="1032" t="e">
        <v>#REF!</v>
      </c>
      <c r="E82" s="24" t="s">
        <v>1438</v>
      </c>
      <c r="F82" s="24" t="s">
        <v>1423</v>
      </c>
      <c r="G82" s="24" t="s">
        <v>1372</v>
      </c>
      <c r="H82" s="38">
        <v>45</v>
      </c>
      <c r="I82" s="700" t="e">
        <v>#REF!</v>
      </c>
      <c r="J82" s="416" t="e">
        <v>#REF!</v>
      </c>
      <c r="K82" s="38">
        <v>866</v>
      </c>
      <c r="L82" s="38">
        <v>1010</v>
      </c>
      <c r="M82" s="38">
        <v>1010</v>
      </c>
      <c r="N82" s="38">
        <v>1010</v>
      </c>
      <c r="O82" s="38">
        <v>1105</v>
      </c>
      <c r="P82" s="38">
        <v>1105</v>
      </c>
      <c r="Q82" s="38">
        <v>1105</v>
      </c>
      <c r="R82" s="38">
        <v>1105</v>
      </c>
      <c r="S82" s="38">
        <v>1105</v>
      </c>
      <c r="T82" s="38">
        <v>1050</v>
      </c>
      <c r="U82" s="38">
        <v>1050</v>
      </c>
      <c r="V82" s="38">
        <v>1050</v>
      </c>
      <c r="W82" s="38">
        <v>1050</v>
      </c>
      <c r="X82" s="74">
        <v>1080</v>
      </c>
      <c r="Y82" s="74">
        <v>1080</v>
      </c>
      <c r="Z82" s="74">
        <v>1080</v>
      </c>
      <c r="AA82" s="74">
        <v>1080</v>
      </c>
      <c r="AB82" s="74">
        <v>945</v>
      </c>
      <c r="AC82" s="74">
        <v>945</v>
      </c>
      <c r="AD82" s="74">
        <v>945</v>
      </c>
      <c r="AE82" s="74">
        <v>945</v>
      </c>
      <c r="AF82" s="74">
        <v>945</v>
      </c>
      <c r="AG82" s="74">
        <v>945</v>
      </c>
      <c r="AH82" s="74">
        <v>945</v>
      </c>
      <c r="AI82" s="74">
        <v>650</v>
      </c>
      <c r="AJ82" s="74">
        <v>650</v>
      </c>
      <c r="AK82" s="74">
        <v>650</v>
      </c>
      <c r="AL82" s="74">
        <v>830</v>
      </c>
      <c r="AM82" s="74">
        <v>830</v>
      </c>
      <c r="AN82" s="74">
        <v>830</v>
      </c>
      <c r="AO82" s="74">
        <v>830</v>
      </c>
      <c r="AP82" s="74">
        <v>680</v>
      </c>
      <c r="AQ82" s="74">
        <v>750</v>
      </c>
      <c r="AR82" s="74">
        <v>340</v>
      </c>
      <c r="AS82" s="74">
        <v>340</v>
      </c>
      <c r="AT82" s="74">
        <v>340</v>
      </c>
      <c r="AU82" s="74">
        <v>340</v>
      </c>
      <c r="AV82" s="74" t="str" cm="1">
        <f t="array" aca="1" ref="AV82" ca="1">IFERROR(_xlfn.XLOOKUP($C82,
INDIRECT("'在庫使用計画 ("&amp;AV$1&amp;")'!D:D"),
INDIRECT("'在庫使用計画 ("&amp;AV$1&amp;")'!I:I")
),"")</f>
        <v/>
      </c>
      <c r="AW82" s="74" t="str" cm="1">
        <f t="array" aca="1" ref="AW82" ca="1">IFERROR(_xlfn.XLOOKUP($C82,
INDIRECT("'在庫使用計画 ("&amp;AW$1&amp;")'!D:D"),
INDIRECT("'在庫使用計画 ("&amp;AW$1&amp;")'!I:I")
),"")</f>
        <v/>
      </c>
      <c r="AX82" s="74" t="str" cm="1">
        <f t="array" aca="1" ref="AX82" ca="1">IFERROR(_xlfn.XLOOKUP($C82,
INDIRECT("'在庫使用計画 ("&amp;AX$1&amp;")'!D:D"),
INDIRECT("'在庫使用計画 ("&amp;AX$1&amp;")'!I:I")
),"")</f>
        <v/>
      </c>
    </row>
    <row r="83" spans="1:50" s="21" customFormat="1" ht="18.600000000000001" customHeight="1">
      <c r="A83" s="71" t="s">
        <v>1419</v>
      </c>
      <c r="B83" s="28" t="s">
        <v>1439</v>
      </c>
      <c r="C83" s="25" t="s">
        <v>1440</v>
      </c>
      <c r="D83" s="1032" t="e">
        <v>#REF!</v>
      </c>
      <c r="E83" s="24" t="s">
        <v>1441</v>
      </c>
      <c r="F83" s="26" t="s">
        <v>1423</v>
      </c>
      <c r="G83" s="24" t="s">
        <v>1347</v>
      </c>
      <c r="H83" s="38">
        <v>442</v>
      </c>
      <c r="I83" s="700" t="e">
        <v>#REF!</v>
      </c>
      <c r="J83" s="416" t="e">
        <v>#REF!</v>
      </c>
      <c r="K83" s="38" t="s">
        <v>21</v>
      </c>
      <c r="L83" s="38" t="s">
        <v>21</v>
      </c>
      <c r="M83" s="38" t="s">
        <v>21</v>
      </c>
      <c r="N83" s="38" t="s">
        <v>21</v>
      </c>
      <c r="O83" s="38" t="s">
        <v>21</v>
      </c>
      <c r="P83" s="38" t="s">
        <v>21</v>
      </c>
      <c r="Q83" s="38" t="s">
        <v>21</v>
      </c>
      <c r="R83" s="38">
        <v>0</v>
      </c>
      <c r="S83" s="38">
        <v>0</v>
      </c>
      <c r="T83" s="38">
        <v>50</v>
      </c>
      <c r="U83" s="38">
        <v>50</v>
      </c>
      <c r="V83" s="38">
        <v>50</v>
      </c>
      <c r="W83" s="38">
        <v>50</v>
      </c>
      <c r="X83" s="74">
        <v>0</v>
      </c>
      <c r="Y83" s="74">
        <v>0</v>
      </c>
      <c r="Z83" s="74">
        <v>0</v>
      </c>
      <c r="AA83" s="74">
        <v>0</v>
      </c>
      <c r="AB83" s="74">
        <v>310</v>
      </c>
      <c r="AC83" s="74">
        <v>310</v>
      </c>
      <c r="AD83" s="74">
        <v>310</v>
      </c>
      <c r="AE83" s="74">
        <v>310</v>
      </c>
      <c r="AF83" s="74">
        <v>310</v>
      </c>
      <c r="AG83" s="74">
        <v>310</v>
      </c>
      <c r="AH83" s="74">
        <v>310</v>
      </c>
      <c r="AI83" s="74">
        <v>501</v>
      </c>
      <c r="AJ83" s="74">
        <v>501</v>
      </c>
      <c r="AK83" s="74">
        <v>501</v>
      </c>
      <c r="AL83" s="74">
        <v>110</v>
      </c>
      <c r="AM83" s="74">
        <v>110</v>
      </c>
      <c r="AN83" s="74">
        <v>110</v>
      </c>
      <c r="AO83" s="74">
        <v>110</v>
      </c>
      <c r="AP83" s="74">
        <v>130</v>
      </c>
      <c r="AQ83" s="74">
        <v>130</v>
      </c>
      <c r="AR83" s="74">
        <v>80</v>
      </c>
      <c r="AS83" s="74">
        <v>80</v>
      </c>
      <c r="AT83" s="74">
        <v>80</v>
      </c>
      <c r="AU83" s="74">
        <v>80</v>
      </c>
      <c r="AV83" s="74" t="str" cm="1">
        <f t="array" aca="1" ref="AV83" ca="1">IFERROR(_xlfn.XLOOKUP($C83,
INDIRECT("'在庫使用計画 ("&amp;AV$1&amp;")'!D:D"),
INDIRECT("'在庫使用計画 ("&amp;AV$1&amp;")'!I:I")
),"")</f>
        <v/>
      </c>
      <c r="AW83" s="74" t="str" cm="1">
        <f t="array" aca="1" ref="AW83" ca="1">IFERROR(_xlfn.XLOOKUP($C83,
INDIRECT("'在庫使用計画 ("&amp;AW$1&amp;")'!D:D"),
INDIRECT("'在庫使用計画 ("&amp;AW$1&amp;")'!I:I")
),"")</f>
        <v/>
      </c>
      <c r="AX83" s="74" t="str" cm="1">
        <f t="array" aca="1" ref="AX83" ca="1">IFERROR(_xlfn.XLOOKUP($C83,
INDIRECT("'在庫使用計画 ("&amp;AX$1&amp;")'!D:D"),
INDIRECT("'在庫使用計画 ("&amp;AX$1&amp;")'!I:I")
),"")</f>
        <v/>
      </c>
    </row>
    <row r="84" spans="1:50" s="21" customFormat="1" ht="18.600000000000001" customHeight="1">
      <c r="A84" s="32"/>
      <c r="B84" s="26"/>
      <c r="C84" s="24"/>
      <c r="D84" s="1032" t="str">
        <v/>
      </c>
      <c r="E84" s="25"/>
      <c r="F84" s="24"/>
      <c r="G84" s="24"/>
      <c r="H84" s="38" t="str">
        <v/>
      </c>
      <c r="I84" s="700" t="str">
        <v/>
      </c>
      <c r="J84" s="416" t="str">
        <v/>
      </c>
      <c r="K84" s="38" t="s">
        <v>21</v>
      </c>
      <c r="L84" s="38" t="s">
        <v>21</v>
      </c>
      <c r="M84" s="38" t="s">
        <v>21</v>
      </c>
      <c r="N84" s="38" t="s">
        <v>21</v>
      </c>
      <c r="O84" s="38" t="s">
        <v>21</v>
      </c>
      <c r="P84" s="38" t="s">
        <v>21</v>
      </c>
      <c r="Q84" s="38" t="s">
        <v>21</v>
      </c>
      <c r="R84" s="38" t="s">
        <v>21</v>
      </c>
      <c r="S84" s="38" t="s">
        <v>21</v>
      </c>
      <c r="T84" s="38" t="s">
        <v>21</v>
      </c>
      <c r="U84" s="38" t="s">
        <v>21</v>
      </c>
      <c r="V84" s="38" t="s">
        <v>21</v>
      </c>
      <c r="W84" s="38" t="s">
        <v>21</v>
      </c>
      <c r="X84" s="74" t="s">
        <v>21</v>
      </c>
      <c r="Y84" s="74" t="s">
        <v>21</v>
      </c>
      <c r="Z84" s="74" t="s">
        <v>21</v>
      </c>
      <c r="AA84" s="74" t="s">
        <v>21</v>
      </c>
      <c r="AB84" s="74" t="s">
        <v>21</v>
      </c>
      <c r="AC84" s="74" t="s">
        <v>21</v>
      </c>
      <c r="AD84" s="74" t="s">
        <v>21</v>
      </c>
      <c r="AE84" s="74" t="s">
        <v>21</v>
      </c>
      <c r="AF84" s="74" t="s">
        <v>21</v>
      </c>
      <c r="AG84" s="74" t="s">
        <v>21</v>
      </c>
      <c r="AH84" s="74" t="s">
        <v>21</v>
      </c>
      <c r="AI84" s="74" t="s">
        <v>21</v>
      </c>
      <c r="AJ84" s="74" t="s">
        <v>21</v>
      </c>
      <c r="AK84" s="74" t="s">
        <v>21</v>
      </c>
      <c r="AL84" s="74" t="s">
        <v>21</v>
      </c>
      <c r="AM84" s="74" t="s">
        <v>21</v>
      </c>
      <c r="AN84" s="74" t="s">
        <v>21</v>
      </c>
      <c r="AO84" s="74" t="s">
        <v>21</v>
      </c>
      <c r="AP84" s="74" t="s">
        <v>21</v>
      </c>
      <c r="AQ84" s="74" t="s">
        <v>21</v>
      </c>
      <c r="AR84" s="74" t="s">
        <v>21</v>
      </c>
      <c r="AS84" s="74" t="s">
        <v>21</v>
      </c>
      <c r="AT84" s="74" t="s">
        <v>21</v>
      </c>
      <c r="AU84" s="74" t="s">
        <v>21</v>
      </c>
      <c r="AV84" s="74" t="str" cm="1">
        <f t="array" aca="1" ref="AV84" ca="1">IFERROR(_xlfn.XLOOKUP($C84,
INDIRECT("'在庫使用計画 ("&amp;AV$1&amp;")'!D:D"),
INDIRECT("'在庫使用計画 ("&amp;AV$1&amp;")'!I:I")
),"")</f>
        <v/>
      </c>
      <c r="AW84" s="74" t="str" cm="1">
        <f t="array" aca="1" ref="AW84" ca="1">IFERROR(_xlfn.XLOOKUP($C84,
INDIRECT("'在庫使用計画 ("&amp;AW$1&amp;")'!D:D"),
INDIRECT("'在庫使用計画 ("&amp;AW$1&amp;")'!I:I")
),"")</f>
        <v/>
      </c>
      <c r="AX84" s="74" t="str" cm="1">
        <f t="array" aca="1" ref="AX84" ca="1">IFERROR(_xlfn.XLOOKUP($C84,
INDIRECT("'在庫使用計画 ("&amp;AX$1&amp;")'!D:D"),
INDIRECT("'在庫使用計画 ("&amp;AX$1&amp;")'!I:I")
),"")</f>
        <v/>
      </c>
    </row>
    <row r="85" spans="1:50" s="21" customFormat="1" ht="18.600000000000001" customHeight="1">
      <c r="A85" s="124" t="s">
        <v>1442</v>
      </c>
      <c r="B85" s="300" t="s">
        <v>726</v>
      </c>
      <c r="C85" s="194" t="s">
        <v>1443</v>
      </c>
      <c r="D85" s="1032" t="e">
        <v>#REF!</v>
      </c>
      <c r="E85" s="194" t="s">
        <v>1409</v>
      </c>
      <c r="F85" s="68" t="s">
        <v>1410</v>
      </c>
      <c r="G85" s="195" t="s">
        <v>1324</v>
      </c>
      <c r="H85" s="38">
        <v>62</v>
      </c>
      <c r="I85" s="700" t="e">
        <v>#REF!</v>
      </c>
      <c r="J85" s="416" t="e">
        <v>#REF!</v>
      </c>
      <c r="K85" s="38">
        <v>370</v>
      </c>
      <c r="L85" s="38">
        <v>317</v>
      </c>
      <c r="M85" s="38">
        <v>329</v>
      </c>
      <c r="N85" s="38">
        <v>329</v>
      </c>
      <c r="O85" s="38">
        <v>469</v>
      </c>
      <c r="P85" s="38">
        <v>469</v>
      </c>
      <c r="Q85" s="38">
        <v>469</v>
      </c>
      <c r="R85" s="38">
        <v>469</v>
      </c>
      <c r="S85" s="38">
        <v>469</v>
      </c>
      <c r="T85" s="38">
        <v>456</v>
      </c>
      <c r="U85" s="38">
        <v>456</v>
      </c>
      <c r="V85" s="38">
        <v>456</v>
      </c>
      <c r="W85" s="38">
        <v>456</v>
      </c>
      <c r="X85" s="74">
        <v>456</v>
      </c>
      <c r="Y85" s="74">
        <v>456</v>
      </c>
      <c r="Z85" s="74">
        <v>456</v>
      </c>
      <c r="AA85" s="74">
        <v>456</v>
      </c>
      <c r="AB85" s="74">
        <v>440</v>
      </c>
      <c r="AC85" s="74">
        <v>440</v>
      </c>
      <c r="AD85" s="74">
        <v>440</v>
      </c>
      <c r="AE85" s="74">
        <v>440</v>
      </c>
      <c r="AF85" s="74">
        <v>440</v>
      </c>
      <c r="AG85" s="74">
        <v>440</v>
      </c>
      <c r="AH85" s="74">
        <v>440</v>
      </c>
      <c r="AI85" s="74">
        <v>340</v>
      </c>
      <c r="AJ85" s="74">
        <v>340</v>
      </c>
      <c r="AK85" s="74">
        <v>340</v>
      </c>
      <c r="AL85" s="74">
        <v>340</v>
      </c>
      <c r="AM85" s="74">
        <v>340</v>
      </c>
      <c r="AN85" s="74">
        <v>580</v>
      </c>
      <c r="AO85" s="74">
        <v>580</v>
      </c>
      <c r="AP85" s="74">
        <v>510</v>
      </c>
      <c r="AQ85" s="74">
        <v>600</v>
      </c>
      <c r="AR85" s="74">
        <v>600</v>
      </c>
      <c r="AS85" s="74">
        <v>600</v>
      </c>
      <c r="AT85" s="74">
        <v>600</v>
      </c>
      <c r="AU85" s="74">
        <v>600</v>
      </c>
      <c r="AV85" s="74" t="str" cm="1">
        <f t="array" aca="1" ref="AV85" ca="1">IFERROR(_xlfn.XLOOKUP($C85,
INDIRECT("'在庫使用計画 ("&amp;AV$1&amp;")'!D:D"),
INDIRECT("'在庫使用計画 ("&amp;AV$1&amp;")'!I:I")
),"")</f>
        <v/>
      </c>
      <c r="AW85" s="74" t="str" cm="1">
        <f t="array" aca="1" ref="AW85" ca="1">IFERROR(_xlfn.XLOOKUP($C85,
INDIRECT("'在庫使用計画 ("&amp;AW$1&amp;")'!D:D"),
INDIRECT("'在庫使用計画 ("&amp;AW$1&amp;")'!I:I")
),"")</f>
        <v/>
      </c>
      <c r="AX85" s="74" t="str" cm="1">
        <f t="array" aca="1" ref="AX85" ca="1">IFERROR(_xlfn.XLOOKUP($C85,
INDIRECT("'在庫使用計画 ("&amp;AX$1&amp;")'!D:D"),
INDIRECT("'在庫使用計画 ("&amp;AX$1&amp;")'!I:I")
),"")</f>
        <v/>
      </c>
    </row>
    <row r="86" spans="1:50" s="21" customFormat="1" ht="18.600000000000001" customHeight="1">
      <c r="A86" s="124" t="s">
        <v>1442</v>
      </c>
      <c r="B86" s="300" t="s">
        <v>779</v>
      </c>
      <c r="C86" s="194" t="s">
        <v>1444</v>
      </c>
      <c r="D86" s="1032" t="e">
        <v>#REF!</v>
      </c>
      <c r="E86" s="194" t="s">
        <v>1412</v>
      </c>
      <c r="F86" s="68" t="s">
        <v>1410</v>
      </c>
      <c r="G86" s="195" t="s">
        <v>1324</v>
      </c>
      <c r="H86" s="38">
        <v>0</v>
      </c>
      <c r="I86" s="700" t="e">
        <v>#REF!</v>
      </c>
      <c r="J86" s="416" t="e">
        <v>#REF!</v>
      </c>
      <c r="K86" s="38">
        <v>139</v>
      </c>
      <c r="L86" s="38">
        <v>138</v>
      </c>
      <c r="M86" s="38">
        <v>138</v>
      </c>
      <c r="N86" s="38">
        <v>138</v>
      </c>
      <c r="O86" s="38">
        <v>138</v>
      </c>
      <c r="P86" s="38">
        <v>138</v>
      </c>
      <c r="Q86" s="38">
        <v>138</v>
      </c>
      <c r="R86" s="38">
        <v>138</v>
      </c>
      <c r="S86" s="38">
        <v>138</v>
      </c>
      <c r="T86" s="38">
        <v>113</v>
      </c>
      <c r="U86" s="38">
        <v>113</v>
      </c>
      <c r="V86" s="38">
        <v>113</v>
      </c>
      <c r="W86" s="38">
        <v>113</v>
      </c>
      <c r="X86" s="74">
        <v>113</v>
      </c>
      <c r="Y86" s="74">
        <v>113</v>
      </c>
      <c r="Z86" s="74">
        <v>113</v>
      </c>
      <c r="AA86" s="74">
        <v>113</v>
      </c>
      <c r="AB86" s="74">
        <v>83</v>
      </c>
      <c r="AC86" s="74">
        <v>83</v>
      </c>
      <c r="AD86" s="74">
        <v>83</v>
      </c>
      <c r="AE86" s="74">
        <v>83</v>
      </c>
      <c r="AF86" s="74">
        <v>83</v>
      </c>
      <c r="AG86" s="74">
        <v>83</v>
      </c>
      <c r="AH86" s="74">
        <v>83</v>
      </c>
      <c r="AI86" s="74">
        <v>47</v>
      </c>
      <c r="AJ86" s="74">
        <v>47</v>
      </c>
      <c r="AK86" s="74">
        <v>47</v>
      </c>
      <c r="AL86" s="74">
        <v>37</v>
      </c>
      <c r="AM86" s="74">
        <v>37</v>
      </c>
      <c r="AN86" s="74">
        <v>37</v>
      </c>
      <c r="AO86" s="74">
        <v>37</v>
      </c>
      <c r="AP86" s="74">
        <v>0</v>
      </c>
      <c r="AQ86" s="74">
        <v>0</v>
      </c>
      <c r="AR86" s="74">
        <v>0</v>
      </c>
      <c r="AS86" s="74">
        <v>0</v>
      </c>
      <c r="AT86" s="74">
        <v>0</v>
      </c>
      <c r="AU86" s="74">
        <v>0</v>
      </c>
      <c r="AV86" s="74" t="str" cm="1">
        <f t="array" aca="1" ref="AV86" ca="1">IFERROR(_xlfn.XLOOKUP($C86,
INDIRECT("'在庫使用計画 ("&amp;AV$1&amp;")'!D:D"),
INDIRECT("'在庫使用計画 ("&amp;AV$1&amp;")'!I:I")
),"")</f>
        <v/>
      </c>
      <c r="AW86" s="74" t="str" cm="1">
        <f t="array" aca="1" ref="AW86" ca="1">IFERROR(_xlfn.XLOOKUP($C86,
INDIRECT("'在庫使用計画 ("&amp;AW$1&amp;")'!D:D"),
INDIRECT("'在庫使用計画 ("&amp;AW$1&amp;")'!I:I")
),"")</f>
        <v/>
      </c>
      <c r="AX86" s="74" t="str" cm="1">
        <f t="array" aca="1" ref="AX86" ca="1">IFERROR(_xlfn.XLOOKUP($C86,
INDIRECT("'在庫使用計画 ("&amp;AX$1&amp;")'!D:D"),
INDIRECT("'在庫使用計画 ("&amp;AX$1&amp;")'!I:I")
),"")</f>
        <v/>
      </c>
    </row>
    <row r="87" spans="1:50" s="21" customFormat="1" ht="18.600000000000001" customHeight="1">
      <c r="A87" s="124" t="s">
        <v>1442</v>
      </c>
      <c r="B87" s="300" t="s">
        <v>783</v>
      </c>
      <c r="C87" s="194" t="s">
        <v>1445</v>
      </c>
      <c r="D87" s="1032" t="e">
        <v>#REF!</v>
      </c>
      <c r="E87" s="194" t="s">
        <v>1446</v>
      </c>
      <c r="F87" s="68" t="s">
        <v>1410</v>
      </c>
      <c r="G87" s="195" t="s">
        <v>1324</v>
      </c>
      <c r="H87" s="38">
        <v>625</v>
      </c>
      <c r="I87" s="700" t="e">
        <v>#REF!</v>
      </c>
      <c r="J87" s="416" t="e">
        <v>#REF!</v>
      </c>
      <c r="K87" s="38">
        <v>578</v>
      </c>
      <c r="L87" s="38">
        <v>572</v>
      </c>
      <c r="M87" s="38">
        <v>467</v>
      </c>
      <c r="N87" s="38">
        <v>467</v>
      </c>
      <c r="O87" s="38">
        <v>527</v>
      </c>
      <c r="P87" s="38">
        <v>527</v>
      </c>
      <c r="Q87" s="38">
        <v>527</v>
      </c>
      <c r="R87" s="38">
        <v>527</v>
      </c>
      <c r="S87" s="38">
        <v>527</v>
      </c>
      <c r="T87" s="38">
        <v>557</v>
      </c>
      <c r="U87" s="38">
        <v>557</v>
      </c>
      <c r="V87" s="38">
        <v>557</v>
      </c>
      <c r="W87" s="38">
        <v>557</v>
      </c>
      <c r="X87" s="74">
        <v>431</v>
      </c>
      <c r="Y87" s="74">
        <v>431</v>
      </c>
      <c r="Z87" s="74">
        <v>431</v>
      </c>
      <c r="AA87" s="74">
        <v>431</v>
      </c>
      <c r="AB87" s="74">
        <v>536</v>
      </c>
      <c r="AC87" s="74">
        <v>536</v>
      </c>
      <c r="AD87" s="74">
        <v>536</v>
      </c>
      <c r="AE87" s="74">
        <v>536</v>
      </c>
      <c r="AF87" s="74">
        <v>536</v>
      </c>
      <c r="AG87" s="74">
        <v>536</v>
      </c>
      <c r="AH87" s="74">
        <v>536</v>
      </c>
      <c r="AI87" s="74">
        <v>463</v>
      </c>
      <c r="AJ87" s="74">
        <v>463</v>
      </c>
      <c r="AK87" s="74">
        <v>463</v>
      </c>
      <c r="AL87" s="74">
        <v>463</v>
      </c>
      <c r="AM87" s="74">
        <v>463</v>
      </c>
      <c r="AN87" s="74">
        <v>693</v>
      </c>
      <c r="AO87" s="74">
        <v>693</v>
      </c>
      <c r="AP87" s="74">
        <v>760</v>
      </c>
      <c r="AQ87" s="74">
        <v>698</v>
      </c>
      <c r="AR87" s="74">
        <v>698</v>
      </c>
      <c r="AS87" s="74">
        <v>698</v>
      </c>
      <c r="AT87" s="74">
        <v>698</v>
      </c>
      <c r="AU87" s="74">
        <v>698</v>
      </c>
      <c r="AV87" s="74" t="str" cm="1">
        <f t="array" aca="1" ref="AV87" ca="1">IFERROR(_xlfn.XLOOKUP($C87,
INDIRECT("'在庫使用計画 ("&amp;AV$1&amp;")'!D:D"),
INDIRECT("'在庫使用計画 ("&amp;AV$1&amp;")'!I:I")
),"")</f>
        <v/>
      </c>
      <c r="AW87" s="74" t="str" cm="1">
        <f t="array" aca="1" ref="AW87" ca="1">IFERROR(_xlfn.XLOOKUP($C87,
INDIRECT("'在庫使用計画 ("&amp;AW$1&amp;")'!D:D"),
INDIRECT("'在庫使用計画 ("&amp;AW$1&amp;")'!I:I")
),"")</f>
        <v/>
      </c>
      <c r="AX87" s="74" t="str" cm="1">
        <f t="array" aca="1" ref="AX87" ca="1">IFERROR(_xlfn.XLOOKUP($C87,
INDIRECT("'在庫使用計画 ("&amp;AX$1&amp;")'!D:D"),
INDIRECT("'在庫使用計画 ("&amp;AX$1&amp;")'!I:I")
),"")</f>
        <v/>
      </c>
    </row>
    <row r="88" spans="1:50" s="70" customFormat="1" ht="18.600000000000001" customHeight="1">
      <c r="A88" s="124" t="s">
        <v>1442</v>
      </c>
      <c r="B88" s="1126" t="s">
        <v>1447</v>
      </c>
      <c r="C88" s="717" t="s">
        <v>718</v>
      </c>
      <c r="D88" s="1034" t="e">
        <v>#REF!</v>
      </c>
      <c r="E88" s="305" t="s">
        <v>1448</v>
      </c>
      <c r="F88" s="304" t="s">
        <v>438</v>
      </c>
      <c r="G88" s="68"/>
      <c r="H88" s="38">
        <v>1001</v>
      </c>
      <c r="I88" s="700" t="e">
        <v>#REF!</v>
      </c>
      <c r="J88" s="416" t="e">
        <v>#REF!</v>
      </c>
      <c r="K88" s="38" t="s">
        <v>21</v>
      </c>
      <c r="L88" s="38" t="s">
        <v>21</v>
      </c>
      <c r="M88" s="38"/>
      <c r="N88" s="38"/>
      <c r="O88" s="38"/>
      <c r="P88" s="38"/>
      <c r="Q88" s="38"/>
      <c r="R88" s="38" t="s">
        <v>21</v>
      </c>
      <c r="S88" s="38" t="s">
        <v>21</v>
      </c>
      <c r="T88" s="38" t="s">
        <v>21</v>
      </c>
      <c r="U88" s="38" t="s">
        <v>21</v>
      </c>
      <c r="V88" s="38">
        <v>25</v>
      </c>
      <c r="W88" s="38">
        <v>35</v>
      </c>
      <c r="X88" s="74">
        <v>35</v>
      </c>
      <c r="Y88" s="74">
        <v>35</v>
      </c>
      <c r="Z88" s="74">
        <v>35</v>
      </c>
      <c r="AA88" s="74">
        <v>35</v>
      </c>
      <c r="AB88" s="74">
        <v>95</v>
      </c>
      <c r="AC88" s="74">
        <v>95</v>
      </c>
      <c r="AD88" s="74">
        <v>95</v>
      </c>
      <c r="AE88" s="74">
        <v>95</v>
      </c>
      <c r="AF88" s="74">
        <v>95</v>
      </c>
      <c r="AG88" s="74">
        <v>95</v>
      </c>
      <c r="AH88" s="74">
        <v>95</v>
      </c>
      <c r="AI88" s="74">
        <v>145</v>
      </c>
      <c r="AJ88" s="74">
        <v>145</v>
      </c>
      <c r="AK88" s="74">
        <v>145</v>
      </c>
      <c r="AL88" s="74">
        <v>145</v>
      </c>
      <c r="AM88" s="74">
        <v>145</v>
      </c>
      <c r="AN88" s="74">
        <v>145</v>
      </c>
      <c r="AO88" s="74">
        <v>145</v>
      </c>
      <c r="AP88" s="74">
        <v>225</v>
      </c>
      <c r="AQ88" s="74">
        <v>275</v>
      </c>
      <c r="AR88" s="74">
        <v>275</v>
      </c>
      <c r="AS88" s="74">
        <v>275</v>
      </c>
      <c r="AT88" s="74">
        <v>275</v>
      </c>
      <c r="AU88" s="74">
        <v>275</v>
      </c>
      <c r="AV88" s="74" t="str" cm="1">
        <f t="array" aca="1" ref="AV88" ca="1">IFERROR(_xlfn.XLOOKUP($C88,
INDIRECT("'在庫使用計画 ("&amp;AV$1&amp;")'!D:D"),
INDIRECT("'在庫使用計画 ("&amp;AV$1&amp;")'!I:I")
),"")</f>
        <v/>
      </c>
      <c r="AW88" s="74" t="str" cm="1">
        <f t="array" aca="1" ref="AW88" ca="1">IFERROR(_xlfn.XLOOKUP($C88,
INDIRECT("'在庫使用計画 ("&amp;AW$1&amp;")'!D:D"),
INDIRECT("'在庫使用計画 ("&amp;AW$1&amp;")'!I:I")
),"")</f>
        <v/>
      </c>
      <c r="AX88" s="74" t="str" cm="1">
        <f t="array" aca="1" ref="AX88" ca="1">IFERROR(_xlfn.XLOOKUP($C88,
INDIRECT("'在庫使用計画 ("&amp;AX$1&amp;")'!D:D"),
INDIRECT("'在庫使用計画 ("&amp;AX$1&amp;")'!I:I")
),"")</f>
        <v/>
      </c>
    </row>
    <row r="89" spans="1:50" s="77" customFormat="1" ht="18.600000000000001" customHeight="1">
      <c r="A89" s="124" t="s">
        <v>1442</v>
      </c>
      <c r="B89" s="1126" t="s">
        <v>1449</v>
      </c>
      <c r="C89" s="717" t="s">
        <v>771</v>
      </c>
      <c r="D89" s="1034" t="e">
        <v>#REF!</v>
      </c>
      <c r="E89" s="305" t="s">
        <v>1450</v>
      </c>
      <c r="F89" s="304" t="s">
        <v>438</v>
      </c>
      <c r="G89" s="306"/>
      <c r="H89" s="74">
        <v>1247</v>
      </c>
      <c r="I89" s="700" t="e">
        <v>#REF!</v>
      </c>
      <c r="J89" s="416" t="e">
        <v>#REF!</v>
      </c>
      <c r="K89" s="74">
        <v>370</v>
      </c>
      <c r="L89" s="74">
        <v>317</v>
      </c>
      <c r="M89" s="74"/>
      <c r="N89" s="74"/>
      <c r="O89" s="74"/>
      <c r="P89" s="74"/>
      <c r="Q89" s="74"/>
      <c r="R89" s="74" t="s">
        <v>21</v>
      </c>
      <c r="S89" s="74" t="s">
        <v>21</v>
      </c>
      <c r="T89" s="74" t="s">
        <v>21</v>
      </c>
      <c r="U89" s="74" t="s">
        <v>21</v>
      </c>
      <c r="V89" s="74">
        <v>35</v>
      </c>
      <c r="W89" s="74">
        <v>45</v>
      </c>
      <c r="X89" s="74">
        <v>45</v>
      </c>
      <c r="Y89" s="74">
        <v>45</v>
      </c>
      <c r="Z89" s="74">
        <v>45</v>
      </c>
      <c r="AA89" s="74">
        <v>45</v>
      </c>
      <c r="AB89" s="74">
        <v>115</v>
      </c>
      <c r="AC89" s="74">
        <v>115</v>
      </c>
      <c r="AD89" s="74">
        <v>115</v>
      </c>
      <c r="AE89" s="74">
        <v>115</v>
      </c>
      <c r="AF89" s="74">
        <v>115</v>
      </c>
      <c r="AG89" s="74">
        <v>115</v>
      </c>
      <c r="AH89" s="74">
        <v>115</v>
      </c>
      <c r="AI89" s="74">
        <v>175</v>
      </c>
      <c r="AJ89" s="74">
        <v>175</v>
      </c>
      <c r="AK89" s="74">
        <v>175</v>
      </c>
      <c r="AL89" s="74">
        <v>175</v>
      </c>
      <c r="AM89" s="74">
        <v>175</v>
      </c>
      <c r="AN89" s="74">
        <v>175</v>
      </c>
      <c r="AO89" s="74">
        <v>175</v>
      </c>
      <c r="AP89" s="74">
        <v>265</v>
      </c>
      <c r="AQ89" s="74">
        <v>270</v>
      </c>
      <c r="AR89" s="74">
        <v>270</v>
      </c>
      <c r="AS89" s="74">
        <v>270</v>
      </c>
      <c r="AT89" s="74">
        <v>270</v>
      </c>
      <c r="AU89" s="74">
        <v>270</v>
      </c>
      <c r="AV89" s="74" t="str" cm="1">
        <f t="array" aca="1" ref="AV89" ca="1">IFERROR(_xlfn.XLOOKUP($C89,
INDIRECT("'在庫使用計画 ("&amp;AV$1&amp;")'!D:D"),
INDIRECT("'在庫使用計画 ("&amp;AV$1&amp;")'!I:I")
),"")</f>
        <v/>
      </c>
      <c r="AW89" s="74" t="str" cm="1">
        <f t="array" aca="1" ref="AW89" ca="1">IFERROR(_xlfn.XLOOKUP($C89,
INDIRECT("'在庫使用計画 ("&amp;AW$1&amp;")'!D:D"),
INDIRECT("'在庫使用計画 ("&amp;AW$1&amp;")'!I:I")
),"")</f>
        <v/>
      </c>
      <c r="AX89" s="74" t="str" cm="1">
        <f t="array" aca="1" ref="AX89" ca="1">IFERROR(_xlfn.XLOOKUP($C89,
INDIRECT("'在庫使用計画 ("&amp;AX$1&amp;")'!D:D"),
INDIRECT("'在庫使用計画 ("&amp;AX$1&amp;")'!I:I")
),"")</f>
        <v/>
      </c>
    </row>
    <row r="90" spans="1:50" s="77" customFormat="1" ht="18.600000000000001" customHeight="1">
      <c r="A90" s="124" t="s">
        <v>1442</v>
      </c>
      <c r="B90" s="712" t="s">
        <v>1451</v>
      </c>
      <c r="C90" s="713" t="s">
        <v>1452</v>
      </c>
      <c r="D90" s="1034" t="e">
        <v>#REF!</v>
      </c>
      <c r="E90" s="194" t="s">
        <v>1409</v>
      </c>
      <c r="F90" s="68" t="s">
        <v>1410</v>
      </c>
      <c r="G90" s="306"/>
      <c r="H90" s="74" t="e">
        <v>#N/A</v>
      </c>
      <c r="I90" s="700" t="e">
        <v>#REF!</v>
      </c>
      <c r="J90" s="416" t="e">
        <v>#REF!</v>
      </c>
      <c r="K90" s="74">
        <v>139</v>
      </c>
      <c r="L90" s="74">
        <v>138</v>
      </c>
      <c r="M90" s="74"/>
      <c r="N90" s="74"/>
      <c r="O90" s="74"/>
      <c r="P90" s="74"/>
      <c r="Q90" s="74"/>
      <c r="R90" s="74" t="s">
        <v>21</v>
      </c>
      <c r="S90" s="74" t="s">
        <v>21</v>
      </c>
      <c r="T90" s="74" t="s">
        <v>21</v>
      </c>
      <c r="U90" s="74" t="s">
        <v>21</v>
      </c>
      <c r="V90" s="74" t="s">
        <v>21</v>
      </c>
      <c r="W90" s="74" t="s">
        <v>21</v>
      </c>
      <c r="X90" s="74" t="s">
        <v>21</v>
      </c>
      <c r="Y90" s="74" t="s">
        <v>21</v>
      </c>
      <c r="Z90" s="74" t="s">
        <v>21</v>
      </c>
      <c r="AA90" s="74" t="s">
        <v>21</v>
      </c>
      <c r="AB90" s="74" t="s">
        <v>21</v>
      </c>
      <c r="AC90" s="74" t="s">
        <v>21</v>
      </c>
      <c r="AD90" s="74" t="s">
        <v>21</v>
      </c>
      <c r="AE90" s="74" t="s">
        <v>21</v>
      </c>
      <c r="AF90" s="74">
        <v>0</v>
      </c>
      <c r="AG90" s="74">
        <v>0</v>
      </c>
      <c r="AH90" s="74">
        <v>0</v>
      </c>
      <c r="AI90" s="74">
        <v>240</v>
      </c>
      <c r="AJ90" s="74">
        <v>240</v>
      </c>
      <c r="AK90" s="74">
        <v>240</v>
      </c>
      <c r="AL90" s="74">
        <v>240</v>
      </c>
      <c r="AM90" s="74">
        <v>240</v>
      </c>
      <c r="AN90" s="74">
        <v>0</v>
      </c>
      <c r="AO90" s="74">
        <v>0</v>
      </c>
      <c r="AP90" s="74">
        <v>0</v>
      </c>
      <c r="AQ90" s="74">
        <v>0</v>
      </c>
      <c r="AR90" s="74">
        <v>0</v>
      </c>
      <c r="AS90" s="74">
        <v>0</v>
      </c>
      <c r="AT90" s="74">
        <v>0</v>
      </c>
      <c r="AU90" s="74">
        <v>0</v>
      </c>
      <c r="AV90" s="74" t="str" cm="1">
        <f t="array" aca="1" ref="AV90" ca="1">IFERROR(_xlfn.XLOOKUP($C90,
INDIRECT("'在庫使用計画 ("&amp;AV$1&amp;")'!D:D"),
INDIRECT("'在庫使用計画 ("&amp;AV$1&amp;")'!I:I")
),"")</f>
        <v/>
      </c>
      <c r="AW90" s="74" t="str" cm="1">
        <f t="array" aca="1" ref="AW90" ca="1">IFERROR(_xlfn.XLOOKUP($C90,
INDIRECT("'在庫使用計画 ("&amp;AW$1&amp;")'!D:D"),
INDIRECT("'在庫使用計画 ("&amp;AW$1&amp;")'!I:I")
),"")</f>
        <v/>
      </c>
      <c r="AX90" s="74" t="str" cm="1">
        <f t="array" aca="1" ref="AX90" ca="1">IFERROR(_xlfn.XLOOKUP($C90,
INDIRECT("'在庫使用計画 ("&amp;AX$1&amp;")'!D:D"),
INDIRECT("'在庫使用計画 ("&amp;AX$1&amp;")'!I:I")
),"")</f>
        <v/>
      </c>
    </row>
    <row r="91" spans="1:50" s="77" customFormat="1" ht="18.600000000000001" customHeight="1">
      <c r="A91" s="124" t="s">
        <v>1442</v>
      </c>
      <c r="B91" s="712" t="s">
        <v>1453</v>
      </c>
      <c r="C91" s="713" t="s">
        <v>1454</v>
      </c>
      <c r="D91" s="1034" t="e">
        <v>#REF!</v>
      </c>
      <c r="E91" s="194" t="s">
        <v>1412</v>
      </c>
      <c r="F91" s="68" t="s">
        <v>1410</v>
      </c>
      <c r="G91" s="306"/>
      <c r="H91" s="74" t="e">
        <v>#N/A</v>
      </c>
      <c r="I91" s="700" t="e">
        <v>#REF!</v>
      </c>
      <c r="J91" s="416" t="e">
        <v>#REF!</v>
      </c>
      <c r="K91" s="74">
        <v>578</v>
      </c>
      <c r="L91" s="74">
        <v>572</v>
      </c>
      <c r="M91" s="74"/>
      <c r="N91" s="74"/>
      <c r="O91" s="74"/>
      <c r="P91" s="74"/>
      <c r="Q91" s="74"/>
      <c r="R91" s="74" t="s">
        <v>21</v>
      </c>
      <c r="S91" s="74" t="s">
        <v>21</v>
      </c>
      <c r="T91" s="74" t="s">
        <v>21</v>
      </c>
      <c r="U91" s="74" t="s">
        <v>21</v>
      </c>
      <c r="V91" s="74" t="s">
        <v>21</v>
      </c>
      <c r="W91" s="74" t="s">
        <v>21</v>
      </c>
      <c r="X91" s="74" t="s">
        <v>21</v>
      </c>
      <c r="Y91" s="74" t="s">
        <v>21</v>
      </c>
      <c r="Z91" s="74" t="s">
        <v>21</v>
      </c>
      <c r="AA91" s="74" t="s">
        <v>21</v>
      </c>
      <c r="AB91" s="74" t="s">
        <v>21</v>
      </c>
      <c r="AC91" s="74" t="s">
        <v>21</v>
      </c>
      <c r="AD91" s="74" t="s">
        <v>21</v>
      </c>
      <c r="AE91" s="74" t="s">
        <v>21</v>
      </c>
      <c r="AF91" s="74">
        <v>0</v>
      </c>
      <c r="AG91" s="74">
        <v>0</v>
      </c>
      <c r="AH91" s="74">
        <v>0</v>
      </c>
      <c r="AI91" s="74">
        <v>280</v>
      </c>
      <c r="AJ91" s="74">
        <v>280</v>
      </c>
      <c r="AK91" s="74">
        <v>280</v>
      </c>
      <c r="AL91" s="74">
        <v>280</v>
      </c>
      <c r="AM91" s="74">
        <v>280</v>
      </c>
      <c r="AN91" s="74">
        <v>0</v>
      </c>
      <c r="AO91" s="74">
        <v>0</v>
      </c>
      <c r="AP91" s="74">
        <v>0</v>
      </c>
      <c r="AQ91" s="74">
        <v>0</v>
      </c>
      <c r="AR91" s="74">
        <v>0</v>
      </c>
      <c r="AS91" s="74">
        <v>0</v>
      </c>
      <c r="AT91" s="74">
        <v>0</v>
      </c>
      <c r="AU91" s="74">
        <v>0</v>
      </c>
      <c r="AV91" s="74" t="str" cm="1">
        <f t="array" aca="1" ref="AV91" ca="1">IFERROR(_xlfn.XLOOKUP($C91,
INDIRECT("'在庫使用計画 ("&amp;AV$1&amp;")'!D:D"),
INDIRECT("'在庫使用計画 ("&amp;AV$1&amp;")'!I:I")
),"")</f>
        <v/>
      </c>
      <c r="AW91" s="74" t="str" cm="1">
        <f t="array" aca="1" ref="AW91" ca="1">IFERROR(_xlfn.XLOOKUP($C91,
INDIRECT("'在庫使用計画 ("&amp;AW$1&amp;")'!D:D"),
INDIRECT("'在庫使用計画 ("&amp;AW$1&amp;")'!I:I")
),"")</f>
        <v/>
      </c>
      <c r="AX91" s="74" t="str" cm="1">
        <f t="array" aca="1" ref="AX91" ca="1">IFERROR(_xlfn.XLOOKUP($C91,
INDIRECT("'在庫使用計画 ("&amp;AX$1&amp;")'!D:D"),
INDIRECT("'在庫使用計画 ("&amp;AX$1&amp;")'!I:I")
),"")</f>
        <v/>
      </c>
    </row>
    <row r="92" spans="1:50" s="21" customFormat="1" ht="18.600000000000001" customHeight="1">
      <c r="A92" s="67"/>
      <c r="B92" s="26"/>
      <c r="C92" s="24"/>
      <c r="D92" s="1032" t="str">
        <v/>
      </c>
      <c r="E92" s="25"/>
      <c r="F92" s="26"/>
      <c r="G92" s="26"/>
      <c r="H92" s="38" t="str">
        <v/>
      </c>
      <c r="I92" s="700" t="str">
        <v/>
      </c>
      <c r="J92" s="416" t="str">
        <v/>
      </c>
      <c r="K92" s="38"/>
      <c r="L92" s="38"/>
      <c r="M92" s="38"/>
      <c r="N92" s="38"/>
      <c r="O92" s="38"/>
      <c r="P92" s="38"/>
      <c r="Q92" s="38"/>
      <c r="R92" s="38"/>
      <c r="S92" s="38"/>
      <c r="T92" s="38"/>
      <c r="U92" s="38"/>
      <c r="V92" s="38"/>
      <c r="W92" s="38"/>
      <c r="X92" s="74"/>
      <c r="Y92" s="74"/>
      <c r="Z92" s="74"/>
      <c r="AA92" s="74"/>
      <c r="AB92" s="74"/>
      <c r="AC92" s="74"/>
      <c r="AD92" s="74"/>
      <c r="AE92" s="74"/>
      <c r="AF92" s="74" t="s">
        <v>21</v>
      </c>
      <c r="AG92" s="74" t="s">
        <v>21</v>
      </c>
      <c r="AH92" s="74" t="s">
        <v>21</v>
      </c>
      <c r="AI92" s="74" t="s">
        <v>21</v>
      </c>
      <c r="AJ92" s="74" t="s">
        <v>21</v>
      </c>
      <c r="AK92" s="74" t="s">
        <v>21</v>
      </c>
      <c r="AL92" s="74" t="s">
        <v>21</v>
      </c>
      <c r="AM92" s="74" t="s">
        <v>21</v>
      </c>
      <c r="AN92" s="74" t="s">
        <v>21</v>
      </c>
      <c r="AO92" s="74" t="s">
        <v>21</v>
      </c>
      <c r="AP92" s="74" t="s">
        <v>21</v>
      </c>
      <c r="AQ92" s="74" t="s">
        <v>21</v>
      </c>
      <c r="AR92" s="74" t="s">
        <v>21</v>
      </c>
      <c r="AS92" s="74" t="s">
        <v>21</v>
      </c>
      <c r="AT92" s="74" t="s">
        <v>21</v>
      </c>
      <c r="AU92" s="74" t="s">
        <v>21</v>
      </c>
      <c r="AV92" s="74" t="str" cm="1">
        <f t="array" aca="1" ref="AV92" ca="1">IFERROR(_xlfn.XLOOKUP($C92,
INDIRECT("'在庫使用計画 ("&amp;AV$1&amp;")'!D:D"),
INDIRECT("'在庫使用計画 ("&amp;AV$1&amp;")'!I:I")
),"")</f>
        <v/>
      </c>
      <c r="AW92" s="74" t="str" cm="1">
        <f t="array" aca="1" ref="AW92" ca="1">IFERROR(_xlfn.XLOOKUP($C92,
INDIRECT("'在庫使用計画 ("&amp;AW$1&amp;")'!D:D"),
INDIRECT("'在庫使用計画 ("&amp;AW$1&amp;")'!I:I")
),"")</f>
        <v/>
      </c>
      <c r="AX92" s="74" t="str" cm="1">
        <f t="array" aca="1" ref="AX92" ca="1">IFERROR(_xlfn.XLOOKUP($C92,
INDIRECT("'在庫使用計画 ("&amp;AX$1&amp;")'!D:D"),
INDIRECT("'在庫使用計画 ("&amp;AX$1&amp;")'!I:I")
),"")</f>
        <v/>
      </c>
    </row>
    <row r="93" spans="1:50" s="78" customFormat="1" ht="18.600000000000001" customHeight="1">
      <c r="A93" s="67" t="s">
        <v>1442</v>
      </c>
      <c r="B93" s="87" t="s">
        <v>1455</v>
      </c>
      <c r="C93" s="86" t="s">
        <v>1456</v>
      </c>
      <c r="D93" s="1035" t="e">
        <v>#REF!</v>
      </c>
      <c r="E93" s="137" t="s">
        <v>1457</v>
      </c>
      <c r="F93" s="108" t="s">
        <v>1416</v>
      </c>
      <c r="G93" s="108" t="s">
        <v>1347</v>
      </c>
      <c r="H93" s="74">
        <v>0</v>
      </c>
      <c r="I93" s="700" t="e">
        <v>#REF!</v>
      </c>
      <c r="J93" s="416" t="e">
        <v>#REF!</v>
      </c>
      <c r="K93" s="74" t="s">
        <v>21</v>
      </c>
      <c r="L93" s="74" t="s">
        <v>21</v>
      </c>
      <c r="M93" s="74" t="s">
        <v>21</v>
      </c>
      <c r="N93" s="74" t="s">
        <v>21</v>
      </c>
      <c r="O93" s="74" t="s">
        <v>21</v>
      </c>
      <c r="P93" s="74" t="s">
        <v>21</v>
      </c>
      <c r="Q93" s="74" t="s">
        <v>21</v>
      </c>
      <c r="R93" s="74">
        <v>0</v>
      </c>
      <c r="S93" s="74">
        <v>0</v>
      </c>
      <c r="T93" s="74">
        <v>0</v>
      </c>
      <c r="U93" s="74">
        <v>0</v>
      </c>
      <c r="V93" s="74">
        <v>0</v>
      </c>
      <c r="W93" s="74">
        <v>0</v>
      </c>
      <c r="X93" s="74">
        <v>0</v>
      </c>
      <c r="Y93" s="74">
        <v>0</v>
      </c>
      <c r="Z93" s="74">
        <v>25</v>
      </c>
      <c r="AA93" s="74">
        <v>25</v>
      </c>
      <c r="AB93" s="74">
        <v>10</v>
      </c>
      <c r="AC93" s="74">
        <v>10</v>
      </c>
      <c r="AD93" s="74">
        <v>10</v>
      </c>
      <c r="AE93" s="74">
        <v>10</v>
      </c>
      <c r="AF93" s="74">
        <v>10</v>
      </c>
      <c r="AG93" s="74">
        <v>10</v>
      </c>
      <c r="AH93" s="74">
        <v>10</v>
      </c>
      <c r="AI93" s="74">
        <v>0</v>
      </c>
      <c r="AJ93" s="74">
        <v>0</v>
      </c>
      <c r="AK93" s="74">
        <v>0</v>
      </c>
      <c r="AL93" s="74">
        <v>0</v>
      </c>
      <c r="AM93" s="74">
        <v>0</v>
      </c>
      <c r="AN93" s="74">
        <v>0</v>
      </c>
      <c r="AO93" s="74">
        <v>0</v>
      </c>
      <c r="AP93" s="74">
        <v>0</v>
      </c>
      <c r="AQ93" s="74">
        <v>0</v>
      </c>
      <c r="AR93" s="74">
        <v>0</v>
      </c>
      <c r="AS93" s="74">
        <v>0</v>
      </c>
      <c r="AT93" s="74">
        <v>0</v>
      </c>
      <c r="AU93" s="74">
        <v>0</v>
      </c>
      <c r="AV93" s="74" t="str" cm="1">
        <f t="array" aca="1" ref="AV93" ca="1">IFERROR(_xlfn.XLOOKUP($C93,
INDIRECT("'在庫使用計画 ("&amp;AV$1&amp;")'!D:D"),
INDIRECT("'在庫使用計画 ("&amp;AV$1&amp;")'!I:I")
),"")</f>
        <v/>
      </c>
      <c r="AW93" s="74" t="str" cm="1">
        <f t="array" aca="1" ref="AW93" ca="1">IFERROR(_xlfn.XLOOKUP($C93,
INDIRECT("'在庫使用計画 ("&amp;AW$1&amp;")'!D:D"),
INDIRECT("'在庫使用計画 ("&amp;AW$1&amp;")'!I:I")
),"")</f>
        <v/>
      </c>
      <c r="AX93" s="74" t="str" cm="1">
        <f t="array" aca="1" ref="AX93" ca="1">IFERROR(_xlfn.XLOOKUP($C93,
INDIRECT("'在庫使用計画 ("&amp;AX$1&amp;")'!D:D"),
INDIRECT("'在庫使用計画 ("&amp;AX$1&amp;")'!I:I")
),"")</f>
        <v/>
      </c>
    </row>
    <row r="94" spans="1:50" s="70" customFormat="1" ht="18.600000000000001" customHeight="1">
      <c r="A94" s="67" t="s">
        <v>1442</v>
      </c>
      <c r="B94" s="26" t="s">
        <v>709</v>
      </c>
      <c r="C94" s="24" t="s">
        <v>1458</v>
      </c>
      <c r="D94" s="1032" t="e">
        <v>#REF!</v>
      </c>
      <c r="E94" s="72" t="s">
        <v>1459</v>
      </c>
      <c r="F94" s="68" t="s">
        <v>1416</v>
      </c>
      <c r="G94" s="68"/>
      <c r="H94" s="38">
        <v>63</v>
      </c>
      <c r="I94" s="700" t="e">
        <v>#REF!</v>
      </c>
      <c r="J94" s="416" t="e">
        <v>#REF!</v>
      </c>
      <c r="K94" s="38">
        <v>74</v>
      </c>
      <c r="L94" s="38">
        <v>217</v>
      </c>
      <c r="M94" s="38">
        <v>217</v>
      </c>
      <c r="N94" s="38">
        <v>217</v>
      </c>
      <c r="O94" s="38">
        <v>139</v>
      </c>
      <c r="P94" s="38">
        <v>139</v>
      </c>
      <c r="Q94" s="38">
        <v>139</v>
      </c>
      <c r="R94" s="38">
        <v>139</v>
      </c>
      <c r="S94" s="38">
        <v>139</v>
      </c>
      <c r="T94" s="38">
        <v>285</v>
      </c>
      <c r="U94" s="38">
        <v>285</v>
      </c>
      <c r="V94" s="38">
        <v>285</v>
      </c>
      <c r="W94" s="38">
        <v>285</v>
      </c>
      <c r="X94" s="74">
        <v>285</v>
      </c>
      <c r="Y94" s="74">
        <v>285</v>
      </c>
      <c r="Z94" s="74">
        <v>285</v>
      </c>
      <c r="AA94" s="74">
        <v>285</v>
      </c>
      <c r="AB94" s="74">
        <v>285</v>
      </c>
      <c r="AC94" s="74">
        <v>285</v>
      </c>
      <c r="AD94" s="74">
        <v>285</v>
      </c>
      <c r="AE94" s="74">
        <v>285</v>
      </c>
      <c r="AF94" s="74">
        <v>285</v>
      </c>
      <c r="AG94" s="74">
        <v>285</v>
      </c>
      <c r="AH94" s="74">
        <v>285</v>
      </c>
      <c r="AI94" s="74">
        <v>232</v>
      </c>
      <c r="AJ94" s="74">
        <v>232</v>
      </c>
      <c r="AK94" s="74">
        <v>232</v>
      </c>
      <c r="AL94" s="74">
        <v>354</v>
      </c>
      <c r="AM94" s="74">
        <v>354</v>
      </c>
      <c r="AN94" s="74">
        <v>354</v>
      </c>
      <c r="AO94" s="74">
        <v>354</v>
      </c>
      <c r="AP94" s="74">
        <v>268</v>
      </c>
      <c r="AQ94" s="74">
        <v>268</v>
      </c>
      <c r="AR94" s="74">
        <v>268</v>
      </c>
      <c r="AS94" s="74">
        <v>268</v>
      </c>
      <c r="AT94" s="74">
        <v>268</v>
      </c>
      <c r="AU94" s="74">
        <v>268</v>
      </c>
      <c r="AV94" s="74" t="str" cm="1">
        <f t="array" aca="1" ref="AV94" ca="1">IFERROR(_xlfn.XLOOKUP($C94,
INDIRECT("'在庫使用計画 ("&amp;AV$1&amp;")'!D:D"),
INDIRECT("'在庫使用計画 ("&amp;AV$1&amp;")'!I:I")
),"")</f>
        <v/>
      </c>
      <c r="AW94" s="74" t="str" cm="1">
        <f t="array" aca="1" ref="AW94" ca="1">IFERROR(_xlfn.XLOOKUP($C94,
INDIRECT("'在庫使用計画 ("&amp;AW$1&amp;")'!D:D"),
INDIRECT("'在庫使用計画 ("&amp;AW$1&amp;")'!I:I")
),"")</f>
        <v/>
      </c>
      <c r="AX94" s="74" t="str" cm="1">
        <f t="array" aca="1" ref="AX94" ca="1">IFERROR(_xlfn.XLOOKUP($C94,
INDIRECT("'在庫使用計画 ("&amp;AX$1&amp;")'!D:D"),
INDIRECT("'在庫使用計画 ("&amp;AX$1&amp;")'!I:I")
),"")</f>
        <v/>
      </c>
    </row>
    <row r="95" spans="1:50" s="70" customFormat="1" ht="18.600000000000001" customHeight="1">
      <c r="A95" s="67" t="s">
        <v>1442</v>
      </c>
      <c r="B95" s="26" t="s">
        <v>765</v>
      </c>
      <c r="C95" s="24" t="s">
        <v>763</v>
      </c>
      <c r="D95" s="1032" t="e">
        <v>#REF!</v>
      </c>
      <c r="E95" s="72" t="s">
        <v>1460</v>
      </c>
      <c r="F95" s="68" t="s">
        <v>1416</v>
      </c>
      <c r="G95" s="68"/>
      <c r="H95" s="38">
        <v>362</v>
      </c>
      <c r="I95" s="700" t="e">
        <v>#REF!</v>
      </c>
      <c r="J95" s="416" t="e">
        <v>#REF!</v>
      </c>
      <c r="K95" s="38">
        <v>252</v>
      </c>
      <c r="L95" s="38">
        <v>504</v>
      </c>
      <c r="M95" s="38">
        <v>504</v>
      </c>
      <c r="N95" s="38">
        <v>504</v>
      </c>
      <c r="O95" s="38">
        <v>870</v>
      </c>
      <c r="P95" s="38">
        <v>870</v>
      </c>
      <c r="Q95" s="38">
        <v>870</v>
      </c>
      <c r="R95" s="38">
        <v>1136</v>
      </c>
      <c r="S95" s="38">
        <v>1136</v>
      </c>
      <c r="T95" s="38">
        <v>686</v>
      </c>
      <c r="U95" s="38">
        <v>686</v>
      </c>
      <c r="V95" s="38">
        <v>686</v>
      </c>
      <c r="W95" s="38">
        <v>686</v>
      </c>
      <c r="X95" s="74">
        <v>686</v>
      </c>
      <c r="Y95" s="74">
        <v>686</v>
      </c>
      <c r="Z95" s="74">
        <v>686</v>
      </c>
      <c r="AA95" s="74">
        <v>686</v>
      </c>
      <c r="AB95" s="74">
        <v>686</v>
      </c>
      <c r="AC95" s="74">
        <v>686</v>
      </c>
      <c r="AD95" s="74">
        <v>686</v>
      </c>
      <c r="AE95" s="74">
        <v>686</v>
      </c>
      <c r="AF95" s="74">
        <v>686</v>
      </c>
      <c r="AG95" s="74">
        <v>686</v>
      </c>
      <c r="AH95" s="74">
        <v>686</v>
      </c>
      <c r="AI95" s="74">
        <v>138</v>
      </c>
      <c r="AJ95" s="74">
        <v>138</v>
      </c>
      <c r="AK95" s="74">
        <v>138</v>
      </c>
      <c r="AL95" s="74">
        <v>668</v>
      </c>
      <c r="AM95" s="74">
        <v>668</v>
      </c>
      <c r="AN95" s="74">
        <v>668</v>
      </c>
      <c r="AO95" s="74">
        <v>668</v>
      </c>
      <c r="AP95" s="74">
        <v>430</v>
      </c>
      <c r="AQ95" s="74">
        <v>545</v>
      </c>
      <c r="AR95" s="74">
        <v>545</v>
      </c>
      <c r="AS95" s="74">
        <v>545</v>
      </c>
      <c r="AT95" s="74">
        <v>545</v>
      </c>
      <c r="AU95" s="74">
        <v>545</v>
      </c>
      <c r="AV95" s="74" t="str" cm="1">
        <f t="array" aca="1" ref="AV95" ca="1">IFERROR(_xlfn.XLOOKUP($C95,
INDIRECT("'在庫使用計画 ("&amp;AV$1&amp;")'!D:D"),
INDIRECT("'在庫使用計画 ("&amp;AV$1&amp;")'!I:I")
),"")</f>
        <v/>
      </c>
      <c r="AW95" s="74" t="str" cm="1">
        <f t="array" aca="1" ref="AW95" ca="1">IFERROR(_xlfn.XLOOKUP($C95,
INDIRECT("'在庫使用計画 ("&amp;AW$1&amp;")'!D:D"),
INDIRECT("'在庫使用計画 ("&amp;AW$1&amp;")'!I:I")
),"")</f>
        <v/>
      </c>
      <c r="AX95" s="74" t="str" cm="1">
        <f t="array" aca="1" ref="AX95" ca="1">IFERROR(_xlfn.XLOOKUP($C95,
INDIRECT("'在庫使用計画 ("&amp;AX$1&amp;")'!D:D"),
INDIRECT("'在庫使用計画 ("&amp;AX$1&amp;")'!I:I")
),"")</f>
        <v/>
      </c>
    </row>
    <row r="96" spans="1:50" s="70" customFormat="1" ht="18.600000000000001" customHeight="1">
      <c r="A96" s="67" t="s">
        <v>1442</v>
      </c>
      <c r="B96" s="14" t="s">
        <v>702</v>
      </c>
      <c r="C96" s="701" t="s">
        <v>1461</v>
      </c>
      <c r="D96" s="1036" t="e">
        <v>#REF!</v>
      </c>
      <c r="E96" s="72" t="s">
        <v>1459</v>
      </c>
      <c r="F96" s="68"/>
      <c r="G96" s="68" t="s">
        <v>20</v>
      </c>
      <c r="H96" s="38">
        <v>648</v>
      </c>
      <c r="I96" s="700" t="e">
        <v>#REF!</v>
      </c>
      <c r="J96" s="416" t="e">
        <v>#REF!</v>
      </c>
      <c r="K96" s="38"/>
      <c r="L96" s="38"/>
      <c r="M96" s="38"/>
      <c r="N96" s="38"/>
      <c r="O96" s="38"/>
      <c r="P96" s="38"/>
      <c r="Q96" s="38"/>
      <c r="R96" s="74" t="s">
        <v>21</v>
      </c>
      <c r="S96" s="74" t="s">
        <v>21</v>
      </c>
      <c r="T96" s="74" t="s">
        <v>21</v>
      </c>
      <c r="U96" s="74">
        <v>0</v>
      </c>
      <c r="V96" s="74">
        <v>0</v>
      </c>
      <c r="W96" s="74">
        <v>0</v>
      </c>
      <c r="X96" s="74">
        <v>0</v>
      </c>
      <c r="Y96" s="74">
        <v>0</v>
      </c>
      <c r="Z96" s="74">
        <v>0</v>
      </c>
      <c r="AA96" s="74">
        <v>0</v>
      </c>
      <c r="AB96" s="74">
        <v>273</v>
      </c>
      <c r="AC96" s="74">
        <v>273</v>
      </c>
      <c r="AD96" s="74">
        <v>273</v>
      </c>
      <c r="AE96" s="74">
        <v>273</v>
      </c>
      <c r="AF96" s="74">
        <v>273</v>
      </c>
      <c r="AG96" s="74">
        <v>313</v>
      </c>
      <c r="AH96" s="74">
        <v>313</v>
      </c>
      <c r="AI96" s="74">
        <v>486</v>
      </c>
      <c r="AJ96" s="74">
        <v>486</v>
      </c>
      <c r="AK96" s="74">
        <v>486</v>
      </c>
      <c r="AL96" s="74">
        <v>352</v>
      </c>
      <c r="AM96" s="74">
        <v>352</v>
      </c>
      <c r="AN96" s="74">
        <v>352</v>
      </c>
      <c r="AO96" s="74">
        <v>352</v>
      </c>
      <c r="AP96" s="74">
        <v>513</v>
      </c>
      <c r="AQ96" s="74">
        <v>513</v>
      </c>
      <c r="AR96" s="74">
        <v>445</v>
      </c>
      <c r="AS96" s="74">
        <v>445</v>
      </c>
      <c r="AT96" s="74">
        <v>445</v>
      </c>
      <c r="AU96" s="74">
        <v>445</v>
      </c>
      <c r="AV96" s="74" t="str" cm="1">
        <f t="array" aca="1" ref="AV96" ca="1">IFERROR(_xlfn.XLOOKUP($C96,
INDIRECT("'在庫使用計画 ("&amp;AV$1&amp;")'!D:D"),
INDIRECT("'在庫使用計画 ("&amp;AV$1&amp;")'!I:I")
),"")</f>
        <v/>
      </c>
      <c r="AW96" s="74" t="str" cm="1">
        <f t="array" aca="1" ref="AW96" ca="1">IFERROR(_xlfn.XLOOKUP($C96,
INDIRECT("'在庫使用計画 ("&amp;AW$1&amp;")'!D:D"),
INDIRECT("'在庫使用計画 ("&amp;AW$1&amp;")'!I:I")
),"")</f>
        <v/>
      </c>
      <c r="AX96" s="74" t="str" cm="1">
        <f t="array" aca="1" ref="AX96" ca="1">IFERROR(_xlfn.XLOOKUP($C96,
INDIRECT("'在庫使用計画 ("&amp;AX$1&amp;")'!D:D"),
INDIRECT("'在庫使用計画 ("&amp;AX$1&amp;")'!I:I")
),"")</f>
        <v/>
      </c>
    </row>
    <row r="97" spans="1:50" s="70" customFormat="1" ht="18.600000000000001" customHeight="1">
      <c r="A97" s="67" t="s">
        <v>1442</v>
      </c>
      <c r="B97" s="14" t="s">
        <v>758</v>
      </c>
      <c r="C97" s="701" t="s">
        <v>1462</v>
      </c>
      <c r="D97" s="1036" t="e">
        <v>#REF!</v>
      </c>
      <c r="E97" s="72" t="s">
        <v>1460</v>
      </c>
      <c r="F97" s="68"/>
      <c r="G97" s="68" t="s">
        <v>20</v>
      </c>
      <c r="H97" s="38">
        <v>1460</v>
      </c>
      <c r="I97" s="700" t="e">
        <v>#REF!</v>
      </c>
      <c r="J97" s="416" t="e">
        <v>#REF!</v>
      </c>
      <c r="K97" s="38"/>
      <c r="L97" s="38"/>
      <c r="M97" s="38"/>
      <c r="N97" s="38"/>
      <c r="O97" s="38"/>
      <c r="P97" s="38"/>
      <c r="Q97" s="38"/>
      <c r="R97" s="74" t="s">
        <v>21</v>
      </c>
      <c r="S97" s="74" t="s">
        <v>21</v>
      </c>
      <c r="T97" s="74" t="s">
        <v>21</v>
      </c>
      <c r="U97" s="74">
        <v>1038</v>
      </c>
      <c r="V97" s="74">
        <v>1038</v>
      </c>
      <c r="W97" s="74">
        <v>1038</v>
      </c>
      <c r="X97" s="74">
        <v>1038</v>
      </c>
      <c r="Y97" s="74">
        <v>1038</v>
      </c>
      <c r="Z97" s="74">
        <v>1038</v>
      </c>
      <c r="AA97" s="74">
        <v>1038</v>
      </c>
      <c r="AB97" s="74">
        <v>2086</v>
      </c>
      <c r="AC97" s="74">
        <v>2086</v>
      </c>
      <c r="AD97" s="74">
        <v>2086</v>
      </c>
      <c r="AE97" s="74">
        <v>2086</v>
      </c>
      <c r="AF97" s="74">
        <v>2086</v>
      </c>
      <c r="AG97" s="74">
        <v>2086</v>
      </c>
      <c r="AH97" s="74">
        <v>2086</v>
      </c>
      <c r="AI97" s="74">
        <v>2544</v>
      </c>
      <c r="AJ97" s="74">
        <v>2544</v>
      </c>
      <c r="AK97" s="74">
        <v>2544</v>
      </c>
      <c r="AL97" s="74">
        <v>820</v>
      </c>
      <c r="AM97" s="74">
        <v>820</v>
      </c>
      <c r="AN97" s="74">
        <v>820</v>
      </c>
      <c r="AO97" s="74">
        <v>820</v>
      </c>
      <c r="AP97" s="74">
        <v>1070</v>
      </c>
      <c r="AQ97" s="74">
        <v>1070</v>
      </c>
      <c r="AR97" s="74">
        <v>1070</v>
      </c>
      <c r="AS97" s="74">
        <v>1070</v>
      </c>
      <c r="AT97" s="74">
        <v>1070</v>
      </c>
      <c r="AU97" s="74">
        <v>1070</v>
      </c>
      <c r="AV97" s="74" t="str" cm="1">
        <f t="array" aca="1" ref="AV97" ca="1">IFERROR(_xlfn.XLOOKUP($C97,
INDIRECT("'在庫使用計画 ("&amp;AV$1&amp;")'!D:D"),
INDIRECT("'在庫使用計画 ("&amp;AV$1&amp;")'!I:I")
),"")</f>
        <v/>
      </c>
      <c r="AW97" s="74" t="str" cm="1">
        <f t="array" aca="1" ref="AW97" ca="1">IFERROR(_xlfn.XLOOKUP($C97,
INDIRECT("'在庫使用計画 ("&amp;AW$1&amp;")'!D:D"),
INDIRECT("'在庫使用計画 ("&amp;AW$1&amp;")'!I:I")
),"")</f>
        <v/>
      </c>
      <c r="AX97" s="74" t="str" cm="1">
        <f t="array" aca="1" ref="AX97" ca="1">IFERROR(_xlfn.XLOOKUP($C97,
INDIRECT("'在庫使用計画 ("&amp;AX$1&amp;")'!D:D"),
INDIRECT("'在庫使用計画 ("&amp;AX$1&amp;")'!I:I")
),"")</f>
        <v/>
      </c>
    </row>
    <row r="98" spans="1:50" s="21" customFormat="1" ht="18.600000000000001" customHeight="1">
      <c r="A98" s="67" t="s">
        <v>1442</v>
      </c>
      <c r="B98" s="26" t="s">
        <v>1463</v>
      </c>
      <c r="C98" s="57" t="s">
        <v>1464</v>
      </c>
      <c r="D98" s="1032" t="e">
        <v>#REF!</v>
      </c>
      <c r="E98" s="24" t="s">
        <v>1422</v>
      </c>
      <c r="F98" s="26" t="s">
        <v>1423</v>
      </c>
      <c r="G98" s="26" t="s">
        <v>1372</v>
      </c>
      <c r="H98" s="38">
        <v>1</v>
      </c>
      <c r="I98" s="700" t="e">
        <v>#REF!</v>
      </c>
      <c r="J98" s="416" t="e">
        <v>#REF!</v>
      </c>
      <c r="K98" s="38">
        <v>730</v>
      </c>
      <c r="L98" s="38">
        <v>627</v>
      </c>
      <c r="M98" s="38">
        <v>627</v>
      </c>
      <c r="N98" s="38">
        <v>627</v>
      </c>
      <c r="O98" s="38">
        <v>627</v>
      </c>
      <c r="P98" s="38">
        <v>627</v>
      </c>
      <c r="Q98" s="38">
        <v>627</v>
      </c>
      <c r="R98" s="38">
        <v>627</v>
      </c>
      <c r="S98" s="38">
        <v>627</v>
      </c>
      <c r="T98" s="38">
        <v>497</v>
      </c>
      <c r="U98" s="38">
        <v>497</v>
      </c>
      <c r="V98" s="38">
        <v>497</v>
      </c>
      <c r="W98" s="38">
        <v>497</v>
      </c>
      <c r="X98" s="74">
        <v>497</v>
      </c>
      <c r="Y98" s="74">
        <v>497</v>
      </c>
      <c r="Z98" s="74">
        <v>497</v>
      </c>
      <c r="AA98" s="74">
        <v>497</v>
      </c>
      <c r="AB98" s="74">
        <v>377</v>
      </c>
      <c r="AC98" s="74">
        <v>377</v>
      </c>
      <c r="AD98" s="74">
        <v>377</v>
      </c>
      <c r="AE98" s="74">
        <v>377</v>
      </c>
      <c r="AF98" s="74">
        <v>377</v>
      </c>
      <c r="AG98" s="74">
        <v>377</v>
      </c>
      <c r="AH98" s="74">
        <v>377</v>
      </c>
      <c r="AI98" s="74">
        <v>268</v>
      </c>
      <c r="AJ98" s="74">
        <v>268</v>
      </c>
      <c r="AK98" s="74">
        <v>268</v>
      </c>
      <c r="AL98" s="74">
        <v>348</v>
      </c>
      <c r="AM98" s="74">
        <v>348</v>
      </c>
      <c r="AN98" s="74">
        <v>348</v>
      </c>
      <c r="AO98" s="74">
        <v>348</v>
      </c>
      <c r="AP98" s="74">
        <v>301</v>
      </c>
      <c r="AQ98" s="74">
        <v>301</v>
      </c>
      <c r="AR98" s="74">
        <v>200</v>
      </c>
      <c r="AS98" s="74">
        <v>200</v>
      </c>
      <c r="AT98" s="74">
        <v>200</v>
      </c>
      <c r="AU98" s="74">
        <v>200</v>
      </c>
      <c r="AV98" s="74" t="str" cm="1">
        <f t="array" aca="1" ref="AV98" ca="1">IFERROR(_xlfn.XLOOKUP($C98,
INDIRECT("'在庫使用計画 ("&amp;AV$1&amp;")'!D:D"),
INDIRECT("'在庫使用計画 ("&amp;AV$1&amp;")'!I:I")
),"")</f>
        <v/>
      </c>
      <c r="AW98" s="74" t="str" cm="1">
        <f t="array" aca="1" ref="AW98" ca="1">IFERROR(_xlfn.XLOOKUP($C98,
INDIRECT("'在庫使用計画 ("&amp;AW$1&amp;")'!D:D"),
INDIRECT("'在庫使用計画 ("&amp;AW$1&amp;")'!I:I")
),"")</f>
        <v/>
      </c>
      <c r="AX98" s="74" t="str" cm="1">
        <f t="array" aca="1" ref="AX98" ca="1">IFERROR(_xlfn.XLOOKUP($C98,
INDIRECT("'在庫使用計画 ("&amp;AX$1&amp;")'!D:D"),
INDIRECT("'在庫使用計画 ("&amp;AX$1&amp;")'!I:I")
),"")</f>
        <v/>
      </c>
    </row>
    <row r="99" spans="1:50" s="70" customFormat="1" ht="18.600000000000001" customHeight="1">
      <c r="A99" s="67" t="s">
        <v>1442</v>
      </c>
      <c r="B99" s="14" t="s">
        <v>688</v>
      </c>
      <c r="C99" s="701" t="s">
        <v>1465</v>
      </c>
      <c r="D99" s="1036" t="e">
        <v>#REF!</v>
      </c>
      <c r="E99" s="72" t="s">
        <v>1466</v>
      </c>
      <c r="F99" s="68"/>
      <c r="G99" s="68" t="s">
        <v>20</v>
      </c>
      <c r="H99" s="38">
        <v>152</v>
      </c>
      <c r="I99" s="700" t="e">
        <v>#REF!</v>
      </c>
      <c r="J99" s="416" t="e">
        <v>#REF!</v>
      </c>
      <c r="K99" s="38"/>
      <c r="L99" s="38"/>
      <c r="M99" s="38"/>
      <c r="N99" s="38"/>
      <c r="O99" s="38"/>
      <c r="P99" s="38"/>
      <c r="Q99" s="38"/>
      <c r="R99" s="74" t="s">
        <v>21</v>
      </c>
      <c r="S99" s="74" t="s">
        <v>21</v>
      </c>
      <c r="T99" s="74" t="s">
        <v>21</v>
      </c>
      <c r="U99" s="74">
        <v>0</v>
      </c>
      <c r="V99" s="74">
        <v>0</v>
      </c>
      <c r="W99" s="74">
        <v>0</v>
      </c>
      <c r="X99" s="74">
        <v>0</v>
      </c>
      <c r="Y99" s="74">
        <v>0</v>
      </c>
      <c r="Z99" s="74">
        <v>0</v>
      </c>
      <c r="AA99" s="74">
        <v>0</v>
      </c>
      <c r="AB99" s="74">
        <v>134</v>
      </c>
      <c r="AC99" s="74">
        <v>134</v>
      </c>
      <c r="AD99" s="74">
        <v>134</v>
      </c>
      <c r="AE99" s="74">
        <v>134</v>
      </c>
      <c r="AF99" s="74">
        <v>134</v>
      </c>
      <c r="AG99" s="74">
        <v>134</v>
      </c>
      <c r="AH99" s="74">
        <v>134</v>
      </c>
      <c r="AI99" s="74">
        <v>251</v>
      </c>
      <c r="AJ99" s="74">
        <v>251</v>
      </c>
      <c r="AK99" s="74">
        <v>251</v>
      </c>
      <c r="AL99" s="74">
        <v>30</v>
      </c>
      <c r="AM99" s="74">
        <v>30</v>
      </c>
      <c r="AN99" s="74">
        <v>0</v>
      </c>
      <c r="AO99" s="74">
        <v>0</v>
      </c>
      <c r="AP99" s="74">
        <v>0</v>
      </c>
      <c r="AQ99" s="74">
        <v>0</v>
      </c>
      <c r="AR99" s="74">
        <v>0</v>
      </c>
      <c r="AS99" s="74">
        <v>0</v>
      </c>
      <c r="AT99" s="74">
        <v>0</v>
      </c>
      <c r="AU99" s="74">
        <v>0</v>
      </c>
      <c r="AV99" s="74" t="str" cm="1">
        <f t="array" aca="1" ref="AV99" ca="1">IFERROR(_xlfn.XLOOKUP($C99,
INDIRECT("'在庫使用計画 ("&amp;AV$1&amp;")'!D:D"),
INDIRECT("'在庫使用計画 ("&amp;AV$1&amp;")'!I:I")
),"")</f>
        <v/>
      </c>
      <c r="AW99" s="74" t="str" cm="1">
        <f t="array" aca="1" ref="AW99" ca="1">IFERROR(_xlfn.XLOOKUP($C99,
INDIRECT("'在庫使用計画 ("&amp;AW$1&amp;")'!D:D"),
INDIRECT("'在庫使用計画 ("&amp;AW$1&amp;")'!I:I")
),"")</f>
        <v/>
      </c>
      <c r="AX99" s="74" t="str" cm="1">
        <f t="array" aca="1" ref="AX99" ca="1">IFERROR(_xlfn.XLOOKUP($C99,
INDIRECT("'在庫使用計画 ("&amp;AX$1&amp;")'!D:D"),
INDIRECT("'在庫使用計画 ("&amp;AX$1&amp;")'!I:I")
),"")</f>
        <v/>
      </c>
    </row>
    <row r="100" spans="1:50" s="21" customFormat="1" ht="18.600000000000001" customHeight="1">
      <c r="A100" s="67"/>
      <c r="B100" s="28"/>
      <c r="C100" s="86"/>
      <c r="D100" s="1032" t="str">
        <v/>
      </c>
      <c r="E100" s="62"/>
      <c r="F100" s="26"/>
      <c r="G100" s="26"/>
      <c r="H100" s="38" t="str">
        <v/>
      </c>
      <c r="I100" s="700" t="str">
        <v/>
      </c>
      <c r="J100" s="416" t="str">
        <v/>
      </c>
      <c r="K100" s="38" t="s">
        <v>21</v>
      </c>
      <c r="L100" s="38" t="s">
        <v>21</v>
      </c>
      <c r="M100" s="38" t="s">
        <v>21</v>
      </c>
      <c r="N100" s="38" t="s">
        <v>21</v>
      </c>
      <c r="O100" s="38" t="s">
        <v>21</v>
      </c>
      <c r="P100" s="38" t="s">
        <v>21</v>
      </c>
      <c r="Q100" s="38" t="s">
        <v>21</v>
      </c>
      <c r="R100" s="38" t="s">
        <v>21</v>
      </c>
      <c r="S100" s="38" t="s">
        <v>21</v>
      </c>
      <c r="T100" s="38" t="s">
        <v>21</v>
      </c>
      <c r="U100" s="38" t="s">
        <v>21</v>
      </c>
      <c r="V100" s="38" t="s">
        <v>21</v>
      </c>
      <c r="W100" s="38" t="s">
        <v>21</v>
      </c>
      <c r="X100" s="74" t="s">
        <v>21</v>
      </c>
      <c r="Y100" s="74" t="s">
        <v>21</v>
      </c>
      <c r="Z100" s="74" t="s">
        <v>21</v>
      </c>
      <c r="AA100" s="74" t="s">
        <v>21</v>
      </c>
      <c r="AB100" s="74" t="s">
        <v>21</v>
      </c>
      <c r="AC100" s="74" t="s">
        <v>21</v>
      </c>
      <c r="AD100" s="74" t="s">
        <v>21</v>
      </c>
      <c r="AE100" s="74" t="s">
        <v>21</v>
      </c>
      <c r="AF100" s="74" t="s">
        <v>21</v>
      </c>
      <c r="AG100" s="74" t="s">
        <v>21</v>
      </c>
      <c r="AH100" s="74" t="s">
        <v>21</v>
      </c>
      <c r="AI100" s="74" t="s">
        <v>21</v>
      </c>
      <c r="AJ100" s="74" t="s">
        <v>21</v>
      </c>
      <c r="AK100" s="74" t="s">
        <v>21</v>
      </c>
      <c r="AL100" s="74" t="s">
        <v>21</v>
      </c>
      <c r="AM100" s="74" t="s">
        <v>21</v>
      </c>
      <c r="AN100" s="74" t="s">
        <v>21</v>
      </c>
      <c r="AO100" s="74" t="s">
        <v>21</v>
      </c>
      <c r="AP100" s="74" t="s">
        <v>21</v>
      </c>
      <c r="AQ100" s="74" t="s">
        <v>21</v>
      </c>
      <c r="AR100" s="74" t="s">
        <v>21</v>
      </c>
      <c r="AS100" s="74" t="s">
        <v>21</v>
      </c>
      <c r="AT100" s="74" t="s">
        <v>21</v>
      </c>
      <c r="AU100" s="74" t="s">
        <v>21</v>
      </c>
      <c r="AV100" s="74" t="str" cm="1">
        <f t="array" aca="1" ref="AV100" ca="1">IFERROR(_xlfn.XLOOKUP($C100,
INDIRECT("'在庫使用計画 ("&amp;AV$1&amp;")'!D:D"),
INDIRECT("'在庫使用計画 ("&amp;AV$1&amp;")'!I:I")
),"")</f>
        <v/>
      </c>
      <c r="AW100" s="74" t="str" cm="1">
        <f t="array" aca="1" ref="AW100" ca="1">IFERROR(_xlfn.XLOOKUP($C100,
INDIRECT("'在庫使用計画 ("&amp;AW$1&amp;")'!D:D"),
INDIRECT("'在庫使用計画 ("&amp;AW$1&amp;")'!I:I")
),"")</f>
        <v/>
      </c>
      <c r="AX100" s="74" t="str" cm="1">
        <f t="array" aca="1" ref="AX100" ca="1">IFERROR(_xlfn.XLOOKUP($C100,
INDIRECT("'在庫使用計画 ("&amp;AX$1&amp;")'!D:D"),
INDIRECT("'在庫使用計画 ("&amp;AX$1&amp;")'!I:I")
),"")</f>
        <v/>
      </c>
    </row>
    <row r="101" spans="1:50" s="21" customFormat="1" ht="18.600000000000001" customHeight="1">
      <c r="A101" s="67" t="s">
        <v>1442</v>
      </c>
      <c r="B101" s="55" t="s">
        <v>1467</v>
      </c>
      <c r="C101" s="57" t="s">
        <v>1468</v>
      </c>
      <c r="D101" s="1032" t="e">
        <v>#REF!</v>
      </c>
      <c r="E101" s="57" t="s">
        <v>1434</v>
      </c>
      <c r="F101" s="58" t="s">
        <v>438</v>
      </c>
      <c r="G101" s="26" t="s">
        <v>1372</v>
      </c>
      <c r="H101" s="38">
        <v>15</v>
      </c>
      <c r="I101" s="700" t="e">
        <v>#REF!</v>
      </c>
      <c r="J101" s="416" t="e">
        <v>#REF!</v>
      </c>
      <c r="K101" s="38">
        <v>1776</v>
      </c>
      <c r="L101" s="38">
        <v>1503</v>
      </c>
      <c r="M101" s="38">
        <v>1503</v>
      </c>
      <c r="N101" s="38">
        <v>1503</v>
      </c>
      <c r="O101" s="38">
        <v>1923</v>
      </c>
      <c r="P101" s="38">
        <v>1923</v>
      </c>
      <c r="Q101" s="38">
        <v>1923</v>
      </c>
      <c r="R101" s="38">
        <v>1480</v>
      </c>
      <c r="S101" s="38">
        <v>1480</v>
      </c>
      <c r="T101" s="38">
        <v>890</v>
      </c>
      <c r="U101" s="38">
        <v>890</v>
      </c>
      <c r="V101" s="38">
        <v>890</v>
      </c>
      <c r="W101" s="38">
        <v>890</v>
      </c>
      <c r="X101" s="74">
        <v>890</v>
      </c>
      <c r="Y101" s="74">
        <v>890</v>
      </c>
      <c r="Z101" s="74">
        <v>890</v>
      </c>
      <c r="AA101" s="74">
        <v>890</v>
      </c>
      <c r="AB101" s="74">
        <v>435</v>
      </c>
      <c r="AC101" s="74">
        <v>435</v>
      </c>
      <c r="AD101" s="74">
        <v>435</v>
      </c>
      <c r="AE101" s="74">
        <v>435</v>
      </c>
      <c r="AF101" s="74">
        <v>435</v>
      </c>
      <c r="AG101" s="74">
        <v>435</v>
      </c>
      <c r="AH101" s="74">
        <v>435</v>
      </c>
      <c r="AI101" s="74">
        <v>50</v>
      </c>
      <c r="AJ101" s="74">
        <v>50</v>
      </c>
      <c r="AK101" s="74">
        <v>50</v>
      </c>
      <c r="AL101" s="74">
        <v>50</v>
      </c>
      <c r="AM101" s="74">
        <v>50</v>
      </c>
      <c r="AN101" s="74">
        <v>50</v>
      </c>
      <c r="AO101" s="74">
        <v>50</v>
      </c>
      <c r="AP101" s="74">
        <v>10</v>
      </c>
      <c r="AQ101" s="74">
        <v>50</v>
      </c>
      <c r="AR101" s="74">
        <v>50</v>
      </c>
      <c r="AS101" s="74">
        <v>50</v>
      </c>
      <c r="AT101" s="74">
        <v>50</v>
      </c>
      <c r="AU101" s="74">
        <v>50</v>
      </c>
      <c r="AV101" s="74" t="str" cm="1">
        <f t="array" aca="1" ref="AV101" ca="1">IFERROR(_xlfn.XLOOKUP($C101,
INDIRECT("'在庫使用計画 ("&amp;AV$1&amp;")'!D:D"),
INDIRECT("'在庫使用計画 ("&amp;AV$1&amp;")'!I:I")
),"")</f>
        <v/>
      </c>
      <c r="AW101" s="74" t="str" cm="1">
        <f t="array" aca="1" ref="AW101" ca="1">IFERROR(_xlfn.XLOOKUP($C101,
INDIRECT("'在庫使用計画 ("&amp;AW$1&amp;")'!D:D"),
INDIRECT("'在庫使用計画 ("&amp;AW$1&amp;")'!I:I")
),"")</f>
        <v/>
      </c>
      <c r="AX101" s="74" t="str" cm="1">
        <f t="array" aca="1" ref="AX101" ca="1">IFERROR(_xlfn.XLOOKUP($C101,
INDIRECT("'在庫使用計画 ("&amp;AX$1&amp;")'!D:D"),
INDIRECT("'在庫使用計画 ("&amp;AX$1&amp;")'!I:I")
),"")</f>
        <v/>
      </c>
    </row>
    <row r="102" spans="1:50" s="21" customFormat="1" ht="18.600000000000001" customHeight="1">
      <c r="A102" s="67" t="s">
        <v>1442</v>
      </c>
      <c r="B102" s="55" t="s">
        <v>1469</v>
      </c>
      <c r="C102" s="86" t="s">
        <v>1470</v>
      </c>
      <c r="D102" s="1032" t="e">
        <v>#REF!</v>
      </c>
      <c r="E102" s="62" t="s">
        <v>1430</v>
      </c>
      <c r="F102" s="26" t="s">
        <v>1423</v>
      </c>
      <c r="G102" s="26" t="s">
        <v>1372</v>
      </c>
      <c r="H102" s="38">
        <v>2</v>
      </c>
      <c r="I102" s="700" t="e">
        <v>#REF!</v>
      </c>
      <c r="J102" s="416" t="e">
        <v>#REF!</v>
      </c>
      <c r="K102" s="38" t="s">
        <v>21</v>
      </c>
      <c r="L102" s="38" t="s">
        <v>21</v>
      </c>
      <c r="M102" s="38" t="s">
        <v>21</v>
      </c>
      <c r="N102" s="38" t="s">
        <v>21</v>
      </c>
      <c r="O102" s="38" t="s">
        <v>21</v>
      </c>
      <c r="P102" s="38" t="s">
        <v>21</v>
      </c>
      <c r="Q102" s="38" t="s">
        <v>21</v>
      </c>
      <c r="R102" s="38">
        <v>733</v>
      </c>
      <c r="S102" s="38">
        <v>733</v>
      </c>
      <c r="T102" s="38">
        <v>1007</v>
      </c>
      <c r="U102" s="38">
        <v>1007</v>
      </c>
      <c r="V102" s="38">
        <v>1007</v>
      </c>
      <c r="W102" s="38">
        <v>1007</v>
      </c>
      <c r="X102" s="74">
        <v>1050</v>
      </c>
      <c r="Y102" s="74">
        <v>1050</v>
      </c>
      <c r="Z102" s="74">
        <v>1050</v>
      </c>
      <c r="AA102" s="74">
        <v>1050</v>
      </c>
      <c r="AB102" s="74">
        <v>830</v>
      </c>
      <c r="AC102" s="74">
        <v>830</v>
      </c>
      <c r="AD102" s="74">
        <v>830</v>
      </c>
      <c r="AE102" s="74">
        <v>830</v>
      </c>
      <c r="AF102" s="74">
        <v>830</v>
      </c>
      <c r="AG102" s="74">
        <v>830</v>
      </c>
      <c r="AH102" s="74">
        <v>830</v>
      </c>
      <c r="AI102" s="74">
        <v>510</v>
      </c>
      <c r="AJ102" s="74">
        <v>510</v>
      </c>
      <c r="AK102" s="74">
        <v>510</v>
      </c>
      <c r="AL102" s="74">
        <v>438</v>
      </c>
      <c r="AM102" s="74">
        <v>438</v>
      </c>
      <c r="AN102" s="74">
        <v>438</v>
      </c>
      <c r="AO102" s="74">
        <v>438</v>
      </c>
      <c r="AP102" s="74">
        <v>445</v>
      </c>
      <c r="AQ102" s="74">
        <v>445</v>
      </c>
      <c r="AR102" s="74">
        <v>345</v>
      </c>
      <c r="AS102" s="74">
        <v>345</v>
      </c>
      <c r="AT102" s="74">
        <v>345</v>
      </c>
      <c r="AU102" s="74">
        <v>345</v>
      </c>
      <c r="AV102" s="74" t="str" cm="1">
        <f t="array" aca="1" ref="AV102" ca="1">IFERROR(_xlfn.XLOOKUP($C102,
INDIRECT("'在庫使用計画 ("&amp;AV$1&amp;")'!D:D"),
INDIRECT("'在庫使用計画 ("&amp;AV$1&amp;")'!I:I")
),"")</f>
        <v/>
      </c>
      <c r="AW102" s="74" t="str" cm="1">
        <f t="array" aca="1" ref="AW102" ca="1">IFERROR(_xlfn.XLOOKUP($C102,
INDIRECT("'在庫使用計画 ("&amp;AW$1&amp;")'!D:D"),
INDIRECT("'在庫使用計画 ("&amp;AW$1&amp;")'!I:I")
),"")</f>
        <v/>
      </c>
      <c r="AX102" s="74" t="str" cm="1">
        <f t="array" aca="1" ref="AX102" ca="1">IFERROR(_xlfn.XLOOKUP($C102,
INDIRECT("'在庫使用計画 ("&amp;AX$1&amp;")'!D:D"),
INDIRECT("'在庫使用計画 ("&amp;AX$1&amp;")'!I:I")
),"")</f>
        <v/>
      </c>
    </row>
    <row r="103" spans="1:50" s="70" customFormat="1" ht="18.600000000000001" customHeight="1">
      <c r="A103" s="67" t="s">
        <v>1442</v>
      </c>
      <c r="B103" s="14" t="s">
        <v>735</v>
      </c>
      <c r="C103" s="701" t="s">
        <v>1471</v>
      </c>
      <c r="D103" s="1036" t="e">
        <v>#REF!</v>
      </c>
      <c r="E103" s="72" t="s">
        <v>1472</v>
      </c>
      <c r="F103" s="68"/>
      <c r="G103" s="68" t="s">
        <v>20</v>
      </c>
      <c r="H103" s="38">
        <v>259</v>
      </c>
      <c r="I103" s="700" t="e">
        <v>#REF!</v>
      </c>
      <c r="J103" s="416" t="e">
        <v>#REF!</v>
      </c>
      <c r="K103" s="38"/>
      <c r="L103" s="38"/>
      <c r="M103" s="38"/>
      <c r="N103" s="38"/>
      <c r="O103" s="38"/>
      <c r="P103" s="38"/>
      <c r="Q103" s="38"/>
      <c r="R103" s="74" t="s">
        <v>21</v>
      </c>
      <c r="S103" s="74" t="s">
        <v>21</v>
      </c>
      <c r="T103" s="74" t="s">
        <v>21</v>
      </c>
      <c r="U103" s="74">
        <v>0</v>
      </c>
      <c r="V103" s="74">
        <v>0</v>
      </c>
      <c r="W103" s="74">
        <v>0</v>
      </c>
      <c r="X103" s="74">
        <v>60</v>
      </c>
      <c r="Y103" s="74">
        <v>60</v>
      </c>
      <c r="Z103" s="74">
        <v>60</v>
      </c>
      <c r="AA103" s="74">
        <v>60</v>
      </c>
      <c r="AB103" s="74">
        <v>450</v>
      </c>
      <c r="AC103" s="74">
        <v>450</v>
      </c>
      <c r="AD103" s="74">
        <v>450</v>
      </c>
      <c r="AE103" s="74">
        <v>450</v>
      </c>
      <c r="AF103" s="74">
        <v>450</v>
      </c>
      <c r="AG103" s="74">
        <v>450</v>
      </c>
      <c r="AH103" s="74">
        <v>450</v>
      </c>
      <c r="AI103" s="74">
        <v>740</v>
      </c>
      <c r="AJ103" s="74">
        <v>740</v>
      </c>
      <c r="AK103" s="74">
        <v>740</v>
      </c>
      <c r="AL103" s="74">
        <v>60</v>
      </c>
      <c r="AM103" s="74">
        <v>60</v>
      </c>
      <c r="AN103" s="74">
        <v>0</v>
      </c>
      <c r="AO103" s="74">
        <v>0</v>
      </c>
      <c r="AP103" s="74">
        <v>0</v>
      </c>
      <c r="AQ103" s="74">
        <v>0</v>
      </c>
      <c r="AR103" s="74">
        <v>0</v>
      </c>
      <c r="AS103" s="74">
        <v>0</v>
      </c>
      <c r="AT103" s="74">
        <v>0</v>
      </c>
      <c r="AU103" s="74">
        <v>0</v>
      </c>
      <c r="AV103" s="74" t="str" cm="1">
        <f t="array" aca="1" ref="AV103" ca="1">IFERROR(_xlfn.XLOOKUP($C103,
INDIRECT("'在庫使用計画 ("&amp;AV$1&amp;")'!D:D"),
INDIRECT("'在庫使用計画 ("&amp;AV$1&amp;")'!I:I")
),"")</f>
        <v/>
      </c>
      <c r="AW103" s="74" t="str" cm="1">
        <f t="array" aca="1" ref="AW103" ca="1">IFERROR(_xlfn.XLOOKUP($C103,
INDIRECT("'在庫使用計画 ("&amp;AW$1&amp;")'!D:D"),
INDIRECT("'在庫使用計画 ("&amp;AW$1&amp;")'!I:I")
),"")</f>
        <v/>
      </c>
      <c r="AX103" s="74" t="str" cm="1">
        <f t="array" aca="1" ref="AX103" ca="1">IFERROR(_xlfn.XLOOKUP($C103,
INDIRECT("'在庫使用計画 ("&amp;AX$1&amp;")'!D:D"),
INDIRECT("'在庫使用計画 ("&amp;AX$1&amp;")'!I:I")
),"")</f>
        <v/>
      </c>
    </row>
    <row r="104" spans="1:50" s="21" customFormat="1" ht="18.600000000000001" customHeight="1">
      <c r="A104" s="67" t="s">
        <v>1442</v>
      </c>
      <c r="B104" s="28" t="s">
        <v>841</v>
      </c>
      <c r="C104" s="500" t="s">
        <v>839</v>
      </c>
      <c r="D104" s="1032" t="e">
        <v>#REF!</v>
      </c>
      <c r="E104" s="491" t="s">
        <v>842</v>
      </c>
      <c r="F104" s="380" t="s">
        <v>438</v>
      </c>
      <c r="G104" s="380"/>
      <c r="H104" s="38">
        <v>670</v>
      </c>
      <c r="I104" s="700" t="e">
        <v>#REF!</v>
      </c>
      <c r="J104" s="416" t="e">
        <v>#REF!</v>
      </c>
      <c r="K104" s="38">
        <v>360</v>
      </c>
      <c r="L104" s="38">
        <v>560</v>
      </c>
      <c r="M104" s="38">
        <v>480</v>
      </c>
      <c r="N104" s="38">
        <v>480</v>
      </c>
      <c r="O104" s="38">
        <v>505</v>
      </c>
      <c r="P104" s="38">
        <v>505</v>
      </c>
      <c r="Q104" s="38">
        <v>505</v>
      </c>
      <c r="R104" s="38">
        <v>505</v>
      </c>
      <c r="S104" s="38">
        <v>505</v>
      </c>
      <c r="T104" s="38">
        <v>790</v>
      </c>
      <c r="U104" s="38">
        <v>790</v>
      </c>
      <c r="V104" s="38">
        <v>790</v>
      </c>
      <c r="W104" s="38">
        <v>790</v>
      </c>
      <c r="X104" s="74">
        <v>790</v>
      </c>
      <c r="Y104" s="74">
        <v>940</v>
      </c>
      <c r="Z104" s="74">
        <v>855</v>
      </c>
      <c r="AA104" s="74">
        <v>855</v>
      </c>
      <c r="AB104" s="74">
        <v>1130</v>
      </c>
      <c r="AC104" s="74">
        <v>1130</v>
      </c>
      <c r="AD104" s="74">
        <v>1335</v>
      </c>
      <c r="AE104" s="74">
        <v>1335</v>
      </c>
      <c r="AF104" s="74">
        <v>1335</v>
      </c>
      <c r="AG104" s="74">
        <v>1335</v>
      </c>
      <c r="AH104" s="74">
        <v>1335</v>
      </c>
      <c r="AI104" s="74">
        <v>1435</v>
      </c>
      <c r="AJ104" s="74">
        <v>1435</v>
      </c>
      <c r="AK104" s="74">
        <v>1435</v>
      </c>
      <c r="AL104" s="74">
        <v>1435</v>
      </c>
      <c r="AM104" s="74">
        <v>1435</v>
      </c>
      <c r="AN104" s="74">
        <v>1435</v>
      </c>
      <c r="AO104" s="74">
        <v>1435</v>
      </c>
      <c r="AP104" s="74">
        <v>1390</v>
      </c>
      <c r="AQ104" s="74">
        <v>1460</v>
      </c>
      <c r="AR104" s="74">
        <v>1460</v>
      </c>
      <c r="AS104" s="74">
        <v>1460</v>
      </c>
      <c r="AT104" s="74">
        <v>1460</v>
      </c>
      <c r="AU104" s="74">
        <v>1460</v>
      </c>
      <c r="AV104" s="74" t="str" cm="1">
        <f t="array" aca="1" ref="AV104" ca="1">IFERROR(_xlfn.XLOOKUP($C104,
INDIRECT("'在庫使用計画 ("&amp;AV$1&amp;")'!D:D"),
INDIRECT("'在庫使用計画 ("&amp;AV$1&amp;")'!I:I")
),"")</f>
        <v/>
      </c>
      <c r="AW104" s="74" t="str" cm="1">
        <f t="array" aca="1" ref="AW104" ca="1">IFERROR(_xlfn.XLOOKUP($C104,
INDIRECT("'在庫使用計画 ("&amp;AW$1&amp;")'!D:D"),
INDIRECT("'在庫使用計画 ("&amp;AW$1&amp;")'!I:I")
),"")</f>
        <v/>
      </c>
      <c r="AX104" s="74" t="str" cm="1">
        <f t="array" aca="1" ref="AX104" ca="1">IFERROR(_xlfn.XLOOKUP($C104,
INDIRECT("'在庫使用計画 ("&amp;AX$1&amp;")'!D:D"),
INDIRECT("'在庫使用計画 ("&amp;AX$1&amp;")'!I:I")
),"")</f>
        <v/>
      </c>
    </row>
    <row r="105" spans="1:50" s="21" customFormat="1" ht="18.600000000000001" customHeight="1">
      <c r="A105" s="67"/>
      <c r="B105" s="28"/>
      <c r="C105" s="500"/>
      <c r="D105" s="1032" t="str">
        <v/>
      </c>
      <c r="E105" s="491"/>
      <c r="F105" s="380"/>
      <c r="G105" s="380"/>
      <c r="H105" s="38" t="str">
        <v/>
      </c>
      <c r="I105" s="700" t="str">
        <v/>
      </c>
      <c r="J105" s="416" t="str">
        <v/>
      </c>
      <c r="K105" s="38"/>
      <c r="L105" s="38"/>
      <c r="M105" s="38"/>
      <c r="N105" s="38"/>
      <c r="O105" s="38"/>
      <c r="P105" s="38"/>
      <c r="Q105" s="38"/>
      <c r="R105" s="38"/>
      <c r="S105" s="38"/>
      <c r="T105" s="38"/>
      <c r="U105" s="38"/>
      <c r="V105" s="38"/>
      <c r="W105" s="38"/>
      <c r="X105" s="74"/>
      <c r="Y105" s="74"/>
      <c r="Z105" s="74"/>
      <c r="AA105" s="74"/>
      <c r="AB105" s="74"/>
      <c r="AC105" s="74"/>
      <c r="AD105" s="74"/>
      <c r="AE105" s="74"/>
      <c r="AF105" s="74"/>
      <c r="AG105" s="74"/>
      <c r="AH105" s="74"/>
      <c r="AI105" s="74"/>
      <c r="AJ105" s="74"/>
      <c r="AK105" s="74"/>
      <c r="AL105" s="74"/>
      <c r="AM105" s="74"/>
      <c r="AN105" s="74"/>
      <c r="AO105" s="74"/>
      <c r="AP105" s="74"/>
      <c r="AQ105" s="74"/>
      <c r="AR105" s="74"/>
      <c r="AS105" s="74"/>
      <c r="AT105" s="74"/>
      <c r="AU105" s="74"/>
      <c r="AV105" s="74"/>
      <c r="AW105" s="74"/>
      <c r="AX105" s="74"/>
    </row>
    <row r="106" spans="1:50" s="21" customFormat="1" ht="18.600000000000001" customHeight="1">
      <c r="A106" s="67" t="s">
        <v>1473</v>
      </c>
      <c r="B106" s="28" t="s">
        <v>811</v>
      </c>
      <c r="C106" s="500" t="s">
        <v>1474</v>
      </c>
      <c r="D106" s="1032" t="e">
        <v>#REF!</v>
      </c>
      <c r="E106" s="491"/>
      <c r="F106" s="380"/>
      <c r="G106" s="380"/>
      <c r="H106" s="38" t="e">
        <v>#N/A</v>
      </c>
      <c r="I106" s="700" t="e">
        <v>#REF!</v>
      </c>
      <c r="J106" s="416" t="e">
        <v>#REF!</v>
      </c>
      <c r="K106" s="38"/>
      <c r="L106" s="38"/>
      <c r="M106" s="38"/>
      <c r="N106" s="38"/>
      <c r="O106" s="38"/>
      <c r="P106" s="38"/>
      <c r="Q106" s="38"/>
      <c r="R106" s="38"/>
      <c r="S106" s="38"/>
      <c r="T106" s="38"/>
      <c r="U106" s="38"/>
      <c r="V106" s="38"/>
      <c r="W106" s="38"/>
      <c r="X106" s="74"/>
      <c r="Y106" s="74"/>
      <c r="Z106" s="74"/>
      <c r="AA106" s="74"/>
      <c r="AB106" s="74"/>
      <c r="AC106" s="74"/>
      <c r="AD106" s="74"/>
      <c r="AE106" s="74"/>
      <c r="AF106" s="74"/>
      <c r="AG106" s="74"/>
      <c r="AH106" s="74"/>
      <c r="AI106" s="74"/>
      <c r="AJ106" s="74"/>
      <c r="AK106" s="74"/>
      <c r="AL106" s="74"/>
      <c r="AM106" s="74"/>
      <c r="AN106" s="74"/>
      <c r="AO106" s="74"/>
      <c r="AP106" s="74"/>
      <c r="AQ106" s="74"/>
      <c r="AR106" s="74"/>
      <c r="AS106" s="74"/>
      <c r="AT106" s="74"/>
      <c r="AU106" s="74"/>
      <c r="AV106" s="74"/>
      <c r="AW106" s="74"/>
      <c r="AX106" s="74"/>
    </row>
    <row r="107" spans="1:50" s="21" customFormat="1" ht="18.600000000000001" customHeight="1">
      <c r="A107" s="67" t="s">
        <v>1473</v>
      </c>
      <c r="B107" s="28" t="s">
        <v>807</v>
      </c>
      <c r="C107" s="500" t="s">
        <v>1475</v>
      </c>
      <c r="D107" s="1032" t="e">
        <v>#REF!</v>
      </c>
      <c r="E107" s="491"/>
      <c r="F107" s="380"/>
      <c r="G107" s="380"/>
      <c r="H107" s="38" t="e">
        <v>#N/A</v>
      </c>
      <c r="I107" s="700" t="e">
        <v>#REF!</v>
      </c>
      <c r="J107" s="416" t="e">
        <v>#REF!</v>
      </c>
      <c r="K107" s="38"/>
      <c r="L107" s="38"/>
      <c r="M107" s="38"/>
      <c r="N107" s="38"/>
      <c r="O107" s="38"/>
      <c r="P107" s="38"/>
      <c r="Q107" s="38"/>
      <c r="R107" s="38"/>
      <c r="S107" s="38"/>
      <c r="T107" s="38"/>
      <c r="U107" s="38"/>
      <c r="V107" s="38"/>
      <c r="W107" s="38"/>
      <c r="X107" s="74"/>
      <c r="Y107" s="74"/>
      <c r="Z107" s="74"/>
      <c r="AA107" s="74"/>
      <c r="AB107" s="74"/>
      <c r="AC107" s="74"/>
      <c r="AD107" s="74"/>
      <c r="AE107" s="74"/>
      <c r="AF107" s="74"/>
      <c r="AG107" s="74"/>
      <c r="AH107" s="74"/>
      <c r="AI107" s="74"/>
      <c r="AJ107" s="74"/>
      <c r="AK107" s="74"/>
      <c r="AL107" s="74"/>
      <c r="AM107" s="74"/>
      <c r="AN107" s="74"/>
      <c r="AO107" s="74"/>
      <c r="AP107" s="74"/>
      <c r="AQ107" s="74"/>
      <c r="AR107" s="74"/>
      <c r="AS107" s="74"/>
      <c r="AT107" s="74"/>
      <c r="AU107" s="74"/>
      <c r="AV107" s="74"/>
      <c r="AW107" s="74"/>
      <c r="AX107" s="74"/>
    </row>
    <row r="108" spans="1:50" s="21" customFormat="1" ht="18.600000000000001" customHeight="1">
      <c r="A108" s="67" t="s">
        <v>1473</v>
      </c>
      <c r="B108" s="28" t="s">
        <v>803</v>
      </c>
      <c r="C108" s="500" t="s">
        <v>1476</v>
      </c>
      <c r="D108" s="1032" t="e">
        <v>#REF!</v>
      </c>
      <c r="E108" s="491"/>
      <c r="F108" s="380"/>
      <c r="G108" s="380"/>
      <c r="H108" s="38" t="e">
        <v>#N/A</v>
      </c>
      <c r="I108" s="700" t="e">
        <v>#REF!</v>
      </c>
      <c r="J108" s="416" t="e">
        <v>#REF!</v>
      </c>
      <c r="K108" s="38"/>
      <c r="L108" s="38"/>
      <c r="M108" s="38"/>
      <c r="N108" s="38"/>
      <c r="O108" s="38"/>
      <c r="P108" s="38"/>
      <c r="Q108" s="38"/>
      <c r="R108" s="38"/>
      <c r="S108" s="38"/>
      <c r="T108" s="38"/>
      <c r="U108" s="38"/>
      <c r="V108" s="38"/>
      <c r="W108" s="38"/>
      <c r="X108" s="74"/>
      <c r="Y108" s="74"/>
      <c r="Z108" s="74"/>
      <c r="AA108" s="74"/>
      <c r="AB108" s="74"/>
      <c r="AC108" s="74"/>
      <c r="AD108" s="74"/>
      <c r="AE108" s="74"/>
      <c r="AF108" s="74"/>
      <c r="AG108" s="74"/>
      <c r="AH108" s="74"/>
      <c r="AI108" s="74"/>
      <c r="AJ108" s="74"/>
      <c r="AK108" s="74"/>
      <c r="AL108" s="74"/>
      <c r="AM108" s="74"/>
      <c r="AN108" s="74"/>
      <c r="AO108" s="74"/>
      <c r="AP108" s="74"/>
      <c r="AQ108" s="74"/>
      <c r="AR108" s="74"/>
      <c r="AS108" s="74"/>
      <c r="AT108" s="74"/>
      <c r="AU108" s="74"/>
      <c r="AV108" s="74"/>
      <c r="AW108" s="74"/>
      <c r="AX108" s="74"/>
    </row>
    <row r="109" spans="1:50" s="21" customFormat="1" ht="18.600000000000001" customHeight="1">
      <c r="A109" s="67" t="s">
        <v>1473</v>
      </c>
      <c r="B109" s="28" t="s">
        <v>824</v>
      </c>
      <c r="C109" s="500" t="s">
        <v>1477</v>
      </c>
      <c r="D109" s="1032" t="e">
        <v>#REF!</v>
      </c>
      <c r="E109" s="491"/>
      <c r="F109" s="380"/>
      <c r="G109" s="380"/>
      <c r="H109" s="38" t="e">
        <v>#N/A</v>
      </c>
      <c r="I109" s="700" t="e">
        <v>#REF!</v>
      </c>
      <c r="J109" s="416" t="e">
        <v>#REF!</v>
      </c>
      <c r="K109" s="38"/>
      <c r="L109" s="38"/>
      <c r="M109" s="38"/>
      <c r="N109" s="38"/>
      <c r="O109" s="38"/>
      <c r="P109" s="38"/>
      <c r="Q109" s="38"/>
      <c r="R109" s="38"/>
      <c r="S109" s="38"/>
      <c r="T109" s="38"/>
      <c r="U109" s="38"/>
      <c r="V109" s="38"/>
      <c r="W109" s="38"/>
      <c r="X109" s="74"/>
      <c r="Y109" s="74"/>
      <c r="Z109" s="74"/>
      <c r="AA109" s="74"/>
      <c r="AB109" s="74"/>
      <c r="AC109" s="74"/>
      <c r="AD109" s="74"/>
      <c r="AE109" s="74"/>
      <c r="AF109" s="74"/>
      <c r="AG109" s="74"/>
      <c r="AH109" s="74"/>
      <c r="AI109" s="74"/>
      <c r="AJ109" s="74"/>
      <c r="AK109" s="74"/>
      <c r="AL109" s="74"/>
      <c r="AM109" s="74"/>
      <c r="AN109" s="74"/>
      <c r="AO109" s="74"/>
      <c r="AP109" s="74"/>
      <c r="AQ109" s="74"/>
      <c r="AR109" s="74"/>
      <c r="AS109" s="74"/>
      <c r="AT109" s="74"/>
      <c r="AU109" s="74"/>
      <c r="AV109" s="74"/>
      <c r="AW109" s="74"/>
      <c r="AX109" s="74"/>
    </row>
    <row r="110" spans="1:50" s="21" customFormat="1" ht="18.600000000000001" customHeight="1">
      <c r="A110" s="67" t="s">
        <v>1473</v>
      </c>
      <c r="B110" s="28" t="s">
        <v>820</v>
      </c>
      <c r="C110" s="500" t="s">
        <v>1478</v>
      </c>
      <c r="D110" s="1032" t="e">
        <v>#REF!</v>
      </c>
      <c r="E110" s="491"/>
      <c r="F110" s="380"/>
      <c r="G110" s="380"/>
      <c r="H110" s="38" t="e">
        <v>#N/A</v>
      </c>
      <c r="I110" s="700" t="e">
        <v>#REF!</v>
      </c>
      <c r="J110" s="416" t="e">
        <v>#REF!</v>
      </c>
      <c r="K110" s="38"/>
      <c r="L110" s="38"/>
      <c r="M110" s="38"/>
      <c r="N110" s="38"/>
      <c r="O110" s="38"/>
      <c r="P110" s="38"/>
      <c r="Q110" s="38"/>
      <c r="R110" s="38"/>
      <c r="S110" s="38"/>
      <c r="T110" s="38"/>
      <c r="U110" s="38"/>
      <c r="V110" s="38"/>
      <c r="W110" s="38"/>
      <c r="X110" s="74"/>
      <c r="Y110" s="74"/>
      <c r="Z110" s="74"/>
      <c r="AA110" s="74"/>
      <c r="AB110" s="74"/>
      <c r="AC110" s="74"/>
      <c r="AD110" s="74"/>
      <c r="AE110" s="74"/>
      <c r="AF110" s="74"/>
      <c r="AG110" s="74"/>
      <c r="AH110" s="74"/>
      <c r="AI110" s="74"/>
      <c r="AJ110" s="74"/>
      <c r="AK110" s="74"/>
      <c r="AL110" s="74"/>
      <c r="AM110" s="74"/>
      <c r="AN110" s="74"/>
      <c r="AO110" s="74"/>
      <c r="AP110" s="74"/>
      <c r="AQ110" s="74"/>
      <c r="AR110" s="74"/>
      <c r="AS110" s="74"/>
      <c r="AT110" s="74"/>
      <c r="AU110" s="74"/>
      <c r="AV110" s="74"/>
      <c r="AW110" s="74"/>
      <c r="AX110" s="74"/>
    </row>
    <row r="111" spans="1:50" s="21" customFormat="1" ht="18.600000000000001" customHeight="1">
      <c r="A111" s="67" t="s">
        <v>1473</v>
      </c>
      <c r="B111" s="28" t="s">
        <v>815</v>
      </c>
      <c r="C111" s="500" t="s">
        <v>1479</v>
      </c>
      <c r="D111" s="1032" t="e">
        <v>#REF!</v>
      </c>
      <c r="E111" s="491"/>
      <c r="F111" s="380"/>
      <c r="G111" s="380"/>
      <c r="H111" s="38" t="e">
        <v>#N/A</v>
      </c>
      <c r="I111" s="700" t="e">
        <v>#REF!</v>
      </c>
      <c r="J111" s="416" t="e">
        <v>#REF!</v>
      </c>
      <c r="K111" s="38"/>
      <c r="L111" s="38"/>
      <c r="M111" s="38"/>
      <c r="N111" s="38"/>
      <c r="O111" s="38"/>
      <c r="P111" s="38"/>
      <c r="Q111" s="38"/>
      <c r="R111" s="38"/>
      <c r="S111" s="38"/>
      <c r="T111" s="38"/>
      <c r="U111" s="38"/>
      <c r="V111" s="38"/>
      <c r="W111" s="38"/>
      <c r="X111" s="74"/>
      <c r="Y111" s="74"/>
      <c r="Z111" s="74"/>
      <c r="AA111" s="74"/>
      <c r="AB111" s="74"/>
      <c r="AC111" s="74"/>
      <c r="AD111" s="74"/>
      <c r="AE111" s="74"/>
      <c r="AF111" s="74"/>
      <c r="AG111" s="74"/>
      <c r="AH111" s="74"/>
      <c r="AI111" s="74"/>
      <c r="AJ111" s="74"/>
      <c r="AK111" s="74"/>
      <c r="AL111" s="74"/>
      <c r="AM111" s="74"/>
      <c r="AN111" s="74"/>
      <c r="AO111" s="74"/>
      <c r="AP111" s="74"/>
      <c r="AQ111" s="74"/>
      <c r="AR111" s="74"/>
      <c r="AS111" s="74"/>
      <c r="AT111" s="74"/>
      <c r="AU111" s="74"/>
      <c r="AV111" s="74"/>
      <c r="AW111" s="74"/>
      <c r="AX111" s="74"/>
    </row>
    <row r="112" spans="1:50" s="21" customFormat="1" ht="18.600000000000001" customHeight="1">
      <c r="A112" s="67" t="s">
        <v>1473</v>
      </c>
      <c r="B112" s="28" t="s">
        <v>837</v>
      </c>
      <c r="C112" s="500" t="s">
        <v>1480</v>
      </c>
      <c r="D112" s="1032" t="e">
        <v>#REF!</v>
      </c>
      <c r="E112" s="491"/>
      <c r="F112" s="380"/>
      <c r="G112" s="380"/>
      <c r="H112" s="38" t="e">
        <v>#N/A</v>
      </c>
      <c r="I112" s="700" t="e">
        <v>#REF!</v>
      </c>
      <c r="J112" s="416" t="e">
        <v>#REF!</v>
      </c>
      <c r="K112" s="38"/>
      <c r="L112" s="38"/>
      <c r="M112" s="38"/>
      <c r="N112" s="38"/>
      <c r="O112" s="38"/>
      <c r="P112" s="38"/>
      <c r="Q112" s="38"/>
      <c r="R112" s="38"/>
      <c r="S112" s="38"/>
      <c r="T112" s="38"/>
      <c r="U112" s="38"/>
      <c r="V112" s="38"/>
      <c r="W112" s="38"/>
      <c r="X112" s="74"/>
      <c r="Y112" s="74"/>
      <c r="Z112" s="74"/>
      <c r="AA112" s="74"/>
      <c r="AB112" s="74"/>
      <c r="AC112" s="74"/>
      <c r="AD112" s="74"/>
      <c r="AE112" s="74"/>
      <c r="AF112" s="74"/>
      <c r="AG112" s="74"/>
      <c r="AH112" s="74"/>
      <c r="AI112" s="74"/>
      <c r="AJ112" s="74"/>
      <c r="AK112" s="74"/>
      <c r="AL112" s="74"/>
      <c r="AM112" s="74"/>
      <c r="AN112" s="74"/>
      <c r="AO112" s="74"/>
      <c r="AP112" s="74"/>
      <c r="AQ112" s="74"/>
      <c r="AR112" s="74"/>
      <c r="AS112" s="74"/>
      <c r="AT112" s="74"/>
      <c r="AU112" s="74"/>
      <c r="AV112" s="74"/>
      <c r="AW112" s="74"/>
      <c r="AX112" s="74"/>
    </row>
    <row r="113" spans="1:50" s="21" customFormat="1" ht="18.600000000000001" customHeight="1">
      <c r="A113" s="67" t="s">
        <v>1473</v>
      </c>
      <c r="B113" s="28" t="s">
        <v>833</v>
      </c>
      <c r="C113" s="500" t="s">
        <v>1481</v>
      </c>
      <c r="D113" s="1032" t="e">
        <v>#REF!</v>
      </c>
      <c r="E113" s="491"/>
      <c r="F113" s="380"/>
      <c r="G113" s="380"/>
      <c r="H113" s="38" t="e">
        <v>#N/A</v>
      </c>
      <c r="I113" s="700" t="e">
        <v>#REF!</v>
      </c>
      <c r="J113" s="416" t="e">
        <v>#REF!</v>
      </c>
      <c r="K113" s="38"/>
      <c r="L113" s="38"/>
      <c r="M113" s="38"/>
      <c r="N113" s="38"/>
      <c r="O113" s="38"/>
      <c r="P113" s="38"/>
      <c r="Q113" s="38"/>
      <c r="R113" s="38"/>
      <c r="S113" s="38"/>
      <c r="T113" s="38"/>
      <c r="U113" s="38"/>
      <c r="V113" s="38"/>
      <c r="W113" s="38"/>
      <c r="X113" s="74"/>
      <c r="Y113" s="74"/>
      <c r="Z113" s="74"/>
      <c r="AA113" s="74"/>
      <c r="AB113" s="74"/>
      <c r="AC113" s="74"/>
      <c r="AD113" s="74"/>
      <c r="AE113" s="74"/>
      <c r="AF113" s="74"/>
      <c r="AG113" s="74"/>
      <c r="AH113" s="74"/>
      <c r="AI113" s="74"/>
      <c r="AJ113" s="74"/>
      <c r="AK113" s="74"/>
      <c r="AL113" s="74"/>
      <c r="AM113" s="74"/>
      <c r="AN113" s="74"/>
      <c r="AO113" s="74"/>
      <c r="AP113" s="74"/>
      <c r="AQ113" s="74"/>
      <c r="AR113" s="74"/>
      <c r="AS113" s="74"/>
      <c r="AT113" s="74"/>
      <c r="AU113" s="74"/>
      <c r="AV113" s="74"/>
      <c r="AW113" s="74"/>
      <c r="AX113" s="74"/>
    </row>
    <row r="114" spans="1:50" s="21" customFormat="1" ht="18.600000000000001" customHeight="1">
      <c r="A114" s="67" t="s">
        <v>1473</v>
      </c>
      <c r="B114" s="28" t="s">
        <v>828</v>
      </c>
      <c r="C114" s="500" t="s">
        <v>1482</v>
      </c>
      <c r="D114" s="1032" t="e">
        <v>#REF!</v>
      </c>
      <c r="E114" s="491"/>
      <c r="F114" s="380"/>
      <c r="G114" s="380"/>
      <c r="H114" s="38" t="e">
        <v>#N/A</v>
      </c>
      <c r="I114" s="700" t="e">
        <v>#REF!</v>
      </c>
      <c r="J114" s="416" t="e">
        <v>#REF!</v>
      </c>
      <c r="K114" s="38"/>
      <c r="L114" s="38"/>
      <c r="M114" s="38"/>
      <c r="N114" s="38"/>
      <c r="O114" s="38"/>
      <c r="P114" s="38"/>
      <c r="Q114" s="38"/>
      <c r="R114" s="38"/>
      <c r="S114" s="38"/>
      <c r="T114" s="38"/>
      <c r="U114" s="38"/>
      <c r="V114" s="38"/>
      <c r="W114" s="38"/>
      <c r="X114" s="74"/>
      <c r="Y114" s="74"/>
      <c r="Z114" s="74"/>
      <c r="AA114" s="74"/>
      <c r="AB114" s="74"/>
      <c r="AC114" s="74"/>
      <c r="AD114" s="74"/>
      <c r="AE114" s="74"/>
      <c r="AF114" s="74"/>
      <c r="AG114" s="74"/>
      <c r="AH114" s="74"/>
      <c r="AI114" s="74"/>
      <c r="AJ114" s="74"/>
      <c r="AK114" s="74"/>
      <c r="AL114" s="74"/>
      <c r="AM114" s="74"/>
      <c r="AN114" s="74"/>
      <c r="AO114" s="74"/>
      <c r="AP114" s="74"/>
      <c r="AQ114" s="74"/>
      <c r="AR114" s="74"/>
      <c r="AS114" s="74"/>
      <c r="AT114" s="74"/>
      <c r="AU114" s="74"/>
      <c r="AV114" s="74"/>
      <c r="AW114" s="74"/>
      <c r="AX114" s="74"/>
    </row>
    <row r="115" spans="1:50" s="21" customFormat="1" ht="18.600000000000001" customHeight="1">
      <c r="A115" s="32" t="s">
        <v>1473</v>
      </c>
      <c r="B115" s="28" t="s">
        <v>1483</v>
      </c>
      <c r="C115" s="86" t="s">
        <v>1484</v>
      </c>
      <c r="D115" s="1032" t="e">
        <v>#REF!</v>
      </c>
      <c r="E115" s="62"/>
      <c r="F115" s="26"/>
      <c r="G115" s="26"/>
      <c r="H115" s="38" t="e">
        <v>#N/A</v>
      </c>
      <c r="I115" s="700" t="e">
        <v>#REF!</v>
      </c>
      <c r="J115" s="416" t="e">
        <v>#REF!</v>
      </c>
      <c r="K115" s="38" t="s">
        <v>21</v>
      </c>
      <c r="L115" s="38" t="s">
        <v>21</v>
      </c>
      <c r="M115" s="38" t="s">
        <v>21</v>
      </c>
      <c r="N115" s="38" t="s">
        <v>21</v>
      </c>
      <c r="O115" s="38" t="s">
        <v>21</v>
      </c>
      <c r="P115" s="38" t="s">
        <v>21</v>
      </c>
      <c r="Q115" s="38" t="s">
        <v>21</v>
      </c>
      <c r="R115" s="38" t="s">
        <v>21</v>
      </c>
      <c r="S115" s="38" t="s">
        <v>21</v>
      </c>
      <c r="T115" s="38" t="s">
        <v>21</v>
      </c>
      <c r="U115" s="38" t="s">
        <v>21</v>
      </c>
      <c r="V115" s="38" t="s">
        <v>21</v>
      </c>
      <c r="W115" s="38" t="s">
        <v>21</v>
      </c>
      <c r="X115" s="74" t="s">
        <v>21</v>
      </c>
      <c r="Y115" s="74" t="s">
        <v>21</v>
      </c>
      <c r="Z115" s="74" t="s">
        <v>21</v>
      </c>
      <c r="AA115" s="74" t="s">
        <v>21</v>
      </c>
      <c r="AB115" s="74" t="s">
        <v>21</v>
      </c>
      <c r="AC115" s="74" t="s">
        <v>21</v>
      </c>
      <c r="AD115" s="74" t="s">
        <v>21</v>
      </c>
      <c r="AE115" s="74" t="s">
        <v>21</v>
      </c>
      <c r="AF115" s="74" t="s">
        <v>21</v>
      </c>
      <c r="AG115" s="74" t="s">
        <v>21</v>
      </c>
      <c r="AH115" s="74" t="s">
        <v>21</v>
      </c>
      <c r="AI115" s="74" t="s">
        <v>21</v>
      </c>
      <c r="AJ115" s="74" t="s">
        <v>21</v>
      </c>
      <c r="AK115" s="74" t="s">
        <v>21</v>
      </c>
      <c r="AL115" s="74" t="s">
        <v>21</v>
      </c>
      <c r="AM115" s="74" t="s">
        <v>21</v>
      </c>
      <c r="AN115" s="74" t="s">
        <v>21</v>
      </c>
      <c r="AO115" s="74" t="s">
        <v>21</v>
      </c>
      <c r="AP115" s="74" t="s">
        <v>21</v>
      </c>
      <c r="AQ115" s="74">
        <v>0</v>
      </c>
      <c r="AR115" s="74">
        <v>0</v>
      </c>
      <c r="AS115" s="74" t="s">
        <v>21</v>
      </c>
      <c r="AT115" s="74" t="s">
        <v>21</v>
      </c>
      <c r="AU115" s="74" t="s">
        <v>21</v>
      </c>
      <c r="AV115" s="74" t="str" cm="1">
        <f t="array" aca="1" ref="AV115" ca="1">IFERROR(_xlfn.XLOOKUP($C115,
INDIRECT("'在庫使用計画 ("&amp;AV$1&amp;")'!D:D"),
INDIRECT("'在庫使用計画 ("&amp;AV$1&amp;")'!I:I")
),"")</f>
        <v/>
      </c>
      <c r="AW115" s="74" t="str" cm="1">
        <f t="array" aca="1" ref="AW115" ca="1">IFERROR(_xlfn.XLOOKUP($C115,
INDIRECT("'在庫使用計画 ("&amp;AW$1&amp;")'!D:D"),
INDIRECT("'在庫使用計画 ("&amp;AW$1&amp;")'!I:I")
),"")</f>
        <v/>
      </c>
      <c r="AX115" s="74" t="str" cm="1">
        <f t="array" aca="1" ref="AX115" ca="1">IFERROR(_xlfn.XLOOKUP($C115,
INDIRECT("'在庫使用計画 ("&amp;AX$1&amp;")'!D:D"),
INDIRECT("'在庫使用計画 ("&amp;AX$1&amp;")'!I:I")
),"")</f>
        <v/>
      </c>
    </row>
    <row r="116" spans="1:50" s="21" customFormat="1" ht="18.600000000000001" customHeight="1">
      <c r="A116" s="67" t="s">
        <v>1473</v>
      </c>
      <c r="B116" s="28" t="s">
        <v>1485</v>
      </c>
      <c r="C116" s="500" t="s">
        <v>1486</v>
      </c>
      <c r="D116" s="1032" t="e">
        <v>#REF!</v>
      </c>
      <c r="E116" s="491"/>
      <c r="F116" s="380"/>
      <c r="G116" s="380"/>
      <c r="H116" s="38" t="e">
        <v>#N/A</v>
      </c>
      <c r="I116" s="700" t="e">
        <v>#REF!</v>
      </c>
      <c r="J116" s="416" t="e">
        <v>#REF!</v>
      </c>
      <c r="K116" s="38"/>
      <c r="L116" s="38"/>
      <c r="M116" s="38"/>
      <c r="N116" s="38"/>
      <c r="O116" s="38"/>
      <c r="P116" s="38"/>
      <c r="Q116" s="38"/>
      <c r="R116" s="38"/>
      <c r="S116" s="38"/>
      <c r="T116" s="38"/>
      <c r="U116" s="38"/>
      <c r="V116" s="38"/>
      <c r="W116" s="38"/>
      <c r="X116" s="74"/>
      <c r="Y116" s="74"/>
      <c r="Z116" s="74"/>
      <c r="AA116" s="74"/>
      <c r="AB116" s="74"/>
      <c r="AC116" s="74"/>
      <c r="AD116" s="74"/>
      <c r="AE116" s="74"/>
      <c r="AF116" s="74"/>
      <c r="AG116" s="74"/>
      <c r="AH116" s="74"/>
      <c r="AI116" s="74"/>
      <c r="AJ116" s="74"/>
      <c r="AK116" s="74"/>
      <c r="AL116" s="74"/>
      <c r="AM116" s="74"/>
      <c r="AN116" s="74"/>
      <c r="AO116" s="74"/>
      <c r="AP116" s="74"/>
      <c r="AQ116" s="74"/>
      <c r="AR116" s="74"/>
      <c r="AS116" s="74"/>
      <c r="AT116" s="74"/>
      <c r="AU116" s="74"/>
      <c r="AV116" s="74"/>
      <c r="AW116" s="74"/>
      <c r="AX116" s="74"/>
    </row>
    <row r="117" spans="1:50" s="21" customFormat="1" ht="18.600000000000001" customHeight="1">
      <c r="A117" s="67" t="s">
        <v>1473</v>
      </c>
      <c r="B117" s="28" t="s">
        <v>1487</v>
      </c>
      <c r="C117" s="500" t="s">
        <v>1488</v>
      </c>
      <c r="D117" s="1032" t="e">
        <v>#REF!</v>
      </c>
      <c r="E117" s="491"/>
      <c r="F117" s="380"/>
      <c r="G117" s="380"/>
      <c r="H117" s="38" t="e">
        <v>#N/A</v>
      </c>
      <c r="I117" s="700" t="e">
        <v>#REF!</v>
      </c>
      <c r="J117" s="416" t="e">
        <v>#REF!</v>
      </c>
      <c r="K117" s="38"/>
      <c r="L117" s="38"/>
      <c r="M117" s="38"/>
      <c r="N117" s="38"/>
      <c r="O117" s="38"/>
      <c r="P117" s="38"/>
      <c r="Q117" s="38"/>
      <c r="R117" s="38"/>
      <c r="S117" s="38"/>
      <c r="T117" s="38"/>
      <c r="U117" s="38"/>
      <c r="V117" s="38"/>
      <c r="W117" s="38"/>
      <c r="X117" s="74"/>
      <c r="Y117" s="74"/>
      <c r="Z117" s="74"/>
      <c r="AA117" s="74"/>
      <c r="AB117" s="74"/>
      <c r="AC117" s="74"/>
      <c r="AD117" s="74"/>
      <c r="AE117" s="74"/>
      <c r="AF117" s="74"/>
      <c r="AG117" s="74"/>
      <c r="AH117" s="74"/>
      <c r="AI117" s="74"/>
      <c r="AJ117" s="74"/>
      <c r="AK117" s="74"/>
      <c r="AL117" s="74"/>
      <c r="AM117" s="74"/>
      <c r="AN117" s="74"/>
      <c r="AO117" s="74"/>
      <c r="AP117" s="74"/>
      <c r="AQ117" s="74"/>
      <c r="AR117" s="74"/>
      <c r="AS117" s="74"/>
      <c r="AT117" s="74"/>
      <c r="AU117" s="74"/>
      <c r="AV117" s="74"/>
      <c r="AW117" s="74"/>
      <c r="AX117" s="74"/>
    </row>
    <row r="118" spans="1:50" s="21" customFormat="1" ht="18.600000000000001" customHeight="1">
      <c r="A118" s="67" t="s">
        <v>1473</v>
      </c>
      <c r="B118" s="28" t="s">
        <v>1489</v>
      </c>
      <c r="C118" s="500" t="s">
        <v>1490</v>
      </c>
      <c r="D118" s="1032" t="e">
        <v>#REF!</v>
      </c>
      <c r="E118" s="491"/>
      <c r="F118" s="380"/>
      <c r="G118" s="380"/>
      <c r="H118" s="38" t="e">
        <v>#N/A</v>
      </c>
      <c r="I118" s="700" t="e">
        <v>#REF!</v>
      </c>
      <c r="J118" s="416" t="e">
        <v>#REF!</v>
      </c>
      <c r="K118" s="38"/>
      <c r="L118" s="38"/>
      <c r="M118" s="38"/>
      <c r="N118" s="38"/>
      <c r="O118" s="38"/>
      <c r="P118" s="38"/>
      <c r="Q118" s="38"/>
      <c r="R118" s="38"/>
      <c r="S118" s="38"/>
      <c r="T118" s="38"/>
      <c r="U118" s="38"/>
      <c r="V118" s="38"/>
      <c r="W118" s="38"/>
      <c r="X118" s="74"/>
      <c r="Y118" s="74"/>
      <c r="Z118" s="74"/>
      <c r="AA118" s="74"/>
      <c r="AB118" s="74"/>
      <c r="AC118" s="74"/>
      <c r="AD118" s="74"/>
      <c r="AE118" s="74"/>
      <c r="AF118" s="74"/>
      <c r="AG118" s="74"/>
      <c r="AH118" s="74"/>
      <c r="AI118" s="74"/>
      <c r="AJ118" s="74"/>
      <c r="AK118" s="74"/>
      <c r="AL118" s="74"/>
      <c r="AM118" s="74"/>
      <c r="AN118" s="74"/>
      <c r="AO118" s="74"/>
      <c r="AP118" s="74"/>
      <c r="AQ118" s="74"/>
      <c r="AR118" s="74"/>
      <c r="AS118" s="74"/>
      <c r="AT118" s="74"/>
      <c r="AU118" s="74"/>
      <c r="AV118" s="74"/>
      <c r="AW118" s="74"/>
      <c r="AX118" s="74"/>
    </row>
    <row r="119" spans="1:50" s="21" customFormat="1" ht="18.600000000000001" customHeight="1">
      <c r="A119" s="67" t="s">
        <v>1473</v>
      </c>
      <c r="B119" s="28" t="s">
        <v>1491</v>
      </c>
      <c r="C119" s="500" t="s">
        <v>1492</v>
      </c>
      <c r="D119" s="1032" t="e">
        <v>#REF!</v>
      </c>
      <c r="E119" s="491"/>
      <c r="F119" s="380"/>
      <c r="G119" s="380"/>
      <c r="H119" s="38" t="e">
        <v>#N/A</v>
      </c>
      <c r="I119" s="700" t="e">
        <v>#REF!</v>
      </c>
      <c r="J119" s="416" t="e">
        <v>#REF!</v>
      </c>
      <c r="K119" s="38"/>
      <c r="L119" s="38"/>
      <c r="M119" s="38"/>
      <c r="N119" s="38"/>
      <c r="O119" s="38"/>
      <c r="P119" s="38"/>
      <c r="Q119" s="38"/>
      <c r="R119" s="38"/>
      <c r="S119" s="38"/>
      <c r="T119" s="38"/>
      <c r="U119" s="38"/>
      <c r="V119" s="38"/>
      <c r="W119" s="38"/>
      <c r="X119" s="74"/>
      <c r="Y119" s="74"/>
      <c r="Z119" s="74"/>
      <c r="AA119" s="74"/>
      <c r="AB119" s="74"/>
      <c r="AC119" s="74"/>
      <c r="AD119" s="74"/>
      <c r="AE119" s="74"/>
      <c r="AF119" s="74"/>
      <c r="AG119" s="74"/>
      <c r="AH119" s="74"/>
      <c r="AI119" s="74"/>
      <c r="AJ119" s="74"/>
      <c r="AK119" s="74"/>
      <c r="AL119" s="74"/>
      <c r="AM119" s="74"/>
      <c r="AN119" s="74"/>
      <c r="AO119" s="74"/>
      <c r="AP119" s="74"/>
      <c r="AQ119" s="74"/>
      <c r="AR119" s="74"/>
      <c r="AS119" s="74"/>
      <c r="AT119" s="74"/>
      <c r="AU119" s="74"/>
      <c r="AV119" s="74"/>
      <c r="AW119" s="74"/>
      <c r="AX119" s="74"/>
    </row>
    <row r="120" spans="1:50" s="21" customFormat="1" ht="18.600000000000001" customHeight="1">
      <c r="A120" s="67" t="s">
        <v>1473</v>
      </c>
      <c r="B120" s="28" t="s">
        <v>1493</v>
      </c>
      <c r="C120" s="500" t="s">
        <v>1494</v>
      </c>
      <c r="D120" s="1032" t="e">
        <v>#REF!</v>
      </c>
      <c r="E120" s="491"/>
      <c r="F120" s="380"/>
      <c r="G120" s="380"/>
      <c r="H120" s="38" t="e">
        <v>#N/A</v>
      </c>
      <c r="I120" s="700" t="e">
        <v>#REF!</v>
      </c>
      <c r="J120" s="416" t="e">
        <v>#REF!</v>
      </c>
      <c r="K120" s="38"/>
      <c r="L120" s="38"/>
      <c r="M120" s="38"/>
      <c r="N120" s="38"/>
      <c r="O120" s="38"/>
      <c r="P120" s="38"/>
      <c r="Q120" s="38"/>
      <c r="R120" s="38"/>
      <c r="S120" s="38"/>
      <c r="T120" s="38"/>
      <c r="U120" s="38"/>
      <c r="V120" s="38"/>
      <c r="W120" s="38"/>
      <c r="X120" s="74"/>
      <c r="Y120" s="74"/>
      <c r="Z120" s="74"/>
      <c r="AA120" s="74"/>
      <c r="AB120" s="74"/>
      <c r="AC120" s="74"/>
      <c r="AD120" s="74"/>
      <c r="AE120" s="74"/>
      <c r="AF120" s="74"/>
      <c r="AG120" s="74"/>
      <c r="AH120" s="74"/>
      <c r="AI120" s="74"/>
      <c r="AJ120" s="74"/>
      <c r="AK120" s="74"/>
      <c r="AL120" s="74"/>
      <c r="AM120" s="74"/>
      <c r="AN120" s="74"/>
      <c r="AO120" s="74"/>
      <c r="AP120" s="74"/>
      <c r="AQ120" s="74"/>
      <c r="AR120" s="74"/>
      <c r="AS120" s="74"/>
      <c r="AT120" s="74"/>
      <c r="AU120" s="74"/>
      <c r="AV120" s="74"/>
      <c r="AW120" s="74"/>
      <c r="AX120" s="74"/>
    </row>
    <row r="121" spans="1:50" s="21" customFormat="1" ht="18.600000000000001" customHeight="1">
      <c r="A121" s="32" t="s">
        <v>1473</v>
      </c>
      <c r="B121" s="28" t="s">
        <v>1495</v>
      </c>
      <c r="C121" s="86" t="s">
        <v>1496</v>
      </c>
      <c r="D121" s="1032" t="e">
        <v>#REF!</v>
      </c>
      <c r="E121" s="62"/>
      <c r="F121" s="26"/>
      <c r="G121" s="26"/>
      <c r="H121" s="38" t="e">
        <v>#N/A</v>
      </c>
      <c r="I121" s="700" t="e">
        <v>#REF!</v>
      </c>
      <c r="J121" s="416" t="e">
        <v>#REF!</v>
      </c>
      <c r="K121" s="38" t="s">
        <v>21</v>
      </c>
      <c r="L121" s="38" t="s">
        <v>21</v>
      </c>
      <c r="M121" s="38" t="s">
        <v>21</v>
      </c>
      <c r="N121" s="38" t="s">
        <v>21</v>
      </c>
      <c r="O121" s="38" t="s">
        <v>21</v>
      </c>
      <c r="P121" s="38" t="s">
        <v>21</v>
      </c>
      <c r="Q121" s="38" t="s">
        <v>21</v>
      </c>
      <c r="R121" s="38" t="s">
        <v>21</v>
      </c>
      <c r="S121" s="38" t="s">
        <v>21</v>
      </c>
      <c r="T121" s="38" t="s">
        <v>21</v>
      </c>
      <c r="U121" s="38" t="s">
        <v>21</v>
      </c>
      <c r="V121" s="38" t="s">
        <v>21</v>
      </c>
      <c r="W121" s="38" t="s">
        <v>21</v>
      </c>
      <c r="X121" s="74" t="s">
        <v>21</v>
      </c>
      <c r="Y121" s="74" t="s">
        <v>21</v>
      </c>
      <c r="Z121" s="74" t="s">
        <v>21</v>
      </c>
      <c r="AA121" s="74" t="s">
        <v>21</v>
      </c>
      <c r="AB121" s="74" t="s">
        <v>21</v>
      </c>
      <c r="AC121" s="74" t="s">
        <v>21</v>
      </c>
      <c r="AD121" s="74" t="s">
        <v>21</v>
      </c>
      <c r="AE121" s="74" t="s">
        <v>21</v>
      </c>
      <c r="AF121" s="74" t="s">
        <v>21</v>
      </c>
      <c r="AG121" s="74" t="s">
        <v>21</v>
      </c>
      <c r="AH121" s="74" t="s">
        <v>21</v>
      </c>
      <c r="AI121" s="74" t="s">
        <v>21</v>
      </c>
      <c r="AJ121" s="74" t="s">
        <v>21</v>
      </c>
      <c r="AK121" s="74" t="s">
        <v>21</v>
      </c>
      <c r="AL121" s="74" t="s">
        <v>21</v>
      </c>
      <c r="AM121" s="74" t="s">
        <v>21</v>
      </c>
      <c r="AN121" s="74" t="s">
        <v>21</v>
      </c>
      <c r="AO121" s="74" t="s">
        <v>21</v>
      </c>
      <c r="AP121" s="74" t="s">
        <v>21</v>
      </c>
      <c r="AQ121" s="74">
        <v>0</v>
      </c>
      <c r="AR121" s="74">
        <v>0</v>
      </c>
      <c r="AS121" s="74" t="s">
        <v>21</v>
      </c>
      <c r="AT121" s="74" t="s">
        <v>21</v>
      </c>
      <c r="AU121" s="74" t="s">
        <v>21</v>
      </c>
      <c r="AV121" s="74" t="str" cm="1">
        <f t="array" aca="1" ref="AV121" ca="1">IFERROR(_xlfn.XLOOKUP($C121,
INDIRECT("'在庫使用計画 ("&amp;AV$1&amp;")'!D:D"),
INDIRECT("'在庫使用計画 ("&amp;AV$1&amp;")'!I:I")
),"")</f>
        <v/>
      </c>
      <c r="AW121" s="74" t="str" cm="1">
        <f t="array" aca="1" ref="AW121" ca="1">IFERROR(_xlfn.XLOOKUP($C121,
INDIRECT("'在庫使用計画 ("&amp;AW$1&amp;")'!D:D"),
INDIRECT("'在庫使用計画 ("&amp;AW$1&amp;")'!I:I")
),"")</f>
        <v/>
      </c>
      <c r="AX121" s="74" t="str" cm="1">
        <f t="array" aca="1" ref="AX121" ca="1">IFERROR(_xlfn.XLOOKUP($C121,
INDIRECT("'在庫使用計画 ("&amp;AX$1&amp;")'!D:D"),
INDIRECT("'在庫使用計画 ("&amp;AX$1&amp;")'!I:I")
),"")</f>
        <v/>
      </c>
    </row>
    <row r="122" spans="1:50" s="21" customFormat="1" ht="18.600000000000001" customHeight="1">
      <c r="A122" s="67" t="s">
        <v>1473</v>
      </c>
      <c r="B122" s="28" t="s">
        <v>1497</v>
      </c>
      <c r="C122" s="500" t="s">
        <v>1498</v>
      </c>
      <c r="D122" s="1032" t="e">
        <v>#REF!</v>
      </c>
      <c r="E122" s="491"/>
      <c r="F122" s="380"/>
      <c r="G122" s="380"/>
      <c r="H122" s="38" t="e">
        <v>#N/A</v>
      </c>
      <c r="I122" s="700" t="e">
        <v>#REF!</v>
      </c>
      <c r="J122" s="416" t="e">
        <v>#REF!</v>
      </c>
      <c r="K122" s="38"/>
      <c r="L122" s="38"/>
      <c r="M122" s="38"/>
      <c r="N122" s="38"/>
      <c r="O122" s="38"/>
      <c r="P122" s="38"/>
      <c r="Q122" s="38"/>
      <c r="R122" s="38"/>
      <c r="S122" s="38"/>
      <c r="T122" s="38"/>
      <c r="U122" s="38"/>
      <c r="V122" s="38"/>
      <c r="W122" s="38"/>
      <c r="X122" s="74"/>
      <c r="Y122" s="74"/>
      <c r="Z122" s="74"/>
      <c r="AA122" s="74"/>
      <c r="AB122" s="74"/>
      <c r="AC122" s="74"/>
      <c r="AD122" s="74"/>
      <c r="AE122" s="74"/>
      <c r="AF122" s="74"/>
      <c r="AG122" s="74"/>
      <c r="AH122" s="74"/>
      <c r="AI122" s="74"/>
      <c r="AJ122" s="74"/>
      <c r="AK122" s="74"/>
      <c r="AL122" s="74"/>
      <c r="AM122" s="74"/>
      <c r="AN122" s="74"/>
      <c r="AO122" s="74"/>
      <c r="AP122" s="74"/>
      <c r="AQ122" s="74"/>
      <c r="AR122" s="74"/>
      <c r="AS122" s="74"/>
      <c r="AT122" s="74"/>
      <c r="AU122" s="74"/>
      <c r="AV122" s="74"/>
      <c r="AW122" s="74"/>
      <c r="AX122" s="74"/>
    </row>
    <row r="123" spans="1:50" s="21" customFormat="1" ht="18.600000000000001" customHeight="1">
      <c r="A123" s="67" t="s">
        <v>1473</v>
      </c>
      <c r="B123" s="28" t="s">
        <v>1499</v>
      </c>
      <c r="C123" s="500" t="s">
        <v>1500</v>
      </c>
      <c r="D123" s="1032" t="e">
        <v>#REF!</v>
      </c>
      <c r="E123" s="491"/>
      <c r="F123" s="380"/>
      <c r="G123" s="380"/>
      <c r="H123" s="38" t="e">
        <v>#N/A</v>
      </c>
      <c r="I123" s="700" t="e">
        <v>#REF!</v>
      </c>
      <c r="J123" s="416" t="e">
        <v>#REF!</v>
      </c>
      <c r="K123" s="38"/>
      <c r="L123" s="38"/>
      <c r="M123" s="38"/>
      <c r="N123" s="38"/>
      <c r="O123" s="38"/>
      <c r="P123" s="38"/>
      <c r="Q123" s="38"/>
      <c r="R123" s="38"/>
      <c r="S123" s="38"/>
      <c r="T123" s="38"/>
      <c r="U123" s="38"/>
      <c r="V123" s="38"/>
      <c r="W123" s="38"/>
      <c r="X123" s="74"/>
      <c r="Y123" s="74"/>
      <c r="Z123" s="74"/>
      <c r="AA123" s="74"/>
      <c r="AB123" s="74"/>
      <c r="AC123" s="74"/>
      <c r="AD123" s="74"/>
      <c r="AE123" s="74"/>
      <c r="AF123" s="74"/>
      <c r="AG123" s="74"/>
      <c r="AH123" s="74"/>
      <c r="AI123" s="74"/>
      <c r="AJ123" s="74"/>
      <c r="AK123" s="74"/>
      <c r="AL123" s="74"/>
      <c r="AM123" s="74"/>
      <c r="AN123" s="74"/>
      <c r="AO123" s="74"/>
      <c r="AP123" s="74"/>
      <c r="AQ123" s="74"/>
      <c r="AR123" s="74"/>
      <c r="AS123" s="74"/>
      <c r="AT123" s="74"/>
      <c r="AU123" s="74"/>
      <c r="AV123" s="74"/>
      <c r="AW123" s="74"/>
      <c r="AX123" s="74"/>
    </row>
    <row r="124" spans="1:50" s="21" customFormat="1" ht="18.600000000000001" customHeight="1">
      <c r="A124" s="32"/>
      <c r="B124" s="28"/>
      <c r="C124" s="86"/>
      <c r="D124" s="1032" t="str">
        <v/>
      </c>
      <c r="E124" s="62"/>
      <c r="F124" s="26"/>
      <c r="G124" s="26"/>
      <c r="H124" s="38" t="str">
        <v/>
      </c>
      <c r="I124" s="700" t="str">
        <v/>
      </c>
      <c r="J124" s="416" t="str">
        <v/>
      </c>
      <c r="K124" s="38" t="s">
        <v>21</v>
      </c>
      <c r="L124" s="38" t="s">
        <v>21</v>
      </c>
      <c r="M124" s="38" t="s">
        <v>21</v>
      </c>
      <c r="N124" s="38" t="s">
        <v>21</v>
      </c>
      <c r="O124" s="38" t="s">
        <v>21</v>
      </c>
      <c r="P124" s="38" t="s">
        <v>21</v>
      </c>
      <c r="Q124" s="38" t="s">
        <v>21</v>
      </c>
      <c r="R124" s="38" t="s">
        <v>21</v>
      </c>
      <c r="S124" s="38" t="s">
        <v>21</v>
      </c>
      <c r="T124" s="38" t="s">
        <v>21</v>
      </c>
      <c r="U124" s="38" t="s">
        <v>21</v>
      </c>
      <c r="V124" s="38" t="s">
        <v>21</v>
      </c>
      <c r="W124" s="38" t="s">
        <v>21</v>
      </c>
      <c r="X124" s="74" t="s">
        <v>21</v>
      </c>
      <c r="Y124" s="74" t="s">
        <v>21</v>
      </c>
      <c r="Z124" s="74" t="s">
        <v>21</v>
      </c>
      <c r="AA124" s="74" t="s">
        <v>21</v>
      </c>
      <c r="AB124" s="74" t="s">
        <v>21</v>
      </c>
      <c r="AC124" s="74" t="s">
        <v>21</v>
      </c>
      <c r="AD124" s="74" t="s">
        <v>21</v>
      </c>
      <c r="AE124" s="74" t="s">
        <v>21</v>
      </c>
      <c r="AF124" s="74" t="s">
        <v>21</v>
      </c>
      <c r="AG124" s="74" t="s">
        <v>21</v>
      </c>
      <c r="AH124" s="74" t="s">
        <v>21</v>
      </c>
      <c r="AI124" s="74" t="s">
        <v>21</v>
      </c>
      <c r="AJ124" s="74" t="s">
        <v>21</v>
      </c>
      <c r="AK124" s="74" t="s">
        <v>21</v>
      </c>
      <c r="AL124" s="74" t="s">
        <v>21</v>
      </c>
      <c r="AM124" s="74" t="s">
        <v>21</v>
      </c>
      <c r="AN124" s="74" t="s">
        <v>21</v>
      </c>
      <c r="AO124" s="74" t="s">
        <v>21</v>
      </c>
      <c r="AP124" s="74" t="s">
        <v>21</v>
      </c>
      <c r="AQ124" s="74" t="s">
        <v>21</v>
      </c>
      <c r="AR124" s="74" t="s">
        <v>21</v>
      </c>
      <c r="AS124" s="74" t="s">
        <v>21</v>
      </c>
      <c r="AT124" s="74" t="s">
        <v>21</v>
      </c>
      <c r="AU124" s="74" t="s">
        <v>21</v>
      </c>
      <c r="AV124" s="74" t="str" cm="1">
        <f t="array" aca="1" ref="AV124" ca="1">IFERROR(_xlfn.XLOOKUP($C124,
INDIRECT("'在庫使用計画 ("&amp;AV$1&amp;")'!D:D"),
INDIRECT("'在庫使用計画 ("&amp;AV$1&amp;")'!I:I")
),"")</f>
        <v/>
      </c>
      <c r="AW124" s="74" t="str" cm="1">
        <f t="array" aca="1" ref="AW124" ca="1">IFERROR(_xlfn.XLOOKUP($C124,
INDIRECT("'在庫使用計画 ("&amp;AW$1&amp;")'!D:D"),
INDIRECT("'在庫使用計画 ("&amp;AW$1&amp;")'!I:I")
),"")</f>
        <v/>
      </c>
      <c r="AX124" s="74" t="str" cm="1">
        <f t="array" aca="1" ref="AX124" ca="1">IFERROR(_xlfn.XLOOKUP($C124,
INDIRECT("'在庫使用計画 ("&amp;AX$1&amp;")'!D:D"),
INDIRECT("'在庫使用計画 ("&amp;AX$1&amp;")'!I:I")
),"")</f>
        <v/>
      </c>
    </row>
    <row r="125" spans="1:50" s="21" customFormat="1" ht="18.600000000000001" customHeight="1">
      <c r="A125" s="32"/>
      <c r="B125" s="28"/>
      <c r="C125" s="86"/>
      <c r="D125" s="1037" t="str">
        <v/>
      </c>
      <c r="E125" s="62"/>
      <c r="F125" s="26"/>
      <c r="G125" s="26"/>
      <c r="H125" s="38" t="str">
        <v/>
      </c>
      <c r="I125" s="700" t="str">
        <v/>
      </c>
      <c r="J125" s="416" t="str">
        <v/>
      </c>
      <c r="K125" s="38" t="s">
        <v>21</v>
      </c>
      <c r="L125" s="38" t="s">
        <v>21</v>
      </c>
      <c r="M125" s="38" t="s">
        <v>21</v>
      </c>
      <c r="N125" s="38" t="s">
        <v>21</v>
      </c>
      <c r="O125" s="38" t="s">
        <v>21</v>
      </c>
      <c r="P125" s="38" t="s">
        <v>21</v>
      </c>
      <c r="Q125" s="38" t="s">
        <v>21</v>
      </c>
      <c r="R125" s="38" t="s">
        <v>21</v>
      </c>
      <c r="S125" s="38" t="s">
        <v>21</v>
      </c>
      <c r="T125" s="38" t="s">
        <v>21</v>
      </c>
      <c r="U125" s="38" t="s">
        <v>21</v>
      </c>
      <c r="V125" s="38" t="s">
        <v>21</v>
      </c>
      <c r="W125" s="38" t="s">
        <v>21</v>
      </c>
      <c r="X125" s="74" t="s">
        <v>21</v>
      </c>
      <c r="Y125" s="74" t="s">
        <v>21</v>
      </c>
      <c r="Z125" s="74" t="s">
        <v>21</v>
      </c>
      <c r="AA125" s="74" t="s">
        <v>21</v>
      </c>
      <c r="AB125" s="74" t="s">
        <v>21</v>
      </c>
      <c r="AC125" s="74" t="s">
        <v>21</v>
      </c>
      <c r="AD125" s="74" t="s">
        <v>21</v>
      </c>
      <c r="AE125" s="74" t="s">
        <v>21</v>
      </c>
      <c r="AF125" s="74" t="s">
        <v>21</v>
      </c>
      <c r="AG125" s="74" t="s">
        <v>21</v>
      </c>
      <c r="AH125" s="74" t="s">
        <v>21</v>
      </c>
      <c r="AI125" s="74" t="s">
        <v>21</v>
      </c>
      <c r="AJ125" s="74" t="s">
        <v>21</v>
      </c>
      <c r="AK125" s="74" t="s">
        <v>21</v>
      </c>
      <c r="AL125" s="74" t="s">
        <v>21</v>
      </c>
      <c r="AM125" s="74" t="s">
        <v>21</v>
      </c>
      <c r="AN125" s="74" t="s">
        <v>21</v>
      </c>
      <c r="AO125" s="74" t="s">
        <v>21</v>
      </c>
      <c r="AP125" s="74" t="s">
        <v>21</v>
      </c>
      <c r="AQ125" s="74" t="s">
        <v>21</v>
      </c>
      <c r="AR125" s="74" t="s">
        <v>21</v>
      </c>
      <c r="AS125" s="74" t="s">
        <v>21</v>
      </c>
      <c r="AT125" s="74" t="s">
        <v>21</v>
      </c>
      <c r="AU125" s="74" t="s">
        <v>21</v>
      </c>
      <c r="AV125" s="74" t="str" cm="1">
        <f t="array" aca="1" ref="AV125" ca="1">IFERROR(_xlfn.XLOOKUP($C125,
INDIRECT("'在庫使用計画 ("&amp;AV$1&amp;")'!D:D"),
INDIRECT("'在庫使用計画 ("&amp;AV$1&amp;")'!I:I")
),"")</f>
        <v/>
      </c>
      <c r="AW125" s="74" t="str" cm="1">
        <f t="array" aca="1" ref="AW125" ca="1">IFERROR(_xlfn.XLOOKUP($C125,
INDIRECT("'在庫使用計画 ("&amp;AW$1&amp;")'!D:D"),
INDIRECT("'在庫使用計画 ("&amp;AW$1&amp;")'!I:I")
),"")</f>
        <v/>
      </c>
      <c r="AX125" s="74" t="str" cm="1">
        <f t="array" aca="1" ref="AX125" ca="1">IFERROR(_xlfn.XLOOKUP($C125,
INDIRECT("'在庫使用計画 ("&amp;AX$1&amp;")'!D:D"),
INDIRECT("'在庫使用計画 ("&amp;AX$1&amp;")'!I:I")
),"")</f>
        <v/>
      </c>
    </row>
    <row r="126" spans="1:50" s="23" customFormat="1" ht="18.600000000000001" customHeight="1">
      <c r="A126" s="203"/>
      <c r="B126" s="152" t="s">
        <v>1501</v>
      </c>
      <c r="C126" s="153"/>
      <c r="D126" s="153"/>
      <c r="E126" s="153"/>
      <c r="F126" s="204"/>
      <c r="G126" s="204"/>
      <c r="H126" s="45"/>
      <c r="I126" s="45"/>
      <c r="J126" s="45"/>
      <c r="K126" s="45">
        <v>10499</v>
      </c>
      <c r="L126" s="45">
        <v>11139</v>
      </c>
      <c r="M126" s="45">
        <v>11684</v>
      </c>
      <c r="N126" s="45">
        <v>11684</v>
      </c>
      <c r="O126" s="45">
        <v>12516</v>
      </c>
      <c r="P126" s="45">
        <v>12516</v>
      </c>
      <c r="Q126" s="45">
        <v>12316</v>
      </c>
      <c r="R126" s="155">
        <v>13322</v>
      </c>
      <c r="S126" s="155">
        <v>13322</v>
      </c>
      <c r="T126" s="155">
        <v>13837</v>
      </c>
      <c r="U126" s="155">
        <v>14875</v>
      </c>
      <c r="V126" s="155">
        <v>14975</v>
      </c>
      <c r="W126" s="155">
        <v>14995</v>
      </c>
      <c r="X126" s="155">
        <v>15208</v>
      </c>
      <c r="Y126" s="155">
        <v>15358</v>
      </c>
      <c r="Z126" s="155">
        <v>15298</v>
      </c>
      <c r="AA126" s="155">
        <v>15298</v>
      </c>
      <c r="AB126" s="155">
        <v>17755</v>
      </c>
      <c r="AC126" s="155">
        <v>17755</v>
      </c>
      <c r="AD126" s="155">
        <v>17880</v>
      </c>
      <c r="AE126" s="155">
        <v>17880</v>
      </c>
      <c r="AF126" s="155">
        <v>17880</v>
      </c>
      <c r="AG126" s="155">
        <v>17710</v>
      </c>
      <c r="AH126" s="155">
        <v>17710</v>
      </c>
      <c r="AI126" s="155">
        <v>17691</v>
      </c>
      <c r="AJ126" s="155">
        <v>17691</v>
      </c>
      <c r="AK126" s="155">
        <v>17691</v>
      </c>
      <c r="AL126" s="155">
        <v>14032</v>
      </c>
      <c r="AM126" s="155">
        <v>14032</v>
      </c>
      <c r="AN126" s="155">
        <v>13927</v>
      </c>
      <c r="AO126" s="155">
        <v>13927</v>
      </c>
      <c r="AP126" s="155">
        <v>13659</v>
      </c>
      <c r="AQ126" s="155">
        <v>14177</v>
      </c>
      <c r="AR126" s="155">
        <v>12866</v>
      </c>
      <c r="AS126" s="155">
        <v>12866</v>
      </c>
      <c r="AT126" s="155">
        <v>12866</v>
      </c>
      <c r="AU126" s="155">
        <v>12866</v>
      </c>
      <c r="AV126" s="155">
        <f t="shared" ref="AV126:AX126" ca="1" si="3">_xlfn.AGGREGATE(9,0,AV62:AV125)</f>
        <v>0</v>
      </c>
      <c r="AW126" s="155">
        <f t="shared" ca="1" si="3"/>
        <v>0</v>
      </c>
      <c r="AX126" s="155">
        <f t="shared" ca="1" si="3"/>
        <v>0</v>
      </c>
    </row>
    <row r="127" spans="1:50" s="23" customFormat="1" ht="18.600000000000001" customHeight="1" thickBot="1">
      <c r="A127" s="200"/>
      <c r="B127" s="189" t="s">
        <v>1502</v>
      </c>
      <c r="C127" s="201"/>
      <c r="D127" s="201"/>
      <c r="E127" s="201"/>
      <c r="F127" s="323"/>
      <c r="G127" s="324"/>
      <c r="H127" s="359"/>
      <c r="I127" s="359"/>
      <c r="J127" s="359"/>
      <c r="K127" s="325"/>
      <c r="L127" s="325"/>
      <c r="M127" s="325"/>
      <c r="N127" s="325"/>
      <c r="O127" s="325"/>
      <c r="P127" s="325"/>
      <c r="Q127" s="325"/>
      <c r="R127" s="325" t="s">
        <v>21</v>
      </c>
      <c r="S127" s="325" t="s">
        <v>21</v>
      </c>
      <c r="T127" s="325" t="s">
        <v>21</v>
      </c>
      <c r="U127" s="325" t="s">
        <v>21</v>
      </c>
      <c r="V127" s="325" t="s">
        <v>21</v>
      </c>
      <c r="W127" s="325" t="s">
        <v>21</v>
      </c>
      <c r="X127" s="359" t="s">
        <v>21</v>
      </c>
      <c r="Y127" s="359" t="s">
        <v>21</v>
      </c>
      <c r="Z127" s="359" t="s">
        <v>21</v>
      </c>
      <c r="AA127" s="359" t="s">
        <v>21</v>
      </c>
      <c r="AB127" s="359" t="s">
        <v>21</v>
      </c>
      <c r="AC127" s="359" t="s">
        <v>21</v>
      </c>
      <c r="AD127" s="359" t="s">
        <v>21</v>
      </c>
      <c r="AE127" s="359" t="s">
        <v>21</v>
      </c>
      <c r="AF127" s="359" t="s">
        <v>21</v>
      </c>
      <c r="AG127" s="359" t="s">
        <v>21</v>
      </c>
      <c r="AH127" s="359" t="s">
        <v>21</v>
      </c>
      <c r="AI127" s="359" t="s">
        <v>21</v>
      </c>
      <c r="AJ127" s="359" t="s">
        <v>21</v>
      </c>
      <c r="AK127" s="359" t="s">
        <v>21</v>
      </c>
      <c r="AL127" s="359" t="s">
        <v>21</v>
      </c>
      <c r="AM127" s="359" t="s">
        <v>21</v>
      </c>
      <c r="AN127" s="359" t="s">
        <v>21</v>
      </c>
      <c r="AO127" s="359" t="s">
        <v>21</v>
      </c>
      <c r="AP127" s="359" t="s">
        <v>21</v>
      </c>
      <c r="AQ127" s="359" t="s">
        <v>21</v>
      </c>
      <c r="AR127" s="359" t="s">
        <v>21</v>
      </c>
      <c r="AS127" s="359" t="s">
        <v>21</v>
      </c>
      <c r="AT127" s="359" t="s">
        <v>21</v>
      </c>
      <c r="AU127" s="359" t="s">
        <v>21</v>
      </c>
      <c r="AV127" s="359" t="str" cm="1">
        <f t="array" aca="1" ref="AV127" ca="1">IFERROR(_xlfn.XLOOKUP($C127,
INDIRECT("'在庫使用計画 ("&amp;AV$1&amp;")'!D:D"),
INDIRECT("'在庫使用計画 ("&amp;AV$1&amp;")'!H:H")
),"")</f>
        <v/>
      </c>
      <c r="AW127" s="359" t="str" cm="1">
        <f t="array" aca="1" ref="AW127" ca="1">IFERROR(_xlfn.XLOOKUP($C127,
INDIRECT("'在庫使用計画 ("&amp;AW$1&amp;")'!D:D"),
INDIRECT("'在庫使用計画 ("&amp;AW$1&amp;")'!H:H")
),"")</f>
        <v/>
      </c>
      <c r="AX127" s="359" t="str" cm="1">
        <f t="array" aca="1" ref="AX127" ca="1">IFERROR(_xlfn.XLOOKUP($C127,
INDIRECT("'在庫使用計画 ("&amp;AX$1&amp;")'!D:D"),
INDIRECT("'在庫使用計画 ("&amp;AX$1&amp;")'!H:H")
),"")</f>
        <v/>
      </c>
    </row>
    <row r="128" spans="1:50" s="23" customFormat="1" ht="18.600000000000001" customHeight="1">
      <c r="A128" s="29"/>
      <c r="B128" s="30" t="s">
        <v>1503</v>
      </c>
      <c r="C128" s="30"/>
      <c r="D128" s="30"/>
      <c r="E128" s="30" t="s">
        <v>1324</v>
      </c>
      <c r="F128" s="30" t="s">
        <v>1325</v>
      </c>
      <c r="G128" s="30"/>
      <c r="H128" s="40"/>
      <c r="I128" s="664"/>
      <c r="J128" s="664"/>
      <c r="K128" s="311"/>
      <c r="L128" s="311"/>
      <c r="M128" s="311"/>
      <c r="N128" s="311"/>
      <c r="O128" s="311"/>
      <c r="P128" s="311"/>
      <c r="Q128" s="311"/>
      <c r="R128" s="311" t="s">
        <v>21</v>
      </c>
      <c r="S128" s="311" t="s">
        <v>21</v>
      </c>
      <c r="T128" s="311" t="s">
        <v>21</v>
      </c>
      <c r="U128" s="311" t="s">
        <v>21</v>
      </c>
      <c r="V128" s="311" t="s">
        <v>21</v>
      </c>
      <c r="W128" s="311" t="s">
        <v>21</v>
      </c>
      <c r="X128" s="180" t="s">
        <v>21</v>
      </c>
      <c r="Y128" s="180" t="s">
        <v>21</v>
      </c>
      <c r="Z128" s="180" t="s">
        <v>21</v>
      </c>
      <c r="AA128" s="180" t="s">
        <v>21</v>
      </c>
      <c r="AB128" s="180" t="s">
        <v>21</v>
      </c>
      <c r="AC128" s="180" t="s">
        <v>21</v>
      </c>
      <c r="AD128" s="180" t="s">
        <v>21</v>
      </c>
      <c r="AE128" s="180" t="s">
        <v>21</v>
      </c>
      <c r="AF128" s="180" t="s">
        <v>21</v>
      </c>
      <c r="AG128" s="180" t="s">
        <v>21</v>
      </c>
      <c r="AH128" s="180" t="s">
        <v>21</v>
      </c>
      <c r="AI128" s="180" t="s">
        <v>21</v>
      </c>
      <c r="AJ128" s="180" t="s">
        <v>21</v>
      </c>
      <c r="AK128" s="180" t="s">
        <v>21</v>
      </c>
      <c r="AL128" s="180" t="s">
        <v>21</v>
      </c>
      <c r="AM128" s="180" t="s">
        <v>21</v>
      </c>
      <c r="AN128" s="180" t="s">
        <v>21</v>
      </c>
      <c r="AO128" s="180" t="s">
        <v>21</v>
      </c>
      <c r="AP128" s="180" t="s">
        <v>21</v>
      </c>
      <c r="AQ128" s="180" t="s">
        <v>21</v>
      </c>
      <c r="AR128" s="180" t="s">
        <v>21</v>
      </c>
      <c r="AS128" s="180" t="s">
        <v>21</v>
      </c>
      <c r="AT128" s="180" t="s">
        <v>21</v>
      </c>
      <c r="AU128" s="180" t="s">
        <v>21</v>
      </c>
      <c r="AV128" s="180" t="str" cm="1">
        <f t="array" aca="1" ref="AV128" ca="1">IFERROR(_xlfn.XLOOKUP($C128,
INDIRECT("'在庫使用計画 ("&amp;AV$1&amp;")'!D:D"),
INDIRECT("'在庫使用計画 ("&amp;AV$1&amp;")'!H:H")
),"")</f>
        <v/>
      </c>
      <c r="AW128" s="180" t="str" cm="1">
        <f t="array" aca="1" ref="AW128" ca="1">IFERROR(_xlfn.XLOOKUP($C128,
INDIRECT("'在庫使用計画 ("&amp;AW$1&amp;")'!D:D"),
INDIRECT("'在庫使用計画 ("&amp;AW$1&amp;")'!H:H")
),"")</f>
        <v/>
      </c>
      <c r="AX128" s="180" t="str" cm="1">
        <f t="array" aca="1" ref="AX128" ca="1">IFERROR(_xlfn.XLOOKUP($C128,
INDIRECT("'在庫使用計画 ("&amp;AX$1&amp;")'!D:D"),
INDIRECT("'在庫使用計画 ("&amp;AX$1&amp;")'!H:H")
),"")</f>
        <v/>
      </c>
    </row>
    <row r="129" spans="1:50" s="21" customFormat="1" ht="18.600000000000001" customHeight="1">
      <c r="A129" s="54" t="s">
        <v>1504</v>
      </c>
      <c r="B129" s="55" t="s">
        <v>1007</v>
      </c>
      <c r="C129" s="57" t="s">
        <v>1005</v>
      </c>
      <c r="D129" s="25" t="e" cm="1">
        <f t="array" ref="D129:D140">IF($C129:$C140&lt;&gt;"",
_xlfn.MAXIFS(#REF!,マスタ_EOLリスト[製品型番],$C129:$C140),
"")</f>
        <v>#REF!</v>
      </c>
      <c r="E129" s="26"/>
      <c r="F129" s="24"/>
      <c r="G129" s="24"/>
      <c r="H129" s="38" cm="1">
        <f t="array" ref="H129:H140">IF(C129:C140&lt;&gt;"",
_xlfn.XLOOKUP($C129:$C140,
  '在庫使用計画 (ノート全体試算)'!C:C,
  '在庫使用計画 (ノート全体試算)'!G:G),"")</f>
        <v>0</v>
      </c>
      <c r="I129" s="700" t="e" cm="1">
        <f t="array" ref="I129:I140">IF(_xlfn.ANCHORARRAY(D129)&lt;&gt;"",
_xlfn.XLOOKUP(_xlfn.ANCHORARRAY(D129),購買計画one_note_貼り付け[コード],購買計画one_note_貼り付け[納品日],""),
"")</f>
        <v>#REF!</v>
      </c>
      <c r="J129" s="38" t="e" cm="1">
        <f t="array" ref="J129:J140">IF(_xlfn.ANCHORARRAY(D129)&lt;&gt;"",
_xlfn.XLOOKUP(_xlfn.ANCHORARRAY(D129),購買計画one_note_貼り付け[コード],購買計画one_note_貼り付け[数量],""),
"")</f>
        <v>#REF!</v>
      </c>
      <c r="K129" s="38" t="s">
        <v>21</v>
      </c>
      <c r="L129" s="38" t="s">
        <v>21</v>
      </c>
      <c r="M129" s="38" t="s">
        <v>21</v>
      </c>
      <c r="N129" s="38" t="s">
        <v>21</v>
      </c>
      <c r="O129" s="38" t="s">
        <v>21</v>
      </c>
      <c r="P129" s="38" t="s">
        <v>21</v>
      </c>
      <c r="Q129" s="38" t="s">
        <v>21</v>
      </c>
      <c r="R129" s="38">
        <v>0</v>
      </c>
      <c r="S129" s="38">
        <v>0</v>
      </c>
      <c r="T129" s="38">
        <v>0</v>
      </c>
      <c r="U129" s="38">
        <v>0</v>
      </c>
      <c r="V129" s="38">
        <v>0</v>
      </c>
      <c r="W129" s="38">
        <v>0</v>
      </c>
      <c r="X129" s="74">
        <v>0</v>
      </c>
      <c r="Y129" s="74">
        <v>0</v>
      </c>
      <c r="Z129" s="74">
        <v>0</v>
      </c>
      <c r="AA129" s="74">
        <v>0</v>
      </c>
      <c r="AB129" s="74">
        <v>0</v>
      </c>
      <c r="AC129" s="74">
        <v>0</v>
      </c>
      <c r="AD129" s="74">
        <v>0</v>
      </c>
      <c r="AE129" s="74">
        <v>0</v>
      </c>
      <c r="AF129" s="74">
        <v>0</v>
      </c>
      <c r="AG129" s="74">
        <v>0</v>
      </c>
      <c r="AH129" s="74">
        <v>0</v>
      </c>
      <c r="AI129" s="74">
        <v>0</v>
      </c>
      <c r="AJ129" s="74">
        <v>0</v>
      </c>
      <c r="AK129" s="74">
        <v>0</v>
      </c>
      <c r="AL129" s="74">
        <v>0</v>
      </c>
      <c r="AM129" s="74">
        <v>0</v>
      </c>
      <c r="AN129" s="74">
        <v>0</v>
      </c>
      <c r="AO129" s="74">
        <v>0</v>
      </c>
      <c r="AP129" s="74">
        <v>0</v>
      </c>
      <c r="AQ129" s="74">
        <v>0</v>
      </c>
      <c r="AR129" s="74">
        <v>0</v>
      </c>
      <c r="AS129" s="74">
        <v>0</v>
      </c>
      <c r="AT129" s="74">
        <v>0</v>
      </c>
      <c r="AU129" s="74">
        <v>0</v>
      </c>
      <c r="AV129" s="74" t="str" cm="1">
        <f t="array" aca="1" ref="AV129" ca="1">IFERROR(_xlfn.XLOOKUP($C129,
INDIRECT("'在庫使用計画 ("&amp;AV$1&amp;")'!D:D"),
INDIRECT("'在庫使用計画 ("&amp;AV$1&amp;")'!I:I")
),"")</f>
        <v/>
      </c>
      <c r="AW129" s="74" t="str" cm="1">
        <f t="array" aca="1" ref="AW129" ca="1">IFERROR(_xlfn.XLOOKUP($C129,
INDIRECT("'在庫使用計画 ("&amp;AW$1&amp;")'!D:D"),
INDIRECT("'在庫使用計画 ("&amp;AW$1&amp;")'!I:I")
),"")</f>
        <v/>
      </c>
      <c r="AX129" s="74" t="str" cm="1">
        <f t="array" aca="1" ref="AX129" ca="1">IFERROR(_xlfn.XLOOKUP($C129,
INDIRECT("'在庫使用計画 ("&amp;AX$1&amp;")'!D:D"),
INDIRECT("'在庫使用計画 ("&amp;AX$1&amp;")'!I:I")
),"")</f>
        <v/>
      </c>
    </row>
    <row r="130" spans="1:50" s="21" customFormat="1" ht="18.600000000000001" customHeight="1">
      <c r="A130" s="54" t="s">
        <v>1317</v>
      </c>
      <c r="B130" s="55" t="s">
        <v>1317</v>
      </c>
      <c r="C130" s="57"/>
      <c r="D130" s="57" t="str">
        <v/>
      </c>
      <c r="E130" s="57" t="s">
        <v>1317</v>
      </c>
      <c r="F130" s="56" t="s">
        <v>1317</v>
      </c>
      <c r="G130" s="56"/>
      <c r="H130" s="38" t="str">
        <v/>
      </c>
      <c r="I130" s="700" t="str">
        <v/>
      </c>
      <c r="J130" s="416" t="str">
        <v/>
      </c>
      <c r="K130" s="38" t="s">
        <v>21</v>
      </c>
      <c r="L130" s="38" t="s">
        <v>21</v>
      </c>
      <c r="M130" s="38" t="s">
        <v>21</v>
      </c>
      <c r="N130" s="38" t="s">
        <v>21</v>
      </c>
      <c r="O130" s="38" t="s">
        <v>21</v>
      </c>
      <c r="P130" s="38" t="s">
        <v>21</v>
      </c>
      <c r="Q130" s="38" t="s">
        <v>21</v>
      </c>
      <c r="R130" s="38">
        <v>0</v>
      </c>
      <c r="S130" s="38">
        <v>0</v>
      </c>
      <c r="T130" s="38">
        <v>0</v>
      </c>
      <c r="U130" s="38">
        <v>0</v>
      </c>
      <c r="V130" s="38">
        <v>0</v>
      </c>
      <c r="W130" s="38">
        <v>0</v>
      </c>
      <c r="X130" s="74">
        <v>0</v>
      </c>
      <c r="Y130" s="74">
        <v>0</v>
      </c>
      <c r="Z130" s="74">
        <v>0</v>
      </c>
      <c r="AA130" s="74">
        <v>0</v>
      </c>
      <c r="AB130" s="74">
        <v>0</v>
      </c>
      <c r="AC130" s="74">
        <v>0</v>
      </c>
      <c r="AD130" s="74" t="s">
        <v>21</v>
      </c>
      <c r="AE130" s="74" t="s">
        <v>21</v>
      </c>
      <c r="AF130" s="74" t="s">
        <v>21</v>
      </c>
      <c r="AG130" s="74" t="s">
        <v>21</v>
      </c>
      <c r="AH130" s="74" t="s">
        <v>21</v>
      </c>
      <c r="AI130" s="74" t="s">
        <v>21</v>
      </c>
      <c r="AJ130" s="74" t="s">
        <v>21</v>
      </c>
      <c r="AK130" s="74" t="s">
        <v>21</v>
      </c>
      <c r="AL130" s="74" t="s">
        <v>21</v>
      </c>
      <c r="AM130" s="74" t="s">
        <v>21</v>
      </c>
      <c r="AN130" s="74" t="s">
        <v>21</v>
      </c>
      <c r="AO130" s="74" t="s">
        <v>21</v>
      </c>
      <c r="AP130" s="74" t="s">
        <v>21</v>
      </c>
      <c r="AQ130" s="74" t="s">
        <v>21</v>
      </c>
      <c r="AR130" s="74" t="s">
        <v>21</v>
      </c>
      <c r="AS130" s="74" t="s">
        <v>21</v>
      </c>
      <c r="AT130" s="74" t="s">
        <v>21</v>
      </c>
      <c r="AU130" s="74" t="s">
        <v>21</v>
      </c>
      <c r="AV130" s="74" t="str" cm="1">
        <f t="array" aca="1" ref="AV130" ca="1">IFERROR(_xlfn.XLOOKUP($C130,
INDIRECT("'在庫使用計画 ("&amp;AV$1&amp;")'!D:D"),
INDIRECT("'在庫使用計画 ("&amp;AV$1&amp;")'!I:I")
),"")</f>
        <v/>
      </c>
      <c r="AW130" s="74" t="str" cm="1">
        <f t="array" aca="1" ref="AW130" ca="1">IFERROR(_xlfn.XLOOKUP($C130,
INDIRECT("'在庫使用計画 ("&amp;AW$1&amp;")'!D:D"),
INDIRECT("'在庫使用計画 ("&amp;AW$1&amp;")'!I:I")
),"")</f>
        <v/>
      </c>
      <c r="AX130" s="74" t="str" cm="1">
        <f t="array" aca="1" ref="AX130" ca="1">IFERROR(_xlfn.XLOOKUP($C130,
INDIRECT("'在庫使用計画 ("&amp;AX$1&amp;")'!D:D"),
INDIRECT("'在庫使用計画 ("&amp;AX$1&amp;")'!I:I")
),"")</f>
        <v/>
      </c>
    </row>
    <row r="131" spans="1:50" s="21" customFormat="1" ht="18.600000000000001" customHeight="1">
      <c r="A131" s="125" t="s">
        <v>1406</v>
      </c>
      <c r="B131" s="100" t="s">
        <v>850</v>
      </c>
      <c r="C131" s="63" t="s">
        <v>847</v>
      </c>
      <c r="D131" s="63" t="e">
        <v>#REF!</v>
      </c>
      <c r="E131" s="63" t="s">
        <v>1505</v>
      </c>
      <c r="F131" s="101" t="s">
        <v>1506</v>
      </c>
      <c r="G131" s="101"/>
      <c r="H131" s="38">
        <v>177</v>
      </c>
      <c r="I131" s="700" t="e">
        <v>#REF!</v>
      </c>
      <c r="J131" s="416" t="e">
        <v>#REF!</v>
      </c>
      <c r="K131" s="38">
        <v>74</v>
      </c>
      <c r="L131" s="38">
        <v>126</v>
      </c>
      <c r="M131" s="38">
        <v>63</v>
      </c>
      <c r="N131" s="38">
        <v>63</v>
      </c>
      <c r="O131" s="38">
        <v>63</v>
      </c>
      <c r="P131" s="38">
        <v>63</v>
      </c>
      <c r="Q131" s="38">
        <v>63</v>
      </c>
      <c r="R131" s="38">
        <v>63</v>
      </c>
      <c r="S131" s="38">
        <v>63</v>
      </c>
      <c r="T131" s="38">
        <v>88</v>
      </c>
      <c r="U131" s="38">
        <v>88</v>
      </c>
      <c r="V131" s="38">
        <v>88</v>
      </c>
      <c r="W131" s="38">
        <v>88</v>
      </c>
      <c r="X131" s="74">
        <v>88</v>
      </c>
      <c r="Y131" s="74">
        <v>88</v>
      </c>
      <c r="Z131" s="74">
        <v>88</v>
      </c>
      <c r="AA131" s="74">
        <v>88</v>
      </c>
      <c r="AB131" s="74">
        <v>125</v>
      </c>
      <c r="AC131" s="74">
        <v>125</v>
      </c>
      <c r="AD131" s="74">
        <v>125</v>
      </c>
      <c r="AE131" s="74">
        <v>125</v>
      </c>
      <c r="AF131" s="74">
        <v>125</v>
      </c>
      <c r="AG131" s="74">
        <v>125</v>
      </c>
      <c r="AH131" s="74">
        <v>125</v>
      </c>
      <c r="AI131" s="74">
        <v>110</v>
      </c>
      <c r="AJ131" s="74">
        <v>110</v>
      </c>
      <c r="AK131" s="74">
        <v>110</v>
      </c>
      <c r="AL131" s="74">
        <v>110</v>
      </c>
      <c r="AM131" s="74">
        <v>110</v>
      </c>
      <c r="AN131" s="74">
        <v>128</v>
      </c>
      <c r="AO131" s="74">
        <v>128</v>
      </c>
      <c r="AP131" s="74">
        <v>101</v>
      </c>
      <c r="AQ131" s="74">
        <v>101</v>
      </c>
      <c r="AR131" s="74">
        <v>101</v>
      </c>
      <c r="AS131" s="74">
        <v>101</v>
      </c>
      <c r="AT131" s="74">
        <v>101</v>
      </c>
      <c r="AU131" s="74">
        <v>101</v>
      </c>
      <c r="AV131" s="74" t="str" cm="1">
        <f t="array" aca="1" ref="AV131" ca="1">IFERROR(_xlfn.XLOOKUP($C131,
INDIRECT("'在庫使用計画 ("&amp;AV$1&amp;")'!D:D"),
INDIRECT("'在庫使用計画 ("&amp;AV$1&amp;")'!I:I")
),"")</f>
        <v/>
      </c>
      <c r="AW131" s="74" t="str" cm="1">
        <f t="array" aca="1" ref="AW131" ca="1">IFERROR(_xlfn.XLOOKUP($C131,
INDIRECT("'在庫使用計画 ("&amp;AW$1&amp;")'!D:D"),
INDIRECT("'在庫使用計画 ("&amp;AW$1&amp;")'!I:I")
),"")</f>
        <v/>
      </c>
      <c r="AX131" s="74" t="str" cm="1">
        <f t="array" aca="1" ref="AX131" ca="1">IFERROR(_xlfn.XLOOKUP($C131,
INDIRECT("'在庫使用計画 ("&amp;AX$1&amp;")'!D:D"),
INDIRECT("'在庫使用計画 ("&amp;AX$1&amp;")'!I:I")
),"")</f>
        <v/>
      </c>
    </row>
    <row r="132" spans="1:50" s="21" customFormat="1" ht="18.600000000000001" customHeight="1">
      <c r="A132" s="99"/>
      <c r="B132" s="100" t="s">
        <v>857</v>
      </c>
      <c r="C132" s="63" t="s">
        <v>854</v>
      </c>
      <c r="D132" s="63" t="e">
        <v>#REF!</v>
      </c>
      <c r="E132" s="63" t="s">
        <v>1505</v>
      </c>
      <c r="F132" s="101" t="s">
        <v>1507</v>
      </c>
      <c r="G132" s="101"/>
      <c r="H132" s="38">
        <v>36</v>
      </c>
      <c r="I132" s="700" t="e">
        <v>#REF!</v>
      </c>
      <c r="J132" s="416" t="e">
        <v>#REF!</v>
      </c>
      <c r="K132" s="38">
        <v>22</v>
      </c>
      <c r="L132" s="38">
        <v>38</v>
      </c>
      <c r="M132" s="38">
        <v>19</v>
      </c>
      <c r="N132" s="38">
        <v>19</v>
      </c>
      <c r="O132" s="38">
        <v>19</v>
      </c>
      <c r="P132" s="38">
        <v>19</v>
      </c>
      <c r="Q132" s="38">
        <v>19</v>
      </c>
      <c r="R132" s="38">
        <v>19</v>
      </c>
      <c r="S132" s="38">
        <v>19</v>
      </c>
      <c r="T132" s="38">
        <v>33</v>
      </c>
      <c r="U132" s="38">
        <v>33</v>
      </c>
      <c r="V132" s="38">
        <v>33</v>
      </c>
      <c r="W132" s="38">
        <v>33</v>
      </c>
      <c r="X132" s="74">
        <v>33</v>
      </c>
      <c r="Y132" s="74">
        <v>33</v>
      </c>
      <c r="Z132" s="74">
        <v>33</v>
      </c>
      <c r="AA132" s="74">
        <v>33</v>
      </c>
      <c r="AB132" s="74">
        <v>50</v>
      </c>
      <c r="AC132" s="74">
        <v>50</v>
      </c>
      <c r="AD132" s="74">
        <v>50</v>
      </c>
      <c r="AE132" s="74">
        <v>50</v>
      </c>
      <c r="AF132" s="74">
        <v>50</v>
      </c>
      <c r="AG132" s="74">
        <v>50</v>
      </c>
      <c r="AH132" s="74">
        <v>50</v>
      </c>
      <c r="AI132" s="74">
        <v>47</v>
      </c>
      <c r="AJ132" s="74">
        <v>47</v>
      </c>
      <c r="AK132" s="74">
        <v>47</v>
      </c>
      <c r="AL132" s="74">
        <v>47</v>
      </c>
      <c r="AM132" s="74">
        <v>47</v>
      </c>
      <c r="AN132" s="74">
        <v>64</v>
      </c>
      <c r="AO132" s="74">
        <v>64</v>
      </c>
      <c r="AP132" s="74">
        <v>59</v>
      </c>
      <c r="AQ132" s="74">
        <v>59</v>
      </c>
      <c r="AR132" s="74">
        <v>59</v>
      </c>
      <c r="AS132" s="74">
        <v>59</v>
      </c>
      <c r="AT132" s="74">
        <v>59</v>
      </c>
      <c r="AU132" s="74">
        <v>59</v>
      </c>
      <c r="AV132" s="74" t="str" cm="1">
        <f t="array" aca="1" ref="AV132" ca="1">IFERROR(_xlfn.XLOOKUP($C132,
INDIRECT("'在庫使用計画 ("&amp;AV$1&amp;")'!D:D"),
INDIRECT("'在庫使用計画 ("&amp;AV$1&amp;")'!I:I")
),"")</f>
        <v/>
      </c>
      <c r="AW132" s="74" t="str" cm="1">
        <f t="array" aca="1" ref="AW132" ca="1">IFERROR(_xlfn.XLOOKUP($C132,
INDIRECT("'在庫使用計画 ("&amp;AW$1&amp;")'!D:D"),
INDIRECT("'在庫使用計画 ("&amp;AW$1&amp;")'!I:I")
),"")</f>
        <v/>
      </c>
      <c r="AX132" s="74" t="str" cm="1">
        <f t="array" aca="1" ref="AX132" ca="1">IFERROR(_xlfn.XLOOKUP($C132,
INDIRECT("'在庫使用計画 ("&amp;AX$1&amp;")'!D:D"),
INDIRECT("'在庫使用計画 ("&amp;AX$1&amp;")'!I:I")
),"")</f>
        <v/>
      </c>
    </row>
    <row r="133" spans="1:50" s="21" customFormat="1" ht="18.600000000000001" customHeight="1">
      <c r="A133" s="114"/>
      <c r="B133" s="100" t="s">
        <v>1508</v>
      </c>
      <c r="C133" s="57" t="s">
        <v>1509</v>
      </c>
      <c r="D133" s="57" t="e">
        <v>#REF!</v>
      </c>
      <c r="E133" s="57" t="s">
        <v>1505</v>
      </c>
      <c r="F133" s="56" t="s">
        <v>1506</v>
      </c>
      <c r="G133" s="56"/>
      <c r="H133" s="38">
        <v>0</v>
      </c>
      <c r="I133" s="700" t="e">
        <v>#REF!</v>
      </c>
      <c r="J133" s="416" t="e">
        <v>#REF!</v>
      </c>
      <c r="K133" s="38" t="s">
        <v>21</v>
      </c>
      <c r="L133" s="38" t="s">
        <v>21</v>
      </c>
      <c r="M133" s="38" t="s">
        <v>21</v>
      </c>
      <c r="N133" s="38" t="s">
        <v>21</v>
      </c>
      <c r="O133" s="38" t="s">
        <v>21</v>
      </c>
      <c r="P133" s="38" t="s">
        <v>21</v>
      </c>
      <c r="Q133" s="38" t="s">
        <v>21</v>
      </c>
      <c r="R133" s="38">
        <v>0</v>
      </c>
      <c r="S133" s="38">
        <v>0</v>
      </c>
      <c r="T133" s="38">
        <v>0</v>
      </c>
      <c r="U133" s="38">
        <v>0</v>
      </c>
      <c r="V133" s="38">
        <v>0</v>
      </c>
      <c r="W133" s="38">
        <v>0</v>
      </c>
      <c r="X133" s="74">
        <v>0</v>
      </c>
      <c r="Y133" s="74">
        <v>0</v>
      </c>
      <c r="Z133" s="74">
        <v>0</v>
      </c>
      <c r="AA133" s="74">
        <v>0</v>
      </c>
      <c r="AB133" s="74">
        <v>0</v>
      </c>
      <c r="AC133" s="74">
        <v>0</v>
      </c>
      <c r="AD133" s="74">
        <v>0</v>
      </c>
      <c r="AE133" s="74">
        <v>0</v>
      </c>
      <c r="AF133" s="74">
        <v>0</v>
      </c>
      <c r="AG133" s="74">
        <v>0</v>
      </c>
      <c r="AH133" s="74">
        <v>0</v>
      </c>
      <c r="AI133" s="74">
        <v>0</v>
      </c>
      <c r="AJ133" s="74">
        <v>0</v>
      </c>
      <c r="AK133" s="74">
        <v>0</v>
      </c>
      <c r="AL133" s="74">
        <v>0</v>
      </c>
      <c r="AM133" s="74">
        <v>0</v>
      </c>
      <c r="AN133" s="74">
        <v>0</v>
      </c>
      <c r="AO133" s="74">
        <v>0</v>
      </c>
      <c r="AP133" s="74">
        <v>0</v>
      </c>
      <c r="AQ133" s="74">
        <v>0</v>
      </c>
      <c r="AR133" s="74">
        <v>0</v>
      </c>
      <c r="AS133" s="74">
        <v>0</v>
      </c>
      <c r="AT133" s="74">
        <v>0</v>
      </c>
      <c r="AU133" s="74">
        <v>0</v>
      </c>
      <c r="AV133" s="74" t="str" cm="1">
        <f t="array" aca="1" ref="AV133" ca="1">IFERROR(_xlfn.XLOOKUP($C133,
INDIRECT("'在庫使用計画 ("&amp;AV$1&amp;")'!D:D"),
INDIRECT("'在庫使用計画 ("&amp;AV$1&amp;")'!I:I")
),"")</f>
        <v/>
      </c>
      <c r="AW133" s="74" t="str" cm="1">
        <f t="array" aca="1" ref="AW133" ca="1">IFERROR(_xlfn.XLOOKUP($C133,
INDIRECT("'在庫使用計画 ("&amp;AW$1&amp;")'!D:D"),
INDIRECT("'在庫使用計画 ("&amp;AW$1&amp;")'!I:I")
),"")</f>
        <v/>
      </c>
      <c r="AX133" s="74" t="str" cm="1">
        <f t="array" aca="1" ref="AX133" ca="1">IFERROR(_xlfn.XLOOKUP($C133,
INDIRECT("'在庫使用計画 ("&amp;AX$1&amp;")'!D:D"),
INDIRECT("'在庫使用計画 ("&amp;AX$1&amp;")'!I:I")
),"")</f>
        <v/>
      </c>
    </row>
    <row r="134" spans="1:50" s="21" customFormat="1" ht="18.600000000000001" customHeight="1">
      <c r="A134" s="54"/>
      <c r="B134" s="100" t="s">
        <v>1510</v>
      </c>
      <c r="C134" s="57" t="s">
        <v>986</v>
      </c>
      <c r="D134" s="57" t="e">
        <v>#REF!</v>
      </c>
      <c r="E134" s="57" t="s">
        <v>1505</v>
      </c>
      <c r="F134" s="56" t="s">
        <v>1507</v>
      </c>
      <c r="G134" s="56"/>
      <c r="H134" s="38">
        <v>16</v>
      </c>
      <c r="I134" s="700" t="e">
        <v>#REF!</v>
      </c>
      <c r="J134" s="416" t="e">
        <v>#REF!</v>
      </c>
      <c r="K134" s="38">
        <v>72</v>
      </c>
      <c r="L134" s="38">
        <v>72</v>
      </c>
      <c r="M134" s="38">
        <v>72</v>
      </c>
      <c r="N134" s="38">
        <v>72</v>
      </c>
      <c r="O134" s="38">
        <v>72</v>
      </c>
      <c r="P134" s="38">
        <v>72</v>
      </c>
      <c r="Q134" s="38">
        <v>72</v>
      </c>
      <c r="R134" s="38">
        <v>47</v>
      </c>
      <c r="S134" s="38">
        <v>47</v>
      </c>
      <c r="T134" s="38">
        <v>22</v>
      </c>
      <c r="U134" s="38">
        <v>22</v>
      </c>
      <c r="V134" s="38">
        <v>22</v>
      </c>
      <c r="W134" s="38">
        <v>22</v>
      </c>
      <c r="X134" s="74">
        <v>22</v>
      </c>
      <c r="Y134" s="74">
        <v>22</v>
      </c>
      <c r="Z134" s="74">
        <v>22</v>
      </c>
      <c r="AA134" s="74">
        <v>22</v>
      </c>
      <c r="AB134" s="74">
        <v>0</v>
      </c>
      <c r="AC134" s="74">
        <v>0</v>
      </c>
      <c r="AD134" s="74">
        <v>0</v>
      </c>
      <c r="AE134" s="74">
        <v>0</v>
      </c>
      <c r="AF134" s="74">
        <v>0</v>
      </c>
      <c r="AG134" s="74">
        <v>0</v>
      </c>
      <c r="AH134" s="74">
        <v>0</v>
      </c>
      <c r="AI134" s="74">
        <v>0</v>
      </c>
      <c r="AJ134" s="74">
        <v>0</v>
      </c>
      <c r="AK134" s="74">
        <v>0</v>
      </c>
      <c r="AL134" s="74">
        <v>0</v>
      </c>
      <c r="AM134" s="74">
        <v>0</v>
      </c>
      <c r="AN134" s="74">
        <v>0</v>
      </c>
      <c r="AO134" s="74">
        <v>0</v>
      </c>
      <c r="AP134" s="74">
        <v>0</v>
      </c>
      <c r="AQ134" s="74">
        <v>0</v>
      </c>
      <c r="AR134" s="74">
        <v>0</v>
      </c>
      <c r="AS134" s="74">
        <v>0</v>
      </c>
      <c r="AT134" s="74">
        <v>0</v>
      </c>
      <c r="AU134" s="74">
        <v>0</v>
      </c>
      <c r="AV134" s="74" t="str" cm="1">
        <f t="array" aca="1" ref="AV134" ca="1">IFERROR(_xlfn.XLOOKUP($C134,
INDIRECT("'在庫使用計画 ("&amp;AV$1&amp;")'!D:D"),
INDIRECT("'在庫使用計画 ("&amp;AV$1&amp;")'!I:I")
),"")</f>
        <v/>
      </c>
      <c r="AW134" s="74" t="str" cm="1">
        <f t="array" aca="1" ref="AW134" ca="1">IFERROR(_xlfn.XLOOKUP($C134,
INDIRECT("'在庫使用計画 ("&amp;AW$1&amp;")'!D:D"),
INDIRECT("'在庫使用計画 ("&amp;AW$1&amp;")'!I:I")
),"")</f>
        <v/>
      </c>
      <c r="AX134" s="74" t="str" cm="1">
        <f t="array" aca="1" ref="AX134" ca="1">IFERROR(_xlfn.XLOOKUP($C134,
INDIRECT("'在庫使用計画 ("&amp;AX$1&amp;")'!D:D"),
INDIRECT("'在庫使用計画 ("&amp;AX$1&amp;")'!I:I")
),"")</f>
        <v/>
      </c>
    </row>
    <row r="135" spans="1:50" s="70" customFormat="1" ht="18.600000000000001" customHeight="1">
      <c r="A135" s="114"/>
      <c r="B135" s="55" t="s">
        <v>1511</v>
      </c>
      <c r="C135" s="57" t="s">
        <v>1512</v>
      </c>
      <c r="D135" s="57" t="e">
        <v>#REF!</v>
      </c>
      <c r="E135" s="115" t="s">
        <v>1513</v>
      </c>
      <c r="F135" s="106">
        <v>4060</v>
      </c>
      <c r="G135" s="68" t="s">
        <v>1347</v>
      </c>
      <c r="H135" s="38">
        <v>0</v>
      </c>
      <c r="I135" s="700" t="e">
        <v>#REF!</v>
      </c>
      <c r="J135" s="416" t="e">
        <v>#REF!</v>
      </c>
      <c r="K135" s="38">
        <v>14</v>
      </c>
      <c r="L135" s="38">
        <v>14</v>
      </c>
      <c r="M135" s="38">
        <v>14</v>
      </c>
      <c r="N135" s="38">
        <v>14</v>
      </c>
      <c r="O135" s="38">
        <v>14</v>
      </c>
      <c r="P135" s="38">
        <v>14</v>
      </c>
      <c r="Q135" s="38">
        <v>14</v>
      </c>
      <c r="R135" s="38">
        <v>0</v>
      </c>
      <c r="S135" s="38">
        <v>0</v>
      </c>
      <c r="T135" s="38">
        <v>0</v>
      </c>
      <c r="U135" s="38">
        <v>0</v>
      </c>
      <c r="V135" s="38">
        <v>0</v>
      </c>
      <c r="W135" s="38">
        <v>0</v>
      </c>
      <c r="X135" s="74">
        <v>0</v>
      </c>
      <c r="Y135" s="74">
        <v>0</v>
      </c>
      <c r="Z135" s="74">
        <v>0</v>
      </c>
      <c r="AA135" s="74">
        <v>0</v>
      </c>
      <c r="AB135" s="74">
        <v>0</v>
      </c>
      <c r="AC135" s="74">
        <v>0</v>
      </c>
      <c r="AD135" s="74">
        <v>0</v>
      </c>
      <c r="AE135" s="74">
        <v>0</v>
      </c>
      <c r="AF135" s="74">
        <v>0</v>
      </c>
      <c r="AG135" s="74">
        <v>0</v>
      </c>
      <c r="AH135" s="74">
        <v>0</v>
      </c>
      <c r="AI135" s="74">
        <v>0</v>
      </c>
      <c r="AJ135" s="74">
        <v>0</v>
      </c>
      <c r="AK135" s="74">
        <v>0</v>
      </c>
      <c r="AL135" s="74">
        <v>0</v>
      </c>
      <c r="AM135" s="74">
        <v>0</v>
      </c>
      <c r="AN135" s="74">
        <v>0</v>
      </c>
      <c r="AO135" s="74">
        <v>0</v>
      </c>
      <c r="AP135" s="74">
        <v>0</v>
      </c>
      <c r="AQ135" s="74">
        <v>0</v>
      </c>
      <c r="AR135" s="74">
        <v>0</v>
      </c>
      <c r="AS135" s="74">
        <v>0</v>
      </c>
      <c r="AT135" s="74">
        <v>0</v>
      </c>
      <c r="AU135" s="74">
        <v>0</v>
      </c>
      <c r="AV135" s="74" t="str" cm="1">
        <f t="array" aca="1" ref="AV135" ca="1">IFERROR(_xlfn.XLOOKUP($C135,
INDIRECT("'在庫使用計画 ("&amp;AV$1&amp;")'!D:D"),
INDIRECT("'在庫使用計画 ("&amp;AV$1&amp;")'!I:I")
),"")</f>
        <v/>
      </c>
      <c r="AW135" s="74" t="str" cm="1">
        <f t="array" aca="1" ref="AW135" ca="1">IFERROR(_xlfn.XLOOKUP($C135,
INDIRECT("'在庫使用計画 ("&amp;AW$1&amp;")'!D:D"),
INDIRECT("'在庫使用計画 ("&amp;AW$1&amp;")'!I:I")
),"")</f>
        <v/>
      </c>
      <c r="AX135" s="74" t="str" cm="1">
        <f t="array" aca="1" ref="AX135" ca="1">IFERROR(_xlfn.XLOOKUP($C135,
INDIRECT("'在庫使用計画 ("&amp;AX$1&amp;")'!D:D"),
INDIRECT("'在庫使用計画 ("&amp;AX$1&amp;")'!I:I")
),"")</f>
        <v/>
      </c>
    </row>
    <row r="136" spans="1:50" s="21" customFormat="1" ht="18.600000000000001" customHeight="1">
      <c r="A136" s="59" t="s">
        <v>1317</v>
      </c>
      <c r="B136" s="55" t="s">
        <v>1317</v>
      </c>
      <c r="C136" s="55"/>
      <c r="D136" s="55" t="str">
        <v/>
      </c>
      <c r="E136" s="55" t="s">
        <v>1317</v>
      </c>
      <c r="F136" s="58" t="s">
        <v>1317</v>
      </c>
      <c r="G136" s="58"/>
      <c r="H136" s="38" t="str">
        <v/>
      </c>
      <c r="I136" s="700" t="str">
        <v/>
      </c>
      <c r="J136" s="416" t="str">
        <v/>
      </c>
      <c r="K136" s="38" t="s">
        <v>21</v>
      </c>
      <c r="L136" s="38" t="s">
        <v>21</v>
      </c>
      <c r="M136" s="38" t="s">
        <v>21</v>
      </c>
      <c r="N136" s="38" t="s">
        <v>21</v>
      </c>
      <c r="O136" s="38" t="s">
        <v>21</v>
      </c>
      <c r="P136" s="38" t="s">
        <v>21</v>
      </c>
      <c r="Q136" s="38" t="s">
        <v>21</v>
      </c>
      <c r="R136" s="38">
        <v>0</v>
      </c>
      <c r="S136" s="38">
        <v>0</v>
      </c>
      <c r="T136" s="38">
        <v>0</v>
      </c>
      <c r="U136" s="38">
        <v>0</v>
      </c>
      <c r="V136" s="38">
        <v>0</v>
      </c>
      <c r="W136" s="38">
        <v>0</v>
      </c>
      <c r="X136" s="74">
        <v>0</v>
      </c>
      <c r="Y136" s="74">
        <v>0</v>
      </c>
      <c r="Z136" s="74">
        <v>0</v>
      </c>
      <c r="AA136" s="74">
        <v>0</v>
      </c>
      <c r="AB136" s="74">
        <v>0</v>
      </c>
      <c r="AC136" s="74">
        <v>0</v>
      </c>
      <c r="AD136" s="74" t="s">
        <v>21</v>
      </c>
      <c r="AE136" s="74" t="s">
        <v>21</v>
      </c>
      <c r="AF136" s="74" t="s">
        <v>21</v>
      </c>
      <c r="AG136" s="74" t="s">
        <v>21</v>
      </c>
      <c r="AH136" s="74" t="s">
        <v>21</v>
      </c>
      <c r="AI136" s="74" t="s">
        <v>21</v>
      </c>
      <c r="AJ136" s="74" t="s">
        <v>21</v>
      </c>
      <c r="AK136" s="74" t="s">
        <v>21</v>
      </c>
      <c r="AL136" s="74" t="s">
        <v>21</v>
      </c>
      <c r="AM136" s="74" t="s">
        <v>21</v>
      </c>
      <c r="AN136" s="74" t="s">
        <v>21</v>
      </c>
      <c r="AO136" s="74" t="s">
        <v>21</v>
      </c>
      <c r="AP136" s="74" t="s">
        <v>21</v>
      </c>
      <c r="AQ136" s="74" t="s">
        <v>21</v>
      </c>
      <c r="AR136" s="74" t="s">
        <v>21</v>
      </c>
      <c r="AS136" s="74" t="s">
        <v>21</v>
      </c>
      <c r="AT136" s="74" t="s">
        <v>21</v>
      </c>
      <c r="AU136" s="74" t="s">
        <v>21</v>
      </c>
      <c r="AV136" s="74" t="str" cm="1">
        <f t="array" aca="1" ref="AV136" ca="1">IFERROR(_xlfn.XLOOKUP($C136,
INDIRECT("'在庫使用計画 ("&amp;AV$1&amp;")'!D:D"),
INDIRECT("'在庫使用計画 ("&amp;AV$1&amp;")'!I:I")
),"")</f>
        <v/>
      </c>
      <c r="AW136" s="74" t="str" cm="1">
        <f t="array" aca="1" ref="AW136" ca="1">IFERROR(_xlfn.XLOOKUP($C136,
INDIRECT("'在庫使用計画 ("&amp;AW$1&amp;")'!D:D"),
INDIRECT("'在庫使用計画 ("&amp;AW$1&amp;")'!I:I")
),"")</f>
        <v/>
      </c>
      <c r="AX136" s="74" t="str" cm="1">
        <f t="array" aca="1" ref="AX136" ca="1">IFERROR(_xlfn.XLOOKUP($C136,
INDIRECT("'在庫使用計画 ("&amp;AX$1&amp;")'!D:D"),
INDIRECT("'在庫使用計画 ("&amp;AX$1&amp;")'!I:I")
),"")</f>
        <v/>
      </c>
    </row>
    <row r="137" spans="1:50" s="70" customFormat="1" ht="18.600000000000001" customHeight="1">
      <c r="A137" s="54" t="s">
        <v>1419</v>
      </c>
      <c r="B137" s="55" t="s">
        <v>1514</v>
      </c>
      <c r="C137" s="57" t="s">
        <v>1515</v>
      </c>
      <c r="D137" s="57" t="e">
        <v>#REF!</v>
      </c>
      <c r="E137" s="115" t="s">
        <v>1516</v>
      </c>
      <c r="F137" s="106">
        <v>4060</v>
      </c>
      <c r="G137" s="106" t="s">
        <v>1347</v>
      </c>
      <c r="H137" s="38">
        <v>0</v>
      </c>
      <c r="I137" s="700" t="e">
        <v>#REF!</v>
      </c>
      <c r="J137" s="416" t="e">
        <v>#REF!</v>
      </c>
      <c r="K137" s="38">
        <v>36</v>
      </c>
      <c r="L137" s="38">
        <v>36</v>
      </c>
      <c r="M137" s="38">
        <v>36</v>
      </c>
      <c r="N137" s="38">
        <v>36</v>
      </c>
      <c r="O137" s="38">
        <v>36</v>
      </c>
      <c r="P137" s="38">
        <v>36</v>
      </c>
      <c r="Q137" s="38">
        <v>36</v>
      </c>
      <c r="R137" s="38">
        <v>0</v>
      </c>
      <c r="S137" s="38">
        <v>0</v>
      </c>
      <c r="T137" s="38">
        <v>0</v>
      </c>
      <c r="U137" s="38">
        <v>0</v>
      </c>
      <c r="V137" s="38">
        <v>0</v>
      </c>
      <c r="W137" s="38">
        <v>0</v>
      </c>
      <c r="X137" s="74">
        <v>0</v>
      </c>
      <c r="Y137" s="74">
        <v>0</v>
      </c>
      <c r="Z137" s="74">
        <v>0</v>
      </c>
      <c r="AA137" s="74">
        <v>0</v>
      </c>
      <c r="AB137" s="74">
        <v>0</v>
      </c>
      <c r="AC137" s="74">
        <v>0</v>
      </c>
      <c r="AD137" s="74">
        <v>0</v>
      </c>
      <c r="AE137" s="74">
        <v>0</v>
      </c>
      <c r="AF137" s="74">
        <v>0</v>
      </c>
      <c r="AG137" s="74">
        <v>0</v>
      </c>
      <c r="AH137" s="74">
        <v>0</v>
      </c>
      <c r="AI137" s="74">
        <v>0</v>
      </c>
      <c r="AJ137" s="74">
        <v>0</v>
      </c>
      <c r="AK137" s="74">
        <v>0</v>
      </c>
      <c r="AL137" s="74">
        <v>0</v>
      </c>
      <c r="AM137" s="74">
        <v>0</v>
      </c>
      <c r="AN137" s="74">
        <v>0</v>
      </c>
      <c r="AO137" s="74">
        <v>0</v>
      </c>
      <c r="AP137" s="74">
        <v>0</v>
      </c>
      <c r="AQ137" s="74">
        <v>0</v>
      </c>
      <c r="AR137" s="74">
        <v>0</v>
      </c>
      <c r="AS137" s="74">
        <v>0</v>
      </c>
      <c r="AT137" s="74">
        <v>0</v>
      </c>
      <c r="AU137" s="74">
        <v>0</v>
      </c>
      <c r="AV137" s="74" t="str" cm="1">
        <f t="array" aca="1" ref="AV137" ca="1">IFERROR(_xlfn.XLOOKUP($C137,
INDIRECT("'在庫使用計画 ("&amp;AV$1&amp;")'!D:D"),
INDIRECT("'在庫使用計画 ("&amp;AV$1&amp;")'!I:I")
),"")</f>
        <v/>
      </c>
      <c r="AW137" s="74" t="str" cm="1">
        <f t="array" aca="1" ref="AW137" ca="1">IFERROR(_xlfn.XLOOKUP($C137,
INDIRECT("'在庫使用計画 ("&amp;AW$1&amp;")'!D:D"),
INDIRECT("'在庫使用計画 ("&amp;AW$1&amp;")'!I:I")
),"")</f>
        <v/>
      </c>
      <c r="AX137" s="74" t="str" cm="1">
        <f t="array" aca="1" ref="AX137" ca="1">IFERROR(_xlfn.XLOOKUP($C137,
INDIRECT("'在庫使用計画 ("&amp;AX$1&amp;")'!D:D"),
INDIRECT("'在庫使用計画 ("&amp;AX$1&amp;")'!I:I")
),"")</f>
        <v/>
      </c>
    </row>
    <row r="138" spans="1:50" s="70" customFormat="1" ht="18.600000000000001" customHeight="1">
      <c r="A138" s="114" t="s">
        <v>1317</v>
      </c>
      <c r="B138" s="55" t="s">
        <v>1517</v>
      </c>
      <c r="C138" s="57" t="s">
        <v>1518</v>
      </c>
      <c r="D138" s="57" t="e">
        <v>#REF!</v>
      </c>
      <c r="E138" s="115" t="s">
        <v>1516</v>
      </c>
      <c r="F138" s="106">
        <v>3050</v>
      </c>
      <c r="G138" s="106" t="s">
        <v>1347</v>
      </c>
      <c r="H138" s="38">
        <v>0</v>
      </c>
      <c r="I138" s="700" t="e">
        <v>#REF!</v>
      </c>
      <c r="J138" s="416" t="e">
        <v>#REF!</v>
      </c>
      <c r="K138" s="38">
        <v>110</v>
      </c>
      <c r="L138" s="38">
        <v>110</v>
      </c>
      <c r="M138" s="38">
        <v>110</v>
      </c>
      <c r="N138" s="38">
        <v>110</v>
      </c>
      <c r="O138" s="38">
        <v>110</v>
      </c>
      <c r="P138" s="38">
        <v>110</v>
      </c>
      <c r="Q138" s="38">
        <v>110</v>
      </c>
      <c r="R138" s="38">
        <v>0</v>
      </c>
      <c r="S138" s="38">
        <v>0</v>
      </c>
      <c r="T138" s="38">
        <v>0</v>
      </c>
      <c r="U138" s="38">
        <v>0</v>
      </c>
      <c r="V138" s="38">
        <v>0</v>
      </c>
      <c r="W138" s="38">
        <v>0</v>
      </c>
      <c r="X138" s="74">
        <v>0</v>
      </c>
      <c r="Y138" s="74">
        <v>0</v>
      </c>
      <c r="Z138" s="74">
        <v>0</v>
      </c>
      <c r="AA138" s="74">
        <v>0</v>
      </c>
      <c r="AB138" s="74">
        <v>0</v>
      </c>
      <c r="AC138" s="74">
        <v>0</v>
      </c>
      <c r="AD138" s="74">
        <v>0</v>
      </c>
      <c r="AE138" s="74">
        <v>0</v>
      </c>
      <c r="AF138" s="74">
        <v>0</v>
      </c>
      <c r="AG138" s="74">
        <v>0</v>
      </c>
      <c r="AH138" s="74">
        <v>0</v>
      </c>
      <c r="AI138" s="74">
        <v>0</v>
      </c>
      <c r="AJ138" s="74">
        <v>0</v>
      </c>
      <c r="AK138" s="74">
        <v>0</v>
      </c>
      <c r="AL138" s="74">
        <v>0</v>
      </c>
      <c r="AM138" s="74">
        <v>0</v>
      </c>
      <c r="AN138" s="74">
        <v>0</v>
      </c>
      <c r="AO138" s="74">
        <v>0</v>
      </c>
      <c r="AP138" s="74">
        <v>0</v>
      </c>
      <c r="AQ138" s="74">
        <v>0</v>
      </c>
      <c r="AR138" s="74">
        <v>0</v>
      </c>
      <c r="AS138" s="74">
        <v>0</v>
      </c>
      <c r="AT138" s="74">
        <v>0</v>
      </c>
      <c r="AU138" s="74">
        <v>0</v>
      </c>
      <c r="AV138" s="74" t="str" cm="1">
        <f t="array" aca="1" ref="AV138" ca="1">IFERROR(_xlfn.XLOOKUP($C138,
INDIRECT("'在庫使用計画 ("&amp;AV$1&amp;")'!D:D"),
INDIRECT("'在庫使用計画 ("&amp;AV$1&amp;")'!I:I")
),"")</f>
        <v/>
      </c>
      <c r="AW138" s="74" t="str" cm="1">
        <f t="array" aca="1" ref="AW138" ca="1">IFERROR(_xlfn.XLOOKUP($C138,
INDIRECT("'在庫使用計画 ("&amp;AW$1&amp;")'!D:D"),
INDIRECT("'在庫使用計画 ("&amp;AW$1&amp;")'!I:I")
),"")</f>
        <v/>
      </c>
      <c r="AX138" s="74" t="str" cm="1">
        <f t="array" aca="1" ref="AX138" ca="1">IFERROR(_xlfn.XLOOKUP($C138,
INDIRECT("'在庫使用計画 ("&amp;AX$1&amp;")'!D:D"),
INDIRECT("'在庫使用計画 ("&amp;AX$1&amp;")'!I:I")
),"")</f>
        <v/>
      </c>
    </row>
    <row r="139" spans="1:50" s="21" customFormat="1" ht="18.600000000000001" customHeight="1">
      <c r="A139" s="54" t="s">
        <v>1317</v>
      </c>
      <c r="B139" s="55" t="s">
        <v>1317</v>
      </c>
      <c r="C139" s="60"/>
      <c r="D139" s="60" t="str">
        <v/>
      </c>
      <c r="E139" s="60" t="s">
        <v>1317</v>
      </c>
      <c r="F139" s="56" t="s">
        <v>1317</v>
      </c>
      <c r="G139" s="56"/>
      <c r="H139" s="38" t="str">
        <v/>
      </c>
      <c r="I139" s="700" t="str">
        <v/>
      </c>
      <c r="J139" s="416" t="str">
        <v/>
      </c>
      <c r="K139" s="38" t="s">
        <v>21</v>
      </c>
      <c r="L139" s="38" t="s">
        <v>21</v>
      </c>
      <c r="M139" s="38" t="s">
        <v>21</v>
      </c>
      <c r="N139" s="38" t="s">
        <v>21</v>
      </c>
      <c r="O139" s="38" t="s">
        <v>21</v>
      </c>
      <c r="P139" s="38" t="s">
        <v>21</v>
      </c>
      <c r="Q139" s="38" t="s">
        <v>21</v>
      </c>
      <c r="R139" s="38">
        <v>0</v>
      </c>
      <c r="S139" s="38">
        <v>0</v>
      </c>
      <c r="T139" s="38">
        <v>0</v>
      </c>
      <c r="U139" s="38">
        <v>0</v>
      </c>
      <c r="V139" s="38">
        <v>0</v>
      </c>
      <c r="W139" s="38">
        <v>0</v>
      </c>
      <c r="X139" s="74">
        <v>0</v>
      </c>
      <c r="Y139" s="74">
        <v>0</v>
      </c>
      <c r="Z139" s="74">
        <v>0</v>
      </c>
      <c r="AA139" s="74">
        <v>0</v>
      </c>
      <c r="AB139" s="74">
        <v>0</v>
      </c>
      <c r="AC139" s="74">
        <v>0</v>
      </c>
      <c r="AD139" s="74" t="s">
        <v>21</v>
      </c>
      <c r="AE139" s="74" t="s">
        <v>21</v>
      </c>
      <c r="AF139" s="74" t="s">
        <v>21</v>
      </c>
      <c r="AG139" s="74" t="s">
        <v>21</v>
      </c>
      <c r="AH139" s="74" t="s">
        <v>21</v>
      </c>
      <c r="AI139" s="74" t="s">
        <v>21</v>
      </c>
      <c r="AJ139" s="74" t="s">
        <v>21</v>
      </c>
      <c r="AK139" s="74" t="s">
        <v>21</v>
      </c>
      <c r="AL139" s="74" t="s">
        <v>21</v>
      </c>
      <c r="AM139" s="74" t="s">
        <v>21</v>
      </c>
      <c r="AN139" s="74" t="s">
        <v>21</v>
      </c>
      <c r="AO139" s="74" t="s">
        <v>21</v>
      </c>
      <c r="AP139" s="74" t="s">
        <v>21</v>
      </c>
      <c r="AQ139" s="74" t="s">
        <v>21</v>
      </c>
      <c r="AR139" s="74" t="s">
        <v>21</v>
      </c>
      <c r="AS139" s="74" t="s">
        <v>21</v>
      </c>
      <c r="AT139" s="74" t="s">
        <v>21</v>
      </c>
      <c r="AU139" s="74" t="s">
        <v>21</v>
      </c>
      <c r="AV139" s="74" t="str" cm="1">
        <f t="array" aca="1" ref="AV139" ca="1">IFERROR(_xlfn.XLOOKUP($C139,
INDIRECT("'在庫使用計画 ("&amp;AV$1&amp;")'!D:D"),
INDIRECT("'在庫使用計画 ("&amp;AV$1&amp;")'!I:I")
),"")</f>
        <v/>
      </c>
      <c r="AW139" s="74" t="str" cm="1">
        <f t="array" aca="1" ref="AW139" ca="1">IFERROR(_xlfn.XLOOKUP($C139,
INDIRECT("'在庫使用計画 ("&amp;AW$1&amp;")'!D:D"),
INDIRECT("'在庫使用計画 ("&amp;AW$1&amp;")'!I:I")
),"")</f>
        <v/>
      </c>
      <c r="AX139" s="74" t="str" cm="1">
        <f t="array" aca="1" ref="AX139" ca="1">IFERROR(_xlfn.XLOOKUP($C139,
INDIRECT("'在庫使用計画 ("&amp;AX$1&amp;")'!D:D"),
INDIRECT("'在庫使用計画 ("&amp;AX$1&amp;")'!I:I")
),"")</f>
        <v/>
      </c>
    </row>
    <row r="140" spans="1:50" s="70" customFormat="1" ht="18.600000000000001" customHeight="1">
      <c r="A140" s="114" t="s">
        <v>1442</v>
      </c>
      <c r="B140" s="55" t="s">
        <v>1519</v>
      </c>
      <c r="C140" s="57" t="s">
        <v>1520</v>
      </c>
      <c r="D140" s="57" t="e">
        <v>#REF!</v>
      </c>
      <c r="E140" s="115" t="s">
        <v>1521</v>
      </c>
      <c r="F140" s="106" t="s">
        <v>438</v>
      </c>
      <c r="G140" s="68" t="s">
        <v>1347</v>
      </c>
      <c r="H140" s="38">
        <v>0</v>
      </c>
      <c r="I140" s="700" t="e">
        <v>#REF!</v>
      </c>
      <c r="J140" s="416" t="e">
        <v>#REF!</v>
      </c>
      <c r="K140" s="38">
        <v>177</v>
      </c>
      <c r="L140" s="38">
        <v>177</v>
      </c>
      <c r="M140" s="38">
        <v>177</v>
      </c>
      <c r="N140" s="38">
        <v>177</v>
      </c>
      <c r="O140" s="38">
        <v>177</v>
      </c>
      <c r="P140" s="38">
        <v>177</v>
      </c>
      <c r="Q140" s="38">
        <v>177</v>
      </c>
      <c r="R140" s="38">
        <v>0</v>
      </c>
      <c r="S140" s="38">
        <v>0</v>
      </c>
      <c r="T140" s="38">
        <v>0</v>
      </c>
      <c r="U140" s="38">
        <v>0</v>
      </c>
      <c r="V140" s="38">
        <v>0</v>
      </c>
      <c r="W140" s="38">
        <v>0</v>
      </c>
      <c r="X140" s="74">
        <v>0</v>
      </c>
      <c r="Y140" s="74">
        <v>0</v>
      </c>
      <c r="Z140" s="74">
        <v>0</v>
      </c>
      <c r="AA140" s="74">
        <v>0</v>
      </c>
      <c r="AB140" s="74">
        <v>0</v>
      </c>
      <c r="AC140" s="74">
        <v>0</v>
      </c>
      <c r="AD140" s="74">
        <v>0</v>
      </c>
      <c r="AE140" s="74">
        <v>0</v>
      </c>
      <c r="AF140" s="74">
        <v>0</v>
      </c>
      <c r="AG140" s="74">
        <v>0</v>
      </c>
      <c r="AH140" s="74">
        <v>0</v>
      </c>
      <c r="AI140" s="74">
        <v>0</v>
      </c>
      <c r="AJ140" s="74">
        <v>0</v>
      </c>
      <c r="AK140" s="74">
        <v>0</v>
      </c>
      <c r="AL140" s="74">
        <v>0</v>
      </c>
      <c r="AM140" s="74">
        <v>0</v>
      </c>
      <c r="AN140" s="74">
        <v>0</v>
      </c>
      <c r="AO140" s="74">
        <v>0</v>
      </c>
      <c r="AP140" s="74">
        <v>0</v>
      </c>
      <c r="AQ140" s="74">
        <v>0</v>
      </c>
      <c r="AR140" s="74">
        <v>0</v>
      </c>
      <c r="AS140" s="74">
        <v>0</v>
      </c>
      <c r="AT140" s="74">
        <v>0</v>
      </c>
      <c r="AU140" s="74">
        <v>0</v>
      </c>
      <c r="AV140" s="74" t="str" cm="1">
        <f t="array" aca="1" ref="AV140" ca="1">IFERROR(_xlfn.XLOOKUP($C140,
INDIRECT("'在庫使用計画 ("&amp;AV$1&amp;")'!D:D"),
INDIRECT("'在庫使用計画 ("&amp;AV$1&amp;")'!I:I")
),"")</f>
        <v/>
      </c>
      <c r="AW140" s="74" t="str" cm="1">
        <f t="array" aca="1" ref="AW140" ca="1">IFERROR(_xlfn.XLOOKUP($C140,
INDIRECT("'在庫使用計画 ("&amp;AW$1&amp;")'!D:D"),
INDIRECT("'在庫使用計画 ("&amp;AW$1&amp;")'!I:I")
),"")</f>
        <v/>
      </c>
      <c r="AX140" s="74" t="str" cm="1">
        <f t="array" aca="1" ref="AX140" ca="1">IFERROR(_xlfn.XLOOKUP($C140,
INDIRECT("'在庫使用計画 ("&amp;AX$1&amp;")'!D:D"),
INDIRECT("'在庫使用計画 ("&amp;AX$1&amp;")'!I:I")
),"")</f>
        <v/>
      </c>
    </row>
    <row r="141" spans="1:50" ht="18.600000000000001" customHeight="1">
      <c r="A141" s="208"/>
      <c r="B141" s="206" t="s">
        <v>1522</v>
      </c>
      <c r="C141" s="206"/>
      <c r="D141" s="206"/>
      <c r="E141" s="205"/>
      <c r="F141" s="205"/>
      <c r="G141" s="205"/>
      <c r="H141" s="207"/>
      <c r="I141" s="207"/>
      <c r="J141" s="207"/>
      <c r="K141" s="45">
        <v>505</v>
      </c>
      <c r="L141" s="45">
        <v>573</v>
      </c>
      <c r="M141" s="45">
        <v>491</v>
      </c>
      <c r="N141" s="45">
        <v>491</v>
      </c>
      <c r="O141" s="45">
        <v>491</v>
      </c>
      <c r="P141" s="45">
        <v>491</v>
      </c>
      <c r="Q141" s="45">
        <v>491</v>
      </c>
      <c r="R141" s="155">
        <v>129</v>
      </c>
      <c r="S141" s="155">
        <v>129</v>
      </c>
      <c r="T141" s="155">
        <v>143</v>
      </c>
      <c r="U141" s="155">
        <v>143</v>
      </c>
      <c r="V141" s="155">
        <v>143</v>
      </c>
      <c r="W141" s="155">
        <v>143</v>
      </c>
      <c r="X141" s="155">
        <v>143</v>
      </c>
      <c r="Y141" s="155">
        <v>143</v>
      </c>
      <c r="Z141" s="155">
        <v>143</v>
      </c>
      <c r="AA141" s="155">
        <v>143</v>
      </c>
      <c r="AB141" s="155">
        <v>175</v>
      </c>
      <c r="AC141" s="155">
        <v>175</v>
      </c>
      <c r="AD141" s="155">
        <v>175</v>
      </c>
      <c r="AE141" s="155">
        <v>175</v>
      </c>
      <c r="AF141" s="155">
        <v>175</v>
      </c>
      <c r="AG141" s="155">
        <v>175</v>
      </c>
      <c r="AH141" s="155">
        <v>175</v>
      </c>
      <c r="AI141" s="155">
        <v>157</v>
      </c>
      <c r="AJ141" s="155">
        <v>157</v>
      </c>
      <c r="AK141" s="155">
        <v>157</v>
      </c>
      <c r="AL141" s="155">
        <v>157</v>
      </c>
      <c r="AM141" s="155">
        <v>157</v>
      </c>
      <c r="AN141" s="155">
        <v>192</v>
      </c>
      <c r="AO141" s="155">
        <v>192</v>
      </c>
      <c r="AP141" s="155">
        <v>160</v>
      </c>
      <c r="AQ141" s="155">
        <v>160</v>
      </c>
      <c r="AR141" s="155">
        <v>160</v>
      </c>
      <c r="AS141" s="155">
        <v>160</v>
      </c>
      <c r="AT141" s="155">
        <v>160</v>
      </c>
      <c r="AU141" s="155">
        <v>160</v>
      </c>
      <c r="AV141" s="155">
        <f t="shared" ref="AV141:AX141" ca="1" si="4">_xlfn.AGGREGATE(9,0,AV129:AV140)</f>
        <v>0</v>
      </c>
      <c r="AW141" s="155">
        <f t="shared" ca="1" si="4"/>
        <v>0</v>
      </c>
      <c r="AX141" s="155">
        <f t="shared" ca="1" si="4"/>
        <v>0</v>
      </c>
    </row>
    <row r="142" spans="1:50" ht="18.600000000000001" customHeight="1" thickBot="1">
      <c r="A142" s="209"/>
      <c r="B142" s="210" t="s">
        <v>1523</v>
      </c>
      <c r="C142" s="210"/>
      <c r="D142" s="210"/>
      <c r="E142" s="211"/>
      <c r="F142" s="211"/>
      <c r="G142" s="211"/>
      <c r="H142" s="285"/>
      <c r="I142" s="285"/>
      <c r="J142" s="285"/>
      <c r="K142" s="325"/>
      <c r="L142" s="325"/>
      <c r="M142" s="325"/>
      <c r="N142" s="325"/>
      <c r="O142" s="325"/>
      <c r="P142" s="325"/>
      <c r="Q142" s="325"/>
      <c r="R142" s="325"/>
      <c r="S142" s="325" t="s">
        <v>21</v>
      </c>
      <c r="T142" s="325" t="s">
        <v>21</v>
      </c>
      <c r="U142" s="325" t="s">
        <v>21</v>
      </c>
      <c r="V142" s="325" t="s">
        <v>21</v>
      </c>
      <c r="W142" s="325" t="s">
        <v>21</v>
      </c>
      <c r="X142" s="359" t="s">
        <v>21</v>
      </c>
      <c r="Y142" s="359" t="s">
        <v>21</v>
      </c>
      <c r="Z142" s="359" t="s">
        <v>21</v>
      </c>
      <c r="AA142" s="359" t="s">
        <v>21</v>
      </c>
      <c r="AB142" s="359" t="s">
        <v>21</v>
      </c>
      <c r="AC142" s="359" t="s">
        <v>21</v>
      </c>
      <c r="AD142" s="359" t="s">
        <v>21</v>
      </c>
      <c r="AE142" s="359" t="s">
        <v>21</v>
      </c>
      <c r="AF142" s="359" t="s">
        <v>21</v>
      </c>
      <c r="AG142" s="359" t="s">
        <v>21</v>
      </c>
      <c r="AH142" s="359" t="s">
        <v>21</v>
      </c>
      <c r="AI142" s="359" t="s">
        <v>21</v>
      </c>
      <c r="AJ142" s="359" t="s">
        <v>21</v>
      </c>
      <c r="AK142" s="359" t="s">
        <v>21</v>
      </c>
      <c r="AL142" s="359" t="s">
        <v>21</v>
      </c>
      <c r="AM142" s="359" t="s">
        <v>21</v>
      </c>
      <c r="AN142" s="359" t="s">
        <v>21</v>
      </c>
      <c r="AO142" s="359" t="s">
        <v>21</v>
      </c>
      <c r="AP142" s="359" t="s">
        <v>21</v>
      </c>
      <c r="AQ142" s="359" t="s">
        <v>21</v>
      </c>
      <c r="AR142" s="359" t="s">
        <v>21</v>
      </c>
      <c r="AS142" s="359" t="s">
        <v>21</v>
      </c>
      <c r="AT142" s="359" t="s">
        <v>21</v>
      </c>
      <c r="AU142" s="359" t="s">
        <v>21</v>
      </c>
      <c r="AV142" s="359" t="str" cm="1">
        <f t="array" aca="1" ref="AV142" ca="1">IFERROR(_xlfn.XLOOKUP($C142,
INDIRECT("'在庫使用計画 ("&amp;AV$1&amp;")'!D:D"),
INDIRECT("'在庫使用計画 ("&amp;AV$1&amp;")'!H:H")
),"")</f>
        <v/>
      </c>
      <c r="AW142" s="359" t="str" cm="1">
        <f t="array" aca="1" ref="AW142" ca="1">IFERROR(_xlfn.XLOOKUP($C142,
INDIRECT("'在庫使用計画 ("&amp;AW$1&amp;")'!D:D"),
INDIRECT("'在庫使用計画 ("&amp;AW$1&amp;")'!H:H")
),"")</f>
        <v/>
      </c>
      <c r="AX142" s="359" t="str" cm="1">
        <f t="array" aca="1" ref="AX142" ca="1">IFERROR(_xlfn.XLOOKUP($C142,
INDIRECT("'在庫使用計画 ("&amp;AX$1&amp;")'!D:D"),
INDIRECT("'在庫使用計画 ("&amp;AX$1&amp;")'!H:H")
),"")</f>
        <v/>
      </c>
    </row>
    <row r="143" spans="1:50" ht="18.600000000000001" customHeight="1">
      <c r="X143" s="75"/>
      <c r="Y143" s="75"/>
      <c r="Z143" s="75"/>
      <c r="AA143" s="75"/>
      <c r="AB143" s="75"/>
      <c r="AC143" s="75"/>
      <c r="AD143" s="75"/>
      <c r="AE143" s="75"/>
      <c r="AF143" s="75"/>
      <c r="AG143" s="75"/>
      <c r="AH143" s="75"/>
      <c r="AS143" s="75"/>
      <c r="AT143" s="75"/>
    </row>
    <row r="144" spans="1:50" ht="18.600000000000001" customHeight="1">
      <c r="B144" s="150" t="s">
        <v>1524</v>
      </c>
      <c r="E144" s="46"/>
      <c r="X144" s="75"/>
      <c r="Y144" s="75"/>
      <c r="Z144" s="75"/>
      <c r="AA144" s="75"/>
      <c r="AB144" s="75"/>
      <c r="AC144" s="75"/>
      <c r="AD144" s="75"/>
      <c r="AE144" s="75"/>
      <c r="AF144" s="75"/>
      <c r="AG144" s="75"/>
      <c r="AH144" s="75"/>
      <c r="AS144" s="75"/>
      <c r="AT144" s="75"/>
    </row>
  </sheetData>
  <autoFilter ref="A1:AP142" xr:uid="{01C80ABC-D9EB-4E75-A584-7E732B076FD6}"/>
  <phoneticPr fontId="4"/>
  <conditionalFormatting sqref="C1:C142">
    <cfRule type="duplicateValues" dxfId="122" priority="195"/>
  </conditionalFormatting>
  <conditionalFormatting sqref="K2:AX142">
    <cfRule type="expression" dxfId="121" priority="5">
      <formula>OFFSET(INDIRECT(ADDRESS(ROW(),COLUMN())), 0, -1)&gt;INDIRECT(ADDRESS(ROW(),COLUMN()))</formula>
    </cfRule>
    <cfRule type="expression" dxfId="120" priority="8">
      <formula>AND(ISNUMBER(K2),$H2&lt;K2)</formula>
    </cfRule>
    <cfRule type="expression" dxfId="119" priority="36">
      <formula>OFFSET(INDIRECT(ADDRESS(ROW(),COLUMN())), 0, -1)&lt;INDIRECT(ADDRESS(ROW(),COLUMN()))</formula>
    </cfRule>
    <cfRule type="expression" priority="37">
      <formula>"$H:$H-$G:$G&lt;0"</formula>
    </cfRule>
  </conditionalFormatting>
  <pageMargins left="0.7" right="0.7" top="0.75" bottom="0.75" header="0.3" footer="0.3"/>
  <pageSetup paperSize="9" orientation="portrait" verticalDpi="0"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0B9D-4E77-42D0-A696-6400714F0C0C}">
  <sheetPr codeName="Sheet45"/>
  <dimension ref="A2:D33"/>
  <sheetViews>
    <sheetView workbookViewId="0">
      <selection activeCell="H26" sqref="H26"/>
    </sheetView>
  </sheetViews>
  <sheetFormatPr defaultRowHeight="18.75"/>
  <cols>
    <col min="17" max="17" width="30.375" customWidth="1"/>
  </cols>
  <sheetData>
    <row r="2" spans="1:4">
      <c r="A2">
        <v>1</v>
      </c>
      <c r="B2" t="s">
        <v>1525</v>
      </c>
    </row>
    <row r="3" spans="1:4">
      <c r="C3" t="s">
        <v>1526</v>
      </c>
    </row>
    <row r="4" spans="1:4">
      <c r="C4" t="s">
        <v>1527</v>
      </c>
    </row>
    <row r="5" spans="1:4">
      <c r="C5" t="s">
        <v>1528</v>
      </c>
    </row>
    <row r="6" spans="1:4">
      <c r="C6" t="s">
        <v>1529</v>
      </c>
    </row>
    <row r="7" spans="1:4">
      <c r="C7" t="s">
        <v>1530</v>
      </c>
    </row>
    <row r="8" spans="1:4">
      <c r="B8" t="s">
        <v>1531</v>
      </c>
      <c r="C8" t="s">
        <v>1532</v>
      </c>
      <c r="D8" t="s">
        <v>1533</v>
      </c>
    </row>
    <row r="9" spans="1:4">
      <c r="D9" t="s">
        <v>1534</v>
      </c>
    </row>
    <row r="10" spans="1:4">
      <c r="D10" t="s">
        <v>1535</v>
      </c>
    </row>
    <row r="11" spans="1:4">
      <c r="C11" t="s">
        <v>1536</v>
      </c>
      <c r="D11" t="s">
        <v>1537</v>
      </c>
    </row>
    <row r="12" spans="1:4">
      <c r="D12" t="s">
        <v>1538</v>
      </c>
    </row>
    <row r="13" spans="1:4">
      <c r="C13" t="s">
        <v>1539</v>
      </c>
    </row>
    <row r="16" spans="1:4">
      <c r="A16">
        <v>2</v>
      </c>
      <c r="B16" t="s">
        <v>1540</v>
      </c>
    </row>
    <row r="17" spans="1:4">
      <c r="C17" t="s">
        <v>1541</v>
      </c>
    </row>
    <row r="18" spans="1:4">
      <c r="D18" t="s">
        <v>1542</v>
      </c>
    </row>
    <row r="20" spans="1:4">
      <c r="C20" t="s">
        <v>1543</v>
      </c>
    </row>
    <row r="21" spans="1:4">
      <c r="D21" t="s">
        <v>1544</v>
      </c>
    </row>
    <row r="23" spans="1:4">
      <c r="C23" t="s">
        <v>1545</v>
      </c>
    </row>
    <row r="25" spans="1:4">
      <c r="A25">
        <v>3</v>
      </c>
      <c r="B25" t="s">
        <v>1546</v>
      </c>
    </row>
    <row r="26" spans="1:4">
      <c r="C26" t="s">
        <v>1547</v>
      </c>
    </row>
    <row r="28" spans="1:4">
      <c r="A28">
        <v>4</v>
      </c>
      <c r="B28" t="s">
        <v>1548</v>
      </c>
    </row>
    <row r="29" spans="1:4">
      <c r="C29" t="s">
        <v>1549</v>
      </c>
    </row>
    <row r="30" spans="1:4">
      <c r="C30" t="s">
        <v>1550</v>
      </c>
    </row>
    <row r="31" spans="1:4">
      <c r="C31" t="s">
        <v>1551</v>
      </c>
    </row>
    <row r="33" spans="1:1">
      <c r="A33">
        <v>5</v>
      </c>
    </row>
  </sheetData>
  <phoneticPr fontId="4"/>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28541-3788-4334-B240-29857FC00C38}">
  <sheetPr codeName="Sheet1"/>
  <dimension ref="A1:BO223"/>
  <sheetViews>
    <sheetView topLeftCell="C1" zoomScaleNormal="100" workbookViewId="0">
      <selection activeCell="Y22" sqref="Y22"/>
    </sheetView>
  </sheetViews>
  <sheetFormatPr defaultRowHeight="18.75" outlineLevelRow="1"/>
  <cols>
    <col min="1" max="1" width="10.25" bestFit="1" customWidth="1"/>
    <col min="2" max="2" width="11" bestFit="1" customWidth="1"/>
    <col min="5" max="16" width="7" style="128" customWidth="1"/>
    <col min="17" max="17" width="15" style="128" bestFit="1" customWidth="1"/>
    <col min="18" max="18" width="5.25" bestFit="1" customWidth="1"/>
    <col min="20" max="31" width="7.25" customWidth="1"/>
    <col min="35" max="35" width="4" bestFit="1" customWidth="1"/>
    <col min="36" max="36" width="11.25" bestFit="1" customWidth="1"/>
    <col min="37" max="37" width="8" bestFit="1" customWidth="1"/>
    <col min="41" max="41" width="10.5" bestFit="1" customWidth="1"/>
    <col min="42" max="42" width="10" style="1118" bestFit="1" customWidth="1"/>
  </cols>
  <sheetData>
    <row r="1" spans="1:61">
      <c r="A1" s="936" t="s">
        <v>1552</v>
      </c>
      <c r="B1" s="937" t="s">
        <v>1553</v>
      </c>
      <c r="C1" s="937"/>
      <c r="D1" s="937"/>
      <c r="E1" s="938"/>
      <c r="F1" s="938"/>
      <c r="G1" s="938"/>
      <c r="H1" s="938"/>
      <c r="I1" s="938"/>
      <c r="J1" s="938"/>
      <c r="K1" s="938"/>
      <c r="L1" s="938"/>
      <c r="M1" s="938"/>
      <c r="N1" s="938"/>
      <c r="O1" s="938"/>
      <c r="P1" s="939"/>
      <c r="S1" s="936" t="s">
        <v>1554</v>
      </c>
      <c r="T1" s="938"/>
      <c r="U1" s="938"/>
      <c r="V1" s="938"/>
      <c r="W1" s="938"/>
      <c r="X1" s="938"/>
      <c r="Y1" s="938"/>
      <c r="Z1" s="938"/>
      <c r="AA1" s="938"/>
      <c r="AB1" s="938"/>
      <c r="AC1" s="938"/>
      <c r="AD1" s="938"/>
      <c r="AE1" s="939"/>
      <c r="AJ1" s="141"/>
      <c r="AK1" s="665" t="s">
        <v>1555</v>
      </c>
      <c r="AL1" s="665" t="s">
        <v>1556</v>
      </c>
      <c r="AM1" s="128"/>
      <c r="AN1" s="128"/>
      <c r="AO1" t="str" cm="1">
        <f t="array" ref="AO1:AS1">AK6:AO6</f>
        <v>実績</v>
      </c>
      <c r="AP1" s="1118" t="str">
        <v>指数平滑法予測</v>
      </c>
      <c r="AQ1" t="str">
        <v>40期以降抜粋予測</v>
      </c>
      <c r="AR1" t="str">
        <v>41期以降抜粋予測</v>
      </c>
      <c r="AS1" t="str">
        <v>季節係数予測</v>
      </c>
      <c r="AV1" s="1121">
        <v>43</v>
      </c>
      <c r="AW1" s="938"/>
      <c r="AX1" s="938"/>
      <c r="AY1" s="938"/>
      <c r="AZ1" s="938"/>
      <c r="BA1" s="938"/>
      <c r="BB1" s="938"/>
      <c r="BC1" s="938"/>
      <c r="BD1" s="938"/>
      <c r="BE1" s="938"/>
      <c r="BF1" s="938"/>
      <c r="BG1" s="938"/>
      <c r="BH1" s="939"/>
    </row>
    <row r="2" spans="1:61">
      <c r="A2" s="940"/>
      <c r="E2" s="131" t="s">
        <v>1245</v>
      </c>
      <c r="F2" s="131" t="s">
        <v>1246</v>
      </c>
      <c r="G2" s="131" t="s">
        <v>1247</v>
      </c>
      <c r="H2" s="131" t="s">
        <v>1248</v>
      </c>
      <c r="I2" s="131" t="s">
        <v>1249</v>
      </c>
      <c r="J2" s="131" t="s">
        <v>1250</v>
      </c>
      <c r="K2" s="131" t="s">
        <v>1251</v>
      </c>
      <c r="L2" s="131" t="s">
        <v>1252</v>
      </c>
      <c r="M2" s="131" t="s">
        <v>1253</v>
      </c>
      <c r="N2" s="131" t="s">
        <v>1254</v>
      </c>
      <c r="O2" s="131" t="s">
        <v>1255</v>
      </c>
      <c r="P2" s="941" t="s">
        <v>1256</v>
      </c>
      <c r="S2" s="940"/>
      <c r="T2" s="131" t="s">
        <v>1245</v>
      </c>
      <c r="U2" s="131" t="s">
        <v>1246</v>
      </c>
      <c r="V2" s="131" t="s">
        <v>1247</v>
      </c>
      <c r="W2" s="131" t="s">
        <v>1248</v>
      </c>
      <c r="X2" s="131" t="s">
        <v>1249</v>
      </c>
      <c r="Y2" s="131" t="s">
        <v>1250</v>
      </c>
      <c r="Z2" s="131" t="s">
        <v>1251</v>
      </c>
      <c r="AA2" s="131" t="s">
        <v>1252</v>
      </c>
      <c r="AB2" s="131" t="s">
        <v>1253</v>
      </c>
      <c r="AC2" s="131" t="s">
        <v>1254</v>
      </c>
      <c r="AD2" s="131" t="s">
        <v>1255</v>
      </c>
      <c r="AE2" s="941" t="s">
        <v>1256</v>
      </c>
      <c r="AJ2" s="141" t="s">
        <v>1557</v>
      </c>
      <c r="AK2" s="666">
        <f>_xlfn.FORECAST.ETS.SEASONALITY($AK$7:$AK$112,$AJ$7:$AJ$112,1,1)</f>
        <v>0</v>
      </c>
      <c r="AL2" s="141">
        <v>12</v>
      </c>
      <c r="AN2" t="s">
        <v>1558</v>
      </c>
      <c r="AO2" s="128">
        <f>SUM(AK$87:AK$110)</f>
        <v>54232</v>
      </c>
      <c r="AP2" s="1118">
        <f t="shared" ref="AP2:AS2" si="0">SUM(AL$87:AL$110)</f>
        <v>67901.460831678065</v>
      </c>
      <c r="AQ2" s="128">
        <f t="shared" si="0"/>
        <v>67126.995916896631</v>
      </c>
      <c r="AR2" s="128">
        <f t="shared" si="0"/>
        <v>64545.873673184033</v>
      </c>
      <c r="AS2" s="128">
        <f t="shared" si="0"/>
        <v>66929.097610928322</v>
      </c>
      <c r="AV2" s="940"/>
      <c r="AW2" s="131" t="s">
        <v>1245</v>
      </c>
      <c r="AX2" s="131" t="s">
        <v>1246</v>
      </c>
      <c r="AY2" s="131" t="s">
        <v>1247</v>
      </c>
      <c r="AZ2" s="131" t="s">
        <v>1248</v>
      </c>
      <c r="BA2" s="131" t="s">
        <v>1249</v>
      </c>
      <c r="BB2" s="131" t="s">
        <v>1250</v>
      </c>
      <c r="BC2" s="131" t="s">
        <v>1251</v>
      </c>
      <c r="BD2" s="131" t="s">
        <v>1252</v>
      </c>
      <c r="BE2" s="131" t="s">
        <v>1253</v>
      </c>
      <c r="BF2" s="131" t="s">
        <v>1254</v>
      </c>
      <c r="BG2" s="131" t="s">
        <v>1255</v>
      </c>
      <c r="BH2" s="941" t="s">
        <v>1256</v>
      </c>
    </row>
    <row r="3" spans="1:61">
      <c r="A3" s="940" t="s">
        <v>1258</v>
      </c>
      <c r="B3" s="127" t="s">
        <v>1559</v>
      </c>
      <c r="C3" t="s">
        <v>1260</v>
      </c>
      <c r="E3" s="130">
        <v>7.5406342842909285E-2</v>
      </c>
      <c r="F3" s="130">
        <v>6.6042416355208564E-2</v>
      </c>
      <c r="G3" s="130">
        <v>5.9262701873629607E-2</v>
      </c>
      <c r="H3" s="130">
        <v>6.3689562486838422E-2</v>
      </c>
      <c r="I3" s="130">
        <v>0.10866966083531893</v>
      </c>
      <c r="J3" s="130">
        <v>8.7282782255135194E-2</v>
      </c>
      <c r="K3" s="130">
        <v>7.4697777158646575E-2</v>
      </c>
      <c r="L3" s="130">
        <v>0.10939599359088319</v>
      </c>
      <c r="M3" s="130">
        <v>9.4391577235410237E-2</v>
      </c>
      <c r="N3" s="130">
        <v>8.3906676158480298E-2</v>
      </c>
      <c r="O3" s="130">
        <v>8.7418592351460656E-2</v>
      </c>
      <c r="P3" s="942">
        <v>8.9835916856079043E-2</v>
      </c>
      <c r="S3" s="949" t="s">
        <v>1559</v>
      </c>
      <c r="T3" s="130" cm="1">
        <f t="array" aca="1" ref="T3:AE3" ca="1">T28:AE28</f>
        <v>8.3546434658825108E-2</v>
      </c>
      <c r="U3" s="130">
        <f ca="1"/>
        <v>6.735886251329995E-2</v>
      </c>
      <c r="V3" s="130">
        <f ca="1"/>
        <v>5.8564134729833746E-2</v>
      </c>
      <c r="W3" s="130">
        <f ca="1"/>
        <v>6.6556830686113941E-2</v>
      </c>
      <c r="X3" s="130">
        <f ca="1"/>
        <v>0.10464919324673715</v>
      </c>
      <c r="Y3" s="130">
        <f ca="1"/>
        <v>8.7506691464705522E-2</v>
      </c>
      <c r="Z3" s="130">
        <f ca="1"/>
        <v>7.8773200499049095E-2</v>
      </c>
      <c r="AA3" s="130">
        <f ca="1"/>
        <v>0.1133387048888473</v>
      </c>
      <c r="AB3" s="130">
        <f ca="1"/>
        <v>8.7243409602257627E-2</v>
      </c>
      <c r="AC3" s="130">
        <f ca="1"/>
        <v>6.9647980667117623E-2</v>
      </c>
      <c r="AD3" s="130">
        <f ca="1"/>
        <v>8.0590324886373924E-2</v>
      </c>
      <c r="AE3" s="942">
        <f ca="1"/>
        <v>0.10222423215683894</v>
      </c>
      <c r="AF3" s="129">
        <f t="shared" ref="AF3:AF5" ca="1" si="1">SUM(T3:AE3)</f>
        <v>1</v>
      </c>
      <c r="AJ3" s="141" t="s">
        <v>1560</v>
      </c>
      <c r="AK3" s="666">
        <f>_xlfn.FORECAST.ETS.STAT($AK$7:$AK$112,$AJ$7:$AJ$112,1,AK2,1,1)</f>
        <v>0.5</v>
      </c>
      <c r="AL3" s="666">
        <f>_xlfn.FORECAST.ETS.STAT($AK$7:$AK$112,$AJ$7:$AJ$112,1,AL2,1,1)</f>
        <v>0.75</v>
      </c>
      <c r="AV3" s="949" t="s">
        <v>1559</v>
      </c>
      <c r="AW3" s="130" cm="1">
        <f t="array" ref="AW3:BH3">AW28:BH28</f>
        <v>0</v>
      </c>
      <c r="AX3" s="130">
        <v>0</v>
      </c>
      <c r="AY3" s="130">
        <v>0</v>
      </c>
      <c r="AZ3" s="130">
        <v>0</v>
      </c>
      <c r="BA3" s="130">
        <v>0</v>
      </c>
      <c r="BB3" s="130">
        <v>0</v>
      </c>
      <c r="BC3" s="130">
        <v>0</v>
      </c>
      <c r="BD3" s="130">
        <v>0</v>
      </c>
      <c r="BE3" s="130">
        <v>0</v>
      </c>
      <c r="BF3" s="130">
        <v>0</v>
      </c>
      <c r="BG3" s="130">
        <v>0</v>
      </c>
      <c r="BH3" s="942">
        <v>0</v>
      </c>
      <c r="BI3" s="129"/>
    </row>
    <row r="4" spans="1:61">
      <c r="A4" s="940" t="s">
        <v>1258</v>
      </c>
      <c r="B4" s="127" t="s">
        <v>1561</v>
      </c>
      <c r="C4" t="s">
        <v>1260</v>
      </c>
      <c r="E4" s="130">
        <v>5.5646705124028466E-2</v>
      </c>
      <c r="F4" s="130">
        <v>7.1993925266394865E-2</v>
      </c>
      <c r="G4" s="130">
        <v>8.0768447894499898E-2</v>
      </c>
      <c r="H4" s="130">
        <v>7.3831237901876762E-2</v>
      </c>
      <c r="I4" s="130">
        <v>0.11682496569998702</v>
      </c>
      <c r="J4" s="130">
        <v>0.10320134995602791</v>
      </c>
      <c r="K4" s="130">
        <v>7.9908853263361113E-2</v>
      </c>
      <c r="L4" s="130">
        <v>9.9358244127881121E-2</v>
      </c>
      <c r="M4" s="130">
        <v>9.4163129716381064E-2</v>
      </c>
      <c r="N4" s="130">
        <v>8.2950040747721776E-2</v>
      </c>
      <c r="O4" s="130">
        <v>7.1136137402522434E-2</v>
      </c>
      <c r="P4" s="942">
        <v>7.0216962899317614E-2</v>
      </c>
      <c r="S4" s="949" t="s">
        <v>1561</v>
      </c>
      <c r="T4" s="130" cm="1">
        <f t="array" ref="T4:AE4">T61:AE61</f>
        <v>7.2498752481011536E-2</v>
      </c>
      <c r="U4" s="130">
        <v>7.8354011491959613E-2</v>
      </c>
      <c r="V4" s="130">
        <v>7.9124972639909821E-2</v>
      </c>
      <c r="W4" s="130">
        <v>7.9865034751918237E-2</v>
      </c>
      <c r="X4" s="130">
        <v>0.1255245864227558</v>
      </c>
      <c r="Y4" s="130">
        <v>0.10616903187784835</v>
      </c>
      <c r="Z4" s="130">
        <v>7.0194670039041063E-2</v>
      </c>
      <c r="AA4" s="130">
        <v>0.10504425916430615</v>
      </c>
      <c r="AB4" s="130">
        <v>7.8510121868956104E-2</v>
      </c>
      <c r="AC4" s="130">
        <v>6.6395899660457669E-2</v>
      </c>
      <c r="AD4" s="130">
        <v>6.9775628857830924E-2</v>
      </c>
      <c r="AE4" s="942">
        <v>6.8543030744004807E-2</v>
      </c>
      <c r="AF4" s="129">
        <f t="shared" si="1"/>
        <v>1</v>
      </c>
      <c r="AJ4" s="965"/>
      <c r="AK4" s="967"/>
      <c r="AL4" s="666"/>
      <c r="AV4" s="949" t="s">
        <v>1561</v>
      </c>
      <c r="AW4" s="130" cm="1">
        <f t="array" ref="AW4:BH4">AW56:BH56</f>
        <v>0</v>
      </c>
      <c r="AX4" s="130">
        <v>0</v>
      </c>
      <c r="AY4" s="130">
        <v>0</v>
      </c>
      <c r="AZ4" s="130">
        <v>0</v>
      </c>
      <c r="BA4" s="130">
        <v>0</v>
      </c>
      <c r="BB4" s="130">
        <v>0</v>
      </c>
      <c r="BC4" s="130">
        <v>0</v>
      </c>
      <c r="BD4" s="130">
        <v>0</v>
      </c>
      <c r="BE4" s="130">
        <v>0</v>
      </c>
      <c r="BF4" s="130">
        <v>0</v>
      </c>
      <c r="BG4" s="130">
        <v>0</v>
      </c>
      <c r="BH4" s="942">
        <v>0</v>
      </c>
      <c r="BI4" s="129"/>
    </row>
    <row r="5" spans="1:61">
      <c r="A5" s="940" t="s">
        <v>1258</v>
      </c>
      <c r="B5" s="127" t="s">
        <v>1562</v>
      </c>
      <c r="C5" t="s">
        <v>1260</v>
      </c>
      <c r="E5" s="130">
        <v>6.6629789547385326E-2</v>
      </c>
      <c r="F5" s="130">
        <v>8.0932899476169023E-2</v>
      </c>
      <c r="G5" s="130">
        <v>7.6969130788643259E-2</v>
      </c>
      <c r="H5" s="130">
        <v>7.9158727628419287E-2</v>
      </c>
      <c r="I5" s="130">
        <v>0.11770486857711754</v>
      </c>
      <c r="J5" s="130">
        <v>0.10754905771202532</v>
      </c>
      <c r="K5" s="130">
        <v>8.9923839603803957E-2</v>
      </c>
      <c r="L5" s="130">
        <v>0.12080481562586937</v>
      </c>
      <c r="M5" s="130">
        <v>8.2398748510551151E-2</v>
      </c>
      <c r="N5" s="130">
        <v>5.2841660865654533E-2</v>
      </c>
      <c r="O5" s="130">
        <v>6.077622939826572E-2</v>
      </c>
      <c r="P5" s="942">
        <v>6.4310232266095516E-2</v>
      </c>
      <c r="S5" s="949" t="s">
        <v>1562</v>
      </c>
      <c r="T5" s="130" cm="1">
        <f t="array" ref="T5:AE5">T94:AE94</f>
        <v>6.3819921638003818E-2</v>
      </c>
      <c r="U5" s="130">
        <v>6.8940116015055328E-2</v>
      </c>
      <c r="V5" s="130">
        <v>7.4241085025578107E-2</v>
      </c>
      <c r="W5" s="130">
        <v>7.6835796345760918E-2</v>
      </c>
      <c r="X5" s="130">
        <v>0.11325044494776303</v>
      </c>
      <c r="Y5" s="130">
        <v>9.7731567504279263E-2</v>
      </c>
      <c r="Z5" s="130">
        <v>9.2142550159609815E-2</v>
      </c>
      <c r="AA5" s="130">
        <v>0.1361705007294095</v>
      </c>
      <c r="AB5" s="130">
        <v>8.3613057016824727E-2</v>
      </c>
      <c r="AC5" s="130">
        <v>6.0638722716522639E-2</v>
      </c>
      <c r="AD5" s="130">
        <v>6.3228589462064444E-2</v>
      </c>
      <c r="AE5" s="942">
        <v>6.9387648439128466E-2</v>
      </c>
      <c r="AF5" s="129">
        <f t="shared" si="1"/>
        <v>1</v>
      </c>
      <c r="AV5" s="949" t="s">
        <v>1562</v>
      </c>
      <c r="AW5" s="130" cm="1">
        <f t="array" ref="AW5:BH5">AW93:BH93</f>
        <v>0</v>
      </c>
      <c r="AX5" s="130">
        <v>0</v>
      </c>
      <c r="AY5" s="130">
        <v>0</v>
      </c>
      <c r="AZ5" s="130">
        <v>0</v>
      </c>
      <c r="BA5" s="130">
        <v>0</v>
      </c>
      <c r="BB5" s="130">
        <v>0</v>
      </c>
      <c r="BC5" s="130">
        <v>0</v>
      </c>
      <c r="BD5" s="130">
        <v>0</v>
      </c>
      <c r="BE5" s="130">
        <v>0</v>
      </c>
      <c r="BF5" s="130">
        <v>0</v>
      </c>
      <c r="BG5" s="130">
        <v>0</v>
      </c>
      <c r="BH5" s="942">
        <v>0</v>
      </c>
      <c r="BI5" s="129"/>
    </row>
    <row r="6" spans="1:61">
      <c r="A6" s="940"/>
      <c r="B6" s="127"/>
      <c r="P6" s="943"/>
      <c r="S6" s="949"/>
      <c r="T6" s="128"/>
      <c r="U6" s="128"/>
      <c r="V6" s="128"/>
      <c r="W6" s="128"/>
      <c r="X6" s="128"/>
      <c r="Y6" s="128"/>
      <c r="Z6" s="128"/>
      <c r="AA6" s="128"/>
      <c r="AB6" s="128"/>
      <c r="AC6" s="128"/>
      <c r="AD6" s="128"/>
      <c r="AE6" s="943"/>
      <c r="AF6" s="129"/>
      <c r="AI6" t="s">
        <v>1075</v>
      </c>
      <c r="AJ6" t="s">
        <v>1563</v>
      </c>
      <c r="AK6" t="s">
        <v>1564</v>
      </c>
      <c r="AL6" t="s">
        <v>1565</v>
      </c>
      <c r="AM6" s="650" t="s">
        <v>1566</v>
      </c>
      <c r="AN6" t="s">
        <v>1567</v>
      </c>
      <c r="AO6" t="s">
        <v>1568</v>
      </c>
      <c r="AV6" s="949"/>
      <c r="AW6" s="128"/>
      <c r="AX6" s="128"/>
      <c r="AY6" s="128"/>
      <c r="AZ6" s="128"/>
      <c r="BA6" s="128"/>
      <c r="BB6" s="128"/>
      <c r="BC6" s="128"/>
      <c r="BD6" s="128"/>
      <c r="BE6" s="128"/>
      <c r="BF6" s="128"/>
      <c r="BG6" s="128"/>
      <c r="BH6" s="943"/>
      <c r="BI6" s="129"/>
    </row>
    <row r="7" spans="1:61">
      <c r="A7" s="940"/>
      <c r="B7" s="127"/>
      <c r="P7" s="943"/>
      <c r="S7" s="949"/>
      <c r="T7" s="128"/>
      <c r="U7" s="128"/>
      <c r="V7" s="128"/>
      <c r="W7" s="128"/>
      <c r="X7" s="128"/>
      <c r="Y7" s="128"/>
      <c r="Z7" s="128"/>
      <c r="AA7" s="128"/>
      <c r="AB7" s="128"/>
      <c r="AC7" s="128"/>
      <c r="AD7" s="128"/>
      <c r="AE7" s="943"/>
      <c r="AF7" s="129"/>
      <c r="AI7" s="128">
        <v>34</v>
      </c>
      <c r="AJ7" s="968">
        <v>42736</v>
      </c>
      <c r="AK7" s="132">
        <v>829</v>
      </c>
      <c r="AL7" s="966">
        <f>_xlfn.FORECAST.ETS($AJ7,$AK$7:$AK$110,$AJ$7:$AJ$110,12,1,1)</f>
        <v>1077.0421186134154</v>
      </c>
      <c r="AM7" s="966"/>
      <c r="AV7" s="949"/>
      <c r="AW7" s="128"/>
      <c r="AX7" s="128"/>
      <c r="AY7" s="128"/>
      <c r="AZ7" s="128"/>
      <c r="BA7" s="128"/>
      <c r="BB7" s="128"/>
      <c r="BC7" s="128"/>
      <c r="BD7" s="128"/>
      <c r="BE7" s="128"/>
      <c r="BF7" s="128"/>
      <c r="BG7" s="128"/>
      <c r="BH7" s="943"/>
      <c r="BI7" s="129"/>
    </row>
    <row r="8" spans="1:61">
      <c r="A8" s="940" t="s">
        <v>1258</v>
      </c>
      <c r="B8" s="127" t="s">
        <v>1559</v>
      </c>
      <c r="C8" t="s">
        <v>1569</v>
      </c>
      <c r="E8" s="130">
        <v>0.98470798518926073</v>
      </c>
      <c r="F8" s="130">
        <v>0.91612249001786206</v>
      </c>
      <c r="G8" s="130">
        <v>0.88987780530588445</v>
      </c>
      <c r="H8" s="130">
        <v>1.1013468207800785</v>
      </c>
      <c r="I8" s="130">
        <v>1.6831152332840671</v>
      </c>
      <c r="J8" s="130">
        <v>0.86955444245557223</v>
      </c>
      <c r="K8" s="130">
        <v>0.84778056215305964</v>
      </c>
      <c r="L8" s="130">
        <v>1.5116832634204318</v>
      </c>
      <c r="M8" s="130">
        <v>0.82707022321526735</v>
      </c>
      <c r="N8" s="130">
        <v>0.90011478137625367</v>
      </c>
      <c r="O8" s="130">
        <v>1.0885156956313664</v>
      </c>
      <c r="P8" s="942">
        <v>1.1327499146177595</v>
      </c>
      <c r="S8" s="949" t="s">
        <v>1559</v>
      </c>
      <c r="T8" s="130" cm="1">
        <f t="array" aca="1" ref="T8:T10" ca="1">T3:T5/AE3:AE5</f>
        <v>0.81728600837659349</v>
      </c>
      <c r="U8" s="130" cm="1">
        <f t="array" aca="1" ref="U8:AE10" ca="1">U3:AE5/T3:AD5</f>
        <v>0.80624460862238312</v>
      </c>
      <c r="V8" s="130">
        <f ca="1"/>
        <v>0.8694347342678227</v>
      </c>
      <c r="W8" s="130">
        <f ca="1"/>
        <v>1.1364776580948708</v>
      </c>
      <c r="X8" s="130">
        <f ca="1"/>
        <v>1.5723283721286114</v>
      </c>
      <c r="Y8" s="130">
        <f ca="1"/>
        <v>0.83619078895702703</v>
      </c>
      <c r="Z8" s="130">
        <f ca="1"/>
        <v>0.9001963070540846</v>
      </c>
      <c r="AA8" s="130">
        <f ca="1"/>
        <v>1.4387977658748987</v>
      </c>
      <c r="AB8" s="130">
        <f ca="1"/>
        <v>0.76975830708334225</v>
      </c>
      <c r="AC8" s="130">
        <f ca="1"/>
        <v>0.79831795873914724</v>
      </c>
      <c r="AD8" s="130">
        <f ca="1"/>
        <v>1.1571092817687738</v>
      </c>
      <c r="AE8" s="942">
        <f ca="1"/>
        <v>1.2684429837076243</v>
      </c>
      <c r="AF8" s="129">
        <f ca="1">SUM(T8:AE8)</f>
        <v>12.37058477467518</v>
      </c>
      <c r="AJ8" s="968">
        <v>42767</v>
      </c>
      <c r="AK8" s="132">
        <v>765</v>
      </c>
      <c r="AL8" s="966">
        <f t="shared" ref="AL8:AL71" si="2">_xlfn.FORECAST.ETS(AJ8,$AK$7:$AK$110,$AJ$7:$AJ$110,12,1,1)</f>
        <v>890.0526012365516</v>
      </c>
      <c r="AM8" s="966"/>
      <c r="AV8" s="949" t="s">
        <v>1559</v>
      </c>
      <c r="AW8" s="130" t="e" cm="1">
        <f t="array" ref="AW8:AW10">AW3:AW5/BH3:BH5</f>
        <v>#DIV/0!</v>
      </c>
      <c r="AX8" s="130" t="e" cm="1">
        <f t="array" ref="AX8:BH10">AX3:BH5/AW3:BG5</f>
        <v>#DIV/0!</v>
      </c>
      <c r="AY8" s="130" t="e">
        <v>#DIV/0!</v>
      </c>
      <c r="AZ8" s="130" t="e">
        <v>#DIV/0!</v>
      </c>
      <c r="BA8" s="130" t="e">
        <v>#DIV/0!</v>
      </c>
      <c r="BB8" s="130" t="e">
        <v>#DIV/0!</v>
      </c>
      <c r="BC8" s="130" t="e">
        <v>#DIV/0!</v>
      </c>
      <c r="BD8" s="130" t="e">
        <v>#DIV/0!</v>
      </c>
      <c r="BE8" s="130" t="e">
        <v>#DIV/0!</v>
      </c>
      <c r="BF8" s="130" t="e">
        <v>#DIV/0!</v>
      </c>
      <c r="BG8" s="130" t="e">
        <v>#DIV/0!</v>
      </c>
      <c r="BH8" s="942" t="e">
        <v>#DIV/0!</v>
      </c>
      <c r="BI8" s="129"/>
    </row>
    <row r="9" spans="1:61">
      <c r="A9" s="940" t="s">
        <v>1258</v>
      </c>
      <c r="B9" s="127" t="s">
        <v>1561</v>
      </c>
      <c r="C9" t="s">
        <v>1569</v>
      </c>
      <c r="E9" s="130">
        <v>0.9362476034186713</v>
      </c>
      <c r="F9" s="130">
        <v>1.0222488335744977</v>
      </c>
      <c r="G9" s="130">
        <v>1.0266749421266905</v>
      </c>
      <c r="H9" s="130">
        <v>1.2210710790505521</v>
      </c>
      <c r="I9" s="130">
        <v>1.7581700336200849</v>
      </c>
      <c r="J9" s="130">
        <v>0.98523830213715768</v>
      </c>
      <c r="K9" s="130">
        <v>0.66607012317483372</v>
      </c>
      <c r="L9" s="130">
        <v>0.97527899905198867</v>
      </c>
      <c r="M9" s="130">
        <v>0.58149913987991109</v>
      </c>
      <c r="N9" s="130">
        <v>0.9317679725641238</v>
      </c>
      <c r="O9" s="130">
        <v>1.4277213087132055</v>
      </c>
      <c r="P9" s="942">
        <v>1.7559426744416724</v>
      </c>
      <c r="S9" s="949" t="s">
        <v>1561</v>
      </c>
      <c r="T9" s="130">
        <f ca="1"/>
        <v>1.0577115090195033</v>
      </c>
      <c r="U9" s="130">
        <f ca="1"/>
        <v>1.0807635829662263</v>
      </c>
      <c r="V9" s="130">
        <f ca="1"/>
        <v>1.0098394598217773</v>
      </c>
      <c r="W9" s="130">
        <f ca="1"/>
        <v>1.0093530788993301</v>
      </c>
      <c r="X9" s="130">
        <f ca="1"/>
        <v>1.5717089063151117</v>
      </c>
      <c r="Y9" s="130">
        <f ca="1"/>
        <v>0.84580268219550514</v>
      </c>
      <c r="Z9" s="130">
        <f ca="1"/>
        <v>0.66115955658145964</v>
      </c>
      <c r="AA9" s="130">
        <f ca="1"/>
        <v>1.496470588235294</v>
      </c>
      <c r="AB9" s="130">
        <f ca="1"/>
        <v>0.74740040525350004</v>
      </c>
      <c r="AC9" s="130">
        <f ca="1"/>
        <v>0.84569859375943024</v>
      </c>
      <c r="AD9" s="130">
        <f ca="1"/>
        <v>1.0509026794524492</v>
      </c>
      <c r="AE9" s="942">
        <f ca="1"/>
        <v>0.98233483332213944</v>
      </c>
      <c r="AF9" s="129">
        <f t="shared" ref="AF9:AF10" ca="1" si="3">SUM(T9:AE9)</f>
        <v>12.359145875821728</v>
      </c>
      <c r="AJ9" s="968">
        <v>42826</v>
      </c>
      <c r="AK9" s="132">
        <v>866</v>
      </c>
      <c r="AL9" s="966">
        <f t="shared" si="2"/>
        <v>1538.5921272943538</v>
      </c>
      <c r="AM9" s="966"/>
      <c r="AV9" s="949" t="s">
        <v>1561</v>
      </c>
      <c r="AW9" s="130" t="e">
        <v>#DIV/0!</v>
      </c>
      <c r="AX9" s="130" t="e">
        <v>#DIV/0!</v>
      </c>
      <c r="AY9" s="130" t="e">
        <v>#DIV/0!</v>
      </c>
      <c r="AZ9" s="130" t="e">
        <v>#DIV/0!</v>
      </c>
      <c r="BA9" s="130" t="e">
        <v>#DIV/0!</v>
      </c>
      <c r="BB9" s="130" t="e">
        <v>#DIV/0!</v>
      </c>
      <c r="BC9" s="130" t="e">
        <v>#DIV/0!</v>
      </c>
      <c r="BD9" s="130" t="e">
        <v>#DIV/0!</v>
      </c>
      <c r="BE9" s="130" t="e">
        <v>#DIV/0!</v>
      </c>
      <c r="BF9" s="130" t="e">
        <v>#DIV/0!</v>
      </c>
      <c r="BG9" s="130" t="e">
        <v>#DIV/0!</v>
      </c>
      <c r="BH9" s="942" t="e">
        <v>#DIV/0!</v>
      </c>
      <c r="BI9" s="129"/>
    </row>
    <row r="10" spans="1:61" ht="19.5" thickBot="1">
      <c r="A10" s="944" t="s">
        <v>1258</v>
      </c>
      <c r="B10" s="945" t="s">
        <v>1562</v>
      </c>
      <c r="C10" s="946" t="s">
        <v>1569</v>
      </c>
      <c r="D10" s="946"/>
      <c r="E10" s="947">
        <v>0.94961598549489901</v>
      </c>
      <c r="F10" s="947">
        <v>1.2214240572114503</v>
      </c>
      <c r="G10" s="947">
        <v>1.0115977987588709</v>
      </c>
      <c r="H10" s="947">
        <v>1.0696907972741361</v>
      </c>
      <c r="I10" s="947">
        <v>1.4588275997176823</v>
      </c>
      <c r="J10" s="947">
        <v>0.9428115285180303</v>
      </c>
      <c r="K10" s="947">
        <v>0.87458803233417115</v>
      </c>
      <c r="L10" s="947">
        <v>1.4009721306526548</v>
      </c>
      <c r="M10" s="947">
        <v>0.69994855426792202</v>
      </c>
      <c r="N10" s="947">
        <v>0.64044473248461586</v>
      </c>
      <c r="O10" s="947">
        <v>1.2281161302153252</v>
      </c>
      <c r="P10" s="948">
        <v>1.0584311990170538</v>
      </c>
      <c r="S10" s="950" t="s">
        <v>1562</v>
      </c>
      <c r="T10" s="947">
        <f ca="1"/>
        <v>0.91975910804919359</v>
      </c>
      <c r="U10" s="947">
        <f ca="1"/>
        <v>1.0802287788144589</v>
      </c>
      <c r="V10" s="947">
        <f ca="1"/>
        <v>1.0768923714802734</v>
      </c>
      <c r="W10" s="947">
        <f ca="1"/>
        <v>1.0349498033237103</v>
      </c>
      <c r="X10" s="947">
        <f ca="1"/>
        <v>1.4739281732454008</v>
      </c>
      <c r="Y10" s="947">
        <f ca="1"/>
        <v>0.86296850797679536</v>
      </c>
      <c r="Z10" s="947">
        <f ca="1"/>
        <v>0.94281256826843862</v>
      </c>
      <c r="AA10" s="947">
        <f ca="1"/>
        <v>1.4778243112821845</v>
      </c>
      <c r="AB10" s="947">
        <f ca="1"/>
        <v>0.61403208895424399</v>
      </c>
      <c r="AC10" s="947">
        <f ca="1"/>
        <v>0.72523030349579054</v>
      </c>
      <c r="AD10" s="947">
        <f ca="1"/>
        <v>1.0427097839387063</v>
      </c>
      <c r="AE10" s="948">
        <f ca="1"/>
        <v>1.0974094002327746</v>
      </c>
      <c r="AF10" s="129">
        <f t="shared" ca="1" si="3"/>
        <v>12.34874519906197</v>
      </c>
      <c r="AJ10" s="968">
        <v>42795</v>
      </c>
      <c r="AK10" s="132">
        <v>883</v>
      </c>
      <c r="AL10" s="966">
        <f t="shared" si="2"/>
        <v>1279.4139338044488</v>
      </c>
      <c r="AM10" s="966"/>
      <c r="AV10" s="950" t="s">
        <v>1562</v>
      </c>
      <c r="AW10" s="947" t="e">
        <v>#DIV/0!</v>
      </c>
      <c r="AX10" s="947" t="e">
        <v>#DIV/0!</v>
      </c>
      <c r="AY10" s="947" t="e">
        <v>#DIV/0!</v>
      </c>
      <c r="AZ10" s="947" t="e">
        <v>#DIV/0!</v>
      </c>
      <c r="BA10" s="947" t="e">
        <v>#DIV/0!</v>
      </c>
      <c r="BB10" s="947" t="e">
        <v>#DIV/0!</v>
      </c>
      <c r="BC10" s="947" t="e">
        <v>#DIV/0!</v>
      </c>
      <c r="BD10" s="947" t="e">
        <v>#DIV/0!</v>
      </c>
      <c r="BE10" s="947" t="e">
        <v>#DIV/0!</v>
      </c>
      <c r="BF10" s="947" t="e">
        <v>#DIV/0!</v>
      </c>
      <c r="BG10" s="947" t="e">
        <v>#DIV/0!</v>
      </c>
      <c r="BH10" s="948" t="e">
        <v>#DIV/0!</v>
      </c>
      <c r="BI10" s="129"/>
    </row>
    <row r="11" spans="1:61">
      <c r="B11" s="127"/>
      <c r="AJ11" s="968">
        <v>42856</v>
      </c>
      <c r="AK11" s="132">
        <v>724</v>
      </c>
      <c r="AL11" s="966">
        <f t="shared" si="2"/>
        <v>1159.2990396132877</v>
      </c>
      <c r="AM11" s="966"/>
    </row>
    <row r="12" spans="1:61">
      <c r="AA12" s="439"/>
      <c r="AJ12" s="968">
        <v>42887</v>
      </c>
      <c r="AK12" s="132">
        <v>642</v>
      </c>
      <c r="AL12" s="966">
        <f t="shared" si="2"/>
        <v>1073.8621079834888</v>
      </c>
      <c r="AM12" s="966"/>
    </row>
    <row r="13" spans="1:61">
      <c r="A13" t="s">
        <v>1570</v>
      </c>
      <c r="C13" t="s">
        <v>1571</v>
      </c>
      <c r="D13" t="s">
        <v>1572</v>
      </c>
      <c r="E13" t="s">
        <v>1245</v>
      </c>
      <c r="F13" t="s">
        <v>1246</v>
      </c>
      <c r="G13" t="s">
        <v>1247</v>
      </c>
      <c r="H13" t="s">
        <v>1248</v>
      </c>
      <c r="I13" t="s">
        <v>1249</v>
      </c>
      <c r="J13" t="s">
        <v>1573</v>
      </c>
      <c r="K13" t="s">
        <v>1574</v>
      </c>
      <c r="L13" t="s">
        <v>1575</v>
      </c>
      <c r="M13" t="s">
        <v>1253</v>
      </c>
      <c r="N13" t="s">
        <v>1254</v>
      </c>
      <c r="O13" t="s">
        <v>1255</v>
      </c>
      <c r="P13" t="s">
        <v>1256</v>
      </c>
      <c r="Q13" t="s">
        <v>1576</v>
      </c>
      <c r="T13" s="126" t="s">
        <v>1245</v>
      </c>
      <c r="U13" s="126" t="s">
        <v>1246</v>
      </c>
      <c r="V13" s="126" t="s">
        <v>1247</v>
      </c>
      <c r="W13" s="126" t="s">
        <v>1248</v>
      </c>
      <c r="X13" s="126" t="s">
        <v>1249</v>
      </c>
      <c r="Y13" s="126" t="s">
        <v>1250</v>
      </c>
      <c r="Z13" s="126" t="s">
        <v>1251</v>
      </c>
      <c r="AA13" s="126" t="s">
        <v>1252</v>
      </c>
      <c r="AB13" s="126" t="s">
        <v>1253</v>
      </c>
      <c r="AC13" s="126" t="s">
        <v>1254</v>
      </c>
      <c r="AD13" s="126" t="s">
        <v>1255</v>
      </c>
      <c r="AE13" s="126" t="s">
        <v>1256</v>
      </c>
      <c r="AJ13" s="968">
        <v>42917</v>
      </c>
      <c r="AK13" s="132">
        <v>912</v>
      </c>
      <c r="AL13" s="966">
        <f t="shared" si="2"/>
        <v>1110.0467567589981</v>
      </c>
      <c r="AM13" s="966"/>
    </row>
    <row r="14" spans="1:61">
      <c r="A14" t="s">
        <v>1258</v>
      </c>
      <c r="B14" s="127" t="s">
        <v>1559</v>
      </c>
      <c r="C14">
        <v>34</v>
      </c>
      <c r="D14" t="s">
        <v>1577</v>
      </c>
      <c r="E14" s="1197" t="str" cm="1">
        <f t="array" ref="E14">_xlfn.LET(
  _xlpm._期,$C14,
  _xlpm._見出し,E$13,
  _xlpm._月,IF(ISNUMBER(_xlpm._見出し),IF(_xlpm._見出し&lt;=12,_xlpm._見出し,MONTH(_xlpm._見出し)),--SUBSTITUTE(_xlpm._見出し,"月","")),
  _xlpm._年,_xlpm._期+1982+(_xlpm._月&lt;8),
  _xlpm._年月,DATE(_xlpm._年,_xlpm._月,1),
  _xlpm._列,
    MATCH(
      TEXT(_xlpm._年月,"yy-mm"),
      INDEX(
        IF(
          ISNUMBER('在庫使用計画 (全体実績+予測）0701'!$A$1:$BD$1),
          TEXT('在庫使用計画 (全体実績+予測）0701'!$A$1:$BD$1,"yy-mm"),
          '在庫使用計画 (全体実績+予測）0701'!$A$1:$BD$1
        ),
        1,0
      ),
      0
    ),
  IF(
    _xlpm._期&lt;43,
    "",
    IFERROR(
      INDEX(
        '在庫使用計画 (全体実績+予測）0701'!$A$1:$BD$198,
        MATCH("GALLERIA Gaming 合計",'在庫使用計画 (全体実績+予測）0701'!$B$1:$B$198,0),
        _xlpm._列
      ),
      ""
    )
  )
)</f>
        <v/>
      </c>
      <c r="F14" s="1197"/>
      <c r="G14" s="1197"/>
      <c r="H14" s="1197"/>
      <c r="I14" s="1197"/>
      <c r="J14" s="1197">
        <v>829</v>
      </c>
      <c r="K14" s="1197">
        <v>765</v>
      </c>
      <c r="L14" s="1197">
        <v>883</v>
      </c>
      <c r="M14" s="1197">
        <v>866</v>
      </c>
      <c r="N14" s="1197">
        <v>724</v>
      </c>
      <c r="O14" s="1197">
        <v>642</v>
      </c>
      <c r="P14" s="1197">
        <v>912</v>
      </c>
      <c r="Q14" s="1197"/>
      <c r="T14" s="132"/>
      <c r="U14" s="132"/>
      <c r="V14" s="132"/>
      <c r="W14" s="132"/>
      <c r="X14" s="132"/>
      <c r="Y14" s="132"/>
      <c r="Z14" s="132"/>
      <c r="AA14" s="132"/>
      <c r="AB14" s="132"/>
      <c r="AC14" s="132"/>
      <c r="AD14" s="132"/>
      <c r="AE14" s="132"/>
      <c r="AI14">
        <v>35</v>
      </c>
      <c r="AJ14" s="968">
        <v>42948</v>
      </c>
      <c r="AK14" s="132">
        <v>787</v>
      </c>
      <c r="AL14" s="966">
        <f t="shared" si="2"/>
        <v>1114.4348943040791</v>
      </c>
      <c r="AM14" s="966"/>
    </row>
    <row r="15" spans="1:61">
      <c r="B15" s="127" t="s">
        <v>1578</v>
      </c>
      <c r="C15">
        <v>35</v>
      </c>
      <c r="D15" t="s">
        <v>1579</v>
      </c>
      <c r="E15" s="1197">
        <v>787</v>
      </c>
      <c r="F15" s="1197">
        <v>630</v>
      </c>
      <c r="G15" s="1197">
        <v>564</v>
      </c>
      <c r="H15" s="1197">
        <v>568</v>
      </c>
      <c r="I15" s="1197">
        <v>844</v>
      </c>
      <c r="J15" s="1197">
        <v>546</v>
      </c>
      <c r="K15" s="1197">
        <v>387</v>
      </c>
      <c r="L15" s="1197">
        <v>540</v>
      </c>
      <c r="M15" s="1197">
        <v>355</v>
      </c>
      <c r="N15" s="1197">
        <v>450</v>
      </c>
      <c r="O15" s="1197">
        <v>498</v>
      </c>
      <c r="P15" s="1197">
        <v>605</v>
      </c>
      <c r="Q15" s="1197">
        <f>SUM(E15:P15)</f>
        <v>6774</v>
      </c>
      <c r="R15" t="s">
        <v>1580</v>
      </c>
      <c r="S15" t="s">
        <v>1581</v>
      </c>
      <c r="T15" s="129">
        <f t="shared" ref="T15:AE22" si="4">E15/$Q15</f>
        <v>0.11617950989075879</v>
      </c>
      <c r="U15" s="129">
        <f t="shared" si="4"/>
        <v>9.3002657218777679E-2</v>
      </c>
      <c r="V15" s="129">
        <f t="shared" si="4"/>
        <v>8.3259521700620023E-2</v>
      </c>
      <c r="W15" s="129">
        <f t="shared" si="4"/>
        <v>8.3850014762326536E-2</v>
      </c>
      <c r="X15" s="129">
        <f t="shared" si="4"/>
        <v>0.12459403602007676</v>
      </c>
      <c r="Y15" s="129">
        <f t="shared" si="4"/>
        <v>8.0602302922940655E-2</v>
      </c>
      <c r="Z15" s="129">
        <f t="shared" si="4"/>
        <v>5.7130203720106291E-2</v>
      </c>
      <c r="AA15" s="129">
        <f t="shared" si="4"/>
        <v>7.9716563330380866E-2</v>
      </c>
      <c r="AB15" s="129">
        <f t="shared" si="4"/>
        <v>5.2406259226454088E-2</v>
      </c>
      <c r="AC15" s="129">
        <f t="shared" si="4"/>
        <v>6.6430469441984052E-2</v>
      </c>
      <c r="AD15" s="129">
        <f t="shared" si="4"/>
        <v>7.3516386182462354E-2</v>
      </c>
      <c r="AE15" s="129">
        <f t="shared" si="4"/>
        <v>8.9312075583111897E-2</v>
      </c>
      <c r="AJ15" s="968">
        <v>42979</v>
      </c>
      <c r="AK15" s="132">
        <v>630</v>
      </c>
      <c r="AL15" s="966">
        <f t="shared" si="2"/>
        <v>1057.727521684586</v>
      </c>
      <c r="AM15" s="966"/>
    </row>
    <row r="16" spans="1:61">
      <c r="C16">
        <v>36</v>
      </c>
      <c r="D16" t="s">
        <v>1582</v>
      </c>
      <c r="E16" s="1197">
        <v>576</v>
      </c>
      <c r="F16" s="1197">
        <v>512</v>
      </c>
      <c r="G16" s="1197">
        <v>508</v>
      </c>
      <c r="H16" s="1197">
        <v>541</v>
      </c>
      <c r="I16" s="1197">
        <v>941</v>
      </c>
      <c r="J16" s="1197">
        <v>789</v>
      </c>
      <c r="K16" s="1197">
        <v>766</v>
      </c>
      <c r="L16" s="1197">
        <v>899</v>
      </c>
      <c r="M16" s="1197">
        <v>930</v>
      </c>
      <c r="N16" s="1197">
        <v>921</v>
      </c>
      <c r="O16" s="1197">
        <v>749</v>
      </c>
      <c r="P16" s="1197">
        <v>645</v>
      </c>
      <c r="Q16" s="1197">
        <f t="shared" ref="Q16:Q20" si="5">SUM(E16:P16)</f>
        <v>8777</v>
      </c>
      <c r="R16" t="s">
        <v>1583</v>
      </c>
      <c r="S16" t="s">
        <v>1584</v>
      </c>
      <c r="T16" s="129">
        <f t="shared" si="4"/>
        <v>6.5626068132619342E-2</v>
      </c>
      <c r="U16" s="129">
        <f t="shared" si="4"/>
        <v>5.833428278455053E-2</v>
      </c>
      <c r="V16" s="129">
        <f t="shared" si="4"/>
        <v>5.7878546200296227E-2</v>
      </c>
      <c r="W16" s="129">
        <f t="shared" si="4"/>
        <v>6.163837302039421E-2</v>
      </c>
      <c r="X16" s="129">
        <f t="shared" si="4"/>
        <v>0.10721203144582431</v>
      </c>
      <c r="Y16" s="129">
        <f t="shared" si="4"/>
        <v>8.989404124416088E-2</v>
      </c>
      <c r="Z16" s="129">
        <f t="shared" si="4"/>
        <v>8.727355588469865E-2</v>
      </c>
      <c r="AA16" s="129">
        <f t="shared" si="4"/>
        <v>0.10242679731115416</v>
      </c>
      <c r="AB16" s="129">
        <f t="shared" si="4"/>
        <v>0.10595875583912498</v>
      </c>
      <c r="AC16" s="129">
        <f t="shared" si="4"/>
        <v>0.10493334852455281</v>
      </c>
      <c r="AD16" s="129">
        <f t="shared" si="4"/>
        <v>8.5336675401617865E-2</v>
      </c>
      <c r="AE16" s="129">
        <f t="shared" si="4"/>
        <v>7.3487524211006044E-2</v>
      </c>
      <c r="AJ16" s="968">
        <v>43009</v>
      </c>
      <c r="AK16" s="132">
        <v>564</v>
      </c>
      <c r="AL16" s="966">
        <f t="shared" si="2"/>
        <v>838.74723490036877</v>
      </c>
      <c r="AM16" s="966"/>
    </row>
    <row r="17" spans="3:39">
      <c r="C17">
        <v>37</v>
      </c>
      <c r="D17" t="s">
        <v>1585</v>
      </c>
      <c r="E17" s="1197">
        <v>990</v>
      </c>
      <c r="F17" s="1197">
        <v>1269</v>
      </c>
      <c r="G17" s="1197">
        <v>868</v>
      </c>
      <c r="H17" s="1197">
        <v>1177</v>
      </c>
      <c r="I17" s="1197">
        <v>2413</v>
      </c>
      <c r="J17" s="1197">
        <v>2516</v>
      </c>
      <c r="K17" s="1197">
        <v>2289</v>
      </c>
      <c r="L17" s="1197">
        <v>3288</v>
      </c>
      <c r="M17" s="1197">
        <v>4355</v>
      </c>
      <c r="N17" s="1197">
        <v>3267</v>
      </c>
      <c r="O17" s="1197">
        <v>4259</v>
      </c>
      <c r="P17" s="1197">
        <v>3772</v>
      </c>
      <c r="Q17" s="1197">
        <f t="shared" si="5"/>
        <v>30463</v>
      </c>
      <c r="R17" t="s">
        <v>1586</v>
      </c>
      <c r="S17" t="s">
        <v>1587</v>
      </c>
      <c r="T17" s="129">
        <f t="shared" si="4"/>
        <v>3.2498440731379051E-2</v>
      </c>
      <c r="U17" s="129">
        <f t="shared" si="4"/>
        <v>4.1657092210222235E-2</v>
      </c>
      <c r="V17" s="129">
        <f t="shared" si="4"/>
        <v>2.8493582378623247E-2</v>
      </c>
      <c r="W17" s="129">
        <f t="shared" si="4"/>
        <v>3.8637035091750649E-2</v>
      </c>
      <c r="X17" s="129">
        <f t="shared" si="4"/>
        <v>7.9210845944260255E-2</v>
      </c>
      <c r="Y17" s="129">
        <f t="shared" si="4"/>
        <v>8.2591996848636051E-2</v>
      </c>
      <c r="Z17" s="129">
        <f t="shared" si="4"/>
        <v>7.5140334175885504E-2</v>
      </c>
      <c r="AA17" s="129">
        <f t="shared" si="4"/>
        <v>0.10793421527754982</v>
      </c>
      <c r="AB17" s="129">
        <f t="shared" si="4"/>
        <v>0.14296031251025834</v>
      </c>
      <c r="AC17" s="129">
        <f t="shared" si="4"/>
        <v>0.10724485441355086</v>
      </c>
      <c r="AD17" s="129">
        <f t="shared" si="4"/>
        <v>0.13980894856054887</v>
      </c>
      <c r="AE17" s="129">
        <f t="shared" si="4"/>
        <v>0.12382234185733512</v>
      </c>
      <c r="AJ17" s="968">
        <v>43040</v>
      </c>
      <c r="AK17" s="132">
        <v>568</v>
      </c>
      <c r="AL17" s="966">
        <f t="shared" si="2"/>
        <v>910.82828673762197</v>
      </c>
      <c r="AM17" s="966"/>
    </row>
    <row r="18" spans="3:39">
      <c r="C18">
        <v>38</v>
      </c>
      <c r="D18" t="s">
        <v>1588</v>
      </c>
      <c r="E18" s="1197">
        <v>3654</v>
      </c>
      <c r="F18" s="1197">
        <v>2894</v>
      </c>
      <c r="G18" s="1197">
        <v>2141</v>
      </c>
      <c r="H18" s="1197">
        <v>2874</v>
      </c>
      <c r="I18" s="1197">
        <v>4904</v>
      </c>
      <c r="J18" s="1197">
        <v>4359</v>
      </c>
      <c r="K18" s="1197">
        <v>4286</v>
      </c>
      <c r="L18" s="1197">
        <v>4970</v>
      </c>
      <c r="M18" s="1197">
        <v>2854</v>
      </c>
      <c r="N18" s="1197">
        <v>2515</v>
      </c>
      <c r="O18" s="1197">
        <v>3027</v>
      </c>
      <c r="P18" s="1197">
        <v>2843</v>
      </c>
      <c r="Q18" s="1197">
        <f t="shared" si="5"/>
        <v>41321</v>
      </c>
      <c r="R18" t="s">
        <v>1589</v>
      </c>
      <c r="S18" t="s">
        <v>1590</v>
      </c>
      <c r="T18" s="129">
        <f t="shared" si="4"/>
        <v>8.8429612061663568E-2</v>
      </c>
      <c r="U18" s="129">
        <f t="shared" si="4"/>
        <v>7.0037027177464239E-2</v>
      </c>
      <c r="V18" s="129">
        <f t="shared" si="4"/>
        <v>5.1813847680356233E-2</v>
      </c>
      <c r="W18" s="129">
        <f t="shared" si="4"/>
        <v>6.955301178577479E-2</v>
      </c>
      <c r="X18" s="129">
        <f t="shared" si="4"/>
        <v>0.11868057404225454</v>
      </c>
      <c r="Y18" s="129">
        <f t="shared" si="4"/>
        <v>0.10549115461871687</v>
      </c>
      <c r="Z18" s="129">
        <f t="shared" si="4"/>
        <v>0.10372449843905036</v>
      </c>
      <c r="AA18" s="129">
        <f t="shared" si="4"/>
        <v>0.12027782483482975</v>
      </c>
      <c r="AB18" s="129">
        <f t="shared" si="4"/>
        <v>6.9068996394085327E-2</v>
      </c>
      <c r="AC18" s="129">
        <f t="shared" si="4"/>
        <v>6.0864935504949057E-2</v>
      </c>
      <c r="AD18" s="129">
        <f t="shared" si="4"/>
        <v>7.3255729532199124E-2</v>
      </c>
      <c r="AE18" s="129">
        <f t="shared" si="4"/>
        <v>6.8802787928656128E-2</v>
      </c>
      <c r="AJ18" s="968">
        <v>43070</v>
      </c>
      <c r="AK18" s="132">
        <v>844</v>
      </c>
      <c r="AL18" s="966">
        <f t="shared" si="2"/>
        <v>1487.67879097936</v>
      </c>
      <c r="AM18" s="966"/>
    </row>
    <row r="19" spans="3:39">
      <c r="C19">
        <v>39</v>
      </c>
      <c r="D19" t="s">
        <v>1591</v>
      </c>
      <c r="E19" s="1197">
        <v>2728</v>
      </c>
      <c r="F19" s="1197">
        <v>2753</v>
      </c>
      <c r="G19" s="1197">
        <v>2990</v>
      </c>
      <c r="H19" s="1197">
        <v>3128</v>
      </c>
      <c r="I19" s="1197">
        <v>5797</v>
      </c>
      <c r="J19" s="1197">
        <v>3906</v>
      </c>
      <c r="K19" s="1197">
        <v>3109</v>
      </c>
      <c r="L19" s="1197">
        <v>4658</v>
      </c>
      <c r="M19" s="1197">
        <v>3039</v>
      </c>
      <c r="N19" s="1197">
        <v>2571</v>
      </c>
      <c r="O19" s="1197">
        <v>2137</v>
      </c>
      <c r="P19" s="1197">
        <v>2232</v>
      </c>
      <c r="Q19" s="1197">
        <f t="shared" si="5"/>
        <v>39048</v>
      </c>
      <c r="R19" t="s">
        <v>1592</v>
      </c>
      <c r="S19" t="s">
        <v>1593</v>
      </c>
      <c r="T19" s="129">
        <f t="shared" si="4"/>
        <v>6.9862733046506864E-2</v>
      </c>
      <c r="U19" s="129">
        <f t="shared" si="4"/>
        <v>7.0502970702724849E-2</v>
      </c>
      <c r="V19" s="129">
        <f t="shared" si="4"/>
        <v>7.6572423683671384E-2</v>
      </c>
      <c r="W19" s="129">
        <f t="shared" si="4"/>
        <v>8.0106535545994673E-2</v>
      </c>
      <c r="X19" s="129">
        <f t="shared" si="4"/>
        <v>0.14845830772382709</v>
      </c>
      <c r="Y19" s="129">
        <f t="shared" si="4"/>
        <v>0.10003073140749846</v>
      </c>
      <c r="Z19" s="129">
        <f t="shared" si="4"/>
        <v>7.9619954927269004E-2</v>
      </c>
      <c r="AA19" s="129">
        <f t="shared" si="4"/>
        <v>0.11928908010653555</v>
      </c>
      <c r="AB19" s="129">
        <f t="shared" si="4"/>
        <v>7.7827289489858634E-2</v>
      </c>
      <c r="AC19" s="129">
        <f t="shared" si="4"/>
        <v>6.5842040565457893E-2</v>
      </c>
      <c r="AD19" s="129">
        <f t="shared" si="4"/>
        <v>5.4727514853513626E-2</v>
      </c>
      <c r="AE19" s="129">
        <f t="shared" si="4"/>
        <v>5.7160417947141981E-2</v>
      </c>
      <c r="AJ19" s="968">
        <v>43101</v>
      </c>
      <c r="AK19" s="128">
        <v>546</v>
      </c>
      <c r="AL19" s="966">
        <f t="shared" si="2"/>
        <v>1317.1951186361032</v>
      </c>
      <c r="AM19" s="966"/>
    </row>
    <row r="20" spans="3:39">
      <c r="C20">
        <v>40</v>
      </c>
      <c r="D20" t="s">
        <v>1594</v>
      </c>
      <c r="E20" s="1197">
        <v>1856</v>
      </c>
      <c r="F20" s="1197">
        <v>1458</v>
      </c>
      <c r="G20" s="1197">
        <v>1338</v>
      </c>
      <c r="H20" s="1197">
        <v>1124</v>
      </c>
      <c r="I20" s="1197">
        <v>1717</v>
      </c>
      <c r="J20" s="1197">
        <v>1513</v>
      </c>
      <c r="K20" s="1197">
        <v>1053</v>
      </c>
      <c r="L20" s="1197">
        <v>2946</v>
      </c>
      <c r="M20" s="1197">
        <v>2746</v>
      </c>
      <c r="N20" s="1197">
        <v>2281</v>
      </c>
      <c r="O20" s="1197">
        <v>2275</v>
      </c>
      <c r="P20" s="1197">
        <v>2939</v>
      </c>
      <c r="Q20" s="1197">
        <f t="shared" si="5"/>
        <v>23246</v>
      </c>
      <c r="R20" t="s">
        <v>1595</v>
      </c>
      <c r="S20" t="s">
        <v>1596</v>
      </c>
      <c r="T20" s="129">
        <f t="shared" si="4"/>
        <v>7.9841693194528093E-2</v>
      </c>
      <c r="U20" s="129">
        <f t="shared" si="4"/>
        <v>6.2720468037511828E-2</v>
      </c>
      <c r="V20" s="129">
        <f t="shared" si="4"/>
        <v>5.7558289598210445E-2</v>
      </c>
      <c r="W20" s="129">
        <f t="shared" si="4"/>
        <v>4.8352404714789639E-2</v>
      </c>
      <c r="X20" s="129">
        <f t="shared" si="4"/>
        <v>7.3862169835670649E-2</v>
      </c>
      <c r="Y20" s="129">
        <f t="shared" si="4"/>
        <v>6.5086466488858297E-2</v>
      </c>
      <c r="Z20" s="129">
        <f t="shared" si="4"/>
        <v>4.5298115804869657E-2</v>
      </c>
      <c r="AA20" s="129">
        <f t="shared" si="4"/>
        <v>0.12673148068484902</v>
      </c>
      <c r="AB20" s="129">
        <f t="shared" si="4"/>
        <v>0.11812784995268003</v>
      </c>
      <c r="AC20" s="129">
        <f t="shared" si="4"/>
        <v>9.8124408500387159E-2</v>
      </c>
      <c r="AD20" s="129">
        <f t="shared" si="4"/>
        <v>9.7866299578422092E-2</v>
      </c>
      <c r="AE20" s="129">
        <f t="shared" si="4"/>
        <v>0.12643035360922308</v>
      </c>
      <c r="AJ20" s="968">
        <v>43132</v>
      </c>
      <c r="AK20" s="128">
        <v>387</v>
      </c>
      <c r="AL20" s="966">
        <f t="shared" si="2"/>
        <v>1130.2056012592393</v>
      </c>
      <c r="AM20" s="966"/>
    </row>
    <row r="21" spans="3:39">
      <c r="C21">
        <v>41</v>
      </c>
      <c r="D21" t="s">
        <v>1597</v>
      </c>
      <c r="E21" s="1197">
        <v>2302</v>
      </c>
      <c r="F21" s="1197">
        <v>1968</v>
      </c>
      <c r="G21" s="1197">
        <v>1799</v>
      </c>
      <c r="H21" s="1197">
        <v>1894</v>
      </c>
      <c r="I21" s="1197">
        <v>2688</v>
      </c>
      <c r="J21" s="1197">
        <v>2997</v>
      </c>
      <c r="K21" s="1197">
        <v>2607</v>
      </c>
      <c r="L21" s="1197">
        <f>2922</f>
        <v>2922</v>
      </c>
      <c r="M21" s="1197">
        <v>1795</v>
      </c>
      <c r="N21" s="1197">
        <v>1319</v>
      </c>
      <c r="O21" s="1197">
        <v>1799</v>
      </c>
      <c r="P21" s="1197">
        <v>3044</v>
      </c>
      <c r="Q21" s="1197">
        <f>SUM(E21:P21)</f>
        <v>27134</v>
      </c>
      <c r="R21" t="s">
        <v>1598</v>
      </c>
      <c r="S21" t="s">
        <v>1599</v>
      </c>
      <c r="T21" s="129">
        <f t="shared" si="4"/>
        <v>8.4838210363381739E-2</v>
      </c>
      <c r="U21" s="129">
        <f t="shared" si="4"/>
        <v>7.2528930493108282E-2</v>
      </c>
      <c r="V21" s="129">
        <f t="shared" si="4"/>
        <v>6.6300582295275301E-2</v>
      </c>
      <c r="W21" s="129">
        <f t="shared" si="4"/>
        <v>6.980172477334709E-2</v>
      </c>
      <c r="X21" s="129">
        <f t="shared" si="4"/>
        <v>9.9063905063757646E-2</v>
      </c>
      <c r="Y21" s="129">
        <f t="shared" si="4"/>
        <v>0.110451831650328</v>
      </c>
      <c r="Z21" s="129">
        <f t="shared" si="4"/>
        <v>9.6078720424559588E-2</v>
      </c>
      <c r="AA21" s="129">
        <f t="shared" si="4"/>
        <v>0.10768777179921869</v>
      </c>
      <c r="AB21" s="129">
        <f t="shared" si="4"/>
        <v>6.615316576988281E-2</v>
      </c>
      <c r="AC21" s="129">
        <f t="shared" si="4"/>
        <v>4.861059924817572E-2</v>
      </c>
      <c r="AD21" s="129">
        <f t="shared" si="4"/>
        <v>6.6300582295275301E-2</v>
      </c>
      <c r="AE21" s="129">
        <f t="shared" si="4"/>
        <v>0.11218397582368983</v>
      </c>
      <c r="AJ21" s="968">
        <v>43160</v>
      </c>
      <c r="AK21" s="128">
        <v>540</v>
      </c>
      <c r="AL21" s="966">
        <f t="shared" si="2"/>
        <v>1519.5669338271368</v>
      </c>
      <c r="AM21" s="966"/>
    </row>
    <row r="22" spans="3:39">
      <c r="C22">
        <v>42</v>
      </c>
      <c r="D22" t="s">
        <v>1600</v>
      </c>
      <c r="E22" s="1197">
        <v>2335</v>
      </c>
      <c r="F22" s="1197">
        <v>1700</v>
      </c>
      <c r="G22" s="1197">
        <v>1352</v>
      </c>
      <c r="H22" s="1197">
        <v>1111</v>
      </c>
      <c r="I22" s="1197">
        <v>2482</v>
      </c>
      <c r="J22" s="1197">
        <v>2150</v>
      </c>
      <c r="K22" s="1197">
        <v>2050</v>
      </c>
      <c r="L22" s="1197">
        <v>3129</v>
      </c>
      <c r="M22" s="1197">
        <v>2551</v>
      </c>
      <c r="N22" s="1197">
        <v>1920</v>
      </c>
      <c r="O22" s="1197">
        <v>2661</v>
      </c>
      <c r="P22" s="1197">
        <v>3657</v>
      </c>
      <c r="Q22" s="1197">
        <f>SUM(E22:P22)</f>
        <v>27098</v>
      </c>
      <c r="R22" t="s">
        <v>1601</v>
      </c>
      <c r="S22" t="s">
        <v>1602</v>
      </c>
      <c r="T22" s="129">
        <f t="shared" si="4"/>
        <v>8.6168720938814669E-2</v>
      </c>
      <c r="U22" s="129">
        <f t="shared" si="4"/>
        <v>6.2735257214554585E-2</v>
      </c>
      <c r="V22" s="129">
        <f t="shared" si="4"/>
        <v>4.9892981031810467E-2</v>
      </c>
      <c r="W22" s="129">
        <f t="shared" si="4"/>
        <v>4.0999335744335376E-2</v>
      </c>
      <c r="X22" s="129">
        <f t="shared" si="4"/>
        <v>9.1593475533249688E-2</v>
      </c>
      <c r="Y22" s="129">
        <f t="shared" si="4"/>
        <v>7.9341648830171974E-2</v>
      </c>
      <c r="Z22" s="129">
        <f t="shared" si="4"/>
        <v>7.5651339582256991E-2</v>
      </c>
      <c r="AA22" s="129">
        <f t="shared" si="4"/>
        <v>0.11546977636725958</v>
      </c>
      <c r="AB22" s="129">
        <f t="shared" si="4"/>
        <v>9.4139788914311018E-2</v>
      </c>
      <c r="AC22" s="129">
        <f t="shared" si="4"/>
        <v>7.0853937559967523E-2</v>
      </c>
      <c r="AD22" s="129">
        <f t="shared" si="4"/>
        <v>9.8199129087017487E-2</v>
      </c>
      <c r="AE22" s="129">
        <f t="shared" si="4"/>
        <v>0.13495460919625066</v>
      </c>
      <c r="AJ22" s="968">
        <v>43191</v>
      </c>
      <c r="AK22" s="128">
        <v>355</v>
      </c>
      <c r="AL22" s="966">
        <f t="shared" si="2"/>
        <v>1778.7451273170418</v>
      </c>
      <c r="AM22" s="966"/>
    </row>
    <row r="23" spans="3:39">
      <c r="C23">
        <v>43</v>
      </c>
      <c r="D23" t="s">
        <v>1603</v>
      </c>
      <c r="E23" s="1197" cm="1">
        <f t="array" aca="1" ref="E23" ca="1">_xlfn.LET(
  _xlpm._期,$C23,
  _xlpm._見出し,E$13,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2771</v>
      </c>
      <c r="F23" s="1197" cm="1">
        <f t="array" aca="1" ref="F23" ca="1">_xlfn.LET(
  _xlpm._期,$C23,
  _xlpm._見出し,F$13,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2510</v>
      </c>
      <c r="G23" s="1197" cm="1">
        <f t="array" aca="1" ref="G23" ca="1">_xlfn.LET(
  _xlpm._期,$C23,
  _xlpm._見出し,G$13,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2554</v>
      </c>
      <c r="H23" s="1197" cm="1">
        <f t="array" aca="1" ref="H23" ca="1">_xlfn.LET(
  _xlpm._期,$C23,
  _xlpm._見出し,H$13,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1992</v>
      </c>
      <c r="I23" s="1197" cm="1">
        <f t="array" aca="1" ref="I23" ca="1">_xlfn.LET(
  _xlpm._期,$C23,
  _xlpm._見出し,I$13,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2843</v>
      </c>
      <c r="J23" s="1197" cm="1">
        <f t="array" aca="1" ref="J23" ca="1">_xlfn.LET(
  _xlpm._期,$C23,
  _xlpm._見出し,J$13,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1773</v>
      </c>
      <c r="K23" s="1197" cm="1">
        <f t="array" aca="1" ref="K23" ca="1">_xlfn.LET(
  _xlpm._期,$C23,
  _xlpm._見出し,K$13,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1634</v>
      </c>
      <c r="L23" s="1197" cm="1">
        <f t="array" aca="1" ref="L23" ca="1">_xlfn.LET(
  _xlpm._期,$C23,
  _xlpm._見出し,L$13,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2461</v>
      </c>
      <c r="M23" s="1197" cm="1">
        <f t="array" aca="1" ref="M23" ca="1">_xlfn.LET(
  _xlpm._期,$C23,
  _xlpm._見出し,M$13,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2049</v>
      </c>
      <c r="N23" s="1197" cm="1">
        <f t="array" aca="1" ref="N23" ca="1">_xlfn.LET(
  _xlpm._期,$C23,
  _xlpm._見出し,N$13,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2194</v>
      </c>
      <c r="O23" s="1197" cm="1">
        <f t="array" aca="1" ref="O23" ca="1">_xlfn.LET(
  _xlpm._期,$C23,
  _xlpm._見出し,O$13,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2347.5</v>
      </c>
      <c r="P23" s="1197" t="str" cm="1">
        <f t="array" aca="1" ref="P23" ca="1">_xlfn.LET(
  _xlpm._期,$C23,
  _xlpm._見出し,P$13,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
      </c>
      <c r="Q23" s="1197">
        <f ca="1">SUM(E23:P23)</f>
        <v>25128.5</v>
      </c>
      <c r="R23" t="s">
        <v>1135</v>
      </c>
      <c r="S23" t="s">
        <v>1604</v>
      </c>
      <c r="T23" s="129" t="str">
        <f t="shared" ref="T23:AE23" ca="1" si="6">IF($P23&lt;&gt;"",E23/$Q23,"")</f>
        <v/>
      </c>
      <c r="U23" s="129" t="str">
        <f t="shared" ca="1" si="6"/>
        <v/>
      </c>
      <c r="V23" s="129" t="str">
        <f t="shared" ca="1" si="6"/>
        <v/>
      </c>
      <c r="W23" s="129" t="str">
        <f t="shared" ca="1" si="6"/>
        <v/>
      </c>
      <c r="X23" s="129" t="str">
        <f t="shared" ca="1" si="6"/>
        <v/>
      </c>
      <c r="Y23" s="129" t="str">
        <f t="shared" ca="1" si="6"/>
        <v/>
      </c>
      <c r="Z23" s="129" t="str">
        <f t="shared" ca="1" si="6"/>
        <v/>
      </c>
      <c r="AA23" s="129" t="str">
        <f t="shared" ca="1" si="6"/>
        <v/>
      </c>
      <c r="AB23" s="129" t="str">
        <f t="shared" ca="1" si="6"/>
        <v/>
      </c>
      <c r="AC23" s="129" t="str">
        <f t="shared" ca="1" si="6"/>
        <v/>
      </c>
      <c r="AD23" s="129" t="str">
        <f t="shared" ca="1" si="6"/>
        <v/>
      </c>
      <c r="AE23" s="129" t="str">
        <f t="shared" ca="1" si="6"/>
        <v/>
      </c>
      <c r="AJ23" s="968">
        <v>43221</v>
      </c>
      <c r="AK23" s="128">
        <v>450</v>
      </c>
      <c r="AL23" s="966">
        <f t="shared" si="2"/>
        <v>1399.4520396359756</v>
      </c>
      <c r="AM23" s="966"/>
    </row>
    <row r="24" spans="3:39">
      <c r="C24">
        <v>44</v>
      </c>
      <c r="D24" t="s">
        <v>1605</v>
      </c>
      <c r="E24" s="1197" t="str" cm="1">
        <f t="array" aca="1" ref="E24" ca="1">_xlfn.LET(
  _xlpm._期,$C24,
  _xlpm._見出し,E$13,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
      </c>
      <c r="F24" s="1197" t="str" cm="1">
        <f t="array" aca="1" ref="F24" ca="1">_xlfn.LET(
  _xlpm._期,$C24,
  _xlpm._見出し,F$13,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
      </c>
      <c r="G24" s="1197" t="str" cm="1">
        <f t="array" aca="1" ref="G24" ca="1">_xlfn.LET(
  _xlpm._期,$C24,
  _xlpm._見出し,G$13,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
      </c>
      <c r="H24" s="1197" t="str" cm="1">
        <f t="array" aca="1" ref="H24" ca="1">_xlfn.LET(
  _xlpm._期,$C24,
  _xlpm._見出し,H$13,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
      </c>
      <c r="I24" s="1197" t="str" cm="1">
        <f t="array" aca="1" ref="I24" ca="1">_xlfn.LET(
  _xlpm._期,$C24,
  _xlpm._見出し,I$13,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
      </c>
      <c r="J24" s="1197" t="str" cm="1">
        <f t="array" aca="1" ref="J24" ca="1">_xlfn.LET(
  _xlpm._期,$C24,
  _xlpm._見出し,J$13,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
      </c>
      <c r="K24" s="1197" t="str" cm="1">
        <f t="array" aca="1" ref="K24" ca="1">_xlfn.LET(
  _xlpm._期,$C24,
  _xlpm._見出し,K$13,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
      </c>
      <c r="L24" s="1197" t="str" cm="1">
        <f t="array" aca="1" ref="L24" ca="1">_xlfn.LET(
  _xlpm._期,$C24,
  _xlpm._見出し,L$13,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
      </c>
      <c r="M24" s="1197" t="str" cm="1">
        <f t="array" aca="1" ref="M24" ca="1">_xlfn.LET(
  _xlpm._期,$C24,
  _xlpm._見出し,M$13,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
      </c>
      <c r="N24" s="1197" t="str" cm="1">
        <f t="array" aca="1" ref="N24" ca="1">_xlfn.LET(
  _xlpm._期,$C24,
  _xlpm._見出し,N$13,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
      </c>
      <c r="O24" s="1197" t="str" cm="1">
        <f t="array" aca="1" ref="O24" ca="1">_xlfn.LET(
  _xlpm._期,$C24,
  _xlpm._見出し,O$13,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
      </c>
      <c r="P24" s="1197" t="str" cm="1">
        <f t="array" aca="1" ref="P24" ca="1">_xlfn.LET(
  _xlpm._期,$C24,
  _xlpm._見出し,P$13,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
      </c>
      <c r="Q24" s="1197">
        <f ca="1">SUM(E24:P24)</f>
        <v>0</v>
      </c>
      <c r="T24" s="129" t="str">
        <f t="shared" ref="T24" ca="1" si="7">IF($P24&lt;&gt;"",E24/$Q24,"")</f>
        <v/>
      </c>
      <c r="U24" s="129" t="str">
        <f t="shared" ref="U24" ca="1" si="8">IF($P24&lt;&gt;"",F24/$Q24,"")</f>
        <v/>
      </c>
      <c r="V24" s="129" t="str">
        <f t="shared" ref="V24" ca="1" si="9">IF($P24&lt;&gt;"",G24/$Q24,"")</f>
        <v/>
      </c>
      <c r="W24" s="129" t="str">
        <f t="shared" ref="W24" ca="1" si="10">IF($P24&lt;&gt;"",H24/$Q24,"")</f>
        <v/>
      </c>
      <c r="X24" s="129" t="str">
        <f t="shared" ref="X24" ca="1" si="11">IF($P24&lt;&gt;"",I24/$Q24,"")</f>
        <v/>
      </c>
      <c r="Y24" s="129" t="str">
        <f t="shared" ref="Y24" ca="1" si="12">IF($P24&lt;&gt;"",J24/$Q24,"")</f>
        <v/>
      </c>
      <c r="Z24" s="129" t="str">
        <f t="shared" ref="Z24" ca="1" si="13">IF($P24&lt;&gt;"",K24/$Q24,"")</f>
        <v/>
      </c>
      <c r="AA24" s="129" t="str">
        <f t="shared" ref="AA24" ca="1" si="14">IF($P24&lt;&gt;"",L24/$Q24,"")</f>
        <v/>
      </c>
      <c r="AB24" s="129" t="str">
        <f t="shared" ref="AB24" ca="1" si="15">IF($P24&lt;&gt;"",M24/$Q24,"")</f>
        <v/>
      </c>
      <c r="AC24" s="129" t="str">
        <f t="shared" ref="AC24" ca="1" si="16">IF($P24&lt;&gt;"",N24/$Q24,"")</f>
        <v/>
      </c>
      <c r="AD24" s="129" t="str">
        <f t="shared" ref="AD24" ca="1" si="17">IF($P24&lt;&gt;"",O24/$Q24,"")</f>
        <v/>
      </c>
      <c r="AE24" s="129" t="str">
        <f t="shared" ref="AE24" ca="1" si="18">IF($P24&lt;&gt;"",P24/$Q24,"")</f>
        <v/>
      </c>
      <c r="AJ24" s="968">
        <v>43221</v>
      </c>
      <c r="AK24" s="128">
        <v>450</v>
      </c>
      <c r="AL24" s="966">
        <f t="shared" si="2"/>
        <v>1399.4520396359756</v>
      </c>
      <c r="AM24" s="966"/>
    </row>
    <row r="25" spans="3:39">
      <c r="E25"/>
      <c r="F25"/>
      <c r="G25"/>
      <c r="H25"/>
      <c r="I25"/>
      <c r="J25"/>
      <c r="K25"/>
      <c r="L25"/>
      <c r="M25"/>
      <c r="N25"/>
      <c r="O25"/>
      <c r="P25"/>
      <c r="Q25"/>
      <c r="T25" s="129"/>
      <c r="U25" s="129"/>
      <c r="V25" s="129"/>
      <c r="W25" s="129"/>
      <c r="X25" s="129"/>
      <c r="Y25" s="129"/>
      <c r="Z25" s="129"/>
      <c r="AA25" s="129"/>
      <c r="AB25" s="129"/>
      <c r="AC25" s="129"/>
      <c r="AD25" s="129"/>
      <c r="AE25" s="129"/>
      <c r="AJ25" s="968">
        <v>43252</v>
      </c>
      <c r="AK25" s="128">
        <v>498</v>
      </c>
      <c r="AL25" s="966">
        <f t="shared" si="2"/>
        <v>1314.0151080061767</v>
      </c>
      <c r="AM25" s="966"/>
    </row>
    <row r="26" spans="3:39">
      <c r="E26"/>
      <c r="F26"/>
      <c r="G26"/>
      <c r="H26"/>
      <c r="I26"/>
      <c r="J26"/>
      <c r="K26"/>
      <c r="L26"/>
      <c r="M26"/>
      <c r="N26"/>
      <c r="O26"/>
      <c r="P26"/>
      <c r="Q26"/>
      <c r="S26" t="s">
        <v>1606</v>
      </c>
      <c r="T26" s="130">
        <f ca="1">AVERAGE(T15:T23)</f>
        <v>7.7930623544956515E-2</v>
      </c>
      <c r="U26" s="130">
        <f ca="1">AVERAGE(U15:U23)</f>
        <v>6.6439835729864283E-2</v>
      </c>
      <c r="V26" s="130">
        <f ca="1">AVERAGE(V15:V23)</f>
        <v>5.8971221821107922E-2</v>
      </c>
      <c r="W26" s="130">
        <f ca="1">AVERAGE(W15:W23)</f>
        <v>6.1617304429839127E-2</v>
      </c>
      <c r="X26" s="130">
        <f ca="1">AVERAGE(X15:X23)</f>
        <v>0.10533441820111511</v>
      </c>
      <c r="Y26" s="130">
        <f t="shared" ref="Y26:AE26" ca="1" si="19">AVERAGE(Y15:Y23)</f>
        <v>8.9186271751413887E-2</v>
      </c>
      <c r="Z26" s="130">
        <f t="shared" ca="1" si="19"/>
        <v>7.7489590369837005E-2</v>
      </c>
      <c r="AA26" s="130">
        <f t="shared" ca="1" si="19"/>
        <v>0.10994168871397217</v>
      </c>
      <c r="AB26" s="130">
        <f t="shared" ca="1" si="19"/>
        <v>9.0830302262081913E-2</v>
      </c>
      <c r="AC26" s="130">
        <f t="shared" ca="1" si="19"/>
        <v>7.786307421987812E-2</v>
      </c>
      <c r="AD26" s="130">
        <f t="shared" ca="1" si="19"/>
        <v>8.6126408186382092E-2</v>
      </c>
      <c r="AE26" s="130">
        <f t="shared" ca="1" si="19"/>
        <v>9.826926076955185E-2</v>
      </c>
      <c r="AF26" s="129">
        <f ca="1">SUM(T26:AE26)</f>
        <v>1</v>
      </c>
      <c r="AJ26" s="968">
        <v>43282</v>
      </c>
      <c r="AK26" s="128">
        <v>605</v>
      </c>
      <c r="AL26" s="966">
        <f t="shared" si="2"/>
        <v>1350.1997567816859</v>
      </c>
      <c r="AM26" s="966"/>
    </row>
    <row r="27" spans="3:39">
      <c r="E27"/>
      <c r="F27"/>
      <c r="G27"/>
      <c r="H27"/>
      <c r="I27"/>
      <c r="J27"/>
      <c r="K27"/>
      <c r="L27"/>
      <c r="M27"/>
      <c r="N27"/>
      <c r="O27"/>
      <c r="P27"/>
      <c r="Q27"/>
      <c r="S27" t="s">
        <v>1607</v>
      </c>
      <c r="T27" s="130">
        <f ca="1">MEDIAN(T15:T23)</f>
        <v>8.2339951778954923E-2</v>
      </c>
      <c r="U27" s="130">
        <f ca="1">MEDIAN(U15:U23)</f>
        <v>6.6386142196009412E-2</v>
      </c>
      <c r="V27" s="130">
        <f ca="1">MEDIAN(V15:V23)</f>
        <v>5.7718417899253333E-2</v>
      </c>
      <c r="W27" s="130">
        <f ca="1">MEDIAN(W15:W23)</f>
        <v>6.5595692403084493E-2</v>
      </c>
      <c r="X27" s="130">
        <f ca="1">MEDIAN(X15:X23)</f>
        <v>0.10313796825479098</v>
      </c>
      <c r="Y27" s="130">
        <f t="shared" ref="Y27:AD27" ca="1" si="20">MEDIAN(Y15:Y23)</f>
        <v>8.6243019046398472E-2</v>
      </c>
      <c r="Z27" s="130">
        <f t="shared" ca="1" si="20"/>
        <v>7.7635647254762991E-2</v>
      </c>
      <c r="AA27" s="130">
        <f t="shared" ca="1" si="20"/>
        <v>0.1117019958224047</v>
      </c>
      <c r="AB27" s="130">
        <f t="shared" ca="1" si="20"/>
        <v>8.5983539202084819E-2</v>
      </c>
      <c r="AC27" s="130">
        <f t="shared" ca="1" si="20"/>
        <v>6.8642203500975787E-2</v>
      </c>
      <c r="AD27" s="130">
        <f t="shared" ca="1" si="20"/>
        <v>7.9426530792040109E-2</v>
      </c>
      <c r="AE27" s="130">
        <f ca="1">MEDIAN(AE15:AE23)</f>
        <v>0.10074802570340086</v>
      </c>
      <c r="AF27" s="129">
        <f ca="1">SUM(T27:AE27)</f>
        <v>0.98555913385416094</v>
      </c>
      <c r="AI27">
        <v>36</v>
      </c>
      <c r="AJ27" s="968">
        <v>43313</v>
      </c>
      <c r="AK27" s="128">
        <v>576</v>
      </c>
      <c r="AL27" s="966">
        <f t="shared" si="2"/>
        <v>1354.5878943267671</v>
      </c>
      <c r="AM27" s="966"/>
    </row>
    <row r="28" spans="3:39">
      <c r="S28" t="s">
        <v>1608</v>
      </c>
      <c r="T28" s="130">
        <f ca="1">T27/$AF$27</f>
        <v>8.3546434658825108E-2</v>
      </c>
      <c r="U28" s="130">
        <f t="shared" ref="U28:AE28" ca="1" si="21">U27/$AF$27</f>
        <v>6.735886251329995E-2</v>
      </c>
      <c r="V28" s="130">
        <f t="shared" ca="1" si="21"/>
        <v>5.8564134729833746E-2</v>
      </c>
      <c r="W28" s="130">
        <f t="shared" ca="1" si="21"/>
        <v>6.6556830686113941E-2</v>
      </c>
      <c r="X28" s="130">
        <f t="shared" ca="1" si="21"/>
        <v>0.10464919324673715</v>
      </c>
      <c r="Y28" s="130">
        <f t="shared" ca="1" si="21"/>
        <v>8.7506691464705522E-2</v>
      </c>
      <c r="Z28" s="130">
        <f t="shared" ca="1" si="21"/>
        <v>7.8773200499049095E-2</v>
      </c>
      <c r="AA28" s="130">
        <f t="shared" ca="1" si="21"/>
        <v>0.1133387048888473</v>
      </c>
      <c r="AB28" s="130">
        <f t="shared" ca="1" si="21"/>
        <v>8.7243409602257627E-2</v>
      </c>
      <c r="AC28" s="130">
        <f t="shared" ca="1" si="21"/>
        <v>6.9647980667117623E-2</v>
      </c>
      <c r="AD28" s="130">
        <f t="shared" ca="1" si="21"/>
        <v>8.0590324886373924E-2</v>
      </c>
      <c r="AE28" s="130">
        <f t="shared" ca="1" si="21"/>
        <v>0.10222423215683894</v>
      </c>
      <c r="AF28" s="129">
        <f ca="1">SUM(T28:AE28)</f>
        <v>1</v>
      </c>
      <c r="AG28" s="129">
        <f>1/12</f>
        <v>8.3333333333333329E-2</v>
      </c>
      <c r="AJ28" s="968">
        <v>43344</v>
      </c>
      <c r="AK28" s="128">
        <v>512</v>
      </c>
      <c r="AL28" s="966">
        <f t="shared" si="2"/>
        <v>1297.8805217072741</v>
      </c>
      <c r="AM28" s="966"/>
    </row>
    <row r="29" spans="3:39">
      <c r="T29" s="129"/>
      <c r="U29" s="129"/>
      <c r="V29" s="129"/>
      <c r="W29" s="129"/>
      <c r="X29" s="129"/>
      <c r="Y29" s="129"/>
      <c r="Z29" s="129"/>
      <c r="AA29" s="129"/>
      <c r="AB29" s="129"/>
      <c r="AC29" s="129"/>
      <c r="AD29" s="129"/>
      <c r="AE29" s="129"/>
      <c r="AF29" s="129"/>
      <c r="AG29" s="129"/>
      <c r="AJ29" s="968">
        <v>43374</v>
      </c>
      <c r="AK29" s="128">
        <v>508</v>
      </c>
      <c r="AL29" s="966">
        <f t="shared" si="2"/>
        <v>1078.9002349230566</v>
      </c>
      <c r="AM29" s="966"/>
    </row>
    <row r="30" spans="3:39" hidden="1" outlineLevel="1">
      <c r="C30" s="1203"/>
      <c r="D30" s="1203"/>
      <c r="E30" s="1204"/>
      <c r="F30" s="1204"/>
      <c r="G30" s="1204"/>
      <c r="H30" s="1204"/>
      <c r="I30" s="1204"/>
      <c r="J30" s="1204"/>
      <c r="K30" s="1204"/>
      <c r="L30" s="1204"/>
      <c r="M30" s="1204"/>
      <c r="N30" s="1204"/>
      <c r="O30" s="1204"/>
      <c r="P30" s="1204"/>
      <c r="Q30" s="1204"/>
      <c r="R30" s="1203"/>
      <c r="S30" s="1203" t="s">
        <v>1569</v>
      </c>
      <c r="T30" s="1203"/>
      <c r="U30" s="1203"/>
      <c r="V30" s="1203"/>
      <c r="W30" s="1203"/>
      <c r="X30" s="1203"/>
      <c r="Y30" s="1203"/>
      <c r="Z30" s="1203"/>
      <c r="AA30" s="1203"/>
      <c r="AB30" s="1203"/>
      <c r="AC30" s="1203"/>
      <c r="AD30" s="1203"/>
      <c r="AE30" s="1203"/>
      <c r="AJ30" s="968">
        <v>43405</v>
      </c>
      <c r="AK30" s="128">
        <v>541</v>
      </c>
      <c r="AL30" s="966">
        <f t="shared" si="2"/>
        <v>1150.9812867603098</v>
      </c>
      <c r="AM30" s="966"/>
    </row>
    <row r="31" spans="3:39" hidden="1" outlineLevel="1">
      <c r="C31" s="1203" t="s">
        <v>1609</v>
      </c>
      <c r="D31" s="1203" t="s">
        <v>1600</v>
      </c>
      <c r="E31" s="1204">
        <v>2329</v>
      </c>
      <c r="F31" s="1204">
        <v>1696</v>
      </c>
      <c r="G31" s="1204">
        <v>1353</v>
      </c>
      <c r="H31" s="1204">
        <v>1110</v>
      </c>
      <c r="I31" s="1204">
        <v>2466</v>
      </c>
      <c r="J31" s="1204">
        <v>2146</v>
      </c>
      <c r="K31" s="1205">
        <f ca="1">$Q$31*K32</f>
        <v>1878.3189762232419</v>
      </c>
      <c r="L31" s="1205">
        <f t="shared" ref="L31:O31" ca="1" si="22">$Q$31*L32</f>
        <v>2636.8669645711475</v>
      </c>
      <c r="M31" s="1205">
        <f t="shared" ca="1" si="22"/>
        <v>2182.8352990853086</v>
      </c>
      <c r="N31" s="1205">
        <f t="shared" ca="1" si="22"/>
        <v>1905.1867986577345</v>
      </c>
      <c r="O31" s="1205">
        <f t="shared" ca="1" si="22"/>
        <v>2038.9568785475346</v>
      </c>
      <c r="P31" s="1205">
        <f ca="1">$Q$31*P32</f>
        <v>2247.360152308147</v>
      </c>
      <c r="Q31" s="1205">
        <f ca="1">SUM(E31:J31)/SUM(T26:Y26)</f>
        <v>24157.760598323352</v>
      </c>
      <c r="R31" s="1203" t="s">
        <v>1580</v>
      </c>
      <c r="S31" s="1203" t="s">
        <v>1581</v>
      </c>
      <c r="T31" s="1206">
        <f t="shared" ref="T31:T38" si="23">E15/P14</f>
        <v>0.86293859649122806</v>
      </c>
      <c r="U31" s="1206">
        <f t="shared" ref="U31:AE38" si="24">F15/E15</f>
        <v>0.80050825921219826</v>
      </c>
      <c r="V31" s="1206">
        <f t="shared" si="24"/>
        <v>0.89523809523809528</v>
      </c>
      <c r="W31" s="1206">
        <f t="shared" si="24"/>
        <v>1.0070921985815602</v>
      </c>
      <c r="X31" s="1206">
        <f t="shared" si="24"/>
        <v>1.4859154929577465</v>
      </c>
      <c r="Y31" s="1206">
        <f t="shared" si="24"/>
        <v>0.64691943127962082</v>
      </c>
      <c r="Z31" s="1206">
        <f t="shared" si="24"/>
        <v>0.70879120879120883</v>
      </c>
      <c r="AA31" s="1206">
        <f t="shared" si="24"/>
        <v>1.3953488372093024</v>
      </c>
      <c r="AB31" s="1206">
        <f t="shared" si="24"/>
        <v>0.65740740740740744</v>
      </c>
      <c r="AC31" s="1206">
        <f t="shared" si="24"/>
        <v>1.267605633802817</v>
      </c>
      <c r="AD31" s="1206">
        <f t="shared" si="24"/>
        <v>1.1066666666666667</v>
      </c>
      <c r="AE31" s="1206">
        <f t="shared" si="24"/>
        <v>1.214859437751004</v>
      </c>
      <c r="AJ31" s="968">
        <v>43435</v>
      </c>
      <c r="AK31" s="128">
        <v>941</v>
      </c>
      <c r="AL31" s="966">
        <f t="shared" si="2"/>
        <v>1727.831791002048</v>
      </c>
      <c r="AM31" s="966"/>
    </row>
    <row r="32" spans="3:39" hidden="1" outlineLevel="1">
      <c r="C32" s="1203"/>
      <c r="D32" s="1203"/>
      <c r="E32" s="1206">
        <f ca="1">E31/$Q$31</f>
        <v>9.6407942719725526E-2</v>
      </c>
      <c r="F32" s="1206">
        <f t="shared" ref="F32:J32" ca="1" si="25">F31/$Q$31</f>
        <v>7.0205182847855083E-2</v>
      </c>
      <c r="G32" s="1206">
        <f t="shared" ca="1" si="25"/>
        <v>5.6006846929922131E-2</v>
      </c>
      <c r="H32" s="1206">
        <f t="shared" ca="1" si="25"/>
        <v>4.5947967547829684E-2</v>
      </c>
      <c r="I32" s="1206">
        <f t="shared" ca="1" si="25"/>
        <v>0.10207899817382703</v>
      </c>
      <c r="J32" s="1206">
        <f t="shared" ca="1" si="25"/>
        <v>8.8832737259137387E-2</v>
      </c>
      <c r="K32" s="1207">
        <v>7.7752197625205577E-2</v>
      </c>
      <c r="L32" s="1207">
        <v>0.10915196190635969</v>
      </c>
      <c r="M32" s="1207">
        <v>9.0357518454620603E-2</v>
      </c>
      <c r="N32" s="1207">
        <v>7.8864379457008207E-2</v>
      </c>
      <c r="O32" s="1207">
        <v>8.4401733772005619E-2</v>
      </c>
      <c r="P32" s="1207">
        <v>9.3028496708594879E-2</v>
      </c>
      <c r="Q32" s="1204"/>
      <c r="R32" s="1203" t="s">
        <v>1583</v>
      </c>
      <c r="S32" s="1203" t="s">
        <v>1584</v>
      </c>
      <c r="T32" s="1206">
        <f t="shared" si="23"/>
        <v>0.95206611570247934</v>
      </c>
      <c r="U32" s="1206">
        <f t="shared" si="24"/>
        <v>0.88888888888888884</v>
      </c>
      <c r="V32" s="1206">
        <f t="shared" si="24"/>
        <v>0.9921875</v>
      </c>
      <c r="W32" s="1206">
        <f t="shared" si="24"/>
        <v>1.0649606299212599</v>
      </c>
      <c r="X32" s="1206">
        <f t="shared" si="24"/>
        <v>1.7393715341959335</v>
      </c>
      <c r="Y32" s="1206">
        <f t="shared" si="24"/>
        <v>0.83846971307120088</v>
      </c>
      <c r="Z32" s="1206">
        <f t="shared" si="24"/>
        <v>0.9708491761723701</v>
      </c>
      <c r="AA32" s="1206">
        <f t="shared" si="24"/>
        <v>1.1736292428198434</v>
      </c>
      <c r="AB32" s="1206">
        <f t="shared" si="24"/>
        <v>1.0344827586206897</v>
      </c>
      <c r="AC32" s="1206">
        <f t="shared" si="24"/>
        <v>0.99032258064516132</v>
      </c>
      <c r="AD32" s="1206">
        <f t="shared" si="24"/>
        <v>0.81324647122692728</v>
      </c>
      <c r="AE32" s="1206">
        <f t="shared" si="24"/>
        <v>0.86114819759679573</v>
      </c>
      <c r="AJ32" s="968">
        <v>43466</v>
      </c>
      <c r="AK32" s="128">
        <v>789</v>
      </c>
      <c r="AL32" s="966">
        <f t="shared" si="2"/>
        <v>1557.3481186587912</v>
      </c>
      <c r="AM32" s="966"/>
    </row>
    <row r="33" spans="1:39" hidden="1" outlineLevel="1">
      <c r="C33" s="1203"/>
      <c r="D33" s="1203"/>
      <c r="E33" s="1204"/>
      <c r="F33" s="1204"/>
      <c r="G33" s="1204"/>
      <c r="H33" s="1204"/>
      <c r="I33" s="1204"/>
      <c r="J33" s="1204"/>
      <c r="K33" s="1205">
        <f>J31*K35</f>
        <v>1819.337086380466</v>
      </c>
      <c r="L33" s="1205">
        <f>K33*L35</f>
        <v>2750.2614240014427</v>
      </c>
      <c r="M33" s="1205">
        <f>L33*M35</f>
        <v>2274.6593298492121</v>
      </c>
      <c r="N33" s="1205">
        <f t="shared" ref="N33:O33" ca="1" si="26">$Q$31*N34</f>
        <v>1905.1867986577345</v>
      </c>
      <c r="O33" s="1205">
        <f t="shared" ca="1" si="26"/>
        <v>2038.9568785475346</v>
      </c>
      <c r="P33" s="1205">
        <f ca="1">$Q$31*P34</f>
        <v>2247.360152308147</v>
      </c>
      <c r="Q33" s="1205">
        <f ca="1">SUM(E31:J31)+SUM(K33:P33)</f>
        <v>24135.761669744537</v>
      </c>
      <c r="R33" s="1203" t="s">
        <v>1586</v>
      </c>
      <c r="S33" s="1203" t="s">
        <v>1587</v>
      </c>
      <c r="T33" s="1206">
        <f t="shared" si="23"/>
        <v>1.5348837209302326</v>
      </c>
      <c r="U33" s="1206">
        <f t="shared" si="24"/>
        <v>1.2818181818181817</v>
      </c>
      <c r="V33" s="1206">
        <f t="shared" si="24"/>
        <v>0.68400315208825846</v>
      </c>
      <c r="W33" s="1206">
        <f t="shared" si="24"/>
        <v>1.3559907834101383</v>
      </c>
      <c r="X33" s="1206">
        <f t="shared" si="24"/>
        <v>2.0501274426508069</v>
      </c>
      <c r="Y33" s="1206">
        <f t="shared" si="24"/>
        <v>1.0426854537919603</v>
      </c>
      <c r="Z33" s="1206">
        <f t="shared" si="24"/>
        <v>0.90977742448330678</v>
      </c>
      <c r="AA33" s="1206">
        <f t="shared" si="24"/>
        <v>1.436435124508519</v>
      </c>
      <c r="AB33" s="1206">
        <f t="shared" si="24"/>
        <v>1.3245133819951338</v>
      </c>
      <c r="AC33" s="1206">
        <f t="shared" si="24"/>
        <v>0.75017221584385763</v>
      </c>
      <c r="AD33" s="1206">
        <f t="shared" si="24"/>
        <v>1.3036424854606672</v>
      </c>
      <c r="AE33" s="1206">
        <f t="shared" si="24"/>
        <v>0.88565390936839639</v>
      </c>
      <c r="AJ33" s="968">
        <v>43497</v>
      </c>
      <c r="AK33" s="128">
        <v>766</v>
      </c>
      <c r="AL33" s="966">
        <f t="shared" si="2"/>
        <v>1370.3586012819273</v>
      </c>
      <c r="AM33" s="966"/>
    </row>
    <row r="34" spans="1:39" hidden="1" outlineLevel="1">
      <c r="C34" s="1203"/>
      <c r="D34" s="1203"/>
      <c r="E34" s="1204"/>
      <c r="F34" s="1204"/>
      <c r="G34" s="1204"/>
      <c r="H34" s="1204"/>
      <c r="I34" s="1204"/>
      <c r="J34" s="1204"/>
      <c r="K34" s="1207">
        <v>7.7752197625205577E-2</v>
      </c>
      <c r="L34" s="1207">
        <v>0.10915196190635969</v>
      </c>
      <c r="M34" s="1207">
        <v>9.0357518454620603E-2</v>
      </c>
      <c r="N34" s="1207">
        <v>7.8864379457008207E-2</v>
      </c>
      <c r="O34" s="1207">
        <v>8.4401733772005619E-2</v>
      </c>
      <c r="P34" s="1207">
        <v>9.3028496708594879E-2</v>
      </c>
      <c r="Q34" s="1204"/>
      <c r="R34" s="1203" t="s">
        <v>1589</v>
      </c>
      <c r="S34" s="1203" t="s">
        <v>1590</v>
      </c>
      <c r="T34" s="1206">
        <f t="shared" si="23"/>
        <v>0.96871686108165433</v>
      </c>
      <c r="U34" s="1206">
        <f t="shared" si="24"/>
        <v>0.79200875752599886</v>
      </c>
      <c r="V34" s="1206">
        <f t="shared" si="24"/>
        <v>0.73980649619903249</v>
      </c>
      <c r="W34" s="1206">
        <f t="shared" si="24"/>
        <v>1.3423633815973843</v>
      </c>
      <c r="X34" s="1206">
        <f t="shared" si="24"/>
        <v>1.7063326374391092</v>
      </c>
      <c r="Y34" s="1206">
        <f t="shared" si="24"/>
        <v>0.88886623164763456</v>
      </c>
      <c r="Z34" s="1206">
        <f t="shared" si="24"/>
        <v>0.98325303968800182</v>
      </c>
      <c r="AA34" s="1206">
        <f t="shared" si="24"/>
        <v>1.159589360709286</v>
      </c>
      <c r="AB34" s="1206">
        <f t="shared" si="24"/>
        <v>0.5742454728370221</v>
      </c>
      <c r="AC34" s="1206">
        <f t="shared" si="24"/>
        <v>0.88121934127540291</v>
      </c>
      <c r="AD34" s="1206">
        <f t="shared" si="24"/>
        <v>1.2035785288270378</v>
      </c>
      <c r="AE34" s="1206">
        <f t="shared" si="24"/>
        <v>0.93921374297984805</v>
      </c>
      <c r="AJ34" s="968">
        <v>43525</v>
      </c>
      <c r="AK34" s="128">
        <v>899</v>
      </c>
      <c r="AL34" s="966">
        <f t="shared" si="2"/>
        <v>1759.7199338498247</v>
      </c>
      <c r="AM34" s="966"/>
    </row>
    <row r="35" spans="1:39" hidden="1" outlineLevel="1">
      <c r="C35" s="1203"/>
      <c r="D35" s="1203"/>
      <c r="E35" s="1208">
        <v>0.98470798518926095</v>
      </c>
      <c r="F35" s="1208">
        <v>0.91612249001786206</v>
      </c>
      <c r="G35" s="1208">
        <v>0.88987780530588445</v>
      </c>
      <c r="H35" s="1208">
        <v>1.1013468207800785</v>
      </c>
      <c r="I35" s="1208">
        <v>1.6831152332840671</v>
      </c>
      <c r="J35" s="1208">
        <v>0.86955444245557223</v>
      </c>
      <c r="K35" s="1208">
        <v>0.84778056215305964</v>
      </c>
      <c r="L35" s="1208">
        <v>1.5116832634204318</v>
      </c>
      <c r="M35" s="1208">
        <v>0.82707022321526735</v>
      </c>
      <c r="N35" s="1208">
        <v>0.90011478137625367</v>
      </c>
      <c r="O35" s="1208">
        <v>1.0885156956313664</v>
      </c>
      <c r="P35" s="1208">
        <v>1.1327499146177595</v>
      </c>
      <c r="Q35" s="1204"/>
      <c r="R35" s="1203" t="s">
        <v>1592</v>
      </c>
      <c r="S35" s="1203" t="s">
        <v>1593</v>
      </c>
      <c r="T35" s="1206">
        <f t="shared" si="23"/>
        <v>0.95954977136827291</v>
      </c>
      <c r="U35" s="1206">
        <f t="shared" si="24"/>
        <v>1.0091642228739004</v>
      </c>
      <c r="V35" s="1206">
        <f t="shared" si="24"/>
        <v>1.0860879041046132</v>
      </c>
      <c r="W35" s="1206">
        <f t="shared" si="24"/>
        <v>1.0461538461538462</v>
      </c>
      <c r="X35" s="1206">
        <f t="shared" si="24"/>
        <v>1.8532608695652173</v>
      </c>
      <c r="Y35" s="1206">
        <f t="shared" si="24"/>
        <v>0.6737967914438503</v>
      </c>
      <c r="Z35" s="1206">
        <f t="shared" si="24"/>
        <v>0.79595494111623144</v>
      </c>
      <c r="AA35" s="1206">
        <f t="shared" si="24"/>
        <v>1.4982309424252171</v>
      </c>
      <c r="AB35" s="1206">
        <f t="shared" si="24"/>
        <v>0.65242593387720049</v>
      </c>
      <c r="AC35" s="1206">
        <f t="shared" si="24"/>
        <v>0.84600197433366242</v>
      </c>
      <c r="AD35" s="1206">
        <f t="shared" si="24"/>
        <v>0.83119408790353944</v>
      </c>
      <c r="AE35" s="1206">
        <f t="shared" si="24"/>
        <v>1.0444548432381844</v>
      </c>
      <c r="AJ35" s="968">
        <v>43556</v>
      </c>
      <c r="AK35" s="128">
        <v>930</v>
      </c>
      <c r="AL35" s="966">
        <f t="shared" si="2"/>
        <v>2018.8981273397296</v>
      </c>
      <c r="AM35" s="966"/>
    </row>
    <row r="36" spans="1:39" hidden="1" outlineLevel="1">
      <c r="C36" s="1203"/>
      <c r="D36" s="1203"/>
      <c r="E36" s="1204"/>
      <c r="F36" s="1204"/>
      <c r="G36" s="1204"/>
      <c r="H36" s="1204"/>
      <c r="I36" s="1204"/>
      <c r="J36" s="1204"/>
      <c r="K36" s="1204"/>
      <c r="L36" s="1204"/>
      <c r="M36" s="1204"/>
      <c r="N36" s="1204"/>
      <c r="O36" s="1204"/>
      <c r="P36" s="1204"/>
      <c r="Q36" s="1204"/>
      <c r="R36" s="1203" t="s">
        <v>1595</v>
      </c>
      <c r="S36" s="1203" t="s">
        <v>1596</v>
      </c>
      <c r="T36" s="1206">
        <f t="shared" si="23"/>
        <v>0.8315412186379928</v>
      </c>
      <c r="U36" s="1206">
        <f t="shared" si="24"/>
        <v>0.78556034482758619</v>
      </c>
      <c r="V36" s="1206">
        <f t="shared" si="24"/>
        <v>0.91769547325102885</v>
      </c>
      <c r="W36" s="1206">
        <f t="shared" si="24"/>
        <v>0.84005979073243642</v>
      </c>
      <c r="X36" s="1206">
        <f t="shared" si="24"/>
        <v>1.5275800711743772</v>
      </c>
      <c r="Y36" s="1206">
        <f t="shared" si="24"/>
        <v>0.88118811881188119</v>
      </c>
      <c r="Z36" s="1206">
        <f t="shared" si="24"/>
        <v>0.69596827495042957</v>
      </c>
      <c r="AA36" s="1206">
        <f t="shared" si="24"/>
        <v>2.7977207977207978</v>
      </c>
      <c r="AB36" s="1206">
        <f t="shared" si="24"/>
        <v>0.93211133740665308</v>
      </c>
      <c r="AC36" s="1206">
        <f t="shared" si="24"/>
        <v>0.83066278222869627</v>
      </c>
      <c r="AD36" s="1206">
        <f t="shared" si="24"/>
        <v>0.99736957474791754</v>
      </c>
      <c r="AE36" s="1206">
        <f t="shared" si="24"/>
        <v>1.2918681318681318</v>
      </c>
      <c r="AJ36" s="968">
        <v>43586</v>
      </c>
      <c r="AK36" s="128">
        <v>921</v>
      </c>
      <c r="AL36" s="966">
        <f t="shared" si="2"/>
        <v>1639.6050396586636</v>
      </c>
      <c r="AM36" s="966"/>
    </row>
    <row r="37" spans="1:39" hidden="1" outlineLevel="1">
      <c r="C37" s="1203"/>
      <c r="D37" s="1203"/>
      <c r="E37" s="1203" t="s">
        <v>1559</v>
      </c>
      <c r="F37" s="1203" t="s">
        <v>1610</v>
      </c>
      <c r="G37" s="1204"/>
      <c r="H37" s="1204" t="s">
        <v>1260</v>
      </c>
      <c r="I37" s="1204"/>
      <c r="J37" s="1204">
        <f>SUM(E31:J31)</f>
        <v>11100</v>
      </c>
      <c r="K37" s="1204"/>
      <c r="L37" s="1204"/>
      <c r="M37" s="1203" t="s">
        <v>1559</v>
      </c>
      <c r="N37" s="1203" t="s">
        <v>1611</v>
      </c>
      <c r="O37" s="1203"/>
      <c r="P37" s="1204" t="s">
        <v>1260</v>
      </c>
      <c r="Q37" s="1204">
        <f ca="1">SUM(K31:P31)</f>
        <v>12889.525069393114</v>
      </c>
      <c r="R37" s="1203" t="s">
        <v>1598</v>
      </c>
      <c r="S37" s="1203" t="s">
        <v>1599</v>
      </c>
      <c r="T37" s="1206">
        <f t="shared" si="23"/>
        <v>0.78325961211296358</v>
      </c>
      <c r="U37" s="1206">
        <f t="shared" si="24"/>
        <v>0.85490877497827977</v>
      </c>
      <c r="V37" s="1206">
        <f t="shared" si="24"/>
        <v>0.91412601626016265</v>
      </c>
      <c r="W37" s="1206">
        <f t="shared" si="24"/>
        <v>1.0528071150639244</v>
      </c>
      <c r="X37" s="1206">
        <f t="shared" si="24"/>
        <v>1.4192185850052799</v>
      </c>
      <c r="Y37" s="1206">
        <f t="shared" si="24"/>
        <v>1.1149553571428572</v>
      </c>
      <c r="Z37" s="1206">
        <f t="shared" si="24"/>
        <v>0.86986986986986992</v>
      </c>
      <c r="AA37" s="1206">
        <f t="shared" si="24"/>
        <v>1.1208285385500576</v>
      </c>
      <c r="AB37" s="1206">
        <f t="shared" si="24"/>
        <v>0.61430527036276528</v>
      </c>
      <c r="AC37" s="1206">
        <f t="shared" si="24"/>
        <v>0.73481894150417826</v>
      </c>
      <c r="AD37" s="1206">
        <f t="shared" si="24"/>
        <v>1.3639120545868082</v>
      </c>
      <c r="AE37" s="1206">
        <f t="shared" si="24"/>
        <v>1.6920511395219566</v>
      </c>
      <c r="AJ37" s="968">
        <v>43617</v>
      </c>
      <c r="AK37" s="128">
        <v>749</v>
      </c>
      <c r="AL37" s="966">
        <f t="shared" si="2"/>
        <v>1554.1681080288647</v>
      </c>
      <c r="AM37" s="966"/>
    </row>
    <row r="38" spans="1:39" hidden="1" outlineLevel="1">
      <c r="C38" s="1203"/>
      <c r="D38" s="1203"/>
      <c r="E38" s="1203"/>
      <c r="F38" s="1203"/>
      <c r="G38" s="1204"/>
      <c r="H38" s="1204"/>
      <c r="I38" s="1204"/>
      <c r="J38" s="1204"/>
      <c r="K38" s="1204"/>
      <c r="L38" s="1204"/>
      <c r="M38" s="1203"/>
      <c r="N38" s="1203"/>
      <c r="O38" s="1203"/>
      <c r="P38" s="1204"/>
      <c r="Q38" s="1204">
        <f ca="1">SUM(K33:P33)</f>
        <v>13035.761669744537</v>
      </c>
      <c r="R38" s="1203" t="s">
        <v>1601</v>
      </c>
      <c r="S38" s="1203" t="s">
        <v>1602</v>
      </c>
      <c r="T38" s="1206">
        <f t="shared" si="23"/>
        <v>0.76708278580814715</v>
      </c>
      <c r="U38" s="1206">
        <f t="shared" si="24"/>
        <v>0.72805139186295498</v>
      </c>
      <c r="V38" s="1206">
        <f t="shared" si="24"/>
        <v>0.79529411764705882</v>
      </c>
      <c r="W38" s="1206">
        <f t="shared" si="24"/>
        <v>0.82174556213017746</v>
      </c>
      <c r="X38" s="1206">
        <f t="shared" si="24"/>
        <v>2.2340234023402341</v>
      </c>
      <c r="Y38" s="1206">
        <f t="shared" si="24"/>
        <v>0.86623690572119261</v>
      </c>
      <c r="Z38" s="1206">
        <f t="shared" si="24"/>
        <v>0.95348837209302328</v>
      </c>
      <c r="AA38" s="1206">
        <f t="shared" si="24"/>
        <v>1.5263414634146342</v>
      </c>
      <c r="AB38" s="1206">
        <f t="shared" si="24"/>
        <v>0.81527644614892936</v>
      </c>
      <c r="AC38" s="1206">
        <f t="shared" si="24"/>
        <v>0.75264602116816937</v>
      </c>
      <c r="AD38" s="1206">
        <f t="shared" si="24"/>
        <v>1.3859375</v>
      </c>
      <c r="AE38" s="1206">
        <f t="shared" si="24"/>
        <v>1.3742953776775648</v>
      </c>
      <c r="AJ38" s="968">
        <v>43647</v>
      </c>
      <c r="AK38" s="128">
        <v>645</v>
      </c>
      <c r="AL38" s="966">
        <f t="shared" si="2"/>
        <v>1590.3527568043739</v>
      </c>
      <c r="AM38" s="966"/>
    </row>
    <row r="39" spans="1:39" hidden="1" outlineLevel="1">
      <c r="C39" s="1203"/>
      <c r="D39" s="1203"/>
      <c r="E39" s="1203"/>
      <c r="F39" s="1203"/>
      <c r="G39" s="1204"/>
      <c r="H39" s="1204"/>
      <c r="I39" s="1204"/>
      <c r="J39" s="1204"/>
      <c r="K39" s="1204"/>
      <c r="L39" s="1204"/>
      <c r="M39" s="1203"/>
      <c r="N39" s="1203"/>
      <c r="O39" s="1203"/>
      <c r="P39" s="1204"/>
      <c r="Q39" s="1204"/>
      <c r="R39" s="1203" t="s">
        <v>1135</v>
      </c>
      <c r="S39" s="1203" t="s">
        <v>1604</v>
      </c>
      <c r="T39" s="1206">
        <f t="shared" ref="T39" ca="1" si="27">E23/P22</f>
        <v>0.75772491112934104</v>
      </c>
      <c r="U39" s="1206">
        <f t="shared" ref="U39" ca="1" si="28">F23/E23</f>
        <v>0.90581017683146881</v>
      </c>
      <c r="V39" s="1206">
        <f t="shared" ref="V39" ca="1" si="29">G23/F23</f>
        <v>1.0175298804780877</v>
      </c>
      <c r="W39" s="1206">
        <f t="shared" ref="W39" ca="1" si="30">H23/G23</f>
        <v>0.77995301487862179</v>
      </c>
      <c r="X39" s="1206">
        <f t="shared" ref="X39" ca="1" si="31">I23/H23</f>
        <v>1.4272088353413654</v>
      </c>
      <c r="Y39" s="1206">
        <f t="shared" ref="Y39" ca="1" si="32">J23/I23</f>
        <v>0.62363700316567006</v>
      </c>
      <c r="Z39" s="1206">
        <f t="shared" ref="Z39" ca="1" si="33">K23/J23</f>
        <v>0.92160180485053578</v>
      </c>
      <c r="AA39" s="1206">
        <f t="shared" ref="AA39" ca="1" si="34">L23/K23</f>
        <v>1.5061199510403918</v>
      </c>
      <c r="AB39" s="1206">
        <f t="shared" ref="AB39" ca="1" si="35">M23/L23</f>
        <v>0.8325883787078423</v>
      </c>
      <c r="AC39" s="1206">
        <f t="shared" ref="AC39" ca="1" si="36">N23/M23</f>
        <v>1.0707662274280136</v>
      </c>
      <c r="AD39" s="1206">
        <f t="shared" ref="AD39" ca="1" si="37">O23/N23</f>
        <v>1.0699635369188696</v>
      </c>
      <c r="AE39" s="1206" t="e">
        <f t="shared" ref="AE39" ca="1" si="38">P23/O23</f>
        <v>#VALUE!</v>
      </c>
      <c r="AI39">
        <v>37</v>
      </c>
      <c r="AJ39" s="968">
        <v>43678</v>
      </c>
      <c r="AK39" s="128">
        <v>990</v>
      </c>
      <c r="AL39" s="966">
        <f t="shared" si="2"/>
        <v>1594.7408943494549</v>
      </c>
      <c r="AM39" s="966"/>
    </row>
    <row r="40" spans="1:39" hidden="1" outlineLevel="1">
      <c r="C40" s="1203"/>
      <c r="D40" s="1203"/>
      <c r="E40" s="1203"/>
      <c r="F40" s="1203"/>
      <c r="G40" s="1204"/>
      <c r="H40" s="1204"/>
      <c r="I40" s="1204"/>
      <c r="J40" s="1204"/>
      <c r="K40" s="1204"/>
      <c r="L40" s="1204"/>
      <c r="M40" s="1203"/>
      <c r="N40" s="1203"/>
      <c r="O40" s="1203"/>
      <c r="P40" s="1204"/>
      <c r="Q40" s="1204"/>
      <c r="R40" s="1203" t="s">
        <v>1612</v>
      </c>
      <c r="S40" s="1203" t="s">
        <v>1613</v>
      </c>
      <c r="T40" s="1206"/>
      <c r="U40" s="1206"/>
      <c r="V40" s="1206"/>
      <c r="W40" s="1206"/>
      <c r="X40" s="1206"/>
      <c r="Y40" s="1206"/>
      <c r="Z40" s="1206"/>
      <c r="AA40" s="1206"/>
      <c r="AB40" s="1206"/>
      <c r="AC40" s="1206"/>
      <c r="AD40" s="1206"/>
      <c r="AE40" s="1206"/>
      <c r="AJ40" s="968">
        <v>43709</v>
      </c>
      <c r="AK40" s="128">
        <v>1269</v>
      </c>
      <c r="AL40" s="966">
        <f t="shared" si="2"/>
        <v>1538.0335217299619</v>
      </c>
      <c r="AM40" s="966"/>
    </row>
    <row r="41" spans="1:39" hidden="1" outlineLevel="1">
      <c r="C41" s="1203"/>
      <c r="D41" s="1203"/>
      <c r="E41" s="1204"/>
      <c r="F41" s="1204"/>
      <c r="G41" s="1204"/>
      <c r="H41" s="1204"/>
      <c r="I41" s="1204"/>
      <c r="J41" s="1204"/>
      <c r="K41" s="1204"/>
      <c r="L41" s="1204"/>
      <c r="M41" s="1204"/>
      <c r="N41" s="1204"/>
      <c r="O41" s="1204"/>
      <c r="P41" s="1204"/>
      <c r="Q41" s="1204"/>
      <c r="R41" s="1203"/>
      <c r="S41" s="1203" t="s">
        <v>1606</v>
      </c>
      <c r="T41" s="1208">
        <f t="shared" ref="T41:Y41" ca="1" si="39">AVERAGE(T31:T39)</f>
        <v>0.93530706591803481</v>
      </c>
      <c r="U41" s="1208">
        <f t="shared" ca="1" si="39"/>
        <v>0.89407988875771749</v>
      </c>
      <c r="V41" s="1208">
        <f t="shared" ca="1" si="39"/>
        <v>0.89355207058514863</v>
      </c>
      <c r="W41" s="1208">
        <f t="shared" ca="1" si="39"/>
        <v>1.0345695913854831</v>
      </c>
      <c r="X41" s="1208">
        <f t="shared" ca="1" si="39"/>
        <v>1.71589320785223</v>
      </c>
      <c r="Y41" s="1208">
        <f t="shared" ca="1" si="39"/>
        <v>0.84186166734176315</v>
      </c>
      <c r="Z41" s="1208">
        <f t="shared" ref="Z41:AE41" si="40">AVERAGE(Z31:Z38)</f>
        <v>0.86099403839555511</v>
      </c>
      <c r="AA41" s="1208">
        <f t="shared" si="40"/>
        <v>1.513515538419707</v>
      </c>
      <c r="AB41" s="1208">
        <f t="shared" si="40"/>
        <v>0.82559600108197506</v>
      </c>
      <c r="AC41" s="1208">
        <f t="shared" si="40"/>
        <v>0.88168118635024317</v>
      </c>
      <c r="AD41" s="1208">
        <f t="shared" si="40"/>
        <v>1.1256934211774456</v>
      </c>
      <c r="AE41" s="1208">
        <f t="shared" si="40"/>
        <v>1.1629430975002353</v>
      </c>
      <c r="AJ41" s="968">
        <v>43739</v>
      </c>
      <c r="AK41" s="128">
        <v>868</v>
      </c>
      <c r="AL41" s="966">
        <f t="shared" si="2"/>
        <v>1319.0532349457446</v>
      </c>
      <c r="AM41" s="966"/>
    </row>
    <row r="42" spans="1:39" hidden="1" outlineLevel="1">
      <c r="C42" s="1203"/>
      <c r="D42" s="1203"/>
      <c r="E42" s="1204"/>
      <c r="F42" s="1204"/>
      <c r="G42" s="1204"/>
      <c r="H42" s="1204" t="s">
        <v>1614</v>
      </c>
      <c r="I42" s="1204"/>
      <c r="J42" s="1204"/>
      <c r="K42" s="1204"/>
      <c r="L42" s="1204"/>
      <c r="M42" s="1204"/>
      <c r="N42" s="1204"/>
      <c r="O42" s="1204"/>
      <c r="P42" s="1204" t="s">
        <v>1614</v>
      </c>
      <c r="Q42" s="1204"/>
      <c r="R42" s="1203"/>
      <c r="S42" s="1204" t="s">
        <v>1607</v>
      </c>
      <c r="T42" s="1208">
        <f ca="1">MEDIAN(T31:T39)</f>
        <v>0.86293859649122806</v>
      </c>
      <c r="U42" s="1208">
        <f t="shared" ref="U42:Y42" ca="1" si="41">MEDIAN(U31:U39)</f>
        <v>0.85490877497827977</v>
      </c>
      <c r="V42" s="1208">
        <f t="shared" ca="1" si="41"/>
        <v>0.91412601626016265</v>
      </c>
      <c r="W42" s="1208">
        <f t="shared" ca="1" si="41"/>
        <v>1.0461538461538462</v>
      </c>
      <c r="X42" s="1208">
        <f t="shared" ca="1" si="41"/>
        <v>1.7063326374391092</v>
      </c>
      <c r="Y42" s="1208">
        <f t="shared" ca="1" si="41"/>
        <v>0.86623690572119261</v>
      </c>
      <c r="Z42" s="1208">
        <f t="shared" ref="Z42:AE42" si="42">MEDIAN(Z31:Z38)</f>
        <v>0.88982364717658835</v>
      </c>
      <c r="AA42" s="1208">
        <f t="shared" si="42"/>
        <v>1.4158919808589108</v>
      </c>
      <c r="AB42" s="1208">
        <f t="shared" si="42"/>
        <v>0.73634192677816834</v>
      </c>
      <c r="AC42" s="1208">
        <f t="shared" si="42"/>
        <v>0.83833237828117935</v>
      </c>
      <c r="AD42" s="1208">
        <f t="shared" si="42"/>
        <v>1.1551225977468522</v>
      </c>
      <c r="AE42" s="1208">
        <f t="shared" si="42"/>
        <v>1.1296571404945941</v>
      </c>
      <c r="AF42" s="128"/>
      <c r="AJ42" s="968">
        <v>43770</v>
      </c>
      <c r="AK42" s="128">
        <v>1177</v>
      </c>
      <c r="AL42" s="966">
        <f t="shared" si="2"/>
        <v>1391.1342867829978</v>
      </c>
      <c r="AM42" s="966"/>
    </row>
    <row r="43" spans="1:39" hidden="1" outlineLevel="1">
      <c r="C43" s="1203"/>
      <c r="D43" s="1203"/>
      <c r="E43" s="1204"/>
      <c r="F43" s="1204"/>
      <c r="G43" s="1204"/>
      <c r="H43" s="1204" t="s">
        <v>1615</v>
      </c>
      <c r="I43" s="1204"/>
      <c r="J43" s="1204"/>
      <c r="K43" s="1204"/>
      <c r="L43" s="1204"/>
      <c r="M43" s="1204"/>
      <c r="N43" s="1204"/>
      <c r="O43" s="1204"/>
      <c r="P43" s="1204" t="s">
        <v>1615</v>
      </c>
      <c r="Q43" s="1204"/>
      <c r="R43" s="1203"/>
      <c r="S43" s="1204"/>
      <c r="T43" s="1204"/>
      <c r="U43" s="1204"/>
      <c r="V43" s="1204"/>
      <c r="W43" s="1204"/>
      <c r="X43" s="1204"/>
      <c r="Y43" s="1204"/>
      <c r="Z43" s="1204"/>
      <c r="AA43" s="1204"/>
      <c r="AB43" s="1204"/>
      <c r="AC43" s="1204"/>
      <c r="AD43" s="1204"/>
      <c r="AE43" s="1204"/>
      <c r="AF43" s="128"/>
      <c r="AJ43" s="968">
        <v>43800</v>
      </c>
      <c r="AK43" s="128">
        <v>2413</v>
      </c>
      <c r="AL43" s="966">
        <f t="shared" si="2"/>
        <v>1967.9847910247361</v>
      </c>
      <c r="AM43" s="966"/>
    </row>
    <row r="44" spans="1:39" hidden="1" outlineLevel="1">
      <c r="C44" s="1203"/>
      <c r="D44" s="1203"/>
      <c r="E44" s="1204"/>
      <c r="F44" s="1204"/>
      <c r="G44" s="1204"/>
      <c r="H44" s="1204" t="s">
        <v>1616</v>
      </c>
      <c r="I44" s="1204"/>
      <c r="J44" s="1204"/>
      <c r="K44" s="1204"/>
      <c r="L44" s="1204"/>
      <c r="M44" s="1204"/>
      <c r="N44" s="1204"/>
      <c r="O44" s="1204"/>
      <c r="P44" s="1204"/>
      <c r="Q44" s="1204"/>
      <c r="R44" s="1203"/>
      <c r="S44" s="1204"/>
      <c r="T44" s="1204"/>
      <c r="U44" s="1204"/>
      <c r="V44" s="1204"/>
      <c r="W44" s="1204"/>
      <c r="X44" s="1204"/>
      <c r="Y44" s="1204"/>
      <c r="Z44" s="1204"/>
      <c r="AA44" s="1204"/>
      <c r="AB44" s="1204"/>
      <c r="AC44" s="1204"/>
      <c r="AD44" s="1204"/>
      <c r="AE44" s="1204"/>
      <c r="AF44" s="128"/>
      <c r="AJ44" s="968">
        <v>43831</v>
      </c>
      <c r="AK44" s="128">
        <v>2516</v>
      </c>
      <c r="AL44" s="966">
        <f t="shared" si="2"/>
        <v>1797.5011186814791</v>
      </c>
      <c r="AM44" s="966"/>
    </row>
    <row r="45" spans="1:39" collapsed="1">
      <c r="S45" s="128"/>
      <c r="T45" s="128"/>
      <c r="U45" s="128"/>
      <c r="V45" s="128"/>
      <c r="W45" s="128"/>
      <c r="X45" s="128"/>
      <c r="Y45" s="128"/>
      <c r="Z45" s="128"/>
      <c r="AA45" s="128"/>
      <c r="AB45" s="128"/>
      <c r="AC45" s="128"/>
      <c r="AD45" s="128"/>
      <c r="AE45" s="128"/>
      <c r="AF45" s="128"/>
      <c r="AJ45" s="968">
        <v>43862</v>
      </c>
      <c r="AK45" s="128">
        <v>2289</v>
      </c>
      <c r="AL45" s="966">
        <f t="shared" si="2"/>
        <v>1610.5116013046154</v>
      </c>
      <c r="AM45" s="966"/>
    </row>
    <row r="46" spans="1:39">
      <c r="A46" s="645" t="s">
        <v>1260</v>
      </c>
      <c r="B46" s="645"/>
      <c r="C46" s="645" t="s">
        <v>1571</v>
      </c>
      <c r="D46" s="645" t="s">
        <v>1572</v>
      </c>
      <c r="E46" s="1194" t="s">
        <v>1245</v>
      </c>
      <c r="F46" s="1194" t="s">
        <v>1246</v>
      </c>
      <c r="G46" s="1194" t="s">
        <v>1247</v>
      </c>
      <c r="H46" s="1194" t="s">
        <v>1248</v>
      </c>
      <c r="I46" s="1194" t="s">
        <v>1249</v>
      </c>
      <c r="J46" s="1194" t="s">
        <v>1573</v>
      </c>
      <c r="K46" s="1194" t="s">
        <v>1574</v>
      </c>
      <c r="L46" s="1194" t="s">
        <v>1575</v>
      </c>
      <c r="M46" s="1194" t="s">
        <v>1253</v>
      </c>
      <c r="N46" s="1194" t="s">
        <v>1254</v>
      </c>
      <c r="O46" s="1194" t="s">
        <v>1255</v>
      </c>
      <c r="P46" s="1194" t="s">
        <v>1256</v>
      </c>
      <c r="Q46" s="1195" t="s">
        <v>1576</v>
      </c>
      <c r="R46" s="645"/>
      <c r="S46" s="645"/>
      <c r="T46" s="1196" t="s">
        <v>1245</v>
      </c>
      <c r="U46" s="1196" t="s">
        <v>1246</v>
      </c>
      <c r="V46" s="1196" t="s">
        <v>1247</v>
      </c>
      <c r="W46" s="1196" t="s">
        <v>1248</v>
      </c>
      <c r="X46" s="1196" t="s">
        <v>1249</v>
      </c>
      <c r="Y46" s="1196" t="s">
        <v>1250</v>
      </c>
      <c r="Z46" s="1196" t="s">
        <v>1251</v>
      </c>
      <c r="AA46" s="1196" t="s">
        <v>1252</v>
      </c>
      <c r="AB46" s="1196" t="s">
        <v>1253</v>
      </c>
      <c r="AC46" s="1196" t="s">
        <v>1254</v>
      </c>
      <c r="AD46" s="1196" t="s">
        <v>1255</v>
      </c>
      <c r="AE46" s="1196" t="s">
        <v>1256</v>
      </c>
      <c r="AF46" s="645"/>
      <c r="AJ46" s="968">
        <v>43891</v>
      </c>
      <c r="AK46" s="128">
        <v>3288</v>
      </c>
      <c r="AL46" s="966">
        <f t="shared" si="2"/>
        <v>1999.8729338725127</v>
      </c>
      <c r="AM46" s="966"/>
    </row>
    <row r="47" spans="1:39">
      <c r="A47" t="s">
        <v>1258</v>
      </c>
      <c r="B47" s="127" t="s">
        <v>1561</v>
      </c>
      <c r="C47">
        <v>34</v>
      </c>
      <c r="D47" t="s">
        <v>1577</v>
      </c>
      <c r="J47" s="425">
        <v>182</v>
      </c>
      <c r="K47" s="425">
        <v>124</v>
      </c>
      <c r="L47" s="425">
        <v>174</v>
      </c>
      <c r="M47" s="425">
        <v>200</v>
      </c>
      <c r="N47" s="425">
        <v>122</v>
      </c>
      <c r="O47" s="425">
        <v>135</v>
      </c>
      <c r="P47" s="425">
        <v>118</v>
      </c>
      <c r="Q47" s="360">
        <f t="shared" ref="Q47:Q57" si="43">SUM(E47:P47)</f>
        <v>1055</v>
      </c>
      <c r="AJ47" s="968">
        <v>43922</v>
      </c>
      <c r="AK47" s="128">
        <v>4355</v>
      </c>
      <c r="AL47" s="966">
        <f t="shared" si="2"/>
        <v>2259.0511273624174</v>
      </c>
      <c r="AM47" s="966"/>
    </row>
    <row r="48" spans="1:39">
      <c r="B48" t="s">
        <v>1617</v>
      </c>
      <c r="C48">
        <v>35</v>
      </c>
      <c r="D48" t="s">
        <v>1579</v>
      </c>
      <c r="E48" s="425">
        <v>99</v>
      </c>
      <c r="F48" s="425">
        <v>114</v>
      </c>
      <c r="G48" s="425">
        <v>103</v>
      </c>
      <c r="H48" s="425">
        <v>107</v>
      </c>
      <c r="I48" s="425">
        <v>152</v>
      </c>
      <c r="J48" s="425">
        <v>113</v>
      </c>
      <c r="K48" s="425">
        <v>85</v>
      </c>
      <c r="L48" s="425">
        <v>131</v>
      </c>
      <c r="M48" s="425">
        <v>105</v>
      </c>
      <c r="N48" s="425">
        <v>91</v>
      </c>
      <c r="O48" s="425">
        <v>77</v>
      </c>
      <c r="P48" s="425">
        <v>83</v>
      </c>
      <c r="Q48" s="360">
        <f t="shared" si="43"/>
        <v>1260</v>
      </c>
      <c r="R48" t="s">
        <v>1580</v>
      </c>
      <c r="S48" t="s">
        <v>1581</v>
      </c>
      <c r="T48" s="129">
        <f t="shared" ref="T48:AE55" si="44">E48/$Q48</f>
        <v>7.857142857142857E-2</v>
      </c>
      <c r="U48" s="129">
        <f t="shared" si="44"/>
        <v>9.0476190476190474E-2</v>
      </c>
      <c r="V48" s="129">
        <f t="shared" si="44"/>
        <v>8.1746031746031747E-2</v>
      </c>
      <c r="W48" s="129">
        <f t="shared" si="44"/>
        <v>8.4920634920634924E-2</v>
      </c>
      <c r="X48" s="129">
        <f t="shared" si="44"/>
        <v>0.12063492063492064</v>
      </c>
      <c r="Y48" s="129">
        <f t="shared" si="44"/>
        <v>8.9682539682539683E-2</v>
      </c>
      <c r="Z48" s="129">
        <f t="shared" si="44"/>
        <v>6.7460317460317457E-2</v>
      </c>
      <c r="AA48" s="129">
        <f t="shared" si="44"/>
        <v>0.10396825396825397</v>
      </c>
      <c r="AB48" s="129">
        <f t="shared" si="44"/>
        <v>8.3333333333333329E-2</v>
      </c>
      <c r="AC48" s="129">
        <f t="shared" si="44"/>
        <v>7.2222222222222215E-2</v>
      </c>
      <c r="AD48" s="129">
        <f t="shared" si="44"/>
        <v>6.1111111111111109E-2</v>
      </c>
      <c r="AE48" s="129">
        <f t="shared" si="44"/>
        <v>6.5873015873015875E-2</v>
      </c>
      <c r="AJ48" s="968">
        <v>43952</v>
      </c>
      <c r="AK48" s="128">
        <v>3267</v>
      </c>
      <c r="AL48" s="966">
        <f t="shared" si="2"/>
        <v>1879.7580396813516</v>
      </c>
      <c r="AM48" s="966"/>
    </row>
    <row r="49" spans="3:43">
      <c r="C49">
        <v>36</v>
      </c>
      <c r="D49" t="s">
        <v>1582</v>
      </c>
      <c r="E49" s="425">
        <v>121</v>
      </c>
      <c r="F49" s="425">
        <v>117</v>
      </c>
      <c r="G49" s="425">
        <v>126</v>
      </c>
      <c r="H49" s="425">
        <v>88</v>
      </c>
      <c r="I49" s="425">
        <v>105</v>
      </c>
      <c r="J49" s="425">
        <v>93</v>
      </c>
      <c r="K49" s="425">
        <v>59</v>
      </c>
      <c r="L49" s="425">
        <v>106</v>
      </c>
      <c r="M49" s="425">
        <v>79</v>
      </c>
      <c r="N49" s="425">
        <v>67</v>
      </c>
      <c r="O49" s="425">
        <v>49</v>
      </c>
      <c r="P49" s="425">
        <v>40</v>
      </c>
      <c r="Q49" s="360">
        <f t="shared" si="43"/>
        <v>1050</v>
      </c>
      <c r="R49" t="s">
        <v>1583</v>
      </c>
      <c r="S49" t="s">
        <v>1584</v>
      </c>
      <c r="T49" s="129">
        <f t="shared" si="44"/>
        <v>0.11523809523809524</v>
      </c>
      <c r="U49" s="129">
        <f t="shared" si="44"/>
        <v>0.11142857142857143</v>
      </c>
      <c r="V49" s="129">
        <f t="shared" si="44"/>
        <v>0.12</v>
      </c>
      <c r="W49" s="129">
        <f t="shared" si="44"/>
        <v>8.3809523809523806E-2</v>
      </c>
      <c r="X49" s="129">
        <f t="shared" si="44"/>
        <v>0.1</v>
      </c>
      <c r="Y49" s="129">
        <f t="shared" si="44"/>
        <v>8.8571428571428565E-2</v>
      </c>
      <c r="Z49" s="129">
        <f t="shared" si="44"/>
        <v>5.6190476190476193E-2</v>
      </c>
      <c r="AA49" s="129">
        <f t="shared" si="44"/>
        <v>0.10095238095238095</v>
      </c>
      <c r="AB49" s="129">
        <f t="shared" si="44"/>
        <v>7.5238095238095243E-2</v>
      </c>
      <c r="AC49" s="129">
        <f t="shared" si="44"/>
        <v>6.3809523809523816E-2</v>
      </c>
      <c r="AD49" s="129">
        <f t="shared" si="44"/>
        <v>4.6666666666666669E-2</v>
      </c>
      <c r="AE49" s="129">
        <f t="shared" si="44"/>
        <v>3.8095238095238099E-2</v>
      </c>
      <c r="AJ49" s="968">
        <v>43983</v>
      </c>
      <c r="AK49" s="128">
        <v>4259</v>
      </c>
      <c r="AL49" s="966">
        <f t="shared" si="2"/>
        <v>1794.3211080515525</v>
      </c>
      <c r="AM49" s="966"/>
    </row>
    <row r="50" spans="3:43">
      <c r="C50">
        <v>37</v>
      </c>
      <c r="D50" t="s">
        <v>1585</v>
      </c>
      <c r="E50" s="425">
        <v>42</v>
      </c>
      <c r="F50" s="425">
        <v>158</v>
      </c>
      <c r="G50" s="425">
        <v>134</v>
      </c>
      <c r="H50" s="425">
        <v>106</v>
      </c>
      <c r="I50" s="425">
        <v>166</v>
      </c>
      <c r="J50" s="425">
        <v>118</v>
      </c>
      <c r="K50" s="425">
        <v>174</v>
      </c>
      <c r="L50" s="425">
        <v>112</v>
      </c>
      <c r="M50" s="425">
        <v>296</v>
      </c>
      <c r="N50" s="425">
        <v>303</v>
      </c>
      <c r="O50" s="425">
        <v>248</v>
      </c>
      <c r="P50" s="425">
        <v>41</v>
      </c>
      <c r="Q50" s="360">
        <f t="shared" si="43"/>
        <v>1898</v>
      </c>
      <c r="R50" t="s">
        <v>1586</v>
      </c>
      <c r="S50" t="s">
        <v>1587</v>
      </c>
      <c r="T50" s="129">
        <f t="shared" si="44"/>
        <v>2.2128556375131718E-2</v>
      </c>
      <c r="U50" s="129">
        <f t="shared" si="44"/>
        <v>8.3245521601685982E-2</v>
      </c>
      <c r="V50" s="129">
        <f t="shared" si="44"/>
        <v>7.0600632244467859E-2</v>
      </c>
      <c r="W50" s="129">
        <f t="shared" si="44"/>
        <v>5.584826132771338E-2</v>
      </c>
      <c r="X50" s="129">
        <f t="shared" si="44"/>
        <v>8.7460484720758694E-2</v>
      </c>
      <c r="Y50" s="129">
        <f t="shared" si="44"/>
        <v>6.2170706006322442E-2</v>
      </c>
      <c r="Z50" s="129">
        <f t="shared" si="44"/>
        <v>9.1675447839831406E-2</v>
      </c>
      <c r="AA50" s="129">
        <f t="shared" si="44"/>
        <v>5.9009483667017915E-2</v>
      </c>
      <c r="AB50" s="129">
        <f t="shared" si="44"/>
        <v>0.15595363540569021</v>
      </c>
      <c r="AC50" s="129">
        <f t="shared" si="44"/>
        <v>0.15964172813487881</v>
      </c>
      <c r="AD50" s="129">
        <f t="shared" si="44"/>
        <v>0.13066385669125394</v>
      </c>
      <c r="AE50" s="129">
        <f t="shared" si="44"/>
        <v>2.1601685985247629E-2</v>
      </c>
      <c r="AJ50" s="968">
        <v>44013</v>
      </c>
      <c r="AK50" s="128">
        <v>3772</v>
      </c>
      <c r="AL50" s="966">
        <f t="shared" si="2"/>
        <v>1830.5057568270618</v>
      </c>
      <c r="AM50" s="966"/>
    </row>
    <row r="51" spans="3:43">
      <c r="C51">
        <v>38</v>
      </c>
      <c r="D51" t="s">
        <v>1588</v>
      </c>
      <c r="E51" s="425">
        <v>15</v>
      </c>
      <c r="F51" s="425">
        <v>109</v>
      </c>
      <c r="G51" s="425">
        <v>487</v>
      </c>
      <c r="H51" s="425">
        <v>419</v>
      </c>
      <c r="I51" s="425">
        <v>751</v>
      </c>
      <c r="J51" s="425">
        <v>557</v>
      </c>
      <c r="K51" s="425">
        <v>336</v>
      </c>
      <c r="L51" s="425">
        <v>689</v>
      </c>
      <c r="M51" s="425">
        <v>704</v>
      </c>
      <c r="N51" s="425">
        <v>556</v>
      </c>
      <c r="O51" s="425">
        <v>406</v>
      </c>
      <c r="P51" s="425">
        <v>430</v>
      </c>
      <c r="Q51" s="360">
        <f t="shared" si="43"/>
        <v>5459</v>
      </c>
      <c r="R51" t="s">
        <v>1589</v>
      </c>
      <c r="S51" t="s">
        <v>1590</v>
      </c>
      <c r="T51" s="129">
        <f t="shared" si="44"/>
        <v>2.747755999267265E-3</v>
      </c>
      <c r="U51" s="129">
        <f t="shared" si="44"/>
        <v>1.9967026928008794E-2</v>
      </c>
      <c r="V51" s="129">
        <f t="shared" si="44"/>
        <v>8.921047810954387E-2</v>
      </c>
      <c r="W51" s="129">
        <f t="shared" si="44"/>
        <v>7.6753984246198934E-2</v>
      </c>
      <c r="X51" s="129">
        <f t="shared" si="44"/>
        <v>0.13757098369664775</v>
      </c>
      <c r="Y51" s="129">
        <f t="shared" si="44"/>
        <v>0.10203333943945778</v>
      </c>
      <c r="Z51" s="129">
        <f t="shared" si="44"/>
        <v>6.1549734383586741E-2</v>
      </c>
      <c r="AA51" s="129">
        <f t="shared" si="44"/>
        <v>0.12621359223300971</v>
      </c>
      <c r="AB51" s="129">
        <f t="shared" si="44"/>
        <v>0.12896134823227698</v>
      </c>
      <c r="AC51" s="129">
        <f t="shared" si="44"/>
        <v>0.1018501557061733</v>
      </c>
      <c r="AD51" s="129">
        <f t="shared" si="44"/>
        <v>7.4372595713500647E-2</v>
      </c>
      <c r="AE51" s="129">
        <f t="shared" si="44"/>
        <v>7.8769005312328264E-2</v>
      </c>
      <c r="AI51">
        <v>38</v>
      </c>
      <c r="AJ51" s="968">
        <v>44044</v>
      </c>
      <c r="AK51" s="128">
        <v>3654</v>
      </c>
      <c r="AL51" s="966">
        <f t="shared" si="2"/>
        <v>1834.893894372143</v>
      </c>
      <c r="AM51" s="966"/>
    </row>
    <row r="52" spans="3:43">
      <c r="C52">
        <v>39</v>
      </c>
      <c r="D52" t="s">
        <v>1591</v>
      </c>
      <c r="E52" s="425">
        <v>476</v>
      </c>
      <c r="F52" s="425">
        <v>539</v>
      </c>
      <c r="G52" s="425">
        <v>586</v>
      </c>
      <c r="H52" s="425">
        <v>742</v>
      </c>
      <c r="I52" s="425">
        <v>1682</v>
      </c>
      <c r="J52" s="425">
        <v>1792</v>
      </c>
      <c r="K52" s="425">
        <v>1225</v>
      </c>
      <c r="L52" s="425">
        <v>1110</v>
      </c>
      <c r="M52" s="425">
        <v>789</v>
      </c>
      <c r="N52" s="425">
        <v>488</v>
      </c>
      <c r="O52" s="425">
        <v>440</v>
      </c>
      <c r="P52" s="425">
        <v>588</v>
      </c>
      <c r="Q52" s="360">
        <f t="shared" si="43"/>
        <v>10457</v>
      </c>
      <c r="R52" t="s">
        <v>1592</v>
      </c>
      <c r="S52" t="s">
        <v>1593</v>
      </c>
      <c r="T52" s="129">
        <f t="shared" si="44"/>
        <v>4.5519747537534669E-2</v>
      </c>
      <c r="U52" s="129">
        <f t="shared" si="44"/>
        <v>5.1544420005737786E-2</v>
      </c>
      <c r="V52" s="129">
        <f t="shared" si="44"/>
        <v>5.6039016926460745E-2</v>
      </c>
      <c r="W52" s="129">
        <f t="shared" si="44"/>
        <v>7.0957253514392277E-2</v>
      </c>
      <c r="X52" s="129">
        <f t="shared" si="44"/>
        <v>0.1608491919288515</v>
      </c>
      <c r="Y52" s="129">
        <f t="shared" si="44"/>
        <v>0.17136846131777755</v>
      </c>
      <c r="Z52" s="129">
        <f t="shared" si="44"/>
        <v>0.11714640910394951</v>
      </c>
      <c r="AA52" s="129">
        <f t="shared" si="44"/>
        <v>0.10614899110643589</v>
      </c>
      <c r="AB52" s="129">
        <f t="shared" si="44"/>
        <v>7.5451850435115236E-2</v>
      </c>
      <c r="AC52" s="129">
        <f t="shared" si="44"/>
        <v>4.6667304198144785E-2</v>
      </c>
      <c r="AD52" s="129">
        <f t="shared" si="44"/>
        <v>4.2077077555704313E-2</v>
      </c>
      <c r="AE52" s="129">
        <f t="shared" si="44"/>
        <v>5.6230276369895763E-2</v>
      </c>
      <c r="AJ52" s="968">
        <v>44075</v>
      </c>
      <c r="AK52" s="128">
        <v>2894</v>
      </c>
      <c r="AL52" s="966">
        <f t="shared" si="2"/>
        <v>1778.1865217526499</v>
      </c>
      <c r="AM52" s="966"/>
    </row>
    <row r="53" spans="3:43">
      <c r="C53">
        <v>40</v>
      </c>
      <c r="D53" t="s">
        <v>1594</v>
      </c>
      <c r="E53" s="425">
        <v>681</v>
      </c>
      <c r="F53" s="425">
        <v>736</v>
      </c>
      <c r="G53" s="425">
        <v>655</v>
      </c>
      <c r="H53" s="425">
        <v>691</v>
      </c>
      <c r="I53" s="425">
        <v>923</v>
      </c>
      <c r="J53" s="425">
        <v>1030</v>
      </c>
      <c r="K53" s="425">
        <v>835</v>
      </c>
      <c r="L53" s="425">
        <v>976</v>
      </c>
      <c r="M53" s="425">
        <v>450</v>
      </c>
      <c r="N53" s="425">
        <v>523</v>
      </c>
      <c r="O53" s="425">
        <v>703</v>
      </c>
      <c r="P53" s="425">
        <v>1571</v>
      </c>
      <c r="Q53" s="360">
        <f t="shared" si="43"/>
        <v>9774</v>
      </c>
      <c r="R53" t="s">
        <v>1595</v>
      </c>
      <c r="S53" t="s">
        <v>1596</v>
      </c>
      <c r="T53" s="129">
        <f t="shared" si="44"/>
        <v>6.9674647022713324E-2</v>
      </c>
      <c r="U53" s="129">
        <f t="shared" si="44"/>
        <v>7.5301821158174756E-2</v>
      </c>
      <c r="V53" s="129">
        <f t="shared" si="44"/>
        <v>6.7014528340495191E-2</v>
      </c>
      <c r="W53" s="129">
        <f t="shared" si="44"/>
        <v>7.0697769592797222E-2</v>
      </c>
      <c r="X53" s="129">
        <f t="shared" si="44"/>
        <v>9.443421321874361E-2</v>
      </c>
      <c r="Y53" s="129">
        <f t="shared" si="44"/>
        <v>0.10538162471864129</v>
      </c>
      <c r="Z53" s="129">
        <f t="shared" si="44"/>
        <v>8.5430734602005315E-2</v>
      </c>
      <c r="AA53" s="129">
        <f t="shared" si="44"/>
        <v>9.9856762840188254E-2</v>
      </c>
      <c r="AB53" s="129">
        <f t="shared" si="44"/>
        <v>4.6040515653775323E-2</v>
      </c>
      <c r="AC53" s="129">
        <f t="shared" si="44"/>
        <v>5.3509310415387763E-2</v>
      </c>
      <c r="AD53" s="129">
        <f t="shared" si="44"/>
        <v>7.1925516676897894E-2</v>
      </c>
      <c r="AE53" s="129">
        <f t="shared" si="44"/>
        <v>0.16073255576018006</v>
      </c>
      <c r="AJ53" s="968">
        <v>44105</v>
      </c>
      <c r="AK53" s="128">
        <v>2141</v>
      </c>
      <c r="AL53" s="966">
        <f t="shared" si="2"/>
        <v>1559.2062349684327</v>
      </c>
      <c r="AM53" s="966"/>
    </row>
    <row r="54" spans="3:43">
      <c r="C54">
        <v>41</v>
      </c>
      <c r="D54" t="s">
        <v>1597</v>
      </c>
      <c r="E54" s="425">
        <v>854</v>
      </c>
      <c r="F54" s="425">
        <v>729</v>
      </c>
      <c r="G54" s="425">
        <v>804</v>
      </c>
      <c r="H54" s="425">
        <v>1079</v>
      </c>
      <c r="I54" s="425">
        <v>1804</v>
      </c>
      <c r="J54" s="425">
        <v>1397</v>
      </c>
      <c r="K54" s="425">
        <v>704</v>
      </c>
      <c r="L54" s="360">
        <v>599</v>
      </c>
      <c r="M54" s="360">
        <v>343</v>
      </c>
      <c r="N54" s="360">
        <v>348</v>
      </c>
      <c r="O54" s="360">
        <v>709</v>
      </c>
      <c r="P54" s="360">
        <v>1203</v>
      </c>
      <c r="Q54" s="360">
        <f t="shared" si="43"/>
        <v>10573</v>
      </c>
      <c r="R54" t="s">
        <v>1598</v>
      </c>
      <c r="S54" t="s">
        <v>1599</v>
      </c>
      <c r="T54" s="129">
        <f t="shared" si="44"/>
        <v>8.0771777168258771E-2</v>
      </c>
      <c r="U54" s="129">
        <f t="shared" si="44"/>
        <v>6.8949210252530035E-2</v>
      </c>
      <c r="V54" s="129">
        <f t="shared" si="44"/>
        <v>7.6042750401967271E-2</v>
      </c>
      <c r="W54" s="129">
        <f t="shared" si="44"/>
        <v>0.10205239761657051</v>
      </c>
      <c r="X54" s="129">
        <f t="shared" si="44"/>
        <v>0.17062328572779722</v>
      </c>
      <c r="Y54" s="129">
        <f t="shared" si="44"/>
        <v>0.13212900785018444</v>
      </c>
      <c r="Z54" s="129">
        <f t="shared" si="44"/>
        <v>6.6584696869384286E-2</v>
      </c>
      <c r="AA54" s="129">
        <f t="shared" si="44"/>
        <v>5.6653740660172133E-2</v>
      </c>
      <c r="AB54" s="129">
        <f t="shared" si="44"/>
        <v>3.2441123616759673E-2</v>
      </c>
      <c r="AC54" s="129">
        <f t="shared" si="44"/>
        <v>3.2914026293388819E-2</v>
      </c>
      <c r="AD54" s="129">
        <f t="shared" si="44"/>
        <v>6.7057599546013424E-2</v>
      </c>
      <c r="AE54" s="129">
        <f t="shared" si="44"/>
        <v>0.11378038399697342</v>
      </c>
      <c r="AJ54" s="968">
        <v>44136</v>
      </c>
      <c r="AK54" s="128">
        <v>2874</v>
      </c>
      <c r="AL54" s="966">
        <f t="shared" si="2"/>
        <v>1631.2872868056857</v>
      </c>
      <c r="AM54" s="966"/>
    </row>
    <row r="55" spans="3:43">
      <c r="C55">
        <v>42</v>
      </c>
      <c r="D55" t="s">
        <v>1600</v>
      </c>
      <c r="E55" s="128">
        <v>1024</v>
      </c>
      <c r="F55" s="128">
        <v>1193</v>
      </c>
      <c r="G55" s="128">
        <v>900</v>
      </c>
      <c r="H55" s="128">
        <v>813</v>
      </c>
      <c r="I55" s="128">
        <v>1445</v>
      </c>
      <c r="J55" s="128">
        <v>1306</v>
      </c>
      <c r="K55" s="128">
        <v>846</v>
      </c>
      <c r="L55" s="128">
        <v>1141</v>
      </c>
      <c r="M55" s="128">
        <v>859</v>
      </c>
      <c r="N55" s="128">
        <v>658</v>
      </c>
      <c r="O55" s="128">
        <v>675</v>
      </c>
      <c r="P55" s="128">
        <v>961</v>
      </c>
      <c r="Q55" s="360">
        <f t="shared" si="43"/>
        <v>11821</v>
      </c>
      <c r="R55" t="s">
        <v>1601</v>
      </c>
      <c r="S55" t="s">
        <v>1600</v>
      </c>
      <c r="T55" s="129">
        <f t="shared" si="44"/>
        <v>8.6625496996869972E-2</v>
      </c>
      <c r="U55" s="129">
        <f t="shared" si="44"/>
        <v>0.10092208780982996</v>
      </c>
      <c r="V55" s="129">
        <f t="shared" si="44"/>
        <v>7.6135690719905252E-2</v>
      </c>
      <c r="W55" s="129">
        <f t="shared" si="44"/>
        <v>6.8775907283647741E-2</v>
      </c>
      <c r="X55" s="129">
        <f t="shared" si="44"/>
        <v>0.12224008121140344</v>
      </c>
      <c r="Y55" s="129">
        <f t="shared" si="44"/>
        <v>0.11048134675577362</v>
      </c>
      <c r="Z55" s="129">
        <f t="shared" si="44"/>
        <v>7.156754927671094E-2</v>
      </c>
      <c r="AA55" s="129">
        <f t="shared" si="44"/>
        <v>9.6523136790457653E-2</v>
      </c>
      <c r="AB55" s="129">
        <f t="shared" si="44"/>
        <v>7.266728703155402E-2</v>
      </c>
      <c r="AC55" s="129">
        <f t="shared" si="44"/>
        <v>5.5663649437441842E-2</v>
      </c>
      <c r="AD55" s="129">
        <f t="shared" si="44"/>
        <v>5.7101768039928939E-2</v>
      </c>
      <c r="AE55" s="129">
        <f t="shared" si="44"/>
        <v>8.1295998646476603E-2</v>
      </c>
      <c r="AJ55" s="968">
        <v>44166</v>
      </c>
      <c r="AK55" s="128">
        <v>4904</v>
      </c>
      <c r="AL55" s="966">
        <f t="shared" si="2"/>
        <v>2208.1377910474239</v>
      </c>
      <c r="AM55" s="966"/>
    </row>
    <row r="56" spans="3:43">
      <c r="C56">
        <v>43</v>
      </c>
      <c r="D56" t="s">
        <v>1603</v>
      </c>
      <c r="E56" s="1209" cm="1">
        <f t="array" aca="1" ref="E56" ca="1">_xlfn.LET(
  _xlpm._期,$C56,
  _xlpm._見出し,E$13,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2771</v>
      </c>
      <c r="F56" s="1209" cm="1">
        <f t="array" aca="1" ref="F56" ca="1">_xlfn.LET(
  _xlpm._期,$C56,
  _xlpm._見出し,F$13,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2510</v>
      </c>
      <c r="G56" s="1209" cm="1">
        <f t="array" aca="1" ref="G56" ca="1">_xlfn.LET(
  _xlpm._期,$C56,
  _xlpm._見出し,G$13,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2554</v>
      </c>
      <c r="H56" s="1209" cm="1">
        <f t="array" aca="1" ref="H56" ca="1">_xlfn.LET(
  _xlpm._期,$C56,
  _xlpm._見出し,H$13,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1992</v>
      </c>
      <c r="I56" s="1209" cm="1">
        <f t="array" aca="1" ref="I56" ca="1">_xlfn.LET(
  _xlpm._期,$C56,
  _xlpm._見出し,I$13,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2843</v>
      </c>
      <c r="J56" s="1209" cm="1">
        <f t="array" aca="1" ref="J56" ca="1">_xlfn.LET(
  _xlpm._期,$C56,
  _xlpm._見出し,J$13,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1773</v>
      </c>
      <c r="K56" s="1209" cm="1">
        <f t="array" aca="1" ref="K56" ca="1">_xlfn.LET(
  _xlpm._期,$C56,
  _xlpm._見出し,K$13,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1634</v>
      </c>
      <c r="L56" s="1209" cm="1">
        <f t="array" aca="1" ref="L56" ca="1">_xlfn.LET(
  _xlpm._期,$C56,
  _xlpm._見出し,L$13,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2461</v>
      </c>
      <c r="M56" s="1209" cm="1">
        <f t="array" aca="1" ref="M56" ca="1">_xlfn.LET(
  _xlpm._期,$C56,
  _xlpm._見出し,M$13,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2049</v>
      </c>
      <c r="N56" s="1209" cm="1">
        <f t="array" aca="1" ref="N56" ca="1">_xlfn.LET(
  _xlpm._期,$C56,
  _xlpm._見出し,N$13,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2194</v>
      </c>
      <c r="O56" s="1209" cm="1">
        <f t="array" aca="1" ref="O56" ca="1">_xlfn.LET(
  _xlpm._期,$C56,
  _xlpm._見出し,O$13,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2347.5</v>
      </c>
      <c r="P56" s="1209" t="str" cm="1">
        <f t="array" aca="1" ref="P56" ca="1">_xlfn.LET(
  _xlpm._期,$C56,
  _xlpm._見出し,P$13,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
      </c>
      <c r="Q56" s="360">
        <f t="shared" ca="1" si="43"/>
        <v>25128.5</v>
      </c>
      <c r="R56" t="s">
        <v>1135</v>
      </c>
      <c r="S56" t="s">
        <v>1603</v>
      </c>
      <c r="T56" s="129" t="str">
        <f t="shared" ref="T56" ca="1" si="45">IF($P56&lt;&gt;"",E56/$Q56,"")</f>
        <v/>
      </c>
      <c r="U56" s="129" t="str">
        <f t="shared" ref="U56" ca="1" si="46">IF($P56&lt;&gt;"",F56/$Q56,"")</f>
        <v/>
      </c>
      <c r="V56" s="129" t="str">
        <f t="shared" ref="V56" ca="1" si="47">IF($P56&lt;&gt;"",G56/$Q56,"")</f>
        <v/>
      </c>
      <c r="W56" s="129" t="str">
        <f t="shared" ref="W56" ca="1" si="48">IF($P56&lt;&gt;"",H56/$Q56,"")</f>
        <v/>
      </c>
      <c r="X56" s="129" t="str">
        <f t="shared" ref="X56" ca="1" si="49">IF($P56&lt;&gt;"",I56/$Q56,"")</f>
        <v/>
      </c>
      <c r="Y56" s="129" t="str">
        <f t="shared" ref="Y56" ca="1" si="50">IF($P56&lt;&gt;"",J56/$Q56,"")</f>
        <v/>
      </c>
      <c r="Z56" s="129" t="str">
        <f t="shared" ref="Z56" ca="1" si="51">IF($P56&lt;&gt;"",K56/$Q56,"")</f>
        <v/>
      </c>
      <c r="AA56" s="129" t="str">
        <f t="shared" ref="AA56" ca="1" si="52">IF($P56&lt;&gt;"",L56/$Q56,"")</f>
        <v/>
      </c>
      <c r="AB56" s="129" t="str">
        <f t="shared" ref="AB56" ca="1" si="53">IF($P56&lt;&gt;"",M56/$Q56,"")</f>
        <v/>
      </c>
      <c r="AC56" s="129" t="str">
        <f t="shared" ref="AC56" ca="1" si="54">IF($P56&lt;&gt;"",N56/$Q56,"")</f>
        <v/>
      </c>
      <c r="AD56" s="129" t="str">
        <f t="shared" ref="AD56" ca="1" si="55">IF($P56&lt;&gt;"",O56/$Q56,"")</f>
        <v/>
      </c>
      <c r="AE56" s="129" t="str">
        <f t="shared" ref="AE56" ca="1" si="56">IF($P56&lt;&gt;"",P56/$Q56,"")</f>
        <v/>
      </c>
      <c r="AJ56" s="968">
        <v>44197</v>
      </c>
      <c r="AK56" s="128">
        <v>4359</v>
      </c>
      <c r="AL56" s="966">
        <f t="shared" si="2"/>
        <v>2037.6541187041671</v>
      </c>
      <c r="AM56" s="966"/>
      <c r="AN56" s="128"/>
      <c r="AO56" s="128"/>
      <c r="AQ56" s="128"/>
    </row>
    <row r="57" spans="3:43">
      <c r="C57">
        <v>44</v>
      </c>
      <c r="D57" t="s">
        <v>1605</v>
      </c>
      <c r="E57" s="1209" t="str" cm="1">
        <f t="array" aca="1" ref="E57" ca="1">_xlfn.LET(
  _xlpm._期,$C57,
  _xlpm._見出し,E$13,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
      </c>
      <c r="F57" s="1209" t="str" cm="1">
        <f t="array" aca="1" ref="F57" ca="1">_xlfn.LET(
  _xlpm._期,$C57,
  _xlpm._見出し,F$13,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
      </c>
      <c r="G57" s="1209" t="str" cm="1">
        <f t="array" aca="1" ref="G57" ca="1">_xlfn.LET(
  _xlpm._期,$C57,
  _xlpm._見出し,G$13,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
      </c>
      <c r="H57" s="1209" t="str" cm="1">
        <f t="array" aca="1" ref="H57" ca="1">_xlfn.LET(
  _xlpm._期,$C57,
  _xlpm._見出し,H$13,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
      </c>
      <c r="I57" s="1209" t="str" cm="1">
        <f t="array" aca="1" ref="I57" ca="1">_xlfn.LET(
  _xlpm._期,$C57,
  _xlpm._見出し,I$13,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
      </c>
      <c r="J57" s="1209" t="str" cm="1">
        <f t="array" aca="1" ref="J57" ca="1">_xlfn.LET(
  _xlpm._期,$C57,
  _xlpm._見出し,J$13,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
      </c>
      <c r="K57" s="1209" t="str" cm="1">
        <f t="array" aca="1" ref="K57" ca="1">_xlfn.LET(
  _xlpm._期,$C57,
  _xlpm._見出し,K$13,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
      </c>
      <c r="L57" s="1209" t="str" cm="1">
        <f t="array" aca="1" ref="L57" ca="1">_xlfn.LET(
  _xlpm._期,$C57,
  _xlpm._見出し,L$13,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
      </c>
      <c r="M57" s="1209" t="str" cm="1">
        <f t="array" aca="1" ref="M57" ca="1">_xlfn.LET(
  _xlpm._期,$C57,
  _xlpm._見出し,M$13,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
      </c>
      <c r="N57" s="1209" t="str" cm="1">
        <f t="array" aca="1" ref="N57" ca="1">_xlfn.LET(
  _xlpm._期,$C57,
  _xlpm._見出し,N$13,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
      </c>
      <c r="O57" s="1209" t="str" cm="1">
        <f t="array" aca="1" ref="O57" ca="1">_xlfn.LET(
  _xlpm._期,$C57,
  _xlpm._見出し,O$13,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
      </c>
      <c r="P57" s="1209" t="str" cm="1">
        <f t="array" aca="1" ref="P57" ca="1">_xlfn.LET(
  _xlpm._期,$C57,
  _xlpm._見出し,P$13,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
      </c>
      <c r="Q57" s="360">
        <f t="shared" ca="1" si="43"/>
        <v>0</v>
      </c>
      <c r="T57" s="129"/>
      <c r="U57" s="129"/>
      <c r="V57" s="129"/>
      <c r="W57" s="129"/>
      <c r="X57" s="129"/>
      <c r="Y57" s="129"/>
      <c r="Z57" s="129"/>
      <c r="AA57" s="129"/>
      <c r="AB57" s="129"/>
      <c r="AC57" s="129"/>
      <c r="AD57" s="129"/>
      <c r="AE57" s="129"/>
      <c r="AG57" s="128"/>
      <c r="AJ57" s="968">
        <v>44228</v>
      </c>
      <c r="AK57" s="128">
        <v>4286</v>
      </c>
      <c r="AL57" s="966">
        <f t="shared" si="2"/>
        <v>1850.6646013273034</v>
      </c>
      <c r="AM57" s="966"/>
    </row>
    <row r="58" spans="3:43">
      <c r="T58" s="129"/>
      <c r="U58" s="129"/>
      <c r="V58" s="129"/>
      <c r="W58" s="129"/>
      <c r="X58" s="129"/>
      <c r="Y58" s="129"/>
      <c r="Z58" s="129"/>
      <c r="AA58" s="129"/>
      <c r="AB58" s="129"/>
      <c r="AC58" s="129"/>
      <c r="AD58" s="129"/>
      <c r="AE58" s="129"/>
      <c r="AJ58" s="968">
        <v>44256</v>
      </c>
      <c r="AK58" s="128">
        <v>4970</v>
      </c>
      <c r="AL58" s="966">
        <f t="shared" si="2"/>
        <v>2240.025933895201</v>
      </c>
      <c r="AM58" s="966"/>
    </row>
    <row r="59" spans="3:43">
      <c r="S59" t="s">
        <v>1606</v>
      </c>
      <c r="T59" s="130">
        <f ca="1">AVERAGE(T48:T56)</f>
        <v>6.2659688113662446E-2</v>
      </c>
      <c r="U59" s="130">
        <f t="shared" ref="U59:AD59" ca="1" si="57">AVERAGE(U48:U56)</f>
        <v>7.522935620759115E-2</v>
      </c>
      <c r="V59" s="130">
        <f t="shared" ca="1" si="57"/>
        <v>7.9598641061108977E-2</v>
      </c>
      <c r="W59" s="130">
        <f t="shared" ca="1" si="57"/>
        <v>7.6726966538934849E-2</v>
      </c>
      <c r="X59" s="130">
        <f t="shared" ca="1" si="57"/>
        <v>0.12422664514239033</v>
      </c>
      <c r="Y59" s="130">
        <f t="shared" ca="1" si="57"/>
        <v>0.10772730679276568</v>
      </c>
      <c r="Z59" s="130">
        <f t="shared" ca="1" si="57"/>
        <v>7.7200670715782738E-2</v>
      </c>
      <c r="AA59" s="130">
        <f t="shared" ca="1" si="57"/>
        <v>9.3665792777239562E-2</v>
      </c>
      <c r="AB59" s="130">
        <f t="shared" ca="1" si="57"/>
        <v>8.3760898618325003E-2</v>
      </c>
      <c r="AC59" s="130">
        <f t="shared" ca="1" si="57"/>
        <v>7.3284740027145162E-2</v>
      </c>
      <c r="AD59" s="130">
        <f t="shared" ca="1" si="57"/>
        <v>6.8872024000134618E-2</v>
      </c>
      <c r="AE59" s="130">
        <f ca="1">AVERAGE(AE48:AE56)</f>
        <v>7.7047270004919469E-2</v>
      </c>
      <c r="AF59" s="129">
        <f ca="1">SUM(T59:AE59)</f>
        <v>1</v>
      </c>
      <c r="AJ59" s="968">
        <v>44287</v>
      </c>
      <c r="AK59" s="128">
        <v>2854</v>
      </c>
      <c r="AL59" s="966">
        <f t="shared" si="2"/>
        <v>2499.2041273851055</v>
      </c>
      <c r="AM59" s="966"/>
    </row>
    <row r="60" spans="3:43">
      <c r="C60" t="s">
        <v>1609</v>
      </c>
      <c r="D60" t="s">
        <v>1600</v>
      </c>
      <c r="E60" s="128">
        <v>1021</v>
      </c>
      <c r="F60" s="128">
        <v>1195</v>
      </c>
      <c r="G60" s="128">
        <v>892</v>
      </c>
      <c r="H60" s="128">
        <v>813</v>
      </c>
      <c r="I60" s="128">
        <v>1445</v>
      </c>
      <c r="J60" s="128">
        <v>1306</v>
      </c>
      <c r="K60" s="133">
        <f ca="1">$Q$31*K61</f>
        <v>1884.43583534564</v>
      </c>
      <c r="L60" s="133">
        <f t="shared" ref="L60:O60" ca="1" si="58">$Q$31*L61</f>
        <v>2252.89479350495</v>
      </c>
      <c r="M60" s="133">
        <f t="shared" ca="1" si="58"/>
        <v>2061.760995305357</v>
      </c>
      <c r="N60" s="133">
        <f t="shared" ca="1" si="58"/>
        <v>1831.2075033643407</v>
      </c>
      <c r="O60" s="133">
        <f t="shared" ca="1" si="58"/>
        <v>1704.4142999554663</v>
      </c>
      <c r="P60" s="133">
        <f ca="1">$Q$31*P61</f>
        <v>1846.626679337513</v>
      </c>
      <c r="Q60" s="133">
        <f ca="1">SUM(E60:J60)/SUM(T59:Y59)</f>
        <v>12680.346092676065</v>
      </c>
      <c r="S60" t="s">
        <v>1607</v>
      </c>
      <c r="T60" s="130">
        <f t="shared" ref="T60:AE60" si="59">MEDIAN(T48:T54)</f>
        <v>6.9674647022713324E-2</v>
      </c>
      <c r="U60" s="130">
        <f t="shared" si="59"/>
        <v>7.5301821158174756E-2</v>
      </c>
      <c r="V60" s="130">
        <f t="shared" si="59"/>
        <v>7.6042750401967271E-2</v>
      </c>
      <c r="W60" s="130">
        <f t="shared" si="59"/>
        <v>7.6753984246198934E-2</v>
      </c>
      <c r="X60" s="130">
        <f t="shared" si="59"/>
        <v>0.12063492063492064</v>
      </c>
      <c r="Y60" s="130">
        <f t="shared" si="59"/>
        <v>0.10203333943945778</v>
      </c>
      <c r="Z60" s="130">
        <f t="shared" si="59"/>
        <v>6.7460317460317457E-2</v>
      </c>
      <c r="AA60" s="130">
        <f t="shared" si="59"/>
        <v>0.10095238095238095</v>
      </c>
      <c r="AB60" s="130">
        <f t="shared" si="59"/>
        <v>7.5451850435115236E-2</v>
      </c>
      <c r="AC60" s="130">
        <f t="shared" si="59"/>
        <v>6.3809523809523816E-2</v>
      </c>
      <c r="AD60" s="130">
        <f t="shared" si="59"/>
        <v>6.7057599546013424E-2</v>
      </c>
      <c r="AE60" s="130">
        <f t="shared" si="59"/>
        <v>6.5873015873015875E-2</v>
      </c>
      <c r="AF60" s="129">
        <f>SUM(T60:AE60)</f>
        <v>0.9610461509797994</v>
      </c>
      <c r="AJ60" s="968">
        <v>44317</v>
      </c>
      <c r="AK60" s="128">
        <v>2515</v>
      </c>
      <c r="AL60" s="966">
        <f t="shared" si="2"/>
        <v>2119.9110397040395</v>
      </c>
      <c r="AM60" s="966"/>
    </row>
    <row r="61" spans="3:43">
      <c r="E61" s="129">
        <f ca="1">E60/$Q$31</f>
        <v>4.2263851230931626E-2</v>
      </c>
      <c r="F61" s="129">
        <f t="shared" ref="F61:J61" ca="1" si="60">F60/$Q$31</f>
        <v>4.9466505603294124E-2</v>
      </c>
      <c r="G61" s="129">
        <f t="shared" ca="1" si="60"/>
        <v>3.6923952299697367E-2</v>
      </c>
      <c r="H61" s="129">
        <f t="shared" ca="1" si="60"/>
        <v>3.3653781636383363E-2</v>
      </c>
      <c r="I61" s="129">
        <f t="shared" ca="1" si="60"/>
        <v>5.98151469428954E-2</v>
      </c>
      <c r="J61" s="129">
        <f t="shared" ca="1" si="60"/>
        <v>5.4061302358077087E-2</v>
      </c>
      <c r="K61" s="424">
        <v>7.8005402349935846E-2</v>
      </c>
      <c r="L61" s="424">
        <v>9.3257600775351265E-2</v>
      </c>
      <c r="M61" s="424">
        <v>8.5345700273578004E-2</v>
      </c>
      <c r="N61" s="424">
        <v>7.5802038682817069E-2</v>
      </c>
      <c r="O61" s="424">
        <v>7.0553489137306857E-2</v>
      </c>
      <c r="P61" s="424">
        <v>7.6440308770411303E-2</v>
      </c>
      <c r="S61" t="s">
        <v>1608</v>
      </c>
      <c r="T61" s="130">
        <f t="shared" ref="T61:AE61" si="61">T60/$AF$60</f>
        <v>7.2498752481011536E-2</v>
      </c>
      <c r="U61" s="130">
        <f t="shared" si="61"/>
        <v>7.8354011491959613E-2</v>
      </c>
      <c r="V61" s="130">
        <f t="shared" si="61"/>
        <v>7.9124972639909821E-2</v>
      </c>
      <c r="W61" s="130">
        <f t="shared" si="61"/>
        <v>7.9865034751918237E-2</v>
      </c>
      <c r="X61" s="130">
        <f t="shared" si="61"/>
        <v>0.1255245864227558</v>
      </c>
      <c r="Y61" s="130">
        <f t="shared" si="61"/>
        <v>0.10616903187784835</v>
      </c>
      <c r="Z61" s="130">
        <f t="shared" si="61"/>
        <v>7.0194670039041063E-2</v>
      </c>
      <c r="AA61" s="130">
        <f t="shared" si="61"/>
        <v>0.10504425916430615</v>
      </c>
      <c r="AB61" s="130">
        <f t="shared" si="61"/>
        <v>7.8510121868956104E-2</v>
      </c>
      <c r="AC61" s="130">
        <f t="shared" si="61"/>
        <v>6.6395899660457669E-2</v>
      </c>
      <c r="AD61" s="130">
        <f t="shared" si="61"/>
        <v>6.9775628857830924E-2</v>
      </c>
      <c r="AE61" s="130">
        <f t="shared" si="61"/>
        <v>6.8543030744004807E-2</v>
      </c>
      <c r="AF61" s="129">
        <f>SUM(T61:AE61)</f>
        <v>1</v>
      </c>
      <c r="AJ61" s="968">
        <v>44348</v>
      </c>
      <c r="AK61" s="128">
        <v>3027</v>
      </c>
      <c r="AL61" s="966">
        <f t="shared" si="2"/>
        <v>2034.4741080742406</v>
      </c>
      <c r="AM61" s="966"/>
    </row>
    <row r="62" spans="3:43">
      <c r="K62" s="133">
        <f>J60*K64</f>
        <v>1079.3441837018261</v>
      </c>
      <c r="L62" s="133">
        <f>K62*L64</f>
        <v>1458.3819354198581</v>
      </c>
      <c r="M62" s="133">
        <f>L62*M64</f>
        <v>1551.5516244961766</v>
      </c>
      <c r="N62" s="133">
        <f t="shared" ref="N62:O62" ca="1" si="62">$Q$31*N63</f>
        <v>1905.1867986577345</v>
      </c>
      <c r="O62" s="133">
        <f t="shared" ca="1" si="62"/>
        <v>2038.9568785475346</v>
      </c>
      <c r="P62" s="133">
        <f ca="1">$Q$31*P63</f>
        <v>2247.360152308147</v>
      </c>
      <c r="Q62" s="133">
        <f ca="1">SUM(E60:J60)+SUM(K62:P62)</f>
        <v>16952.781573131277</v>
      </c>
      <c r="AJ62" s="968">
        <v>44378</v>
      </c>
      <c r="AK62" s="128">
        <v>2843</v>
      </c>
      <c r="AL62" s="966">
        <f t="shared" si="2"/>
        <v>2070.6587568497498</v>
      </c>
      <c r="AM62" s="966"/>
    </row>
    <row r="63" spans="3:43">
      <c r="K63" s="424">
        <v>7.7752197625205577E-2</v>
      </c>
      <c r="L63" s="424">
        <v>0.10915196190635969</v>
      </c>
      <c r="M63" s="424">
        <v>9.0357518454620603E-2</v>
      </c>
      <c r="N63" s="424">
        <v>7.8864379457008207E-2</v>
      </c>
      <c r="O63" s="424">
        <v>8.4401733772005619E-2</v>
      </c>
      <c r="P63" s="424">
        <v>9.3028496708594879E-2</v>
      </c>
      <c r="AI63">
        <v>39</v>
      </c>
      <c r="AJ63" s="968">
        <v>44409</v>
      </c>
      <c r="AK63" s="128">
        <v>2728</v>
      </c>
      <c r="AL63" s="966">
        <f t="shared" si="2"/>
        <v>2075.0468943948313</v>
      </c>
      <c r="AM63" s="966"/>
    </row>
    <row r="64" spans="3:43">
      <c r="E64" s="130">
        <v>0.9963013406962361</v>
      </c>
      <c r="F64" s="130">
        <v>2.5600242088316012</v>
      </c>
      <c r="G64" s="130">
        <v>1.5455945318127373</v>
      </c>
      <c r="H64" s="130">
        <v>0.95163924533355104</v>
      </c>
      <c r="I64" s="130">
        <v>1.5957891213413866</v>
      </c>
      <c r="J64" s="130">
        <v>0.87716352288859412</v>
      </c>
      <c r="K64" s="130">
        <v>0.82645037036893265</v>
      </c>
      <c r="L64" s="130">
        <v>1.3511741272538724</v>
      </c>
      <c r="M64" s="130">
        <v>1.0638856576686104</v>
      </c>
      <c r="N64" s="130">
        <v>0.88481932777132999</v>
      </c>
      <c r="O64" s="130">
        <v>0.89533373492656987</v>
      </c>
      <c r="P64" s="130">
        <v>1.1149594197731434</v>
      </c>
      <c r="T64" s="129">
        <f t="shared" ref="T64:T71" si="63">E48/P47</f>
        <v>0.83898305084745761</v>
      </c>
      <c r="U64" s="129">
        <f t="shared" ref="U64:AE71" si="64">F48/E48</f>
        <v>1.1515151515151516</v>
      </c>
      <c r="V64" s="129">
        <f t="shared" si="64"/>
        <v>0.90350877192982459</v>
      </c>
      <c r="W64" s="129">
        <f t="shared" si="64"/>
        <v>1.0388349514563107</v>
      </c>
      <c r="X64" s="129">
        <f t="shared" si="64"/>
        <v>1.4205607476635513</v>
      </c>
      <c r="Y64" s="129">
        <f t="shared" si="64"/>
        <v>0.74342105263157898</v>
      </c>
      <c r="Z64" s="129">
        <f t="shared" si="64"/>
        <v>0.75221238938053092</v>
      </c>
      <c r="AA64" s="129">
        <f t="shared" si="64"/>
        <v>1.5411764705882354</v>
      </c>
      <c r="AB64" s="129">
        <f t="shared" si="64"/>
        <v>0.80152671755725191</v>
      </c>
      <c r="AC64" s="129">
        <f t="shared" si="64"/>
        <v>0.8666666666666667</v>
      </c>
      <c r="AD64" s="129">
        <f t="shared" si="64"/>
        <v>0.84615384615384615</v>
      </c>
      <c r="AE64" s="129">
        <f t="shared" si="64"/>
        <v>1.0779220779220779</v>
      </c>
      <c r="AJ64" s="968">
        <v>44440</v>
      </c>
      <c r="AK64" s="128">
        <v>2753</v>
      </c>
      <c r="AL64" s="966">
        <f t="shared" si="2"/>
        <v>2018.339521775338</v>
      </c>
      <c r="AM64" s="966"/>
    </row>
    <row r="65" spans="5:39">
      <c r="T65" s="129">
        <f t="shared" si="63"/>
        <v>1.4578313253012047</v>
      </c>
      <c r="U65" s="129">
        <f t="shared" si="64"/>
        <v>0.96694214876033058</v>
      </c>
      <c r="V65" s="129">
        <f t="shared" si="64"/>
        <v>1.0769230769230769</v>
      </c>
      <c r="W65" s="129">
        <f t="shared" si="64"/>
        <v>0.69841269841269837</v>
      </c>
      <c r="X65" s="129">
        <f t="shared" si="64"/>
        <v>1.1931818181818181</v>
      </c>
      <c r="Y65" s="129">
        <f t="shared" si="64"/>
        <v>0.88571428571428568</v>
      </c>
      <c r="Z65" s="129">
        <f t="shared" si="64"/>
        <v>0.63440860215053763</v>
      </c>
      <c r="AA65" s="129">
        <f t="shared" si="64"/>
        <v>1.7966101694915255</v>
      </c>
      <c r="AB65" s="129">
        <f t="shared" si="64"/>
        <v>0.74528301886792447</v>
      </c>
      <c r="AC65" s="129">
        <f t="shared" si="64"/>
        <v>0.84810126582278478</v>
      </c>
      <c r="AD65" s="129">
        <f t="shared" si="64"/>
        <v>0.73134328358208955</v>
      </c>
      <c r="AE65" s="129">
        <f t="shared" si="64"/>
        <v>0.81632653061224492</v>
      </c>
      <c r="AJ65" s="968">
        <v>44470</v>
      </c>
      <c r="AK65" s="128">
        <v>2990</v>
      </c>
      <c r="AL65" s="966">
        <f t="shared" si="2"/>
        <v>1799.3592349911207</v>
      </c>
      <c r="AM65" s="966"/>
    </row>
    <row r="66" spans="5:39">
      <c r="E66" t="s">
        <v>1561</v>
      </c>
      <c r="F66" t="s">
        <v>1610</v>
      </c>
      <c r="H66" s="128" t="s">
        <v>1260</v>
      </c>
      <c r="J66" s="128">
        <f>SUM(E60:J60)</f>
        <v>6672</v>
      </c>
      <c r="M66" t="s">
        <v>1559</v>
      </c>
      <c r="N66" t="s">
        <v>1611</v>
      </c>
      <c r="O66"/>
      <c r="P66" s="128" t="s">
        <v>1260</v>
      </c>
      <c r="Q66" s="128">
        <f ca="1">SUM(K60:P60)</f>
        <v>11581.340106813266</v>
      </c>
      <c r="T66" s="129">
        <f t="shared" si="63"/>
        <v>1.05</v>
      </c>
      <c r="U66" s="129">
        <f t="shared" si="64"/>
        <v>3.7619047619047619</v>
      </c>
      <c r="V66" s="129">
        <f t="shared" si="64"/>
        <v>0.84810126582278478</v>
      </c>
      <c r="W66" s="129">
        <f t="shared" si="64"/>
        <v>0.79104477611940294</v>
      </c>
      <c r="X66" s="129">
        <f t="shared" si="64"/>
        <v>1.5660377358490567</v>
      </c>
      <c r="Y66" s="129">
        <f t="shared" si="64"/>
        <v>0.71084337349397586</v>
      </c>
      <c r="Z66" s="129">
        <f t="shared" si="64"/>
        <v>1.4745762711864407</v>
      </c>
      <c r="AA66" s="129">
        <f t="shared" si="64"/>
        <v>0.64367816091954022</v>
      </c>
      <c r="AB66" s="129">
        <f t="shared" si="64"/>
        <v>2.6428571428571428</v>
      </c>
      <c r="AC66" s="129">
        <f t="shared" si="64"/>
        <v>1.0236486486486487</v>
      </c>
      <c r="AD66" s="129">
        <f t="shared" si="64"/>
        <v>0.81848184818481851</v>
      </c>
      <c r="AE66" s="129">
        <f t="shared" si="64"/>
        <v>0.16532258064516128</v>
      </c>
      <c r="AJ66" s="968">
        <v>44501</v>
      </c>
      <c r="AK66" s="128">
        <v>3128</v>
      </c>
      <c r="AL66" s="966">
        <f t="shared" si="2"/>
        <v>1871.4402868283739</v>
      </c>
      <c r="AM66" s="966"/>
    </row>
    <row r="67" spans="5:39">
      <c r="Q67" s="128">
        <f ca="1">SUM(K62:P62)</f>
        <v>10280.781573131277</v>
      </c>
      <c r="T67" s="129">
        <f t="shared" si="63"/>
        <v>0.36585365853658536</v>
      </c>
      <c r="U67" s="129">
        <f t="shared" si="64"/>
        <v>7.2666666666666666</v>
      </c>
      <c r="V67" s="129">
        <f t="shared" si="64"/>
        <v>4.4678899082568808</v>
      </c>
      <c r="W67" s="129">
        <f t="shared" si="64"/>
        <v>0.86036960985626287</v>
      </c>
      <c r="X67" s="129">
        <f t="shared" si="64"/>
        <v>1.7923627684964201</v>
      </c>
      <c r="Y67" s="129">
        <f t="shared" si="64"/>
        <v>0.74167776298268973</v>
      </c>
      <c r="Z67" s="129">
        <f t="shared" si="64"/>
        <v>0.60323159784560143</v>
      </c>
      <c r="AA67" s="129">
        <f t="shared" si="64"/>
        <v>2.0505952380952381</v>
      </c>
      <c r="AB67" s="129">
        <f t="shared" si="64"/>
        <v>1.0217706821480406</v>
      </c>
      <c r="AC67" s="129">
        <f t="shared" si="64"/>
        <v>0.78977272727272729</v>
      </c>
      <c r="AD67" s="129">
        <f t="shared" si="64"/>
        <v>0.73021582733812951</v>
      </c>
      <c r="AE67" s="129">
        <f t="shared" si="64"/>
        <v>1.0591133004926108</v>
      </c>
      <c r="AJ67" s="968">
        <v>44531</v>
      </c>
      <c r="AK67" s="128">
        <v>5797</v>
      </c>
      <c r="AL67" s="966">
        <f t="shared" si="2"/>
        <v>2448.2907910701119</v>
      </c>
      <c r="AM67" s="966"/>
    </row>
    <row r="68" spans="5:39">
      <c r="H68" s="128" t="s">
        <v>1614</v>
      </c>
      <c r="P68" s="128" t="s">
        <v>1614</v>
      </c>
      <c r="T68" s="129">
        <f t="shared" si="63"/>
        <v>1.1069767441860465</v>
      </c>
      <c r="U68" s="129">
        <f t="shared" si="64"/>
        <v>1.1323529411764706</v>
      </c>
      <c r="V68" s="129">
        <f t="shared" si="64"/>
        <v>1.0871985157699444</v>
      </c>
      <c r="W68" s="129">
        <f t="shared" si="64"/>
        <v>1.2662116040955631</v>
      </c>
      <c r="X68" s="129">
        <f t="shared" si="64"/>
        <v>2.2668463611859839</v>
      </c>
      <c r="Y68" s="129">
        <f t="shared" si="64"/>
        <v>1.0653983353151011</v>
      </c>
      <c r="Z68" s="129">
        <f t="shared" si="64"/>
        <v>0.68359375</v>
      </c>
      <c r="AA68" s="129">
        <f t="shared" si="64"/>
        <v>0.90612244897959182</v>
      </c>
      <c r="AB68" s="129">
        <f t="shared" si="64"/>
        <v>0.71081081081081077</v>
      </c>
      <c r="AC68" s="129">
        <f t="shared" si="64"/>
        <v>0.61850443599493032</v>
      </c>
      <c r="AD68" s="129">
        <f t="shared" si="64"/>
        <v>0.90163934426229508</v>
      </c>
      <c r="AE68" s="129">
        <f t="shared" si="64"/>
        <v>1.3363636363636364</v>
      </c>
      <c r="AJ68" s="968">
        <v>44562</v>
      </c>
      <c r="AK68" s="128">
        <v>3906</v>
      </c>
      <c r="AL68" s="966">
        <f t="shared" si="2"/>
        <v>2277.8071187268552</v>
      </c>
      <c r="AM68" s="966"/>
    </row>
    <row r="69" spans="5:39">
      <c r="H69" s="128" t="s">
        <v>1615</v>
      </c>
      <c r="P69" s="128" t="s">
        <v>1615</v>
      </c>
      <c r="T69" s="129">
        <f t="shared" si="63"/>
        <v>1.1581632653061225</v>
      </c>
      <c r="U69" s="129">
        <f t="shared" si="64"/>
        <v>1.0807635829662261</v>
      </c>
      <c r="V69" s="129">
        <f t="shared" si="64"/>
        <v>0.88994565217391308</v>
      </c>
      <c r="W69" s="129">
        <f t="shared" si="64"/>
        <v>1.0549618320610687</v>
      </c>
      <c r="X69" s="129">
        <f t="shared" si="64"/>
        <v>1.3357452966714907</v>
      </c>
      <c r="Y69" s="129">
        <f t="shared" si="64"/>
        <v>1.1159263271939328</v>
      </c>
      <c r="Z69" s="129">
        <f t="shared" si="64"/>
        <v>0.81067961165048541</v>
      </c>
      <c r="AA69" s="129">
        <f t="shared" si="64"/>
        <v>1.1688622754491018</v>
      </c>
      <c r="AB69" s="129">
        <f t="shared" si="64"/>
        <v>0.46106557377049179</v>
      </c>
      <c r="AC69" s="129">
        <f t="shared" si="64"/>
        <v>1.1622222222222223</v>
      </c>
      <c r="AD69" s="129">
        <f t="shared" si="64"/>
        <v>1.344168260038241</v>
      </c>
      <c r="AE69" s="129">
        <f t="shared" si="64"/>
        <v>2.2347083926031295</v>
      </c>
      <c r="AJ69" s="968">
        <v>44593</v>
      </c>
      <c r="AK69" s="128">
        <v>3109</v>
      </c>
      <c r="AL69" s="966">
        <f t="shared" si="2"/>
        <v>2090.817601349991</v>
      </c>
      <c r="AM69" s="966"/>
    </row>
    <row r="70" spans="5:39">
      <c r="H70" s="128" t="s">
        <v>1616</v>
      </c>
      <c r="T70" s="437">
        <f t="shared" si="63"/>
        <v>0.54360280076384471</v>
      </c>
      <c r="U70" s="437">
        <f t="shared" si="64"/>
        <v>0.8536299765807962</v>
      </c>
      <c r="V70" s="437">
        <f t="shared" si="64"/>
        <v>1.1028806584362141</v>
      </c>
      <c r="W70" s="437">
        <f t="shared" si="64"/>
        <v>1.342039800995025</v>
      </c>
      <c r="X70" s="437">
        <f t="shared" si="64"/>
        <v>1.6719184430027803</v>
      </c>
      <c r="Y70" s="437">
        <f t="shared" si="64"/>
        <v>0.77439024390243905</v>
      </c>
      <c r="Z70" s="437">
        <f t="shared" si="64"/>
        <v>0.50393700787401574</v>
      </c>
      <c r="AA70" s="437">
        <f t="shared" si="64"/>
        <v>0.85085227272727271</v>
      </c>
      <c r="AB70" s="437">
        <f t="shared" si="64"/>
        <v>0.57262103505843076</v>
      </c>
      <c r="AC70" s="437">
        <f t="shared" si="64"/>
        <v>1.0145772594752187</v>
      </c>
      <c r="AD70" s="437">
        <f t="shared" si="64"/>
        <v>2.0373563218390807</v>
      </c>
      <c r="AE70" s="437">
        <f t="shared" si="64"/>
        <v>1.6967559943582511</v>
      </c>
      <c r="AF70" t="s">
        <v>1618</v>
      </c>
      <c r="AJ70" s="968">
        <v>44621</v>
      </c>
      <c r="AK70" s="128">
        <v>4658</v>
      </c>
      <c r="AL70" s="966">
        <f t="shared" si="2"/>
        <v>2480.1789339178886</v>
      </c>
      <c r="AM70" s="966"/>
    </row>
    <row r="71" spans="5:39">
      <c r="T71" s="437">
        <f t="shared" si="63"/>
        <v>0.85120532003325022</v>
      </c>
      <c r="U71" s="437">
        <f t="shared" si="64"/>
        <v>1.1650390625</v>
      </c>
      <c r="V71" s="437">
        <f t="shared" si="64"/>
        <v>0.7544006705783739</v>
      </c>
      <c r="W71" s="437">
        <f t="shared" si="64"/>
        <v>0.90333333333333332</v>
      </c>
      <c r="X71" s="437">
        <f t="shared" si="64"/>
        <v>1.7773677736777367</v>
      </c>
      <c r="Y71" s="437">
        <f t="shared" si="64"/>
        <v>0.90380622837370239</v>
      </c>
      <c r="Z71" s="437">
        <f t="shared" si="64"/>
        <v>0.64777947932618685</v>
      </c>
      <c r="AA71" s="437">
        <f t="shared" si="64"/>
        <v>1.3486997635933806</v>
      </c>
      <c r="AB71" s="437">
        <f t="shared" si="64"/>
        <v>0.75284837861524978</v>
      </c>
      <c r="AC71" s="437">
        <f t="shared" si="64"/>
        <v>0.7660069848661234</v>
      </c>
      <c r="AD71" s="437">
        <f t="shared" si="64"/>
        <v>1.0258358662613982</v>
      </c>
      <c r="AE71" s="437">
        <f t="shared" si="64"/>
        <v>1.4237037037037037</v>
      </c>
      <c r="AJ71" s="968">
        <v>44652</v>
      </c>
      <c r="AK71" s="128">
        <v>3039</v>
      </c>
      <c r="AL71" s="966">
        <f t="shared" si="2"/>
        <v>2739.3571274077935</v>
      </c>
      <c r="AM71" s="966"/>
    </row>
    <row r="72" spans="5:39">
      <c r="E72" t="s">
        <v>1619</v>
      </c>
      <c r="F72" t="s">
        <v>1610</v>
      </c>
      <c r="H72" s="128" t="s">
        <v>1260</v>
      </c>
      <c r="J72" s="128">
        <f>J37+J66</f>
        <v>17772</v>
      </c>
      <c r="M72" t="s">
        <v>1559</v>
      </c>
      <c r="N72" t="s">
        <v>1611</v>
      </c>
      <c r="O72"/>
      <c r="P72" s="128" t="s">
        <v>1260</v>
      </c>
      <c r="Q72" s="128">
        <f ca="1">Q37+Q66</f>
        <v>24470.865176206382</v>
      </c>
      <c r="S72" t="s">
        <v>1606</v>
      </c>
      <c r="T72" s="130">
        <f>AVERAGE(T68:T71)</f>
        <v>0.91498703257231606</v>
      </c>
      <c r="U72" s="130">
        <f t="shared" ref="U72:AE72" si="65">AVERAGE(U68:U71)</f>
        <v>1.0579463908058733</v>
      </c>
      <c r="V72" s="130">
        <f t="shared" si="65"/>
        <v>0.95860637423961137</v>
      </c>
      <c r="W72" s="130">
        <f t="shared" si="65"/>
        <v>1.1416366426212474</v>
      </c>
      <c r="X72" s="130">
        <f t="shared" si="65"/>
        <v>1.7629694686344979</v>
      </c>
      <c r="Y72" s="130">
        <f t="shared" si="65"/>
        <v>0.96488028369629386</v>
      </c>
      <c r="Z72" s="130">
        <f t="shared" si="65"/>
        <v>0.66149746221267192</v>
      </c>
      <c r="AA72" s="130">
        <f t="shared" si="65"/>
        <v>1.0686341901873366</v>
      </c>
      <c r="AB72" s="130">
        <f t="shared" si="65"/>
        <v>0.62433644956374579</v>
      </c>
      <c r="AC72" s="130">
        <f t="shared" si="65"/>
        <v>0.8903277256396237</v>
      </c>
      <c r="AD72" s="130">
        <f t="shared" si="65"/>
        <v>1.3272499481002538</v>
      </c>
      <c r="AE72" s="130">
        <f t="shared" si="65"/>
        <v>1.6728829317571803</v>
      </c>
      <c r="AJ72" s="968">
        <v>44682</v>
      </c>
      <c r="AK72" s="128">
        <v>2571</v>
      </c>
      <c r="AL72" s="966">
        <f t="shared" ref="AL72:AL123" si="66">_xlfn.FORECAST.ETS(AJ72,$AK$7:$AK$110,$AJ$7:$AJ$110,12,1,1)</f>
        <v>2360.0640397267275</v>
      </c>
      <c r="AM72" s="966"/>
    </row>
    <row r="73" spans="5:39">
      <c r="Q73" s="128">
        <f ca="1">Q38+Q67</f>
        <v>23316.543242875814</v>
      </c>
      <c r="T73" s="130">
        <f>MEDIAN(T68:T71)</f>
        <v>0.97909103210964843</v>
      </c>
      <c r="U73" s="130">
        <f t="shared" ref="U73:AE73" si="67">MEDIAN(U68:U71)</f>
        <v>1.1065582620713483</v>
      </c>
      <c r="V73" s="130">
        <f t="shared" si="67"/>
        <v>0.98857208397192875</v>
      </c>
      <c r="W73" s="130">
        <f t="shared" si="67"/>
        <v>1.1605867180783158</v>
      </c>
      <c r="X73" s="130">
        <f t="shared" si="67"/>
        <v>1.7246431083402585</v>
      </c>
      <c r="Y73" s="130">
        <f t="shared" si="67"/>
        <v>0.98460228184440179</v>
      </c>
      <c r="Z73" s="130">
        <f t="shared" si="67"/>
        <v>0.66568661466309342</v>
      </c>
      <c r="AA73" s="130">
        <f t="shared" si="67"/>
        <v>1.0374923622143468</v>
      </c>
      <c r="AB73" s="130">
        <f t="shared" si="67"/>
        <v>0.64171592293462076</v>
      </c>
      <c r="AC73" s="130">
        <f t="shared" si="67"/>
        <v>0.890292122170671</v>
      </c>
      <c r="AD73" s="130">
        <f t="shared" si="67"/>
        <v>1.1850020631498195</v>
      </c>
      <c r="AE73" s="130">
        <f t="shared" si="67"/>
        <v>1.5602298490309774</v>
      </c>
      <c r="AJ73" s="968">
        <v>44713</v>
      </c>
      <c r="AK73" s="128">
        <v>2137</v>
      </c>
      <c r="AL73" s="966">
        <f t="shared" si="66"/>
        <v>2274.6271080969286</v>
      </c>
      <c r="AM73" s="966"/>
    </row>
    <row r="74" spans="5:39">
      <c r="H74" s="128" t="s">
        <v>1614</v>
      </c>
      <c r="J74" s="128">
        <v>3143866816</v>
      </c>
      <c r="P74" s="128" t="s">
        <v>1614</v>
      </c>
      <c r="Q74" s="128">
        <f ca="1">Q76*(Q72+Q73)/2</f>
        <v>4226796274.6678205</v>
      </c>
      <c r="S74" s="128"/>
      <c r="T74" s="129"/>
      <c r="U74" s="129"/>
      <c r="V74" s="129"/>
      <c r="W74" s="129"/>
      <c r="X74" s="129"/>
      <c r="Y74" s="129"/>
      <c r="Z74" s="129"/>
      <c r="AA74" s="129"/>
      <c r="AB74" s="129"/>
      <c r="AC74" s="129"/>
      <c r="AD74" s="129"/>
      <c r="AE74" s="129"/>
      <c r="AJ74" s="968">
        <v>44743</v>
      </c>
      <c r="AK74" s="128">
        <v>2232</v>
      </c>
      <c r="AL74" s="966">
        <f t="shared" si="66"/>
        <v>2310.8117568724379</v>
      </c>
      <c r="AM74" s="966"/>
    </row>
    <row r="75" spans="5:39">
      <c r="H75" s="128" t="s">
        <v>1615</v>
      </c>
      <c r="J75" s="128">
        <v>549356577</v>
      </c>
      <c r="P75" s="128" t="s">
        <v>1615</v>
      </c>
      <c r="Q75" s="128">
        <f ca="1">Q74*Q77</f>
        <v>739689348.06686854</v>
      </c>
      <c r="S75" s="128"/>
      <c r="T75" s="129"/>
      <c r="U75" s="129"/>
      <c r="V75" s="129"/>
      <c r="W75" s="129"/>
      <c r="X75" s="129"/>
      <c r="Y75" s="129"/>
      <c r="Z75" s="129"/>
      <c r="AA75" s="129"/>
      <c r="AB75" s="129"/>
      <c r="AC75" s="129"/>
      <c r="AD75" s="129"/>
      <c r="AE75" s="129"/>
      <c r="AI75">
        <v>40</v>
      </c>
      <c r="AJ75" s="968">
        <v>44774</v>
      </c>
      <c r="AK75" s="128">
        <v>1856</v>
      </c>
      <c r="AL75" s="966">
        <f t="shared" si="66"/>
        <v>2315.1998944175189</v>
      </c>
      <c r="AM75" s="966">
        <f t="shared" ref="AM75:AM132" si="68">_xlfn.FORECAST.ETS($AJ75,$AK$75:$AK$110,$AJ$75:$AJ$110,12,1,1)</f>
        <v>2600.628338007275</v>
      </c>
    </row>
    <row r="76" spans="5:39">
      <c r="H76" s="128" t="s">
        <v>1616</v>
      </c>
      <c r="J76" s="128">
        <f>J74/J72</f>
        <v>176900.00090029259</v>
      </c>
      <c r="Q76" s="425">
        <v>176900</v>
      </c>
      <c r="T76" s="129"/>
      <c r="U76" s="129"/>
      <c r="V76" s="129"/>
      <c r="W76" s="129"/>
      <c r="X76" s="129"/>
      <c r="Y76" s="129"/>
      <c r="Z76" s="129"/>
      <c r="AA76" s="129"/>
      <c r="AB76" s="129"/>
      <c r="AC76" s="129"/>
      <c r="AD76" s="129"/>
      <c r="AE76" s="129"/>
      <c r="AJ76" s="968">
        <v>44805</v>
      </c>
      <c r="AK76" s="128">
        <v>1458</v>
      </c>
      <c r="AL76" s="966">
        <f t="shared" si="66"/>
        <v>2258.4925217980253</v>
      </c>
      <c r="AM76" s="966">
        <f t="shared" si="68"/>
        <v>2236.2782417931217</v>
      </c>
    </row>
    <row r="77" spans="5:39">
      <c r="H77" s="128" t="s">
        <v>1620</v>
      </c>
      <c r="J77" s="129">
        <f>J75/J74</f>
        <v>0.17473913786810999</v>
      </c>
      <c r="Q77" s="437">
        <v>0.17499999999999999</v>
      </c>
      <c r="T77" s="129"/>
      <c r="U77" s="129"/>
      <c r="V77" s="129"/>
      <c r="W77" s="129"/>
      <c r="X77" s="129"/>
      <c r="Y77" s="129"/>
      <c r="Z77" s="129"/>
      <c r="AA77" s="129"/>
      <c r="AB77" s="129"/>
      <c r="AC77" s="129"/>
      <c r="AD77" s="129"/>
      <c r="AE77" s="129"/>
      <c r="AJ77" s="968">
        <v>44835</v>
      </c>
      <c r="AK77" s="128">
        <v>1338</v>
      </c>
      <c r="AL77" s="966">
        <f t="shared" si="66"/>
        <v>2039.5122350138083</v>
      </c>
      <c r="AM77" s="966">
        <f t="shared" si="68"/>
        <v>2098.1400458996013</v>
      </c>
    </row>
    <row r="78" spans="5:39">
      <c r="T78" s="129"/>
      <c r="U78" s="129"/>
      <c r="V78" s="129"/>
      <c r="W78" s="129"/>
      <c r="X78" s="129"/>
      <c r="Y78" s="129"/>
      <c r="Z78" s="129"/>
      <c r="AA78" s="129"/>
      <c r="AB78" s="129"/>
      <c r="AC78" s="129"/>
      <c r="AD78" s="129"/>
      <c r="AE78" s="129"/>
      <c r="AJ78" s="968">
        <v>44866</v>
      </c>
      <c r="AK78" s="128">
        <v>1124</v>
      </c>
      <c r="AL78" s="966">
        <f t="shared" si="66"/>
        <v>2111.5932868510613</v>
      </c>
      <c r="AM78" s="966">
        <f t="shared" si="68"/>
        <v>2174.6915231865555</v>
      </c>
    </row>
    <row r="79" spans="5:39">
      <c r="T79" s="129"/>
      <c r="U79" s="129"/>
      <c r="V79" s="129"/>
      <c r="W79" s="129"/>
      <c r="X79" s="129"/>
      <c r="Y79" s="129"/>
      <c r="Z79" s="129"/>
      <c r="AA79" s="129"/>
      <c r="AB79" s="129"/>
      <c r="AC79" s="129"/>
      <c r="AD79" s="129"/>
      <c r="AE79" s="129"/>
      <c r="AJ79" s="968">
        <v>44896</v>
      </c>
      <c r="AK79" s="128">
        <v>1717</v>
      </c>
      <c r="AL79" s="966">
        <f t="shared" si="66"/>
        <v>2688.4437910928</v>
      </c>
      <c r="AM79" s="966">
        <f t="shared" si="68"/>
        <v>3060.2184661160381</v>
      </c>
    </row>
    <row r="80" spans="5:39">
      <c r="T80" s="129"/>
      <c r="U80" s="129"/>
      <c r="V80" s="129"/>
      <c r="W80" s="129"/>
      <c r="X80" s="129"/>
      <c r="Y80" s="129"/>
      <c r="Z80" s="129"/>
      <c r="AA80" s="129"/>
      <c r="AB80" s="129"/>
      <c r="AC80" s="129"/>
      <c r="AD80" s="129"/>
      <c r="AE80" s="129"/>
      <c r="AJ80" s="968">
        <v>44927</v>
      </c>
      <c r="AK80" s="128">
        <v>1513</v>
      </c>
      <c r="AL80" s="966">
        <f t="shared" si="66"/>
        <v>2517.9601187495432</v>
      </c>
      <c r="AM80" s="966">
        <f t="shared" si="68"/>
        <v>2734.8437627426965</v>
      </c>
    </row>
    <row r="81" spans="1:41">
      <c r="A81" s="645"/>
      <c r="B81" s="645"/>
      <c r="C81" s="645"/>
      <c r="D81" s="645"/>
      <c r="E81" s="1194" t="s">
        <v>1245</v>
      </c>
      <c r="F81" s="1194" t="s">
        <v>1246</v>
      </c>
      <c r="G81" s="1194" t="s">
        <v>1247</v>
      </c>
      <c r="H81" s="1194" t="s">
        <v>1248</v>
      </c>
      <c r="I81" s="1194" t="s">
        <v>1249</v>
      </c>
      <c r="J81" s="1194" t="s">
        <v>1250</v>
      </c>
      <c r="K81" s="1194" t="s">
        <v>1251</v>
      </c>
      <c r="L81" s="1194" t="s">
        <v>1252</v>
      </c>
      <c r="M81" s="1194" t="s">
        <v>1253</v>
      </c>
      <c r="N81" s="1194" t="s">
        <v>1254</v>
      </c>
      <c r="O81" s="1194" t="s">
        <v>1255</v>
      </c>
      <c r="P81" s="1194" t="s">
        <v>1256</v>
      </c>
      <c r="Q81" s="1195"/>
      <c r="R81" s="645"/>
      <c r="S81" s="645"/>
      <c r="T81" s="1194" t="s">
        <v>1245</v>
      </c>
      <c r="U81" s="1194" t="s">
        <v>1246</v>
      </c>
      <c r="V81" s="1194" t="s">
        <v>1247</v>
      </c>
      <c r="W81" s="1194" t="s">
        <v>1248</v>
      </c>
      <c r="X81" s="1194" t="s">
        <v>1249</v>
      </c>
      <c r="Y81" s="1194" t="s">
        <v>1250</v>
      </c>
      <c r="Z81" s="1194" t="s">
        <v>1251</v>
      </c>
      <c r="AA81" s="1194" t="s">
        <v>1252</v>
      </c>
      <c r="AB81" s="1194" t="s">
        <v>1253</v>
      </c>
      <c r="AC81" s="1194" t="s">
        <v>1254</v>
      </c>
      <c r="AD81" s="1194" t="s">
        <v>1255</v>
      </c>
      <c r="AE81" s="1194" t="s">
        <v>1256</v>
      </c>
      <c r="AF81" s="645"/>
      <c r="AJ81" s="968">
        <v>44958</v>
      </c>
      <c r="AK81" s="128">
        <v>1053</v>
      </c>
      <c r="AL81" s="966">
        <f t="shared" si="66"/>
        <v>2330.9706013726791</v>
      </c>
      <c r="AM81" s="966">
        <f t="shared" si="68"/>
        <v>2280.2036644146392</v>
      </c>
    </row>
    <row r="82" spans="1:41">
      <c r="A82" t="s">
        <v>1258</v>
      </c>
      <c r="B82" s="127" t="s">
        <v>1562</v>
      </c>
      <c r="C82">
        <v>34</v>
      </c>
      <c r="D82" t="s">
        <v>1577</v>
      </c>
      <c r="J82" s="128">
        <v>1033</v>
      </c>
      <c r="K82" s="128">
        <v>1094</v>
      </c>
      <c r="L82" s="128">
        <v>1747</v>
      </c>
      <c r="M82" s="128">
        <v>1394</v>
      </c>
      <c r="N82" s="128">
        <v>1084</v>
      </c>
      <c r="O82" s="128">
        <v>884</v>
      </c>
      <c r="P82" s="128">
        <v>1200</v>
      </c>
      <c r="Q82" s="128">
        <f t="shared" ref="Q82:Q90" si="69">SUM(E82:P82)</f>
        <v>8436</v>
      </c>
      <c r="AJ82" s="968">
        <v>44986</v>
      </c>
      <c r="AK82" s="128">
        <v>2946</v>
      </c>
      <c r="AL82" s="966">
        <f t="shared" si="66"/>
        <v>2720.3319339405766</v>
      </c>
      <c r="AM82" s="966">
        <f t="shared" si="68"/>
        <v>3335.9044485200975</v>
      </c>
    </row>
    <row r="83" spans="1:41">
      <c r="B83" s="127" t="s">
        <v>1395</v>
      </c>
      <c r="C83">
        <v>35</v>
      </c>
      <c r="D83" t="s">
        <v>1579</v>
      </c>
      <c r="E83" s="128">
        <v>1089</v>
      </c>
      <c r="F83" s="128">
        <v>1279</v>
      </c>
      <c r="G83" s="128">
        <v>1075</v>
      </c>
      <c r="H83" s="128">
        <v>1019</v>
      </c>
      <c r="I83" s="128">
        <v>1440</v>
      </c>
      <c r="J83" s="128">
        <v>1315</v>
      </c>
      <c r="K83" s="128">
        <v>979</v>
      </c>
      <c r="L83" s="128">
        <v>1523</v>
      </c>
      <c r="M83" s="128">
        <v>1190</v>
      </c>
      <c r="N83" s="128">
        <v>1090</v>
      </c>
      <c r="O83" s="128">
        <v>675</v>
      </c>
      <c r="P83" s="128">
        <v>809</v>
      </c>
      <c r="Q83" s="128">
        <f t="shared" si="69"/>
        <v>13483</v>
      </c>
      <c r="T83" s="129">
        <f t="shared" ref="T83:AE90" si="70">E83/$Q83</f>
        <v>8.0768374990729072E-2</v>
      </c>
      <c r="U83" s="129">
        <f t="shared" si="70"/>
        <v>9.4860194318771782E-2</v>
      </c>
      <c r="V83" s="129">
        <f t="shared" si="70"/>
        <v>7.9730030408662764E-2</v>
      </c>
      <c r="W83" s="129">
        <f t="shared" si="70"/>
        <v>7.5576652080397544E-2</v>
      </c>
      <c r="X83" s="129">
        <f t="shared" si="70"/>
        <v>0.1068011570125343</v>
      </c>
      <c r="Y83" s="129">
        <f t="shared" si="70"/>
        <v>9.753022324408514E-2</v>
      </c>
      <c r="Z83" s="129">
        <f t="shared" si="70"/>
        <v>7.2609953274493808E-2</v>
      </c>
      <c r="AA83" s="129">
        <f t="shared" si="70"/>
        <v>0.11295705703478455</v>
      </c>
      <c r="AB83" s="129">
        <f t="shared" si="70"/>
        <v>8.825928947563598E-2</v>
      </c>
      <c r="AC83" s="129">
        <f t="shared" si="70"/>
        <v>8.084254246087666E-2</v>
      </c>
      <c r="AD83" s="129">
        <f t="shared" si="70"/>
        <v>5.0063042349625456E-2</v>
      </c>
      <c r="AE83" s="129">
        <f t="shared" si="70"/>
        <v>6.0001483349402952E-2</v>
      </c>
      <c r="AJ83" s="968">
        <v>45017</v>
      </c>
      <c r="AK83" s="128">
        <v>2746</v>
      </c>
      <c r="AL83" s="966">
        <f t="shared" si="66"/>
        <v>2979.5101274304816</v>
      </c>
      <c r="AM83" s="966">
        <f t="shared" si="68"/>
        <v>2694.0620499872034</v>
      </c>
    </row>
    <row r="84" spans="1:41">
      <c r="C84">
        <v>36</v>
      </c>
      <c r="D84" t="s">
        <v>1582</v>
      </c>
      <c r="E84" s="128">
        <v>746</v>
      </c>
      <c r="F84" s="128">
        <v>721</v>
      </c>
      <c r="G84" s="128">
        <v>721</v>
      </c>
      <c r="H84" s="128">
        <v>781</v>
      </c>
      <c r="I84" s="128">
        <v>939</v>
      </c>
      <c r="J84" s="128">
        <v>975</v>
      </c>
      <c r="K84" s="128">
        <v>1082</v>
      </c>
      <c r="L84" s="128">
        <v>1579</v>
      </c>
      <c r="M84" s="128">
        <v>1317</v>
      </c>
      <c r="N84" s="128">
        <v>847</v>
      </c>
      <c r="O84" s="128">
        <v>934</v>
      </c>
      <c r="P84" s="128">
        <v>879</v>
      </c>
      <c r="Q84" s="128">
        <f t="shared" si="69"/>
        <v>11521</v>
      </c>
      <c r="T84" s="129">
        <f t="shared" si="70"/>
        <v>6.4751323669820324E-2</v>
      </c>
      <c r="U84" s="129">
        <f t="shared" si="70"/>
        <v>6.2581373144692296E-2</v>
      </c>
      <c r="V84" s="129">
        <f t="shared" si="70"/>
        <v>6.2581373144692296E-2</v>
      </c>
      <c r="W84" s="129">
        <f t="shared" si="70"/>
        <v>6.7789254404999569E-2</v>
      </c>
      <c r="X84" s="129">
        <f t="shared" si="70"/>
        <v>8.15033417238087E-2</v>
      </c>
      <c r="Y84" s="129">
        <f t="shared" si="70"/>
        <v>8.4628070479993059E-2</v>
      </c>
      <c r="Z84" s="129">
        <f t="shared" si="70"/>
        <v>9.3915458727541007E-2</v>
      </c>
      <c r="AA84" s="129">
        <f t="shared" si="70"/>
        <v>0.1370540751670862</v>
      </c>
      <c r="AB84" s="129">
        <f t="shared" si="70"/>
        <v>0.11431299366374446</v>
      </c>
      <c r="AC84" s="129">
        <f t="shared" si="70"/>
        <v>7.3517923791337564E-2</v>
      </c>
      <c r="AD84" s="129">
        <f t="shared" si="70"/>
        <v>8.1069351618783092E-2</v>
      </c>
      <c r="AE84" s="129">
        <f t="shared" si="70"/>
        <v>7.6295460463501427E-2</v>
      </c>
      <c r="AJ84" s="968">
        <v>45047</v>
      </c>
      <c r="AK84" s="128">
        <v>2281</v>
      </c>
      <c r="AL84" s="966">
        <f t="shared" si="66"/>
        <v>2600.2170397494156</v>
      </c>
      <c r="AM84" s="966">
        <f t="shared" si="68"/>
        <v>2217.7373543628605</v>
      </c>
    </row>
    <row r="85" spans="1:41">
      <c r="C85">
        <v>37</v>
      </c>
      <c r="D85" t="s">
        <v>1585</v>
      </c>
      <c r="E85" s="128">
        <v>711</v>
      </c>
      <c r="F85" s="128">
        <v>972</v>
      </c>
      <c r="G85" s="128">
        <v>789</v>
      </c>
      <c r="H85" s="128">
        <v>1043</v>
      </c>
      <c r="I85" s="128">
        <v>1367</v>
      </c>
      <c r="J85" s="128">
        <v>732</v>
      </c>
      <c r="K85" s="128">
        <v>632</v>
      </c>
      <c r="L85" s="128">
        <v>652</v>
      </c>
      <c r="M85" s="128">
        <v>681</v>
      </c>
      <c r="N85" s="128">
        <v>341</v>
      </c>
      <c r="O85" s="128">
        <v>889</v>
      </c>
      <c r="P85" s="128">
        <v>928</v>
      </c>
      <c r="Q85" s="128">
        <f t="shared" si="69"/>
        <v>9737</v>
      </c>
      <c r="T85" s="129">
        <f t="shared" si="70"/>
        <v>7.3020437506418817E-2</v>
      </c>
      <c r="U85" s="129">
        <f t="shared" si="70"/>
        <v>9.9825408236623184E-2</v>
      </c>
      <c r="V85" s="129">
        <f t="shared" si="70"/>
        <v>8.1031118414295986E-2</v>
      </c>
      <c r="W85" s="129">
        <f t="shared" si="70"/>
        <v>0.10711718188353703</v>
      </c>
      <c r="X85" s="129">
        <f t="shared" si="70"/>
        <v>0.14039231796241142</v>
      </c>
      <c r="Y85" s="129">
        <f t="shared" si="70"/>
        <v>7.517715928930882E-2</v>
      </c>
      <c r="Z85" s="129">
        <f t="shared" si="70"/>
        <v>6.4907055561261168E-2</v>
      </c>
      <c r="AA85" s="129">
        <f t="shared" si="70"/>
        <v>6.6961076306870704E-2</v>
      </c>
      <c r="AB85" s="129">
        <f t="shared" si="70"/>
        <v>6.9939406388004513E-2</v>
      </c>
      <c r="AC85" s="129">
        <f t="shared" si="70"/>
        <v>3.5021053712642497E-2</v>
      </c>
      <c r="AD85" s="129">
        <f t="shared" si="70"/>
        <v>9.1301222142343638E-2</v>
      </c>
      <c r="AE85" s="129">
        <f t="shared" si="70"/>
        <v>9.5306562596282229E-2</v>
      </c>
      <c r="AJ85" s="968">
        <v>45078</v>
      </c>
      <c r="AK85" s="128">
        <v>2275</v>
      </c>
      <c r="AL85" s="966">
        <f t="shared" si="66"/>
        <v>2514.7801081196167</v>
      </c>
      <c r="AM85" s="966">
        <f t="shared" si="68"/>
        <v>2524.4073788209244</v>
      </c>
    </row>
    <row r="86" spans="1:41">
      <c r="C86">
        <v>38</v>
      </c>
      <c r="D86" t="s">
        <v>1588</v>
      </c>
      <c r="E86" s="128">
        <v>839</v>
      </c>
      <c r="F86" s="128">
        <v>952</v>
      </c>
      <c r="G86" s="128">
        <v>933</v>
      </c>
      <c r="H86" s="128">
        <v>903</v>
      </c>
      <c r="I86" s="128">
        <v>1702</v>
      </c>
      <c r="J86" s="128">
        <v>1954</v>
      </c>
      <c r="K86" s="128">
        <v>1593</v>
      </c>
      <c r="L86" s="128">
        <v>1839</v>
      </c>
      <c r="M86" s="128">
        <v>976</v>
      </c>
      <c r="N86" s="128">
        <v>568</v>
      </c>
      <c r="O86" s="128">
        <v>673</v>
      </c>
      <c r="P86" s="128">
        <v>975</v>
      </c>
      <c r="Q86" s="128">
        <f t="shared" si="69"/>
        <v>13907</v>
      </c>
      <c r="T86" s="129">
        <f t="shared" si="70"/>
        <v>6.0329330552958943E-2</v>
      </c>
      <c r="U86" s="129">
        <f t="shared" si="70"/>
        <v>6.8454735025526708E-2</v>
      </c>
      <c r="V86" s="129">
        <f t="shared" si="70"/>
        <v>6.7088516574386997E-2</v>
      </c>
      <c r="W86" s="129">
        <f t="shared" si="70"/>
        <v>6.4931329546271663E-2</v>
      </c>
      <c r="X86" s="129">
        <f t="shared" si="70"/>
        <v>0.12238441072841015</v>
      </c>
      <c r="Y86" s="129">
        <f t="shared" si="70"/>
        <v>0.14050478176457898</v>
      </c>
      <c r="Z86" s="129">
        <f t="shared" si="70"/>
        <v>0.11454663119292442</v>
      </c>
      <c r="AA86" s="129">
        <f t="shared" si="70"/>
        <v>0.13223556482347021</v>
      </c>
      <c r="AB86" s="129">
        <f t="shared" si="70"/>
        <v>7.0180484648018987E-2</v>
      </c>
      <c r="AC86" s="129">
        <f t="shared" si="70"/>
        <v>4.084274106565039E-2</v>
      </c>
      <c r="AD86" s="129">
        <f t="shared" si="70"/>
        <v>4.8392895664054074E-2</v>
      </c>
      <c r="AE86" s="129">
        <f t="shared" si="70"/>
        <v>7.0108578413748471E-2</v>
      </c>
      <c r="AJ86" s="968">
        <v>45108</v>
      </c>
      <c r="AK86" s="128">
        <v>2939</v>
      </c>
      <c r="AL86" s="966">
        <f t="shared" si="66"/>
        <v>2550.9647568951259</v>
      </c>
      <c r="AM86" s="966">
        <f t="shared" si="68"/>
        <v>3413.1925427155857</v>
      </c>
    </row>
    <row r="87" spans="1:41">
      <c r="C87">
        <v>39</v>
      </c>
      <c r="D87" t="s">
        <v>1591</v>
      </c>
      <c r="E87" s="128">
        <v>805</v>
      </c>
      <c r="F87" s="128">
        <v>1245</v>
      </c>
      <c r="G87" s="128">
        <v>1676</v>
      </c>
      <c r="H87" s="128">
        <v>1485</v>
      </c>
      <c r="I87" s="128">
        <v>2683</v>
      </c>
      <c r="J87" s="128">
        <v>2426</v>
      </c>
      <c r="K87" s="128">
        <v>1717</v>
      </c>
      <c r="L87" s="128">
        <v>2833</v>
      </c>
      <c r="M87" s="128">
        <v>1499</v>
      </c>
      <c r="N87" s="128">
        <v>944</v>
      </c>
      <c r="O87" s="128">
        <v>1115</v>
      </c>
      <c r="P87" s="128">
        <v>1016</v>
      </c>
      <c r="Q87" s="128">
        <f t="shared" si="69"/>
        <v>19444</v>
      </c>
      <c r="T87" s="129">
        <f t="shared" si="70"/>
        <v>4.1400946307344165E-2</v>
      </c>
      <c r="U87" s="129">
        <f t="shared" si="70"/>
        <v>6.4030034972227937E-2</v>
      </c>
      <c r="V87" s="129">
        <f t="shared" si="70"/>
        <v>8.61962559144209E-2</v>
      </c>
      <c r="W87" s="129">
        <f t="shared" si="70"/>
        <v>7.6373174243982725E-2</v>
      </c>
      <c r="X87" s="129">
        <f t="shared" si="70"/>
        <v>0.13798601110882536</v>
      </c>
      <c r="Y87" s="129">
        <f t="shared" si="70"/>
        <v>0.1247685661386546</v>
      </c>
      <c r="Z87" s="129">
        <f t="shared" si="70"/>
        <v>8.8304875540012345E-2</v>
      </c>
      <c r="AA87" s="129">
        <f t="shared" si="70"/>
        <v>0.14570047315367207</v>
      </c>
      <c r="AB87" s="129">
        <f t="shared" si="70"/>
        <v>7.7093190701501751E-2</v>
      </c>
      <c r="AC87" s="129">
        <f t="shared" si="70"/>
        <v>4.854968113556881E-2</v>
      </c>
      <c r="AD87" s="129">
        <f t="shared" si="70"/>
        <v>5.7344167866694093E-2</v>
      </c>
      <c r="AE87" s="129">
        <f t="shared" si="70"/>
        <v>5.2252622917095246E-2</v>
      </c>
      <c r="AI87">
        <v>41</v>
      </c>
      <c r="AJ87" s="968">
        <v>45139</v>
      </c>
      <c r="AK87" s="128">
        <v>2302</v>
      </c>
      <c r="AL87" s="966">
        <f t="shared" si="66"/>
        <v>2555.3528944402069</v>
      </c>
      <c r="AM87" s="966">
        <f t="shared" si="68"/>
        <v>2722.4722347784814</v>
      </c>
      <c r="AN87" s="966">
        <f>_xlfn.FORECAST.ETS($AJ87,$AK$87:$AK$110,$AJ$87:$AJ$110,12,1,1)</f>
        <v>2827.2633926443054</v>
      </c>
      <c r="AO87" s="128">
        <v>2302</v>
      </c>
    </row>
    <row r="88" spans="1:41">
      <c r="C88">
        <v>40</v>
      </c>
      <c r="D88" t="s">
        <v>1594</v>
      </c>
      <c r="E88" s="128">
        <v>1022</v>
      </c>
      <c r="F88" s="128">
        <v>1232</v>
      </c>
      <c r="G88" s="128">
        <v>1095</v>
      </c>
      <c r="H88" s="128">
        <v>1069</v>
      </c>
      <c r="I88" s="128">
        <v>1506</v>
      </c>
      <c r="J88" s="128">
        <v>1577</v>
      </c>
      <c r="K88" s="128">
        <v>1353</v>
      </c>
      <c r="L88" s="128">
        <v>1670</v>
      </c>
      <c r="M88" s="128">
        <v>959</v>
      </c>
      <c r="N88" s="128">
        <v>492</v>
      </c>
      <c r="O88" s="128">
        <v>469</v>
      </c>
      <c r="P88" s="128">
        <v>410</v>
      </c>
      <c r="Q88" s="128">
        <f t="shared" si="69"/>
        <v>12854</v>
      </c>
      <c r="T88" s="129">
        <f t="shared" si="70"/>
        <v>7.9508324257040616E-2</v>
      </c>
      <c r="U88" s="129">
        <f t="shared" si="70"/>
        <v>9.5845651159172249E-2</v>
      </c>
      <c r="V88" s="129">
        <f t="shared" si="70"/>
        <v>8.5187490275400651E-2</v>
      </c>
      <c r="W88" s="129">
        <f t="shared" si="70"/>
        <v>8.3164773611327208E-2</v>
      </c>
      <c r="X88" s="129">
        <f t="shared" si="70"/>
        <v>0.11716197292671542</v>
      </c>
      <c r="Y88" s="129">
        <f t="shared" si="70"/>
        <v>0.12268554535553135</v>
      </c>
      <c r="Z88" s="129">
        <f t="shared" si="70"/>
        <v>0.10525906332659095</v>
      </c>
      <c r="AA88" s="129">
        <f t="shared" si="70"/>
        <v>0.1299206472693325</v>
      </c>
      <c r="AB88" s="129">
        <f t="shared" si="70"/>
        <v>7.4607126186401126E-2</v>
      </c>
      <c r="AC88" s="129">
        <f t="shared" si="70"/>
        <v>3.8276023027851255E-2</v>
      </c>
      <c r="AD88" s="129">
        <f t="shared" si="70"/>
        <v>3.6486696748093982E-2</v>
      </c>
      <c r="AE88" s="129">
        <f t="shared" si="70"/>
        <v>3.1896685856542713E-2</v>
      </c>
      <c r="AJ88" s="968">
        <v>45170</v>
      </c>
      <c r="AK88" s="128">
        <v>1968</v>
      </c>
      <c r="AL88" s="966">
        <f t="shared" si="66"/>
        <v>2498.6455218207134</v>
      </c>
      <c r="AM88" s="966">
        <f t="shared" si="68"/>
        <v>2358.1221385643285</v>
      </c>
      <c r="AN88" s="966">
        <f t="shared" ref="AN88:AN151" si="71">_xlfn.FORECAST.ETS($AJ88,$AK$87:$AK$110,$AJ$87:$AJ$110,12,1,1)</f>
        <v>2218.9394444821464</v>
      </c>
      <c r="AO88" s="128">
        <v>1968</v>
      </c>
    </row>
    <row r="89" spans="1:41">
      <c r="C89">
        <v>41</v>
      </c>
      <c r="D89" t="s">
        <v>1597</v>
      </c>
      <c r="E89" s="128">
        <v>522</v>
      </c>
      <c r="F89" s="128">
        <v>603</v>
      </c>
      <c r="G89" s="128">
        <v>732</v>
      </c>
      <c r="H89" s="128">
        <v>955</v>
      </c>
      <c r="I89" s="128">
        <v>1132</v>
      </c>
      <c r="J89" s="128">
        <v>1147</v>
      </c>
      <c r="K89" s="128">
        <v>1174</v>
      </c>
      <c r="L89" s="360">
        <v>2021</v>
      </c>
      <c r="M89" s="360">
        <v>1224</v>
      </c>
      <c r="N89" s="360">
        <v>855</v>
      </c>
      <c r="O89" s="360">
        <v>811</v>
      </c>
      <c r="P89" s="360">
        <v>804</v>
      </c>
      <c r="Q89" s="128">
        <f t="shared" si="69"/>
        <v>11980</v>
      </c>
      <c r="T89" s="129">
        <f t="shared" si="70"/>
        <v>4.3572621035058427E-2</v>
      </c>
      <c r="U89" s="129">
        <f t="shared" si="70"/>
        <v>5.0333889816360604E-2</v>
      </c>
      <c r="V89" s="129">
        <f t="shared" si="70"/>
        <v>6.1101836393989986E-2</v>
      </c>
      <c r="W89" s="129">
        <f t="shared" si="70"/>
        <v>7.971619365609349E-2</v>
      </c>
      <c r="X89" s="129">
        <f t="shared" si="70"/>
        <v>9.4490818030050078E-2</v>
      </c>
      <c r="Y89" s="129">
        <f t="shared" si="70"/>
        <v>9.574290484140234E-2</v>
      </c>
      <c r="Z89" s="129">
        <f t="shared" si="70"/>
        <v>9.7996661101836399E-2</v>
      </c>
      <c r="AA89" s="129">
        <f t="shared" si="70"/>
        <v>0.16869782971619365</v>
      </c>
      <c r="AB89" s="129">
        <f t="shared" si="70"/>
        <v>0.10217028380634391</v>
      </c>
      <c r="AC89" s="129">
        <f t="shared" si="70"/>
        <v>7.136894824707847E-2</v>
      </c>
      <c r="AD89" s="129">
        <f t="shared" si="70"/>
        <v>6.7696160267111852E-2</v>
      </c>
      <c r="AE89" s="129">
        <f t="shared" si="70"/>
        <v>6.7111853088480805E-2</v>
      </c>
      <c r="AJ89" s="968">
        <v>45200</v>
      </c>
      <c r="AK89" s="128">
        <v>1799</v>
      </c>
      <c r="AL89" s="966">
        <f t="shared" si="66"/>
        <v>2279.6652350364966</v>
      </c>
      <c r="AM89" s="966">
        <f t="shared" si="68"/>
        <v>2219.9839426708077</v>
      </c>
      <c r="AN89" s="966">
        <f t="shared" si="71"/>
        <v>1868.5127697012081</v>
      </c>
      <c r="AO89" s="128">
        <v>1799</v>
      </c>
    </row>
    <row r="90" spans="1:41">
      <c r="C90">
        <v>42</v>
      </c>
      <c r="D90" t="s">
        <v>1600</v>
      </c>
      <c r="E90" s="128">
        <v>756</v>
      </c>
      <c r="F90" s="128">
        <v>835</v>
      </c>
      <c r="G90" s="128">
        <v>798</v>
      </c>
      <c r="H90" s="128">
        <v>713</v>
      </c>
      <c r="I90" s="128">
        <v>972</v>
      </c>
      <c r="J90" s="128">
        <v>908</v>
      </c>
      <c r="K90" s="128">
        <v>889</v>
      </c>
      <c r="L90" s="360">
        <v>1964</v>
      </c>
      <c r="M90" s="360">
        <v>1393</v>
      </c>
      <c r="N90" s="360">
        <v>898</v>
      </c>
      <c r="O90" s="360">
        <v>989</v>
      </c>
      <c r="P90" s="360">
        <v>1186</v>
      </c>
      <c r="Q90" s="128">
        <f t="shared" si="69"/>
        <v>12301</v>
      </c>
      <c r="T90" s="129">
        <f t="shared" si="70"/>
        <v>6.1458418014795548E-2</v>
      </c>
      <c r="U90" s="129">
        <f t="shared" si="70"/>
        <v>6.7880660108934232E-2</v>
      </c>
      <c r="V90" s="129">
        <f t="shared" si="70"/>
        <v>6.4872774571173075E-2</v>
      </c>
      <c r="W90" s="129">
        <f t="shared" si="70"/>
        <v>5.7962767254694743E-2</v>
      </c>
      <c r="X90" s="129">
        <f t="shared" si="70"/>
        <v>7.9017966019022848E-2</v>
      </c>
      <c r="Y90" s="129">
        <f t="shared" si="70"/>
        <v>7.3815136980733276E-2</v>
      </c>
      <c r="Z90" s="129">
        <f t="shared" si="70"/>
        <v>7.2270547109991062E-2</v>
      </c>
      <c r="AA90" s="129">
        <f t="shared" si="70"/>
        <v>0.15966181611251118</v>
      </c>
      <c r="AB90" s="129">
        <f t="shared" si="70"/>
        <v>0.11324282578652142</v>
      </c>
      <c r="AC90" s="129">
        <f t="shared" si="70"/>
        <v>7.3002194943500534E-2</v>
      </c>
      <c r="AD90" s="129">
        <f t="shared" si="70"/>
        <v>8.0399967482318507E-2</v>
      </c>
      <c r="AE90" s="129">
        <f t="shared" si="70"/>
        <v>9.6414925615803587E-2</v>
      </c>
      <c r="AJ90" s="968">
        <v>45231</v>
      </c>
      <c r="AK90" s="128">
        <v>1894</v>
      </c>
      <c r="AL90" s="966">
        <f t="shared" si="66"/>
        <v>2351.7462868737493</v>
      </c>
      <c r="AM90" s="966">
        <f t="shared" si="68"/>
        <v>2296.5354199577619</v>
      </c>
      <c r="AN90" s="966">
        <f t="shared" si="71"/>
        <v>1643.6224079629631</v>
      </c>
      <c r="AO90" s="128">
        <v>1894</v>
      </c>
    </row>
    <row r="91" spans="1:41">
      <c r="C91">
        <v>43</v>
      </c>
      <c r="D91" t="s">
        <v>1603</v>
      </c>
      <c r="E91" s="128" cm="1">
        <f t="array" aca="1" ref="E91" ca="1">_xlfn.LET(
  _xlpm._期,$C91,
  _xlpm._見出し,E$13,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2771</v>
      </c>
      <c r="F91" s="128" cm="1">
        <f t="array" aca="1" ref="F91" ca="1">_xlfn.LET(
  _xlpm._期,$C91,
  _xlpm._見出し,F$13,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2510</v>
      </c>
      <c r="G91" s="128" cm="1">
        <f t="array" aca="1" ref="G91" ca="1">_xlfn.LET(
  _xlpm._期,$C91,
  _xlpm._見出し,G$13,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2554</v>
      </c>
      <c r="H91" s="128" cm="1">
        <f t="array" aca="1" ref="H91" ca="1">_xlfn.LET(
  _xlpm._期,$C91,
  _xlpm._見出し,H$13,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1992</v>
      </c>
      <c r="I91" s="128" cm="1">
        <f t="array" aca="1" ref="I91" ca="1">_xlfn.LET(
  _xlpm._期,$C91,
  _xlpm._見出し,I$13,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2843</v>
      </c>
      <c r="J91" s="128" cm="1">
        <f t="array" aca="1" ref="J91" ca="1">_xlfn.LET(
  _xlpm._期,$C91,
  _xlpm._見出し,J$13,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1773</v>
      </c>
      <c r="K91" s="128" cm="1">
        <f t="array" aca="1" ref="K91" ca="1">_xlfn.LET(
  _xlpm._期,$C91,
  _xlpm._見出し,K$13,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1634</v>
      </c>
      <c r="L91" s="360" cm="1">
        <f t="array" aca="1" ref="L91" ca="1">_xlfn.LET(
  _xlpm._期,$C91,
  _xlpm._見出し,L$13,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2461</v>
      </c>
      <c r="M91" s="360" cm="1">
        <f t="array" aca="1" ref="M91" ca="1">_xlfn.LET(
  _xlpm._期,$C91,
  _xlpm._見出し,M$13,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2049</v>
      </c>
      <c r="N91" s="360" cm="1">
        <f t="array" aca="1" ref="N91" ca="1">_xlfn.LET(
  _xlpm._期,$C91,
  _xlpm._見出し,N$13,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2194</v>
      </c>
      <c r="O91" s="360" cm="1">
        <f t="array" aca="1" ref="O91" ca="1">_xlfn.LET(
  _xlpm._期,$C91,
  _xlpm._見出し,O$13,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2347.5</v>
      </c>
      <c r="P91" s="360" t="str" cm="1">
        <f t="array" aca="1" ref="P91" ca="1">_xlfn.LET(
  _xlpm._期,$C91,
  _xlpm._見出し,P$13,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
      </c>
      <c r="T91" s="129"/>
      <c r="U91" s="129"/>
      <c r="V91" s="129"/>
      <c r="W91" s="129"/>
      <c r="X91" s="129"/>
      <c r="Y91" s="129"/>
      <c r="Z91" s="129"/>
      <c r="AA91" s="129"/>
      <c r="AB91" s="129"/>
      <c r="AC91" s="129"/>
      <c r="AD91" s="129"/>
      <c r="AE91" s="129"/>
      <c r="AJ91" s="968">
        <v>45261</v>
      </c>
      <c r="AK91" s="128">
        <v>2688</v>
      </c>
      <c r="AL91" s="966">
        <f t="shared" si="66"/>
        <v>2928.596791115488</v>
      </c>
      <c r="AM91" s="966">
        <f t="shared" si="68"/>
        <v>3182.0623628872445</v>
      </c>
      <c r="AN91" s="966">
        <f t="shared" si="71"/>
        <v>2939.2489679998994</v>
      </c>
      <c r="AO91" s="128">
        <v>2688</v>
      </c>
    </row>
    <row r="92" spans="1:41">
      <c r="C92">
        <v>44</v>
      </c>
      <c r="D92" t="s">
        <v>1605</v>
      </c>
      <c r="E92" s="129" t="str" cm="1">
        <f t="array" aca="1" ref="E92" ca="1">_xlfn.LET(
  _xlpm._期,$C92,
  _xlpm._見出し,E$13,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
      </c>
      <c r="F92" s="129" t="str" cm="1">
        <f t="array" aca="1" ref="F92" ca="1">_xlfn.LET(
  _xlpm._期,$C92,
  _xlpm._見出し,F$13,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
      </c>
      <c r="G92" s="129" t="str" cm="1">
        <f t="array" aca="1" ref="G92" ca="1">_xlfn.LET(
  _xlpm._期,$C92,
  _xlpm._見出し,G$13,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
      </c>
      <c r="H92" s="129" t="str" cm="1">
        <f t="array" aca="1" ref="H92" ca="1">_xlfn.LET(
  _xlpm._期,$C92,
  _xlpm._見出し,H$13,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
      </c>
      <c r="I92" s="129" t="str" cm="1">
        <f t="array" aca="1" ref="I92" ca="1">_xlfn.LET(
  _xlpm._期,$C92,
  _xlpm._見出し,I$13,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
      </c>
      <c r="J92" s="129" t="str" cm="1">
        <f t="array" aca="1" ref="J92" ca="1">_xlfn.LET(
  _xlpm._期,$C92,
  _xlpm._見出し,J$13,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
      </c>
      <c r="K92" s="129" t="str" cm="1">
        <f t="array" aca="1" ref="K92" ca="1">_xlfn.LET(
  _xlpm._期,$C92,
  _xlpm._見出し,K$13,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
      </c>
      <c r="L92" s="139" t="str" cm="1">
        <f t="array" aca="1" ref="L92" ca="1">_xlfn.LET(
  _xlpm._期,$C92,
  _xlpm._見出し,L$13,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
      </c>
      <c r="M92" s="139" t="str" cm="1">
        <f t="array" aca="1" ref="M92" ca="1">_xlfn.LET(
  _xlpm._期,$C92,
  _xlpm._見出し,M$13,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
      </c>
      <c r="N92" s="139" t="str" cm="1">
        <f t="array" aca="1" ref="N92" ca="1">_xlfn.LET(
  _xlpm._期,$C92,
  _xlpm._見出し,N$13,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
      </c>
      <c r="O92" s="139" t="str" cm="1">
        <f t="array" aca="1" ref="O92" ca="1">_xlfn.LET(
  _xlpm._期,$C92,
  _xlpm._見出し,O$13,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
      </c>
      <c r="P92" s="139" t="str" cm="1">
        <f t="array" aca="1" ref="P92" ca="1">_xlfn.LET(
  _xlpm._期,$C92,
  _xlpm._見出し,P$13,
  _xlpm._区分,$B$14,
  _xlpm._月,IF(ISNUMBER(_xlpm._見出し),IF(_xlpm._見出し&lt;=12,_xlpm._見出し,MONTH(_xlpm._見出し)),VALUE(SUBSTITUTE(_xlpm._見出し,"月",""))),
  _xlpm._年,_xlpm._期+1982+(_xlpm._月&lt;8),
  _xlpm._年月,DATE(_xlpm._年,_xlpm._月,1),
  _xlpm._今月初日,EOMONTH(TODAY(),-1)+1,
  _xlpm._行キー,_xlfn.XLOOKUP(
    _xlpm._区分,
    {"Gaming","GG","Creator","GC","THIRDWAVE","TW"},
    {"GALLERIA Gaming 合計","GALLERIA Gaming 合計","GALLERIA Creator 合計","GALLERIA Creator 合計","TW合計","TW合計"},
    ""
  ),
  IF(
    OR(_xlpm._行キー="",_xlpm._年月&gt;=_xlpm._今月初日),
    "",
    IFERROR(
      INDEX(
        '在庫使用計画 (全体実績+予測）0701'!$A$1:$BD$198,
        MATCH(_xlpm._行キー,'在庫使用計画 (全体実績+予測）0701'!$B$1:$B$198,0),
        MATCH(_xlpm._年月,'在庫使用計画 (全体実績+予測）0701'!$A$1:$BD$1,0)
      ),
      ""
    )
  )
)</f>
        <v/>
      </c>
      <c r="Q92" s="360"/>
      <c r="S92" t="s">
        <v>1606</v>
      </c>
      <c r="T92" s="130">
        <f>AVERAGE(T83:T91)</f>
        <v>6.3101222041770738E-2</v>
      </c>
      <c r="U92" s="130">
        <f>AVERAGE(U83:U91)</f>
        <v>7.5476493347788623E-2</v>
      </c>
      <c r="V92" s="130">
        <f>AVERAGE(V83:V91)</f>
        <v>7.3473674462127825E-2</v>
      </c>
      <c r="W92" s="130">
        <f>AVERAGE(W83:W91)</f>
        <v>7.6578915835162992E-2</v>
      </c>
      <c r="X92" s="130">
        <f>AVERAGE(X83:X91)</f>
        <v>0.10996724943897228</v>
      </c>
      <c r="Y92" s="130">
        <f t="shared" ref="Y92:AE92" si="72">AVERAGE(Y83:Y91)</f>
        <v>0.10185654851178594</v>
      </c>
      <c r="Z92" s="130">
        <f t="shared" si="72"/>
        <v>8.8726280729331392E-2</v>
      </c>
      <c r="AA92" s="130">
        <f t="shared" si="72"/>
        <v>0.13164856744799014</v>
      </c>
      <c r="AB92" s="130">
        <f t="shared" si="72"/>
        <v>8.8725700082021533E-2</v>
      </c>
      <c r="AC92" s="130">
        <f t="shared" si="72"/>
        <v>5.7677638548063272E-2</v>
      </c>
      <c r="AD92" s="130">
        <f t="shared" si="72"/>
        <v>6.4094188017378081E-2</v>
      </c>
      <c r="AE92" s="130">
        <f t="shared" si="72"/>
        <v>6.8673521537607182E-2</v>
      </c>
      <c r="AF92" s="129">
        <f>SUM(T92:AE92)</f>
        <v>1</v>
      </c>
      <c r="AJ92" s="968">
        <v>45292</v>
      </c>
      <c r="AK92" s="128">
        <v>2997</v>
      </c>
      <c r="AL92" s="966">
        <f t="shared" si="66"/>
        <v>2758.1131187722312</v>
      </c>
      <c r="AM92" s="966">
        <f t="shared" si="68"/>
        <v>2856.6876595139029</v>
      </c>
      <c r="AN92" s="966">
        <f t="shared" si="71"/>
        <v>3046.2324840075389</v>
      </c>
      <c r="AO92" s="128">
        <v>2997</v>
      </c>
    </row>
    <row r="93" spans="1:41">
      <c r="M93" s="128" t="s">
        <v>1621</v>
      </c>
      <c r="S93" t="s">
        <v>1607</v>
      </c>
      <c r="T93" s="130">
        <f>MEDIAN(T83:T91)</f>
        <v>6.3104870842307939E-2</v>
      </c>
      <c r="U93" s="130">
        <f>MEDIAN(U83:U91)</f>
        <v>6.816769756723047E-2</v>
      </c>
      <c r="V93" s="130">
        <f>MEDIAN(V83:V91)</f>
        <v>7.3409273491524873E-2</v>
      </c>
      <c r="W93" s="130">
        <f>MEDIAN(W83:W91)</f>
        <v>7.5974913162190127E-2</v>
      </c>
      <c r="X93" s="130">
        <f>MEDIAN(X83:X91)</f>
        <v>0.11198156496962486</v>
      </c>
      <c r="Y93" s="130">
        <f t="shared" ref="Y93:AD93" si="73">MEDIAN(Y83:Y91)</f>
        <v>9.6636564042743733E-2</v>
      </c>
      <c r="Z93" s="130">
        <f t="shared" si="73"/>
        <v>9.1110167133776676E-2</v>
      </c>
      <c r="AA93" s="130">
        <f t="shared" si="73"/>
        <v>0.13464481999527822</v>
      </c>
      <c r="AB93" s="130">
        <f t="shared" si="73"/>
        <v>8.2676240088568859E-2</v>
      </c>
      <c r="AC93" s="130">
        <f t="shared" si="73"/>
        <v>5.9959314691323637E-2</v>
      </c>
      <c r="AD93" s="130">
        <f t="shared" si="73"/>
        <v>6.2520164066902972E-2</v>
      </c>
      <c r="AE93" s="130">
        <f>MEDIAN(AE83:AE91)</f>
        <v>6.8610215751114645E-2</v>
      </c>
      <c r="AF93" s="129">
        <f>SUM(T93:AE93)</f>
        <v>0.98879580580258697</v>
      </c>
      <c r="AJ93" s="968">
        <v>45323</v>
      </c>
      <c r="AK93" s="128">
        <v>2607</v>
      </c>
      <c r="AL93" s="966">
        <f t="shared" si="66"/>
        <v>2571.1236013953671</v>
      </c>
      <c r="AM93" s="966">
        <f t="shared" si="68"/>
        <v>2402.0475611858456</v>
      </c>
      <c r="AN93" s="966">
        <f t="shared" si="71"/>
        <v>2836.6542368697342</v>
      </c>
      <c r="AO93" s="128">
        <v>2607</v>
      </c>
    </row>
    <row r="94" spans="1:41">
      <c r="S94" t="s">
        <v>1608</v>
      </c>
      <c r="T94" s="130">
        <f t="shared" ref="T94:AE94" si="74">T93/$AF$93</f>
        <v>6.3819921638003818E-2</v>
      </c>
      <c r="U94" s="130">
        <f t="shared" si="74"/>
        <v>6.8940116015055328E-2</v>
      </c>
      <c r="V94" s="130">
        <f t="shared" si="74"/>
        <v>7.4241085025578107E-2</v>
      </c>
      <c r="W94" s="130">
        <f t="shared" si="74"/>
        <v>7.6835796345760918E-2</v>
      </c>
      <c r="X94" s="130">
        <f t="shared" si="74"/>
        <v>0.11325044494776303</v>
      </c>
      <c r="Y94" s="130">
        <f t="shared" si="74"/>
        <v>9.7731567504279263E-2</v>
      </c>
      <c r="Z94" s="130">
        <f t="shared" si="74"/>
        <v>9.2142550159609815E-2</v>
      </c>
      <c r="AA94" s="130">
        <f t="shared" si="74"/>
        <v>0.1361705007294095</v>
      </c>
      <c r="AB94" s="130">
        <f t="shared" si="74"/>
        <v>8.3613057016824727E-2</v>
      </c>
      <c r="AC94" s="130">
        <f t="shared" si="74"/>
        <v>6.0638722716522639E-2</v>
      </c>
      <c r="AD94" s="130">
        <f t="shared" si="74"/>
        <v>6.3228589462064444E-2</v>
      </c>
      <c r="AE94" s="130">
        <f t="shared" si="74"/>
        <v>6.9387648439128466E-2</v>
      </c>
      <c r="AF94" s="129">
        <f>SUM(T94:AE94)</f>
        <v>1</v>
      </c>
      <c r="AJ94" s="968">
        <v>45352</v>
      </c>
      <c r="AK94" s="360">
        <f>2922</f>
        <v>2922</v>
      </c>
      <c r="AL94" s="966">
        <f t="shared" si="66"/>
        <v>2960.4849339632647</v>
      </c>
      <c r="AM94" s="966">
        <f t="shared" si="68"/>
        <v>3457.7483452913038</v>
      </c>
      <c r="AN94" s="966">
        <f t="shared" si="71"/>
        <v>3535.6904593706563</v>
      </c>
      <c r="AO94" s="360">
        <f>2922</f>
        <v>2922</v>
      </c>
    </row>
    <row r="95" spans="1:41">
      <c r="AJ95" s="968">
        <v>45383</v>
      </c>
      <c r="AK95" s="360">
        <v>1795</v>
      </c>
      <c r="AL95" s="966">
        <f t="shared" si="66"/>
        <v>3219.6631274531692</v>
      </c>
      <c r="AM95" s="966">
        <f t="shared" si="68"/>
        <v>2815.9059467584102</v>
      </c>
      <c r="AN95" s="966">
        <f t="shared" si="71"/>
        <v>2675.226563622527</v>
      </c>
      <c r="AO95" s="360">
        <v>1795</v>
      </c>
    </row>
    <row r="96" spans="1:41">
      <c r="S96" t="s">
        <v>1569</v>
      </c>
      <c r="T96" s="129">
        <f t="shared" ref="T96:T103" si="75">E83/P82</f>
        <v>0.90749999999999997</v>
      </c>
      <c r="U96" s="129">
        <f t="shared" ref="U96:AE103" si="76">F83/E83</f>
        <v>1.1744719926538107</v>
      </c>
      <c r="V96" s="129">
        <f t="shared" si="76"/>
        <v>0.8405003909304144</v>
      </c>
      <c r="W96" s="129">
        <f t="shared" si="76"/>
        <v>0.947906976744186</v>
      </c>
      <c r="X96" s="129">
        <f t="shared" si="76"/>
        <v>1.4131501472031402</v>
      </c>
      <c r="Y96" s="129">
        <f t="shared" si="76"/>
        <v>0.91319444444444442</v>
      </c>
      <c r="Z96" s="129">
        <f t="shared" si="76"/>
        <v>0.74448669201520912</v>
      </c>
      <c r="AA96" s="129">
        <f t="shared" si="76"/>
        <v>1.5556690500510726</v>
      </c>
      <c r="AB96" s="129">
        <f t="shared" si="76"/>
        <v>0.7813525935653316</v>
      </c>
      <c r="AC96" s="129">
        <f t="shared" si="76"/>
        <v>0.91596638655462181</v>
      </c>
      <c r="AD96" s="129">
        <f t="shared" si="76"/>
        <v>0.61926605504587151</v>
      </c>
      <c r="AE96" s="129">
        <f t="shared" si="76"/>
        <v>1.1985185185185185</v>
      </c>
      <c r="AJ96" s="968">
        <v>45413</v>
      </c>
      <c r="AK96" s="360">
        <v>1319</v>
      </c>
      <c r="AL96" s="966">
        <f t="shared" si="66"/>
        <v>2840.3700397721032</v>
      </c>
      <c r="AM96" s="966">
        <f t="shared" si="68"/>
        <v>2339.5812511340669</v>
      </c>
      <c r="AN96" s="966">
        <f t="shared" si="71"/>
        <v>2107.4067460378719</v>
      </c>
      <c r="AO96" s="360">
        <v>1319</v>
      </c>
    </row>
    <row r="97" spans="1:42">
      <c r="T97" s="129">
        <f t="shared" si="75"/>
        <v>0.92212608158220022</v>
      </c>
      <c r="U97" s="129">
        <f t="shared" si="76"/>
        <v>0.96648793565683644</v>
      </c>
      <c r="V97" s="129">
        <f t="shared" si="76"/>
        <v>1</v>
      </c>
      <c r="W97" s="129">
        <f t="shared" si="76"/>
        <v>1.0832177531206657</v>
      </c>
      <c r="X97" s="129">
        <f t="shared" si="76"/>
        <v>1.2023047375160052</v>
      </c>
      <c r="Y97" s="129">
        <f t="shared" si="76"/>
        <v>1.0383386581469649</v>
      </c>
      <c r="Z97" s="129">
        <f t="shared" si="76"/>
        <v>1.1097435897435897</v>
      </c>
      <c r="AA97" s="129">
        <f t="shared" si="76"/>
        <v>1.4593345656192236</v>
      </c>
      <c r="AB97" s="129">
        <f t="shared" si="76"/>
        <v>0.83407219759341356</v>
      </c>
      <c r="AC97" s="129">
        <f t="shared" si="76"/>
        <v>0.64312832194381164</v>
      </c>
      <c r="AD97" s="129">
        <f t="shared" si="76"/>
        <v>1.1027154663518299</v>
      </c>
      <c r="AE97" s="129">
        <f t="shared" si="76"/>
        <v>0.9411134903640257</v>
      </c>
      <c r="AJ97" s="968">
        <v>45444</v>
      </c>
      <c r="AK97" s="360">
        <v>1799</v>
      </c>
      <c r="AL97" s="966">
        <f t="shared" si="66"/>
        <v>2754.9331081423043</v>
      </c>
      <c r="AM97" s="966">
        <f t="shared" si="68"/>
        <v>2646.2512755921307</v>
      </c>
      <c r="AN97" s="966">
        <f t="shared" si="71"/>
        <v>2720.0759319107128</v>
      </c>
      <c r="AO97" s="360">
        <v>1799</v>
      </c>
    </row>
    <row r="98" spans="1:42">
      <c r="T98" s="129">
        <f t="shared" si="75"/>
        <v>0.80887372013651881</v>
      </c>
      <c r="U98" s="129">
        <f t="shared" si="76"/>
        <v>1.3670886075949367</v>
      </c>
      <c r="V98" s="129">
        <f t="shared" si="76"/>
        <v>0.81172839506172845</v>
      </c>
      <c r="W98" s="129">
        <f t="shared" si="76"/>
        <v>1.3219264892268694</v>
      </c>
      <c r="X98" s="129">
        <f t="shared" si="76"/>
        <v>1.3106423777564717</v>
      </c>
      <c r="Y98" s="129">
        <f t="shared" si="76"/>
        <v>0.53547915142648139</v>
      </c>
      <c r="Z98" s="129">
        <f t="shared" si="76"/>
        <v>0.86338797814207646</v>
      </c>
      <c r="AA98" s="129">
        <f t="shared" si="76"/>
        <v>1.0316455696202531</v>
      </c>
      <c r="AB98" s="129">
        <f t="shared" si="76"/>
        <v>1.044478527607362</v>
      </c>
      <c r="AC98" s="129">
        <f t="shared" si="76"/>
        <v>0.50073421439060206</v>
      </c>
      <c r="AD98" s="129">
        <f t="shared" si="76"/>
        <v>2.6070381231671553</v>
      </c>
      <c r="AE98" s="129">
        <f t="shared" si="76"/>
        <v>1.0438695163104612</v>
      </c>
      <c r="AJ98" s="968">
        <v>45474</v>
      </c>
      <c r="AK98" s="360">
        <v>3044</v>
      </c>
      <c r="AL98" s="966">
        <f t="shared" si="66"/>
        <v>2791.1177569178135</v>
      </c>
      <c r="AM98" s="966">
        <f t="shared" si="68"/>
        <v>3535.0364394867929</v>
      </c>
      <c r="AN98" s="966">
        <f t="shared" si="71"/>
        <v>3617.4556296879832</v>
      </c>
      <c r="AO98" s="360">
        <v>3044</v>
      </c>
    </row>
    <row r="99" spans="1:42">
      <c r="T99" s="129">
        <f t="shared" si="75"/>
        <v>0.90409482758620685</v>
      </c>
      <c r="U99" s="129">
        <f t="shared" si="76"/>
        <v>1.134684147794994</v>
      </c>
      <c r="V99" s="129">
        <f t="shared" si="76"/>
        <v>0.98004201680672265</v>
      </c>
      <c r="W99" s="129">
        <f t="shared" si="76"/>
        <v>0.96784565916398713</v>
      </c>
      <c r="X99" s="129">
        <f t="shared" si="76"/>
        <v>1.884828349944629</v>
      </c>
      <c r="Y99" s="129">
        <f t="shared" si="76"/>
        <v>1.1480611045828437</v>
      </c>
      <c r="Z99" s="129">
        <f t="shared" si="76"/>
        <v>0.81525076765609006</v>
      </c>
      <c r="AA99" s="129">
        <f t="shared" si="76"/>
        <v>1.1544256120527308</v>
      </c>
      <c r="AB99" s="129">
        <f t="shared" si="76"/>
        <v>0.53072321914083742</v>
      </c>
      <c r="AC99" s="129">
        <f t="shared" si="76"/>
        <v>0.58196721311475408</v>
      </c>
      <c r="AD99" s="129">
        <f t="shared" si="76"/>
        <v>1.1848591549295775</v>
      </c>
      <c r="AE99" s="129">
        <f t="shared" si="76"/>
        <v>1.4487369985141159</v>
      </c>
      <c r="AI99">
        <v>42</v>
      </c>
      <c r="AJ99" s="968">
        <v>45505</v>
      </c>
      <c r="AK99" s="128">
        <v>2335</v>
      </c>
      <c r="AL99" s="966">
        <f t="shared" si="66"/>
        <v>2795.505894462895</v>
      </c>
      <c r="AM99" s="966">
        <f t="shared" si="68"/>
        <v>2844.3161315496877</v>
      </c>
      <c r="AN99" s="966">
        <f t="shared" si="71"/>
        <v>2866.6980263600494</v>
      </c>
      <c r="AO99" s="360">
        <f>AO98*AP99</f>
        <v>2806.9517923362173</v>
      </c>
      <c r="AP99" s="1118">
        <v>0.92212608158220022</v>
      </c>
    </row>
    <row r="100" spans="1:42">
      <c r="T100" s="129">
        <f t="shared" si="75"/>
        <v>0.82564102564102559</v>
      </c>
      <c r="U100" s="129">
        <f t="shared" si="76"/>
        <v>1.5465838509316769</v>
      </c>
      <c r="V100" s="129">
        <f t="shared" si="76"/>
        <v>1.3461847389558232</v>
      </c>
      <c r="W100" s="129">
        <f t="shared" si="76"/>
        <v>0.88603818615751795</v>
      </c>
      <c r="X100" s="129">
        <f t="shared" si="76"/>
        <v>1.8067340067340067</v>
      </c>
      <c r="Y100" s="129">
        <f t="shared" si="76"/>
        <v>0.90421170331718226</v>
      </c>
      <c r="Z100" s="129">
        <f t="shared" si="76"/>
        <v>0.70774938169826873</v>
      </c>
      <c r="AA100" s="129">
        <f t="shared" si="76"/>
        <v>1.6499708794408852</v>
      </c>
      <c r="AB100" s="129">
        <f t="shared" si="76"/>
        <v>0.52912107306741973</v>
      </c>
      <c r="AC100" s="129">
        <f t="shared" si="76"/>
        <v>0.62975316877918608</v>
      </c>
      <c r="AD100" s="129">
        <f t="shared" si="76"/>
        <v>1.1811440677966101</v>
      </c>
      <c r="AE100" s="129">
        <f t="shared" si="76"/>
        <v>0.91121076233183862</v>
      </c>
      <c r="AJ100" s="968">
        <v>45536</v>
      </c>
      <c r="AK100" s="128">
        <v>1700</v>
      </c>
      <c r="AL100" s="966">
        <f t="shared" si="66"/>
        <v>2738.7985218434014</v>
      </c>
      <c r="AM100" s="966">
        <f t="shared" si="68"/>
        <v>2479.9660353355348</v>
      </c>
      <c r="AN100" s="966">
        <f t="shared" si="71"/>
        <v>2258.3740781978904</v>
      </c>
      <c r="AO100" s="360">
        <f t="shared" ref="AO100:AO110" si="77">AO99*AP100</f>
        <v>3242.5132773539062</v>
      </c>
      <c r="AP100" s="1118">
        <v>1.1551724137931034</v>
      </c>
    </row>
    <row r="101" spans="1:42">
      <c r="T101" s="129">
        <f t="shared" si="75"/>
        <v>1.0059055118110236</v>
      </c>
      <c r="U101" s="129">
        <f t="shared" si="76"/>
        <v>1.2054794520547945</v>
      </c>
      <c r="V101" s="129">
        <f t="shared" si="76"/>
        <v>0.88879870129870131</v>
      </c>
      <c r="W101" s="129">
        <f t="shared" si="76"/>
        <v>0.9762557077625571</v>
      </c>
      <c r="X101" s="129">
        <f t="shared" si="76"/>
        <v>1.4087932647333956</v>
      </c>
      <c r="Y101" s="129">
        <f t="shared" si="76"/>
        <v>1.047144754316069</v>
      </c>
      <c r="Z101" s="129">
        <f t="shared" si="76"/>
        <v>0.85795814838300566</v>
      </c>
      <c r="AA101" s="129">
        <f t="shared" si="76"/>
        <v>1.2342941611234295</v>
      </c>
      <c r="AB101" s="129">
        <f t="shared" si="76"/>
        <v>0.57425149700598799</v>
      </c>
      <c r="AC101" s="129">
        <f t="shared" si="76"/>
        <v>0.51303441084462986</v>
      </c>
      <c r="AD101" s="129">
        <f t="shared" si="76"/>
        <v>0.9532520325203252</v>
      </c>
      <c r="AE101" s="129">
        <f t="shared" si="76"/>
        <v>0.87420042643923246</v>
      </c>
      <c r="AJ101" s="968">
        <v>45566</v>
      </c>
      <c r="AK101" s="128">
        <v>1352</v>
      </c>
      <c r="AL101" s="966">
        <f t="shared" si="66"/>
        <v>2519.8182350591842</v>
      </c>
      <c r="AM101" s="966">
        <f t="shared" si="68"/>
        <v>2341.8278394420145</v>
      </c>
      <c r="AN101" s="966">
        <f t="shared" si="71"/>
        <v>1907.9474034169521</v>
      </c>
      <c r="AO101" s="360">
        <f t="shared" si="77"/>
        <v>3177.7992518604983</v>
      </c>
      <c r="AP101" s="1118">
        <v>0.98004201680672265</v>
      </c>
    </row>
    <row r="102" spans="1:42">
      <c r="T102" s="129">
        <f t="shared" si="75"/>
        <v>1.2731707317073171</v>
      </c>
      <c r="U102" s="129">
        <f t="shared" si="76"/>
        <v>1.1551724137931034</v>
      </c>
      <c r="V102" s="129">
        <f t="shared" si="76"/>
        <v>1.2139303482587065</v>
      </c>
      <c r="W102" s="129">
        <f t="shared" si="76"/>
        <v>1.3046448087431695</v>
      </c>
      <c r="X102" s="129">
        <f t="shared" si="76"/>
        <v>1.1853403141361256</v>
      </c>
      <c r="Y102" s="129">
        <f t="shared" si="76"/>
        <v>1.0132508833922262</v>
      </c>
      <c r="Z102" s="129">
        <f t="shared" si="76"/>
        <v>1.023539668700959</v>
      </c>
      <c r="AA102" s="129">
        <f t="shared" si="76"/>
        <v>1.721465076660988</v>
      </c>
      <c r="AB102" s="129">
        <f t="shared" si="76"/>
        <v>0.60564077189510146</v>
      </c>
      <c r="AC102" s="129">
        <f t="shared" si="76"/>
        <v>0.69852941176470584</v>
      </c>
      <c r="AD102" s="129">
        <f t="shared" si="76"/>
        <v>0.94853801169590646</v>
      </c>
      <c r="AE102" s="129">
        <f t="shared" si="76"/>
        <v>0.99136868064118377</v>
      </c>
      <c r="AJ102" s="968">
        <v>45597</v>
      </c>
      <c r="AK102" s="128">
        <v>1111</v>
      </c>
      <c r="AL102" s="966">
        <f t="shared" si="66"/>
        <v>2591.8992868964374</v>
      </c>
      <c r="AM102" s="966">
        <f t="shared" si="68"/>
        <v>2418.3793167289682</v>
      </c>
      <c r="AN102" s="966">
        <f t="shared" si="71"/>
        <v>1683.057041678707</v>
      </c>
      <c r="AO102" s="360">
        <f t="shared" si="77"/>
        <v>3102.3446577523951</v>
      </c>
      <c r="AP102" s="1118">
        <v>0.9762557077625571</v>
      </c>
    </row>
    <row r="103" spans="1:42">
      <c r="T103" s="129">
        <f t="shared" si="75"/>
        <v>0.94029850746268662</v>
      </c>
      <c r="U103" s="129">
        <f t="shared" si="76"/>
        <v>1.1044973544973544</v>
      </c>
      <c r="V103" s="129">
        <f t="shared" si="76"/>
        <v>0.95568862275449107</v>
      </c>
      <c r="W103" s="129">
        <f t="shared" si="76"/>
        <v>0.89348370927318299</v>
      </c>
      <c r="X103" s="129">
        <f t="shared" si="76"/>
        <v>1.3632538569424966</v>
      </c>
      <c r="Y103" s="129">
        <f t="shared" si="76"/>
        <v>0.93415637860082301</v>
      </c>
      <c r="Z103" s="129">
        <f t="shared" si="76"/>
        <v>0.97907488986784141</v>
      </c>
      <c r="AA103" s="129">
        <f t="shared" si="76"/>
        <v>2.2092238470191226</v>
      </c>
      <c r="AB103" s="129">
        <f t="shared" si="76"/>
        <v>0.70926680244399187</v>
      </c>
      <c r="AC103" s="129">
        <f t="shared" si="76"/>
        <v>0.64465183058147879</v>
      </c>
      <c r="AD103" s="129">
        <f t="shared" si="76"/>
        <v>1.1013363028953229</v>
      </c>
      <c r="AE103" s="129">
        <f t="shared" si="76"/>
        <v>1.199191102123357</v>
      </c>
      <c r="AJ103" s="968">
        <v>45627</v>
      </c>
      <c r="AK103" s="128">
        <v>2482</v>
      </c>
      <c r="AL103" s="966">
        <f t="shared" si="66"/>
        <v>3168.7497911381761</v>
      </c>
      <c r="AM103" s="966">
        <f t="shared" si="68"/>
        <v>3303.9062596584508</v>
      </c>
      <c r="AN103" s="966">
        <f t="shared" si="71"/>
        <v>2978.6836017156434</v>
      </c>
      <c r="AO103" s="360">
        <f t="shared" si="77"/>
        <v>4229.2833202459024</v>
      </c>
      <c r="AP103" s="1118">
        <v>1.3632538569424966</v>
      </c>
    </row>
    <row r="104" spans="1:42">
      <c r="S104" t="s">
        <v>1606</v>
      </c>
      <c r="T104" s="130">
        <f>AVERAGE(T96:T102)</f>
        <v>0.94961598549489901</v>
      </c>
      <c r="U104" s="130">
        <f t="shared" ref="U104:AE104" si="78">AVERAGE(U96:U102)</f>
        <v>1.2214240572114503</v>
      </c>
      <c r="V104" s="130">
        <f t="shared" si="78"/>
        <v>1.0115977987588709</v>
      </c>
      <c r="W104" s="130">
        <f t="shared" si="78"/>
        <v>1.0696907972741361</v>
      </c>
      <c r="X104" s="130">
        <f t="shared" si="78"/>
        <v>1.4588275997176823</v>
      </c>
      <c r="Y104" s="130">
        <f t="shared" si="78"/>
        <v>0.9428115285180303</v>
      </c>
      <c r="Z104" s="130">
        <f t="shared" si="78"/>
        <v>0.87458803233417115</v>
      </c>
      <c r="AA104" s="130">
        <f t="shared" si="78"/>
        <v>1.4009721306526548</v>
      </c>
      <c r="AB104" s="130">
        <f t="shared" si="78"/>
        <v>0.69994855426792202</v>
      </c>
      <c r="AC104" s="130">
        <f t="shared" si="78"/>
        <v>0.64044473248461586</v>
      </c>
      <c r="AD104" s="130">
        <f t="shared" si="78"/>
        <v>1.2281161302153252</v>
      </c>
      <c r="AE104" s="130">
        <f t="shared" si="78"/>
        <v>1.0584311990170538</v>
      </c>
      <c r="AJ104" s="968">
        <v>45658</v>
      </c>
      <c r="AK104" s="128">
        <v>2150</v>
      </c>
      <c r="AL104" s="966">
        <f t="shared" si="66"/>
        <v>2998.2661187949193</v>
      </c>
      <c r="AM104" s="966">
        <f t="shared" si="68"/>
        <v>2978.5315562851097</v>
      </c>
      <c r="AN104" s="966">
        <f t="shared" si="71"/>
        <v>3085.6671177232829</v>
      </c>
      <c r="AO104" s="360">
        <f t="shared" si="77"/>
        <v>4285.3250603551678</v>
      </c>
      <c r="AP104" s="1118">
        <v>1.0132508833922262</v>
      </c>
    </row>
    <row r="105" spans="1:42">
      <c r="S105" t="s">
        <v>1607</v>
      </c>
      <c r="T105" s="130">
        <f>MEDIAN(T97:T103)</f>
        <v>0.92212608158220022</v>
      </c>
      <c r="U105" s="130">
        <f t="shared" ref="U105:AE105" si="79">MEDIAN(U97:U103)</f>
        <v>1.1551724137931034</v>
      </c>
      <c r="V105" s="130">
        <f t="shared" si="79"/>
        <v>0.98004201680672265</v>
      </c>
      <c r="W105" s="130">
        <f t="shared" si="79"/>
        <v>0.9762557077625571</v>
      </c>
      <c r="X105" s="130">
        <f t="shared" si="79"/>
        <v>1.3632538569424966</v>
      </c>
      <c r="Y105" s="130">
        <f t="shared" si="79"/>
        <v>1.0132508833922262</v>
      </c>
      <c r="Z105" s="130">
        <f t="shared" si="79"/>
        <v>0.86338797814207646</v>
      </c>
      <c r="AA105" s="130">
        <f t="shared" si="79"/>
        <v>1.4593345656192236</v>
      </c>
      <c r="AB105" s="130">
        <f t="shared" si="79"/>
        <v>0.60564077189510146</v>
      </c>
      <c r="AC105" s="130">
        <f t="shared" si="79"/>
        <v>0.62975316877918608</v>
      </c>
      <c r="AD105" s="130">
        <f t="shared" si="79"/>
        <v>1.1027154663518299</v>
      </c>
      <c r="AE105" s="130">
        <f t="shared" si="79"/>
        <v>0.99136868064118377</v>
      </c>
      <c r="AJ105" s="968">
        <v>45689</v>
      </c>
      <c r="AK105" s="128">
        <v>2050</v>
      </c>
      <c r="AL105" s="966">
        <f t="shared" si="66"/>
        <v>2811.2766014180552</v>
      </c>
      <c r="AM105" s="966">
        <f t="shared" si="68"/>
        <v>2523.8914579570524</v>
      </c>
      <c r="AN105" s="966">
        <f t="shared" si="71"/>
        <v>2876.0888705854782</v>
      </c>
      <c r="AO105" s="360">
        <f t="shared" si="77"/>
        <v>3699.8981395416199</v>
      </c>
      <c r="AP105" s="1118">
        <v>0.86338797814207646</v>
      </c>
    </row>
    <row r="106" spans="1:42">
      <c r="AJ106" s="968">
        <v>45717</v>
      </c>
      <c r="AK106" s="360">
        <v>3129</v>
      </c>
      <c r="AL106" s="966">
        <f t="shared" si="66"/>
        <v>3200.6379339859523</v>
      </c>
      <c r="AM106" s="966">
        <f t="shared" si="68"/>
        <v>3579.5922420625102</v>
      </c>
      <c r="AN106" s="966">
        <f t="shared" si="71"/>
        <v>3575.1250930864003</v>
      </c>
      <c r="AO106" s="360">
        <f t="shared" si="77"/>
        <v>5399.3892443033437</v>
      </c>
      <c r="AP106" s="1118">
        <v>1.4593345656192236</v>
      </c>
    </row>
    <row r="107" spans="1:42">
      <c r="A107" t="s">
        <v>1622</v>
      </c>
      <c r="B107" s="127" t="s">
        <v>1259</v>
      </c>
      <c r="C107" t="s">
        <v>1580</v>
      </c>
      <c r="D107" t="s">
        <v>1579</v>
      </c>
      <c r="E107">
        <v>32</v>
      </c>
      <c r="F107">
        <v>31</v>
      </c>
      <c r="G107">
        <v>12</v>
      </c>
      <c r="H107">
        <v>8</v>
      </c>
      <c r="I107">
        <v>4</v>
      </c>
      <c r="J107">
        <v>39</v>
      </c>
      <c r="K107">
        <v>34</v>
      </c>
      <c r="L107">
        <v>71</v>
      </c>
      <c r="M107">
        <v>41</v>
      </c>
      <c r="N107">
        <v>17</v>
      </c>
      <c r="O107">
        <v>37</v>
      </c>
      <c r="P107">
        <v>45</v>
      </c>
      <c r="Q107">
        <f t="shared" ref="Q107:Q113" si="80">SUM(E107:P107)</f>
        <v>371</v>
      </c>
      <c r="T107" s="129">
        <f t="shared" ref="T107:AE112" si="81">E107/$Q107</f>
        <v>8.6253369272237201E-2</v>
      </c>
      <c r="U107" s="129">
        <f t="shared" si="81"/>
        <v>8.3557951482479784E-2</v>
      </c>
      <c r="V107" s="129">
        <f t="shared" si="81"/>
        <v>3.2345013477088951E-2</v>
      </c>
      <c r="W107" s="129">
        <f t="shared" si="81"/>
        <v>2.15633423180593E-2</v>
      </c>
      <c r="X107" s="129">
        <f t="shared" si="81"/>
        <v>1.078167115902965E-2</v>
      </c>
      <c r="Y107" s="129">
        <f t="shared" si="81"/>
        <v>0.10512129380053908</v>
      </c>
      <c r="Z107" s="129">
        <f t="shared" si="81"/>
        <v>9.1644204851752023E-2</v>
      </c>
      <c r="AA107" s="129">
        <f t="shared" si="81"/>
        <v>0.19137466307277629</v>
      </c>
      <c r="AB107" s="129">
        <f t="shared" si="81"/>
        <v>0.11051212938005391</v>
      </c>
      <c r="AC107" s="129">
        <f t="shared" si="81"/>
        <v>4.5822102425876012E-2</v>
      </c>
      <c r="AD107" s="129">
        <f t="shared" si="81"/>
        <v>9.9730458221024262E-2</v>
      </c>
      <c r="AE107" s="129">
        <f t="shared" si="81"/>
        <v>0.12129380053908356</v>
      </c>
      <c r="AJ107" s="968">
        <v>45748</v>
      </c>
      <c r="AK107" s="360">
        <v>2551</v>
      </c>
      <c r="AL107" s="966">
        <f t="shared" si="66"/>
        <v>3459.8161274758572</v>
      </c>
      <c r="AM107" s="966">
        <f t="shared" si="68"/>
        <v>2937.7498435296166</v>
      </c>
      <c r="AN107" s="966">
        <f t="shared" si="71"/>
        <v>2714.661197338271</v>
      </c>
      <c r="AO107" s="360">
        <f t="shared" si="77"/>
        <v>3270.0902696819858</v>
      </c>
      <c r="AP107" s="1118">
        <v>0.60564077189510146</v>
      </c>
    </row>
    <row r="108" spans="1:42">
      <c r="C108" t="s">
        <v>1583</v>
      </c>
      <c r="D108" t="s">
        <v>1582</v>
      </c>
      <c r="E108">
        <v>22</v>
      </c>
      <c r="F108">
        <v>20</v>
      </c>
      <c r="G108">
        <v>27</v>
      </c>
      <c r="H108">
        <v>44</v>
      </c>
      <c r="I108">
        <v>18</v>
      </c>
      <c r="J108">
        <v>46</v>
      </c>
      <c r="K108">
        <v>69</v>
      </c>
      <c r="L108">
        <v>102</v>
      </c>
      <c r="M108">
        <v>56</v>
      </c>
      <c r="N108">
        <v>39</v>
      </c>
      <c r="O108">
        <v>39</v>
      </c>
      <c r="P108">
        <v>103</v>
      </c>
      <c r="Q108">
        <f t="shared" si="80"/>
        <v>585</v>
      </c>
      <c r="T108" s="129">
        <f t="shared" si="81"/>
        <v>3.7606837606837605E-2</v>
      </c>
      <c r="U108" s="129">
        <f t="shared" si="81"/>
        <v>3.4188034188034191E-2</v>
      </c>
      <c r="V108" s="129">
        <f t="shared" si="81"/>
        <v>4.6153846153846156E-2</v>
      </c>
      <c r="W108" s="129">
        <f t="shared" si="81"/>
        <v>7.521367521367521E-2</v>
      </c>
      <c r="X108" s="129">
        <f t="shared" si="81"/>
        <v>3.0769230769230771E-2</v>
      </c>
      <c r="Y108" s="129">
        <f t="shared" si="81"/>
        <v>7.8632478632478631E-2</v>
      </c>
      <c r="Z108" s="129">
        <f t="shared" si="81"/>
        <v>0.11794871794871795</v>
      </c>
      <c r="AA108" s="129">
        <f t="shared" si="81"/>
        <v>0.17435897435897435</v>
      </c>
      <c r="AB108" s="129">
        <f t="shared" si="81"/>
        <v>9.5726495726495733E-2</v>
      </c>
      <c r="AC108" s="129">
        <f t="shared" si="81"/>
        <v>6.6666666666666666E-2</v>
      </c>
      <c r="AD108" s="129">
        <f t="shared" si="81"/>
        <v>6.6666666666666666E-2</v>
      </c>
      <c r="AE108" s="129">
        <f t="shared" si="81"/>
        <v>0.17606837606837608</v>
      </c>
      <c r="AJ108" s="968">
        <v>45778</v>
      </c>
      <c r="AK108" s="360">
        <v>1920</v>
      </c>
      <c r="AL108" s="966">
        <f t="shared" si="66"/>
        <v>3080.5230397947912</v>
      </c>
      <c r="AM108" s="966">
        <f t="shared" si="68"/>
        <v>2461.4251479052737</v>
      </c>
      <c r="AN108" s="966">
        <f t="shared" si="71"/>
        <v>2146.8413797536159</v>
      </c>
      <c r="AO108" s="360">
        <f t="shared" si="77"/>
        <v>2059.3497095262137</v>
      </c>
      <c r="AP108" s="1118">
        <v>0.62975316877918608</v>
      </c>
    </row>
    <row r="109" spans="1:42">
      <c r="C109" t="s">
        <v>1586</v>
      </c>
      <c r="D109" t="s">
        <v>1585</v>
      </c>
      <c r="E109">
        <v>44</v>
      </c>
      <c r="F109">
        <v>94</v>
      </c>
      <c r="G109">
        <v>53</v>
      </c>
      <c r="H109">
        <v>84</v>
      </c>
      <c r="I109">
        <v>122</v>
      </c>
      <c r="J109">
        <v>102</v>
      </c>
      <c r="K109">
        <v>188</v>
      </c>
      <c r="L109">
        <v>445</v>
      </c>
      <c r="M109">
        <v>317</v>
      </c>
      <c r="N109">
        <v>168</v>
      </c>
      <c r="O109">
        <v>166</v>
      </c>
      <c r="P109">
        <v>226</v>
      </c>
      <c r="Q109">
        <f t="shared" si="80"/>
        <v>2009</v>
      </c>
      <c r="T109" s="129">
        <f t="shared" si="81"/>
        <v>2.1901443504230962E-2</v>
      </c>
      <c r="U109" s="129">
        <f t="shared" si="81"/>
        <v>4.67894474863116E-2</v>
      </c>
      <c r="V109" s="129">
        <f t="shared" si="81"/>
        <v>2.6381284221005476E-2</v>
      </c>
      <c r="W109" s="129">
        <f t="shared" si="81"/>
        <v>4.1811846689895474E-2</v>
      </c>
      <c r="X109" s="129">
        <f t="shared" si="81"/>
        <v>6.0726729716276753E-2</v>
      </c>
      <c r="Y109" s="129">
        <f t="shared" si="81"/>
        <v>5.0771528123444501E-2</v>
      </c>
      <c r="Z109" s="129">
        <f t="shared" si="81"/>
        <v>9.35788949726232E-2</v>
      </c>
      <c r="AA109" s="129">
        <f t="shared" si="81"/>
        <v>0.22150323544051767</v>
      </c>
      <c r="AB109" s="129">
        <f t="shared" si="81"/>
        <v>0.15778994524639123</v>
      </c>
      <c r="AC109" s="129">
        <f t="shared" si="81"/>
        <v>8.3623693379790948E-2</v>
      </c>
      <c r="AD109" s="129">
        <f t="shared" si="81"/>
        <v>8.2628173220507709E-2</v>
      </c>
      <c r="AE109" s="129">
        <f t="shared" si="81"/>
        <v>0.11249377799900448</v>
      </c>
      <c r="AJ109" s="968">
        <v>45809</v>
      </c>
      <c r="AK109" s="360">
        <v>2661</v>
      </c>
      <c r="AL109" s="966">
        <f t="shared" si="66"/>
        <v>2995.0861081649923</v>
      </c>
      <c r="AM109" s="966">
        <f t="shared" si="68"/>
        <v>2768.095172363337</v>
      </c>
      <c r="AN109" s="966">
        <f t="shared" si="71"/>
        <v>2759.5105656264568</v>
      </c>
      <c r="AO109" s="360">
        <f t="shared" si="77"/>
        <v>2270.8767753217044</v>
      </c>
      <c r="AP109" s="1118">
        <v>1.1027154663518299</v>
      </c>
    </row>
    <row r="110" spans="1:42">
      <c r="C110" t="s">
        <v>1589</v>
      </c>
      <c r="D110" t="s">
        <v>1588</v>
      </c>
      <c r="E110">
        <v>134</v>
      </c>
      <c r="F110">
        <v>148</v>
      </c>
      <c r="G110">
        <v>214</v>
      </c>
      <c r="H110">
        <v>143</v>
      </c>
      <c r="I110">
        <v>264</v>
      </c>
      <c r="J110">
        <v>265</v>
      </c>
      <c r="K110">
        <v>350</v>
      </c>
      <c r="L110">
        <v>508</v>
      </c>
      <c r="M110">
        <v>237</v>
      </c>
      <c r="N110">
        <v>192</v>
      </c>
      <c r="O110">
        <v>250</v>
      </c>
      <c r="P110">
        <v>121</v>
      </c>
      <c r="Q110">
        <f t="shared" si="80"/>
        <v>2826</v>
      </c>
      <c r="T110" s="129">
        <f t="shared" si="81"/>
        <v>4.7416843595187545E-2</v>
      </c>
      <c r="U110" s="129">
        <f t="shared" si="81"/>
        <v>5.2370842179759375E-2</v>
      </c>
      <c r="V110" s="129">
        <f t="shared" si="81"/>
        <v>7.5725406935598025E-2</v>
      </c>
      <c r="W110" s="129">
        <f t="shared" si="81"/>
        <v>5.0601556970983723E-2</v>
      </c>
      <c r="X110" s="129">
        <f t="shared" si="81"/>
        <v>9.3418259023354558E-2</v>
      </c>
      <c r="Y110" s="129">
        <f t="shared" si="81"/>
        <v>9.3772116065109698E-2</v>
      </c>
      <c r="Z110" s="129">
        <f t="shared" si="81"/>
        <v>0.12384996461429583</v>
      </c>
      <c r="AA110" s="129">
        <f t="shared" si="81"/>
        <v>0.17975937721160651</v>
      </c>
      <c r="AB110" s="129">
        <f t="shared" si="81"/>
        <v>8.3864118895966025E-2</v>
      </c>
      <c r="AC110" s="129">
        <f t="shared" si="81"/>
        <v>6.7940552016985137E-2</v>
      </c>
      <c r="AD110" s="129">
        <f t="shared" si="81"/>
        <v>8.8464260438782735E-2</v>
      </c>
      <c r="AE110" s="129">
        <f t="shared" si="81"/>
        <v>4.2816702052370842E-2</v>
      </c>
      <c r="AJ110" s="968">
        <v>45839</v>
      </c>
      <c r="AK110" s="360">
        <v>3657</v>
      </c>
      <c r="AL110" s="966">
        <f t="shared" si="66"/>
        <v>3031.2707569405015</v>
      </c>
      <c r="AM110" s="966">
        <f t="shared" si="68"/>
        <v>3656.8803362579993</v>
      </c>
      <c r="AN110" s="966">
        <f t="shared" si="71"/>
        <v>3656.8902634037272</v>
      </c>
      <c r="AO110" s="360">
        <f t="shared" si="77"/>
        <v>2251.2761126493838</v>
      </c>
      <c r="AP110" s="1118">
        <v>0.99136868064118377</v>
      </c>
    </row>
    <row r="111" spans="1:42">
      <c r="C111" t="s">
        <v>1592</v>
      </c>
      <c r="D111" t="s">
        <v>1591</v>
      </c>
      <c r="E111">
        <v>128</v>
      </c>
      <c r="F111">
        <v>138</v>
      </c>
      <c r="G111">
        <v>103</v>
      </c>
      <c r="H111">
        <v>160</v>
      </c>
      <c r="I111">
        <v>207</v>
      </c>
      <c r="J111">
        <v>135</v>
      </c>
      <c r="K111">
        <v>310</v>
      </c>
      <c r="L111">
        <v>584</v>
      </c>
      <c r="M111">
        <v>148</v>
      </c>
      <c r="N111">
        <v>62</v>
      </c>
      <c r="O111">
        <v>75</v>
      </c>
      <c r="P111">
        <v>76</v>
      </c>
      <c r="Q111">
        <f t="shared" si="80"/>
        <v>2126</v>
      </c>
      <c r="T111" s="129">
        <f t="shared" si="81"/>
        <v>6.0206961429915336E-2</v>
      </c>
      <c r="U111" s="129">
        <f t="shared" si="81"/>
        <v>6.4910630291627469E-2</v>
      </c>
      <c r="V111" s="129">
        <f t="shared" si="81"/>
        <v>4.8447789275634992E-2</v>
      </c>
      <c r="W111" s="129">
        <f t="shared" si="81"/>
        <v>7.5258701787394161E-2</v>
      </c>
      <c r="X111" s="129">
        <f t="shared" si="81"/>
        <v>9.7365945437441204E-2</v>
      </c>
      <c r="Y111" s="129">
        <f t="shared" si="81"/>
        <v>6.3499529633113824E-2</v>
      </c>
      <c r="Z111" s="129">
        <f t="shared" si="81"/>
        <v>0.14581373471307621</v>
      </c>
      <c r="AA111" s="129">
        <f t="shared" si="81"/>
        <v>0.27469426152398874</v>
      </c>
      <c r="AB111" s="129">
        <f t="shared" si="81"/>
        <v>6.9614299153339609E-2</v>
      </c>
      <c r="AC111" s="129">
        <f t="shared" si="81"/>
        <v>2.9162746942615239E-2</v>
      </c>
      <c r="AD111" s="129">
        <f t="shared" si="81"/>
        <v>3.5277516462841017E-2</v>
      </c>
      <c r="AE111" s="129">
        <f t="shared" si="81"/>
        <v>3.574788334901223E-2</v>
      </c>
      <c r="AI111">
        <v>43</v>
      </c>
      <c r="AJ111" s="968">
        <v>45870</v>
      </c>
      <c r="AK111">
        <v>2318</v>
      </c>
      <c r="AL111" s="966">
        <f t="shared" si="66"/>
        <v>3035.658894485583</v>
      </c>
      <c r="AM111" s="1120">
        <f t="shared" si="68"/>
        <v>2966.1600283208945</v>
      </c>
      <c r="AN111" s="966">
        <f t="shared" si="71"/>
        <v>2906.1326600757934</v>
      </c>
      <c r="AP111" s="1119">
        <f>AM111/AM110</f>
        <v>0.81111760724336335</v>
      </c>
    </row>
    <row r="112" spans="1:42">
      <c r="C112" t="s">
        <v>1595</v>
      </c>
      <c r="D112" t="s">
        <v>1594</v>
      </c>
      <c r="E112">
        <v>104</v>
      </c>
      <c r="F112">
        <v>55</v>
      </c>
      <c r="G112">
        <v>80</v>
      </c>
      <c r="H112">
        <v>105</v>
      </c>
      <c r="I112">
        <v>133</v>
      </c>
      <c r="J112">
        <v>94</v>
      </c>
      <c r="K112">
        <v>344</v>
      </c>
      <c r="L112">
        <v>376</v>
      </c>
      <c r="M112">
        <v>123</v>
      </c>
      <c r="N112">
        <v>101</v>
      </c>
      <c r="O112">
        <v>122</v>
      </c>
      <c r="P112">
        <v>230</v>
      </c>
      <c r="Q112">
        <f t="shared" si="80"/>
        <v>1867</v>
      </c>
      <c r="T112" s="129">
        <f t="shared" si="81"/>
        <v>5.5704338510980181E-2</v>
      </c>
      <c r="U112" s="129">
        <f t="shared" si="81"/>
        <v>2.9459025174076059E-2</v>
      </c>
      <c r="V112" s="129">
        <f t="shared" si="81"/>
        <v>4.2849491162292447E-2</v>
      </c>
      <c r="W112" s="129">
        <f t="shared" si="81"/>
        <v>5.6239957150508835E-2</v>
      </c>
      <c r="X112" s="129">
        <f t="shared" si="81"/>
        <v>7.1237279057311198E-2</v>
      </c>
      <c r="Y112" s="129">
        <f t="shared" si="81"/>
        <v>5.0348152115693628E-2</v>
      </c>
      <c r="Z112" s="129">
        <f t="shared" si="81"/>
        <v>0.18425281199785754</v>
      </c>
      <c r="AA112" s="129">
        <f t="shared" si="81"/>
        <v>0.20139260846277451</v>
      </c>
      <c r="AB112" s="129">
        <f t="shared" si="81"/>
        <v>6.5881092662024632E-2</v>
      </c>
      <c r="AC112" s="129">
        <f t="shared" si="81"/>
        <v>5.4097482592394212E-2</v>
      </c>
      <c r="AD112" s="129">
        <f t="shared" si="81"/>
        <v>6.5345474022495978E-2</v>
      </c>
      <c r="AE112" s="129">
        <f t="shared" si="81"/>
        <v>0.12319228709159079</v>
      </c>
      <c r="AJ112" s="968">
        <v>45901</v>
      </c>
      <c r="AK112">
        <v>2270</v>
      </c>
      <c r="AL112" s="966">
        <f t="shared" si="66"/>
        <v>2978.9515218660895</v>
      </c>
      <c r="AM112" s="1120">
        <f t="shared" si="68"/>
        <v>2601.8099321067411</v>
      </c>
      <c r="AN112" s="966">
        <f t="shared" si="71"/>
        <v>2297.8087119136344</v>
      </c>
      <c r="AP112" s="1119">
        <f t="shared" ref="AP112:AP159" si="82">AM112/AM111</f>
        <v>0.8771643833322077</v>
      </c>
    </row>
    <row r="113" spans="1:67">
      <c r="C113" t="s">
        <v>1598</v>
      </c>
      <c r="D113" t="s">
        <v>1597</v>
      </c>
      <c r="E113">
        <v>51</v>
      </c>
      <c r="F113">
        <v>108</v>
      </c>
      <c r="G113">
        <v>293</v>
      </c>
      <c r="H113">
        <v>221</v>
      </c>
      <c r="I113">
        <v>241</v>
      </c>
      <c r="J113">
        <v>176</v>
      </c>
      <c r="K113">
        <v>254</v>
      </c>
      <c r="L113">
        <v>679</v>
      </c>
      <c r="M113"/>
      <c r="N113"/>
      <c r="O113"/>
      <c r="P113"/>
      <c r="Q113">
        <f t="shared" si="80"/>
        <v>2023</v>
      </c>
      <c r="AJ113" s="968">
        <v>45931</v>
      </c>
      <c r="AK113" s="964" t="str">
        <f ca="1">IF('在庫使用計画 (全体実績+予測）0701'!AE$1&lt;TODAY(),'在庫使用計画 (全体実績+予測）0701'!AD$17,"")</f>
        <v/>
      </c>
      <c r="AL113" s="966">
        <f t="shared" si="66"/>
        <v>2759.9712350818727</v>
      </c>
      <c r="AM113" s="1120">
        <f t="shared" si="68"/>
        <v>2463.6717362132208</v>
      </c>
      <c r="AN113" s="966">
        <f t="shared" si="71"/>
        <v>1947.382037132696</v>
      </c>
      <c r="AP113" s="1119">
        <f t="shared" si="82"/>
        <v>0.9469068842466648</v>
      </c>
    </row>
    <row r="114" spans="1:67">
      <c r="T114" s="130">
        <f t="shared" ref="T114:AE114" si="83">AVERAGE(T107:T112)</f>
        <v>5.1514965653231472E-2</v>
      </c>
      <c r="U114" s="130">
        <f t="shared" si="83"/>
        <v>5.1879321800381406E-2</v>
      </c>
      <c r="V114" s="130">
        <f t="shared" si="83"/>
        <v>4.5317138537577663E-2</v>
      </c>
      <c r="W114" s="130">
        <f t="shared" si="83"/>
        <v>5.3448180021752785E-2</v>
      </c>
      <c r="X114" s="130">
        <f t="shared" si="83"/>
        <v>6.0716519193774021E-2</v>
      </c>
      <c r="Y114" s="130">
        <f t="shared" si="83"/>
        <v>7.3690849728396568E-2</v>
      </c>
      <c r="Z114" s="130">
        <f t="shared" si="83"/>
        <v>0.1261813881830538</v>
      </c>
      <c r="AA114" s="130">
        <f t="shared" si="83"/>
        <v>0.20718052001177303</v>
      </c>
      <c r="AB114" s="130">
        <f t="shared" si="83"/>
        <v>9.7231346844045177E-2</v>
      </c>
      <c r="AC114" s="130">
        <f t="shared" si="83"/>
        <v>5.7885540670721373E-2</v>
      </c>
      <c r="AD114" s="130">
        <f t="shared" si="83"/>
        <v>7.3018758172053055E-2</v>
      </c>
      <c r="AE114" s="130">
        <f t="shared" si="83"/>
        <v>0.10193547118323969</v>
      </c>
      <c r="AJ114" s="968">
        <v>45962</v>
      </c>
      <c r="AK114" s="964" t="str">
        <f ca="1">IF('在庫使用計画 (全体実績+予測）0701'!AF$1&lt;TODAY(),'在庫使用計画 (全体実績+予測）0701'!AE$17,"")</f>
        <v/>
      </c>
      <c r="AL114" s="966">
        <f t="shared" si="66"/>
        <v>2832.0522869191254</v>
      </c>
      <c r="AM114" s="1120">
        <f t="shared" si="68"/>
        <v>2540.223213500175</v>
      </c>
      <c r="AN114" s="966">
        <f t="shared" si="71"/>
        <v>1722.491675394451</v>
      </c>
      <c r="AP114" s="1119">
        <f t="shared" si="82"/>
        <v>1.0310721092269448</v>
      </c>
    </row>
    <row r="115" spans="1:67">
      <c r="AJ115" s="968">
        <v>45992</v>
      </c>
      <c r="AL115" s="966">
        <f t="shared" si="66"/>
        <v>3408.9027911608637</v>
      </c>
      <c r="AM115" s="1120">
        <f t="shared" si="68"/>
        <v>3425.7501564296572</v>
      </c>
      <c r="AN115" s="966">
        <f t="shared" si="71"/>
        <v>3018.1182354313873</v>
      </c>
      <c r="AP115" s="1119">
        <f t="shared" si="82"/>
        <v>1.3486020197844402</v>
      </c>
    </row>
    <row r="116" spans="1:67">
      <c r="T116" t="s">
        <v>1623</v>
      </c>
      <c r="AJ116" s="968">
        <v>46023</v>
      </c>
      <c r="AL116" s="966">
        <f t="shared" si="66"/>
        <v>3238.4191188176069</v>
      </c>
      <c r="AM116" s="1120">
        <f t="shared" si="68"/>
        <v>3100.375453056316</v>
      </c>
      <c r="AN116" s="966">
        <f t="shared" si="71"/>
        <v>3125.1017514390269</v>
      </c>
      <c r="AP116" s="1119">
        <f t="shared" si="82"/>
        <v>0.90502088928970548</v>
      </c>
    </row>
    <row r="117" spans="1:67">
      <c r="T117" s="126" t="s">
        <v>1245</v>
      </c>
      <c r="U117" s="126" t="s">
        <v>1246</v>
      </c>
      <c r="V117" s="126" t="s">
        <v>1247</v>
      </c>
      <c r="W117" s="126" t="s">
        <v>1248</v>
      </c>
      <c r="X117" s="126" t="s">
        <v>1249</v>
      </c>
      <c r="Y117" s="126" t="s">
        <v>1250</v>
      </c>
      <c r="Z117" s="126" t="s">
        <v>1251</v>
      </c>
      <c r="AA117" s="126" t="s">
        <v>1252</v>
      </c>
      <c r="AB117" s="126" t="s">
        <v>1253</v>
      </c>
      <c r="AC117" s="126" t="s">
        <v>1254</v>
      </c>
      <c r="AD117" s="126" t="s">
        <v>1255</v>
      </c>
      <c r="AE117" s="126" t="s">
        <v>1256</v>
      </c>
      <c r="AJ117" s="968">
        <v>46054</v>
      </c>
      <c r="AL117" s="966">
        <f t="shared" si="66"/>
        <v>3051.4296014407428</v>
      </c>
      <c r="AM117" s="1120">
        <f t="shared" si="68"/>
        <v>2645.7353547282587</v>
      </c>
      <c r="AN117" s="966">
        <f t="shared" si="71"/>
        <v>2915.5235043012221</v>
      </c>
      <c r="AP117" s="1119">
        <f t="shared" si="82"/>
        <v>0.85335966394654617</v>
      </c>
    </row>
    <row r="118" spans="1:67">
      <c r="A118" t="s">
        <v>1619</v>
      </c>
      <c r="B118" s="127" t="s">
        <v>1259</v>
      </c>
      <c r="C118" t="s">
        <v>1580</v>
      </c>
      <c r="D118" t="s">
        <v>1579</v>
      </c>
      <c r="E118" s="128">
        <v>819</v>
      </c>
      <c r="F118" s="128">
        <v>661</v>
      </c>
      <c r="G118" s="128">
        <v>576</v>
      </c>
      <c r="H118" s="128">
        <v>576</v>
      </c>
      <c r="I118" s="128">
        <v>848</v>
      </c>
      <c r="J118" s="128">
        <v>585</v>
      </c>
      <c r="K118" s="128">
        <v>421</v>
      </c>
      <c r="L118" s="128">
        <v>611</v>
      </c>
      <c r="M118" s="128">
        <v>396</v>
      </c>
      <c r="N118" s="128">
        <v>467</v>
      </c>
      <c r="O118" s="128">
        <v>535</v>
      </c>
      <c r="P118" s="128">
        <v>650</v>
      </c>
      <c r="Q118">
        <f t="shared" ref="Q118:Q124" si="84">SUM(E118:P118)</f>
        <v>7145</v>
      </c>
      <c r="T118" s="129">
        <f t="shared" ref="T118:AE123" si="85">E118/$Q118</f>
        <v>0.11462561231630511</v>
      </c>
      <c r="U118" s="129">
        <f t="shared" si="85"/>
        <v>9.2512246326102165E-2</v>
      </c>
      <c r="V118" s="129">
        <f t="shared" si="85"/>
        <v>8.061581525542337E-2</v>
      </c>
      <c r="W118" s="129">
        <f t="shared" si="85"/>
        <v>8.061581525542337E-2</v>
      </c>
      <c r="X118" s="129">
        <f t="shared" si="85"/>
        <v>0.11868439468159551</v>
      </c>
      <c r="Y118" s="129">
        <f t="shared" si="85"/>
        <v>8.1875437368789369E-2</v>
      </c>
      <c r="Z118" s="129">
        <f t="shared" si="85"/>
        <v>5.8922323303009096E-2</v>
      </c>
      <c r="AA118" s="129">
        <f t="shared" si="85"/>
        <v>8.5514345696291114E-2</v>
      </c>
      <c r="AB118" s="129">
        <f t="shared" si="85"/>
        <v>5.542337298810357E-2</v>
      </c>
      <c r="AC118" s="129">
        <f t="shared" si="85"/>
        <v>6.5360391882435268E-2</v>
      </c>
      <c r="AD118" s="129">
        <f t="shared" si="85"/>
        <v>7.4877536738978304E-2</v>
      </c>
      <c r="AE118" s="129">
        <f t="shared" si="85"/>
        <v>9.0972708187543744E-2</v>
      </c>
      <c r="AJ118" s="968">
        <v>46082</v>
      </c>
      <c r="AL118" s="966">
        <f t="shared" si="66"/>
        <v>3440.7909340086403</v>
      </c>
      <c r="AM118" s="1120">
        <f t="shared" si="68"/>
        <v>3701.436138833717</v>
      </c>
      <c r="AN118" s="966">
        <f t="shared" si="71"/>
        <v>3614.5597268021443</v>
      </c>
      <c r="AP118" s="1119">
        <f t="shared" si="82"/>
        <v>1.3990197969796145</v>
      </c>
    </row>
    <row r="119" spans="1:67">
      <c r="C119" t="s">
        <v>1583</v>
      </c>
      <c r="D119" t="s">
        <v>1582</v>
      </c>
      <c r="E119" s="128">
        <v>598</v>
      </c>
      <c r="F119">
        <v>532</v>
      </c>
      <c r="G119">
        <v>535</v>
      </c>
      <c r="H119">
        <v>585</v>
      </c>
      <c r="I119">
        <v>959</v>
      </c>
      <c r="J119">
        <v>835</v>
      </c>
      <c r="K119">
        <v>835</v>
      </c>
      <c r="L119">
        <v>1001</v>
      </c>
      <c r="M119">
        <v>986</v>
      </c>
      <c r="N119">
        <v>960</v>
      </c>
      <c r="O119">
        <v>788</v>
      </c>
      <c r="P119">
        <v>748</v>
      </c>
      <c r="Q119">
        <f t="shared" si="84"/>
        <v>9362</v>
      </c>
      <c r="T119" s="129">
        <f t="shared" si="85"/>
        <v>6.3875240333262126E-2</v>
      </c>
      <c r="U119" s="129">
        <f t="shared" si="85"/>
        <v>5.6825464644306774E-2</v>
      </c>
      <c r="V119" s="129">
        <f t="shared" si="85"/>
        <v>5.7145908993804742E-2</v>
      </c>
      <c r="W119" s="129">
        <f t="shared" si="85"/>
        <v>6.2486648152104252E-2</v>
      </c>
      <c r="X119" s="129">
        <f t="shared" si="85"/>
        <v>0.10243537705618458</v>
      </c>
      <c r="Y119" s="129">
        <f t="shared" si="85"/>
        <v>8.9190343943601799E-2</v>
      </c>
      <c r="Z119" s="129">
        <f t="shared" si="85"/>
        <v>8.9190343943601799E-2</v>
      </c>
      <c r="AA119" s="129">
        <f t="shared" si="85"/>
        <v>0.10692159794915616</v>
      </c>
      <c r="AB119" s="129">
        <f t="shared" si="85"/>
        <v>0.10531937620166631</v>
      </c>
      <c r="AC119" s="129">
        <f t="shared" si="85"/>
        <v>0.10254219183935057</v>
      </c>
      <c r="AD119" s="129">
        <f t="shared" si="85"/>
        <v>8.4170049134800251E-2</v>
      </c>
      <c r="AE119" s="129">
        <f t="shared" si="85"/>
        <v>7.9897457808160655E-2</v>
      </c>
      <c r="AJ119" s="968">
        <v>46113</v>
      </c>
      <c r="AL119" s="966">
        <f t="shared" si="66"/>
        <v>3699.9691274985453</v>
      </c>
      <c r="AM119" s="1120">
        <f t="shared" si="68"/>
        <v>3059.5937403008229</v>
      </c>
      <c r="AN119" s="966">
        <f t="shared" si="71"/>
        <v>2754.095831054015</v>
      </c>
      <c r="AP119" s="1119">
        <f t="shared" si="82"/>
        <v>0.82659638733220675</v>
      </c>
    </row>
    <row r="120" spans="1:67">
      <c r="C120" t="s">
        <v>1586</v>
      </c>
      <c r="D120" t="s">
        <v>1585</v>
      </c>
      <c r="E120">
        <v>1034</v>
      </c>
      <c r="F120">
        <v>1363</v>
      </c>
      <c r="G120">
        <v>921</v>
      </c>
      <c r="H120">
        <v>1261</v>
      </c>
      <c r="I120">
        <v>2535</v>
      </c>
      <c r="J120">
        <v>2618</v>
      </c>
      <c r="K120">
        <v>2477</v>
      </c>
      <c r="L120">
        <v>3733</v>
      </c>
      <c r="M120">
        <v>4672</v>
      </c>
      <c r="N120">
        <v>3435</v>
      </c>
      <c r="O120">
        <v>4425</v>
      </c>
      <c r="P120">
        <v>3998</v>
      </c>
      <c r="Q120">
        <f t="shared" si="84"/>
        <v>32472</v>
      </c>
      <c r="T120" s="129">
        <f t="shared" si="85"/>
        <v>3.1842818428184282E-2</v>
      </c>
      <c r="U120" s="129">
        <f t="shared" si="85"/>
        <v>4.197462429169746E-2</v>
      </c>
      <c r="V120" s="129">
        <f t="shared" si="85"/>
        <v>2.8362897265336289E-2</v>
      </c>
      <c r="W120" s="129">
        <f t="shared" si="85"/>
        <v>3.8833456516383348E-2</v>
      </c>
      <c r="X120" s="129">
        <f t="shared" si="85"/>
        <v>7.8067257945306723E-2</v>
      </c>
      <c r="Y120" s="129">
        <f t="shared" si="85"/>
        <v>8.0623306233062325E-2</v>
      </c>
      <c r="Z120" s="129">
        <f t="shared" si="85"/>
        <v>7.6281103720128113E-2</v>
      </c>
      <c r="AA120" s="129">
        <f t="shared" si="85"/>
        <v>0.11496058142399605</v>
      </c>
      <c r="AB120" s="129">
        <f t="shared" si="85"/>
        <v>0.14387780241438777</v>
      </c>
      <c r="AC120" s="129">
        <f t="shared" si="85"/>
        <v>0.10578344419807835</v>
      </c>
      <c r="AD120" s="129">
        <f t="shared" si="85"/>
        <v>0.13627124907612712</v>
      </c>
      <c r="AE120" s="129">
        <f t="shared" si="85"/>
        <v>0.12312145848731215</v>
      </c>
      <c r="AJ120" s="968">
        <v>46143</v>
      </c>
      <c r="AL120" s="966">
        <f t="shared" si="66"/>
        <v>3320.6760398174792</v>
      </c>
      <c r="AM120" s="1120">
        <f t="shared" si="68"/>
        <v>2583.26904467648</v>
      </c>
      <c r="AN120" s="966">
        <f t="shared" si="71"/>
        <v>2186.2760134693599</v>
      </c>
      <c r="AP120" s="1119">
        <f t="shared" si="82"/>
        <v>0.8443176656592617</v>
      </c>
    </row>
    <row r="121" spans="1:67">
      <c r="C121" t="s">
        <v>1589</v>
      </c>
      <c r="D121" t="s">
        <v>1588</v>
      </c>
      <c r="E121">
        <v>3788</v>
      </c>
      <c r="F121">
        <v>3042</v>
      </c>
      <c r="G121">
        <v>2355</v>
      </c>
      <c r="H121">
        <v>3017</v>
      </c>
      <c r="I121">
        <v>5168</v>
      </c>
      <c r="J121">
        <v>4624</v>
      </c>
      <c r="K121">
        <v>4636</v>
      </c>
      <c r="L121">
        <v>5478</v>
      </c>
      <c r="M121">
        <v>3091</v>
      </c>
      <c r="N121">
        <v>2707</v>
      </c>
      <c r="O121">
        <v>3277</v>
      </c>
      <c r="P121">
        <v>2964</v>
      </c>
      <c r="Q121">
        <f t="shared" si="84"/>
        <v>44147</v>
      </c>
      <c r="T121" s="129">
        <f t="shared" si="85"/>
        <v>8.5804244909053848E-2</v>
      </c>
      <c r="U121" s="129">
        <f t="shared" si="85"/>
        <v>6.8906154438580197E-2</v>
      </c>
      <c r="V121" s="129">
        <f t="shared" si="85"/>
        <v>5.3344508120597094E-2</v>
      </c>
      <c r="W121" s="129">
        <f t="shared" si="85"/>
        <v>6.8339864543457085E-2</v>
      </c>
      <c r="X121" s="129">
        <f t="shared" si="85"/>
        <v>0.11706344711984959</v>
      </c>
      <c r="Y121" s="129">
        <f t="shared" si="85"/>
        <v>0.10474097900197069</v>
      </c>
      <c r="Z121" s="129">
        <f t="shared" si="85"/>
        <v>0.10501279815162978</v>
      </c>
      <c r="AA121" s="129">
        <f t="shared" si="85"/>
        <v>0.12408544181937617</v>
      </c>
      <c r="AB121" s="129">
        <f t="shared" si="85"/>
        <v>7.001608263302149E-2</v>
      </c>
      <c r="AC121" s="129">
        <f t="shared" si="85"/>
        <v>6.1317869843930506E-2</v>
      </c>
      <c r="AD121" s="129">
        <f t="shared" si="85"/>
        <v>7.422927945273744E-2</v>
      </c>
      <c r="AE121" s="129">
        <f t="shared" si="85"/>
        <v>6.7139329965796093E-2</v>
      </c>
      <c r="AJ121" s="968">
        <v>46174</v>
      </c>
      <c r="AL121" s="966">
        <f t="shared" si="66"/>
        <v>3235.2391081876804</v>
      </c>
      <c r="AM121" s="1120">
        <f t="shared" si="68"/>
        <v>2889.9390691345434</v>
      </c>
      <c r="AN121" s="966">
        <f t="shared" si="71"/>
        <v>2798.9451993422008</v>
      </c>
      <c r="AP121" s="1119">
        <f t="shared" si="82"/>
        <v>1.1187139315163628</v>
      </c>
    </row>
    <row r="122" spans="1:67">
      <c r="C122" t="s">
        <v>1592</v>
      </c>
      <c r="D122" t="s">
        <v>1591</v>
      </c>
      <c r="E122">
        <v>2856</v>
      </c>
      <c r="F122">
        <v>2891</v>
      </c>
      <c r="G122">
        <v>3093</v>
      </c>
      <c r="H122">
        <v>3288</v>
      </c>
      <c r="I122">
        <v>6004</v>
      </c>
      <c r="J122">
        <v>4041</v>
      </c>
      <c r="K122">
        <v>3419</v>
      </c>
      <c r="L122">
        <v>5242</v>
      </c>
      <c r="M122">
        <v>3187</v>
      </c>
      <c r="N122">
        <v>2633</v>
      </c>
      <c r="O122">
        <v>2212</v>
      </c>
      <c r="P122">
        <v>2308</v>
      </c>
      <c r="Q122">
        <f t="shared" si="84"/>
        <v>41174</v>
      </c>
      <c r="T122" s="129">
        <f t="shared" si="85"/>
        <v>6.9364161849710976E-2</v>
      </c>
      <c r="U122" s="129">
        <f t="shared" si="85"/>
        <v>7.0214212852771171E-2</v>
      </c>
      <c r="V122" s="129">
        <f t="shared" si="85"/>
        <v>7.5120221499004228E-2</v>
      </c>
      <c r="W122" s="129">
        <f t="shared" si="85"/>
        <v>7.9856219944625245E-2</v>
      </c>
      <c r="X122" s="129">
        <f t="shared" si="85"/>
        <v>0.14582017778209549</v>
      </c>
      <c r="Y122" s="129">
        <f t="shared" si="85"/>
        <v>9.8144460096177194E-2</v>
      </c>
      <c r="Z122" s="129">
        <f t="shared" si="85"/>
        <v>8.3037839413221931E-2</v>
      </c>
      <c r="AA122" s="129">
        <f t="shared" si="85"/>
        <v>0.12731335308689951</v>
      </c>
      <c r="AB122" s="129">
        <f t="shared" si="85"/>
        <v>7.7403215621508717E-2</v>
      </c>
      <c r="AC122" s="129">
        <f t="shared" si="85"/>
        <v>6.3948122601641816E-2</v>
      </c>
      <c r="AD122" s="129">
        <f t="shared" si="85"/>
        <v>5.3723223393403602E-2</v>
      </c>
      <c r="AE122" s="129">
        <f t="shared" si="85"/>
        <v>5.6054791858940106E-2</v>
      </c>
      <c r="AJ122" s="968">
        <v>46204</v>
      </c>
      <c r="AL122" s="966">
        <f t="shared" si="66"/>
        <v>3271.4237569631896</v>
      </c>
      <c r="AM122" s="1120">
        <f t="shared" si="68"/>
        <v>3778.7242330292056</v>
      </c>
      <c r="AN122" s="966">
        <f t="shared" si="71"/>
        <v>3696.3248971194712</v>
      </c>
      <c r="AP122" s="1119">
        <f t="shared" si="82"/>
        <v>1.3075446030634925</v>
      </c>
    </row>
    <row r="123" spans="1:67">
      <c r="C123" t="s">
        <v>1595</v>
      </c>
      <c r="D123" t="s">
        <v>1594</v>
      </c>
      <c r="E123">
        <v>1960</v>
      </c>
      <c r="F123">
        <v>1513</v>
      </c>
      <c r="G123">
        <v>1418</v>
      </c>
      <c r="H123">
        <v>1229</v>
      </c>
      <c r="I123">
        <v>1850</v>
      </c>
      <c r="J123">
        <v>1607</v>
      </c>
      <c r="K123">
        <v>1398</v>
      </c>
      <c r="L123">
        <v>3322</v>
      </c>
      <c r="M123">
        <v>2869</v>
      </c>
      <c r="N123">
        <v>2382</v>
      </c>
      <c r="O123">
        <v>2397</v>
      </c>
      <c r="P123">
        <v>3169</v>
      </c>
      <c r="Q123">
        <f t="shared" si="84"/>
        <v>25114</v>
      </c>
      <c r="T123" s="129">
        <f t="shared" si="85"/>
        <v>7.8044118818189054E-2</v>
      </c>
      <c r="U123" s="129">
        <f t="shared" si="85"/>
        <v>6.0245281516285734E-2</v>
      </c>
      <c r="V123" s="129">
        <f t="shared" si="85"/>
        <v>5.6462530859281677E-2</v>
      </c>
      <c r="W123" s="129">
        <f t="shared" si="85"/>
        <v>4.8936847973242013E-2</v>
      </c>
      <c r="X123" s="129">
        <f t="shared" si="85"/>
        <v>7.3664091741658042E-2</v>
      </c>
      <c r="Y123" s="129">
        <f t="shared" si="85"/>
        <v>6.3988213745321335E-2</v>
      </c>
      <c r="Z123" s="129">
        <f t="shared" si="85"/>
        <v>5.5666162299912399E-2</v>
      </c>
      <c r="AA123" s="129">
        <f t="shared" si="85"/>
        <v>0.13227681771123675</v>
      </c>
      <c r="AB123" s="129">
        <f t="shared" si="85"/>
        <v>0.11423906984152266</v>
      </c>
      <c r="AC123" s="129">
        <f t="shared" si="85"/>
        <v>9.4847495420880779E-2</v>
      </c>
      <c r="AD123" s="129">
        <f t="shared" si="85"/>
        <v>9.5444771840407741E-2</v>
      </c>
      <c r="AE123" s="129">
        <f t="shared" si="85"/>
        <v>0.1261845982320618</v>
      </c>
      <c r="AI123">
        <v>44</v>
      </c>
      <c r="AJ123" s="968">
        <v>46235</v>
      </c>
      <c r="AL123" s="966">
        <f t="shared" si="66"/>
        <v>3275.8118945082711</v>
      </c>
      <c r="AM123" s="1120">
        <f t="shared" si="68"/>
        <v>3088.0039250921009</v>
      </c>
      <c r="AN123" s="966">
        <f t="shared" si="71"/>
        <v>2945.5672937915374</v>
      </c>
      <c r="AP123" s="1119">
        <f t="shared" si="82"/>
        <v>0.81720806670684454</v>
      </c>
      <c r="AQ123">
        <v>0.81720806670684454</v>
      </c>
      <c r="AR123" s="1118">
        <v>0.81720806670684454</v>
      </c>
      <c r="AS123" s="1118">
        <v>0.88201112917844293</v>
      </c>
      <c r="AT123" s="1118">
        <v>0.94928202900497494</v>
      </c>
      <c r="AU123" s="1118">
        <v>1.0296078183826689</v>
      </c>
      <c r="AV123" s="1118">
        <v>1.3326463632388321</v>
      </c>
      <c r="AW123" s="1118">
        <v>0.9082829944762798</v>
      </c>
      <c r="AX123" s="1118">
        <v>0.85890467129359349</v>
      </c>
      <c r="AY123" s="1118">
        <v>1.3814527744900107</v>
      </c>
      <c r="AZ123" s="1118">
        <v>0.83212257732741757</v>
      </c>
      <c r="BA123" s="1118">
        <v>0.85028004633065224</v>
      </c>
      <c r="BB123" s="1118">
        <v>1.1133668098508094</v>
      </c>
      <c r="BC123" s="1118">
        <v>1.2951026597719577</v>
      </c>
      <c r="BD123" s="1118">
        <v>0.82291802502820321</v>
      </c>
      <c r="BE123" s="1118">
        <v>0.88648991589805382</v>
      </c>
      <c r="BF123" s="1118">
        <v>0.95145376689345051</v>
      </c>
      <c r="BG123" s="1118">
        <v>1.02827532747151</v>
      </c>
      <c r="BH123" s="1118">
        <v>1.3180873744488686</v>
      </c>
      <c r="BI123" s="1118">
        <v>0.91132846288467217</v>
      </c>
      <c r="BJ123" s="1118">
        <v>0.86404560416419296</v>
      </c>
      <c r="BK123" s="1118">
        <v>1.3653673172575289</v>
      </c>
      <c r="BL123" s="1118">
        <v>0.8373074180850093</v>
      </c>
      <c r="BM123" s="1118">
        <v>0.85580257366977797</v>
      </c>
      <c r="BN123" s="1118">
        <v>1.1084806178545261</v>
      </c>
      <c r="BO123" s="1118">
        <v>1.283628269364337</v>
      </c>
    </row>
    <row r="124" spans="1:67">
      <c r="C124" t="s">
        <v>1598</v>
      </c>
      <c r="D124" t="s">
        <v>1597</v>
      </c>
      <c r="E124">
        <v>2353</v>
      </c>
      <c r="F124">
        <v>2079</v>
      </c>
      <c r="G124">
        <v>2094</v>
      </c>
      <c r="H124">
        <v>2115</v>
      </c>
      <c r="I124">
        <v>2929</v>
      </c>
      <c r="J124">
        <v>3173</v>
      </c>
      <c r="K124">
        <v>2861</v>
      </c>
      <c r="L124">
        <v>4204</v>
      </c>
      <c r="Q124">
        <f t="shared" si="84"/>
        <v>21808</v>
      </c>
      <c r="AJ124" s="968">
        <v>46266</v>
      </c>
      <c r="AL124" s="966">
        <f t="shared" ref="AL124:AL159" si="86">_xlfn.FORECAST.ETS(AJ124,$AK$7:$AK$110,$AJ$7:$AJ$110,12,1,1)</f>
        <v>3219.1045218887775</v>
      </c>
      <c r="AM124" s="1120">
        <f t="shared" si="68"/>
        <v>2723.6538288779479</v>
      </c>
      <c r="AN124" s="966">
        <f t="shared" si="71"/>
        <v>2337.2433456293784</v>
      </c>
      <c r="AP124" s="1119">
        <f t="shared" si="82"/>
        <v>0.88201112917844293</v>
      </c>
      <c r="AQ124">
        <v>0.88201112917844293</v>
      </c>
    </row>
    <row r="125" spans="1:67">
      <c r="T125" s="130">
        <f t="shared" ref="T125:AE125" si="87">AVERAGE(T118:T123)</f>
        <v>7.3926032775784231E-2</v>
      </c>
      <c r="U125" s="130">
        <f t="shared" si="87"/>
        <v>6.5112997344957249E-2</v>
      </c>
      <c r="V125" s="130">
        <f t="shared" si="87"/>
        <v>5.8508646998907898E-2</v>
      </c>
      <c r="W125" s="130">
        <f t="shared" si="87"/>
        <v>6.3178142064205883E-2</v>
      </c>
      <c r="X125" s="130">
        <f t="shared" si="87"/>
        <v>0.1059557910544483</v>
      </c>
      <c r="Y125" s="130">
        <f t="shared" si="87"/>
        <v>8.6427123398153782E-2</v>
      </c>
      <c r="Z125" s="130">
        <f t="shared" si="87"/>
        <v>7.8018428471917187E-2</v>
      </c>
      <c r="AA125" s="130">
        <f t="shared" si="87"/>
        <v>0.11517868961449262</v>
      </c>
      <c r="AB125" s="130">
        <f t="shared" si="87"/>
        <v>9.4379819950035082E-2</v>
      </c>
      <c r="AC125" s="130">
        <f t="shared" si="87"/>
        <v>8.2299919297719556E-2</v>
      </c>
      <c r="AD125" s="130">
        <f t="shared" si="87"/>
        <v>8.6452684939409066E-2</v>
      </c>
      <c r="AE125" s="130">
        <f t="shared" si="87"/>
        <v>9.0561724089969098E-2</v>
      </c>
      <c r="AJ125" s="968">
        <v>46296</v>
      </c>
      <c r="AL125" s="966">
        <f t="shared" si="86"/>
        <v>3000.1242351045603</v>
      </c>
      <c r="AM125" s="1120">
        <f t="shared" si="68"/>
        <v>2585.5156329844272</v>
      </c>
      <c r="AN125" s="966">
        <f t="shared" si="71"/>
        <v>1986.81667084844</v>
      </c>
      <c r="AP125" s="1119">
        <f t="shared" si="82"/>
        <v>0.94928202900497494</v>
      </c>
      <c r="AQ125">
        <v>0.94928202900497494</v>
      </c>
    </row>
    <row r="126" spans="1:67">
      <c r="AJ126" s="968">
        <v>46327</v>
      </c>
      <c r="AL126" s="966">
        <f t="shared" si="86"/>
        <v>3072.205286941813</v>
      </c>
      <c r="AM126" s="1120">
        <f t="shared" si="68"/>
        <v>2662.0671102713814</v>
      </c>
      <c r="AN126" s="966">
        <f t="shared" si="71"/>
        <v>1761.926309110195</v>
      </c>
      <c r="AP126" s="1119">
        <f t="shared" si="82"/>
        <v>1.0296078183826689</v>
      </c>
      <c r="AQ126">
        <v>1.0296078183826689</v>
      </c>
    </row>
    <row r="127" spans="1:67">
      <c r="AJ127" s="968">
        <v>46357</v>
      </c>
      <c r="AL127" s="966">
        <f t="shared" si="86"/>
        <v>3649.0557911835517</v>
      </c>
      <c r="AM127" s="1120">
        <f t="shared" si="68"/>
        <v>3547.5940532008635</v>
      </c>
      <c r="AN127" s="966">
        <f t="shared" si="71"/>
        <v>3057.5528691471313</v>
      </c>
      <c r="AP127" s="1119">
        <f t="shared" si="82"/>
        <v>1.3326463632388321</v>
      </c>
      <c r="AQ127">
        <v>1.3326463632388321</v>
      </c>
    </row>
    <row r="128" spans="1:67">
      <c r="S128" t="s">
        <v>1569</v>
      </c>
      <c r="T128" s="129" t="e">
        <f>E118/P117</f>
        <v>#DIV/0!</v>
      </c>
      <c r="U128" s="129" t="e">
        <f t="shared" ref="U128:AE134" si="88">F116/E116</f>
        <v>#DIV/0!</v>
      </c>
      <c r="V128" s="129" t="e">
        <f t="shared" si="88"/>
        <v>#DIV/0!</v>
      </c>
      <c r="W128" s="129" t="e">
        <f t="shared" si="88"/>
        <v>#DIV/0!</v>
      </c>
      <c r="X128" s="129" t="e">
        <f t="shared" si="88"/>
        <v>#DIV/0!</v>
      </c>
      <c r="Y128" s="129" t="e">
        <f t="shared" si="88"/>
        <v>#DIV/0!</v>
      </c>
      <c r="Z128" s="129" t="e">
        <f t="shared" si="88"/>
        <v>#DIV/0!</v>
      </c>
      <c r="AA128" s="129" t="e">
        <f t="shared" si="88"/>
        <v>#DIV/0!</v>
      </c>
      <c r="AB128" s="129" t="e">
        <f t="shared" si="88"/>
        <v>#DIV/0!</v>
      </c>
      <c r="AC128" s="129" t="e">
        <f t="shared" si="88"/>
        <v>#DIV/0!</v>
      </c>
      <c r="AD128" s="129" t="e">
        <f t="shared" si="88"/>
        <v>#DIV/0!</v>
      </c>
      <c r="AE128" s="129" t="e">
        <f t="shared" si="88"/>
        <v>#DIV/0!</v>
      </c>
      <c r="AJ128" s="968">
        <v>46388</v>
      </c>
      <c r="AL128" s="966">
        <f t="shared" si="86"/>
        <v>3478.5721188402949</v>
      </c>
      <c r="AM128" s="1120">
        <f t="shared" si="68"/>
        <v>3222.2193498275228</v>
      </c>
      <c r="AN128" s="966">
        <f t="shared" si="71"/>
        <v>3164.5363851547709</v>
      </c>
      <c r="AP128" s="1119">
        <f t="shared" si="82"/>
        <v>0.9082829944762798</v>
      </c>
      <c r="AQ128">
        <v>0.9082829944762798</v>
      </c>
    </row>
    <row r="129" spans="1:43">
      <c r="T129" s="129" t="e">
        <f t="shared" ref="T129:T134" si="89">E117/P116</f>
        <v>#DIV/0!</v>
      </c>
      <c r="U129" s="129" t="e">
        <f t="shared" si="88"/>
        <v>#DIV/0!</v>
      </c>
      <c r="V129" s="129" t="e">
        <f t="shared" si="88"/>
        <v>#DIV/0!</v>
      </c>
      <c r="W129" s="129" t="e">
        <f t="shared" si="88"/>
        <v>#DIV/0!</v>
      </c>
      <c r="X129" s="129" t="e">
        <f t="shared" si="88"/>
        <v>#DIV/0!</v>
      </c>
      <c r="Y129" s="129" t="e">
        <f t="shared" si="88"/>
        <v>#DIV/0!</v>
      </c>
      <c r="Z129" s="129" t="e">
        <f t="shared" si="88"/>
        <v>#DIV/0!</v>
      </c>
      <c r="AA129" s="129" t="e">
        <f t="shared" si="88"/>
        <v>#DIV/0!</v>
      </c>
      <c r="AB129" s="129" t="e">
        <f t="shared" si="88"/>
        <v>#DIV/0!</v>
      </c>
      <c r="AC129" s="129" t="e">
        <f t="shared" si="88"/>
        <v>#DIV/0!</v>
      </c>
      <c r="AD129" s="129" t="e">
        <f t="shared" si="88"/>
        <v>#DIV/0!</v>
      </c>
      <c r="AE129" s="129" t="e">
        <f t="shared" si="88"/>
        <v>#DIV/0!</v>
      </c>
      <c r="AJ129" s="968">
        <v>46419</v>
      </c>
      <c r="AL129" s="966">
        <f t="shared" si="86"/>
        <v>3291.5826014634308</v>
      </c>
      <c r="AM129" s="1120">
        <f t="shared" si="68"/>
        <v>2767.579251499465</v>
      </c>
      <c r="AN129" s="966">
        <f t="shared" si="71"/>
        <v>2954.9581380169661</v>
      </c>
      <c r="AP129" s="1119">
        <f t="shared" si="82"/>
        <v>0.85890467129359349</v>
      </c>
      <c r="AQ129">
        <v>0.85890467129359349</v>
      </c>
    </row>
    <row r="130" spans="1:43">
      <c r="T130" s="129" t="e">
        <f t="shared" si="89"/>
        <v>#DIV/0!</v>
      </c>
      <c r="U130" s="129">
        <f t="shared" si="88"/>
        <v>0.8070818070818071</v>
      </c>
      <c r="V130" s="129">
        <f t="shared" si="88"/>
        <v>0.87140695915279875</v>
      </c>
      <c r="W130" s="129">
        <f t="shared" si="88"/>
        <v>1</v>
      </c>
      <c r="X130" s="129">
        <f t="shared" si="88"/>
        <v>1.4722222222222223</v>
      </c>
      <c r="Y130" s="129">
        <f t="shared" si="88"/>
        <v>0.68985849056603776</v>
      </c>
      <c r="Z130" s="129">
        <f t="shared" si="88"/>
        <v>0.71965811965811965</v>
      </c>
      <c r="AA130" s="129">
        <f t="shared" si="88"/>
        <v>1.4513064133016627</v>
      </c>
      <c r="AB130" s="129">
        <f t="shared" si="88"/>
        <v>0.64811783960720126</v>
      </c>
      <c r="AC130" s="129">
        <f t="shared" si="88"/>
        <v>1.1792929292929293</v>
      </c>
      <c r="AD130" s="129">
        <f t="shared" si="88"/>
        <v>1.145610278372591</v>
      </c>
      <c r="AE130" s="129">
        <f t="shared" si="88"/>
        <v>1.2149532710280373</v>
      </c>
      <c r="AJ130" s="968">
        <v>46447</v>
      </c>
      <c r="AL130" s="966">
        <f t="shared" si="86"/>
        <v>3680.9439340313284</v>
      </c>
      <c r="AM130" s="1120">
        <f t="shared" si="68"/>
        <v>3823.2800356049233</v>
      </c>
      <c r="AN130" s="966">
        <f t="shared" si="71"/>
        <v>3653.9943605178883</v>
      </c>
      <c r="AP130" s="1119">
        <f t="shared" si="82"/>
        <v>1.3814527744900107</v>
      </c>
      <c r="AQ130">
        <v>1.3814527744900107</v>
      </c>
    </row>
    <row r="131" spans="1:43">
      <c r="T131" s="129">
        <f t="shared" si="89"/>
        <v>0.92</v>
      </c>
      <c r="U131" s="129">
        <f t="shared" si="88"/>
        <v>0.88963210702341133</v>
      </c>
      <c r="V131" s="129">
        <f t="shared" si="88"/>
        <v>1.005639097744361</v>
      </c>
      <c r="W131" s="129">
        <f t="shared" si="88"/>
        <v>1.0934579439252337</v>
      </c>
      <c r="X131" s="129">
        <f t="shared" si="88"/>
        <v>1.6393162393162393</v>
      </c>
      <c r="Y131" s="129">
        <f t="shared" si="88"/>
        <v>0.87069864442127221</v>
      </c>
      <c r="Z131" s="129">
        <f t="shared" si="88"/>
        <v>1</v>
      </c>
      <c r="AA131" s="129">
        <f t="shared" si="88"/>
        <v>1.1988023952095808</v>
      </c>
      <c r="AB131" s="129">
        <f t="shared" si="88"/>
        <v>0.98501498501498497</v>
      </c>
      <c r="AC131" s="129">
        <f t="shared" si="88"/>
        <v>0.97363083164300201</v>
      </c>
      <c r="AD131" s="129">
        <f t="shared" si="88"/>
        <v>0.8208333333333333</v>
      </c>
      <c r="AE131" s="129">
        <f t="shared" si="88"/>
        <v>0.949238578680203</v>
      </c>
      <c r="AJ131" s="968">
        <v>46478</v>
      </c>
      <c r="AL131" s="966">
        <f t="shared" si="86"/>
        <v>3940.1221275212333</v>
      </c>
      <c r="AM131" s="1120">
        <f t="shared" si="68"/>
        <v>3181.4376370720297</v>
      </c>
      <c r="AN131" s="966">
        <f t="shared" si="71"/>
        <v>2793.530464769759</v>
      </c>
      <c r="AP131" s="1119">
        <f t="shared" si="82"/>
        <v>0.83212257732741757</v>
      </c>
      <c r="AQ131">
        <v>0.83212257732741757</v>
      </c>
    </row>
    <row r="132" spans="1:43">
      <c r="T132" s="129">
        <f t="shared" si="89"/>
        <v>1.3823529411764706</v>
      </c>
      <c r="U132" s="129">
        <f t="shared" si="88"/>
        <v>1.3181818181818181</v>
      </c>
      <c r="V132" s="129">
        <f t="shared" si="88"/>
        <v>0.67571533382245053</v>
      </c>
      <c r="W132" s="129">
        <f t="shared" si="88"/>
        <v>1.3691639522258414</v>
      </c>
      <c r="X132" s="129">
        <f t="shared" si="88"/>
        <v>2.0103092783505154</v>
      </c>
      <c r="Y132" s="129">
        <f t="shared" si="88"/>
        <v>1.0327416173570019</v>
      </c>
      <c r="Z132" s="129">
        <f t="shared" si="88"/>
        <v>0.94614209320091669</v>
      </c>
      <c r="AA132" s="129">
        <f t="shared" si="88"/>
        <v>1.5070649979814292</v>
      </c>
      <c r="AB132" s="129">
        <f t="shared" si="88"/>
        <v>1.2515403160996517</v>
      </c>
      <c r="AC132" s="129">
        <f t="shared" si="88"/>
        <v>0.73523116438356162</v>
      </c>
      <c r="AD132" s="129">
        <f t="shared" si="88"/>
        <v>1.2882096069868996</v>
      </c>
      <c r="AE132" s="129">
        <f t="shared" si="88"/>
        <v>0.9035028248587571</v>
      </c>
      <c r="AJ132" s="968">
        <v>46508</v>
      </c>
      <c r="AL132" s="966">
        <f t="shared" si="86"/>
        <v>3560.8290398401673</v>
      </c>
      <c r="AM132" s="1120">
        <f t="shared" si="68"/>
        <v>2705.1129414476864</v>
      </c>
      <c r="AN132" s="966">
        <f t="shared" si="71"/>
        <v>2225.7106471851039</v>
      </c>
      <c r="AP132" s="1119">
        <f t="shared" si="82"/>
        <v>0.85028004633065224</v>
      </c>
      <c r="AQ132">
        <v>0.85028004633065224</v>
      </c>
    </row>
    <row r="133" spans="1:43">
      <c r="T133" s="129">
        <f t="shared" si="89"/>
        <v>0.94747373686843417</v>
      </c>
      <c r="U133" s="129">
        <f t="shared" si="88"/>
        <v>0.80306230200633577</v>
      </c>
      <c r="V133" s="129">
        <f t="shared" si="88"/>
        <v>0.7741617357001972</v>
      </c>
      <c r="W133" s="129">
        <f t="shared" si="88"/>
        <v>1.2811040339702759</v>
      </c>
      <c r="X133" s="129">
        <f t="shared" si="88"/>
        <v>1.712959893934372</v>
      </c>
      <c r="Y133" s="129">
        <f t="shared" si="88"/>
        <v>0.89473684210526316</v>
      </c>
      <c r="Z133" s="129">
        <f t="shared" si="88"/>
        <v>1.0025951557093427</v>
      </c>
      <c r="AA133" s="129">
        <f t="shared" si="88"/>
        <v>1.1816220880069026</v>
      </c>
      <c r="AB133" s="129">
        <f t="shared" si="88"/>
        <v>0.56425702811244982</v>
      </c>
      <c r="AC133" s="129">
        <f t="shared" si="88"/>
        <v>0.87576835975412493</v>
      </c>
      <c r="AD133" s="129">
        <f t="shared" si="88"/>
        <v>1.2105652013298855</v>
      </c>
      <c r="AE133" s="129">
        <f t="shared" si="88"/>
        <v>0.90448581019224905</v>
      </c>
      <c r="AJ133" s="968">
        <v>46539</v>
      </c>
      <c r="AL133" s="966">
        <f t="shared" si="86"/>
        <v>3475.3921082103684</v>
      </c>
      <c r="AM133" s="1120">
        <f t="shared" ref="AM133:AM159" si="90">_xlfn.FORECAST.ETS($AJ133,$AK$75:$AK$110,$AJ$75:$AJ$110,12,1,1)</f>
        <v>3011.7829659057497</v>
      </c>
      <c r="AN133" s="966">
        <f t="shared" si="71"/>
        <v>2838.3798330579448</v>
      </c>
      <c r="AP133" s="1119">
        <f t="shared" si="82"/>
        <v>1.1133668098508094</v>
      </c>
      <c r="AQ133">
        <v>1.1133668098508094</v>
      </c>
    </row>
    <row r="134" spans="1:43">
      <c r="T134" s="129">
        <f t="shared" si="89"/>
        <v>0.96356275303643724</v>
      </c>
      <c r="U134" s="129">
        <f t="shared" si="88"/>
        <v>1.0122549019607843</v>
      </c>
      <c r="V134" s="129">
        <f t="shared" si="88"/>
        <v>1.0698720166032514</v>
      </c>
      <c r="W134" s="129">
        <f t="shared" si="88"/>
        <v>1.0630455868089235</v>
      </c>
      <c r="X134" s="129">
        <f t="shared" si="88"/>
        <v>1.8260340632603407</v>
      </c>
      <c r="Y134" s="129">
        <f t="shared" si="88"/>
        <v>0.67305129913391071</v>
      </c>
      <c r="Z134" s="129">
        <f t="shared" si="88"/>
        <v>0.84607770353872802</v>
      </c>
      <c r="AA134" s="129">
        <f t="shared" si="88"/>
        <v>1.5331968411816321</v>
      </c>
      <c r="AB134" s="129">
        <f t="shared" si="88"/>
        <v>0.60797405570392982</v>
      </c>
      <c r="AC134" s="129">
        <f t="shared" si="88"/>
        <v>0.82616881079384996</v>
      </c>
      <c r="AD134" s="129">
        <f t="shared" si="88"/>
        <v>0.84010634257500949</v>
      </c>
      <c r="AE134" s="129">
        <f t="shared" si="88"/>
        <v>1.0433996383363473</v>
      </c>
      <c r="AJ134" s="968">
        <v>46569</v>
      </c>
      <c r="AL134" s="966">
        <f t="shared" si="86"/>
        <v>3511.5767569858772</v>
      </c>
      <c r="AM134" s="1120">
        <f t="shared" si="90"/>
        <v>3900.568129800412</v>
      </c>
      <c r="AN134" s="966">
        <f t="shared" si="71"/>
        <v>3735.7595308352152</v>
      </c>
      <c r="AP134" s="1119">
        <f t="shared" si="82"/>
        <v>1.2951026597719577</v>
      </c>
      <c r="AQ134">
        <v>1.2951026597719577</v>
      </c>
    </row>
    <row r="135" spans="1:43">
      <c r="S135" t="s">
        <v>1606</v>
      </c>
      <c r="T135" s="130" t="e">
        <f>AVERAGE(T128:T134)</f>
        <v>#DIV/0!</v>
      </c>
      <c r="U135" s="130" t="e">
        <f t="shared" ref="U135:AE135" si="91">AVERAGE(U128:U134)</f>
        <v>#DIV/0!</v>
      </c>
      <c r="V135" s="130" t="e">
        <f t="shared" si="91"/>
        <v>#DIV/0!</v>
      </c>
      <c r="W135" s="130" t="e">
        <f t="shared" si="91"/>
        <v>#DIV/0!</v>
      </c>
      <c r="X135" s="130" t="e">
        <f t="shared" si="91"/>
        <v>#DIV/0!</v>
      </c>
      <c r="Y135" s="130" t="e">
        <f t="shared" si="91"/>
        <v>#DIV/0!</v>
      </c>
      <c r="Z135" s="130" t="e">
        <f t="shared" si="91"/>
        <v>#DIV/0!</v>
      </c>
      <c r="AA135" s="130" t="e">
        <f t="shared" si="91"/>
        <v>#DIV/0!</v>
      </c>
      <c r="AB135" s="130" t="e">
        <f t="shared" si="91"/>
        <v>#DIV/0!</v>
      </c>
      <c r="AC135" s="130" t="e">
        <f t="shared" si="91"/>
        <v>#DIV/0!</v>
      </c>
      <c r="AD135" s="130" t="e">
        <f t="shared" si="91"/>
        <v>#DIV/0!</v>
      </c>
      <c r="AE135" s="130" t="e">
        <f t="shared" si="91"/>
        <v>#DIV/0!</v>
      </c>
      <c r="AI135">
        <v>45</v>
      </c>
      <c r="AJ135" s="968">
        <v>46600</v>
      </c>
      <c r="AL135" s="966">
        <f t="shared" si="86"/>
        <v>3515.9648945309586</v>
      </c>
      <c r="AM135" s="1120">
        <f t="shared" si="90"/>
        <v>3209.8478218633072</v>
      </c>
      <c r="AN135" s="966">
        <f t="shared" si="71"/>
        <v>2985.0019275072814</v>
      </c>
      <c r="AP135" s="1119">
        <f t="shared" si="82"/>
        <v>0.82291802502820321</v>
      </c>
      <c r="AQ135">
        <v>0.82291802502820321</v>
      </c>
    </row>
    <row r="136" spans="1:43">
      <c r="AJ136" s="968">
        <v>46631</v>
      </c>
      <c r="AL136" s="966">
        <f t="shared" si="86"/>
        <v>3459.2575219114651</v>
      </c>
      <c r="AM136" s="1120">
        <f t="shared" si="90"/>
        <v>2845.4977256491543</v>
      </c>
      <c r="AN136" s="966">
        <f t="shared" si="71"/>
        <v>2376.6779793451224</v>
      </c>
      <c r="AP136" s="1119">
        <f t="shared" si="82"/>
        <v>0.88648991589805382</v>
      </c>
      <c r="AQ136">
        <v>0.88648991589805382</v>
      </c>
    </row>
    <row r="137" spans="1:43">
      <c r="AJ137" s="968">
        <v>46661</v>
      </c>
      <c r="AL137" s="966">
        <f t="shared" si="86"/>
        <v>3240.2772351272479</v>
      </c>
      <c r="AM137" s="1120">
        <f t="shared" si="90"/>
        <v>2707.359529755634</v>
      </c>
      <c r="AN137" s="966">
        <f t="shared" si="71"/>
        <v>2026.251304564184</v>
      </c>
      <c r="AP137" s="1119">
        <f t="shared" si="82"/>
        <v>0.95145376689345051</v>
      </c>
      <c r="AQ137">
        <v>0.95145376689345051</v>
      </c>
    </row>
    <row r="138" spans="1:43">
      <c r="A138" t="s">
        <v>1258</v>
      </c>
      <c r="B138" s="127" t="s">
        <v>1562</v>
      </c>
      <c r="C138" t="s">
        <v>1624</v>
      </c>
      <c r="D138" t="s">
        <v>1577</v>
      </c>
      <c r="J138" s="128">
        <v>1033</v>
      </c>
      <c r="K138" s="128">
        <v>1094</v>
      </c>
      <c r="L138" s="128">
        <v>1747</v>
      </c>
      <c r="M138" s="128">
        <v>1394</v>
      </c>
      <c r="N138" s="128">
        <v>1084</v>
      </c>
      <c r="O138" s="128">
        <v>884</v>
      </c>
      <c r="P138" s="128">
        <v>1200</v>
      </c>
      <c r="Q138" s="128">
        <f t="shared" ref="Q138:Q144" si="92">SUM(E138:P138)</f>
        <v>8436</v>
      </c>
      <c r="AJ138" s="968">
        <v>46692</v>
      </c>
      <c r="AL138" s="966">
        <f t="shared" si="86"/>
        <v>3312.3582869645011</v>
      </c>
      <c r="AM138" s="1120">
        <f t="shared" si="90"/>
        <v>2783.9110070425877</v>
      </c>
      <c r="AN138" s="966">
        <f t="shared" si="71"/>
        <v>1801.360942825939</v>
      </c>
      <c r="AP138" s="1119">
        <f t="shared" si="82"/>
        <v>1.02827532747151</v>
      </c>
      <c r="AQ138">
        <v>1.02827532747151</v>
      </c>
    </row>
    <row r="139" spans="1:43">
      <c r="B139" s="127"/>
      <c r="C139" t="s">
        <v>1580</v>
      </c>
      <c r="D139" t="s">
        <v>1579</v>
      </c>
      <c r="E139" s="128">
        <v>1089</v>
      </c>
      <c r="F139" s="128">
        <v>1279</v>
      </c>
      <c r="G139" s="128">
        <v>1075</v>
      </c>
      <c r="H139" s="128">
        <v>1019</v>
      </c>
      <c r="I139" s="128">
        <v>1440</v>
      </c>
      <c r="J139" s="128">
        <v>1315</v>
      </c>
      <c r="K139" s="128">
        <v>979</v>
      </c>
      <c r="L139" s="128">
        <v>1523</v>
      </c>
      <c r="M139" s="128">
        <v>1190</v>
      </c>
      <c r="N139" s="128">
        <v>1090</v>
      </c>
      <c r="O139" s="128">
        <v>675</v>
      </c>
      <c r="P139" s="128">
        <v>809</v>
      </c>
      <c r="Q139" s="128">
        <f t="shared" si="92"/>
        <v>13483</v>
      </c>
      <c r="T139" s="129">
        <f t="shared" ref="T139:AE144" si="93">E139/$Q139</f>
        <v>8.0768374990729072E-2</v>
      </c>
      <c r="U139" s="129">
        <f t="shared" si="93"/>
        <v>9.4860194318771782E-2</v>
      </c>
      <c r="V139" s="129">
        <f t="shared" si="93"/>
        <v>7.9730030408662764E-2</v>
      </c>
      <c r="W139" s="129">
        <f t="shared" si="93"/>
        <v>7.5576652080397544E-2</v>
      </c>
      <c r="X139" s="129">
        <f t="shared" si="93"/>
        <v>0.1068011570125343</v>
      </c>
      <c r="Y139" s="129">
        <f t="shared" si="93"/>
        <v>9.753022324408514E-2</v>
      </c>
      <c r="Z139" s="129">
        <f t="shared" si="93"/>
        <v>7.2609953274493808E-2</v>
      </c>
      <c r="AA139" s="129">
        <f t="shared" si="93"/>
        <v>0.11295705703478455</v>
      </c>
      <c r="AB139" s="129">
        <f t="shared" si="93"/>
        <v>8.825928947563598E-2</v>
      </c>
      <c r="AC139" s="129">
        <f t="shared" si="93"/>
        <v>8.084254246087666E-2</v>
      </c>
      <c r="AD139" s="129">
        <f t="shared" si="93"/>
        <v>5.0063042349625456E-2</v>
      </c>
      <c r="AE139" s="129">
        <f t="shared" si="93"/>
        <v>6.0001483349402952E-2</v>
      </c>
      <c r="AJ139" s="968">
        <v>46722</v>
      </c>
      <c r="AL139" s="966">
        <f t="shared" si="86"/>
        <v>3889.2087912062398</v>
      </c>
      <c r="AM139" s="1120">
        <f t="shared" si="90"/>
        <v>3669.4379499720699</v>
      </c>
      <c r="AN139" s="966">
        <f t="shared" si="71"/>
        <v>3096.9875028628753</v>
      </c>
      <c r="AP139" s="1119">
        <f t="shared" si="82"/>
        <v>1.3180873744488686</v>
      </c>
      <c r="AQ139">
        <v>1.3180873744488686</v>
      </c>
    </row>
    <row r="140" spans="1:43">
      <c r="C140" t="s">
        <v>1583</v>
      </c>
      <c r="D140" t="s">
        <v>1582</v>
      </c>
      <c r="E140" s="128">
        <v>746</v>
      </c>
      <c r="F140" s="128">
        <v>721</v>
      </c>
      <c r="G140" s="128">
        <v>721</v>
      </c>
      <c r="H140" s="128">
        <v>781</v>
      </c>
      <c r="I140" s="128">
        <v>939</v>
      </c>
      <c r="J140" s="128">
        <v>975</v>
      </c>
      <c r="K140" s="128">
        <v>1082</v>
      </c>
      <c r="L140" s="128">
        <v>1579</v>
      </c>
      <c r="M140" s="128">
        <v>1317</v>
      </c>
      <c r="N140" s="128">
        <v>847</v>
      </c>
      <c r="O140" s="128">
        <v>934</v>
      </c>
      <c r="P140" s="128">
        <v>879</v>
      </c>
      <c r="Q140" s="128">
        <f t="shared" si="92"/>
        <v>11521</v>
      </c>
      <c r="T140" s="129">
        <f t="shared" si="93"/>
        <v>6.4751323669820324E-2</v>
      </c>
      <c r="U140" s="129">
        <f t="shared" si="93"/>
        <v>6.2581373144692296E-2</v>
      </c>
      <c r="V140" s="129">
        <f t="shared" si="93"/>
        <v>6.2581373144692296E-2</v>
      </c>
      <c r="W140" s="129">
        <f t="shared" si="93"/>
        <v>6.7789254404999569E-2</v>
      </c>
      <c r="X140" s="129">
        <f t="shared" si="93"/>
        <v>8.15033417238087E-2</v>
      </c>
      <c r="Y140" s="129">
        <f t="shared" si="93"/>
        <v>8.4628070479993059E-2</v>
      </c>
      <c r="Z140" s="129">
        <f t="shared" si="93"/>
        <v>9.3915458727541007E-2</v>
      </c>
      <c r="AA140" s="129">
        <f t="shared" si="93"/>
        <v>0.1370540751670862</v>
      </c>
      <c r="AB140" s="129">
        <f t="shared" si="93"/>
        <v>0.11431299366374446</v>
      </c>
      <c r="AC140" s="129">
        <f t="shared" si="93"/>
        <v>7.3517923791337564E-2</v>
      </c>
      <c r="AD140" s="129">
        <f t="shared" si="93"/>
        <v>8.1069351618783092E-2</v>
      </c>
      <c r="AE140" s="129">
        <f t="shared" si="93"/>
        <v>7.6295460463501427E-2</v>
      </c>
      <c r="AJ140" s="968">
        <v>46753</v>
      </c>
      <c r="AL140" s="966">
        <f t="shared" si="86"/>
        <v>3718.725118862983</v>
      </c>
      <c r="AM140" s="1120">
        <f t="shared" si="90"/>
        <v>3344.0632465987292</v>
      </c>
      <c r="AN140" s="966">
        <f t="shared" si="71"/>
        <v>3203.9710188705149</v>
      </c>
      <c r="AP140" s="1119">
        <f t="shared" si="82"/>
        <v>0.91132846288467217</v>
      </c>
      <c r="AQ140">
        <v>0.91132846288467217</v>
      </c>
    </row>
    <row r="141" spans="1:43">
      <c r="C141" t="s">
        <v>1586</v>
      </c>
      <c r="D141" t="s">
        <v>1585</v>
      </c>
      <c r="E141" s="128">
        <v>711</v>
      </c>
      <c r="F141" s="128">
        <v>972</v>
      </c>
      <c r="G141" s="128">
        <v>789</v>
      </c>
      <c r="H141" s="128">
        <v>1043</v>
      </c>
      <c r="I141" s="128">
        <v>1367</v>
      </c>
      <c r="J141" s="128">
        <v>732</v>
      </c>
      <c r="K141" s="128">
        <v>632</v>
      </c>
      <c r="L141" s="128">
        <v>652</v>
      </c>
      <c r="M141" s="128">
        <v>681</v>
      </c>
      <c r="N141" s="128">
        <v>341</v>
      </c>
      <c r="O141" s="128">
        <v>889</v>
      </c>
      <c r="P141" s="128">
        <v>928</v>
      </c>
      <c r="Q141" s="128">
        <f t="shared" si="92"/>
        <v>9737</v>
      </c>
      <c r="T141" s="129">
        <f t="shared" si="93"/>
        <v>7.3020437506418817E-2</v>
      </c>
      <c r="U141" s="129">
        <f t="shared" si="93"/>
        <v>9.9825408236623184E-2</v>
      </c>
      <c r="V141" s="129">
        <f t="shared" si="93"/>
        <v>8.1031118414295986E-2</v>
      </c>
      <c r="W141" s="129">
        <f t="shared" si="93"/>
        <v>0.10711718188353703</v>
      </c>
      <c r="X141" s="129">
        <f t="shared" si="93"/>
        <v>0.14039231796241142</v>
      </c>
      <c r="Y141" s="129">
        <f t="shared" si="93"/>
        <v>7.517715928930882E-2</v>
      </c>
      <c r="Z141" s="129">
        <f t="shared" si="93"/>
        <v>6.4907055561261168E-2</v>
      </c>
      <c r="AA141" s="129">
        <f t="shared" si="93"/>
        <v>6.6961076306870704E-2</v>
      </c>
      <c r="AB141" s="129">
        <f t="shared" si="93"/>
        <v>6.9939406388004513E-2</v>
      </c>
      <c r="AC141" s="129">
        <f t="shared" si="93"/>
        <v>3.5021053712642497E-2</v>
      </c>
      <c r="AD141" s="129">
        <f t="shared" si="93"/>
        <v>9.1301222142343638E-2</v>
      </c>
      <c r="AE141" s="129">
        <f t="shared" si="93"/>
        <v>9.5306562596282229E-2</v>
      </c>
      <c r="AJ141" s="968">
        <v>46784</v>
      </c>
      <c r="AL141" s="966">
        <f t="shared" si="86"/>
        <v>3531.7356014861189</v>
      </c>
      <c r="AM141" s="1120">
        <f t="shared" si="90"/>
        <v>2889.4231482706714</v>
      </c>
      <c r="AN141" s="966">
        <f t="shared" si="71"/>
        <v>2994.3927717327101</v>
      </c>
      <c r="AP141" s="1119">
        <f t="shared" si="82"/>
        <v>0.86404560416419296</v>
      </c>
      <c r="AQ141">
        <v>0.86404560416419296</v>
      </c>
    </row>
    <row r="142" spans="1:43">
      <c r="C142" t="s">
        <v>1589</v>
      </c>
      <c r="D142" t="s">
        <v>1588</v>
      </c>
      <c r="E142" s="128">
        <v>839</v>
      </c>
      <c r="F142" s="128">
        <v>952</v>
      </c>
      <c r="G142" s="128">
        <v>933</v>
      </c>
      <c r="H142" s="128">
        <v>903</v>
      </c>
      <c r="I142" s="128">
        <v>1702</v>
      </c>
      <c r="J142" s="128">
        <v>1954</v>
      </c>
      <c r="K142" s="128">
        <v>1593</v>
      </c>
      <c r="L142" s="128">
        <v>1839</v>
      </c>
      <c r="M142" s="128">
        <v>976</v>
      </c>
      <c r="N142" s="128">
        <v>568</v>
      </c>
      <c r="O142" s="128">
        <v>673</v>
      </c>
      <c r="P142" s="128">
        <v>975</v>
      </c>
      <c r="Q142" s="128">
        <f t="shared" si="92"/>
        <v>13907</v>
      </c>
      <c r="T142" s="129">
        <f t="shared" si="93"/>
        <v>6.0329330552958943E-2</v>
      </c>
      <c r="U142" s="129">
        <f t="shared" si="93"/>
        <v>6.8454735025526708E-2</v>
      </c>
      <c r="V142" s="129">
        <f t="shared" si="93"/>
        <v>6.7088516574386997E-2</v>
      </c>
      <c r="W142" s="129">
        <f t="shared" si="93"/>
        <v>6.4931329546271663E-2</v>
      </c>
      <c r="X142" s="129">
        <f t="shared" si="93"/>
        <v>0.12238441072841015</v>
      </c>
      <c r="Y142" s="129">
        <f t="shared" si="93"/>
        <v>0.14050478176457898</v>
      </c>
      <c r="Z142" s="129">
        <f t="shared" si="93"/>
        <v>0.11454663119292442</v>
      </c>
      <c r="AA142" s="129">
        <f t="shared" si="93"/>
        <v>0.13223556482347021</v>
      </c>
      <c r="AB142" s="129">
        <f t="shared" si="93"/>
        <v>7.0180484648018987E-2</v>
      </c>
      <c r="AC142" s="129">
        <f t="shared" si="93"/>
        <v>4.084274106565039E-2</v>
      </c>
      <c r="AD142" s="129">
        <f t="shared" si="93"/>
        <v>4.8392895664054074E-2</v>
      </c>
      <c r="AE142" s="129">
        <f t="shared" si="93"/>
        <v>7.0108578413748471E-2</v>
      </c>
      <c r="AJ142" s="968">
        <v>46813</v>
      </c>
      <c r="AL142" s="966">
        <f t="shared" si="86"/>
        <v>3921.0969340540164</v>
      </c>
      <c r="AM142" s="1120">
        <f t="shared" si="90"/>
        <v>3945.1239323761297</v>
      </c>
      <c r="AN142" s="966">
        <f t="shared" si="71"/>
        <v>3693.4289942336322</v>
      </c>
      <c r="AP142" s="1119">
        <f t="shared" si="82"/>
        <v>1.3653673172575289</v>
      </c>
      <c r="AQ142">
        <v>1.3653673172575289</v>
      </c>
    </row>
    <row r="143" spans="1:43">
      <c r="C143" t="s">
        <v>1592</v>
      </c>
      <c r="D143" t="s">
        <v>1591</v>
      </c>
      <c r="E143" s="128">
        <v>805</v>
      </c>
      <c r="F143" s="128">
        <v>1245</v>
      </c>
      <c r="G143" s="128">
        <v>1676</v>
      </c>
      <c r="H143" s="128">
        <v>1485</v>
      </c>
      <c r="I143" s="128">
        <v>2683</v>
      </c>
      <c r="J143" s="128">
        <v>2426</v>
      </c>
      <c r="K143" s="128">
        <v>1717</v>
      </c>
      <c r="L143" s="128">
        <v>2833</v>
      </c>
      <c r="M143" s="128">
        <v>1499</v>
      </c>
      <c r="N143" s="128">
        <v>944</v>
      </c>
      <c r="O143" s="128">
        <v>1115</v>
      </c>
      <c r="P143" s="128">
        <v>1016</v>
      </c>
      <c r="Q143" s="128">
        <f t="shared" si="92"/>
        <v>19444</v>
      </c>
      <c r="T143" s="129">
        <f t="shared" si="93"/>
        <v>4.1400946307344165E-2</v>
      </c>
      <c r="U143" s="129">
        <f t="shared" si="93"/>
        <v>6.4030034972227937E-2</v>
      </c>
      <c r="V143" s="129">
        <f t="shared" si="93"/>
        <v>8.61962559144209E-2</v>
      </c>
      <c r="W143" s="129">
        <f t="shared" si="93"/>
        <v>7.6373174243982725E-2</v>
      </c>
      <c r="X143" s="129">
        <f t="shared" si="93"/>
        <v>0.13798601110882536</v>
      </c>
      <c r="Y143" s="129">
        <f t="shared" si="93"/>
        <v>0.1247685661386546</v>
      </c>
      <c r="Z143" s="129">
        <f t="shared" si="93"/>
        <v>8.8304875540012345E-2</v>
      </c>
      <c r="AA143" s="129">
        <f t="shared" si="93"/>
        <v>0.14570047315367207</v>
      </c>
      <c r="AB143" s="129">
        <f t="shared" si="93"/>
        <v>7.7093190701501751E-2</v>
      </c>
      <c r="AC143" s="129">
        <f t="shared" si="93"/>
        <v>4.854968113556881E-2</v>
      </c>
      <c r="AD143" s="129">
        <f t="shared" si="93"/>
        <v>5.7344167866694093E-2</v>
      </c>
      <c r="AE143" s="129">
        <f t="shared" si="93"/>
        <v>5.2252622917095246E-2</v>
      </c>
      <c r="AJ143" s="968">
        <v>46844</v>
      </c>
      <c r="AL143" s="966">
        <f t="shared" si="86"/>
        <v>4180.2751275439214</v>
      </c>
      <c r="AM143" s="1120">
        <f t="shared" si="90"/>
        <v>3303.281533843236</v>
      </c>
      <c r="AN143" s="966">
        <f t="shared" si="71"/>
        <v>2832.9650984855029</v>
      </c>
      <c r="AP143" s="1119">
        <f t="shared" si="82"/>
        <v>0.8373074180850093</v>
      </c>
      <c r="AQ143">
        <v>0.8373074180850093</v>
      </c>
    </row>
    <row r="144" spans="1:43">
      <c r="C144" t="s">
        <v>1595</v>
      </c>
      <c r="D144" t="s">
        <v>1594</v>
      </c>
      <c r="E144" s="128">
        <v>1022</v>
      </c>
      <c r="F144" s="128">
        <v>1232</v>
      </c>
      <c r="G144" s="128">
        <v>1095</v>
      </c>
      <c r="H144" s="128">
        <v>1069</v>
      </c>
      <c r="I144" s="128">
        <v>1506</v>
      </c>
      <c r="J144" s="128">
        <v>1577</v>
      </c>
      <c r="K144" s="128">
        <v>1353</v>
      </c>
      <c r="L144" s="128">
        <v>1670</v>
      </c>
      <c r="M144" s="128">
        <v>959</v>
      </c>
      <c r="N144" s="128">
        <v>492</v>
      </c>
      <c r="O144" s="128">
        <v>469</v>
      </c>
      <c r="P144" s="128">
        <v>410</v>
      </c>
      <c r="Q144" s="128">
        <f t="shared" si="92"/>
        <v>12854</v>
      </c>
      <c r="T144" s="129">
        <f t="shared" si="93"/>
        <v>7.9508324257040616E-2</v>
      </c>
      <c r="U144" s="129">
        <f t="shared" si="93"/>
        <v>9.5845651159172249E-2</v>
      </c>
      <c r="V144" s="129">
        <f t="shared" si="93"/>
        <v>8.5187490275400651E-2</v>
      </c>
      <c r="W144" s="129">
        <f t="shared" si="93"/>
        <v>8.3164773611327208E-2</v>
      </c>
      <c r="X144" s="129">
        <f t="shared" si="93"/>
        <v>0.11716197292671542</v>
      </c>
      <c r="Y144" s="129">
        <f t="shared" si="93"/>
        <v>0.12268554535553135</v>
      </c>
      <c r="Z144" s="129">
        <f t="shared" si="93"/>
        <v>0.10525906332659095</v>
      </c>
      <c r="AA144" s="129">
        <f t="shared" si="93"/>
        <v>0.1299206472693325</v>
      </c>
      <c r="AB144" s="129">
        <f t="shared" si="93"/>
        <v>7.4607126186401126E-2</v>
      </c>
      <c r="AC144" s="129">
        <f t="shared" si="93"/>
        <v>3.8276023027851255E-2</v>
      </c>
      <c r="AD144" s="129">
        <f t="shared" si="93"/>
        <v>3.6486696748093982E-2</v>
      </c>
      <c r="AE144" s="129">
        <f t="shared" si="93"/>
        <v>3.1896685856542713E-2</v>
      </c>
      <c r="AJ144" s="968">
        <v>46874</v>
      </c>
      <c r="AL144" s="966">
        <f t="shared" si="86"/>
        <v>3800.9820398628553</v>
      </c>
      <c r="AM144" s="1120">
        <f t="shared" si="90"/>
        <v>2826.9568382188932</v>
      </c>
      <c r="AN144" s="966">
        <f t="shared" si="71"/>
        <v>2265.1452809008479</v>
      </c>
      <c r="AP144" s="1119">
        <f t="shared" si="82"/>
        <v>0.85580257366977797</v>
      </c>
      <c r="AQ144">
        <v>0.85580257366977797</v>
      </c>
    </row>
    <row r="145" spans="1:43">
      <c r="C145" t="s">
        <v>1598</v>
      </c>
      <c r="D145" t="s">
        <v>1597</v>
      </c>
      <c r="E145" s="128">
        <v>522</v>
      </c>
      <c r="F145" s="128">
        <v>603</v>
      </c>
      <c r="G145" s="128">
        <v>732</v>
      </c>
      <c r="H145" s="128">
        <v>955</v>
      </c>
      <c r="I145" s="128">
        <v>1132</v>
      </c>
      <c r="J145" s="128">
        <v>1147</v>
      </c>
      <c r="K145" s="128">
        <v>1174</v>
      </c>
      <c r="L145" s="360">
        <v>2021</v>
      </c>
      <c r="M145" s="360">
        <v>1224</v>
      </c>
      <c r="N145" s="360">
        <v>855</v>
      </c>
      <c r="O145" s="360">
        <v>811</v>
      </c>
      <c r="P145" s="360">
        <v>804</v>
      </c>
      <c r="Q145" s="360">
        <f>SUM(E145:L145)/SUM(T147:AA147)</f>
        <v>11202.24552655669</v>
      </c>
      <c r="T145" s="129"/>
      <c r="U145" s="129"/>
      <c r="V145" s="129"/>
      <c r="W145" s="129"/>
      <c r="X145" s="129"/>
      <c r="Y145" s="129"/>
      <c r="Z145" s="129"/>
      <c r="AA145" s="129"/>
      <c r="AB145" s="129"/>
      <c r="AC145" s="129"/>
      <c r="AD145" s="129"/>
      <c r="AE145" s="129"/>
      <c r="AJ145" s="968">
        <v>46905</v>
      </c>
      <c r="AL145" s="966">
        <f t="shared" si="86"/>
        <v>3715.5451082330565</v>
      </c>
      <c r="AM145" s="1120">
        <f t="shared" si="90"/>
        <v>3133.6268626769561</v>
      </c>
      <c r="AN145" s="966">
        <f t="shared" si="71"/>
        <v>2877.8144667736888</v>
      </c>
      <c r="AP145" s="1119">
        <f t="shared" si="82"/>
        <v>1.1084806178545261</v>
      </c>
      <c r="AQ145">
        <v>1.1084806178545261</v>
      </c>
    </row>
    <row r="146" spans="1:43">
      <c r="C146" t="s">
        <v>1601</v>
      </c>
      <c r="D146" t="s">
        <v>1600</v>
      </c>
      <c r="E146" s="128">
        <v>747</v>
      </c>
      <c r="F146" s="128">
        <v>827</v>
      </c>
      <c r="G146" s="128">
        <v>787</v>
      </c>
      <c r="H146" s="128">
        <v>718</v>
      </c>
      <c r="L146" s="360"/>
      <c r="M146" s="360"/>
      <c r="N146" s="360"/>
      <c r="O146" s="360"/>
      <c r="P146" s="360"/>
      <c r="Q146" s="360"/>
      <c r="T146" s="129"/>
      <c r="U146" s="129"/>
      <c r="V146" s="129"/>
      <c r="W146" s="129"/>
      <c r="X146" s="129"/>
      <c r="Y146" s="129"/>
      <c r="Z146" s="129"/>
      <c r="AA146" s="129"/>
      <c r="AB146" s="129"/>
      <c r="AC146" s="129"/>
      <c r="AD146" s="129"/>
      <c r="AE146" s="129"/>
      <c r="AJ146" s="968">
        <v>46935</v>
      </c>
      <c r="AL146" s="966">
        <f t="shared" si="86"/>
        <v>3751.7297570085652</v>
      </c>
      <c r="AM146" s="1120">
        <f t="shared" si="90"/>
        <v>4022.4120265716183</v>
      </c>
      <c r="AN146" s="966">
        <f t="shared" si="71"/>
        <v>3775.1941645509587</v>
      </c>
      <c r="AP146" s="1119">
        <f t="shared" si="82"/>
        <v>1.283628269364337</v>
      </c>
      <c r="AQ146">
        <v>1.283628269364337</v>
      </c>
    </row>
    <row r="147" spans="1:43">
      <c r="E147" s="129">
        <f>E145/Q145</f>
        <v>4.6597800303744163E-2</v>
      </c>
      <c r="F147" s="129">
        <f>F145/Q145</f>
        <v>5.3828493454325152E-2</v>
      </c>
      <c r="G147" s="129">
        <f>G145/Q145</f>
        <v>6.5344041805250441E-2</v>
      </c>
      <c r="H147" s="129">
        <f>H145/Q145</f>
        <v>8.5250764923516617E-2</v>
      </c>
      <c r="I147" s="129">
        <f>I145/Q145</f>
        <v>0.10105116847478619</v>
      </c>
      <c r="J147" s="129">
        <f>J145/Q145</f>
        <v>0.10239018572489378</v>
      </c>
      <c r="K147" s="129">
        <f>K145/Q145</f>
        <v>0.10480041677508745</v>
      </c>
      <c r="L147" s="139">
        <f>L145/Q145</f>
        <v>0.18041025749782941</v>
      </c>
      <c r="M147" s="139">
        <f>M145/Q145</f>
        <v>0.10926380760877942</v>
      </c>
      <c r="N147" s="139">
        <f>N145/Q145</f>
        <v>7.6323983256132683E-2</v>
      </c>
      <c r="O147" s="139">
        <f>O145/Q145</f>
        <v>7.2396199322483742E-2</v>
      </c>
      <c r="P147" s="139">
        <f>P145/Q145</f>
        <v>7.1771324605766865E-2</v>
      </c>
      <c r="Q147" s="360"/>
      <c r="S147" t="s">
        <v>1606</v>
      </c>
      <c r="T147" s="130">
        <f>AVERAGE(T139:T145)</f>
        <v>6.6629789547385326E-2</v>
      </c>
      <c r="U147" s="130">
        <f t="shared" ref="U147:AE147" si="94">AVERAGE(U139:U145)</f>
        <v>8.0932899476169023E-2</v>
      </c>
      <c r="V147" s="130">
        <f t="shared" si="94"/>
        <v>7.6969130788643259E-2</v>
      </c>
      <c r="W147" s="130">
        <f t="shared" si="94"/>
        <v>7.9158727628419287E-2</v>
      </c>
      <c r="X147" s="130">
        <f t="shared" si="94"/>
        <v>0.11770486857711754</v>
      </c>
      <c r="Y147" s="130">
        <f t="shared" si="94"/>
        <v>0.10754905771202532</v>
      </c>
      <c r="Z147" s="130">
        <f t="shared" si="94"/>
        <v>8.9923839603803957E-2</v>
      </c>
      <c r="AA147" s="130">
        <f t="shared" si="94"/>
        <v>0.12080481562586937</v>
      </c>
      <c r="AB147" s="130">
        <f t="shared" si="94"/>
        <v>8.2398748510551151E-2</v>
      </c>
      <c r="AC147" s="130">
        <f t="shared" si="94"/>
        <v>5.2841660865654533E-2</v>
      </c>
      <c r="AD147" s="130">
        <f t="shared" si="94"/>
        <v>6.077622939826572E-2</v>
      </c>
      <c r="AE147" s="130">
        <f t="shared" si="94"/>
        <v>6.4310232266095516E-2</v>
      </c>
      <c r="AI147">
        <v>46</v>
      </c>
      <c r="AJ147" s="968">
        <v>46966</v>
      </c>
      <c r="AL147" s="966">
        <f t="shared" si="86"/>
        <v>3756.1178945536467</v>
      </c>
      <c r="AM147" s="1120">
        <f t="shared" si="90"/>
        <v>3331.691718634514</v>
      </c>
      <c r="AN147" s="966">
        <f t="shared" si="71"/>
        <v>3024.4365612230249</v>
      </c>
      <c r="AP147" s="1119">
        <f t="shared" si="82"/>
        <v>0.82828205977550762</v>
      </c>
    </row>
    <row r="148" spans="1:43">
      <c r="M148" s="128" t="s">
        <v>1621</v>
      </c>
      <c r="AJ148" s="968">
        <v>46997</v>
      </c>
      <c r="AL148" s="966">
        <f t="shared" si="86"/>
        <v>3699.4105219341532</v>
      </c>
      <c r="AM148" s="1120">
        <f t="shared" si="90"/>
        <v>2967.3416224203606</v>
      </c>
      <c r="AN148" s="966">
        <f t="shared" si="71"/>
        <v>2416.1126130608659</v>
      </c>
      <c r="AP148" s="1119">
        <f t="shared" si="82"/>
        <v>0.89064111358914044</v>
      </c>
    </row>
    <row r="149" spans="1:43">
      <c r="AJ149" s="968">
        <v>47027</v>
      </c>
      <c r="AL149" s="966">
        <f t="shared" si="86"/>
        <v>3480.4302351499364</v>
      </c>
      <c r="AM149" s="1120">
        <f t="shared" si="90"/>
        <v>2829.2034265268403</v>
      </c>
      <c r="AN149" s="966">
        <f t="shared" si="71"/>
        <v>2065.6859382799275</v>
      </c>
      <c r="AP149" s="1119">
        <f t="shared" si="82"/>
        <v>0.95344715456764773</v>
      </c>
    </row>
    <row r="150" spans="1:43">
      <c r="S150" t="s">
        <v>1569</v>
      </c>
      <c r="T150" s="129">
        <f t="shared" ref="T150:T156" si="95">E139/P138</f>
        <v>0.90749999999999997</v>
      </c>
      <c r="U150" s="129">
        <f t="shared" ref="U150:AE156" si="96">F139/E139</f>
        <v>1.1744719926538107</v>
      </c>
      <c r="V150" s="129">
        <f t="shared" si="96"/>
        <v>0.8405003909304144</v>
      </c>
      <c r="W150" s="129">
        <f t="shared" si="96"/>
        <v>0.947906976744186</v>
      </c>
      <c r="X150" s="129">
        <f t="shared" si="96"/>
        <v>1.4131501472031402</v>
      </c>
      <c r="Y150" s="129">
        <f t="shared" si="96"/>
        <v>0.91319444444444442</v>
      </c>
      <c r="Z150" s="129">
        <f t="shared" si="96"/>
        <v>0.74448669201520912</v>
      </c>
      <c r="AA150" s="129">
        <f t="shared" si="96"/>
        <v>1.5556690500510726</v>
      </c>
      <c r="AB150" s="129">
        <f t="shared" si="96"/>
        <v>0.7813525935653316</v>
      </c>
      <c r="AC150" s="129">
        <f t="shared" si="96"/>
        <v>0.91596638655462181</v>
      </c>
      <c r="AD150" s="129">
        <f t="shared" si="96"/>
        <v>0.61926605504587151</v>
      </c>
      <c r="AE150" s="129">
        <f t="shared" si="96"/>
        <v>1.1985185185185185</v>
      </c>
      <c r="AJ150" s="968">
        <v>47058</v>
      </c>
      <c r="AL150" s="966">
        <f t="shared" si="86"/>
        <v>3552.5112869871891</v>
      </c>
      <c r="AM150" s="1120">
        <f t="shared" si="90"/>
        <v>2905.7549038137945</v>
      </c>
      <c r="AN150" s="966">
        <f t="shared" si="71"/>
        <v>1840.7955765416825</v>
      </c>
      <c r="AP150" s="1119">
        <f t="shared" si="82"/>
        <v>1.0270576080069751</v>
      </c>
    </row>
    <row r="151" spans="1:43">
      <c r="T151" s="129">
        <f t="shared" si="95"/>
        <v>0.92212608158220022</v>
      </c>
      <c r="U151" s="129">
        <f t="shared" si="96"/>
        <v>0.96648793565683644</v>
      </c>
      <c r="V151" s="129">
        <f t="shared" si="96"/>
        <v>1</v>
      </c>
      <c r="W151" s="129">
        <f t="shared" si="96"/>
        <v>1.0832177531206657</v>
      </c>
      <c r="X151" s="129">
        <f t="shared" si="96"/>
        <v>1.2023047375160052</v>
      </c>
      <c r="Y151" s="129">
        <f t="shared" si="96"/>
        <v>1.0383386581469649</v>
      </c>
      <c r="Z151" s="129">
        <f t="shared" si="96"/>
        <v>1.1097435897435897</v>
      </c>
      <c r="AA151" s="129">
        <f t="shared" si="96"/>
        <v>1.4593345656192236</v>
      </c>
      <c r="AB151" s="129">
        <f t="shared" si="96"/>
        <v>0.83407219759341356</v>
      </c>
      <c r="AC151" s="129">
        <f t="shared" si="96"/>
        <v>0.64312832194381164</v>
      </c>
      <c r="AD151" s="129">
        <f t="shared" si="96"/>
        <v>1.1027154663518299</v>
      </c>
      <c r="AE151" s="129">
        <f t="shared" si="96"/>
        <v>0.9411134903640257</v>
      </c>
      <c r="AJ151" s="968">
        <v>47088</v>
      </c>
      <c r="AL151" s="966">
        <f t="shared" si="86"/>
        <v>4129.3617912289274</v>
      </c>
      <c r="AM151" s="1120">
        <f t="shared" si="90"/>
        <v>3791.2818467432771</v>
      </c>
      <c r="AN151" s="966">
        <f t="shared" si="71"/>
        <v>3136.4221365786188</v>
      </c>
      <c r="AP151" s="1119">
        <f t="shared" si="82"/>
        <v>1.3047493585117007</v>
      </c>
    </row>
    <row r="152" spans="1:43">
      <c r="T152" s="129">
        <f t="shared" si="95"/>
        <v>0.80887372013651881</v>
      </c>
      <c r="U152" s="129">
        <f t="shared" si="96"/>
        <v>1.3670886075949367</v>
      </c>
      <c r="V152" s="129">
        <f t="shared" si="96"/>
        <v>0.81172839506172845</v>
      </c>
      <c r="W152" s="129">
        <f t="shared" si="96"/>
        <v>1.3219264892268694</v>
      </c>
      <c r="X152" s="129">
        <f t="shared" si="96"/>
        <v>1.3106423777564717</v>
      </c>
      <c r="Y152" s="129">
        <f t="shared" si="96"/>
        <v>0.53547915142648139</v>
      </c>
      <c r="Z152" s="129">
        <f t="shared" si="96"/>
        <v>0.86338797814207646</v>
      </c>
      <c r="AA152" s="129">
        <f t="shared" si="96"/>
        <v>1.0316455696202531</v>
      </c>
      <c r="AB152" s="129">
        <f t="shared" si="96"/>
        <v>1.044478527607362</v>
      </c>
      <c r="AC152" s="129">
        <f t="shared" si="96"/>
        <v>0.50073421439060206</v>
      </c>
      <c r="AD152" s="129">
        <f t="shared" si="96"/>
        <v>2.6070381231671553</v>
      </c>
      <c r="AE152" s="129">
        <f t="shared" si="96"/>
        <v>1.0438695163104612</v>
      </c>
      <c r="AJ152" s="968">
        <v>47119</v>
      </c>
      <c r="AL152" s="966">
        <f t="shared" si="86"/>
        <v>3958.878118885671</v>
      </c>
      <c r="AM152" s="1120">
        <f t="shared" si="90"/>
        <v>3465.9071433699355</v>
      </c>
      <c r="AN152" s="966">
        <f t="shared" ref="AN152:AN159" si="97">_xlfn.FORECAST.ETS($AJ152,$AK$87:$AK$110,$AJ$87:$AJ$110,12,1,1)</f>
        <v>3243.4056525862584</v>
      </c>
      <c r="AP152" s="1119">
        <f t="shared" si="82"/>
        <v>0.91417818127849304</v>
      </c>
    </row>
    <row r="153" spans="1:43">
      <c r="T153" s="129">
        <f t="shared" si="95"/>
        <v>0.90409482758620685</v>
      </c>
      <c r="U153" s="129">
        <f t="shared" si="96"/>
        <v>1.134684147794994</v>
      </c>
      <c r="V153" s="129">
        <f t="shared" si="96"/>
        <v>0.98004201680672265</v>
      </c>
      <c r="W153" s="129">
        <f t="shared" si="96"/>
        <v>0.96784565916398713</v>
      </c>
      <c r="X153" s="129">
        <f t="shared" si="96"/>
        <v>1.884828349944629</v>
      </c>
      <c r="Y153" s="129">
        <f t="shared" si="96"/>
        <v>1.1480611045828437</v>
      </c>
      <c r="Z153" s="129">
        <f t="shared" si="96"/>
        <v>0.81525076765609006</v>
      </c>
      <c r="AA153" s="129">
        <f t="shared" si="96"/>
        <v>1.1544256120527308</v>
      </c>
      <c r="AB153" s="129">
        <f t="shared" si="96"/>
        <v>0.53072321914083742</v>
      </c>
      <c r="AC153" s="129">
        <f t="shared" si="96"/>
        <v>0.58196721311475408</v>
      </c>
      <c r="AD153" s="129">
        <f t="shared" si="96"/>
        <v>1.1848591549295775</v>
      </c>
      <c r="AE153" s="129">
        <f t="shared" si="96"/>
        <v>1.4487369985141159</v>
      </c>
      <c r="AJ153" s="968">
        <v>47150</v>
      </c>
      <c r="AL153" s="966">
        <f t="shared" si="86"/>
        <v>3771.8886015088069</v>
      </c>
      <c r="AM153" s="1120">
        <f t="shared" si="90"/>
        <v>3011.2670450418782</v>
      </c>
      <c r="AN153" s="966">
        <f t="shared" si="97"/>
        <v>3033.8274054484536</v>
      </c>
      <c r="AP153" s="1119">
        <f t="shared" si="82"/>
        <v>0.86882507824892097</v>
      </c>
    </row>
    <row r="154" spans="1:43">
      <c r="T154" s="129">
        <f t="shared" si="95"/>
        <v>0.82564102564102559</v>
      </c>
      <c r="U154" s="129">
        <f t="shared" si="96"/>
        <v>1.5465838509316769</v>
      </c>
      <c r="V154" s="129">
        <f t="shared" si="96"/>
        <v>1.3461847389558232</v>
      </c>
      <c r="W154" s="129">
        <f t="shared" si="96"/>
        <v>0.88603818615751795</v>
      </c>
      <c r="X154" s="129">
        <f t="shared" si="96"/>
        <v>1.8067340067340067</v>
      </c>
      <c r="Y154" s="129">
        <f t="shared" si="96"/>
        <v>0.90421170331718226</v>
      </c>
      <c r="Z154" s="129">
        <f t="shared" si="96"/>
        <v>0.70774938169826873</v>
      </c>
      <c r="AA154" s="129">
        <f t="shared" si="96"/>
        <v>1.6499708794408852</v>
      </c>
      <c r="AB154" s="129">
        <f t="shared" si="96"/>
        <v>0.52912107306741973</v>
      </c>
      <c r="AC154" s="129">
        <f t="shared" si="96"/>
        <v>0.62975316877918608</v>
      </c>
      <c r="AD154" s="129">
        <f t="shared" si="96"/>
        <v>1.1811440677966101</v>
      </c>
      <c r="AE154" s="129">
        <f t="shared" si="96"/>
        <v>0.91121076233183862</v>
      </c>
      <c r="AJ154" s="968">
        <v>47178</v>
      </c>
      <c r="AL154" s="966">
        <f t="shared" si="86"/>
        <v>4161.2499340767044</v>
      </c>
      <c r="AM154" s="1120">
        <f t="shared" si="90"/>
        <v>4066.9678291473365</v>
      </c>
      <c r="AN154" s="966">
        <f t="shared" si="97"/>
        <v>3732.8636279493758</v>
      </c>
      <c r="AP154" s="1119">
        <f t="shared" si="82"/>
        <v>1.3505835810356621</v>
      </c>
    </row>
    <row r="155" spans="1:43">
      <c r="T155" s="129">
        <f t="shared" si="95"/>
        <v>1.0059055118110236</v>
      </c>
      <c r="U155" s="129">
        <f t="shared" si="96"/>
        <v>1.2054794520547945</v>
      </c>
      <c r="V155" s="129">
        <f t="shared" si="96"/>
        <v>0.88879870129870131</v>
      </c>
      <c r="W155" s="129">
        <f t="shared" si="96"/>
        <v>0.9762557077625571</v>
      </c>
      <c r="X155" s="129">
        <f t="shared" si="96"/>
        <v>1.4087932647333956</v>
      </c>
      <c r="Y155" s="129">
        <f t="shared" si="96"/>
        <v>1.047144754316069</v>
      </c>
      <c r="Z155" s="129">
        <f t="shared" si="96"/>
        <v>0.85795814838300566</v>
      </c>
      <c r="AA155" s="129">
        <f t="shared" si="96"/>
        <v>1.2342941611234295</v>
      </c>
      <c r="AB155" s="129">
        <f t="shared" si="96"/>
        <v>0.57425149700598799</v>
      </c>
      <c r="AC155" s="129">
        <f t="shared" si="96"/>
        <v>0.51303441084462986</v>
      </c>
      <c r="AD155" s="129">
        <f t="shared" si="96"/>
        <v>0.9532520325203252</v>
      </c>
      <c r="AE155" s="129">
        <f t="shared" si="96"/>
        <v>0.87420042643923246</v>
      </c>
      <c r="AJ155" s="968">
        <v>47209</v>
      </c>
      <c r="AL155" s="966">
        <f t="shared" si="86"/>
        <v>4420.428127566609</v>
      </c>
      <c r="AM155" s="1120">
        <f t="shared" si="90"/>
        <v>3425.1254306144424</v>
      </c>
      <c r="AN155" s="966">
        <f t="shared" si="97"/>
        <v>2872.3997322012465</v>
      </c>
      <c r="AP155" s="1119">
        <f t="shared" si="82"/>
        <v>0.84218158945519372</v>
      </c>
    </row>
    <row r="156" spans="1:43">
      <c r="T156" s="129">
        <f t="shared" si="95"/>
        <v>1.2731707317073171</v>
      </c>
      <c r="U156" s="129">
        <f t="shared" si="96"/>
        <v>1.1551724137931034</v>
      </c>
      <c r="V156" s="129">
        <f t="shared" si="96"/>
        <v>1.2139303482587065</v>
      </c>
      <c r="W156" s="129">
        <f t="shared" si="96"/>
        <v>1.3046448087431695</v>
      </c>
      <c r="X156" s="129">
        <f t="shared" si="96"/>
        <v>1.1853403141361256</v>
      </c>
      <c r="Y156" s="129">
        <f t="shared" si="96"/>
        <v>1.0132508833922262</v>
      </c>
      <c r="Z156" s="129">
        <f t="shared" si="96"/>
        <v>1.023539668700959</v>
      </c>
      <c r="AA156" s="129">
        <f t="shared" si="96"/>
        <v>1.721465076660988</v>
      </c>
      <c r="AB156" s="129">
        <f t="shared" si="96"/>
        <v>0.60564077189510146</v>
      </c>
      <c r="AC156" s="129">
        <f t="shared" si="96"/>
        <v>0.69852941176470584</v>
      </c>
      <c r="AD156" s="129">
        <f t="shared" si="96"/>
        <v>0.94853801169590646</v>
      </c>
      <c r="AE156" s="129">
        <f t="shared" si="96"/>
        <v>0.99136868064118377</v>
      </c>
      <c r="AJ156" s="968">
        <v>47239</v>
      </c>
      <c r="AL156" s="966">
        <f t="shared" si="86"/>
        <v>4041.1350398855429</v>
      </c>
      <c r="AM156" s="1120">
        <f t="shared" si="90"/>
        <v>2948.8007349900995</v>
      </c>
      <c r="AN156" s="966">
        <f t="shared" si="97"/>
        <v>2304.5799146165914</v>
      </c>
      <c r="AP156" s="1119">
        <f t="shared" si="82"/>
        <v>0.86093218912018243</v>
      </c>
    </row>
    <row r="157" spans="1:43">
      <c r="T157" s="129"/>
      <c r="U157" s="129"/>
      <c r="V157" s="129"/>
      <c r="W157" s="129"/>
      <c r="X157" s="129"/>
      <c r="Y157" s="129"/>
      <c r="Z157" s="129"/>
      <c r="AA157" s="129"/>
      <c r="AB157" s="129"/>
      <c r="AC157" s="129"/>
      <c r="AD157" s="129"/>
      <c r="AE157" s="129"/>
      <c r="AJ157" s="968">
        <v>47270</v>
      </c>
      <c r="AL157" s="966">
        <f t="shared" si="86"/>
        <v>3955.698108255744</v>
      </c>
      <c r="AM157" s="1120">
        <f t="shared" si="90"/>
        <v>3255.4707594481633</v>
      </c>
      <c r="AN157" s="966">
        <f t="shared" si="97"/>
        <v>2917.2491004894323</v>
      </c>
      <c r="AP157" s="1119">
        <f t="shared" si="82"/>
        <v>1.1039982189434354</v>
      </c>
    </row>
    <row r="158" spans="1:43">
      <c r="S158" t="s">
        <v>1606</v>
      </c>
      <c r="T158" s="130">
        <f>AVERAGE(T150:T156)</f>
        <v>0.94961598549489901</v>
      </c>
      <c r="U158" s="130">
        <f t="shared" ref="U158:AE158" si="98">AVERAGE(U150:U156)</f>
        <v>1.2214240572114503</v>
      </c>
      <c r="V158" s="130">
        <f t="shared" si="98"/>
        <v>1.0115977987588709</v>
      </c>
      <c r="W158" s="130">
        <f t="shared" si="98"/>
        <v>1.0696907972741361</v>
      </c>
      <c r="X158" s="130">
        <f t="shared" si="98"/>
        <v>1.4588275997176823</v>
      </c>
      <c r="Y158" s="130">
        <f t="shared" si="98"/>
        <v>0.9428115285180303</v>
      </c>
      <c r="Z158" s="130">
        <f t="shared" si="98"/>
        <v>0.87458803233417115</v>
      </c>
      <c r="AA158" s="130">
        <f t="shared" si="98"/>
        <v>1.4009721306526548</v>
      </c>
      <c r="AB158" s="130">
        <f t="shared" si="98"/>
        <v>0.69994855426792202</v>
      </c>
      <c r="AC158" s="130">
        <f t="shared" si="98"/>
        <v>0.64044473248461586</v>
      </c>
      <c r="AD158" s="130">
        <f t="shared" si="98"/>
        <v>1.2281161302153252</v>
      </c>
      <c r="AE158" s="130">
        <f t="shared" si="98"/>
        <v>1.0584311990170538</v>
      </c>
      <c r="AJ158" s="968">
        <v>47300</v>
      </c>
      <c r="AL158" s="966">
        <f t="shared" si="86"/>
        <v>3991.8827570312533</v>
      </c>
      <c r="AM158" s="1120">
        <f t="shared" si="90"/>
        <v>4144.2559233428246</v>
      </c>
      <c r="AN158" s="966">
        <f t="shared" si="97"/>
        <v>3814.6287982667027</v>
      </c>
      <c r="AP158" s="1119">
        <f t="shared" si="82"/>
        <v>1.2730127927935435</v>
      </c>
    </row>
    <row r="159" spans="1:43">
      <c r="AI159">
        <v>47</v>
      </c>
      <c r="AJ159" s="968">
        <v>47331</v>
      </c>
      <c r="AL159" s="966">
        <f t="shared" si="86"/>
        <v>3996.2708945763347</v>
      </c>
      <c r="AM159" s="1120">
        <f t="shared" si="90"/>
        <v>3453.5356154057204</v>
      </c>
      <c r="AN159" s="966">
        <f t="shared" si="97"/>
        <v>3063.8711949387689</v>
      </c>
      <c r="AP159" s="1119">
        <f t="shared" si="82"/>
        <v>0.83333068210228722</v>
      </c>
    </row>
    <row r="160" spans="1:43">
      <c r="A160" t="s">
        <v>1622</v>
      </c>
      <c r="B160" s="127" t="s">
        <v>1562</v>
      </c>
      <c r="C160" t="s">
        <v>1624</v>
      </c>
      <c r="D160" t="s">
        <v>1577</v>
      </c>
    </row>
    <row r="161" spans="1:31">
      <c r="B161" s="127"/>
      <c r="C161" t="s">
        <v>1580</v>
      </c>
      <c r="D161" t="s">
        <v>1579</v>
      </c>
      <c r="E161" s="128">
        <v>40</v>
      </c>
      <c r="F161" s="128">
        <v>79</v>
      </c>
      <c r="G161" s="128">
        <v>107</v>
      </c>
      <c r="H161" s="128">
        <v>97</v>
      </c>
      <c r="I161" s="128">
        <v>45</v>
      </c>
      <c r="J161" s="128">
        <v>43</v>
      </c>
      <c r="K161" s="128">
        <v>158</v>
      </c>
      <c r="L161" s="128">
        <v>185</v>
      </c>
      <c r="M161" s="128">
        <v>100</v>
      </c>
      <c r="N161" s="128">
        <v>121</v>
      </c>
      <c r="O161" s="128">
        <v>60</v>
      </c>
      <c r="P161" s="128">
        <v>92</v>
      </c>
      <c r="Q161" s="128">
        <f t="shared" ref="Q161:Q167" si="99">SUM(E161:P161)</f>
        <v>1127</v>
      </c>
      <c r="T161" s="129">
        <f t="shared" ref="T161:AE166" si="100">E161/$Q161</f>
        <v>3.5492457852706299E-2</v>
      </c>
      <c r="U161" s="129">
        <f t="shared" si="100"/>
        <v>7.0097604259094948E-2</v>
      </c>
      <c r="V161" s="129">
        <f t="shared" si="100"/>
        <v>9.4942324755989349E-2</v>
      </c>
      <c r="W161" s="129">
        <f t="shared" si="100"/>
        <v>8.6069210292812781E-2</v>
      </c>
      <c r="X161" s="129">
        <f t="shared" si="100"/>
        <v>3.992901508429459E-2</v>
      </c>
      <c r="Y161" s="129">
        <f t="shared" si="100"/>
        <v>3.8154392191659274E-2</v>
      </c>
      <c r="Z161" s="129">
        <f t="shared" si="100"/>
        <v>0.1401952085181899</v>
      </c>
      <c r="AA161" s="129">
        <f t="shared" si="100"/>
        <v>0.16415261756876665</v>
      </c>
      <c r="AB161" s="129">
        <f t="shared" si="100"/>
        <v>8.8731144631765749E-2</v>
      </c>
      <c r="AC161" s="129">
        <f t="shared" si="100"/>
        <v>0.10736468500443656</v>
      </c>
      <c r="AD161" s="129">
        <f t="shared" si="100"/>
        <v>5.3238686779059449E-2</v>
      </c>
      <c r="AE161" s="129">
        <f t="shared" si="100"/>
        <v>8.1632653061224483E-2</v>
      </c>
    </row>
    <row r="162" spans="1:31">
      <c r="C162" t="s">
        <v>1583</v>
      </c>
      <c r="D162" t="s">
        <v>1582</v>
      </c>
      <c r="E162" s="128">
        <v>50</v>
      </c>
      <c r="F162">
        <v>184</v>
      </c>
      <c r="G162">
        <v>132</v>
      </c>
      <c r="H162">
        <v>162</v>
      </c>
      <c r="I162">
        <v>160</v>
      </c>
      <c r="J162">
        <v>98</v>
      </c>
      <c r="K162">
        <v>192</v>
      </c>
      <c r="L162">
        <v>214</v>
      </c>
      <c r="M162">
        <v>113</v>
      </c>
      <c r="N162">
        <v>120</v>
      </c>
      <c r="O162">
        <v>136</v>
      </c>
      <c r="P162">
        <v>118</v>
      </c>
      <c r="Q162" s="128">
        <f t="shared" si="99"/>
        <v>1679</v>
      </c>
      <c r="T162" s="129">
        <f t="shared" si="100"/>
        <v>2.9779630732578916E-2</v>
      </c>
      <c r="U162" s="129">
        <f t="shared" si="100"/>
        <v>0.1095890410958904</v>
      </c>
      <c r="V162" s="129">
        <f t="shared" si="100"/>
        <v>7.8618225134008332E-2</v>
      </c>
      <c r="W162" s="129">
        <f t="shared" si="100"/>
        <v>9.648600357355569E-2</v>
      </c>
      <c r="X162" s="129">
        <f t="shared" si="100"/>
        <v>9.5294818344252533E-2</v>
      </c>
      <c r="Y162" s="129">
        <f t="shared" si="100"/>
        <v>5.8368076235854674E-2</v>
      </c>
      <c r="Z162" s="129">
        <f t="shared" si="100"/>
        <v>0.11435378201310303</v>
      </c>
      <c r="AA162" s="129">
        <f t="shared" si="100"/>
        <v>0.12745681953543775</v>
      </c>
      <c r="AB162" s="129">
        <f t="shared" si="100"/>
        <v>6.7301965455628346E-2</v>
      </c>
      <c r="AC162" s="129">
        <f t="shared" si="100"/>
        <v>7.1471113758189403E-2</v>
      </c>
      <c r="AD162" s="129">
        <f t="shared" si="100"/>
        <v>8.1000595592614646E-2</v>
      </c>
      <c r="AE162" s="129">
        <f t="shared" si="100"/>
        <v>7.0279928528886246E-2</v>
      </c>
    </row>
    <row r="163" spans="1:31">
      <c r="C163" t="s">
        <v>1586</v>
      </c>
      <c r="D163" t="s">
        <v>1585</v>
      </c>
      <c r="E163">
        <v>107</v>
      </c>
      <c r="F163">
        <v>233</v>
      </c>
      <c r="G163">
        <v>137</v>
      </c>
      <c r="H163">
        <v>142</v>
      </c>
      <c r="I163">
        <v>140</v>
      </c>
      <c r="J163">
        <v>136</v>
      </c>
      <c r="K163">
        <v>67</v>
      </c>
      <c r="L163">
        <v>140</v>
      </c>
      <c r="M163">
        <v>278</v>
      </c>
      <c r="N163">
        <v>744</v>
      </c>
      <c r="O163">
        <v>115</v>
      </c>
      <c r="P163">
        <v>126</v>
      </c>
      <c r="Q163" s="128">
        <f t="shared" si="99"/>
        <v>2365</v>
      </c>
      <c r="T163" s="129">
        <f t="shared" si="100"/>
        <v>4.5243128964059194E-2</v>
      </c>
      <c r="U163" s="129">
        <f t="shared" si="100"/>
        <v>9.8520084566596194E-2</v>
      </c>
      <c r="V163" s="129">
        <f t="shared" si="100"/>
        <v>5.7928118393234675E-2</v>
      </c>
      <c r="W163" s="129">
        <f t="shared" si="100"/>
        <v>6.004228329809725E-2</v>
      </c>
      <c r="X163" s="129">
        <f t="shared" si="100"/>
        <v>5.9196617336152217E-2</v>
      </c>
      <c r="Y163" s="129">
        <f t="shared" si="100"/>
        <v>5.7505285412262158E-2</v>
      </c>
      <c r="Z163" s="129">
        <f t="shared" si="100"/>
        <v>2.8329809725158563E-2</v>
      </c>
      <c r="AA163" s="129">
        <f t="shared" si="100"/>
        <v>5.9196617336152217E-2</v>
      </c>
      <c r="AB163" s="129">
        <f t="shared" si="100"/>
        <v>0.1175475687103594</v>
      </c>
      <c r="AC163" s="129">
        <f t="shared" si="100"/>
        <v>0.31458773784355182</v>
      </c>
      <c r="AD163" s="129">
        <f t="shared" si="100"/>
        <v>4.8625792811839326E-2</v>
      </c>
      <c r="AE163" s="129">
        <f t="shared" si="100"/>
        <v>5.3276955602537E-2</v>
      </c>
    </row>
    <row r="164" spans="1:31">
      <c r="C164" t="s">
        <v>1589</v>
      </c>
      <c r="D164" t="s">
        <v>1588</v>
      </c>
      <c r="E164">
        <v>210</v>
      </c>
      <c r="F164">
        <v>212</v>
      </c>
      <c r="G164">
        <v>547</v>
      </c>
      <c r="H164">
        <v>248</v>
      </c>
      <c r="I164">
        <v>492</v>
      </c>
      <c r="J164">
        <v>458</v>
      </c>
      <c r="K164">
        <v>607</v>
      </c>
      <c r="L164">
        <v>883</v>
      </c>
      <c r="M164">
        <v>144</v>
      </c>
      <c r="N164">
        <v>114</v>
      </c>
      <c r="O164">
        <v>140</v>
      </c>
      <c r="P164">
        <v>187</v>
      </c>
      <c r="Q164" s="128">
        <f t="shared" si="99"/>
        <v>4242</v>
      </c>
      <c r="T164" s="129">
        <f t="shared" si="100"/>
        <v>4.9504950495049507E-2</v>
      </c>
      <c r="U164" s="129">
        <f t="shared" si="100"/>
        <v>4.9976426214049977E-2</v>
      </c>
      <c r="V164" s="129">
        <f t="shared" si="100"/>
        <v>0.12894860914662895</v>
      </c>
      <c r="W164" s="129">
        <f t="shared" si="100"/>
        <v>5.8462989156058465E-2</v>
      </c>
      <c r="X164" s="129">
        <f t="shared" si="100"/>
        <v>0.11598302687411598</v>
      </c>
      <c r="Y164" s="129">
        <f t="shared" si="100"/>
        <v>0.10796793965110797</v>
      </c>
      <c r="Z164" s="129">
        <f t="shared" si="100"/>
        <v>0.14309288071664308</v>
      </c>
      <c r="AA164" s="129">
        <f t="shared" si="100"/>
        <v>0.20815652993870815</v>
      </c>
      <c r="AB164" s="129">
        <f t="shared" si="100"/>
        <v>3.3946251768033946E-2</v>
      </c>
      <c r="AC164" s="129">
        <f t="shared" si="100"/>
        <v>2.6874115983026876E-2</v>
      </c>
      <c r="AD164" s="129">
        <f t="shared" si="100"/>
        <v>3.3003300330033E-2</v>
      </c>
      <c r="AE164" s="129">
        <f t="shared" si="100"/>
        <v>4.4082979726544083E-2</v>
      </c>
    </row>
    <row r="165" spans="1:31">
      <c r="C165" t="s">
        <v>1592</v>
      </c>
      <c r="D165" t="s">
        <v>1591</v>
      </c>
      <c r="E165">
        <v>221</v>
      </c>
      <c r="F165">
        <v>273</v>
      </c>
      <c r="G165">
        <v>366</v>
      </c>
      <c r="H165">
        <v>448</v>
      </c>
      <c r="I165">
        <v>738</v>
      </c>
      <c r="J165">
        <v>609</v>
      </c>
      <c r="K165">
        <v>763</v>
      </c>
      <c r="L165">
        <v>1133</v>
      </c>
      <c r="M165">
        <v>591</v>
      </c>
      <c r="N165">
        <v>317</v>
      </c>
      <c r="O165">
        <v>331</v>
      </c>
      <c r="P165">
        <v>427</v>
      </c>
      <c r="Q165" s="128">
        <f t="shared" si="99"/>
        <v>6217</v>
      </c>
      <c r="T165" s="129">
        <f t="shared" si="100"/>
        <v>3.5547691812771433E-2</v>
      </c>
      <c r="U165" s="129">
        <f t="shared" si="100"/>
        <v>4.3911854592247064E-2</v>
      </c>
      <c r="V165" s="129">
        <f t="shared" si="100"/>
        <v>5.8870838024770791E-2</v>
      </c>
      <c r="W165" s="129">
        <f t="shared" si="100"/>
        <v>7.2060479330866983E-2</v>
      </c>
      <c r="X165" s="129">
        <f t="shared" si="100"/>
        <v>0.11870677175486569</v>
      </c>
      <c r="Y165" s="129">
        <f t="shared" si="100"/>
        <v>9.7957214090397302E-2</v>
      </c>
      <c r="Z165" s="129">
        <f t="shared" si="100"/>
        <v>0.12272800386038282</v>
      </c>
      <c r="AA165" s="129">
        <f t="shared" si="100"/>
        <v>0.18224223902203635</v>
      </c>
      <c r="AB165" s="129">
        <f t="shared" si="100"/>
        <v>9.5061926974424962E-2</v>
      </c>
      <c r="AC165" s="129">
        <f t="shared" si="100"/>
        <v>5.0989223097957212E-2</v>
      </c>
      <c r="AD165" s="129">
        <f t="shared" si="100"/>
        <v>5.3241113077046806E-2</v>
      </c>
      <c r="AE165" s="129">
        <f t="shared" si="100"/>
        <v>6.8682644362232592E-2</v>
      </c>
    </row>
    <row r="166" spans="1:31">
      <c r="C166" t="s">
        <v>1595</v>
      </c>
      <c r="D166" t="s">
        <v>1594</v>
      </c>
      <c r="E166">
        <v>187</v>
      </c>
      <c r="F166">
        <v>376</v>
      </c>
      <c r="G166">
        <v>270</v>
      </c>
      <c r="H166">
        <v>115</v>
      </c>
      <c r="I166">
        <v>172</v>
      </c>
      <c r="J166">
        <v>481</v>
      </c>
      <c r="K166">
        <v>214</v>
      </c>
      <c r="L166">
        <v>878</v>
      </c>
      <c r="M166">
        <v>196</v>
      </c>
      <c r="N166">
        <v>96</v>
      </c>
      <c r="O166">
        <v>108</v>
      </c>
      <c r="P166">
        <v>156</v>
      </c>
      <c r="Q166" s="128">
        <f t="shared" si="99"/>
        <v>3249</v>
      </c>
      <c r="T166" s="129">
        <f t="shared" si="100"/>
        <v>5.755617112957833E-2</v>
      </c>
      <c r="U166" s="129">
        <f t="shared" si="100"/>
        <v>0.11572791628193291</v>
      </c>
      <c r="V166" s="129">
        <f t="shared" si="100"/>
        <v>8.3102493074792241E-2</v>
      </c>
      <c r="W166" s="129">
        <f t="shared" si="100"/>
        <v>3.5395506309633736E-2</v>
      </c>
      <c r="X166" s="129">
        <f t="shared" si="100"/>
        <v>5.2939365958756542E-2</v>
      </c>
      <c r="Y166" s="129">
        <f t="shared" si="100"/>
        <v>0.14804555247768544</v>
      </c>
      <c r="Z166" s="129">
        <f t="shared" si="100"/>
        <v>6.5866420437057552E-2</v>
      </c>
      <c r="AA166" s="129">
        <f t="shared" si="100"/>
        <v>0.27023699599876883</v>
      </c>
      <c r="AB166" s="129">
        <f t="shared" si="100"/>
        <v>6.0326254232071407E-2</v>
      </c>
      <c r="AC166" s="129">
        <f t="shared" si="100"/>
        <v>2.9547553093259463E-2</v>
      </c>
      <c r="AD166" s="129">
        <f t="shared" si="100"/>
        <v>3.3240997229916899E-2</v>
      </c>
      <c r="AE166" s="129">
        <f t="shared" si="100"/>
        <v>4.8014773776546629E-2</v>
      </c>
    </row>
    <row r="167" spans="1:31">
      <c r="C167" t="s">
        <v>1598</v>
      </c>
      <c r="D167" t="s">
        <v>1597</v>
      </c>
      <c r="E167">
        <v>103</v>
      </c>
      <c r="F167">
        <v>241</v>
      </c>
      <c r="G167">
        <v>268</v>
      </c>
      <c r="H167">
        <v>186</v>
      </c>
      <c r="I167">
        <v>232</v>
      </c>
      <c r="J167">
        <v>318</v>
      </c>
      <c r="K167">
        <v>474</v>
      </c>
      <c r="L167">
        <v>1018</v>
      </c>
      <c r="Q167" s="128">
        <f t="shared" si="99"/>
        <v>2840</v>
      </c>
      <c r="T167" s="129"/>
      <c r="U167" s="129"/>
      <c r="V167" s="129"/>
      <c r="W167" s="129"/>
      <c r="X167" s="129"/>
      <c r="Y167" s="129"/>
      <c r="Z167" s="129"/>
      <c r="AA167" s="129"/>
      <c r="AB167" s="129"/>
      <c r="AC167" s="129"/>
      <c r="AD167" s="129"/>
      <c r="AE167" s="129"/>
    </row>
    <row r="168" spans="1:31">
      <c r="T168" s="130">
        <f>AVERAGE(T161:T167)</f>
        <v>4.2187338497790605E-2</v>
      </c>
      <c r="U168" s="130">
        <f t="shared" ref="U168:AE168" si="101">AVERAGE(U161:U167)</f>
        <v>8.1303821168301912E-2</v>
      </c>
      <c r="V168" s="130">
        <f t="shared" si="101"/>
        <v>8.3735101421570715E-2</v>
      </c>
      <c r="W168" s="130">
        <f t="shared" si="101"/>
        <v>6.8086078660170815E-2</v>
      </c>
      <c r="X168" s="130">
        <f t="shared" si="101"/>
        <v>8.0341602558739594E-2</v>
      </c>
      <c r="Y168" s="130">
        <f t="shared" si="101"/>
        <v>8.4666410009827817E-2</v>
      </c>
      <c r="Z168" s="130">
        <f t="shared" si="101"/>
        <v>0.10242768421175584</v>
      </c>
      <c r="AA168" s="130">
        <f t="shared" si="101"/>
        <v>0.16857363656664495</v>
      </c>
      <c r="AB168" s="130">
        <f t="shared" si="101"/>
        <v>7.7152518628713959E-2</v>
      </c>
      <c r="AC168" s="130">
        <f t="shared" si="101"/>
        <v>0.10013907146340356</v>
      </c>
      <c r="AD168" s="130">
        <f t="shared" si="101"/>
        <v>5.0391747636751694E-2</v>
      </c>
      <c r="AE168" s="130">
        <f t="shared" si="101"/>
        <v>6.0994989176328507E-2</v>
      </c>
    </row>
    <row r="171" spans="1:31">
      <c r="A171" t="s">
        <v>1619</v>
      </c>
      <c r="B171" s="127" t="s">
        <v>1562</v>
      </c>
      <c r="C171" t="s">
        <v>1624</v>
      </c>
      <c r="D171" t="s">
        <v>1577</v>
      </c>
    </row>
    <row r="172" spans="1:31">
      <c r="B172" s="127"/>
      <c r="C172" t="s">
        <v>1580</v>
      </c>
      <c r="D172" t="s">
        <v>1579</v>
      </c>
      <c r="E172" s="128">
        <v>1129</v>
      </c>
      <c r="F172" s="128">
        <v>1358</v>
      </c>
      <c r="G172" s="128">
        <v>1182</v>
      </c>
      <c r="H172" s="128">
        <v>1116</v>
      </c>
      <c r="I172" s="128">
        <v>1485</v>
      </c>
      <c r="J172" s="128">
        <v>1358</v>
      </c>
      <c r="K172" s="128">
        <v>1137</v>
      </c>
      <c r="L172" s="128">
        <v>1708</v>
      </c>
      <c r="M172" s="128">
        <v>1290</v>
      </c>
      <c r="N172" s="128">
        <v>1211</v>
      </c>
      <c r="O172" s="128">
        <v>735</v>
      </c>
      <c r="P172" s="128">
        <v>901</v>
      </c>
      <c r="Q172" s="128">
        <f t="shared" ref="Q172:Q178" si="102">SUM(E172:P172)</f>
        <v>14610</v>
      </c>
      <c r="T172" s="129">
        <f t="shared" ref="T172:AE178" si="103">E172/$Q172</f>
        <v>7.7275838466803554E-2</v>
      </c>
      <c r="U172" s="129">
        <f t="shared" si="103"/>
        <v>9.2950034223134845E-2</v>
      </c>
      <c r="V172" s="129">
        <f t="shared" si="103"/>
        <v>8.0903490759753588E-2</v>
      </c>
      <c r="W172" s="129">
        <f t="shared" si="103"/>
        <v>7.6386036960985629E-2</v>
      </c>
      <c r="X172" s="129">
        <f t="shared" si="103"/>
        <v>0.10164271047227925</v>
      </c>
      <c r="Y172" s="129">
        <f t="shared" si="103"/>
        <v>9.2950034223134845E-2</v>
      </c>
      <c r="Z172" s="129">
        <f t="shared" si="103"/>
        <v>7.7823408624229984E-2</v>
      </c>
      <c r="AA172" s="129">
        <f t="shared" si="103"/>
        <v>0.11690622861054073</v>
      </c>
      <c r="AB172" s="129">
        <f t="shared" si="103"/>
        <v>8.8295687885010271E-2</v>
      </c>
      <c r="AC172" s="129">
        <f t="shared" si="103"/>
        <v>8.2888432580424373E-2</v>
      </c>
      <c r="AD172" s="129">
        <f t="shared" si="103"/>
        <v>5.0308008213552365E-2</v>
      </c>
      <c r="AE172" s="129">
        <f t="shared" si="103"/>
        <v>6.1670088980150584E-2</v>
      </c>
    </row>
    <row r="173" spans="1:31">
      <c r="C173" t="s">
        <v>1583</v>
      </c>
      <c r="D173" t="s">
        <v>1582</v>
      </c>
      <c r="E173" s="128">
        <v>796</v>
      </c>
      <c r="F173">
        <v>905</v>
      </c>
      <c r="G173">
        <v>853</v>
      </c>
      <c r="H173">
        <v>943</v>
      </c>
      <c r="I173">
        <v>1099</v>
      </c>
      <c r="J173">
        <v>1073</v>
      </c>
      <c r="K173">
        <v>1274</v>
      </c>
      <c r="L173">
        <v>1793</v>
      </c>
      <c r="M173">
        <v>1430</v>
      </c>
      <c r="N173">
        <v>967</v>
      </c>
      <c r="O173">
        <v>1070</v>
      </c>
      <c r="P173">
        <v>997</v>
      </c>
      <c r="Q173" s="128">
        <f t="shared" si="102"/>
        <v>13200</v>
      </c>
      <c r="T173" s="129">
        <f t="shared" si="103"/>
        <v>6.0303030303030303E-2</v>
      </c>
      <c r="U173" s="129">
        <f t="shared" si="103"/>
        <v>6.8560606060606058E-2</v>
      </c>
      <c r="V173" s="129">
        <f t="shared" si="103"/>
        <v>6.4621212121212121E-2</v>
      </c>
      <c r="W173" s="129">
        <f t="shared" si="103"/>
        <v>7.1439393939393941E-2</v>
      </c>
      <c r="X173" s="129">
        <f t="shared" si="103"/>
        <v>8.3257575757575752E-2</v>
      </c>
      <c r="Y173" s="129">
        <f t="shared" si="103"/>
        <v>8.1287878787878784E-2</v>
      </c>
      <c r="Z173" s="129">
        <f t="shared" si="103"/>
        <v>9.6515151515151512E-2</v>
      </c>
      <c r="AA173" s="129">
        <f t="shared" si="103"/>
        <v>0.13583333333333333</v>
      </c>
      <c r="AB173" s="129">
        <f t="shared" si="103"/>
        <v>0.10833333333333334</v>
      </c>
      <c r="AC173" s="129">
        <f t="shared" si="103"/>
        <v>7.3257575757575757E-2</v>
      </c>
      <c r="AD173" s="129">
        <f t="shared" si="103"/>
        <v>8.1060606060606055E-2</v>
      </c>
      <c r="AE173" s="129">
        <f t="shared" si="103"/>
        <v>7.5530303030303031E-2</v>
      </c>
    </row>
    <row r="174" spans="1:31">
      <c r="C174" t="s">
        <v>1586</v>
      </c>
      <c r="D174" t="s">
        <v>1585</v>
      </c>
      <c r="E174">
        <v>818</v>
      </c>
      <c r="F174">
        <v>1205</v>
      </c>
      <c r="G174">
        <v>926</v>
      </c>
      <c r="H174">
        <v>1185</v>
      </c>
      <c r="I174">
        <v>1507</v>
      </c>
      <c r="J174">
        <v>868</v>
      </c>
      <c r="K174">
        <v>699</v>
      </c>
      <c r="L174">
        <v>792</v>
      </c>
      <c r="M174">
        <v>959</v>
      </c>
      <c r="N174">
        <v>1085</v>
      </c>
      <c r="O174">
        <v>1004</v>
      </c>
      <c r="P174">
        <v>1054</v>
      </c>
      <c r="Q174" s="128">
        <f t="shared" si="102"/>
        <v>12102</v>
      </c>
      <c r="T174" s="129">
        <f t="shared" si="103"/>
        <v>6.7592133531647655E-2</v>
      </c>
      <c r="U174" s="129">
        <f t="shared" si="103"/>
        <v>9.9570318955544537E-2</v>
      </c>
      <c r="V174" s="129">
        <f t="shared" si="103"/>
        <v>7.6516278301107257E-2</v>
      </c>
      <c r="W174" s="129">
        <f t="shared" si="103"/>
        <v>9.7917699553792759E-2</v>
      </c>
      <c r="X174" s="129">
        <f t="shared" si="103"/>
        <v>0.12452487192199636</v>
      </c>
      <c r="Y174" s="129">
        <f t="shared" si="103"/>
        <v>7.1723682036027109E-2</v>
      </c>
      <c r="Z174" s="129">
        <f t="shared" si="103"/>
        <v>5.7759048091224591E-2</v>
      </c>
      <c r="AA174" s="129">
        <f t="shared" si="103"/>
        <v>6.5443728309370355E-2</v>
      </c>
      <c r="AB174" s="129">
        <f t="shared" si="103"/>
        <v>7.9243100313997686E-2</v>
      </c>
      <c r="AC174" s="129">
        <f t="shared" si="103"/>
        <v>8.9654602545033879E-2</v>
      </c>
      <c r="AD174" s="129">
        <f t="shared" si="103"/>
        <v>8.2961493967939184E-2</v>
      </c>
      <c r="AE174" s="129">
        <f t="shared" si="103"/>
        <v>8.7093042472318624E-2</v>
      </c>
    </row>
    <row r="175" spans="1:31">
      <c r="C175" t="s">
        <v>1589</v>
      </c>
      <c r="D175" t="s">
        <v>1588</v>
      </c>
      <c r="E175">
        <v>1049</v>
      </c>
      <c r="F175">
        <v>1164</v>
      </c>
      <c r="G175">
        <v>1480</v>
      </c>
      <c r="H175">
        <v>1151</v>
      </c>
      <c r="I175">
        <v>2194</v>
      </c>
      <c r="J175">
        <v>2412</v>
      </c>
      <c r="K175">
        <v>2200</v>
      </c>
      <c r="L175">
        <v>2722</v>
      </c>
      <c r="M175">
        <v>1120</v>
      </c>
      <c r="N175">
        <v>682</v>
      </c>
      <c r="O175">
        <v>813</v>
      </c>
      <c r="P175">
        <v>1162</v>
      </c>
      <c r="Q175" s="128">
        <f t="shared" si="102"/>
        <v>18149</v>
      </c>
      <c r="T175" s="129">
        <f t="shared" si="103"/>
        <v>5.7799327786654912E-2</v>
      </c>
      <c r="U175" s="129">
        <f t="shared" si="103"/>
        <v>6.4135765055925942E-2</v>
      </c>
      <c r="V175" s="129">
        <f t="shared" si="103"/>
        <v>8.1547192682792438E-2</v>
      </c>
      <c r="W175" s="129">
        <f t="shared" si="103"/>
        <v>6.3419472147225736E-2</v>
      </c>
      <c r="X175" s="129">
        <f t="shared" si="103"/>
        <v>0.12088820320678825</v>
      </c>
      <c r="Y175" s="129">
        <f t="shared" si="103"/>
        <v>0.13289988429114552</v>
      </c>
      <c r="Z175" s="129">
        <f t="shared" si="103"/>
        <v>0.12121879993388066</v>
      </c>
      <c r="AA175" s="129">
        <f t="shared" si="103"/>
        <v>0.1499807151909196</v>
      </c>
      <c r="AB175" s="129">
        <f t="shared" si="103"/>
        <v>6.1711389057248336E-2</v>
      </c>
      <c r="AC175" s="129">
        <f t="shared" si="103"/>
        <v>3.7577827979503001E-2</v>
      </c>
      <c r="AD175" s="129">
        <f t="shared" si="103"/>
        <v>4.4795856521020444E-2</v>
      </c>
      <c r="AE175" s="129">
        <f t="shared" si="103"/>
        <v>6.4025566146895141E-2</v>
      </c>
    </row>
    <row r="176" spans="1:31">
      <c r="C176" t="s">
        <v>1592</v>
      </c>
      <c r="D176" t="s">
        <v>1591</v>
      </c>
      <c r="E176">
        <v>1026</v>
      </c>
      <c r="F176">
        <v>1518</v>
      </c>
      <c r="G176">
        <v>2042</v>
      </c>
      <c r="H176">
        <v>1933</v>
      </c>
      <c r="I176">
        <v>3421</v>
      </c>
      <c r="J176">
        <v>3035</v>
      </c>
      <c r="K176">
        <v>2480</v>
      </c>
      <c r="L176">
        <v>3969</v>
      </c>
      <c r="M176">
        <v>2090</v>
      </c>
      <c r="N176">
        <v>1262</v>
      </c>
      <c r="O176">
        <v>1446</v>
      </c>
      <c r="P176">
        <v>1443</v>
      </c>
      <c r="Q176" s="128">
        <f t="shared" si="102"/>
        <v>25665</v>
      </c>
      <c r="T176" s="129">
        <f t="shared" si="103"/>
        <v>3.9976621858562246E-2</v>
      </c>
      <c r="U176" s="129">
        <f t="shared" si="103"/>
        <v>5.9146697837521918E-2</v>
      </c>
      <c r="V176" s="129">
        <f t="shared" si="103"/>
        <v>7.9563608026495231E-2</v>
      </c>
      <c r="W176" s="129">
        <f t="shared" si="103"/>
        <v>7.531657899863628E-2</v>
      </c>
      <c r="X176" s="129">
        <f t="shared" si="103"/>
        <v>0.13329436976427042</v>
      </c>
      <c r="Y176" s="129">
        <f t="shared" si="103"/>
        <v>0.11825443210598091</v>
      </c>
      <c r="Z176" s="129">
        <f t="shared" si="103"/>
        <v>9.6629651276056883E-2</v>
      </c>
      <c r="AA176" s="129">
        <f t="shared" si="103"/>
        <v>0.15464640561075393</v>
      </c>
      <c r="AB176" s="129">
        <f t="shared" si="103"/>
        <v>8.1433859341515688E-2</v>
      </c>
      <c r="AC176" s="129">
        <f t="shared" si="103"/>
        <v>4.9172024157412821E-2</v>
      </c>
      <c r="AD176" s="129">
        <f t="shared" si="103"/>
        <v>5.6341320864991232E-2</v>
      </c>
      <c r="AE176" s="129">
        <f t="shared" si="103"/>
        <v>5.6224430157802457E-2</v>
      </c>
    </row>
    <row r="177" spans="3:31">
      <c r="C177" t="s">
        <v>1595</v>
      </c>
      <c r="D177" t="s">
        <v>1594</v>
      </c>
      <c r="E177">
        <v>1209</v>
      </c>
      <c r="F177">
        <v>1609</v>
      </c>
      <c r="G177">
        <v>1365</v>
      </c>
      <c r="H177">
        <v>1187</v>
      </c>
      <c r="I177">
        <v>1680</v>
      </c>
      <c r="J177">
        <v>2058</v>
      </c>
      <c r="K177">
        <v>1567</v>
      </c>
      <c r="L177">
        <v>2548</v>
      </c>
      <c r="M177">
        <v>1158</v>
      </c>
      <c r="N177">
        <v>588</v>
      </c>
      <c r="O177">
        <v>577</v>
      </c>
      <c r="P177">
        <v>567</v>
      </c>
      <c r="Q177" s="128">
        <f t="shared" si="102"/>
        <v>16113</v>
      </c>
      <c r="T177" s="129">
        <f t="shared" si="103"/>
        <v>7.5032582386892574E-2</v>
      </c>
      <c r="U177" s="129">
        <f t="shared" si="103"/>
        <v>9.9857258114565875E-2</v>
      </c>
      <c r="V177" s="129">
        <f t="shared" si="103"/>
        <v>8.4714205920685168E-2</v>
      </c>
      <c r="W177" s="129">
        <f t="shared" si="103"/>
        <v>7.3667225221870539E-2</v>
      </c>
      <c r="X177" s="129">
        <f t="shared" si="103"/>
        <v>0.10426363805622789</v>
      </c>
      <c r="Y177" s="129">
        <f t="shared" si="103"/>
        <v>0.12772295661887917</v>
      </c>
      <c r="Z177" s="129">
        <f t="shared" si="103"/>
        <v>9.7250667163160179E-2</v>
      </c>
      <c r="AA177" s="129">
        <f t="shared" si="103"/>
        <v>0.15813318438527896</v>
      </c>
      <c r="AB177" s="129">
        <f t="shared" si="103"/>
        <v>7.1867436231614221E-2</v>
      </c>
      <c r="AC177" s="129">
        <f t="shared" si="103"/>
        <v>3.6492273319679761E-2</v>
      </c>
      <c r="AD177" s="129">
        <f t="shared" si="103"/>
        <v>3.5809594737168743E-2</v>
      </c>
      <c r="AE177" s="129">
        <f t="shared" si="103"/>
        <v>3.5188977843976912E-2</v>
      </c>
    </row>
    <row r="178" spans="3:31">
      <c r="C178" t="s">
        <v>1598</v>
      </c>
      <c r="D178" t="s">
        <v>1597</v>
      </c>
      <c r="E178">
        <v>664</v>
      </c>
      <c r="F178">
        <v>893</v>
      </c>
      <c r="G178">
        <v>1237</v>
      </c>
      <c r="H178">
        <v>1690</v>
      </c>
      <c r="I178">
        <v>1391</v>
      </c>
      <c r="J178">
        <v>1581</v>
      </c>
      <c r="K178">
        <v>1751</v>
      </c>
      <c r="L178">
        <v>3282</v>
      </c>
      <c r="M178" s="128">
        <v>1662</v>
      </c>
      <c r="N178" s="128">
        <v>1292</v>
      </c>
      <c r="O178" s="128">
        <v>968</v>
      </c>
      <c r="P178" s="128">
        <v>1496</v>
      </c>
      <c r="Q178" s="128">
        <f t="shared" si="102"/>
        <v>17907</v>
      </c>
      <c r="T178" s="129">
        <f t="shared" si="103"/>
        <v>3.7080471324063217E-2</v>
      </c>
      <c r="U178" s="129">
        <f t="shared" si="103"/>
        <v>4.9868766404199474E-2</v>
      </c>
      <c r="V178" s="129">
        <f t="shared" si="103"/>
        <v>6.9079131066063545E-2</v>
      </c>
      <c r="W178" s="129">
        <f t="shared" si="103"/>
        <v>9.4376500809739208E-2</v>
      </c>
      <c r="X178" s="129">
        <f t="shared" si="103"/>
        <v>7.7679119897246893E-2</v>
      </c>
      <c r="Y178" s="129">
        <f t="shared" si="103"/>
        <v>8.828949572792763E-2</v>
      </c>
      <c r="Z178" s="129">
        <f t="shared" si="103"/>
        <v>9.7782989892220923E-2</v>
      </c>
      <c r="AA178" s="129">
        <f t="shared" si="103"/>
        <v>0.18328028145417993</v>
      </c>
      <c r="AB178" s="129">
        <f t="shared" si="103"/>
        <v>9.2812866476796776E-2</v>
      </c>
      <c r="AC178" s="129">
        <f t="shared" si="103"/>
        <v>7.2150555648629031E-2</v>
      </c>
      <c r="AD178" s="129">
        <f t="shared" si="103"/>
        <v>5.4057072653152398E-2</v>
      </c>
      <c r="AE178" s="129">
        <f t="shared" si="103"/>
        <v>8.3542748645780984E-2</v>
      </c>
    </row>
    <row r="179" spans="3:31">
      <c r="C179" t="s">
        <v>1601</v>
      </c>
      <c r="D179" t="s">
        <v>1600</v>
      </c>
      <c r="E179">
        <v>1189</v>
      </c>
      <c r="F179">
        <v>1105</v>
      </c>
      <c r="G179">
        <v>1135</v>
      </c>
      <c r="H179">
        <v>1022</v>
      </c>
      <c r="I179">
        <v>1869</v>
      </c>
      <c r="J179">
        <v>2310</v>
      </c>
      <c r="K179"/>
      <c r="L179"/>
      <c r="T179" s="129"/>
      <c r="U179" s="129"/>
      <c r="V179" s="129"/>
      <c r="W179" s="129"/>
      <c r="X179" s="129"/>
      <c r="Y179" s="129"/>
      <c r="Z179" s="129"/>
      <c r="AA179" s="129"/>
      <c r="AB179" s="129"/>
      <c r="AC179" s="129"/>
      <c r="AD179" s="129"/>
      <c r="AE179" s="129"/>
    </row>
    <row r="180" spans="3:31">
      <c r="T180" s="130">
        <f>AVERAGE(T172:T178)</f>
        <v>5.9294286522522069E-2</v>
      </c>
      <c r="U180" s="130">
        <f t="shared" ref="U180:AE180" si="104">AVERAGE(U172:U178)</f>
        <v>7.6298492378785512E-2</v>
      </c>
      <c r="V180" s="130">
        <f t="shared" si="104"/>
        <v>7.6706445554015609E-2</v>
      </c>
      <c r="W180" s="130">
        <f t="shared" si="104"/>
        <v>7.8931843947377733E-2</v>
      </c>
      <c r="X180" s="130">
        <f t="shared" si="104"/>
        <v>0.10650721272519782</v>
      </c>
      <c r="Y180" s="130">
        <f t="shared" si="104"/>
        <v>0.10187548054156771</v>
      </c>
      <c r="Z180" s="130">
        <f t="shared" si="104"/>
        <v>9.2139959499417806E-2</v>
      </c>
      <c r="AA180" s="130">
        <f t="shared" si="104"/>
        <v>0.13774626812776811</v>
      </c>
      <c r="AB180" s="130">
        <f t="shared" si="104"/>
        <v>8.3385381805645184E-2</v>
      </c>
      <c r="AC180" s="130">
        <f t="shared" si="104"/>
        <v>6.30276131411798E-2</v>
      </c>
      <c r="AD180" s="130">
        <f t="shared" si="104"/>
        <v>5.7904850431204337E-2</v>
      </c>
      <c r="AE180" s="130">
        <f t="shared" si="104"/>
        <v>6.6182165325318246E-2</v>
      </c>
    </row>
    <row r="183" spans="3:31">
      <c r="S183" t="s">
        <v>1569</v>
      </c>
      <c r="T183" s="129"/>
      <c r="U183" s="129"/>
      <c r="V183" s="129"/>
      <c r="W183" s="129"/>
      <c r="X183" s="129"/>
      <c r="Y183" s="129"/>
      <c r="Z183" s="129"/>
      <c r="AA183" s="129"/>
      <c r="AB183" s="129"/>
      <c r="AC183" s="129"/>
      <c r="AD183" s="129"/>
      <c r="AE183" s="129"/>
    </row>
    <row r="184" spans="3:31">
      <c r="T184" s="129">
        <f t="shared" ref="T184:T189" si="105">E173/P172</f>
        <v>0.8834628190899001</v>
      </c>
      <c r="U184" s="129">
        <f t="shared" ref="U184:AE189" si="106">F173/E173</f>
        <v>1.1369346733668342</v>
      </c>
      <c r="V184" s="129">
        <f t="shared" si="106"/>
        <v>0.94254143646408839</v>
      </c>
      <c r="W184" s="129">
        <f t="shared" si="106"/>
        <v>1.1055099648300117</v>
      </c>
      <c r="X184" s="129">
        <f t="shared" si="106"/>
        <v>1.1654294803817604</v>
      </c>
      <c r="Y184" s="129">
        <f t="shared" si="106"/>
        <v>0.97634212920837127</v>
      </c>
      <c r="Z184" s="129">
        <f t="shared" si="106"/>
        <v>1.1873252562907735</v>
      </c>
      <c r="AA184" s="129">
        <f t="shared" si="106"/>
        <v>1.4073783359497645</v>
      </c>
      <c r="AB184" s="129">
        <f t="shared" si="106"/>
        <v>0.7975460122699386</v>
      </c>
      <c r="AC184" s="129">
        <f t="shared" si="106"/>
        <v>0.67622377622377627</v>
      </c>
      <c r="AD184" s="129">
        <f t="shared" si="106"/>
        <v>1.1065149948293691</v>
      </c>
      <c r="AE184" s="129">
        <f t="shared" si="106"/>
        <v>0.9317757009345794</v>
      </c>
    </row>
    <row r="185" spans="3:31">
      <c r="T185" s="129">
        <f t="shared" si="105"/>
        <v>0.8204613841524574</v>
      </c>
      <c r="U185" s="129">
        <f t="shared" si="106"/>
        <v>1.4731051344743276</v>
      </c>
      <c r="V185" s="129">
        <f t="shared" si="106"/>
        <v>0.76846473029045648</v>
      </c>
      <c r="W185" s="129">
        <f t="shared" si="106"/>
        <v>1.2796976241900648</v>
      </c>
      <c r="X185" s="129">
        <f t="shared" si="106"/>
        <v>1.2717299578059071</v>
      </c>
      <c r="Y185" s="129">
        <f t="shared" si="106"/>
        <v>0.57597876575978768</v>
      </c>
      <c r="Z185" s="129">
        <f t="shared" si="106"/>
        <v>0.8052995391705069</v>
      </c>
      <c r="AA185" s="129">
        <f t="shared" si="106"/>
        <v>1.1330472103004292</v>
      </c>
      <c r="AB185" s="129">
        <f t="shared" si="106"/>
        <v>1.2108585858585859</v>
      </c>
      <c r="AC185" s="129">
        <f t="shared" si="106"/>
        <v>1.1313868613138687</v>
      </c>
      <c r="AD185" s="129">
        <f t="shared" si="106"/>
        <v>0.92534562211981564</v>
      </c>
      <c r="AE185" s="129">
        <f t="shared" si="106"/>
        <v>1.049800796812749</v>
      </c>
    </row>
    <row r="186" spans="3:31">
      <c r="T186" s="129">
        <f t="shared" si="105"/>
        <v>0.99525616698292219</v>
      </c>
      <c r="U186" s="129">
        <f t="shared" si="106"/>
        <v>1.1096282173498571</v>
      </c>
      <c r="V186" s="129">
        <f t="shared" si="106"/>
        <v>1.2714776632302405</v>
      </c>
      <c r="W186" s="129">
        <f t="shared" si="106"/>
        <v>0.7777027027027027</v>
      </c>
      <c r="X186" s="129">
        <f t="shared" si="106"/>
        <v>1.9061685490877498</v>
      </c>
      <c r="Y186" s="129">
        <f t="shared" si="106"/>
        <v>1.0993618960802187</v>
      </c>
      <c r="Z186" s="129">
        <f t="shared" si="106"/>
        <v>0.91210613598673296</v>
      </c>
      <c r="AA186" s="129">
        <f t="shared" si="106"/>
        <v>1.2372727272727273</v>
      </c>
      <c r="AB186" s="129">
        <f t="shared" si="106"/>
        <v>0.41146216017634091</v>
      </c>
      <c r="AC186" s="129">
        <f t="shared" si="106"/>
        <v>0.60892857142857137</v>
      </c>
      <c r="AD186" s="129">
        <f t="shared" si="106"/>
        <v>1.1920821114369502</v>
      </c>
      <c r="AE186" s="129">
        <f t="shared" si="106"/>
        <v>1.4292742927429274</v>
      </c>
    </row>
    <row r="187" spans="3:31">
      <c r="T187" s="129">
        <f t="shared" si="105"/>
        <v>0.88296041308089501</v>
      </c>
      <c r="U187" s="129">
        <f t="shared" si="106"/>
        <v>1.4795321637426901</v>
      </c>
      <c r="V187" s="129">
        <f t="shared" si="106"/>
        <v>1.3451910408432148</v>
      </c>
      <c r="W187" s="129">
        <f t="shared" si="106"/>
        <v>0.94662095984329087</v>
      </c>
      <c r="X187" s="129">
        <f t="shared" si="106"/>
        <v>1.7697878944645629</v>
      </c>
      <c r="Y187" s="129">
        <f t="shared" si="106"/>
        <v>0.88716749488453672</v>
      </c>
      <c r="Z187" s="129">
        <f t="shared" si="106"/>
        <v>0.81713344316309722</v>
      </c>
      <c r="AA187" s="129">
        <f t="shared" si="106"/>
        <v>1.6004032258064516</v>
      </c>
      <c r="AB187" s="129">
        <f t="shared" si="106"/>
        <v>0.52658100277147901</v>
      </c>
      <c r="AC187" s="129">
        <f t="shared" si="106"/>
        <v>0.60382775119617227</v>
      </c>
      <c r="AD187" s="129">
        <f t="shared" si="106"/>
        <v>1.1458003169572109</v>
      </c>
      <c r="AE187" s="129">
        <f t="shared" si="106"/>
        <v>0.99792531120331951</v>
      </c>
    </row>
    <row r="188" spans="3:31">
      <c r="T188" s="129">
        <f t="shared" si="105"/>
        <v>0.83783783783783783</v>
      </c>
      <c r="U188" s="129">
        <f t="shared" si="106"/>
        <v>1.3308519437551696</v>
      </c>
      <c r="V188" s="129">
        <f t="shared" si="106"/>
        <v>0.84835301429459287</v>
      </c>
      <c r="W188" s="129">
        <f t="shared" si="106"/>
        <v>0.86959706959706962</v>
      </c>
      <c r="X188" s="129">
        <f t="shared" si="106"/>
        <v>1.4153327716933446</v>
      </c>
      <c r="Y188" s="129">
        <f t="shared" si="106"/>
        <v>1.2250000000000001</v>
      </c>
      <c r="Z188" s="129">
        <f t="shared" si="106"/>
        <v>0.761418853255588</v>
      </c>
      <c r="AA188" s="129">
        <f t="shared" si="106"/>
        <v>1.6260370134014039</v>
      </c>
      <c r="AB188" s="129">
        <f t="shared" si="106"/>
        <v>0.45447409733124017</v>
      </c>
      <c r="AC188" s="129">
        <f t="shared" si="106"/>
        <v>0.50777202072538863</v>
      </c>
      <c r="AD188" s="129">
        <f t="shared" si="106"/>
        <v>0.98129251700680276</v>
      </c>
      <c r="AE188" s="129">
        <f t="shared" si="106"/>
        <v>0.98266897746967075</v>
      </c>
    </row>
    <row r="189" spans="3:31">
      <c r="T189" s="129">
        <f t="shared" si="105"/>
        <v>1.1710758377425043</v>
      </c>
      <c r="U189" s="129">
        <f t="shared" si="106"/>
        <v>1.3448795180722892</v>
      </c>
      <c r="V189" s="129">
        <f t="shared" si="106"/>
        <v>1.3852183650615901</v>
      </c>
      <c r="W189" s="129">
        <f t="shared" si="106"/>
        <v>1.3662085691188359</v>
      </c>
      <c r="X189" s="129">
        <f t="shared" si="106"/>
        <v>0.82307692307692304</v>
      </c>
      <c r="Y189" s="129">
        <f t="shared" si="106"/>
        <v>1.1365923795830337</v>
      </c>
      <c r="Z189" s="129">
        <f t="shared" si="106"/>
        <v>1.10752688172043</v>
      </c>
      <c r="AA189" s="129">
        <f t="shared" si="106"/>
        <v>1.8743575099942891</v>
      </c>
      <c r="AB189" s="129">
        <f t="shared" si="106"/>
        <v>0.50639853747714803</v>
      </c>
      <c r="AC189" s="129">
        <f t="shared" si="106"/>
        <v>0.77737665463297234</v>
      </c>
      <c r="AD189" s="129">
        <f t="shared" si="106"/>
        <v>0.74922600619195046</v>
      </c>
      <c r="AE189" s="129">
        <f t="shared" si="106"/>
        <v>1.5454545454545454</v>
      </c>
    </row>
    <row r="190" spans="3:31">
      <c r="T190" s="129"/>
      <c r="U190" s="129"/>
      <c r="V190" s="129"/>
      <c r="W190" s="129"/>
      <c r="X190" s="129"/>
      <c r="Y190" s="129"/>
      <c r="Z190" s="129"/>
      <c r="AA190" s="129"/>
      <c r="AB190" s="129"/>
      <c r="AC190" s="129"/>
      <c r="AD190" s="129"/>
      <c r="AE190" s="129"/>
    </row>
    <row r="191" spans="3:31">
      <c r="S191" t="s">
        <v>1606</v>
      </c>
      <c r="T191" s="130">
        <f>AVERAGE(T183:T189)</f>
        <v>0.93184240981441935</v>
      </c>
      <c r="U191" s="130">
        <f t="shared" ref="U191:AE191" si="107">AVERAGE(U183:U189)</f>
        <v>1.3124886084601946</v>
      </c>
      <c r="V191" s="130">
        <f t="shared" si="107"/>
        <v>1.0935410416973637</v>
      </c>
      <c r="W191" s="130">
        <f t="shared" si="107"/>
        <v>1.0575561483803293</v>
      </c>
      <c r="X191" s="130">
        <f t="shared" si="107"/>
        <v>1.3919209294183748</v>
      </c>
      <c r="Y191" s="130">
        <f t="shared" si="107"/>
        <v>0.98340711091932465</v>
      </c>
      <c r="Z191" s="130">
        <f t="shared" si="107"/>
        <v>0.93180168493118798</v>
      </c>
      <c r="AA191" s="130">
        <f t="shared" si="107"/>
        <v>1.4797493371208441</v>
      </c>
      <c r="AB191" s="130">
        <f t="shared" si="107"/>
        <v>0.65122006598078874</v>
      </c>
      <c r="AC191" s="130">
        <f t="shared" si="107"/>
        <v>0.71758593925345826</v>
      </c>
      <c r="AD191" s="130">
        <f t="shared" si="107"/>
        <v>1.0167102614236831</v>
      </c>
      <c r="AE191" s="130">
        <f t="shared" si="107"/>
        <v>1.1561499374362985</v>
      </c>
    </row>
    <row r="195" spans="1:43">
      <c r="A195" t="s">
        <v>1258</v>
      </c>
      <c r="B195" s="127" t="s">
        <v>1625</v>
      </c>
      <c r="C195" t="s">
        <v>1260</v>
      </c>
      <c r="D195" t="s">
        <v>1624</v>
      </c>
      <c r="J195" s="128">
        <v>182</v>
      </c>
      <c r="K195" s="128">
        <v>124</v>
      </c>
      <c r="L195" s="128">
        <v>174</v>
      </c>
      <c r="M195" s="128">
        <v>200</v>
      </c>
      <c r="N195" s="128">
        <v>122</v>
      </c>
      <c r="O195" s="128">
        <v>135</v>
      </c>
      <c r="P195" s="128">
        <v>118</v>
      </c>
      <c r="Q195" s="128">
        <f t="shared" ref="Q195:Q201" si="108">SUM(E195:P195)</f>
        <v>1055</v>
      </c>
    </row>
    <row r="196" spans="1:43">
      <c r="D196" t="s">
        <v>1580</v>
      </c>
      <c r="E196" s="128">
        <v>99</v>
      </c>
      <c r="F196" s="128">
        <v>114</v>
      </c>
      <c r="G196" s="128">
        <v>103</v>
      </c>
      <c r="H196" s="128">
        <v>107</v>
      </c>
      <c r="I196" s="128">
        <v>152</v>
      </c>
      <c r="J196" s="128">
        <v>113</v>
      </c>
      <c r="K196" s="128">
        <v>85</v>
      </c>
      <c r="L196" s="128">
        <v>131</v>
      </c>
      <c r="M196" s="128">
        <v>105</v>
      </c>
      <c r="N196" s="128">
        <v>91</v>
      </c>
      <c r="O196" s="128">
        <v>77</v>
      </c>
      <c r="P196" s="128">
        <v>83</v>
      </c>
      <c r="Q196" s="128">
        <f t="shared" si="108"/>
        <v>1260</v>
      </c>
      <c r="T196" s="129">
        <f t="shared" ref="T196:AE201" si="109">E196/$Q196</f>
        <v>7.857142857142857E-2</v>
      </c>
      <c r="U196" s="129">
        <f t="shared" si="109"/>
        <v>9.0476190476190474E-2</v>
      </c>
      <c r="V196" s="129">
        <f t="shared" si="109"/>
        <v>8.1746031746031747E-2</v>
      </c>
      <c r="W196" s="129">
        <f t="shared" si="109"/>
        <v>8.4920634920634924E-2</v>
      </c>
      <c r="X196" s="129">
        <f t="shared" si="109"/>
        <v>0.12063492063492064</v>
      </c>
      <c r="Y196" s="129">
        <f t="shared" si="109"/>
        <v>8.9682539682539683E-2</v>
      </c>
      <c r="Z196" s="129">
        <f t="shared" si="109"/>
        <v>6.7460317460317457E-2</v>
      </c>
      <c r="AA196" s="129">
        <f t="shared" si="109"/>
        <v>0.10396825396825397</v>
      </c>
      <c r="AB196" s="129">
        <f t="shared" si="109"/>
        <v>8.3333333333333329E-2</v>
      </c>
      <c r="AC196" s="129">
        <f t="shared" si="109"/>
        <v>7.2222222222222215E-2</v>
      </c>
      <c r="AD196" s="129">
        <f t="shared" si="109"/>
        <v>6.1111111111111109E-2</v>
      </c>
      <c r="AE196" s="129">
        <f t="shared" si="109"/>
        <v>6.5873015873015875E-2</v>
      </c>
    </row>
    <row r="197" spans="1:43">
      <c r="D197" t="s">
        <v>1583</v>
      </c>
      <c r="E197" s="128">
        <v>121</v>
      </c>
      <c r="F197" s="128">
        <v>117</v>
      </c>
      <c r="G197" s="128">
        <v>126</v>
      </c>
      <c r="H197" s="128">
        <v>88</v>
      </c>
      <c r="I197" s="128">
        <v>105</v>
      </c>
      <c r="J197" s="128">
        <v>93</v>
      </c>
      <c r="K197" s="128">
        <v>59</v>
      </c>
      <c r="L197" s="128">
        <v>106</v>
      </c>
      <c r="M197" s="128">
        <v>79</v>
      </c>
      <c r="N197" s="128">
        <v>67</v>
      </c>
      <c r="O197" s="128">
        <v>49</v>
      </c>
      <c r="P197" s="128">
        <v>40</v>
      </c>
      <c r="Q197" s="128">
        <f t="shared" si="108"/>
        <v>1050</v>
      </c>
      <c r="T197" s="129">
        <f t="shared" si="109"/>
        <v>0.11523809523809524</v>
      </c>
      <c r="U197" s="129">
        <f t="shared" si="109"/>
        <v>0.11142857142857143</v>
      </c>
      <c r="V197" s="129">
        <f t="shared" si="109"/>
        <v>0.12</v>
      </c>
      <c r="W197" s="129">
        <f t="shared" si="109"/>
        <v>8.3809523809523806E-2</v>
      </c>
      <c r="X197" s="129">
        <f t="shared" si="109"/>
        <v>0.1</v>
      </c>
      <c r="Y197" s="129">
        <f t="shared" si="109"/>
        <v>8.8571428571428565E-2</v>
      </c>
      <c r="Z197" s="129">
        <f t="shared" si="109"/>
        <v>5.6190476190476193E-2</v>
      </c>
      <c r="AA197" s="129">
        <f t="shared" si="109"/>
        <v>0.10095238095238095</v>
      </c>
      <c r="AB197" s="129">
        <f t="shared" si="109"/>
        <v>7.5238095238095243E-2</v>
      </c>
      <c r="AC197" s="129">
        <f t="shared" si="109"/>
        <v>6.3809523809523816E-2</v>
      </c>
      <c r="AD197" s="129">
        <f t="shared" si="109"/>
        <v>4.6666666666666669E-2</v>
      </c>
      <c r="AE197" s="129">
        <f t="shared" si="109"/>
        <v>3.8095238095238099E-2</v>
      </c>
    </row>
    <row r="198" spans="1:43">
      <c r="D198" t="s">
        <v>1586</v>
      </c>
      <c r="E198" s="128">
        <v>42</v>
      </c>
      <c r="F198" s="128">
        <v>158</v>
      </c>
      <c r="G198" s="128">
        <v>134</v>
      </c>
      <c r="H198" s="128">
        <v>106</v>
      </c>
      <c r="I198" s="128">
        <v>166</v>
      </c>
      <c r="J198" s="128">
        <v>118</v>
      </c>
      <c r="K198" s="128">
        <v>174</v>
      </c>
      <c r="L198" s="128">
        <v>112</v>
      </c>
      <c r="M198" s="128">
        <v>296</v>
      </c>
      <c r="N198" s="128">
        <v>303</v>
      </c>
      <c r="O198" s="128">
        <v>248</v>
      </c>
      <c r="P198" s="128">
        <v>41</v>
      </c>
      <c r="Q198" s="128">
        <f t="shared" si="108"/>
        <v>1898</v>
      </c>
      <c r="T198" s="129">
        <f t="shared" si="109"/>
        <v>2.2128556375131718E-2</v>
      </c>
      <c r="U198" s="129">
        <f t="shared" si="109"/>
        <v>8.3245521601685982E-2</v>
      </c>
      <c r="V198" s="129">
        <f t="shared" si="109"/>
        <v>7.0600632244467859E-2</v>
      </c>
      <c r="W198" s="129">
        <f t="shared" si="109"/>
        <v>5.584826132771338E-2</v>
      </c>
      <c r="X198" s="129">
        <f t="shared" si="109"/>
        <v>8.7460484720758694E-2</v>
      </c>
      <c r="Y198" s="129">
        <f t="shared" si="109"/>
        <v>6.2170706006322442E-2</v>
      </c>
      <c r="Z198" s="129">
        <f t="shared" si="109"/>
        <v>9.1675447839831406E-2</v>
      </c>
      <c r="AA198" s="129">
        <f t="shared" si="109"/>
        <v>5.9009483667017915E-2</v>
      </c>
      <c r="AB198" s="129">
        <f t="shared" si="109"/>
        <v>0.15595363540569021</v>
      </c>
      <c r="AC198" s="129">
        <f t="shared" si="109"/>
        <v>0.15964172813487881</v>
      </c>
      <c r="AD198" s="129">
        <f t="shared" si="109"/>
        <v>0.13066385669125394</v>
      </c>
      <c r="AE198" s="129">
        <f t="shared" si="109"/>
        <v>2.1601685985247629E-2</v>
      </c>
    </row>
    <row r="199" spans="1:43">
      <c r="D199" t="s">
        <v>1589</v>
      </c>
      <c r="E199" s="128">
        <v>15</v>
      </c>
      <c r="F199" s="128">
        <v>109</v>
      </c>
      <c r="G199" s="128">
        <v>487</v>
      </c>
      <c r="H199" s="128">
        <v>419</v>
      </c>
      <c r="I199" s="128">
        <v>751</v>
      </c>
      <c r="J199" s="128">
        <v>557</v>
      </c>
      <c r="K199" s="128">
        <v>336</v>
      </c>
      <c r="L199" s="128">
        <v>689</v>
      </c>
      <c r="M199" s="128">
        <v>704</v>
      </c>
      <c r="N199" s="128">
        <v>556</v>
      </c>
      <c r="O199" s="128">
        <v>406</v>
      </c>
      <c r="P199" s="128">
        <v>430</v>
      </c>
      <c r="Q199" s="128">
        <f t="shared" si="108"/>
        <v>5459</v>
      </c>
      <c r="T199" s="129">
        <f t="shared" si="109"/>
        <v>2.747755999267265E-3</v>
      </c>
      <c r="U199" s="129">
        <f t="shared" si="109"/>
        <v>1.9967026928008794E-2</v>
      </c>
      <c r="V199" s="129">
        <f t="shared" si="109"/>
        <v>8.921047810954387E-2</v>
      </c>
      <c r="W199" s="129">
        <f t="shared" si="109"/>
        <v>7.6753984246198934E-2</v>
      </c>
      <c r="X199" s="129">
        <f t="shared" si="109"/>
        <v>0.13757098369664775</v>
      </c>
      <c r="Y199" s="129">
        <f t="shared" si="109"/>
        <v>0.10203333943945778</v>
      </c>
      <c r="Z199" s="129">
        <f t="shared" si="109"/>
        <v>6.1549734383586741E-2</v>
      </c>
      <c r="AA199" s="129">
        <f t="shared" si="109"/>
        <v>0.12621359223300971</v>
      </c>
      <c r="AB199" s="129">
        <f t="shared" si="109"/>
        <v>0.12896134823227698</v>
      </c>
      <c r="AC199" s="129">
        <f t="shared" si="109"/>
        <v>0.1018501557061733</v>
      </c>
      <c r="AD199" s="129">
        <f t="shared" si="109"/>
        <v>7.4372595713500647E-2</v>
      </c>
      <c r="AE199" s="129">
        <f t="shared" si="109"/>
        <v>7.8769005312328264E-2</v>
      </c>
      <c r="AI199" s="128"/>
      <c r="AJ199" s="128"/>
      <c r="AK199" s="128"/>
    </row>
    <row r="200" spans="1:43">
      <c r="D200" t="s">
        <v>1592</v>
      </c>
      <c r="E200" s="128">
        <v>476</v>
      </c>
      <c r="F200" s="128">
        <v>539</v>
      </c>
      <c r="G200" s="128">
        <v>586</v>
      </c>
      <c r="H200" s="128">
        <v>742</v>
      </c>
      <c r="I200" s="128">
        <v>1682</v>
      </c>
      <c r="J200" s="128">
        <v>1792</v>
      </c>
      <c r="K200" s="128">
        <v>1225</v>
      </c>
      <c r="L200" s="128">
        <v>1110</v>
      </c>
      <c r="M200" s="128">
        <v>789</v>
      </c>
      <c r="N200" s="128">
        <v>488</v>
      </c>
      <c r="O200" s="128">
        <v>440</v>
      </c>
      <c r="P200" s="128">
        <v>588</v>
      </c>
      <c r="Q200" s="128">
        <f t="shared" si="108"/>
        <v>10457</v>
      </c>
      <c r="T200" s="129">
        <f t="shared" si="109"/>
        <v>4.5519747537534669E-2</v>
      </c>
      <c r="U200" s="129">
        <f t="shared" si="109"/>
        <v>5.1544420005737786E-2</v>
      </c>
      <c r="V200" s="129">
        <f t="shared" si="109"/>
        <v>5.6039016926460745E-2</v>
      </c>
      <c r="W200" s="129">
        <f t="shared" si="109"/>
        <v>7.0957253514392277E-2</v>
      </c>
      <c r="X200" s="129">
        <f t="shared" si="109"/>
        <v>0.1608491919288515</v>
      </c>
      <c r="Y200" s="129">
        <f t="shared" si="109"/>
        <v>0.17136846131777755</v>
      </c>
      <c r="Z200" s="129">
        <f t="shared" si="109"/>
        <v>0.11714640910394951</v>
      </c>
      <c r="AA200" s="129">
        <f t="shared" si="109"/>
        <v>0.10614899110643589</v>
      </c>
      <c r="AB200" s="129">
        <f t="shared" si="109"/>
        <v>7.5451850435115236E-2</v>
      </c>
      <c r="AC200" s="129">
        <f t="shared" si="109"/>
        <v>4.6667304198144785E-2</v>
      </c>
      <c r="AD200" s="129">
        <f t="shared" si="109"/>
        <v>4.2077077555704313E-2</v>
      </c>
      <c r="AE200" s="129">
        <f t="shared" si="109"/>
        <v>5.6230276369895763E-2</v>
      </c>
    </row>
    <row r="201" spans="1:43">
      <c r="D201" t="s">
        <v>1595</v>
      </c>
      <c r="E201" s="128">
        <v>681</v>
      </c>
      <c r="F201" s="128">
        <v>736</v>
      </c>
      <c r="G201" s="128">
        <v>655</v>
      </c>
      <c r="H201" s="128">
        <v>691</v>
      </c>
      <c r="I201" s="128">
        <v>923</v>
      </c>
      <c r="J201" s="128">
        <v>1030</v>
      </c>
      <c r="K201" s="128">
        <v>835</v>
      </c>
      <c r="L201" s="128">
        <v>976</v>
      </c>
      <c r="M201" s="128">
        <v>450</v>
      </c>
      <c r="N201" s="128">
        <v>523</v>
      </c>
      <c r="O201" s="128">
        <v>703</v>
      </c>
      <c r="P201" s="128">
        <v>1571</v>
      </c>
      <c r="Q201" s="128">
        <f t="shared" si="108"/>
        <v>9774</v>
      </c>
      <c r="T201" s="129">
        <f t="shared" si="109"/>
        <v>6.9674647022713324E-2</v>
      </c>
      <c r="U201" s="129">
        <f t="shared" si="109"/>
        <v>7.5301821158174756E-2</v>
      </c>
      <c r="V201" s="129">
        <f t="shared" si="109"/>
        <v>6.7014528340495191E-2</v>
      </c>
      <c r="W201" s="129">
        <f t="shared" si="109"/>
        <v>7.0697769592797222E-2</v>
      </c>
      <c r="X201" s="129">
        <f t="shared" si="109"/>
        <v>9.443421321874361E-2</v>
      </c>
      <c r="Y201" s="129">
        <f t="shared" si="109"/>
        <v>0.10538162471864129</v>
      </c>
      <c r="Z201" s="129">
        <f t="shared" si="109"/>
        <v>8.5430734602005315E-2</v>
      </c>
      <c r="AA201" s="129">
        <f t="shared" si="109"/>
        <v>9.9856762840188254E-2</v>
      </c>
      <c r="AB201" s="129">
        <f t="shared" si="109"/>
        <v>4.6040515653775323E-2</v>
      </c>
      <c r="AC201" s="129">
        <f t="shared" si="109"/>
        <v>5.3509310415387763E-2</v>
      </c>
      <c r="AD201" s="129">
        <f t="shared" si="109"/>
        <v>7.1925516676897894E-2</v>
      </c>
      <c r="AE201" s="129">
        <f t="shared" si="109"/>
        <v>0.16073255576018006</v>
      </c>
    </row>
    <row r="202" spans="1:43">
      <c r="D202" t="s">
        <v>1598</v>
      </c>
      <c r="E202" s="128">
        <v>854</v>
      </c>
      <c r="F202" s="128">
        <v>729</v>
      </c>
      <c r="G202" s="128">
        <v>804</v>
      </c>
      <c r="H202" s="128">
        <v>1079</v>
      </c>
      <c r="I202" s="128">
        <v>1804</v>
      </c>
      <c r="J202" s="128">
        <v>1397</v>
      </c>
      <c r="K202" s="128">
        <v>704</v>
      </c>
      <c r="L202" s="133" t="s">
        <v>1626</v>
      </c>
      <c r="M202" s="133"/>
      <c r="N202" s="133"/>
      <c r="O202" s="133"/>
      <c r="P202" s="133"/>
      <c r="Q202" s="133"/>
      <c r="T202" s="129"/>
      <c r="U202" s="129"/>
      <c r="V202" s="129"/>
      <c r="W202" s="129"/>
      <c r="X202" s="129"/>
      <c r="Y202" s="129"/>
      <c r="Z202" s="129"/>
      <c r="AA202" s="129"/>
      <c r="AB202" s="129"/>
      <c r="AC202" s="129"/>
      <c r="AD202" s="129"/>
      <c r="AE202" s="129"/>
    </row>
    <row r="203" spans="1:43">
      <c r="S203" t="s">
        <v>1606</v>
      </c>
      <c r="T203" s="130">
        <f>AVERAGE(T196:T202)</f>
        <v>5.5646705124028466E-2</v>
      </c>
      <c r="U203" s="130">
        <f t="shared" ref="U203:AE203" si="110">AVERAGE(U196:U202)</f>
        <v>7.1993925266394865E-2</v>
      </c>
      <c r="V203" s="130">
        <f t="shared" si="110"/>
        <v>8.0768447894499898E-2</v>
      </c>
      <c r="W203" s="130">
        <f t="shared" si="110"/>
        <v>7.3831237901876762E-2</v>
      </c>
      <c r="X203" s="130">
        <f t="shared" si="110"/>
        <v>0.11682496569998702</v>
      </c>
      <c r="Y203" s="130">
        <f t="shared" si="110"/>
        <v>0.10320134995602791</v>
      </c>
      <c r="Z203" s="130">
        <f t="shared" si="110"/>
        <v>7.9908853263361113E-2</v>
      </c>
      <c r="AA203" s="130">
        <f t="shared" si="110"/>
        <v>9.9358244127881121E-2</v>
      </c>
      <c r="AB203" s="130">
        <f t="shared" si="110"/>
        <v>9.4163129716381064E-2</v>
      </c>
      <c r="AC203" s="130">
        <f t="shared" si="110"/>
        <v>8.2950040747721776E-2</v>
      </c>
      <c r="AD203" s="130">
        <f t="shared" si="110"/>
        <v>7.1136137402522434E-2</v>
      </c>
      <c r="AE203" s="130">
        <f t="shared" si="110"/>
        <v>7.0216962899317614E-2</v>
      </c>
      <c r="AL203" s="128"/>
      <c r="AM203" s="128"/>
      <c r="AN203" s="128"/>
      <c r="AO203" s="128"/>
      <c r="AQ203" s="128"/>
    </row>
    <row r="204" spans="1:43">
      <c r="S204" s="128"/>
      <c r="T204" s="128"/>
      <c r="U204" s="128"/>
      <c r="V204" s="128"/>
      <c r="W204" s="128"/>
      <c r="X204" s="128"/>
      <c r="Y204" s="128"/>
      <c r="Z204" s="128"/>
      <c r="AA204" s="128"/>
      <c r="AB204" s="128"/>
      <c r="AC204" s="128"/>
      <c r="AD204" s="128"/>
      <c r="AE204" s="128"/>
      <c r="AF204" s="128"/>
      <c r="AG204" s="128"/>
      <c r="AH204" s="128"/>
    </row>
    <row r="207" spans="1:43">
      <c r="T207" s="129">
        <f t="shared" ref="T207:T212" si="111">E196/P195</f>
        <v>0.83898305084745761</v>
      </c>
      <c r="U207" s="129">
        <f t="shared" ref="U207:AE212" si="112">F196/E196</f>
        <v>1.1515151515151516</v>
      </c>
      <c r="V207" s="129">
        <f t="shared" si="112"/>
        <v>0.90350877192982459</v>
      </c>
      <c r="W207" s="129">
        <f t="shared" si="112"/>
        <v>1.0388349514563107</v>
      </c>
      <c r="X207" s="129">
        <f t="shared" si="112"/>
        <v>1.4205607476635513</v>
      </c>
      <c r="Y207" s="129">
        <f t="shared" si="112"/>
        <v>0.74342105263157898</v>
      </c>
      <c r="Z207" s="129">
        <f t="shared" si="112"/>
        <v>0.75221238938053092</v>
      </c>
      <c r="AA207" s="129">
        <f t="shared" si="112"/>
        <v>1.5411764705882354</v>
      </c>
      <c r="AB207" s="129">
        <f t="shared" si="112"/>
        <v>0.80152671755725191</v>
      </c>
      <c r="AC207" s="129">
        <f t="shared" si="112"/>
        <v>0.8666666666666667</v>
      </c>
      <c r="AD207" s="129">
        <f t="shared" si="112"/>
        <v>0.84615384615384615</v>
      </c>
      <c r="AE207" s="129">
        <f t="shared" si="112"/>
        <v>1.0779220779220779</v>
      </c>
    </row>
    <row r="208" spans="1:43">
      <c r="T208" s="129">
        <f t="shared" si="111"/>
        <v>1.4578313253012047</v>
      </c>
      <c r="U208" s="129">
        <f t="shared" si="112"/>
        <v>0.96694214876033058</v>
      </c>
      <c r="V208" s="129">
        <f t="shared" si="112"/>
        <v>1.0769230769230769</v>
      </c>
      <c r="W208" s="129">
        <f t="shared" si="112"/>
        <v>0.69841269841269837</v>
      </c>
      <c r="X208" s="129">
        <f t="shared" si="112"/>
        <v>1.1931818181818181</v>
      </c>
      <c r="Y208" s="129">
        <f t="shared" si="112"/>
        <v>0.88571428571428568</v>
      </c>
      <c r="Z208" s="129">
        <f t="shared" si="112"/>
        <v>0.63440860215053763</v>
      </c>
      <c r="AA208" s="129">
        <f t="shared" si="112"/>
        <v>1.7966101694915255</v>
      </c>
      <c r="AB208" s="129">
        <f t="shared" si="112"/>
        <v>0.74528301886792447</v>
      </c>
      <c r="AC208" s="129">
        <f t="shared" si="112"/>
        <v>0.84810126582278478</v>
      </c>
      <c r="AD208" s="129">
        <f t="shared" si="112"/>
        <v>0.73134328358208955</v>
      </c>
      <c r="AE208" s="129">
        <f t="shared" si="112"/>
        <v>0.81632653061224492</v>
      </c>
    </row>
    <row r="209" spans="20:31">
      <c r="T209" s="129">
        <f t="shared" si="111"/>
        <v>1.05</v>
      </c>
      <c r="U209" s="129">
        <f t="shared" si="112"/>
        <v>3.7619047619047619</v>
      </c>
      <c r="V209" s="129">
        <f t="shared" si="112"/>
        <v>0.84810126582278478</v>
      </c>
      <c r="W209" s="129">
        <f t="shared" si="112"/>
        <v>0.79104477611940294</v>
      </c>
      <c r="X209" s="129">
        <f t="shared" si="112"/>
        <v>1.5660377358490567</v>
      </c>
      <c r="Y209" s="129">
        <f t="shared" si="112"/>
        <v>0.71084337349397586</v>
      </c>
      <c r="Z209" s="129">
        <f t="shared" si="112"/>
        <v>1.4745762711864407</v>
      </c>
      <c r="AA209" s="129">
        <f t="shared" si="112"/>
        <v>0.64367816091954022</v>
      </c>
      <c r="AB209" s="129">
        <f t="shared" si="112"/>
        <v>2.6428571428571428</v>
      </c>
      <c r="AC209" s="129">
        <f t="shared" si="112"/>
        <v>1.0236486486486487</v>
      </c>
      <c r="AD209" s="129">
        <f t="shared" si="112"/>
        <v>0.81848184818481851</v>
      </c>
      <c r="AE209" s="129">
        <f t="shared" si="112"/>
        <v>0.16532258064516128</v>
      </c>
    </row>
    <row r="210" spans="20:31">
      <c r="T210" s="129">
        <f t="shared" si="111"/>
        <v>0.36585365853658536</v>
      </c>
      <c r="U210" s="129">
        <f t="shared" si="112"/>
        <v>7.2666666666666666</v>
      </c>
      <c r="V210" s="129">
        <f t="shared" si="112"/>
        <v>4.4678899082568808</v>
      </c>
      <c r="W210" s="129">
        <f t="shared" si="112"/>
        <v>0.86036960985626287</v>
      </c>
      <c r="X210" s="129">
        <f t="shared" si="112"/>
        <v>1.7923627684964201</v>
      </c>
      <c r="Y210" s="129">
        <f t="shared" si="112"/>
        <v>0.74167776298268973</v>
      </c>
      <c r="Z210" s="129">
        <f t="shared" si="112"/>
        <v>0.60323159784560143</v>
      </c>
      <c r="AA210" s="129">
        <f t="shared" si="112"/>
        <v>2.0505952380952381</v>
      </c>
      <c r="AB210" s="129">
        <f t="shared" si="112"/>
        <v>1.0217706821480406</v>
      </c>
      <c r="AC210" s="129">
        <f t="shared" si="112"/>
        <v>0.78977272727272729</v>
      </c>
      <c r="AD210" s="129">
        <f t="shared" si="112"/>
        <v>0.73021582733812951</v>
      </c>
      <c r="AE210" s="129">
        <f t="shared" si="112"/>
        <v>1.0591133004926108</v>
      </c>
    </row>
    <row r="211" spans="20:31">
      <c r="T211" s="129">
        <f t="shared" si="111"/>
        <v>1.1069767441860465</v>
      </c>
      <c r="U211" s="129">
        <f t="shared" si="112"/>
        <v>1.1323529411764706</v>
      </c>
      <c r="V211" s="129">
        <f t="shared" si="112"/>
        <v>1.0871985157699444</v>
      </c>
      <c r="W211" s="129">
        <f t="shared" si="112"/>
        <v>1.2662116040955631</v>
      </c>
      <c r="X211" s="129">
        <f t="shared" si="112"/>
        <v>2.2668463611859839</v>
      </c>
      <c r="Y211" s="129">
        <f t="shared" si="112"/>
        <v>1.0653983353151011</v>
      </c>
      <c r="Z211" s="129">
        <f t="shared" si="112"/>
        <v>0.68359375</v>
      </c>
      <c r="AA211" s="129">
        <f t="shared" si="112"/>
        <v>0.90612244897959182</v>
      </c>
      <c r="AB211" s="129">
        <f t="shared" si="112"/>
        <v>0.71081081081081077</v>
      </c>
      <c r="AC211" s="129">
        <f t="shared" si="112"/>
        <v>0.61850443599493032</v>
      </c>
      <c r="AD211" s="129">
        <f t="shared" si="112"/>
        <v>0.90163934426229508</v>
      </c>
      <c r="AE211" s="129">
        <f t="shared" si="112"/>
        <v>1.3363636363636364</v>
      </c>
    </row>
    <row r="212" spans="20:31">
      <c r="T212" s="129">
        <f t="shared" si="111"/>
        <v>1.1581632653061225</v>
      </c>
      <c r="U212" s="129">
        <f t="shared" si="112"/>
        <v>1.0807635829662261</v>
      </c>
      <c r="V212" s="129">
        <f t="shared" si="112"/>
        <v>0.88994565217391308</v>
      </c>
      <c r="W212" s="129">
        <f t="shared" si="112"/>
        <v>1.0549618320610687</v>
      </c>
      <c r="X212" s="129">
        <f t="shared" si="112"/>
        <v>1.3357452966714907</v>
      </c>
      <c r="Y212" s="129">
        <f t="shared" si="112"/>
        <v>1.1159263271939328</v>
      </c>
      <c r="Z212" s="129">
        <f t="shared" si="112"/>
        <v>0.81067961165048541</v>
      </c>
      <c r="AA212" s="129">
        <f t="shared" si="112"/>
        <v>1.1688622754491018</v>
      </c>
      <c r="AB212" s="129">
        <f t="shared" si="112"/>
        <v>0.46106557377049179</v>
      </c>
      <c r="AC212" s="129">
        <f t="shared" si="112"/>
        <v>1.1622222222222223</v>
      </c>
      <c r="AD212" s="129">
        <f t="shared" si="112"/>
        <v>1.344168260038241</v>
      </c>
      <c r="AE212" s="129">
        <f t="shared" si="112"/>
        <v>2.2347083926031295</v>
      </c>
    </row>
    <row r="213" spans="20:31">
      <c r="T213" s="129"/>
      <c r="U213" s="129"/>
      <c r="V213" s="129"/>
      <c r="W213" s="129"/>
      <c r="X213" s="129"/>
      <c r="Y213" s="129"/>
      <c r="Z213" s="129"/>
      <c r="AA213" s="129"/>
      <c r="AB213" s="129"/>
      <c r="AC213" s="129"/>
      <c r="AD213" s="129"/>
      <c r="AE213" s="129"/>
    </row>
    <row r="214" spans="20:31">
      <c r="T214" s="129">
        <f>AVERAGE(T207:T212)</f>
        <v>0.9963013406962361</v>
      </c>
      <c r="U214" s="129">
        <f t="shared" ref="U214:AE214" si="113">AVERAGE(U207:U212)</f>
        <v>2.5600242088316012</v>
      </c>
      <c r="V214" s="129">
        <f t="shared" si="113"/>
        <v>1.5455945318127373</v>
      </c>
      <c r="W214" s="129">
        <f t="shared" si="113"/>
        <v>0.95163924533355104</v>
      </c>
      <c r="X214" s="129">
        <f t="shared" si="113"/>
        <v>1.5957891213413866</v>
      </c>
      <c r="Y214" s="129">
        <f t="shared" si="113"/>
        <v>0.87716352288859412</v>
      </c>
      <c r="Z214" s="129">
        <f t="shared" si="113"/>
        <v>0.82645037036893265</v>
      </c>
      <c r="AA214" s="129">
        <f t="shared" si="113"/>
        <v>1.3511741272538724</v>
      </c>
      <c r="AB214" s="129">
        <f t="shared" si="113"/>
        <v>1.0638856576686104</v>
      </c>
      <c r="AC214" s="129">
        <f t="shared" si="113"/>
        <v>0.88481932777132999</v>
      </c>
      <c r="AD214" s="129">
        <f t="shared" si="113"/>
        <v>0.89533373492656987</v>
      </c>
      <c r="AE214" s="129">
        <f t="shared" si="113"/>
        <v>1.1149594197731434</v>
      </c>
    </row>
    <row r="215" spans="20:31">
      <c r="T215" s="129"/>
      <c r="U215" s="129"/>
      <c r="V215" s="129"/>
      <c r="W215" s="129"/>
      <c r="X215" s="129"/>
      <c r="Y215" s="129"/>
      <c r="Z215" s="129"/>
      <c r="AA215" s="129"/>
      <c r="AB215" s="129"/>
      <c r="AC215" s="129"/>
      <c r="AD215" s="129"/>
      <c r="AE215" s="129"/>
    </row>
    <row r="216" spans="20:31">
      <c r="T216" s="129"/>
      <c r="U216" s="129"/>
      <c r="V216" s="129"/>
      <c r="W216" s="129"/>
      <c r="X216" s="129"/>
      <c r="Y216" s="129"/>
      <c r="Z216" s="129"/>
      <c r="AA216" s="129"/>
      <c r="AB216" s="129"/>
      <c r="AC216" s="129"/>
      <c r="AD216" s="129"/>
      <c r="AE216" s="129"/>
    </row>
    <row r="217" spans="20:31">
      <c r="T217" s="129"/>
      <c r="U217" s="129"/>
      <c r="V217" s="129"/>
      <c r="W217" s="129"/>
      <c r="X217" s="129"/>
      <c r="Y217" s="129"/>
      <c r="Z217" s="129"/>
      <c r="AA217" s="129"/>
      <c r="AB217" s="129"/>
      <c r="AC217" s="129"/>
      <c r="AD217" s="129"/>
      <c r="AE217" s="129"/>
    </row>
    <row r="218" spans="20:31">
      <c r="T218" s="129"/>
      <c r="U218" s="129"/>
      <c r="V218" s="129"/>
      <c r="W218" s="129"/>
      <c r="X218" s="129"/>
      <c r="Y218" s="129"/>
      <c r="Z218" s="129"/>
      <c r="AA218" s="129"/>
      <c r="AB218" s="129"/>
      <c r="AC218" s="129"/>
      <c r="AD218" s="129"/>
      <c r="AE218" s="129"/>
    </row>
    <row r="219" spans="20:31">
      <c r="T219" s="129"/>
      <c r="U219" s="129"/>
      <c r="V219" s="129"/>
      <c r="W219" s="129"/>
      <c r="X219" s="129"/>
      <c r="Y219" s="129"/>
      <c r="Z219" s="129"/>
      <c r="AA219" s="129"/>
      <c r="AB219" s="129"/>
      <c r="AC219" s="129"/>
      <c r="AD219" s="129"/>
      <c r="AE219" s="129"/>
    </row>
    <row r="220" spans="20:31">
      <c r="T220" s="129"/>
      <c r="U220" s="129"/>
      <c r="V220" s="129"/>
      <c r="W220" s="129"/>
      <c r="X220" s="129"/>
      <c r="Y220" s="129"/>
      <c r="Z220" s="129"/>
      <c r="AA220" s="129"/>
      <c r="AB220" s="129"/>
      <c r="AC220" s="129"/>
      <c r="AD220" s="129"/>
      <c r="AE220" s="129"/>
    </row>
    <row r="221" spans="20:31">
      <c r="T221" s="129"/>
      <c r="U221" s="129"/>
      <c r="V221" s="129"/>
      <c r="W221" s="129"/>
      <c r="X221" s="129"/>
      <c r="Y221" s="129"/>
      <c r="Z221" s="129"/>
      <c r="AA221" s="129"/>
      <c r="AB221" s="129"/>
      <c r="AC221" s="129"/>
      <c r="AD221" s="129"/>
      <c r="AE221" s="129"/>
    </row>
    <row r="222" spans="20:31">
      <c r="T222" s="129"/>
      <c r="U222" s="129"/>
      <c r="V222" s="129"/>
      <c r="W222" s="129"/>
      <c r="X222" s="129"/>
      <c r="Y222" s="129"/>
      <c r="Z222" s="129"/>
      <c r="AA222" s="129"/>
      <c r="AB222" s="129"/>
      <c r="AC222" s="129"/>
      <c r="AD222" s="129"/>
      <c r="AE222" s="129"/>
    </row>
    <row r="223" spans="20:31">
      <c r="T223" s="129"/>
      <c r="U223" s="129"/>
      <c r="V223" s="129"/>
      <c r="W223" s="129"/>
      <c r="X223" s="129"/>
      <c r="Y223" s="129"/>
      <c r="Z223" s="129"/>
      <c r="AA223" s="129"/>
      <c r="AB223" s="129"/>
      <c r="AC223" s="129"/>
      <c r="AD223" s="129"/>
      <c r="AE223" s="129"/>
    </row>
  </sheetData>
  <phoneticPr fontId="4"/>
  <conditionalFormatting sqref="T26:AE27">
    <cfRule type="colorScale" priority="7">
      <colorScale>
        <cfvo type="min"/>
        <cfvo type="max"/>
        <color rgb="FFFCFCFF"/>
        <color rgb="FFF8696B"/>
      </colorScale>
    </cfRule>
  </conditionalFormatting>
  <conditionalFormatting sqref="T28:AE29">
    <cfRule type="colorScale" priority="6">
      <colorScale>
        <cfvo type="min"/>
        <cfvo type="max"/>
        <color rgb="FFFCFCFF"/>
        <color rgb="FFF8696B"/>
      </colorScale>
    </cfRule>
  </conditionalFormatting>
  <conditionalFormatting sqref="T59:AE60">
    <cfRule type="colorScale" priority="5">
      <colorScale>
        <cfvo type="min"/>
        <cfvo type="max"/>
        <color rgb="FFFCFCFF"/>
        <color rgb="FFF8696B"/>
      </colorScale>
    </cfRule>
  </conditionalFormatting>
  <conditionalFormatting sqref="T61:AE61">
    <cfRule type="colorScale" priority="4">
      <colorScale>
        <cfvo type="min"/>
        <cfvo type="max"/>
        <color rgb="FFFCFCFF"/>
        <color rgb="FFF8696B"/>
      </colorScale>
    </cfRule>
  </conditionalFormatting>
  <conditionalFormatting sqref="T92:AE93">
    <cfRule type="colorScale" priority="3">
      <colorScale>
        <cfvo type="min"/>
        <cfvo type="max"/>
        <color rgb="FFFCFCFF"/>
        <color rgb="FFF8696B"/>
      </colorScale>
    </cfRule>
  </conditionalFormatting>
  <conditionalFormatting sqref="T94:AE94">
    <cfRule type="colorScale" priority="2">
      <colorScale>
        <cfvo type="min"/>
        <cfvo type="max"/>
        <color rgb="FFFCFCFF"/>
        <color rgb="FFF8696B"/>
      </colorScale>
    </cfRule>
  </conditionalFormatting>
  <conditionalFormatting sqref="AC15:AC22">
    <cfRule type="colorScale" priority="1">
      <colorScale>
        <cfvo type="min"/>
        <cfvo type="max"/>
        <color rgb="FFFCFCFF"/>
        <color rgb="FF63BE7B"/>
      </colorScale>
    </cfRule>
  </conditionalFormatting>
  <pageMargins left="0.7" right="0.7" top="0.75" bottom="0.75" header="0.3" footer="0.3"/>
  <pageSetup paperSize="9" orientation="portrait" verticalDpi="0" r:id="rId1"/>
  <drawing r:id="rId2"/>
  <legacyDrawing r:id="rId3"/>
  <tableParts count="1">
    <tablePart r:id="rId4"/>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E73B1-1C1B-4613-88B7-8D3C9032E01D}">
  <sheetPr codeName="Sheet2"/>
  <dimension ref="A1:BD179"/>
  <sheetViews>
    <sheetView zoomScale="85" zoomScaleNormal="85" workbookViewId="0">
      <pane xSplit="6" ySplit="1" topLeftCell="AL2" activePane="bottomRight" state="frozen"/>
      <selection pane="topRight" activeCell="G1" sqref="G1"/>
      <selection pane="bottomLeft" activeCell="A2" sqref="A2"/>
      <selection pane="bottomRight" activeCell="B31" sqref="B31"/>
    </sheetView>
  </sheetViews>
  <sheetFormatPr defaultColWidth="9" defaultRowHeight="18.75" outlineLevelCol="1"/>
  <cols>
    <col min="1" max="1" width="9" style="1079"/>
    <col min="2" max="2" width="33.75" style="113" customWidth="1"/>
    <col min="3" max="3" width="19.25" style="113" bestFit="1" customWidth="1"/>
    <col min="4" max="4" width="19.75" style="15" hidden="1" customWidth="1" outlineLevel="1"/>
    <col min="5" max="6" width="10.5" style="15" hidden="1" customWidth="1" outlineLevel="1"/>
    <col min="7" max="7" width="10.5" style="110" customWidth="1" collapsed="1"/>
    <col min="8" max="8" width="10.5" style="110" customWidth="1"/>
    <col min="9" max="14" width="9" style="15" hidden="1" customWidth="1" outlineLevel="1"/>
    <col min="15" max="15" width="10.125" style="15" hidden="1" customWidth="1" outlineLevel="1"/>
    <col min="16" max="27" width="9" style="15" hidden="1" customWidth="1" outlineLevel="1"/>
    <col min="28" max="28" width="9.25" style="15" hidden="1" customWidth="1" outlineLevel="1"/>
    <col min="29" max="29" width="9.625" style="15" hidden="1" customWidth="1" outlineLevel="1"/>
    <col min="30" max="30" width="9.625" style="15" hidden="1" customWidth="1" outlineLevel="1" collapsed="1"/>
    <col min="31" max="31" width="9.625" style="15" hidden="1" customWidth="1" outlineLevel="1"/>
    <col min="32" max="36" width="9" style="15" hidden="1" customWidth="1" outlineLevel="1" collapsed="1"/>
    <col min="37" max="37" width="9" style="15" hidden="1" customWidth="1" outlineLevel="1"/>
    <col min="38" max="38" width="9" style="15" collapsed="1"/>
    <col min="39" max="51" width="9" style="15"/>
  </cols>
  <sheetData>
    <row r="1" spans="1:56">
      <c r="A1" s="1066"/>
      <c r="B1" s="30" t="s">
        <v>1322</v>
      </c>
      <c r="C1" s="30" t="s">
        <v>10</v>
      </c>
      <c r="D1" s="30" t="s">
        <v>1324</v>
      </c>
      <c r="E1" s="30" t="s">
        <v>1325</v>
      </c>
      <c r="F1" s="30" t="s">
        <v>1326</v>
      </c>
      <c r="G1" s="30" t="s">
        <v>14</v>
      </c>
      <c r="H1" s="312" t="s">
        <v>1627</v>
      </c>
      <c r="I1" s="216">
        <v>45292</v>
      </c>
      <c r="J1" s="216">
        <v>45323</v>
      </c>
      <c r="K1" s="216">
        <v>45352</v>
      </c>
      <c r="L1" s="216">
        <v>45383</v>
      </c>
      <c r="M1" s="216">
        <v>45413</v>
      </c>
      <c r="N1" s="216">
        <v>45444</v>
      </c>
      <c r="O1" s="216">
        <v>45474</v>
      </c>
      <c r="P1" s="216">
        <v>45505</v>
      </c>
      <c r="Q1" s="216">
        <v>45536</v>
      </c>
      <c r="R1" s="216">
        <v>45566</v>
      </c>
      <c r="S1" s="216">
        <v>45597</v>
      </c>
      <c r="T1" s="216">
        <v>45627</v>
      </c>
      <c r="U1" s="216">
        <v>45658</v>
      </c>
      <c r="V1" s="216">
        <v>45689</v>
      </c>
      <c r="W1" s="216">
        <v>45717</v>
      </c>
      <c r="X1" s="216">
        <v>45748</v>
      </c>
      <c r="Y1" s="216">
        <v>45778</v>
      </c>
      <c r="Z1" s="216">
        <v>45809</v>
      </c>
      <c r="AA1" s="216">
        <v>45839</v>
      </c>
      <c r="AB1" s="216">
        <v>45870</v>
      </c>
      <c r="AC1" s="275">
        <v>45901</v>
      </c>
      <c r="AD1" s="275">
        <v>45931</v>
      </c>
      <c r="AE1" s="275">
        <v>45962</v>
      </c>
      <c r="AF1" s="216">
        <v>45992</v>
      </c>
      <c r="AG1" s="216">
        <v>46023</v>
      </c>
      <c r="AH1" s="216">
        <v>46054</v>
      </c>
      <c r="AI1" s="216">
        <v>46082</v>
      </c>
      <c r="AJ1" s="216">
        <v>46113</v>
      </c>
      <c r="AK1" s="216">
        <v>46143</v>
      </c>
      <c r="AL1" s="216">
        <v>46174</v>
      </c>
      <c r="AM1" s="216">
        <v>46204</v>
      </c>
      <c r="AN1" s="216">
        <v>46235</v>
      </c>
      <c r="AO1" s="216">
        <v>46266</v>
      </c>
      <c r="AP1" s="216">
        <v>46296</v>
      </c>
      <c r="AQ1" s="216">
        <v>46327</v>
      </c>
      <c r="AR1" s="216">
        <v>46357</v>
      </c>
      <c r="AS1" s="216">
        <v>46388</v>
      </c>
      <c r="AT1" s="216">
        <v>46419</v>
      </c>
      <c r="AU1" s="216">
        <v>46447</v>
      </c>
      <c r="AV1" s="216">
        <v>46478</v>
      </c>
      <c r="AW1" s="216">
        <v>46508</v>
      </c>
      <c r="AX1" s="216">
        <v>46539</v>
      </c>
      <c r="AY1" s="216">
        <v>46569</v>
      </c>
      <c r="AZ1" s="216">
        <v>46600</v>
      </c>
      <c r="BA1" s="216">
        <v>46631</v>
      </c>
      <c r="BB1" s="216">
        <v>46661</v>
      </c>
      <c r="BC1" s="216">
        <v>46692</v>
      </c>
      <c r="BD1" s="216">
        <v>46722</v>
      </c>
    </row>
    <row r="2" spans="1:56" ht="18.75" customHeight="1">
      <c r="A2" s="1059"/>
      <c r="B2" s="26" t="str" cm="1">
        <f t="array" ref="B2:B25">_xlfn.LET(_xlpm.range,C2:C25,
IF(_xlpm.range="","",
_xlfn.XLOOKUP(_xlpm.range,マスタ_EOLリスト[製品型番],マスタ_EOLリスト[綽名])
))</f>
        <v/>
      </c>
      <c r="C2" s="26"/>
      <c r="D2" s="26"/>
      <c r="E2" s="26"/>
      <c r="F2" s="24"/>
      <c r="G2" s="38" t="str" cm="1">
        <f t="array" ref="G2:G25">IF($C2:$C25="","",
_xlfn.XLOOKUP($C2:$C25,'在庫使用計画 (ノート全体試算)'!$C$1:$C$122,'在庫使用計画 (ノート全体試算)'!$G$1:$G$122,""))</f>
        <v/>
      </c>
      <c r="H2" s="109" t="str" cm="1">
        <f t="array" aca="1" ref="H2" ca="1">_xlfn.LET(_xlpm._来月から4ヶ月計画合計,
  SUM(
    OFFSET($A2,0,
      MATCH(
        EDATE(基準データ!$C$5,3),$A$1:$BF$1,1
      )-3,1,4)),
_xlpm._今月計画数,
INDEX($A$1:$BE$223,
  ROW(),
  MATCH(EOMONTH(基準データ!$C$5,-1)+1,$A$1:$BE$1,0)
),
  IFERROR(IF($B2="","",_xlpm._来月から4ヶ月計画合計+_xlpm._今月計画数/2),""
)
)</f>
        <v/>
      </c>
      <c r="I2" s="109"/>
      <c r="J2" s="109"/>
      <c r="K2" s="109"/>
      <c r="L2" s="109"/>
      <c r="M2" s="109"/>
      <c r="N2" s="109"/>
      <c r="O2" s="109"/>
      <c r="P2" s="109"/>
      <c r="Q2" s="222"/>
      <c r="R2" s="222"/>
      <c r="S2" s="222"/>
      <c r="T2" s="677"/>
      <c r="U2" s="678"/>
      <c r="V2" s="678"/>
      <c r="W2" s="467"/>
      <c r="X2" s="508"/>
      <c r="Y2" s="508"/>
      <c r="Z2" s="508"/>
      <c r="AA2" s="508"/>
      <c r="AB2" s="508"/>
      <c r="AC2" s="241"/>
      <c r="AD2" s="224"/>
      <c r="AE2" s="223"/>
      <c r="AF2" s="223"/>
      <c r="AG2" s="223"/>
      <c r="AH2" s="223"/>
      <c r="AI2" s="223"/>
      <c r="AJ2" s="223"/>
      <c r="AK2" s="223" t="s">
        <v>21</v>
      </c>
      <c r="AL2" s="223" t="str" cm="1">
        <f t="array" aca="1" ref="AL2" ca="1">IF($C2="","",
  IFERROR(
    _xlfn.LET(
      _xlpm._対象月初,EOMONTH(AL$1,-1)+1,
      _xlpm._今月初,EOMONTH(基準データ!$C$5,-1)+1,
      IF(
        _xlpm._対象月初&gt;_xlpm._今月初,
        IF(
          OR(AK2="",AK2=0),
          "",
          AK2*AL$26
        ),
        _xlfn.LET(
          _xlpm._参照先,
            "'[在庫状況把握_43期_2025-2026.xlsx]月次報告"
            &amp;TEXT(AL$1,"YYMM")
            &amp;"'!",
          _xlpm._戻り範囲,
            IF(
              _xlpm._対象月初=_xlpm._今月初,
              "$AG$1:$AG$300",
              "$G$1:$G$300"
            ),
          _xlfn.XLOOKUP(
            $C2,
            INDIRECT(_xlpm._参照先&amp;"$C$1:$C$300"),
            INDIRECT(_xlpm._参照先&amp;_xlpm._戻り範囲)
          )
        )
      )
    ),
    ""
  )
)</f>
        <v/>
      </c>
      <c r="AM2" s="223" t="str" cm="1">
        <f t="array" aca="1" ref="AM2" ca="1">IF($C2="","",
  IFERROR(
    _xlfn.LET(
      _xlpm._対象月初,EOMONTH(AM$1,-1)+1,
      _xlpm._今月初,EOMONTH(基準データ!$C$5,-1)+1,
      IF(
        _xlpm._対象月初&gt;_xlpm._今月初,
        IF(
          OR(AL2="",AL2=0),
          "",
          AL2*AM$26
        ),
        _xlfn.LET(
          _xlpm._参照先,
            "'[在庫状況把握_43期_2025-2026.xlsx]月次報告"
            &amp;TEXT(AM$1,"YYMM")
            &amp;"'!",
          _xlpm._戻り範囲,
            IF(
              _xlpm._対象月初=_xlpm._今月初,
              "$AG$1:$AG$300",
              "$G$1:$G$300"
            ),
          _xlfn.XLOOKUP(
            $C2,
            INDIRECT(_xlpm._参照先&amp;"$C$1:$C$300"),
            INDIRECT(_xlpm._参照先&amp;_xlpm._戻り範囲)
          )
        )
      )
    ),
    ""
  )
)</f>
        <v/>
      </c>
      <c r="AN2" s="223" t="str" cm="1">
        <f t="array" aca="1" ref="AN2" ca="1">IF($C2="","",
  IFERROR(
    _xlfn.LET(
      _xlpm._対象月初,EOMONTH(AN$1,-1)+1,
      _xlpm._今月初,EOMONTH(基準データ!$C$5,-1)+1,
      IF(
        _xlpm._対象月初&gt;_xlpm._今月初,
        IF(
          OR(AM2="",AM2=0),
          "",
          AM2*AN$26
        ),
        _xlfn.LET(
          _xlpm._参照先,
            "'[在庫状況把握_43期_2025-2026.xlsx]月次報告"
            &amp;TEXT(AN$1,"YYMM")
            &amp;"'!",
          _xlpm._戻り範囲,
            IF(
              _xlpm._対象月初=_xlpm._今月初,
              "$AG$1:$AG$300",
              "$G$1:$G$300"
            ),
          _xlfn.XLOOKUP(
            $C2,
            INDIRECT(_xlpm._参照先&amp;"$C$1:$C$300"),
            INDIRECT(_xlpm._参照先&amp;_xlpm._戻り範囲)
          )
        )
      )
    ),
    ""
  )
)</f>
        <v/>
      </c>
      <c r="AO2" s="223" t="str" cm="1">
        <f t="array" aca="1" ref="AO2" ca="1">IF($C2="","",
  IFERROR(
    _xlfn.LET(
      _xlpm._対象月初,EOMONTH(AO$1,-1)+1,
      _xlpm._今月初,EOMONTH(基準データ!$C$5,-1)+1,
      IF(
        _xlpm._対象月初&gt;_xlpm._今月初,
        IF(
          OR(AN2="",AN2=0),
          "",
          AN2*AO$26
        ),
        _xlfn.LET(
          _xlpm._参照先,
            "'[在庫状況把握_43期_2025-2026.xlsx]月次報告"
            &amp;TEXT(AO$1,"YYMM")
            &amp;"'!",
          _xlpm._戻り範囲,
            IF(
              _xlpm._対象月初=_xlpm._今月初,
              "$AG$1:$AG$300",
              "$G$1:$G$300"
            ),
          _xlfn.XLOOKUP(
            $C2,
            INDIRECT(_xlpm._参照先&amp;"$C$1:$C$300"),
            INDIRECT(_xlpm._参照先&amp;_xlpm._戻り範囲)
          )
        )
      )
    ),
    ""
  )
)</f>
        <v/>
      </c>
      <c r="AP2" s="223" t="str" cm="1">
        <f t="array" aca="1" ref="AP2" ca="1">IF($C2="","",
  IFERROR(
    _xlfn.LET(
      _xlpm._対象月初,EOMONTH(AP$1,-1)+1,
      _xlpm._今月初,EOMONTH(基準データ!$C$5,-1)+1,
      IF(
        _xlpm._対象月初&gt;_xlpm._今月初,
        IF(
          OR(AO2="",AO2=0),
          "",
          AO2*AP$26
        ),
        _xlfn.LET(
          _xlpm._参照先,
            "'[在庫状況把握_43期_2025-2026.xlsx]月次報告"
            &amp;TEXT(AP$1,"YYMM")
            &amp;"'!",
          _xlpm._戻り範囲,
            IF(
              _xlpm._対象月初=_xlpm._今月初,
              "$AG$1:$AG$300",
              "$G$1:$G$300"
            ),
          _xlfn.XLOOKUP(
            $C2,
            INDIRECT(_xlpm._参照先&amp;"$C$1:$C$300"),
            INDIRECT(_xlpm._参照先&amp;_xlpm._戻り範囲)
          )
        )
      )
    ),
    ""
  )
)</f>
        <v/>
      </c>
      <c r="AQ2" s="223" t="str" cm="1">
        <f t="array" aca="1" ref="AQ2" ca="1">IF($C2="","",
  IFERROR(
    _xlfn.LET(
      _xlpm._対象月初,EOMONTH(AQ$1,-1)+1,
      _xlpm._今月初,EOMONTH(基準データ!$C$5,-1)+1,
      IF(
        _xlpm._対象月初&gt;_xlpm._今月初,
        IF(
          OR(AP2="",AP2=0),
          "",
          AP2*AQ$26
        ),
        _xlfn.LET(
          _xlpm._参照先,
            "'[在庫状況把握_43期_2025-2026.xlsx]月次報告"
            &amp;TEXT(AQ$1,"YYMM")
            &amp;"'!",
          _xlpm._戻り範囲,
            IF(
              _xlpm._対象月初=_xlpm._今月初,
              "$AG$1:$AG$300",
              "$G$1:$G$300"
            ),
          _xlfn.XLOOKUP(
            $C2,
            INDIRECT(_xlpm._参照先&amp;"$C$1:$C$300"),
            INDIRECT(_xlpm._参照先&amp;_xlpm._戻り範囲)
          )
        )
      )
    ),
    ""
  )
)</f>
        <v/>
      </c>
      <c r="AR2" s="223" t="str" cm="1">
        <f t="array" aca="1" ref="AR2" ca="1">IF($C2="","",
  IFERROR(
    _xlfn.LET(
      _xlpm._対象月初,EOMONTH(AR$1,-1)+1,
      _xlpm._今月初,EOMONTH(基準データ!$C$5,-1)+1,
      IF(
        _xlpm._対象月初&gt;_xlpm._今月初,
        IF(
          OR(AQ2="",AQ2=0),
          "",
          AQ2*AR$26
        ),
        _xlfn.LET(
          _xlpm._参照先,
            "'[在庫状況把握_43期_2025-2026.xlsx]月次報告"
            &amp;TEXT(AR$1,"YYMM")
            &amp;"'!",
          _xlpm._戻り範囲,
            IF(
              _xlpm._対象月初=_xlpm._今月初,
              "$AG$1:$AG$300",
              "$G$1:$G$300"
            ),
          _xlfn.XLOOKUP(
            $C2,
            INDIRECT(_xlpm._参照先&amp;"$C$1:$C$300"),
            INDIRECT(_xlpm._参照先&amp;_xlpm._戻り範囲)
          )
        )
      )
    ),
    ""
  )
)</f>
        <v/>
      </c>
      <c r="AS2" s="223" t="str" cm="1">
        <f t="array" aca="1" ref="AS2" ca="1">IF($C2="","",
  IFERROR(
    _xlfn.LET(
      _xlpm._対象月初,EOMONTH(AS$1,-1)+1,
      _xlpm._今月初,EOMONTH(基準データ!$C$5,-1)+1,
      IF(
        _xlpm._対象月初&gt;_xlpm._今月初,
        IF(
          OR(AR2="",AR2=0),
          "",
          AR2*AS$26
        ),
        _xlfn.LET(
          _xlpm._参照先,
            "'[在庫状況把握_43期_2025-2026.xlsx]月次報告"
            &amp;TEXT(AS$1,"YYMM")
            &amp;"'!",
          _xlpm._戻り範囲,
            IF(
              _xlpm._対象月初=_xlpm._今月初,
              "$AG$1:$AG$300",
              "$G$1:$G$300"
            ),
          _xlfn.XLOOKUP(
            $C2,
            INDIRECT(_xlpm._参照先&amp;"$C$1:$C$300"),
            INDIRECT(_xlpm._参照先&amp;_xlpm._戻り範囲)
          )
        )
      )
    ),
    ""
  )
)</f>
        <v/>
      </c>
      <c r="AT2" s="223" t="str" cm="1">
        <f t="array" aca="1" ref="AT2" ca="1">IF($C2="","",
  IFERROR(
    _xlfn.LET(
      _xlpm._対象月初,EOMONTH(AT$1,-1)+1,
      _xlpm._今月初,EOMONTH(基準データ!$C$5,-1)+1,
      IF(
        _xlpm._対象月初&gt;_xlpm._今月初,
        IF(
          OR(AS2="",AS2=0),
          "",
          AS2*AT$26
        ),
        _xlfn.LET(
          _xlpm._参照先,
            "'[在庫状況把握_43期_2025-2026.xlsx]月次報告"
            &amp;TEXT(AT$1,"YYMM")
            &amp;"'!",
          _xlpm._戻り範囲,
            IF(
              _xlpm._対象月初=_xlpm._今月初,
              "$AG$1:$AG$300",
              "$G$1:$G$300"
            ),
          _xlfn.XLOOKUP(
            $C2,
            INDIRECT(_xlpm._参照先&amp;"$C$1:$C$300"),
            INDIRECT(_xlpm._参照先&amp;_xlpm._戻り範囲)
          )
        )
      )
    ),
    ""
  )
)</f>
        <v/>
      </c>
      <c r="AU2" s="223" t="str" cm="1">
        <f t="array" aca="1" ref="AU2" ca="1">IF($C2="","",
  IFERROR(
    _xlfn.LET(
      _xlpm._対象月初,EOMONTH(AU$1,-1)+1,
      _xlpm._今月初,EOMONTH(基準データ!$C$5,-1)+1,
      IF(
        _xlpm._対象月初&gt;_xlpm._今月初,
        IF(
          OR(AT2="",AT2=0),
          "",
          AT2*AU$26
        ),
        _xlfn.LET(
          _xlpm._参照先,
            "'[在庫状況把握_43期_2025-2026.xlsx]月次報告"
            &amp;TEXT(AU$1,"YYMM")
            &amp;"'!",
          _xlpm._戻り範囲,
            IF(
              _xlpm._対象月初=_xlpm._今月初,
              "$AG$1:$AG$300",
              "$G$1:$G$300"
            ),
          _xlfn.XLOOKUP(
            $C2,
            INDIRECT(_xlpm._参照先&amp;"$C$1:$C$300"),
            INDIRECT(_xlpm._参照先&amp;_xlpm._戻り範囲)
          )
        )
      )
    ),
    ""
  )
)</f>
        <v/>
      </c>
      <c r="AV2" s="223" t="str" cm="1">
        <f t="array" aca="1" ref="AV2" ca="1">IF($C2="","",
  IFERROR(
    _xlfn.LET(
      _xlpm._対象月初,EOMONTH(AV$1,-1)+1,
      _xlpm._今月初,EOMONTH(基準データ!$C$5,-1)+1,
      IF(
        _xlpm._対象月初&gt;_xlpm._今月初,
        IF(
          OR(AU2="",AU2=0),
          "",
          AU2*AV$26
        ),
        _xlfn.LET(
          _xlpm._参照先,
            "'[在庫状況把握_43期_2025-2026.xlsx]月次報告"
            &amp;TEXT(AV$1,"YYMM")
            &amp;"'!",
          _xlpm._戻り範囲,
            IF(
              _xlpm._対象月初=_xlpm._今月初,
              "$AG$1:$AG$300",
              "$G$1:$G$300"
            ),
          _xlfn.XLOOKUP(
            $C2,
            INDIRECT(_xlpm._参照先&amp;"$C$1:$C$300"),
            INDIRECT(_xlpm._参照先&amp;_xlpm._戻り範囲)
          )
        )
      )
    ),
    ""
  )
)</f>
        <v/>
      </c>
      <c r="AW2" s="223" t="str" cm="1">
        <f t="array" aca="1" ref="AW2" ca="1">IF($C2="","",
  IFERROR(
    _xlfn.LET(
      _xlpm._対象月初,EOMONTH(AW$1,-1)+1,
      _xlpm._今月初,EOMONTH(基準データ!$C$5,-1)+1,
      IF(
        _xlpm._対象月初&gt;_xlpm._今月初,
        IF(
          OR(AV2="",AV2=0),
          "",
          AV2*AW$26
        ),
        _xlfn.LET(
          _xlpm._参照先,
            "'[在庫状況把握_43期_2025-2026.xlsx]月次報告"
            &amp;TEXT(AW$1,"YYMM")
            &amp;"'!",
          _xlpm._戻り範囲,
            IF(
              _xlpm._対象月初=_xlpm._今月初,
              "$AG$1:$AG$300",
              "$G$1:$G$300"
            ),
          _xlfn.XLOOKUP(
            $C2,
            INDIRECT(_xlpm._参照先&amp;"$C$1:$C$300"),
            INDIRECT(_xlpm._参照先&amp;_xlpm._戻り範囲)
          )
        )
      )
    ),
    ""
  )
)</f>
        <v/>
      </c>
      <c r="AX2" s="223" t="str" cm="1">
        <f t="array" aca="1" ref="AX2" ca="1">IF($C2="","",
  IFERROR(
    _xlfn.LET(
      _xlpm._対象月初,EOMONTH(AX$1,-1)+1,
      _xlpm._今月初,EOMONTH(基準データ!$C$5,-1)+1,
      IF(
        _xlpm._対象月初&gt;_xlpm._今月初,
        IF(
          OR(AW2="",AW2=0),
          "",
          AW2*AX$26
        ),
        _xlfn.LET(
          _xlpm._参照先,
            "'[在庫状況把握_43期_2025-2026.xlsx]月次報告"
            &amp;TEXT(AX$1,"YYMM")
            &amp;"'!",
          _xlpm._戻り範囲,
            IF(
              _xlpm._対象月初=_xlpm._今月初,
              "$AG$1:$AG$300",
              "$G$1:$G$300"
            ),
          _xlfn.XLOOKUP(
            $C2,
            INDIRECT(_xlpm._参照先&amp;"$C$1:$C$300"),
            INDIRECT(_xlpm._参照先&amp;_xlpm._戻り範囲)
          )
        )
      )
    ),
    ""
  )
)</f>
        <v/>
      </c>
      <c r="AY2" s="223" t="str" cm="1">
        <f t="array" aca="1" ref="AY2" ca="1">IF($C2="","",
  IFERROR(
    _xlfn.LET(
      _xlpm._対象月初,EOMONTH(AY$1,-1)+1,
      _xlpm._今月初,EOMONTH(基準データ!$C$5,-1)+1,
      IF(
        _xlpm._対象月初&gt;_xlpm._今月初,
        IF(
          OR(AX2="",AX2=0),
          "",
          AX2*AY$26
        ),
        _xlfn.LET(
          _xlpm._参照先,
            "'[在庫状況把握_43期_2025-2026.xlsx]月次報告"
            &amp;TEXT(AY$1,"YYMM")
            &amp;"'!",
          _xlpm._戻り範囲,
            IF(
              _xlpm._対象月初=_xlpm._今月初,
              "$AG$1:$AG$300",
              "$G$1:$G$300"
            ),
          _xlfn.XLOOKUP(
            $C2,
            INDIRECT(_xlpm._参照先&amp;"$C$1:$C$300"),
            INDIRECT(_xlpm._参照先&amp;_xlpm._戻り範囲)
          )
        )
      )
    ),
    ""
  )
)</f>
        <v/>
      </c>
      <c r="AZ2" s="223" t="str" cm="1">
        <f t="array" aca="1" ref="AZ2" ca="1">IF($C2="","",
  IFERROR(
    _xlfn.LET(
      _xlpm._対象月初,EOMONTH(AZ$1,-1)+1,
      _xlpm._今月初,EOMONTH(基準データ!$C$5,-1)+1,
      IF(
        _xlpm._対象月初&gt;_xlpm._今月初,
        IF(
          OR(AY2="",AY2=0),
          "",
          AY2*AZ$26
        ),
        _xlfn.LET(
          _xlpm._参照先,
            "'[在庫状況把握_43期_2025-2026.xlsx]月次報告"
            &amp;TEXT(AZ$1,"YYMM")
            &amp;"'!",
          _xlpm._戻り範囲,
            IF(
              _xlpm._対象月初=_xlpm._今月初,
              "$AG$1:$AG$300",
              "$G$1:$G$300"
            ),
          _xlfn.XLOOKUP(
            $C2,
            INDIRECT(_xlpm._参照先&amp;"$C$1:$C$300"),
            INDIRECT(_xlpm._参照先&amp;_xlpm._戻り範囲)
          )
        )
      )
    ),
    ""
  )
)</f>
        <v/>
      </c>
      <c r="BA2" s="223" t="str" cm="1">
        <f t="array" aca="1" ref="BA2" ca="1">IF($C2="","",
  IFERROR(
    _xlfn.LET(
      _xlpm._対象月初,EOMONTH(BA$1,-1)+1,
      _xlpm._今月初,EOMONTH(基準データ!$C$5,-1)+1,
      IF(
        _xlpm._対象月初&gt;_xlpm._今月初,
        IF(
          OR(AZ2="",AZ2=0),
          "",
          AZ2*BA$26
        ),
        _xlfn.LET(
          _xlpm._参照先,
            "'[在庫状況把握_43期_2025-2026.xlsx]月次報告"
            &amp;TEXT(BA$1,"YYMM")
            &amp;"'!",
          _xlpm._戻り範囲,
            IF(
              _xlpm._対象月初=_xlpm._今月初,
              "$AG$1:$AG$300",
              "$G$1:$G$300"
            ),
          _xlfn.XLOOKUP(
            $C2,
            INDIRECT(_xlpm._参照先&amp;"$C$1:$C$300"),
            INDIRECT(_xlpm._参照先&amp;_xlpm._戻り範囲)
          )
        )
      )
    ),
    ""
  )
)</f>
        <v/>
      </c>
      <c r="BB2" s="223" t="str" cm="1">
        <f t="array" aca="1" ref="BB2" ca="1">IF($C2="","",
  IFERROR(
    _xlfn.LET(
      _xlpm._対象月初,EOMONTH(BB$1,-1)+1,
      _xlpm._今月初,EOMONTH(基準データ!$C$5,-1)+1,
      IF(
        _xlpm._対象月初&gt;_xlpm._今月初,
        IF(
          OR(BA2="",BA2=0),
          "",
          BA2*BB$26
        ),
        _xlfn.LET(
          _xlpm._参照先,
            "'[在庫状況把握_43期_2025-2026.xlsx]月次報告"
            &amp;TEXT(BB$1,"YYMM")
            &amp;"'!",
          _xlpm._戻り範囲,
            IF(
              _xlpm._対象月初=_xlpm._今月初,
              "$AG$1:$AG$300",
              "$G$1:$G$300"
            ),
          _xlfn.XLOOKUP(
            $C2,
            INDIRECT(_xlpm._参照先&amp;"$C$1:$C$300"),
            INDIRECT(_xlpm._参照先&amp;_xlpm._戻り範囲)
          )
        )
      )
    ),
    ""
  )
)</f>
        <v/>
      </c>
      <c r="BC2" s="223" t="str" cm="1">
        <f t="array" aca="1" ref="BC2" ca="1">IF($C2="","",
  IFERROR(
    _xlfn.LET(
      _xlpm._対象月初,EOMONTH(BC$1,-1)+1,
      _xlpm._今月初,EOMONTH(基準データ!$C$5,-1)+1,
      IF(
        _xlpm._対象月初&gt;_xlpm._今月初,
        IF(
          OR(BB2="",BB2=0),
          "",
          BB2*BC$26
        ),
        _xlfn.LET(
          _xlpm._参照先,
            "'[在庫状況把握_43期_2025-2026.xlsx]月次報告"
            &amp;TEXT(BC$1,"YYMM")
            &amp;"'!",
          _xlpm._戻り範囲,
            IF(
              _xlpm._対象月初=_xlpm._今月初,
              "$AG$1:$AG$300",
              "$G$1:$G$300"
            ),
          _xlfn.XLOOKUP(
            $C2,
            INDIRECT(_xlpm._参照先&amp;"$C$1:$C$300"),
            INDIRECT(_xlpm._参照先&amp;_xlpm._戻り範囲)
          )
        )
      )
    ),
    ""
  )
)</f>
        <v/>
      </c>
      <c r="BD2" s="223" t="str" cm="1">
        <f t="array" aca="1" ref="BD2" ca="1">IF($C2="","",
  IFERROR(
    _xlfn.LET(
      _xlpm._対象月初,EOMONTH(BD$1,-1)+1,
      _xlpm._今月初,EOMONTH(基準データ!$C$5,-1)+1,
      IF(
        _xlpm._対象月初&gt;_xlpm._今月初,
        IF(
          OR(BC2="",BC2=0),
          "",
          BC2*BD$26
        ),
        _xlfn.LET(
          _xlpm._参照先,
            "'[在庫状況把握_43期_2025-2026.xlsx]月次報告"
            &amp;TEXT(BD$1,"YYMM")
            &amp;"'!",
          _xlpm._戻り範囲,
            IF(
              _xlpm._対象月初=_xlpm._今月初,
              "$AG$1:$AG$300",
              "$G$1:$G$300"
            ),
          _xlfn.XLOOKUP(
            $C2,
            INDIRECT(_xlpm._参照先&amp;"$C$1:$C$300"),
            INDIRECT(_xlpm._参照先&amp;_xlpm._戻り範囲)
          )
        )
      )
    ),
    ""
  )
)</f>
        <v/>
      </c>
    </row>
    <row r="3" spans="1:56" ht="18.75" customHeight="1">
      <c r="A3" s="1059" t="s">
        <v>1628</v>
      </c>
      <c r="B3" s="26" t="str">
        <v>CLE-X58-275HX-5090-L6</v>
      </c>
      <c r="C3" s="26" t="s">
        <v>149</v>
      </c>
      <c r="D3" s="26" t="s">
        <v>1629</v>
      </c>
      <c r="E3" s="26">
        <v>5090</v>
      </c>
      <c r="F3" s="24" t="s">
        <v>20</v>
      </c>
      <c r="G3" s="38">
        <v>66</v>
      </c>
      <c r="H3" s="109"/>
      <c r="I3" s="109"/>
      <c r="J3" s="109"/>
      <c r="K3" s="109"/>
      <c r="L3" s="109"/>
      <c r="M3" s="109"/>
      <c r="N3" s="109"/>
      <c r="O3" s="109"/>
      <c r="P3" s="109"/>
      <c r="Q3" s="222"/>
      <c r="R3" s="222"/>
      <c r="S3" s="222"/>
      <c r="T3" s="677"/>
      <c r="U3" s="678"/>
      <c r="V3" s="678"/>
      <c r="W3" s="467"/>
      <c r="X3" s="508">
        <v>18</v>
      </c>
      <c r="Y3" s="508">
        <v>21</v>
      </c>
      <c r="Z3" s="508">
        <v>24</v>
      </c>
      <c r="AA3" s="508">
        <v>29</v>
      </c>
      <c r="AB3" s="508">
        <v>24</v>
      </c>
      <c r="AC3" s="241">
        <v>16</v>
      </c>
      <c r="AD3" s="224">
        <v>20</v>
      </c>
      <c r="AE3" s="223">
        <v>22</v>
      </c>
      <c r="AF3" s="223">
        <v>14</v>
      </c>
      <c r="AG3" s="223">
        <v>20</v>
      </c>
      <c r="AH3" s="223">
        <v>28</v>
      </c>
      <c r="AI3" s="223">
        <v>52</v>
      </c>
      <c r="AJ3" s="223">
        <v>20</v>
      </c>
      <c r="AK3" s="223">
        <v>1</v>
      </c>
      <c r="AL3" s="223" cm="1">
        <f t="array" aca="1" ref="AL3" ca="1">IF($C3="","",
  IFERROR(
    _xlfn.LET(
      _xlpm._対象月初,EOMONTH(AL$1,-1)+1,
      _xlpm._今月初,EOMONTH(基準データ!$C$5,-1)+1,
      IF(
        _xlpm._対象月初&gt;_xlpm._今月初,
        IF(
          OR(AK3="",AK3=0),
          "",
          AK3*AL$26
        ),
        _xlfn.LET(
          _xlpm._参照先,
            "'[在庫状況把握_43期_2025-2026.xlsx]月次報告"
            &amp;TEXT(AL$1,"YYMM")
            &amp;"'!",
          _xlpm._戻り範囲,
            IF(
              _xlpm._対象月初=_xlpm._今月初,
              "$AG$1:$AG$300",
              "$G$1:$G$300"
            ),
          _xlfn.XLOOKUP(
            $C3,
            INDIRECT(_xlpm._参照先&amp;"$C$1:$C$300"),
            INDIRECT(_xlpm._参照先&amp;_xlpm._戻り範囲)
          )
        )
      )
    ),
    ""
  )
)</f>
        <v>0</v>
      </c>
      <c r="AM3" s="223" cm="1">
        <f t="array" aca="1" ref="AM3" ca="1">IF($C3="","",
  IFERROR(
    _xlfn.LET(
      _xlpm._対象月初,EOMONTH(AM$1,-1)+1,
      _xlpm._今月初,EOMONTH(基準データ!$C$5,-1)+1,
      IF(
        _xlpm._対象月初&gt;_xlpm._今月初,
        IF(
          OR(AL3="",AL3=0),
          "",
          AL3*AM$26
        ),
        _xlfn.LET(
          _xlpm._参照先,
            "'[在庫状況把握_43期_2025-2026.xlsx]月次報告"
            &amp;TEXT(AM$1,"YYMM")
            &amp;"'!",
          _xlpm._戻り範囲,
            IF(
              _xlpm._対象月初=_xlpm._今月初,
              "$AG$1:$AG$300",
              "$G$1:$G$300"
            ),
          _xlfn.XLOOKUP(
            $C3,
            INDIRECT(_xlpm._参照先&amp;"$C$1:$C$300"),
            INDIRECT(_xlpm._参照先&amp;_xlpm._戻り範囲)
          )
        )
      )
    ),
    ""
  )
)</f>
        <v>0</v>
      </c>
      <c r="AN3" s="223" t="str" cm="1">
        <f t="array" aca="1" ref="AN3" ca="1">IF($C3="","",
  IFERROR(
    _xlfn.LET(
      _xlpm._対象月初,EOMONTH(AN$1,-1)+1,
      _xlpm._今月初,EOMONTH(基準データ!$C$5,-1)+1,
      IF(
        _xlpm._対象月初&gt;_xlpm._今月初,
        IF(
          OR(AM3="",AM3=0),
          "",
          AM3*AN$26
        ),
        _xlfn.LET(
          _xlpm._参照先,
            "'[在庫状況把握_43期_2025-2026.xlsx]月次報告"
            &amp;TEXT(AN$1,"YYMM")
            &amp;"'!",
          _xlpm._戻り範囲,
            IF(
              _xlpm._対象月初=_xlpm._今月初,
              "$AG$1:$AG$300",
              "$G$1:$G$300"
            ),
          _xlfn.XLOOKUP(
            $C3,
            INDIRECT(_xlpm._参照先&amp;"$C$1:$C$300"),
            INDIRECT(_xlpm._参照先&amp;_xlpm._戻り範囲)
          )
        )
      )
    ),
    ""
  )
)</f>
        <v/>
      </c>
      <c r="AO3" s="223" t="str" cm="1">
        <f t="array" aca="1" ref="AO3" ca="1">IF($C3="","",
  IFERROR(
    _xlfn.LET(
      _xlpm._対象月初,EOMONTH(AO$1,-1)+1,
      _xlpm._今月初,EOMONTH(基準データ!$C$5,-1)+1,
      IF(
        _xlpm._対象月初&gt;_xlpm._今月初,
        IF(
          OR(AN3="",AN3=0),
          "",
          AN3*AO$26
        ),
        _xlfn.LET(
          _xlpm._参照先,
            "'[在庫状況把握_43期_2025-2026.xlsx]月次報告"
            &amp;TEXT(AO$1,"YYMM")
            &amp;"'!",
          _xlpm._戻り範囲,
            IF(
              _xlpm._対象月初=_xlpm._今月初,
              "$AG$1:$AG$300",
              "$G$1:$G$300"
            ),
          _xlfn.XLOOKUP(
            $C3,
            INDIRECT(_xlpm._参照先&amp;"$C$1:$C$300"),
            INDIRECT(_xlpm._参照先&amp;_xlpm._戻り範囲)
          )
        )
      )
    ),
    ""
  )
)</f>
        <v/>
      </c>
      <c r="AP3" s="223" t="str" cm="1">
        <f t="array" aca="1" ref="AP3" ca="1">IF($C3="","",
  IFERROR(
    _xlfn.LET(
      _xlpm._対象月初,EOMONTH(AP$1,-1)+1,
      _xlpm._今月初,EOMONTH(基準データ!$C$5,-1)+1,
      IF(
        _xlpm._対象月初&gt;_xlpm._今月初,
        IF(
          OR(AO3="",AO3=0),
          "",
          AO3*AP$26
        ),
        _xlfn.LET(
          _xlpm._参照先,
            "'[在庫状況把握_43期_2025-2026.xlsx]月次報告"
            &amp;TEXT(AP$1,"YYMM")
            &amp;"'!",
          _xlpm._戻り範囲,
            IF(
              _xlpm._対象月初=_xlpm._今月初,
              "$AG$1:$AG$300",
              "$G$1:$G$300"
            ),
          _xlfn.XLOOKUP(
            $C3,
            INDIRECT(_xlpm._参照先&amp;"$C$1:$C$300"),
            INDIRECT(_xlpm._参照先&amp;_xlpm._戻り範囲)
          )
        )
      )
    ),
    ""
  )
)</f>
        <v/>
      </c>
      <c r="AQ3" s="223" t="str" cm="1">
        <f t="array" aca="1" ref="AQ3" ca="1">IF($C3="","",
  IFERROR(
    _xlfn.LET(
      _xlpm._対象月初,EOMONTH(AQ$1,-1)+1,
      _xlpm._今月初,EOMONTH(基準データ!$C$5,-1)+1,
      IF(
        _xlpm._対象月初&gt;_xlpm._今月初,
        IF(
          OR(AP3="",AP3=0),
          "",
          AP3*AQ$26
        ),
        _xlfn.LET(
          _xlpm._参照先,
            "'[在庫状況把握_43期_2025-2026.xlsx]月次報告"
            &amp;TEXT(AQ$1,"YYMM")
            &amp;"'!",
          _xlpm._戻り範囲,
            IF(
              _xlpm._対象月初=_xlpm._今月初,
              "$AG$1:$AG$300",
              "$G$1:$G$300"
            ),
          _xlfn.XLOOKUP(
            $C3,
            INDIRECT(_xlpm._参照先&amp;"$C$1:$C$300"),
            INDIRECT(_xlpm._参照先&amp;_xlpm._戻り範囲)
          )
        )
      )
    ),
    ""
  )
)</f>
        <v/>
      </c>
      <c r="AR3" s="223" t="str" cm="1">
        <f t="array" aca="1" ref="AR3" ca="1">IF($C3="","",
  IFERROR(
    _xlfn.LET(
      _xlpm._対象月初,EOMONTH(AR$1,-1)+1,
      _xlpm._今月初,EOMONTH(基準データ!$C$5,-1)+1,
      IF(
        _xlpm._対象月初&gt;_xlpm._今月初,
        IF(
          OR(AQ3="",AQ3=0),
          "",
          AQ3*AR$26
        ),
        _xlfn.LET(
          _xlpm._参照先,
            "'[在庫状況把握_43期_2025-2026.xlsx]月次報告"
            &amp;TEXT(AR$1,"YYMM")
            &amp;"'!",
          _xlpm._戻り範囲,
            IF(
              _xlpm._対象月初=_xlpm._今月初,
              "$AG$1:$AG$300",
              "$G$1:$G$300"
            ),
          _xlfn.XLOOKUP(
            $C3,
            INDIRECT(_xlpm._参照先&amp;"$C$1:$C$300"),
            INDIRECT(_xlpm._参照先&amp;_xlpm._戻り範囲)
          )
        )
      )
    ),
    ""
  )
)</f>
        <v/>
      </c>
      <c r="AS3" s="223" t="str" cm="1">
        <f t="array" aca="1" ref="AS3" ca="1">IF($C3="","",
  IFERROR(
    _xlfn.LET(
      _xlpm._対象月初,EOMONTH(AS$1,-1)+1,
      _xlpm._今月初,EOMONTH(基準データ!$C$5,-1)+1,
      IF(
        _xlpm._対象月初&gt;_xlpm._今月初,
        IF(
          OR(AR3="",AR3=0),
          "",
          AR3*AS$26
        ),
        _xlfn.LET(
          _xlpm._参照先,
            "'[在庫状況把握_43期_2025-2026.xlsx]月次報告"
            &amp;TEXT(AS$1,"YYMM")
            &amp;"'!",
          _xlpm._戻り範囲,
            IF(
              _xlpm._対象月初=_xlpm._今月初,
              "$AG$1:$AG$300",
              "$G$1:$G$300"
            ),
          _xlfn.XLOOKUP(
            $C3,
            INDIRECT(_xlpm._参照先&amp;"$C$1:$C$300"),
            INDIRECT(_xlpm._参照先&amp;_xlpm._戻り範囲)
          )
        )
      )
    ),
    ""
  )
)</f>
        <v/>
      </c>
      <c r="AT3" s="223" t="str" cm="1">
        <f t="array" aca="1" ref="AT3" ca="1">IF($C3="","",
  IFERROR(
    _xlfn.LET(
      _xlpm._対象月初,EOMONTH(AT$1,-1)+1,
      _xlpm._今月初,EOMONTH(基準データ!$C$5,-1)+1,
      IF(
        _xlpm._対象月初&gt;_xlpm._今月初,
        IF(
          OR(AS3="",AS3=0),
          "",
          AS3*AT$26
        ),
        _xlfn.LET(
          _xlpm._参照先,
            "'[在庫状況把握_43期_2025-2026.xlsx]月次報告"
            &amp;TEXT(AT$1,"YYMM")
            &amp;"'!",
          _xlpm._戻り範囲,
            IF(
              _xlpm._対象月初=_xlpm._今月初,
              "$AG$1:$AG$300",
              "$G$1:$G$300"
            ),
          _xlfn.XLOOKUP(
            $C3,
            INDIRECT(_xlpm._参照先&amp;"$C$1:$C$300"),
            INDIRECT(_xlpm._参照先&amp;_xlpm._戻り範囲)
          )
        )
      )
    ),
    ""
  )
)</f>
        <v/>
      </c>
      <c r="AU3" s="223" t="str" cm="1">
        <f t="array" aca="1" ref="AU3" ca="1">IF($C3="","",
  IFERROR(
    _xlfn.LET(
      _xlpm._対象月初,EOMONTH(AU$1,-1)+1,
      _xlpm._今月初,EOMONTH(基準データ!$C$5,-1)+1,
      IF(
        _xlpm._対象月初&gt;_xlpm._今月初,
        IF(
          OR(AT3="",AT3=0),
          "",
          AT3*AU$26
        ),
        _xlfn.LET(
          _xlpm._参照先,
            "'[在庫状況把握_43期_2025-2026.xlsx]月次報告"
            &amp;TEXT(AU$1,"YYMM")
            &amp;"'!",
          _xlpm._戻り範囲,
            IF(
              _xlpm._対象月初=_xlpm._今月初,
              "$AG$1:$AG$300",
              "$G$1:$G$300"
            ),
          _xlfn.XLOOKUP(
            $C3,
            INDIRECT(_xlpm._参照先&amp;"$C$1:$C$300"),
            INDIRECT(_xlpm._参照先&amp;_xlpm._戻り範囲)
          )
        )
      )
    ),
    ""
  )
)</f>
        <v/>
      </c>
      <c r="AV3" s="223" t="str" cm="1">
        <f t="array" aca="1" ref="AV3" ca="1">IF($C3="","",
  IFERROR(
    _xlfn.LET(
      _xlpm._対象月初,EOMONTH(AV$1,-1)+1,
      _xlpm._今月初,EOMONTH(基準データ!$C$5,-1)+1,
      IF(
        _xlpm._対象月初&gt;_xlpm._今月初,
        IF(
          OR(AU3="",AU3=0),
          "",
          AU3*AV$26
        ),
        _xlfn.LET(
          _xlpm._参照先,
            "'[在庫状況把握_43期_2025-2026.xlsx]月次報告"
            &amp;TEXT(AV$1,"YYMM")
            &amp;"'!",
          _xlpm._戻り範囲,
            IF(
              _xlpm._対象月初=_xlpm._今月初,
              "$AG$1:$AG$300",
              "$G$1:$G$300"
            ),
          _xlfn.XLOOKUP(
            $C3,
            INDIRECT(_xlpm._参照先&amp;"$C$1:$C$300"),
            INDIRECT(_xlpm._参照先&amp;_xlpm._戻り範囲)
          )
        )
      )
    ),
    ""
  )
)</f>
        <v/>
      </c>
      <c r="AW3" s="223" t="str" cm="1">
        <f t="array" aca="1" ref="AW3" ca="1">IF($C3="","",
  IFERROR(
    _xlfn.LET(
      _xlpm._対象月初,EOMONTH(AW$1,-1)+1,
      _xlpm._今月初,EOMONTH(基準データ!$C$5,-1)+1,
      IF(
        _xlpm._対象月初&gt;_xlpm._今月初,
        IF(
          OR(AV3="",AV3=0),
          "",
          AV3*AW$26
        ),
        _xlfn.LET(
          _xlpm._参照先,
            "'[在庫状況把握_43期_2025-2026.xlsx]月次報告"
            &amp;TEXT(AW$1,"YYMM")
            &amp;"'!",
          _xlpm._戻り範囲,
            IF(
              _xlpm._対象月初=_xlpm._今月初,
              "$AG$1:$AG$300",
              "$G$1:$G$300"
            ),
          _xlfn.XLOOKUP(
            $C3,
            INDIRECT(_xlpm._参照先&amp;"$C$1:$C$300"),
            INDIRECT(_xlpm._参照先&amp;_xlpm._戻り範囲)
          )
        )
      )
    ),
    ""
  )
)</f>
        <v/>
      </c>
      <c r="AX3" s="223" t="str" cm="1">
        <f t="array" aca="1" ref="AX3" ca="1">IF($C3="","",
  IFERROR(
    _xlfn.LET(
      _xlpm._対象月初,EOMONTH(AX$1,-1)+1,
      _xlpm._今月初,EOMONTH(基準データ!$C$5,-1)+1,
      IF(
        _xlpm._対象月初&gt;_xlpm._今月初,
        IF(
          OR(AW3="",AW3=0),
          "",
          AW3*AX$26
        ),
        _xlfn.LET(
          _xlpm._参照先,
            "'[在庫状況把握_43期_2025-2026.xlsx]月次報告"
            &amp;TEXT(AX$1,"YYMM")
            &amp;"'!",
          _xlpm._戻り範囲,
            IF(
              _xlpm._対象月初=_xlpm._今月初,
              "$AG$1:$AG$300",
              "$G$1:$G$300"
            ),
          _xlfn.XLOOKUP(
            $C3,
            INDIRECT(_xlpm._参照先&amp;"$C$1:$C$300"),
            INDIRECT(_xlpm._参照先&amp;_xlpm._戻り範囲)
          )
        )
      )
    ),
    ""
  )
)</f>
        <v/>
      </c>
      <c r="AY3" s="223" t="str" cm="1">
        <f t="array" aca="1" ref="AY3" ca="1">IF($C3="","",
  IFERROR(
    _xlfn.LET(
      _xlpm._対象月初,EOMONTH(AY$1,-1)+1,
      _xlpm._今月初,EOMONTH(基準データ!$C$5,-1)+1,
      IF(
        _xlpm._対象月初&gt;_xlpm._今月初,
        IF(
          OR(AX3="",AX3=0),
          "",
          AX3*AY$26
        ),
        _xlfn.LET(
          _xlpm._参照先,
            "'[在庫状況把握_43期_2025-2026.xlsx]月次報告"
            &amp;TEXT(AY$1,"YYMM")
            &amp;"'!",
          _xlpm._戻り範囲,
            IF(
              _xlpm._対象月初=_xlpm._今月初,
              "$AG$1:$AG$300",
              "$G$1:$G$300"
            ),
          _xlfn.XLOOKUP(
            $C3,
            INDIRECT(_xlpm._参照先&amp;"$C$1:$C$300"),
            INDIRECT(_xlpm._参照先&amp;_xlpm._戻り範囲)
          )
        )
      )
    ),
    ""
  )
)</f>
        <v/>
      </c>
      <c r="AZ3" s="223" t="str" cm="1">
        <f t="array" aca="1" ref="AZ3" ca="1">IF($C3="","",
  IFERROR(
    _xlfn.LET(
      _xlpm._対象月初,EOMONTH(AZ$1,-1)+1,
      _xlpm._今月初,EOMONTH(基準データ!$C$5,-1)+1,
      IF(
        _xlpm._対象月初&gt;_xlpm._今月初,
        IF(
          OR(AY3="",AY3=0),
          "",
          AY3*AZ$26
        ),
        _xlfn.LET(
          _xlpm._参照先,
            "'[在庫状況把握_43期_2025-2026.xlsx]月次報告"
            &amp;TEXT(AZ$1,"YYMM")
            &amp;"'!",
          _xlpm._戻り範囲,
            IF(
              _xlpm._対象月初=_xlpm._今月初,
              "$AG$1:$AG$300",
              "$G$1:$G$300"
            ),
          _xlfn.XLOOKUP(
            $C3,
            INDIRECT(_xlpm._参照先&amp;"$C$1:$C$300"),
            INDIRECT(_xlpm._参照先&amp;_xlpm._戻り範囲)
          )
        )
      )
    ),
    ""
  )
)</f>
        <v/>
      </c>
      <c r="BA3" s="223" t="str" cm="1">
        <f t="array" aca="1" ref="BA3" ca="1">IF($C3="","",
  IFERROR(
    _xlfn.LET(
      _xlpm._対象月初,EOMONTH(BA$1,-1)+1,
      _xlpm._今月初,EOMONTH(基準データ!$C$5,-1)+1,
      IF(
        _xlpm._対象月初&gt;_xlpm._今月初,
        IF(
          OR(AZ3="",AZ3=0),
          "",
          AZ3*BA$26
        ),
        _xlfn.LET(
          _xlpm._参照先,
            "'[在庫状況把握_43期_2025-2026.xlsx]月次報告"
            &amp;TEXT(BA$1,"YYMM")
            &amp;"'!",
          _xlpm._戻り範囲,
            IF(
              _xlpm._対象月初=_xlpm._今月初,
              "$AG$1:$AG$300",
              "$G$1:$G$300"
            ),
          _xlfn.XLOOKUP(
            $C3,
            INDIRECT(_xlpm._参照先&amp;"$C$1:$C$300"),
            INDIRECT(_xlpm._参照先&amp;_xlpm._戻り範囲)
          )
        )
      )
    ),
    ""
  )
)</f>
        <v/>
      </c>
      <c r="BB3" s="223" t="str" cm="1">
        <f t="array" aca="1" ref="BB3" ca="1">IF($C3="","",
  IFERROR(
    _xlfn.LET(
      _xlpm._対象月初,EOMONTH(BB$1,-1)+1,
      _xlpm._今月初,EOMONTH(基準データ!$C$5,-1)+1,
      IF(
        _xlpm._対象月初&gt;_xlpm._今月初,
        IF(
          OR(BA3="",BA3=0),
          "",
          BA3*BB$26
        ),
        _xlfn.LET(
          _xlpm._参照先,
            "'[在庫状況把握_43期_2025-2026.xlsx]月次報告"
            &amp;TEXT(BB$1,"YYMM")
            &amp;"'!",
          _xlpm._戻り範囲,
            IF(
              _xlpm._対象月初=_xlpm._今月初,
              "$AG$1:$AG$300",
              "$G$1:$G$300"
            ),
          _xlfn.XLOOKUP(
            $C3,
            INDIRECT(_xlpm._参照先&amp;"$C$1:$C$300"),
            INDIRECT(_xlpm._参照先&amp;_xlpm._戻り範囲)
          )
        )
      )
    ),
    ""
  )
)</f>
        <v/>
      </c>
      <c r="BC3" s="223" t="str" cm="1">
        <f t="array" aca="1" ref="BC3" ca="1">IF($C3="","",
  IFERROR(
    _xlfn.LET(
      _xlpm._対象月初,EOMONTH(BC$1,-1)+1,
      _xlpm._今月初,EOMONTH(基準データ!$C$5,-1)+1,
      IF(
        _xlpm._対象月初&gt;_xlpm._今月初,
        IF(
          OR(BB3="",BB3=0),
          "",
          BB3*BC$26
        ),
        _xlfn.LET(
          _xlpm._参照先,
            "'[在庫状況把握_43期_2025-2026.xlsx]月次報告"
            &amp;TEXT(BC$1,"YYMM")
            &amp;"'!",
          _xlpm._戻り範囲,
            IF(
              _xlpm._対象月初=_xlpm._今月初,
              "$AG$1:$AG$300",
              "$G$1:$G$300"
            ),
          _xlfn.XLOOKUP(
            $C3,
            INDIRECT(_xlpm._参照先&amp;"$C$1:$C$300"),
            INDIRECT(_xlpm._参照先&amp;_xlpm._戻り範囲)
          )
        )
      )
    ),
    ""
  )
)</f>
        <v/>
      </c>
      <c r="BD3" s="223" t="str" cm="1">
        <f t="array" aca="1" ref="BD3" ca="1">IF($C3="","",
  IFERROR(
    _xlfn.LET(
      _xlpm._対象月初,EOMONTH(BD$1,-1)+1,
      _xlpm._今月初,EOMONTH(基準データ!$C$5,-1)+1,
      IF(
        _xlpm._対象月初&gt;_xlpm._今月初,
        IF(
          OR(BC3="",BC3=0),
          "",
          BC3*BD$26
        ),
        _xlfn.LET(
          _xlpm._参照先,
            "'[在庫状況把握_43期_2025-2026.xlsx]月次報告"
            &amp;TEXT(BD$1,"YYMM")
            &amp;"'!",
          _xlpm._戻り範囲,
            IF(
              _xlpm._対象月初=_xlpm._今月初,
              "$AG$1:$AG$300",
              "$G$1:$G$300"
            ),
          _xlfn.XLOOKUP(
            $C3,
            INDIRECT(_xlpm._参照先&amp;"$C$1:$C$300"),
            INDIRECT(_xlpm._参照先&amp;_xlpm._戻り範囲)
          )
        )
      )
    ),
    ""
  )
)</f>
        <v/>
      </c>
    </row>
    <row r="4" spans="1:56">
      <c r="A4" s="1059" t="s">
        <v>1628</v>
      </c>
      <c r="B4" s="26" t="str">
        <v>CLE-X58-290HXP-5090-L6-GG</v>
      </c>
      <c r="C4" s="25" t="s">
        <v>184</v>
      </c>
      <c r="D4" s="26" t="s">
        <v>1351</v>
      </c>
      <c r="E4" s="24" t="s">
        <v>1352</v>
      </c>
      <c r="F4" s="24" t="s">
        <v>1347</v>
      </c>
      <c r="G4" s="38">
        <v>137</v>
      </c>
      <c r="H4" s="109" cm="1">
        <f t="array" aca="1" ref="H4" ca="1">_xlfn.LET(_xlpm._来月から4ヶ月計画合計,
  SUM(
    OFFSET($A4,0,
      MATCH(
        EDATE(基準データ!$C$5,3),$A$1:$BF$1,1
      )-3,1,4)),
_xlpm._今月計画数,
INDEX($A$1:$BE$223,
  ROW(),
  MATCH(EOMONTH(基準データ!$C$5,-1)+1,$A$1:$BE$1,0)
),
  IFERROR(IF($B4="","",_xlpm._来月から4ヶ月計画合計+_xlpm._今月計画数/2),""
)
)</f>
        <v>17.715414026402701</v>
      </c>
      <c r="I4" s="38"/>
      <c r="J4" s="38"/>
      <c r="K4" s="38"/>
      <c r="L4" s="38"/>
      <c r="M4" s="38"/>
      <c r="N4" s="38"/>
      <c r="O4" s="38"/>
      <c r="P4" s="38"/>
      <c r="Q4" s="219"/>
      <c r="R4" s="219"/>
      <c r="S4" s="219"/>
      <c r="T4" s="298"/>
      <c r="U4" s="299"/>
      <c r="V4" s="224"/>
      <c r="W4" s="467"/>
      <c r="X4" s="508"/>
      <c r="Y4" s="219">
        <v>27</v>
      </c>
      <c r="Z4" s="219">
        <v>139</v>
      </c>
      <c r="AA4" s="508">
        <v>160</v>
      </c>
      <c r="AB4" s="508">
        <v>85</v>
      </c>
      <c r="AC4" s="241">
        <v>40</v>
      </c>
      <c r="AD4" s="241" t="s">
        <v>21</v>
      </c>
      <c r="AE4" s="223" t="s">
        <v>21</v>
      </c>
      <c r="AF4" s="223" t="s">
        <v>21</v>
      </c>
      <c r="AG4" s="223">
        <v>0</v>
      </c>
      <c r="AH4" s="223">
        <v>0</v>
      </c>
      <c r="AI4" s="223">
        <v>0</v>
      </c>
      <c r="AJ4" s="223">
        <v>1</v>
      </c>
      <c r="AK4" s="223">
        <v>7</v>
      </c>
      <c r="AL4" s="223" cm="1">
        <f t="array" aca="1" ref="AL4" ca="1">IF($C4="","",
  IFERROR(
    _xlfn.LET(
      _xlpm._対象月初,EOMONTH(AL$1,-1)+1,
      _xlpm._今月初,EOMONTH(基準データ!$C$5,-1)+1,
      IF(
        _xlpm._対象月初&gt;_xlpm._今月初,
        IF(
          OR(AK4="",AK4=0),
          "",
          AK4*AL$26
        ),
        _xlfn.LET(
          _xlpm._参照先,
            "'[在庫状況把握_43期_2025-2026.xlsx]月次報告"
            &amp;TEXT(AL$1,"YYMM")
            &amp;"'!",
          _xlpm._戻り範囲,
            IF(
              _xlpm._対象月初=_xlpm._今月初,
              "$AG$1:$AG$300",
              "$G$1:$G$300"
            ),
          _xlfn.XLOOKUP(
            $C4,
            INDIRECT(_xlpm._参照先&amp;"$C$1:$C$300"),
            INDIRECT(_xlpm._参照先&amp;_xlpm._戻り範囲)
          )
        )
      )
    ),
    ""
  )
)</f>
        <v>7</v>
      </c>
      <c r="AM4" s="223" cm="1">
        <f t="array" aca="1" ref="AM4" ca="1">IF($C4="","",
  IFERROR(
    _xlfn.LET(
      _xlpm._対象月初,EOMONTH(AM$1,-1)+1,
      _xlpm._今月初,EOMONTH(基準データ!$C$5,-1)+1,
      IF(
        _xlpm._対象月初&gt;_xlpm._今月初,
        IF(
          OR(AL4="",AL4=0),
          "",
          AL4*AM$26
        ),
        _xlfn.LET(
          _xlpm._参照先,
            "'[在庫状況把握_43期_2025-2026.xlsx]月次報告"
            &amp;TEXT(AM$1,"YYMM")
            &amp;"'!",
          _xlpm._戻り範囲,
            IF(
              _xlpm._対象月初=_xlpm._今月初,
              "$AG$1:$AG$300",
              "$G$1:$G$300"
            ),
          _xlfn.XLOOKUP(
            $C4,
            INDIRECT(_xlpm._参照先&amp;"$C$1:$C$300"),
            INDIRECT(_xlpm._参照先&amp;_xlpm._戻り範囲)
          )
        )
      )
    ),
    ""
  )
)</f>
        <v>5.5357142857142856</v>
      </c>
      <c r="AN4" s="223" cm="1">
        <f t="array" aca="1" ref="AN4" ca="1">IF($C4="","",
  IFERROR(
    _xlfn.LET(
      _xlpm._対象月初,EOMONTH(AN$1,-1)+1,
      _xlpm._今月初,EOMONTH(基準データ!$C$5,-1)+1,
      IF(
        _xlpm._対象月初&gt;_xlpm._今月初,
        IF(
          OR(AM4="",AM4=0),
          "",
          AM4*AN$26
        ),
        _xlfn.LET(
          _xlpm._参照先,
            "'[在庫状況把握_43期_2025-2026.xlsx]月次報告"
            &amp;TEXT(AN$1,"YYMM")
            &amp;"'!",
          _xlpm._戻り範囲,
            IF(
              _xlpm._対象月初=_xlpm._今月初,
              "$AG$1:$AG$300",
              "$G$1:$G$300"
            ),
          _xlfn.XLOOKUP(
            $C4,
            INDIRECT(_xlpm._参照先&amp;"$C$1:$C$300"),
            INDIRECT(_xlpm._参照先&amp;_xlpm._戻り範囲)
          )
        )
      )
    ),
    ""
  )
)</f>
        <v>4.5242618320847141</v>
      </c>
      <c r="AO4" s="223" cm="1">
        <f t="array" aca="1" ref="AO4" ca="1">IF($C4="","",
  IFERROR(
    _xlfn.LET(
      _xlpm._対象月初,EOMONTH(AO$1,-1)+1,
      _xlpm._今月初,EOMONTH(基準データ!$C$5,-1)+1,
      IF(
        _xlpm._対象月初&gt;_xlpm._今月初,
        IF(
          OR(AN4="",AN4=0),
          "",
          AN4*AO$26
        ),
        _xlfn.LET(
          _xlpm._参照先,
            "'[在庫状況把握_43期_2025-2026.xlsx]月次報告"
            &amp;TEXT(AO$1,"YYMM")
            &amp;"'!",
          _xlpm._戻り範囲,
            IF(
              _xlpm._対象月初=_xlpm._今月初,
              "$AG$1:$AG$300",
              "$G$1:$G$300"
            ),
          _xlfn.XLOOKUP(
            $C4,
            INDIRECT(_xlpm._参照先&amp;"$C$1:$C$300"),
            INDIRECT(_xlpm._参照先&amp;_xlpm._戻り範囲)
          )
        )
      )
    ),
    ""
  )
)</f>
        <v>3.6476617101143263</v>
      </c>
      <c r="AP4" s="223" cm="1">
        <f t="array" aca="1" ref="AP4" ca="1">IF($C4="","",
  IFERROR(
    _xlfn.LET(
      _xlpm._対象月初,EOMONTH(AP$1,-1)+1,
      _xlpm._今月初,EOMONTH(基準データ!$C$5,-1)+1,
      IF(
        _xlpm._対象月初&gt;_xlpm._今月初,
        IF(
          OR(AO4="",AO4=0),
          "",
          AO4*AP$26
        ),
        _xlfn.LET(
          _xlpm._参照先,
            "'[在庫状況把握_43期_2025-2026.xlsx]月次報告"
            &amp;TEXT(AP$1,"YYMM")
            &amp;"'!",
          _xlpm._戻り範囲,
            IF(
              _xlpm._対象月初=_xlpm._今月初,
              "$AG$1:$AG$300",
              "$G$1:$G$300"
            ),
          _xlfn.XLOOKUP(
            $C4,
            INDIRECT(_xlpm._参照先&amp;"$C$1:$C$300"),
            INDIRECT(_xlpm._参照先&amp;_xlpm._戻り範囲)
          )
        )
      )
    ),
    ""
  )
)</f>
        <v>3.1714037896321607</v>
      </c>
      <c r="AQ4" s="223" cm="1">
        <f t="array" aca="1" ref="AQ4" ca="1">IF($C4="","",
  IFERROR(
    _xlfn.LET(
      _xlpm._対象月初,EOMONTH(AQ$1,-1)+1,
      _xlpm._今月初,EOMONTH(基準データ!$C$5,-1)+1,
      IF(
        _xlpm._対象月初&gt;_xlpm._今月初,
        IF(
          OR(AP4="",AP4=0),
          "",
          AP4*AQ$26
        ),
        _xlfn.LET(
          _xlpm._参照先,
            "'[在庫状況把握_43期_2025-2026.xlsx]月次報告"
            &amp;TEXT(AQ$1,"YYMM")
            &amp;"'!",
          _xlpm._戻り範囲,
            IF(
              _xlpm._対象月初=_xlpm._今月初,
              "$AG$1:$AG$300",
              "$G$1:$G$300"
            ),
          _xlfn.XLOOKUP(
            $C4,
            INDIRECT(_xlpm._参照先&amp;"$C$1:$C$300"),
            INDIRECT(_xlpm._参照先&amp;_xlpm._戻り範囲)
          )
        )
      )
    ),
    ""
  )
)</f>
        <v>3.6042295517143561</v>
      </c>
      <c r="AR4" s="223" cm="1">
        <f t="array" aca="1" ref="AR4" ca="1">IF($C4="","",
  IFERROR(
    _xlfn.LET(
      _xlpm._対象月初,EOMONTH(AR$1,-1)+1,
      _xlpm._今月初,EOMONTH(基準データ!$C$5,-1)+1,
      IF(
        _xlpm._対象月初&gt;_xlpm._今月初,
        IF(
          OR(AQ4="",AQ4=0),
          "",
          AQ4*AR$26
        ),
        _xlfn.LET(
          _xlpm._参照先,
            "'[在庫状況把握_43期_2025-2026.xlsx]月次報告"
            &amp;TEXT(AR$1,"YYMM")
            &amp;"'!",
          _xlpm._戻り範囲,
            IF(
              _xlpm._対象月初=_xlpm._今月初,
              "$AG$1:$AG$300",
              "$G$1:$G$300"
            ),
          _xlfn.XLOOKUP(
            $C4,
            INDIRECT(_xlpm._参照先&amp;"$C$1:$C$300"),
            INDIRECT(_xlpm._参照先&amp;_xlpm._戻り範囲)
          )
        )
      )
    ),
    ""
  )
)</f>
        <v>5.6670323838248686</v>
      </c>
      <c r="AS4" s="223" cm="1">
        <f t="array" aca="1" ref="AS4" ca="1">IF($C4="","",
  IFERROR(
    _xlfn.LET(
      _xlpm._対象月初,EOMONTH(AS$1,-1)+1,
      _xlpm._今月初,EOMONTH(基準データ!$C$5,-1)+1,
      IF(
        _xlpm._対象月初&gt;_xlpm._今月初,
        IF(
          OR(AR4="",AR4=0),
          "",
          AR4*AS$26
        ),
        _xlfn.LET(
          _xlpm._参照先,
            "'[在庫状況把握_43期_2025-2026.xlsx]月次報告"
            &amp;TEXT(AS$1,"YYMM")
            &amp;"'!",
          _xlpm._戻り範囲,
            IF(
              _xlpm._対象月初=_xlpm._今月初,
              "$AG$1:$AG$300",
              "$G$1:$G$300"
            ),
          _xlfn.XLOOKUP(
            $C4,
            INDIRECT(_xlpm._参照先&amp;"$C$1:$C$300"),
            INDIRECT(_xlpm._参照先&amp;_xlpm._戻り範囲)
          )
        )
      )
    ),
    ""
  )
)</f>
        <v>4.7387202800755386</v>
      </c>
      <c r="AT4" s="223" cm="1">
        <f t="array" aca="1" ref="AT4" ca="1">IF($C4="","",
  IFERROR(
    _xlfn.LET(
      _xlpm._対象月初,EOMONTH(AT$1,-1)+1,
      _xlpm._今月初,EOMONTH(基準データ!$C$5,-1)+1,
      IF(
        _xlpm._対象月初&gt;_xlpm._今月初,
        IF(
          OR(AS4="",AS4=0),
          "",
          AS4*AT$26
        ),
        _xlfn.LET(
          _xlpm._参照先,
            "'[在庫状況把握_43期_2025-2026.xlsx]月次報告"
            &amp;TEXT(AT$1,"YYMM")
            &amp;"'!",
          _xlpm._戻り範囲,
            IF(
              _xlpm._対象月初=_xlpm._今月初,
              "$AG$1:$AG$300",
              "$G$1:$G$300"
            ),
          _xlfn.XLOOKUP(
            $C4,
            INDIRECT(_xlpm._参照先&amp;"$C$1:$C$300"),
            INDIRECT(_xlpm._参照先&amp;_xlpm._戻り範囲)
          )
        )
      )
    ),
    ""
  )
)</f>
        <v>4.2657784962862975</v>
      </c>
      <c r="AU4" s="223" cm="1">
        <f t="array" aca="1" ref="AU4" ca="1">IF($C4="","",
  IFERROR(
    _xlfn.LET(
      _xlpm._対象月初,EOMONTH(AU$1,-1)+1,
      _xlpm._今月初,EOMONTH(基準データ!$C$5,-1)+1,
      IF(
        _xlpm._対象月初&gt;_xlpm._今月初,
        IF(
          OR(AT4="",AT4=0),
          "",
          AT4*AU$26
        ),
        _xlfn.LET(
          _xlpm._参照先,
            "'[在庫状況把握_43期_2025-2026.xlsx]月次報告"
            &amp;TEXT(AU$1,"YYMM")
            &amp;"'!",
          _xlpm._戻り範囲,
            IF(
              _xlpm._対象月初=_xlpm._今月初,
              "$AG$1:$AG$300",
              "$G$1:$G$300"
            ),
          _xlfn.XLOOKUP(
            $C4,
            INDIRECT(_xlpm._参照先&amp;"$C$1:$C$300"),
            INDIRECT(_xlpm._参照先&amp;_xlpm._戻り範囲)
          )
        )
      )
    ),
    ""
  )
)</f>
        <v>6.1375925701739096</v>
      </c>
      <c r="AV4" s="223" cm="1">
        <f t="array" aca="1" ref="AV4" ca="1">IF($C4="","",
  IFERROR(
    _xlfn.LET(
      _xlpm._対象月初,EOMONTH(AV$1,-1)+1,
      _xlpm._今月初,EOMONTH(基準データ!$C$5,-1)+1,
      IF(
        _xlpm._対象月初&gt;_xlpm._今月初,
        IF(
          OR(AU4="",AU4=0),
          "",
          AU4*AV$26
        ),
        _xlfn.LET(
          _xlpm._参照先,
            "'[在庫状況把握_43期_2025-2026.xlsx]月次報告"
            &amp;TEXT(AV$1,"YYMM")
            &amp;"'!",
          _xlpm._戻り範囲,
            IF(
              _xlpm._対象月初=_xlpm._今月初,
              "$AG$1:$AG$300",
              "$G$1:$G$300"
            ),
          _xlfn.XLOOKUP(
            $C4,
            INDIRECT(_xlpm._参照先&amp;"$C$1:$C$300"),
            INDIRECT(_xlpm._参照先&amp;_xlpm._戻り範囲)
          )
        )
      )
    ),
    ""
  )
)</f>
        <v>4.7244628663843677</v>
      </c>
      <c r="AW4" s="223" cm="1">
        <f t="array" aca="1" ref="AW4" ca="1">IF($C4="","",
  IFERROR(
    _xlfn.LET(
      _xlpm._対象月初,EOMONTH(AW$1,-1)+1,
      _xlpm._今月初,EOMONTH(基準データ!$C$5,-1)+1,
      IF(
        _xlpm._対象月初&gt;_xlpm._今月初,
        IF(
          OR(AV4="",AV4=0),
          "",
          AV4*AW$26
        ),
        _xlfn.LET(
          _xlpm._参照先,
            "'[在庫状況把握_43期_2025-2026.xlsx]月次報告"
            &amp;TEXT(AW$1,"YYMM")
            &amp;"'!",
          _xlpm._戻り範囲,
            IF(
              _xlpm._対象月初=_xlpm._今月初,
              "$AG$1:$AG$300",
              "$G$1:$G$300"
            ),
          _xlfn.XLOOKUP(
            $C4,
            INDIRECT(_xlpm._参照先&amp;"$C$1:$C$300"),
            INDIRECT(_xlpm._参照先&amp;_xlpm._戻り範囲)
          )
        )
      )
    ),
    ""
  )
)</f>
        <v>3.7716235516308689</v>
      </c>
      <c r="AX4" s="223" cm="1">
        <f t="array" aca="1" ref="AX4" ca="1">IF($C4="","",
  IFERROR(
    _xlfn.LET(
      _xlpm._対象月初,EOMONTH(AX$1,-1)+1,
      _xlpm._今月初,EOMONTH(基準データ!$C$5,-1)+1,
      IF(
        _xlpm._対象月初&gt;_xlpm._今月初,
        IF(
          OR(AW4="",AW4=0),
          "",
          AW4*AX$26
        ),
        _xlfn.LET(
          _xlpm._参照先,
            "'[在庫状況把握_43期_2025-2026.xlsx]月次報告"
            &amp;TEXT(AX$1,"YYMM")
            &amp;"'!",
          _xlpm._戻り範囲,
            IF(
              _xlpm._対象月初=_xlpm._今月初,
              "$AG$1:$AG$300",
              "$G$1:$G$300"
            ),
          _xlfn.XLOOKUP(
            $C4,
            INDIRECT(_xlpm._参照先&amp;"$C$1:$C$300"),
            INDIRECT(_xlpm._参照先&amp;_xlpm._戻り範囲)
          )
        )
      )
    ),
    ""
  )
)</f>
        <v>4.3641806189297867</v>
      </c>
      <c r="AY4" s="223" cm="1">
        <f t="array" aca="1" ref="AY4" ca="1">IF($C4="","",
  IFERROR(
    _xlfn.LET(
      _xlpm._対象月初,EOMONTH(AY$1,-1)+1,
      _xlpm._今月初,EOMONTH(基準データ!$C$5,-1)+1,
      IF(
        _xlpm._対象月初&gt;_xlpm._今月初,
        IF(
          OR(AX4="",AX4=0),
          "",
          AX4*AY$26
        ),
        _xlfn.LET(
          _xlpm._参照先,
            "'[在庫状況把握_43期_2025-2026.xlsx]月次報告"
            &amp;TEXT(AY$1,"YYMM")
            &amp;"'!",
          _xlpm._戻り範囲,
            IF(
              _xlpm._対象月初=_xlpm._今月初,
              "$AG$1:$AG$300",
              "$G$1:$G$300"
            ),
          _xlfn.XLOOKUP(
            $C4,
            INDIRECT(_xlpm._参照先&amp;"$C$1:$C$300"),
            INDIRECT(_xlpm._参照先&amp;_xlpm._戻り範囲)
          )
        )
      )
    ),
    ""
  )
)</f>
        <v>5.5357142857142856</v>
      </c>
      <c r="AZ4" s="223" cm="1">
        <f t="array" aca="1" ref="AZ4" ca="1">IF($C4="","",
  IFERROR(
    _xlfn.LET(
      _xlpm._対象月初,EOMONTH(AZ$1,-1)+1,
      _xlpm._今月初,EOMONTH(基準データ!$C$5,-1)+1,
      IF(
        _xlpm._対象月初&gt;_xlpm._今月初,
        IF(
          OR(AY4="",AY4=0),
          "",
          AY4*AZ$26
        ),
        _xlfn.LET(
          _xlpm._参照先,
            "'[在庫状況把握_43期_2025-2026.xlsx]月次報告"
            &amp;TEXT(AZ$1,"YYMM")
            &amp;"'!",
          _xlpm._戻り範囲,
            IF(
              _xlpm._対象月初=_xlpm._今月初,
              "$AG$1:$AG$300",
              "$G$1:$G$300"
            ),
          _xlfn.XLOOKUP(
            $C4,
            INDIRECT(_xlpm._参照先&amp;"$C$1:$C$300"),
            INDIRECT(_xlpm._参照先&amp;_xlpm._戻り範囲)
          )
        )
      )
    ),
    ""
  )
)</f>
        <v>4.5242618320847141</v>
      </c>
      <c r="BA4" s="223" cm="1">
        <f t="array" aca="1" ref="BA4" ca="1">IF($C4="","",
  IFERROR(
    _xlfn.LET(
      _xlpm._対象月初,EOMONTH(BA$1,-1)+1,
      _xlpm._今月初,EOMONTH(基準データ!$C$5,-1)+1,
      IF(
        _xlpm._対象月初&gt;_xlpm._今月初,
        IF(
          OR(AZ4="",AZ4=0),
          "",
          AZ4*BA$26
        ),
        _xlfn.LET(
          _xlpm._参照先,
            "'[在庫状況把握_43期_2025-2026.xlsx]月次報告"
            &amp;TEXT(BA$1,"YYMM")
            &amp;"'!",
          _xlpm._戻り範囲,
            IF(
              _xlpm._対象月初=_xlpm._今月初,
              "$AG$1:$AG$300",
              "$G$1:$G$300"
            ),
          _xlfn.XLOOKUP(
            $C4,
            INDIRECT(_xlpm._参照先&amp;"$C$1:$C$300"),
            INDIRECT(_xlpm._参照先&amp;_xlpm._戻り範囲)
          )
        )
      )
    ),
    ""
  )
)</f>
        <v>3.6476617101143263</v>
      </c>
      <c r="BB4" s="223" cm="1">
        <f t="array" aca="1" ref="BB4" ca="1">IF($C4="","",
  IFERROR(
    _xlfn.LET(
      _xlpm._対象月初,EOMONTH(BB$1,-1)+1,
      _xlpm._今月初,EOMONTH(基準データ!$C$5,-1)+1,
      IF(
        _xlpm._対象月初&gt;_xlpm._今月初,
        IF(
          OR(BA4="",BA4=0),
          "",
          BA4*BB$26
        ),
        _xlfn.LET(
          _xlpm._参照先,
            "'[在庫状況把握_43期_2025-2026.xlsx]月次報告"
            &amp;TEXT(BB$1,"YYMM")
            &amp;"'!",
          _xlpm._戻り範囲,
            IF(
              _xlpm._対象月初=_xlpm._今月初,
              "$AG$1:$AG$300",
              "$G$1:$G$300"
            ),
          _xlfn.XLOOKUP(
            $C4,
            INDIRECT(_xlpm._参照先&amp;"$C$1:$C$300"),
            INDIRECT(_xlpm._参照先&amp;_xlpm._戻り範囲)
          )
        )
      )
    ),
    ""
  )
)</f>
        <v>3.1714037896321607</v>
      </c>
      <c r="BC4" s="223" cm="1">
        <f t="array" aca="1" ref="BC4" ca="1">IF($C4="","",
  IFERROR(
    _xlfn.LET(
      _xlpm._対象月初,EOMONTH(BC$1,-1)+1,
      _xlpm._今月初,EOMONTH(基準データ!$C$5,-1)+1,
      IF(
        _xlpm._対象月初&gt;_xlpm._今月初,
        IF(
          OR(BB4="",BB4=0),
          "",
          BB4*BC$26
        ),
        _xlfn.LET(
          _xlpm._参照先,
            "'[在庫状況把握_43期_2025-2026.xlsx]月次報告"
            &amp;TEXT(BC$1,"YYMM")
            &amp;"'!",
          _xlpm._戻り範囲,
            IF(
              _xlpm._対象月初=_xlpm._今月初,
              "$AG$1:$AG$300",
              "$G$1:$G$300"
            ),
          _xlfn.XLOOKUP(
            $C4,
            INDIRECT(_xlpm._参照先&amp;"$C$1:$C$300"),
            INDIRECT(_xlpm._参照先&amp;_xlpm._戻り範囲)
          )
        )
      )
    ),
    ""
  )
)</f>
        <v>3.6042295517143561</v>
      </c>
      <c r="BD4" s="223" cm="1">
        <f t="array" aca="1" ref="BD4" ca="1">IF($C4="","",
  IFERROR(
    _xlfn.LET(
      _xlpm._対象月初,EOMONTH(BD$1,-1)+1,
      _xlpm._今月初,EOMONTH(基準データ!$C$5,-1)+1,
      IF(
        _xlpm._対象月初&gt;_xlpm._今月初,
        IF(
          OR(BC4="",BC4=0),
          "",
          BC4*BD$26
        ),
        _xlfn.LET(
          _xlpm._参照先,
            "'[在庫状況把握_43期_2025-2026.xlsx]月次報告"
            &amp;TEXT(BD$1,"YYMM")
            &amp;"'!",
          _xlpm._戻り範囲,
            IF(
              _xlpm._対象月初=_xlpm._今月初,
              "$AG$1:$AG$300",
              "$G$1:$G$300"
            ),
          _xlfn.XLOOKUP(
            $C4,
            INDIRECT(_xlpm._参照先&amp;"$C$1:$C$300"),
            INDIRECT(_xlpm._参照先&amp;_xlpm._戻り範囲)
          )
        )
      )
    ),
    ""
  )
)</f>
        <v>5.6670323838248686</v>
      </c>
    </row>
    <row r="5" spans="1:56">
      <c r="A5" s="1059" t="s">
        <v>1630</v>
      </c>
      <c r="B5" s="26" t="str">
        <v>UNW-Y-290HXP-5080-L6-GC</v>
      </c>
      <c r="C5" s="25" t="s">
        <v>1631</v>
      </c>
      <c r="D5" s="26" t="s">
        <v>1351</v>
      </c>
      <c r="E5" s="24" t="s">
        <v>1352</v>
      </c>
      <c r="F5" s="24" t="s">
        <v>1347</v>
      </c>
      <c r="G5" s="38">
        <v>341</v>
      </c>
      <c r="H5" s="109" cm="1">
        <f t="array" aca="1" ref="H5" ca="1">_xlfn.LET(_xlpm._来月から4ヶ月計画合計,
  SUM(
    OFFSET($A5,0,
      MATCH(
        EDATE(基準データ!$C$5,3),$A$1:$BF$1,1
      )-3,1,4)),
_xlpm._今月計画数,
INDEX($A$1:$BE$223,
  ROW(),
  MATCH(EOMONTH(基準データ!$C$5,-1)+1,$A$1:$BE$1,0)
),
  IFERROR(IF($B5="","",_xlpm._来月から4ヶ月計画合計+_xlpm._今月計画数/2),""
)
)</f>
        <v>152.35256062706327</v>
      </c>
      <c r="I5" s="38"/>
      <c r="J5" s="38"/>
      <c r="K5" s="38"/>
      <c r="L5" s="38"/>
      <c r="M5" s="38"/>
      <c r="N5" s="38"/>
      <c r="O5" s="38"/>
      <c r="P5" s="38"/>
      <c r="Q5" s="219"/>
      <c r="R5" s="219"/>
      <c r="S5" s="219"/>
      <c r="T5" s="298"/>
      <c r="U5" s="299"/>
      <c r="V5" s="224"/>
      <c r="W5" s="467"/>
      <c r="X5" s="508"/>
      <c r="Y5" s="219">
        <v>27</v>
      </c>
      <c r="Z5" s="219">
        <v>139</v>
      </c>
      <c r="AA5" s="508">
        <v>160</v>
      </c>
      <c r="AB5" s="508">
        <v>85</v>
      </c>
      <c r="AC5" s="241">
        <v>40</v>
      </c>
      <c r="AD5" s="241" t="s">
        <v>21</v>
      </c>
      <c r="AE5" s="223" t="s">
        <v>21</v>
      </c>
      <c r="AF5" s="223" t="s">
        <v>21</v>
      </c>
      <c r="AG5" s="223" t="s">
        <v>21</v>
      </c>
      <c r="AH5" s="223" t="s">
        <v>21</v>
      </c>
      <c r="AI5" s="223">
        <v>0</v>
      </c>
      <c r="AJ5" s="223">
        <v>1</v>
      </c>
      <c r="AK5" s="223">
        <v>8</v>
      </c>
      <c r="AL5" s="223" cm="1">
        <f t="array" aca="1" ref="AL5" ca="1">IF($C5="","",
  IFERROR(
    _xlfn.LET(
      _xlpm._対象月初,EOMONTH(AL$1,-1)+1,
      _xlpm._今月初,EOMONTH(基準データ!$C$5,-1)+1,
      IF(
        _xlpm._対象月初&gt;_xlpm._今月初,
        IF(
          OR(AK5="",AK5=0),
          "",
          AK5*AL$26
        ),
        _xlfn.LET(
          _xlpm._参照先,
            "'[在庫状況把握_43期_2025-2026.xlsx]月次報告"
            &amp;TEXT(AL$1,"YYMM")
            &amp;"'!",
          _xlpm._戻り範囲,
            IF(
              _xlpm._対象月初=_xlpm._今月初,
              "$AG$1:$AG$300",
              "$G$1:$G$300"
            ),
          _xlfn.XLOOKUP(
            $C5,
            INDIRECT(_xlpm._参照先&amp;"$C$1:$C$300"),
            INDIRECT(_xlpm._参照先&amp;_xlpm._戻り範囲)
          )
        )
      )
    ),
    ""
  )
)</f>
        <v>53</v>
      </c>
      <c r="AM5" s="223" cm="1">
        <f t="array" aca="1" ref="AM5" ca="1">IF($C5="","",
  IFERROR(
    _xlfn.LET(
      _xlpm._対象月初,EOMONTH(AM$1,-1)+1,
      _xlpm._今月初,EOMONTH(基準データ!$C$5,-1)+1,
      IF(
        _xlpm._対象月初&gt;_xlpm._今月初,
        IF(
          OR(AL5="",AL5=0),
          "",
          AL5*AM$26
        ),
        _xlfn.LET(
          _xlpm._参照先,
            "'[在庫状況把握_43期_2025-2026.xlsx]月次報告"
            &amp;TEXT(AM$1,"YYMM")
            &amp;"'!",
          _xlpm._戻り範囲,
            IF(
              _xlpm._対象月初=_xlpm._今月初,
              "$AG$1:$AG$300",
              "$G$1:$G$300"
            ),
          _xlfn.XLOOKUP(
            $C5,
            INDIRECT(_xlpm._参照先&amp;"$C$1:$C$300"),
            INDIRECT(_xlpm._参照先&amp;_xlpm._戻り範囲)
          )
        )
      )
    ),
    ""
  )
)</f>
        <v>47.607142857142861</v>
      </c>
      <c r="AN5" s="223" cm="1">
        <f t="array" aca="1" ref="AN5" ca="1">IF($C5="","",
  IFERROR(
    _xlfn.LET(
      _xlpm._対象月初,EOMONTH(AN$1,-1)+1,
      _xlpm._今月初,EOMONTH(基準データ!$C$5,-1)+1,
      IF(
        _xlpm._対象月初&gt;_xlpm._今月初,
        IF(
          OR(AM5="",AM5=0),
          "",
          AM5*AN$26
        ),
        _xlfn.LET(
          _xlpm._参照先,
            "'[在庫状況把握_43期_2025-2026.xlsx]月次報告"
            &amp;TEXT(AN$1,"YYMM")
            &amp;"'!",
          _xlpm._戻り範囲,
            IF(
              _xlpm._対象月初=_xlpm._今月初,
              "$AG$1:$AG$300",
              "$G$1:$G$300"
            ),
          _xlfn.XLOOKUP(
            $C5,
            INDIRECT(_xlpm._参照先&amp;"$C$1:$C$300"),
            INDIRECT(_xlpm._参照先&amp;_xlpm._戻り範囲)
          )
        )
      )
    ),
    ""
  )
)</f>
        <v>38.908651755928545</v>
      </c>
      <c r="AO5" s="223" cm="1">
        <f t="array" aca="1" ref="AO5" ca="1">IF($C5="","",
  IFERROR(
    _xlfn.LET(
      _xlpm._対象月初,EOMONTH(AO$1,-1)+1,
      _xlpm._今月初,EOMONTH(基準データ!$C$5,-1)+1,
      IF(
        _xlpm._対象月初&gt;_xlpm._今月初,
        IF(
          OR(AN5="",AN5=0),
          "",
          AN5*AO$26
        ),
        _xlfn.LET(
          _xlpm._参照先,
            "'[在庫状況把握_43期_2025-2026.xlsx]月次報告"
            &amp;TEXT(AO$1,"YYMM")
            &amp;"'!",
          _xlpm._戻り範囲,
            IF(
              _xlpm._対象月初=_xlpm._今月初,
              "$AG$1:$AG$300",
              "$G$1:$G$300"
            ),
          _xlfn.XLOOKUP(
            $C5,
            INDIRECT(_xlpm._参照先&amp;"$C$1:$C$300"),
            INDIRECT(_xlpm._参照先&amp;_xlpm._戻り範囲)
          )
        )
      )
    ),
    ""
  )
)</f>
        <v>31.36989070698321</v>
      </c>
      <c r="AP5" s="223" cm="1">
        <f t="array" aca="1" ref="AP5" ca="1">IF($C5="","",
  IFERROR(
    _xlfn.LET(
      _xlpm._対象月初,EOMONTH(AP$1,-1)+1,
      _xlpm._今月初,EOMONTH(基準データ!$C$5,-1)+1,
      IF(
        _xlpm._対象月初&gt;_xlpm._今月初,
        IF(
          OR(AO5="",AO5=0),
          "",
          AO5*AP$26
        ),
        _xlfn.LET(
          _xlpm._参照先,
            "'[在庫状況把握_43期_2025-2026.xlsx]月次報告"
            &amp;TEXT(AP$1,"YYMM")
            &amp;"'!",
          _xlpm._戻り範囲,
            IF(
              _xlpm._対象月初=_xlpm._今月初,
              "$AG$1:$AG$300",
              "$G$1:$G$300"
            ),
          _xlfn.XLOOKUP(
            $C5,
            INDIRECT(_xlpm._参照先&amp;"$C$1:$C$300"),
            INDIRECT(_xlpm._参照先&amp;_xlpm._戻り範囲)
          )
        )
      )
    ),
    ""
  )
)</f>
        <v>27.274072590836589</v>
      </c>
      <c r="AQ5" s="223" cm="1">
        <f t="array" aca="1" ref="AQ5" ca="1">IF($C5="","",
  IFERROR(
    _xlfn.LET(
      _xlpm._対象月初,EOMONTH(AQ$1,-1)+1,
      _xlpm._今月初,EOMONTH(基準データ!$C$5,-1)+1,
      IF(
        _xlpm._対象月初&gt;_xlpm._今月初,
        IF(
          OR(AP5="",AP5=0),
          "",
          AP5*AQ$26
        ),
        _xlfn.LET(
          _xlpm._参照先,
            "'[在庫状況把握_43期_2025-2026.xlsx]月次報告"
            &amp;TEXT(AQ$1,"YYMM")
            &amp;"'!",
          _xlpm._戻り範囲,
            IF(
              _xlpm._対象月初=_xlpm._今月初,
              "$AG$1:$AG$300",
              "$G$1:$G$300"
            ),
          _xlfn.XLOOKUP(
            $C5,
            INDIRECT(_xlpm._参照先&amp;"$C$1:$C$300"),
            INDIRECT(_xlpm._参照先&amp;_xlpm._戻り範囲)
          )
        )
      )
    ),
    ""
  )
)</f>
        <v>30.99637414474347</v>
      </c>
      <c r="AR5" s="223" cm="1">
        <f t="array" aca="1" ref="AR5" ca="1">IF($C5="","",
  IFERROR(
    _xlfn.LET(
      _xlpm._対象月初,EOMONTH(AR$1,-1)+1,
      _xlpm._今月初,EOMONTH(基準データ!$C$5,-1)+1,
      IF(
        _xlpm._対象月初&gt;_xlpm._今月初,
        IF(
          OR(AQ5="",AQ5=0),
          "",
          AQ5*AR$26
        ),
        _xlfn.LET(
          _xlpm._参照先,
            "'[在庫状況把握_43期_2025-2026.xlsx]月次報告"
            &amp;TEXT(AR$1,"YYMM")
            &amp;"'!",
          _xlpm._戻り範囲,
            IF(
              _xlpm._対象月初=_xlpm._今月初,
              "$AG$1:$AG$300",
              "$G$1:$G$300"
            ),
          _xlfn.XLOOKUP(
            $C5,
            INDIRECT(_xlpm._参照先&amp;"$C$1:$C$300"),
            INDIRECT(_xlpm._参照先&amp;_xlpm._戻り範囲)
          )
        )
      )
    ),
    ""
  )
)</f>
        <v>48.736478500893881</v>
      </c>
      <c r="AS5" s="223" cm="1">
        <f t="array" aca="1" ref="AS5" ca="1">IF($C5="","",
  IFERROR(
    _xlfn.LET(
      _xlpm._対象月初,EOMONTH(AS$1,-1)+1,
      _xlpm._今月初,EOMONTH(基準データ!$C$5,-1)+1,
      IF(
        _xlpm._対象月初&gt;_xlpm._今月初,
        IF(
          OR(AR5="",AR5=0),
          "",
          AR5*AS$26
        ),
        _xlfn.LET(
          _xlpm._参照先,
            "'[在庫状況把握_43期_2025-2026.xlsx]月次報告"
            &amp;TEXT(AS$1,"YYMM")
            &amp;"'!",
          _xlpm._戻り範囲,
            IF(
              _xlpm._対象月初=_xlpm._今月初,
              "$AG$1:$AG$300",
              "$G$1:$G$300"
            ),
          _xlfn.XLOOKUP(
            $C5,
            INDIRECT(_xlpm._参照先&amp;"$C$1:$C$300"),
            INDIRECT(_xlpm._参照先&amp;_xlpm._戻り範囲)
          )
        )
      )
    ),
    ""
  )
)</f>
        <v>40.752994408649641</v>
      </c>
      <c r="AT5" s="223" cm="1">
        <f t="array" aca="1" ref="AT5" ca="1">IF($C5="","",
  IFERROR(
    _xlfn.LET(
      _xlpm._対象月初,EOMONTH(AT$1,-1)+1,
      _xlpm._今月初,EOMONTH(基準データ!$C$5,-1)+1,
      IF(
        _xlpm._対象月初&gt;_xlpm._今月初,
        IF(
          OR(AS5="",AS5=0),
          "",
          AS5*AT$26
        ),
        _xlfn.LET(
          _xlpm._参照先,
            "'[在庫状況把握_43期_2025-2026.xlsx]月次報告"
            &amp;TEXT(AT$1,"YYMM")
            &amp;"'!",
          _xlpm._戻り範囲,
            IF(
              _xlpm._対象月初=_xlpm._今月初,
              "$AG$1:$AG$300",
              "$G$1:$G$300"
            ),
          _xlfn.XLOOKUP(
            $C5,
            INDIRECT(_xlpm._参照先&amp;"$C$1:$C$300"),
            INDIRECT(_xlpm._参照先&amp;_xlpm._戻り範囲)
          )
        )
      )
    ),
    ""
  )
)</f>
        <v>36.685695068062167</v>
      </c>
      <c r="AU5" s="223" cm="1">
        <f t="array" aca="1" ref="AU5" ca="1">IF($C5="","",
  IFERROR(
    _xlfn.LET(
      _xlpm._対象月初,EOMONTH(AU$1,-1)+1,
      _xlpm._今月初,EOMONTH(基準データ!$C$5,-1)+1,
      IF(
        _xlpm._対象月初&gt;_xlpm._今月初,
        IF(
          OR(AT5="",AT5=0),
          "",
          AT5*AU$26
        ),
        _xlfn.LET(
          _xlpm._参照先,
            "'[在庫状況把握_43期_2025-2026.xlsx]月次報告"
            &amp;TEXT(AU$1,"YYMM")
            &amp;"'!",
          _xlpm._戻り範囲,
            IF(
              _xlpm._対象月初=_xlpm._今月初,
              "$AG$1:$AG$300",
              "$G$1:$G$300"
            ),
          _xlfn.XLOOKUP(
            $C5,
            INDIRECT(_xlpm._参照先&amp;"$C$1:$C$300"),
            INDIRECT(_xlpm._参照先&amp;_xlpm._戻り範囲)
          )
        )
      )
    ),
    ""
  )
)</f>
        <v>52.783296103495637</v>
      </c>
      <c r="AV5" s="223" cm="1">
        <f t="array" aca="1" ref="AV5" ca="1">IF($C5="","",
  IFERROR(
    _xlfn.LET(
      _xlpm._対象月初,EOMONTH(AV$1,-1)+1,
      _xlpm._今月初,EOMONTH(基準データ!$C$5,-1)+1,
      IF(
        _xlpm._対象月初&gt;_xlpm._今月初,
        IF(
          OR(AU5="",AU5=0),
          "",
          AU5*AV$26
        ),
        _xlfn.LET(
          _xlpm._参照先,
            "'[在庫状況把握_43期_2025-2026.xlsx]月次報告"
            &amp;TEXT(AV$1,"YYMM")
            &amp;"'!",
          _xlpm._戻り範囲,
            IF(
              _xlpm._対象月初=_xlpm._今月初,
              "$AG$1:$AG$300",
              "$G$1:$G$300"
            ),
          _xlfn.XLOOKUP(
            $C5,
            INDIRECT(_xlpm._参照先&amp;"$C$1:$C$300"),
            INDIRECT(_xlpm._参照先&amp;_xlpm._戻り範囲)
          )
        )
      )
    ),
    ""
  )
)</f>
        <v>40.630380650905579</v>
      </c>
      <c r="AW5" s="223" cm="1">
        <f t="array" aca="1" ref="AW5" ca="1">IF($C5="","",
  IFERROR(
    _xlfn.LET(
      _xlpm._対象月初,EOMONTH(AW$1,-1)+1,
      _xlpm._今月初,EOMONTH(基準データ!$C$5,-1)+1,
      IF(
        _xlpm._対象月初&gt;_xlpm._今月初,
        IF(
          OR(AV5="",AV5=0),
          "",
          AV5*AW$26
        ),
        _xlfn.LET(
          _xlpm._参照先,
            "'[在庫状況把握_43期_2025-2026.xlsx]月次報告"
            &amp;TEXT(AW$1,"YYMM")
            &amp;"'!",
          _xlpm._戻り範囲,
            IF(
              _xlpm._対象月初=_xlpm._今月初,
              "$AG$1:$AG$300",
              "$G$1:$G$300"
            ),
          _xlfn.XLOOKUP(
            $C5,
            INDIRECT(_xlpm._参照先&amp;"$C$1:$C$300"),
            INDIRECT(_xlpm._参照先&amp;_xlpm._戻り範囲)
          )
        )
      )
    ),
    ""
  )
)</f>
        <v>32.435962544025486</v>
      </c>
      <c r="AX5" s="223" cm="1">
        <f t="array" aca="1" ref="AX5" ca="1">IF($C5="","",
  IFERROR(
    _xlfn.LET(
      _xlpm._対象月初,EOMONTH(AX$1,-1)+1,
      _xlpm._今月初,EOMONTH(基準データ!$C$5,-1)+1,
      IF(
        _xlpm._対象月初&gt;_xlpm._今月初,
        IF(
          OR(AW5="",AW5=0),
          "",
          AW5*AX$26
        ),
        _xlfn.LET(
          _xlpm._参照先,
            "'[在庫状況把握_43期_2025-2026.xlsx]月次報告"
            &amp;TEXT(AX$1,"YYMM")
            &amp;"'!",
          _xlpm._戻り範囲,
            IF(
              _xlpm._対象月初=_xlpm._今月初,
              "$AG$1:$AG$300",
              "$G$1:$G$300"
            ),
          _xlfn.XLOOKUP(
            $C5,
            INDIRECT(_xlpm._参照先&amp;"$C$1:$C$300"),
            INDIRECT(_xlpm._参照先&amp;_xlpm._戻り範囲)
          )
        )
      )
    ),
    ""
  )
)</f>
        <v>37.531953322796177</v>
      </c>
      <c r="AY5" s="223" cm="1">
        <f t="array" aca="1" ref="AY5" ca="1">IF($C5="","",
  IFERROR(
    _xlfn.LET(
      _xlpm._対象月初,EOMONTH(AY$1,-1)+1,
      _xlpm._今月初,EOMONTH(基準データ!$C$5,-1)+1,
      IF(
        _xlpm._対象月初&gt;_xlpm._今月初,
        IF(
          OR(AX5="",AX5=0),
          "",
          AX5*AY$26
        ),
        _xlfn.LET(
          _xlpm._参照先,
            "'[在庫状況把握_43期_2025-2026.xlsx]月次報告"
            &amp;TEXT(AY$1,"YYMM")
            &amp;"'!",
          _xlpm._戻り範囲,
            IF(
              _xlpm._対象月初=_xlpm._今月初,
              "$AG$1:$AG$300",
              "$G$1:$G$300"
            ),
          _xlfn.XLOOKUP(
            $C5,
            INDIRECT(_xlpm._参照先&amp;"$C$1:$C$300"),
            INDIRECT(_xlpm._参照先&amp;_xlpm._戻り範囲)
          )
        )
      )
    ),
    ""
  )
)</f>
        <v>47.607142857142868</v>
      </c>
      <c r="AZ5" s="223" cm="1">
        <f t="array" aca="1" ref="AZ5" ca="1">IF($C5="","",
  IFERROR(
    _xlfn.LET(
      _xlpm._対象月初,EOMONTH(AZ$1,-1)+1,
      _xlpm._今月初,EOMONTH(基準データ!$C$5,-1)+1,
      IF(
        _xlpm._対象月初&gt;_xlpm._今月初,
        IF(
          OR(AY5="",AY5=0),
          "",
          AY5*AZ$26
        ),
        _xlfn.LET(
          _xlpm._参照先,
            "'[在庫状況把握_43期_2025-2026.xlsx]月次報告"
            &amp;TEXT(AZ$1,"YYMM")
            &amp;"'!",
          _xlpm._戻り範囲,
            IF(
              _xlpm._対象月初=_xlpm._今月初,
              "$AG$1:$AG$300",
              "$G$1:$G$300"
            ),
          _xlfn.XLOOKUP(
            $C5,
            INDIRECT(_xlpm._参照先&amp;"$C$1:$C$300"),
            INDIRECT(_xlpm._参照先&amp;_xlpm._戻り範囲)
          )
        )
      )
    ),
    ""
  )
)</f>
        <v>38.908651755928553</v>
      </c>
      <c r="BA5" s="223" cm="1">
        <f t="array" aca="1" ref="BA5" ca="1">IF($C5="","",
  IFERROR(
    _xlfn.LET(
      _xlpm._対象月初,EOMONTH(BA$1,-1)+1,
      _xlpm._今月初,EOMONTH(基準データ!$C$5,-1)+1,
      IF(
        _xlpm._対象月初&gt;_xlpm._今月初,
        IF(
          OR(AZ5="",AZ5=0),
          "",
          AZ5*BA$26
        ),
        _xlfn.LET(
          _xlpm._参照先,
            "'[在庫状況把握_43期_2025-2026.xlsx]月次報告"
            &amp;TEXT(BA$1,"YYMM")
            &amp;"'!",
          _xlpm._戻り範囲,
            IF(
              _xlpm._対象月初=_xlpm._今月初,
              "$AG$1:$AG$300",
              "$G$1:$G$300"
            ),
          _xlfn.XLOOKUP(
            $C5,
            INDIRECT(_xlpm._参照先&amp;"$C$1:$C$300"),
            INDIRECT(_xlpm._参照先&amp;_xlpm._戻り範囲)
          )
        )
      )
    ),
    ""
  )
)</f>
        <v>31.369890706983217</v>
      </c>
      <c r="BB5" s="223" cm="1">
        <f t="array" aca="1" ref="BB5" ca="1">IF($C5="","",
  IFERROR(
    _xlfn.LET(
      _xlpm._対象月初,EOMONTH(BB$1,-1)+1,
      _xlpm._今月初,EOMONTH(基準データ!$C$5,-1)+1,
      IF(
        _xlpm._対象月初&gt;_xlpm._今月初,
        IF(
          OR(BA5="",BA5=0),
          "",
          BA5*BB$26
        ),
        _xlfn.LET(
          _xlpm._参照先,
            "'[在庫状況把握_43期_2025-2026.xlsx]月次報告"
            &amp;TEXT(BB$1,"YYMM")
            &amp;"'!",
          _xlpm._戻り範囲,
            IF(
              _xlpm._対象月初=_xlpm._今月初,
              "$AG$1:$AG$300",
              "$G$1:$G$300"
            ),
          _xlfn.XLOOKUP(
            $C5,
            INDIRECT(_xlpm._参照先&amp;"$C$1:$C$300"),
            INDIRECT(_xlpm._参照先&amp;_xlpm._戻り範囲)
          )
        )
      )
    ),
    ""
  )
)</f>
        <v>27.274072590836592</v>
      </c>
      <c r="BC5" s="223" cm="1">
        <f t="array" aca="1" ref="BC5" ca="1">IF($C5="","",
  IFERROR(
    _xlfn.LET(
      _xlpm._対象月初,EOMONTH(BC$1,-1)+1,
      _xlpm._今月初,EOMONTH(基準データ!$C$5,-1)+1,
      IF(
        _xlpm._対象月初&gt;_xlpm._今月初,
        IF(
          OR(BB5="",BB5=0),
          "",
          BB5*BC$26
        ),
        _xlfn.LET(
          _xlpm._参照先,
            "'[在庫状況把握_43期_2025-2026.xlsx]月次報告"
            &amp;TEXT(BC$1,"YYMM")
            &amp;"'!",
          _xlpm._戻り範囲,
            IF(
              _xlpm._対象月初=_xlpm._今月初,
              "$AG$1:$AG$300",
              "$G$1:$G$300"
            ),
          _xlfn.XLOOKUP(
            $C5,
            INDIRECT(_xlpm._参照先&amp;"$C$1:$C$300"),
            INDIRECT(_xlpm._参照先&amp;_xlpm._戻り範囲)
          )
        )
      )
    ),
    ""
  )
)</f>
        <v>30.996374144743477</v>
      </c>
      <c r="BD5" s="223" cm="1">
        <f t="array" aca="1" ref="BD5" ca="1">IF($C5="","",
  IFERROR(
    _xlfn.LET(
      _xlpm._対象月初,EOMONTH(BD$1,-1)+1,
      _xlpm._今月初,EOMONTH(基準データ!$C$5,-1)+1,
      IF(
        _xlpm._対象月初&gt;_xlpm._今月初,
        IF(
          OR(BC5="",BC5=0),
          "",
          BC5*BD$26
        ),
        _xlfn.LET(
          _xlpm._参照先,
            "'[在庫状況把握_43期_2025-2026.xlsx]月次報告"
            &amp;TEXT(BD$1,"YYMM")
            &amp;"'!",
          _xlpm._戻り範囲,
            IF(
              _xlpm._対象月初=_xlpm._今月初,
              "$AG$1:$AG$300",
              "$G$1:$G$300"
            ),
          _xlfn.XLOOKUP(
            $C5,
            INDIRECT(_xlpm._参照先&amp;"$C$1:$C$300"),
            INDIRECT(_xlpm._参照先&amp;_xlpm._戻り範囲)
          )
        )
      )
    ),
    ""
  )
)</f>
        <v>48.736478500893888</v>
      </c>
    </row>
    <row r="6" spans="1:56">
      <c r="A6" s="1059"/>
      <c r="B6" s="26" t="str">
        <v/>
      </c>
      <c r="C6" s="26"/>
      <c r="D6" s="26"/>
      <c r="E6" s="26"/>
      <c r="F6" s="26"/>
      <c r="G6" s="43" t="str">
        <v/>
      </c>
      <c r="H6" s="109" t="str" cm="1">
        <f t="array" aca="1" ref="H6" ca="1">_xlfn.LET(_xlpm._来月から4ヶ月計画合計,
  SUM(
    OFFSET($A6,0,
      MATCH(
        EDATE(基準データ!$C$5,3),$A$1:$BF$1,1
      )-3,1,4)),
_xlpm._今月計画数,
INDEX($A$1:$BE$223,
  ROW(),
  MATCH(EOMONTH(基準データ!$C$5,-1)+1,$A$1:$BE$1,0)
),
  IFERROR(IF($B6="","",_xlpm._来月から4ヶ月計画合計+_xlpm._今月計画数/2),""
)
)</f>
        <v/>
      </c>
      <c r="I6" s="38"/>
      <c r="J6" s="38"/>
      <c r="K6" s="38"/>
      <c r="L6" s="38"/>
      <c r="M6" s="38"/>
      <c r="N6" s="38"/>
      <c r="O6" s="38"/>
      <c r="P6" s="38"/>
      <c r="Q6" s="219"/>
      <c r="R6" s="219"/>
      <c r="S6" s="219"/>
      <c r="T6" s="222"/>
      <c r="U6" s="223"/>
      <c r="V6" s="223"/>
      <c r="W6" s="467"/>
      <c r="X6" s="508"/>
      <c r="Y6" s="219"/>
      <c r="Z6" s="219" t="str">
        <f>IF(Y6*'在庫使用計画 (計画　予測)'!$AB$45=0,"",Y6*'在庫使用計画 (計画　予測)'!$AB$45)</f>
        <v/>
      </c>
      <c r="AA6" s="219"/>
      <c r="AB6" s="219"/>
      <c r="AC6" s="224"/>
      <c r="AD6" s="224" t="s">
        <v>21</v>
      </c>
      <c r="AE6" s="223" t="s">
        <v>21</v>
      </c>
      <c r="AF6" s="223" t="s">
        <v>21</v>
      </c>
      <c r="AG6" s="223" t="s">
        <v>21</v>
      </c>
      <c r="AH6" s="223" t="s">
        <v>21</v>
      </c>
      <c r="AI6" s="223" t="s">
        <v>21</v>
      </c>
      <c r="AJ6" s="223" t="s">
        <v>21</v>
      </c>
      <c r="AK6" s="223" t="s">
        <v>21</v>
      </c>
      <c r="AL6" s="223" t="str" cm="1">
        <f t="array" aca="1" ref="AL6" ca="1">IF($C6="","",
  IFERROR(
    _xlfn.LET(
      _xlpm._対象月初,EOMONTH(AL$1,-1)+1,
      _xlpm._今月初,EOMONTH(基準データ!$C$5,-1)+1,
      IF(
        _xlpm._対象月初&gt;_xlpm._今月初,
        IF(
          OR(AK6="",AK6=0),
          "",
          AK6*AL$26
        ),
        _xlfn.LET(
          _xlpm._参照先,
            "'[在庫状況把握_43期_2025-2026.xlsx]月次報告"
            &amp;TEXT(AL$1,"YYMM")
            &amp;"'!",
          _xlpm._戻り範囲,
            IF(
              _xlpm._対象月初=_xlpm._今月初,
              "$AG$1:$AG$300",
              "$G$1:$G$300"
            ),
          _xlfn.XLOOKUP(
            $C6,
            INDIRECT(_xlpm._参照先&amp;"$C$1:$C$300"),
            INDIRECT(_xlpm._参照先&amp;_xlpm._戻り範囲)
          )
        )
      )
    ),
    ""
  )
)</f>
        <v/>
      </c>
      <c r="AM6" s="223" t="str" cm="1">
        <f t="array" aca="1" ref="AM6" ca="1">IF($C6="","",
  IFERROR(
    _xlfn.LET(
      _xlpm._対象月初,EOMONTH(AM$1,-1)+1,
      _xlpm._今月初,EOMONTH(基準データ!$C$5,-1)+1,
      IF(
        _xlpm._対象月初&gt;_xlpm._今月初,
        IF(
          OR(AL6="",AL6=0),
          "",
          AL6*AM$26
        ),
        _xlfn.LET(
          _xlpm._参照先,
            "'[在庫状況把握_43期_2025-2026.xlsx]月次報告"
            &amp;TEXT(AM$1,"YYMM")
            &amp;"'!",
          _xlpm._戻り範囲,
            IF(
              _xlpm._対象月初=_xlpm._今月初,
              "$AG$1:$AG$300",
              "$G$1:$G$300"
            ),
          _xlfn.XLOOKUP(
            $C6,
            INDIRECT(_xlpm._参照先&amp;"$C$1:$C$300"),
            INDIRECT(_xlpm._参照先&amp;_xlpm._戻り範囲)
          )
        )
      )
    ),
    ""
  )
)</f>
        <v/>
      </c>
      <c r="AN6" s="223" t="str" cm="1">
        <f t="array" aca="1" ref="AN6" ca="1">IF($C6="","",
  IFERROR(
    _xlfn.LET(
      _xlpm._対象月初,EOMONTH(AN$1,-1)+1,
      _xlpm._今月初,EOMONTH(基準データ!$C$5,-1)+1,
      IF(
        _xlpm._対象月初&gt;_xlpm._今月初,
        IF(
          OR(AM6="",AM6=0),
          "",
          AM6*AN$26
        ),
        _xlfn.LET(
          _xlpm._参照先,
            "'[在庫状況把握_43期_2025-2026.xlsx]月次報告"
            &amp;TEXT(AN$1,"YYMM")
            &amp;"'!",
          _xlpm._戻り範囲,
            IF(
              _xlpm._対象月初=_xlpm._今月初,
              "$AG$1:$AG$300",
              "$G$1:$G$300"
            ),
          _xlfn.XLOOKUP(
            $C6,
            INDIRECT(_xlpm._参照先&amp;"$C$1:$C$300"),
            INDIRECT(_xlpm._参照先&amp;_xlpm._戻り範囲)
          )
        )
      )
    ),
    ""
  )
)</f>
        <v/>
      </c>
      <c r="AO6" s="223" t="str" cm="1">
        <f t="array" aca="1" ref="AO6" ca="1">IF($C6="","",
  IFERROR(
    _xlfn.LET(
      _xlpm._対象月初,EOMONTH(AO$1,-1)+1,
      _xlpm._今月初,EOMONTH(基準データ!$C$5,-1)+1,
      IF(
        _xlpm._対象月初&gt;_xlpm._今月初,
        IF(
          OR(AN6="",AN6=0),
          "",
          AN6*AO$26
        ),
        _xlfn.LET(
          _xlpm._参照先,
            "'[在庫状況把握_43期_2025-2026.xlsx]月次報告"
            &amp;TEXT(AO$1,"YYMM")
            &amp;"'!",
          _xlpm._戻り範囲,
            IF(
              _xlpm._対象月初=_xlpm._今月初,
              "$AG$1:$AG$300",
              "$G$1:$G$300"
            ),
          _xlfn.XLOOKUP(
            $C6,
            INDIRECT(_xlpm._参照先&amp;"$C$1:$C$300"),
            INDIRECT(_xlpm._参照先&amp;_xlpm._戻り範囲)
          )
        )
      )
    ),
    ""
  )
)</f>
        <v/>
      </c>
      <c r="AP6" s="223" t="str" cm="1">
        <f t="array" aca="1" ref="AP6" ca="1">IF($C6="","",
  IFERROR(
    _xlfn.LET(
      _xlpm._対象月初,EOMONTH(AP$1,-1)+1,
      _xlpm._今月初,EOMONTH(基準データ!$C$5,-1)+1,
      IF(
        _xlpm._対象月初&gt;_xlpm._今月初,
        IF(
          OR(AO6="",AO6=0),
          "",
          AO6*AP$26
        ),
        _xlfn.LET(
          _xlpm._参照先,
            "'[在庫状況把握_43期_2025-2026.xlsx]月次報告"
            &amp;TEXT(AP$1,"YYMM")
            &amp;"'!",
          _xlpm._戻り範囲,
            IF(
              _xlpm._対象月初=_xlpm._今月初,
              "$AG$1:$AG$300",
              "$G$1:$G$300"
            ),
          _xlfn.XLOOKUP(
            $C6,
            INDIRECT(_xlpm._参照先&amp;"$C$1:$C$300"),
            INDIRECT(_xlpm._参照先&amp;_xlpm._戻り範囲)
          )
        )
      )
    ),
    ""
  )
)</f>
        <v/>
      </c>
      <c r="AQ6" s="223" t="str" cm="1">
        <f t="array" aca="1" ref="AQ6" ca="1">IF($C6="","",
  IFERROR(
    _xlfn.LET(
      _xlpm._対象月初,EOMONTH(AQ$1,-1)+1,
      _xlpm._今月初,EOMONTH(基準データ!$C$5,-1)+1,
      IF(
        _xlpm._対象月初&gt;_xlpm._今月初,
        IF(
          OR(AP6="",AP6=0),
          "",
          AP6*AQ$26
        ),
        _xlfn.LET(
          _xlpm._参照先,
            "'[在庫状況把握_43期_2025-2026.xlsx]月次報告"
            &amp;TEXT(AQ$1,"YYMM")
            &amp;"'!",
          _xlpm._戻り範囲,
            IF(
              _xlpm._対象月初=_xlpm._今月初,
              "$AG$1:$AG$300",
              "$G$1:$G$300"
            ),
          _xlfn.XLOOKUP(
            $C6,
            INDIRECT(_xlpm._参照先&amp;"$C$1:$C$300"),
            INDIRECT(_xlpm._参照先&amp;_xlpm._戻り範囲)
          )
        )
      )
    ),
    ""
  )
)</f>
        <v/>
      </c>
      <c r="AR6" s="223" t="str" cm="1">
        <f t="array" aca="1" ref="AR6" ca="1">IF($C6="","",
  IFERROR(
    _xlfn.LET(
      _xlpm._対象月初,EOMONTH(AR$1,-1)+1,
      _xlpm._今月初,EOMONTH(基準データ!$C$5,-1)+1,
      IF(
        _xlpm._対象月初&gt;_xlpm._今月初,
        IF(
          OR(AQ6="",AQ6=0),
          "",
          AQ6*AR$26
        ),
        _xlfn.LET(
          _xlpm._参照先,
            "'[在庫状況把握_43期_2025-2026.xlsx]月次報告"
            &amp;TEXT(AR$1,"YYMM")
            &amp;"'!",
          _xlpm._戻り範囲,
            IF(
              _xlpm._対象月初=_xlpm._今月初,
              "$AG$1:$AG$300",
              "$G$1:$G$300"
            ),
          _xlfn.XLOOKUP(
            $C6,
            INDIRECT(_xlpm._参照先&amp;"$C$1:$C$300"),
            INDIRECT(_xlpm._参照先&amp;_xlpm._戻り範囲)
          )
        )
      )
    ),
    ""
  )
)</f>
        <v/>
      </c>
      <c r="AS6" s="223" t="str" cm="1">
        <f t="array" aca="1" ref="AS6" ca="1">IF($C6="","",
  IFERROR(
    _xlfn.LET(
      _xlpm._対象月初,EOMONTH(AS$1,-1)+1,
      _xlpm._今月初,EOMONTH(基準データ!$C$5,-1)+1,
      IF(
        _xlpm._対象月初&gt;_xlpm._今月初,
        IF(
          OR(AR6="",AR6=0),
          "",
          AR6*AS$26
        ),
        _xlfn.LET(
          _xlpm._参照先,
            "'[在庫状況把握_43期_2025-2026.xlsx]月次報告"
            &amp;TEXT(AS$1,"YYMM")
            &amp;"'!",
          _xlpm._戻り範囲,
            IF(
              _xlpm._対象月初=_xlpm._今月初,
              "$AG$1:$AG$300",
              "$G$1:$G$300"
            ),
          _xlfn.XLOOKUP(
            $C6,
            INDIRECT(_xlpm._参照先&amp;"$C$1:$C$300"),
            INDIRECT(_xlpm._参照先&amp;_xlpm._戻り範囲)
          )
        )
      )
    ),
    ""
  )
)</f>
        <v/>
      </c>
      <c r="AT6" s="223" t="str" cm="1">
        <f t="array" aca="1" ref="AT6" ca="1">IF($C6="","",
  IFERROR(
    _xlfn.LET(
      _xlpm._対象月初,EOMONTH(AT$1,-1)+1,
      _xlpm._今月初,EOMONTH(基準データ!$C$5,-1)+1,
      IF(
        _xlpm._対象月初&gt;_xlpm._今月初,
        IF(
          OR(AS6="",AS6=0),
          "",
          AS6*AT$26
        ),
        _xlfn.LET(
          _xlpm._参照先,
            "'[在庫状況把握_43期_2025-2026.xlsx]月次報告"
            &amp;TEXT(AT$1,"YYMM")
            &amp;"'!",
          _xlpm._戻り範囲,
            IF(
              _xlpm._対象月初=_xlpm._今月初,
              "$AG$1:$AG$300",
              "$G$1:$G$300"
            ),
          _xlfn.XLOOKUP(
            $C6,
            INDIRECT(_xlpm._参照先&amp;"$C$1:$C$300"),
            INDIRECT(_xlpm._参照先&amp;_xlpm._戻り範囲)
          )
        )
      )
    ),
    ""
  )
)</f>
        <v/>
      </c>
      <c r="AU6" s="223" t="str" cm="1">
        <f t="array" aca="1" ref="AU6" ca="1">IF($C6="","",
  IFERROR(
    _xlfn.LET(
      _xlpm._対象月初,EOMONTH(AU$1,-1)+1,
      _xlpm._今月初,EOMONTH(基準データ!$C$5,-1)+1,
      IF(
        _xlpm._対象月初&gt;_xlpm._今月初,
        IF(
          OR(AT6="",AT6=0),
          "",
          AT6*AU$26
        ),
        _xlfn.LET(
          _xlpm._参照先,
            "'[在庫状況把握_43期_2025-2026.xlsx]月次報告"
            &amp;TEXT(AU$1,"YYMM")
            &amp;"'!",
          _xlpm._戻り範囲,
            IF(
              _xlpm._対象月初=_xlpm._今月初,
              "$AG$1:$AG$300",
              "$G$1:$G$300"
            ),
          _xlfn.XLOOKUP(
            $C6,
            INDIRECT(_xlpm._参照先&amp;"$C$1:$C$300"),
            INDIRECT(_xlpm._参照先&amp;_xlpm._戻り範囲)
          )
        )
      )
    ),
    ""
  )
)</f>
        <v/>
      </c>
      <c r="AV6" s="223" t="str" cm="1">
        <f t="array" aca="1" ref="AV6" ca="1">IF($C6="","",
  IFERROR(
    _xlfn.LET(
      _xlpm._対象月初,EOMONTH(AV$1,-1)+1,
      _xlpm._今月初,EOMONTH(基準データ!$C$5,-1)+1,
      IF(
        _xlpm._対象月初&gt;_xlpm._今月初,
        IF(
          OR(AU6="",AU6=0),
          "",
          AU6*AV$26
        ),
        _xlfn.LET(
          _xlpm._参照先,
            "'[在庫状況把握_43期_2025-2026.xlsx]月次報告"
            &amp;TEXT(AV$1,"YYMM")
            &amp;"'!",
          _xlpm._戻り範囲,
            IF(
              _xlpm._対象月初=_xlpm._今月初,
              "$AG$1:$AG$300",
              "$G$1:$G$300"
            ),
          _xlfn.XLOOKUP(
            $C6,
            INDIRECT(_xlpm._参照先&amp;"$C$1:$C$300"),
            INDIRECT(_xlpm._参照先&amp;_xlpm._戻り範囲)
          )
        )
      )
    ),
    ""
  )
)</f>
        <v/>
      </c>
      <c r="AW6" s="223" t="str" cm="1">
        <f t="array" aca="1" ref="AW6" ca="1">IF($C6="","",
  IFERROR(
    _xlfn.LET(
      _xlpm._対象月初,EOMONTH(AW$1,-1)+1,
      _xlpm._今月初,EOMONTH(基準データ!$C$5,-1)+1,
      IF(
        _xlpm._対象月初&gt;_xlpm._今月初,
        IF(
          OR(AV6="",AV6=0),
          "",
          AV6*AW$26
        ),
        _xlfn.LET(
          _xlpm._参照先,
            "'[在庫状況把握_43期_2025-2026.xlsx]月次報告"
            &amp;TEXT(AW$1,"YYMM")
            &amp;"'!",
          _xlpm._戻り範囲,
            IF(
              _xlpm._対象月初=_xlpm._今月初,
              "$AG$1:$AG$300",
              "$G$1:$G$300"
            ),
          _xlfn.XLOOKUP(
            $C6,
            INDIRECT(_xlpm._参照先&amp;"$C$1:$C$300"),
            INDIRECT(_xlpm._参照先&amp;_xlpm._戻り範囲)
          )
        )
      )
    ),
    ""
  )
)</f>
        <v/>
      </c>
      <c r="AX6" s="223" t="str" cm="1">
        <f t="array" aca="1" ref="AX6" ca="1">IF($C6="","",
  IFERROR(
    _xlfn.LET(
      _xlpm._対象月初,EOMONTH(AX$1,-1)+1,
      _xlpm._今月初,EOMONTH(基準データ!$C$5,-1)+1,
      IF(
        _xlpm._対象月初&gt;_xlpm._今月初,
        IF(
          OR(AW6="",AW6=0),
          "",
          AW6*AX$26
        ),
        _xlfn.LET(
          _xlpm._参照先,
            "'[在庫状況把握_43期_2025-2026.xlsx]月次報告"
            &amp;TEXT(AX$1,"YYMM")
            &amp;"'!",
          _xlpm._戻り範囲,
            IF(
              _xlpm._対象月初=_xlpm._今月初,
              "$AG$1:$AG$300",
              "$G$1:$G$300"
            ),
          _xlfn.XLOOKUP(
            $C6,
            INDIRECT(_xlpm._参照先&amp;"$C$1:$C$300"),
            INDIRECT(_xlpm._参照先&amp;_xlpm._戻り範囲)
          )
        )
      )
    ),
    ""
  )
)</f>
        <v/>
      </c>
      <c r="AY6" s="223" t="str" cm="1">
        <f t="array" aca="1" ref="AY6" ca="1">IF($C6="","",
  IFERROR(
    _xlfn.LET(
      _xlpm._対象月初,EOMONTH(AY$1,-1)+1,
      _xlpm._今月初,EOMONTH(基準データ!$C$5,-1)+1,
      IF(
        _xlpm._対象月初&gt;_xlpm._今月初,
        IF(
          OR(AX6="",AX6=0),
          "",
          AX6*AY$26
        ),
        _xlfn.LET(
          _xlpm._参照先,
            "'[在庫状況把握_43期_2025-2026.xlsx]月次報告"
            &amp;TEXT(AY$1,"YYMM")
            &amp;"'!",
          _xlpm._戻り範囲,
            IF(
              _xlpm._対象月初=_xlpm._今月初,
              "$AG$1:$AG$300",
              "$G$1:$G$300"
            ),
          _xlfn.XLOOKUP(
            $C6,
            INDIRECT(_xlpm._参照先&amp;"$C$1:$C$300"),
            INDIRECT(_xlpm._参照先&amp;_xlpm._戻り範囲)
          )
        )
      )
    ),
    ""
  )
)</f>
        <v/>
      </c>
      <c r="AZ6" s="223" t="str" cm="1">
        <f t="array" aca="1" ref="AZ6" ca="1">IF($C6="","",
  IFERROR(
    _xlfn.LET(
      _xlpm._対象月初,EOMONTH(AZ$1,-1)+1,
      _xlpm._今月初,EOMONTH(基準データ!$C$5,-1)+1,
      IF(
        _xlpm._対象月初&gt;_xlpm._今月初,
        IF(
          OR(AY6="",AY6=0),
          "",
          AY6*AZ$26
        ),
        _xlfn.LET(
          _xlpm._参照先,
            "'[在庫状況把握_43期_2025-2026.xlsx]月次報告"
            &amp;TEXT(AZ$1,"YYMM")
            &amp;"'!",
          _xlpm._戻り範囲,
            IF(
              _xlpm._対象月初=_xlpm._今月初,
              "$AG$1:$AG$300",
              "$G$1:$G$300"
            ),
          _xlfn.XLOOKUP(
            $C6,
            INDIRECT(_xlpm._参照先&amp;"$C$1:$C$300"),
            INDIRECT(_xlpm._参照先&amp;_xlpm._戻り範囲)
          )
        )
      )
    ),
    ""
  )
)</f>
        <v/>
      </c>
      <c r="BA6" s="223" t="str" cm="1">
        <f t="array" aca="1" ref="BA6" ca="1">IF($C6="","",
  IFERROR(
    _xlfn.LET(
      _xlpm._対象月初,EOMONTH(BA$1,-1)+1,
      _xlpm._今月初,EOMONTH(基準データ!$C$5,-1)+1,
      IF(
        _xlpm._対象月初&gt;_xlpm._今月初,
        IF(
          OR(AZ6="",AZ6=0),
          "",
          AZ6*BA$26
        ),
        _xlfn.LET(
          _xlpm._参照先,
            "'[在庫状況把握_43期_2025-2026.xlsx]月次報告"
            &amp;TEXT(BA$1,"YYMM")
            &amp;"'!",
          _xlpm._戻り範囲,
            IF(
              _xlpm._対象月初=_xlpm._今月初,
              "$AG$1:$AG$300",
              "$G$1:$G$300"
            ),
          _xlfn.XLOOKUP(
            $C6,
            INDIRECT(_xlpm._参照先&amp;"$C$1:$C$300"),
            INDIRECT(_xlpm._参照先&amp;_xlpm._戻り範囲)
          )
        )
      )
    ),
    ""
  )
)</f>
        <v/>
      </c>
      <c r="BB6" s="223" t="str" cm="1">
        <f t="array" aca="1" ref="BB6" ca="1">IF($C6="","",
  IFERROR(
    _xlfn.LET(
      _xlpm._対象月初,EOMONTH(BB$1,-1)+1,
      _xlpm._今月初,EOMONTH(基準データ!$C$5,-1)+1,
      IF(
        _xlpm._対象月初&gt;_xlpm._今月初,
        IF(
          OR(BA6="",BA6=0),
          "",
          BA6*BB$26
        ),
        _xlfn.LET(
          _xlpm._参照先,
            "'[在庫状況把握_43期_2025-2026.xlsx]月次報告"
            &amp;TEXT(BB$1,"YYMM")
            &amp;"'!",
          _xlpm._戻り範囲,
            IF(
              _xlpm._対象月初=_xlpm._今月初,
              "$AG$1:$AG$300",
              "$G$1:$G$300"
            ),
          _xlfn.XLOOKUP(
            $C6,
            INDIRECT(_xlpm._参照先&amp;"$C$1:$C$300"),
            INDIRECT(_xlpm._参照先&amp;_xlpm._戻り範囲)
          )
        )
      )
    ),
    ""
  )
)</f>
        <v/>
      </c>
      <c r="BC6" s="223" t="str" cm="1">
        <f t="array" aca="1" ref="BC6" ca="1">IF($C6="","",
  IFERROR(
    _xlfn.LET(
      _xlpm._対象月初,EOMONTH(BC$1,-1)+1,
      _xlpm._今月初,EOMONTH(基準データ!$C$5,-1)+1,
      IF(
        _xlpm._対象月初&gt;_xlpm._今月初,
        IF(
          OR(BB6="",BB6=0),
          "",
          BB6*BC$26
        ),
        _xlfn.LET(
          _xlpm._参照先,
            "'[在庫状況把握_43期_2025-2026.xlsx]月次報告"
            &amp;TEXT(BC$1,"YYMM")
            &amp;"'!",
          _xlpm._戻り範囲,
            IF(
              _xlpm._対象月初=_xlpm._今月初,
              "$AG$1:$AG$300",
              "$G$1:$G$300"
            ),
          _xlfn.XLOOKUP(
            $C6,
            INDIRECT(_xlpm._参照先&amp;"$C$1:$C$300"),
            INDIRECT(_xlpm._参照先&amp;_xlpm._戻り範囲)
          )
        )
      )
    ),
    ""
  )
)</f>
        <v/>
      </c>
      <c r="BD6" s="223" t="str" cm="1">
        <f t="array" aca="1" ref="BD6" ca="1">IF($C6="","",
  IFERROR(
    _xlfn.LET(
      _xlpm._対象月初,EOMONTH(BD$1,-1)+1,
      _xlpm._今月初,EOMONTH(基準データ!$C$5,-1)+1,
      IF(
        _xlpm._対象月初&gt;_xlpm._今月初,
        IF(
          OR(BC6="",BC6=0),
          "",
          BC6*BD$26
        ),
        _xlfn.LET(
          _xlpm._参照先,
            "'[在庫状況把握_43期_2025-2026.xlsx]月次報告"
            &amp;TEXT(BD$1,"YYMM")
            &amp;"'!",
          _xlpm._戻り範囲,
            IF(
              _xlpm._対象月初=_xlpm._今月初,
              "$AG$1:$AG$300",
              "$G$1:$G$300"
            ),
          _xlfn.XLOOKUP(
            $C6,
            INDIRECT(_xlpm._参照先&amp;"$C$1:$C$300"),
            INDIRECT(_xlpm._参照先&amp;_xlpm._戻り範囲)
          )
        )
      )
    ),
    ""
  )
)</f>
        <v/>
      </c>
    </row>
    <row r="7" spans="1:56">
      <c r="A7" s="1059" t="s">
        <v>1632</v>
      </c>
      <c r="B7" s="26" t="str">
        <v>UNW-K-9955HX-5070Ti-L6</v>
      </c>
      <c r="C7" s="25" t="s">
        <v>195</v>
      </c>
      <c r="D7" s="26" t="s">
        <v>1351</v>
      </c>
      <c r="E7" s="24" t="s">
        <v>1352</v>
      </c>
      <c r="F7" s="24" t="s">
        <v>1347</v>
      </c>
      <c r="G7" s="38">
        <v>11</v>
      </c>
      <c r="H7" s="109" cm="1">
        <f t="array" aca="1" ref="H7" ca="1">_xlfn.LET(_xlpm._来月から4ヶ月計画合計,
  SUM(
    OFFSET($A7,0,
      MATCH(
        EDATE(基準データ!$C$5,3),$A$1:$BF$1,1
      )-3,1,4)),
_xlpm._今月計画数,
INDEX($A$1:$BE$223,
  ROW(),
  MATCH(EOMONTH(基準データ!$C$5,-1)+1,$A$1:$BE$1,0)
),
  IFERROR(IF($B7="","",_xlpm._来月から4ヶ月計画合計+_xlpm._今月計画数/2),""
)
)</f>
        <v>173.61105745874647</v>
      </c>
      <c r="I7" s="38"/>
      <c r="J7" s="38"/>
      <c r="K7" s="38"/>
      <c r="L7" s="38"/>
      <c r="M7" s="38"/>
      <c r="N7" s="38"/>
      <c r="O7" s="38"/>
      <c r="P7" s="38"/>
      <c r="Q7" s="219"/>
      <c r="R7" s="219"/>
      <c r="S7" s="219"/>
      <c r="T7" s="298"/>
      <c r="U7" s="299"/>
      <c r="V7" s="224"/>
      <c r="W7" s="467"/>
      <c r="X7" s="508"/>
      <c r="Y7" s="219">
        <v>27</v>
      </c>
      <c r="Z7" s="219">
        <v>139</v>
      </c>
      <c r="AA7" s="508">
        <v>160</v>
      </c>
      <c r="AB7" s="508">
        <v>85</v>
      </c>
      <c r="AC7" s="241">
        <v>40</v>
      </c>
      <c r="AD7" s="241">
        <v>46</v>
      </c>
      <c r="AE7" s="223">
        <v>38</v>
      </c>
      <c r="AF7" s="223">
        <v>75</v>
      </c>
      <c r="AG7" s="223">
        <v>41</v>
      </c>
      <c r="AH7" s="223">
        <v>63</v>
      </c>
      <c r="AI7" s="223">
        <v>26</v>
      </c>
      <c r="AJ7" s="223">
        <v>81</v>
      </c>
      <c r="AK7" s="223">
        <v>245</v>
      </c>
      <c r="AL7" s="223" cm="1">
        <f t="array" aca="1" ref="AL7" ca="1">IF($C7="","",
  IFERROR(
    _xlfn.LET(
      _xlpm._対象月初,EOMONTH(AL$1,-1)+1,
      _xlpm._今月初,EOMONTH(基準データ!$C$5,-1)+1,
      IF(
        _xlpm._対象月初&gt;_xlpm._今月初,
        IF(
          OR(AK7="",AK7=0),
          "",
          AK7*AL$26
        ),
        _xlfn.LET(
          _xlpm._参照先,
            "'[在庫状況把握_43期_2025-2026.xlsx]月次報告"
            &amp;TEXT(AL$1,"YYMM")
            &amp;"'!",
          _xlpm._戻り範囲,
            IF(
              _xlpm._対象月初=_xlpm._今月初,
              "$AG$1:$AG$300",
              "$G$1:$G$300"
            ),
          _xlfn.XLOOKUP(
            $C7,
            INDIRECT(_xlpm._参照先&amp;"$C$1:$C$300"),
            INDIRECT(_xlpm._参照先&amp;_xlpm._戻り範囲)
          )
        )
      )
    ),
    ""
  )
)</f>
        <v>49</v>
      </c>
      <c r="AM7" s="223" cm="1">
        <f t="array" aca="1" ref="AM7" ca="1">IF($C7="","",
  IFERROR(
    _xlfn.LET(
      _xlpm._対象月初,EOMONTH(AM$1,-1)+1,
      _xlpm._今月初,EOMONTH(基準データ!$C$5,-1)+1,
      IF(
        _xlpm._対象月初&gt;_xlpm._今月初,
        IF(
          OR(AL7="",AL7=0),
          "",
          AL7*AM$26
        ),
        _xlfn.LET(
          _xlpm._参照先,
            "'[在庫状況把握_43期_2025-2026.xlsx]月次報告"
            &amp;TEXT(AM$1,"YYMM")
            &amp;"'!",
          _xlpm._戻り範囲,
            IF(
              _xlpm._対象月初=_xlpm._今月初,
              "$AG$1:$AG$300",
              "$G$1:$G$300"
            ),
          _xlfn.XLOOKUP(
            $C7,
            INDIRECT(_xlpm._参照先&amp;"$C$1:$C$300"),
            INDIRECT(_xlpm._参照先&amp;_xlpm._戻り範囲)
          )
        )
      )
    ),
    ""
  )
)</f>
        <v>54.25</v>
      </c>
      <c r="AN7" s="223" cm="1">
        <f t="array" aca="1" ref="AN7" ca="1">IF($C7="","",
  IFERROR(
    _xlfn.LET(
      _xlpm._対象月初,EOMONTH(AN$1,-1)+1,
      _xlpm._今月初,EOMONTH(基準データ!$C$5,-1)+1,
      IF(
        _xlpm._対象月初&gt;_xlpm._今月初,
        IF(
          OR(AM7="",AM7=0),
          "",
          AM7*AN$26
        ),
        _xlfn.LET(
          _xlpm._参照先,
            "'[在庫状況把握_43期_2025-2026.xlsx]月次報告"
            &amp;TEXT(AN$1,"YYMM")
            &amp;"'!",
          _xlpm._戻り範囲,
            IF(
              _xlpm._対象月初=_xlpm._今月初,
              "$AG$1:$AG$300",
              "$G$1:$G$300"
            ),
          _xlfn.XLOOKUP(
            $C7,
            INDIRECT(_xlpm._参照先&amp;"$C$1:$C$300"),
            INDIRECT(_xlpm._参照先&amp;_xlpm._戻り範囲)
          )
        )
      )
    ),
    ""
  )
)</f>
        <v>44.337765954430196</v>
      </c>
      <c r="AO7" s="223" cm="1">
        <f t="array" aca="1" ref="AO7" ca="1">IF($C7="","",
  IFERROR(
    _xlfn.LET(
      _xlpm._対象月初,EOMONTH(AO$1,-1)+1,
      _xlpm._今月初,EOMONTH(基準データ!$C$5,-1)+1,
      IF(
        _xlpm._対象月初&gt;_xlpm._今月初,
        IF(
          OR(AN7="",AN7=0),
          "",
          AN7*AO$26
        ),
        _xlfn.LET(
          _xlpm._参照先,
            "'[在庫状況把握_43期_2025-2026.xlsx]月次報告"
            &amp;TEXT(AO$1,"YYMM")
            &amp;"'!",
          _xlpm._戻り範囲,
            IF(
              _xlpm._対象月初=_xlpm._今月初,
              "$AG$1:$AG$300",
              "$G$1:$G$300"
            ),
          _xlfn.XLOOKUP(
            $C7,
            INDIRECT(_xlpm._参照先&amp;"$C$1:$C$300"),
            INDIRECT(_xlpm._参照先&amp;_xlpm._戻り範囲)
          )
        )
      )
    ),
    ""
  )
)</f>
        <v>35.747084759120398</v>
      </c>
      <c r="AP7" s="223" cm="1">
        <f t="array" aca="1" ref="AP7" ca="1">IF($C7="","",
  IFERROR(
    _xlfn.LET(
      _xlpm._対象月初,EOMONTH(AP$1,-1)+1,
      _xlpm._今月初,EOMONTH(基準データ!$C$5,-1)+1,
      IF(
        _xlpm._対象月初&gt;_xlpm._今月初,
        IF(
          OR(AO7="",AO7=0),
          "",
          AO7*AP$26
        ),
        _xlfn.LET(
          _xlpm._参照先,
            "'[在庫状況把握_43期_2025-2026.xlsx]月次報告"
            &amp;TEXT(AP$1,"YYMM")
            &amp;"'!",
          _xlpm._戻り範囲,
            IF(
              _xlpm._対象月初=_xlpm._今月初,
              "$AG$1:$AG$300",
              "$G$1:$G$300"
            ),
          _xlfn.XLOOKUP(
            $C7,
            INDIRECT(_xlpm._参照先&amp;"$C$1:$C$300"),
            INDIRECT(_xlpm._参照先&amp;_xlpm._戻り範囲)
          )
        )
      )
    ),
    ""
  )
)</f>
        <v>31.079757138395177</v>
      </c>
      <c r="AQ7" s="223" cm="1">
        <f t="array" aca="1" ref="AQ7" ca="1">IF($C7="","",
  IFERROR(
    _xlfn.LET(
      _xlpm._対象月初,EOMONTH(AQ$1,-1)+1,
      _xlpm._今月初,EOMONTH(基準データ!$C$5,-1)+1,
      IF(
        _xlpm._対象月初&gt;_xlpm._今月初,
        IF(
          OR(AP7="",AP7=0),
          "",
          AP7*AQ$26
        ),
        _xlfn.LET(
          _xlpm._参照先,
            "'[在庫状況把握_43期_2025-2026.xlsx]月次報告"
            &amp;TEXT(AQ$1,"YYMM")
            &amp;"'!",
          _xlpm._戻り範囲,
            IF(
              _xlpm._対象月初=_xlpm._今月初,
              "$AG$1:$AG$300",
              "$G$1:$G$300"
            ),
          _xlfn.XLOOKUP(
            $C7,
            INDIRECT(_xlpm._参照先&amp;"$C$1:$C$300"),
            INDIRECT(_xlpm._参照先&amp;_xlpm._戻り範囲)
          )
        )
      )
    ),
    ""
  )
)</f>
        <v>35.321449606800691</v>
      </c>
      <c r="AR7" s="223" cm="1">
        <f t="array" aca="1" ref="AR7" ca="1">IF($C7="","",
  IFERROR(
    _xlfn.LET(
      _xlpm._対象月初,EOMONTH(AR$1,-1)+1,
      _xlpm._今月初,EOMONTH(基準データ!$C$5,-1)+1,
      IF(
        _xlpm._対象月初&gt;_xlpm._今月初,
        IF(
          OR(AQ7="",AQ7=0),
          "",
          AQ7*AR$26
        ),
        _xlfn.LET(
          _xlpm._参照先,
            "'[在庫状況把握_43期_2025-2026.xlsx]月次報告"
            &amp;TEXT(AR$1,"YYMM")
            &amp;"'!",
          _xlpm._戻り範囲,
            IF(
              _xlpm._対象月初=_xlpm._今月初,
              "$AG$1:$AG$300",
              "$G$1:$G$300"
            ),
          _xlfn.XLOOKUP(
            $C7,
            INDIRECT(_xlpm._参照先&amp;"$C$1:$C$300"),
            INDIRECT(_xlpm._参照先&amp;_xlpm._戻り範囲)
          )
        )
      )
    ),
    ""
  )
)</f>
        <v>55.536917361483709</v>
      </c>
      <c r="AS7" s="223" cm="1">
        <f t="array" aca="1" ref="AS7" ca="1">IF($C7="","",
  IFERROR(
    _xlfn.LET(
      _xlpm._対象月初,EOMONTH(AS$1,-1)+1,
      _xlpm._今月初,EOMONTH(基準データ!$C$5,-1)+1,
      IF(
        _xlpm._対象月初&gt;_xlpm._今月初,
        IF(
          OR(AR7="",AR7=0),
          "",
          AR7*AS$26
        ),
        _xlfn.LET(
          _xlpm._参照先,
            "'[在庫状況把握_43期_2025-2026.xlsx]月次報告"
            &amp;TEXT(AS$1,"YYMM")
            &amp;"'!",
          _xlpm._戻り範囲,
            IF(
              _xlpm._対象月初=_xlpm._今月初,
              "$AG$1:$AG$300",
              "$G$1:$G$300"
            ),
          _xlfn.XLOOKUP(
            $C7,
            INDIRECT(_xlpm._参照先&amp;"$C$1:$C$300"),
            INDIRECT(_xlpm._参照先&amp;_xlpm._戻り範囲)
          )
        )
      )
    ),
    ""
  )
)</f>
        <v>46.439458744740278</v>
      </c>
      <c r="AT7" s="223" cm="1">
        <f t="array" aca="1" ref="AT7" ca="1">IF($C7="","",
  IFERROR(
    _xlfn.LET(
      _xlpm._対象月初,EOMONTH(AT$1,-1)+1,
      _xlpm._今月初,EOMONTH(基準データ!$C$5,-1)+1,
      IF(
        _xlpm._対象月初&gt;_xlpm._今月初,
        IF(
          OR(AS7="",AS7=0),
          "",
          AS7*AT$26
        ),
        _xlfn.LET(
          _xlpm._参照先,
            "'[在庫状況把握_43期_2025-2026.xlsx]月次報告"
            &amp;TEXT(AT$1,"YYMM")
            &amp;"'!",
          _xlpm._戻り範囲,
            IF(
              _xlpm._対象月初=_xlpm._今月初,
              "$AG$1:$AG$300",
              "$G$1:$G$300"
            ),
          _xlfn.XLOOKUP(
            $C7,
            INDIRECT(_xlpm._参照先&amp;"$C$1:$C$300"),
            INDIRECT(_xlpm._参照先&amp;_xlpm._戻り範囲)
          )
        )
      )
    ),
    ""
  )
)</f>
        <v>41.804629263605712</v>
      </c>
      <c r="AU7" s="223" cm="1">
        <f t="array" aca="1" ref="AU7" ca="1">IF($C7="","",
  IFERROR(
    _xlfn.LET(
      _xlpm._対象月初,EOMONTH(AU$1,-1)+1,
      _xlpm._今月初,EOMONTH(基準データ!$C$5,-1)+1,
      IF(
        _xlpm._対象月初&gt;_xlpm._今月初,
        IF(
          OR(AT7="",AT7=0),
          "",
          AT7*AU$26
        ),
        _xlfn.LET(
          _xlpm._参照先,
            "'[在庫状況把握_43期_2025-2026.xlsx]月次報告"
            &amp;TEXT(AU$1,"YYMM")
            &amp;"'!",
          _xlpm._戻り範囲,
            IF(
              _xlpm._対象月初=_xlpm._今月初,
              "$AG$1:$AG$300",
              "$G$1:$G$300"
            ),
          _xlfn.XLOOKUP(
            $C7,
            INDIRECT(_xlpm._参照先&amp;"$C$1:$C$300"),
            INDIRECT(_xlpm._参照先&amp;_xlpm._戻り範囲)
          )
        )
      )
    ),
    ""
  )
)</f>
        <v>60.148407187704308</v>
      </c>
      <c r="AV7" s="223" cm="1">
        <f t="array" aca="1" ref="AV7" ca="1">IF($C7="","",
  IFERROR(
    _xlfn.LET(
      _xlpm._対象月初,EOMONTH(AV$1,-1)+1,
      _xlpm._今月初,EOMONTH(基準データ!$C$5,-1)+1,
      IF(
        _xlpm._対象月初&gt;_xlpm._今月初,
        IF(
          OR(AU7="",AU7=0),
          "",
          AU7*AV$26
        ),
        _xlfn.LET(
          _xlpm._参照先,
            "'[在庫状況把握_43期_2025-2026.xlsx]月次報告"
            &amp;TEXT(AV$1,"YYMM")
            &amp;"'!",
          _xlpm._戻り範囲,
            IF(
              _xlpm._対象月初=_xlpm._今月初,
              "$AG$1:$AG$300",
              "$G$1:$G$300"
            ),
          _xlfn.XLOOKUP(
            $C7,
            INDIRECT(_xlpm._参照先&amp;"$C$1:$C$300"),
            INDIRECT(_xlpm._参照先&amp;_xlpm._戻り範囲)
          )
        )
      )
    ),
    ""
  )
)</f>
        <v>46.299736090566803</v>
      </c>
      <c r="AW7" s="223" cm="1">
        <f t="array" aca="1" ref="AW7" ca="1">IF($C7="","",
  IFERROR(
    _xlfn.LET(
      _xlpm._対象月初,EOMONTH(AW$1,-1)+1,
      _xlpm._今月初,EOMONTH(基準データ!$C$5,-1)+1,
      IF(
        _xlpm._対象月初&gt;_xlpm._今月初,
        IF(
          OR(AV7="",AV7=0),
          "",
          AV7*AW$26
        ),
        _xlfn.LET(
          _xlpm._参照先,
            "'[在庫状況把握_43期_2025-2026.xlsx]月次報告"
            &amp;TEXT(AW$1,"YYMM")
            &amp;"'!",
          _xlpm._戻り範囲,
            IF(
              _xlpm._対象月初=_xlpm._今月初,
              "$AG$1:$AG$300",
              "$G$1:$G$300"
            ),
          _xlfn.XLOOKUP(
            $C7,
            INDIRECT(_xlpm._参照先&amp;"$C$1:$C$300"),
            INDIRECT(_xlpm._参照先&amp;_xlpm._戻り範囲)
          )
        )
      )
    ),
    ""
  )
)</f>
        <v>36.961910805982512</v>
      </c>
      <c r="AX7" s="223" cm="1">
        <f t="array" aca="1" ref="AX7" ca="1">IF($C7="","",
  IFERROR(
    _xlfn.LET(
      _xlpm._対象月初,EOMONTH(AX$1,-1)+1,
      _xlpm._今月初,EOMONTH(基準データ!$C$5,-1)+1,
      IF(
        _xlpm._対象月初&gt;_xlpm._今月初,
        IF(
          OR(AW7="",AW7=0),
          "",
          AW7*AX$26
        ),
        _xlfn.LET(
          _xlpm._参照先,
            "'[在庫状況把握_43期_2025-2026.xlsx]月次報告"
            &amp;TEXT(AX$1,"YYMM")
            &amp;"'!",
          _xlpm._戻り範囲,
            IF(
              _xlpm._対象月初=_xlpm._今月初,
              "$AG$1:$AG$300",
              "$G$1:$G$300"
            ),
          _xlfn.XLOOKUP(
            $C7,
            INDIRECT(_xlpm._参照先&amp;"$C$1:$C$300"),
            INDIRECT(_xlpm._参照先&amp;_xlpm._戻り範囲)
          )
        )
      )
    ),
    ""
  )
)</f>
        <v>42.768970065511901</v>
      </c>
      <c r="AY7" s="223" cm="1">
        <f t="array" aca="1" ref="AY7" ca="1">IF($C7="","",
  IFERROR(
    _xlfn.LET(
      _xlpm._対象月初,EOMONTH(AY$1,-1)+1,
      _xlpm._今月初,EOMONTH(基準データ!$C$5,-1)+1,
      IF(
        _xlpm._対象月初&gt;_xlpm._今月初,
        IF(
          OR(AX7="",AX7=0),
          "",
          AX7*AY$26
        ),
        _xlfn.LET(
          _xlpm._参照先,
            "'[在庫状況把握_43期_2025-2026.xlsx]月次報告"
            &amp;TEXT(AY$1,"YYMM")
            &amp;"'!",
          _xlpm._戻り範囲,
            IF(
              _xlpm._対象月初=_xlpm._今月初,
              "$AG$1:$AG$300",
              "$G$1:$G$300"
            ),
          _xlfn.XLOOKUP(
            $C7,
            INDIRECT(_xlpm._参照先&amp;"$C$1:$C$300"),
            INDIRECT(_xlpm._参照先&amp;_xlpm._戻り範囲)
          )
        )
      )
    ),
    ""
  )
)</f>
        <v>54.249999999999986</v>
      </c>
      <c r="AZ7" s="223" cm="1">
        <f t="array" aca="1" ref="AZ7" ca="1">IF($C7="","",
  IFERROR(
    _xlfn.LET(
      _xlpm._対象月初,EOMONTH(AZ$1,-1)+1,
      _xlpm._今月初,EOMONTH(基準データ!$C$5,-1)+1,
      IF(
        _xlpm._対象月初&gt;_xlpm._今月初,
        IF(
          OR(AY7="",AY7=0),
          "",
          AY7*AZ$26
        ),
        _xlfn.LET(
          _xlpm._参照先,
            "'[在庫状況把握_43期_2025-2026.xlsx]月次報告"
            &amp;TEXT(AZ$1,"YYMM")
            &amp;"'!",
          _xlpm._戻り範囲,
            IF(
              _xlpm._対象月初=_xlpm._今月初,
              "$AG$1:$AG$300",
              "$G$1:$G$300"
            ),
          _xlfn.XLOOKUP(
            $C7,
            INDIRECT(_xlpm._参照先&amp;"$C$1:$C$300"),
            INDIRECT(_xlpm._参照先&amp;_xlpm._戻り範囲)
          )
        )
      )
    ),
    ""
  )
)</f>
        <v>44.337765954430182</v>
      </c>
      <c r="BA7" s="223" cm="1">
        <f t="array" aca="1" ref="BA7" ca="1">IF($C7="","",
  IFERROR(
    _xlfn.LET(
      _xlpm._対象月初,EOMONTH(BA$1,-1)+1,
      _xlpm._今月初,EOMONTH(基準データ!$C$5,-1)+1,
      IF(
        _xlpm._対象月初&gt;_xlpm._今月初,
        IF(
          OR(AZ7="",AZ7=0),
          "",
          AZ7*BA$26
        ),
        _xlfn.LET(
          _xlpm._参照先,
            "'[在庫状況把握_43期_2025-2026.xlsx]月次報告"
            &amp;TEXT(BA$1,"YYMM")
            &amp;"'!",
          _xlpm._戻り範囲,
            IF(
              _xlpm._対象月初=_xlpm._今月初,
              "$AG$1:$AG$300",
              "$G$1:$G$300"
            ),
          _xlfn.XLOOKUP(
            $C7,
            INDIRECT(_xlpm._参照先&amp;"$C$1:$C$300"),
            INDIRECT(_xlpm._参照先&amp;_xlpm._戻り範囲)
          )
        )
      )
    ),
    ""
  )
)</f>
        <v>35.747084759120384</v>
      </c>
      <c r="BB7" s="223" cm="1">
        <f t="array" aca="1" ref="BB7" ca="1">IF($C7="","",
  IFERROR(
    _xlfn.LET(
      _xlpm._対象月初,EOMONTH(BB$1,-1)+1,
      _xlpm._今月初,EOMONTH(基準データ!$C$5,-1)+1,
      IF(
        _xlpm._対象月初&gt;_xlpm._今月初,
        IF(
          OR(BA7="",BA7=0),
          "",
          BA7*BB$26
        ),
        _xlfn.LET(
          _xlpm._参照先,
            "'[在庫状況把握_43期_2025-2026.xlsx]月次報告"
            &amp;TEXT(BB$1,"YYMM")
            &amp;"'!",
          _xlpm._戻り範囲,
            IF(
              _xlpm._対象月初=_xlpm._今月初,
              "$AG$1:$AG$300",
              "$G$1:$G$300"
            ),
          _xlfn.XLOOKUP(
            $C7,
            INDIRECT(_xlpm._参照先&amp;"$C$1:$C$300"),
            INDIRECT(_xlpm._参照先&amp;_xlpm._戻り範囲)
          )
        )
      )
    ),
    ""
  )
)</f>
        <v>31.079757138395166</v>
      </c>
      <c r="BC7" s="223" cm="1">
        <f t="array" aca="1" ref="BC7" ca="1">IF($C7="","",
  IFERROR(
    _xlfn.LET(
      _xlpm._対象月初,EOMONTH(BC$1,-1)+1,
      _xlpm._今月初,EOMONTH(基準データ!$C$5,-1)+1,
      IF(
        _xlpm._対象月初&gt;_xlpm._今月初,
        IF(
          OR(BB7="",BB7=0),
          "",
          BB7*BC$26
        ),
        _xlfn.LET(
          _xlpm._参照先,
            "'[在庫状況把握_43期_2025-2026.xlsx]月次報告"
            &amp;TEXT(BC$1,"YYMM")
            &amp;"'!",
          _xlpm._戻り範囲,
            IF(
              _xlpm._対象月初=_xlpm._今月初,
              "$AG$1:$AG$300",
              "$G$1:$G$300"
            ),
          _xlfn.XLOOKUP(
            $C7,
            INDIRECT(_xlpm._参照先&amp;"$C$1:$C$300"),
            INDIRECT(_xlpm._参照先&amp;_xlpm._戻り範囲)
          )
        )
      )
    ),
    ""
  )
)</f>
        <v>35.321449606800684</v>
      </c>
      <c r="BD7" s="223" cm="1">
        <f t="array" aca="1" ref="BD7" ca="1">IF($C7="","",
  IFERROR(
    _xlfn.LET(
      _xlpm._対象月初,EOMONTH(BD$1,-1)+1,
      _xlpm._今月初,EOMONTH(基準データ!$C$5,-1)+1,
      IF(
        _xlpm._対象月初&gt;_xlpm._今月初,
        IF(
          OR(BC7="",BC7=0),
          "",
          BC7*BD$26
        ),
        _xlfn.LET(
          _xlpm._参照先,
            "'[在庫状況把握_43期_2025-2026.xlsx]月次報告"
            &amp;TEXT(BD$1,"YYMM")
            &amp;"'!",
          _xlpm._戻り範囲,
            IF(
              _xlpm._対象月初=_xlpm._今月初,
              "$AG$1:$AG$300",
              "$G$1:$G$300"
            ),
          _xlfn.XLOOKUP(
            $C7,
            INDIRECT(_xlpm._参照先&amp;"$C$1:$C$300"),
            INDIRECT(_xlpm._参照先&amp;_xlpm._戻り範囲)
          )
        )
      )
    ),
    ""
  )
)</f>
        <v>55.536917361483702</v>
      </c>
    </row>
    <row r="8" spans="1:56">
      <c r="A8" s="1059" t="s">
        <v>1632</v>
      </c>
      <c r="B8" s="181" t="str">
        <v>UNW-K-275HX-5070Ti-L6</v>
      </c>
      <c r="C8" s="25" t="s">
        <v>209</v>
      </c>
      <c r="D8" s="26" t="s">
        <v>1354</v>
      </c>
      <c r="E8" s="24" t="s">
        <v>1352</v>
      </c>
      <c r="F8" s="24" t="s">
        <v>1347</v>
      </c>
      <c r="G8" s="38">
        <v>553</v>
      </c>
      <c r="H8" s="109" cm="1">
        <f t="array" aca="1" ref="H8" ca="1">_xlfn.LET(_xlpm._来月から4ヶ月計画合計,
  SUM(
    OFFSET($A8,0,
      MATCH(
        EDATE(基準データ!$C$5,3),$A$1:$BF$1,1
      )-3,1,4)),
_xlpm._今月計画数,
INDEX($A$1:$BE$223,
  ROW(),
  MATCH(EOMONTH(基準データ!$C$5,-1)+1,$A$1:$BE$1,0)
),
  IFERROR(IF($B8="","",_xlpm._来月から4ヶ月計画合計+_xlpm._今月計画数/2),""
)
)</f>
        <v>7.0861656105610784</v>
      </c>
      <c r="I8" s="38"/>
      <c r="J8" s="38"/>
      <c r="K8" s="38"/>
      <c r="L8" s="38"/>
      <c r="M8" s="38"/>
      <c r="N8" s="38"/>
      <c r="O8" s="38"/>
      <c r="P8" s="38"/>
      <c r="Q8" s="219"/>
      <c r="R8" s="219"/>
      <c r="S8" s="219"/>
      <c r="T8" s="298"/>
      <c r="U8" s="299"/>
      <c r="V8" s="224"/>
      <c r="W8" s="468"/>
      <c r="X8" s="219"/>
      <c r="Y8" s="219"/>
      <c r="Z8" s="219" t="str">
        <f>IF(Y8*'在庫使用計画 (計画　予測)'!$AB$45=0,"",Y8*'在庫使用計画 (計画　予測)'!$AB$45)</f>
        <v/>
      </c>
      <c r="AA8" s="219"/>
      <c r="AB8" s="219">
        <v>33</v>
      </c>
      <c r="AC8" s="224">
        <v>52</v>
      </c>
      <c r="AD8" s="241">
        <v>52</v>
      </c>
      <c r="AE8" s="223">
        <v>47</v>
      </c>
      <c r="AF8" s="223">
        <v>92</v>
      </c>
      <c r="AG8" s="223">
        <v>51</v>
      </c>
      <c r="AH8" s="223">
        <v>32</v>
      </c>
      <c r="AI8" s="223">
        <v>95</v>
      </c>
      <c r="AJ8" s="223">
        <v>36</v>
      </c>
      <c r="AK8" s="223">
        <v>2</v>
      </c>
      <c r="AL8" s="223" cm="1">
        <f t="array" aca="1" ref="AL8" ca="1">IF($C8="","",
  IFERROR(
    _xlfn.LET(
      _xlpm._対象月初,EOMONTH(AL$1,-1)+1,
      _xlpm._今月初,EOMONTH(基準データ!$C$5,-1)+1,
      IF(
        _xlpm._対象月初&gt;_xlpm._今月初,
        IF(
          OR(AK8="",AK8=0),
          "",
          AK8*AL$26
        ),
        _xlfn.LET(
          _xlpm._参照先,
            "'[在庫状況把握_43期_2025-2026.xlsx]月次報告"
            &amp;TEXT(AL$1,"YYMM")
            &amp;"'!",
          _xlpm._戻り範囲,
            IF(
              _xlpm._対象月初=_xlpm._今月初,
              "$AG$1:$AG$300",
              "$G$1:$G$300"
            ),
          _xlfn.XLOOKUP(
            $C8,
            INDIRECT(_xlpm._参照先&amp;"$C$1:$C$300"),
            INDIRECT(_xlpm._参照先&amp;_xlpm._戻り範囲)
          )
        )
      )
    ),
    ""
  )
)</f>
        <v>2</v>
      </c>
      <c r="AM8" s="223" cm="1">
        <f t="array" aca="1" ref="AM8" ca="1">IF($C8="","",
  IFERROR(
    _xlfn.LET(
      _xlpm._対象月初,EOMONTH(AM$1,-1)+1,
      _xlpm._今月初,EOMONTH(基準データ!$C$5,-1)+1,
      IF(
        _xlpm._対象月初&gt;_xlpm._今月初,
        IF(
          OR(AL8="",AL8=0),
          "",
          AL8*AM$26
        ),
        _xlfn.LET(
          _xlpm._参照先,
            "'[在庫状況把握_43期_2025-2026.xlsx]月次報告"
            &amp;TEXT(AM$1,"YYMM")
            &amp;"'!",
          _xlpm._戻り範囲,
            IF(
              _xlpm._対象月初=_xlpm._今月初,
              "$AG$1:$AG$300",
              "$G$1:$G$300"
            ),
          _xlfn.XLOOKUP(
            $C8,
            INDIRECT(_xlpm._参照先&amp;"$C$1:$C$300"),
            INDIRECT(_xlpm._参照先&amp;_xlpm._戻り範囲)
          )
        )
      )
    ),
    ""
  )
)</f>
        <v>2.214285714285714</v>
      </c>
      <c r="AN8" s="223" cm="1">
        <f t="array" aca="1" ref="AN8" ca="1">IF($C8="","",
  IFERROR(
    _xlfn.LET(
      _xlpm._対象月初,EOMONTH(AN$1,-1)+1,
      _xlpm._今月初,EOMONTH(基準データ!$C$5,-1)+1,
      IF(
        _xlpm._対象月初&gt;_xlpm._今月初,
        IF(
          OR(AM8="",AM8=0),
          "",
          AM8*AN$26
        ),
        _xlfn.LET(
          _xlpm._参照先,
            "'[在庫状況把握_43期_2025-2026.xlsx]月次報告"
            &amp;TEXT(AN$1,"YYMM")
            &amp;"'!",
          _xlpm._戻り範囲,
            IF(
              _xlpm._対象月初=_xlpm._今月初,
              "$AG$1:$AG$300",
              "$G$1:$G$300"
            ),
          _xlfn.XLOOKUP(
            $C8,
            INDIRECT(_xlpm._参照先&amp;"$C$1:$C$300"),
            INDIRECT(_xlpm._参照先&amp;_xlpm._戻り範囲)
          )
        )
      )
    ),
    ""
  )
)</f>
        <v>1.8097047328338853</v>
      </c>
      <c r="AO8" s="223" cm="1">
        <f t="array" aca="1" ref="AO8" ca="1">IF($C8="","",
  IFERROR(
    _xlfn.LET(
      _xlpm._対象月初,EOMONTH(AO$1,-1)+1,
      _xlpm._今月初,EOMONTH(基準データ!$C$5,-1)+1,
      IF(
        _xlpm._対象月初&gt;_xlpm._今月初,
        IF(
          OR(AN8="",AN8=0),
          "",
          AN8*AO$26
        ),
        _xlfn.LET(
          _xlpm._参照先,
            "'[在庫状況把握_43期_2025-2026.xlsx]月次報告"
            &amp;TEXT(AO$1,"YYMM")
            &amp;"'!",
          _xlpm._戻り範囲,
            IF(
              _xlpm._対象月初=_xlpm._今月初,
              "$AG$1:$AG$300",
              "$G$1:$G$300"
            ),
          _xlfn.XLOOKUP(
            $C8,
            INDIRECT(_xlpm._参照先&amp;"$C$1:$C$300"),
            INDIRECT(_xlpm._参照先&amp;_xlpm._戻り範囲)
          )
        )
      )
    ),
    ""
  )
)</f>
        <v>1.4590646840457302</v>
      </c>
      <c r="AP8" s="223" cm="1">
        <f t="array" aca="1" ref="AP8" ca="1">IF($C8="","",
  IFERROR(
    _xlfn.LET(
      _xlpm._対象月初,EOMONTH(AP$1,-1)+1,
      _xlpm._今月初,EOMONTH(基準データ!$C$5,-1)+1,
      IF(
        _xlpm._対象月初&gt;_xlpm._今月初,
        IF(
          OR(AO8="",AO8=0),
          "",
          AO8*AP$26
        ),
        _xlfn.LET(
          _xlpm._参照先,
            "'[在庫状況把握_43期_2025-2026.xlsx]月次報告"
            &amp;TEXT(AP$1,"YYMM")
            &amp;"'!",
          _xlpm._戻り範囲,
            IF(
              _xlpm._対象月初=_xlpm._今月初,
              "$AG$1:$AG$300",
              "$G$1:$G$300"
            ),
          _xlfn.XLOOKUP(
            $C8,
            INDIRECT(_xlpm._参照先&amp;"$C$1:$C$300"),
            INDIRECT(_xlpm._参照先&amp;_xlpm._戻り範囲)
          )
        )
      )
    ),
    ""
  )
)</f>
        <v>1.268561515852864</v>
      </c>
      <c r="AQ8" s="223" cm="1">
        <f t="array" aca="1" ref="AQ8" ca="1">IF($C8="","",
  IFERROR(
    _xlfn.LET(
      _xlpm._対象月初,EOMONTH(AQ$1,-1)+1,
      _xlpm._今月初,EOMONTH(基準データ!$C$5,-1)+1,
      IF(
        _xlpm._対象月初&gt;_xlpm._今月初,
        IF(
          OR(AP8="",AP8=0),
          "",
          AP8*AQ$26
        ),
        _xlfn.LET(
          _xlpm._参照先,
            "'[在庫状況把握_43期_2025-2026.xlsx]月次報告"
            &amp;TEXT(AQ$1,"YYMM")
            &amp;"'!",
          _xlpm._戻り範囲,
            IF(
              _xlpm._対象月初=_xlpm._今月初,
              "$AG$1:$AG$300",
              "$G$1:$G$300"
            ),
          _xlfn.XLOOKUP(
            $C8,
            INDIRECT(_xlpm._参照先&amp;"$C$1:$C$300"),
            INDIRECT(_xlpm._参照先&amp;_xlpm._戻り範囲)
          )
        )
      )
    ),
    ""
  )
)</f>
        <v>1.4416918206857423</v>
      </c>
      <c r="AR8" s="223" cm="1">
        <f t="array" aca="1" ref="AR8" ca="1">IF($C8="","",
  IFERROR(
    _xlfn.LET(
      _xlpm._対象月初,EOMONTH(AR$1,-1)+1,
      _xlpm._今月初,EOMONTH(基準データ!$C$5,-1)+1,
      IF(
        _xlpm._対象月初&gt;_xlpm._今月初,
        IF(
          OR(AQ8="",AQ8=0),
          "",
          AQ8*AR$26
        ),
        _xlfn.LET(
          _xlpm._参照先,
            "'[在庫状況把握_43期_2025-2026.xlsx]月次報告"
            &amp;TEXT(AR$1,"YYMM")
            &amp;"'!",
          _xlpm._戻り範囲,
            IF(
              _xlpm._対象月初=_xlpm._今月初,
              "$AG$1:$AG$300",
              "$G$1:$G$300"
            ),
          _xlfn.XLOOKUP(
            $C8,
            INDIRECT(_xlpm._参照先&amp;"$C$1:$C$300"),
            INDIRECT(_xlpm._参照先&amp;_xlpm._戻り範囲)
          )
        )
      )
    ),
    ""
  )
)</f>
        <v>2.2668129535299473</v>
      </c>
      <c r="AS8" s="223" cm="1">
        <f t="array" aca="1" ref="AS8" ca="1">IF($C8="","",
  IFERROR(
    _xlfn.LET(
      _xlpm._対象月初,EOMONTH(AS$1,-1)+1,
      _xlpm._今月初,EOMONTH(基準データ!$C$5,-1)+1,
      IF(
        _xlpm._対象月初&gt;_xlpm._今月初,
        IF(
          OR(AR8="",AR8=0),
          "",
          AR8*AS$26
        ),
        _xlfn.LET(
          _xlpm._参照先,
            "'[在庫状況把握_43期_2025-2026.xlsx]月次報告"
            &amp;TEXT(AS$1,"YYMM")
            &amp;"'!",
          _xlpm._戻り範囲,
            IF(
              _xlpm._対象月初=_xlpm._今月初,
              "$AG$1:$AG$300",
              "$G$1:$G$300"
            ),
          _xlfn.XLOOKUP(
            $C8,
            INDIRECT(_xlpm._参照先&amp;"$C$1:$C$300"),
            INDIRECT(_xlpm._参照先&amp;_xlpm._戻り範囲)
          )
        )
      )
    ),
    ""
  )
)</f>
        <v>1.8954881120302152</v>
      </c>
      <c r="AT8" s="223" cm="1">
        <f t="array" aca="1" ref="AT8" ca="1">IF($C8="","",
  IFERROR(
    _xlfn.LET(
      _xlpm._対象月初,EOMONTH(AT$1,-1)+1,
      _xlpm._今月初,EOMONTH(基準データ!$C$5,-1)+1,
      IF(
        _xlpm._対象月初&gt;_xlpm._今月初,
        IF(
          OR(AS8="",AS8=0),
          "",
          AS8*AT$26
        ),
        _xlfn.LET(
          _xlpm._参照先,
            "'[在庫状況把握_43期_2025-2026.xlsx]月次報告"
            &amp;TEXT(AT$1,"YYMM")
            &amp;"'!",
          _xlpm._戻り範囲,
            IF(
              _xlpm._対象月初=_xlpm._今月初,
              "$AG$1:$AG$300",
              "$G$1:$G$300"
            ),
          _xlfn.XLOOKUP(
            $C8,
            INDIRECT(_xlpm._参照先&amp;"$C$1:$C$300"),
            INDIRECT(_xlpm._参照先&amp;_xlpm._戻り範囲)
          )
        )
      )
    ),
    ""
  )
)</f>
        <v>1.7063113985145186</v>
      </c>
      <c r="AU8" s="223" cm="1">
        <f t="array" aca="1" ref="AU8" ca="1">IF($C8="","",
  IFERROR(
    _xlfn.LET(
      _xlpm._対象月初,EOMONTH(AU$1,-1)+1,
      _xlpm._今月初,EOMONTH(基準データ!$C$5,-1)+1,
      IF(
        _xlpm._対象月初&gt;_xlpm._今月初,
        IF(
          OR(AT8="",AT8=0),
          "",
          AT8*AU$26
        ),
        _xlfn.LET(
          _xlpm._参照先,
            "'[在庫状況把握_43期_2025-2026.xlsx]月次報告"
            &amp;TEXT(AU$1,"YYMM")
            &amp;"'!",
          _xlpm._戻り範囲,
            IF(
              _xlpm._対象月初=_xlpm._今月初,
              "$AG$1:$AG$300",
              "$G$1:$G$300"
            ),
          _xlfn.XLOOKUP(
            $C8,
            INDIRECT(_xlpm._参照先&amp;"$C$1:$C$300"),
            INDIRECT(_xlpm._参照先&amp;_xlpm._戻り範囲)
          )
        )
      )
    ),
    ""
  )
)</f>
        <v>2.4550370280695635</v>
      </c>
      <c r="AV8" s="223" cm="1">
        <f t="array" aca="1" ref="AV8" ca="1">IF($C8="","",
  IFERROR(
    _xlfn.LET(
      _xlpm._対象月初,EOMONTH(AV$1,-1)+1,
      _xlpm._今月初,EOMONTH(基準データ!$C$5,-1)+1,
      IF(
        _xlpm._対象月初&gt;_xlpm._今月初,
        IF(
          OR(AU8="",AU8=0),
          "",
          AU8*AV$26
        ),
        _xlfn.LET(
          _xlpm._参照先,
            "'[在庫状況把握_43期_2025-2026.xlsx]月次報告"
            &amp;TEXT(AV$1,"YYMM")
            &amp;"'!",
          _xlpm._戻り範囲,
            IF(
              _xlpm._対象月初=_xlpm._今月初,
              "$AG$1:$AG$300",
              "$G$1:$G$300"
            ),
          _xlfn.XLOOKUP(
            $C8,
            INDIRECT(_xlpm._参照先&amp;"$C$1:$C$300"),
            INDIRECT(_xlpm._参照先&amp;_xlpm._戻り範囲)
          )
        )
      )
    ),
    ""
  )
)</f>
        <v>1.889785146553747</v>
      </c>
      <c r="AW8" s="223" cm="1">
        <f t="array" aca="1" ref="AW8" ca="1">IF($C8="","",
  IFERROR(
    _xlfn.LET(
      _xlpm._対象月初,EOMONTH(AW$1,-1)+1,
      _xlpm._今月初,EOMONTH(基準データ!$C$5,-1)+1,
      IF(
        _xlpm._対象月初&gt;_xlpm._今月初,
        IF(
          OR(AV8="",AV8=0),
          "",
          AV8*AW$26
        ),
        _xlfn.LET(
          _xlpm._参照先,
            "'[在庫状況把握_43期_2025-2026.xlsx]月次報告"
            &amp;TEXT(AW$1,"YYMM")
            &amp;"'!",
          _xlpm._戻り範囲,
            IF(
              _xlpm._対象月初=_xlpm._今月初,
              "$AG$1:$AG$300",
              "$G$1:$G$300"
            ),
          _xlfn.XLOOKUP(
            $C8,
            INDIRECT(_xlpm._参照先&amp;"$C$1:$C$300"),
            INDIRECT(_xlpm._参照先&amp;_xlpm._戻り範囲)
          )
        )
      )
    ),
    ""
  )
)</f>
        <v>1.5086494206523475</v>
      </c>
      <c r="AX8" s="223" cm="1">
        <f t="array" aca="1" ref="AX8" ca="1">IF($C8="","",
  IFERROR(
    _xlfn.LET(
      _xlpm._対象月初,EOMONTH(AX$1,-1)+1,
      _xlpm._今月初,EOMONTH(基準データ!$C$5,-1)+1,
      IF(
        _xlpm._対象月初&gt;_xlpm._今月初,
        IF(
          OR(AW8="",AW8=0),
          "",
          AW8*AX$26
        ),
        _xlfn.LET(
          _xlpm._参照先,
            "'[在庫状況把握_43期_2025-2026.xlsx]月次報告"
            &amp;TEXT(AX$1,"YYMM")
            &amp;"'!",
          _xlpm._戻り範囲,
            IF(
              _xlpm._対象月初=_xlpm._今月初,
              "$AG$1:$AG$300",
              "$G$1:$G$300"
            ),
          _xlfn.XLOOKUP(
            $C8,
            INDIRECT(_xlpm._参照先&amp;"$C$1:$C$300"),
            INDIRECT(_xlpm._参照先&amp;_xlpm._戻り範囲)
          )
        )
      )
    ),
    ""
  )
)</f>
        <v>1.7456722475719146</v>
      </c>
      <c r="AY8" s="223" cm="1">
        <f t="array" aca="1" ref="AY8" ca="1">IF($C8="","",
  IFERROR(
    _xlfn.LET(
      _xlpm._対象月初,EOMONTH(AY$1,-1)+1,
      _xlpm._今月初,EOMONTH(基準データ!$C$5,-1)+1,
      IF(
        _xlpm._対象月初&gt;_xlpm._今月初,
        IF(
          OR(AX8="",AX8=0),
          "",
          AX8*AY$26
        ),
        _xlfn.LET(
          _xlpm._参照先,
            "'[在庫状況把握_43期_2025-2026.xlsx]月次報告"
            &amp;TEXT(AY$1,"YYMM")
            &amp;"'!",
          _xlpm._戻り範囲,
            IF(
              _xlpm._対象月初=_xlpm._今月初,
              "$AG$1:$AG$300",
              "$G$1:$G$300"
            ),
          _xlfn.XLOOKUP(
            $C8,
            INDIRECT(_xlpm._参照先&amp;"$C$1:$C$300"),
            INDIRECT(_xlpm._参照先&amp;_xlpm._戻り範囲)
          )
        )
      )
    ),
    ""
  )
)</f>
        <v>2.214285714285714</v>
      </c>
      <c r="AZ8" s="223" cm="1">
        <f t="array" aca="1" ref="AZ8" ca="1">IF($C8="","",
  IFERROR(
    _xlfn.LET(
      _xlpm._対象月初,EOMONTH(AZ$1,-1)+1,
      _xlpm._今月初,EOMONTH(基準データ!$C$5,-1)+1,
      IF(
        _xlpm._対象月初&gt;_xlpm._今月初,
        IF(
          OR(AY8="",AY8=0),
          "",
          AY8*AZ$26
        ),
        _xlfn.LET(
          _xlpm._参照先,
            "'[在庫状況把握_43期_2025-2026.xlsx]月次報告"
            &amp;TEXT(AZ$1,"YYMM")
            &amp;"'!",
          _xlpm._戻り範囲,
            IF(
              _xlpm._対象月初=_xlpm._今月初,
              "$AG$1:$AG$300",
              "$G$1:$G$300"
            ),
          _xlfn.XLOOKUP(
            $C8,
            INDIRECT(_xlpm._参照先&amp;"$C$1:$C$300"),
            INDIRECT(_xlpm._参照先&amp;_xlpm._戻り範囲)
          )
        )
      )
    ),
    ""
  )
)</f>
        <v>1.8097047328338853</v>
      </c>
      <c r="BA8" s="223" cm="1">
        <f t="array" aca="1" ref="BA8" ca="1">IF($C8="","",
  IFERROR(
    _xlfn.LET(
      _xlpm._対象月初,EOMONTH(BA$1,-1)+1,
      _xlpm._今月初,EOMONTH(基準データ!$C$5,-1)+1,
      IF(
        _xlpm._対象月初&gt;_xlpm._今月初,
        IF(
          OR(AZ8="",AZ8=0),
          "",
          AZ8*BA$26
        ),
        _xlfn.LET(
          _xlpm._参照先,
            "'[在庫状況把握_43期_2025-2026.xlsx]月次報告"
            &amp;TEXT(BA$1,"YYMM")
            &amp;"'!",
          _xlpm._戻り範囲,
            IF(
              _xlpm._対象月初=_xlpm._今月初,
              "$AG$1:$AG$300",
              "$G$1:$G$300"
            ),
          _xlfn.XLOOKUP(
            $C8,
            INDIRECT(_xlpm._参照先&amp;"$C$1:$C$300"),
            INDIRECT(_xlpm._参照先&amp;_xlpm._戻り範囲)
          )
        )
      )
    ),
    ""
  )
)</f>
        <v>1.4590646840457302</v>
      </c>
      <c r="BB8" s="223" cm="1">
        <f t="array" aca="1" ref="BB8" ca="1">IF($C8="","",
  IFERROR(
    _xlfn.LET(
      _xlpm._対象月初,EOMONTH(BB$1,-1)+1,
      _xlpm._今月初,EOMONTH(基準データ!$C$5,-1)+1,
      IF(
        _xlpm._対象月初&gt;_xlpm._今月初,
        IF(
          OR(BA8="",BA8=0),
          "",
          BA8*BB$26
        ),
        _xlfn.LET(
          _xlpm._参照先,
            "'[在庫状況把握_43期_2025-2026.xlsx]月次報告"
            &amp;TEXT(BB$1,"YYMM")
            &amp;"'!",
          _xlpm._戻り範囲,
            IF(
              _xlpm._対象月初=_xlpm._今月初,
              "$AG$1:$AG$300",
              "$G$1:$G$300"
            ),
          _xlfn.XLOOKUP(
            $C8,
            INDIRECT(_xlpm._参照先&amp;"$C$1:$C$300"),
            INDIRECT(_xlpm._参照先&amp;_xlpm._戻り範囲)
          )
        )
      )
    ),
    ""
  )
)</f>
        <v>1.268561515852864</v>
      </c>
      <c r="BC8" s="223" cm="1">
        <f t="array" aca="1" ref="BC8" ca="1">IF($C8="","",
  IFERROR(
    _xlfn.LET(
      _xlpm._対象月初,EOMONTH(BC$1,-1)+1,
      _xlpm._今月初,EOMONTH(基準データ!$C$5,-1)+1,
      IF(
        _xlpm._対象月初&gt;_xlpm._今月初,
        IF(
          OR(BB8="",BB8=0),
          "",
          BB8*BC$26
        ),
        _xlfn.LET(
          _xlpm._参照先,
            "'[在庫状況把握_43期_2025-2026.xlsx]月次報告"
            &amp;TEXT(BC$1,"YYMM")
            &amp;"'!",
          _xlpm._戻り範囲,
            IF(
              _xlpm._対象月初=_xlpm._今月初,
              "$AG$1:$AG$300",
              "$G$1:$G$300"
            ),
          _xlfn.XLOOKUP(
            $C8,
            INDIRECT(_xlpm._参照先&amp;"$C$1:$C$300"),
            INDIRECT(_xlpm._参照先&amp;_xlpm._戻り範囲)
          )
        )
      )
    ),
    ""
  )
)</f>
        <v>1.4416918206857423</v>
      </c>
      <c r="BD8" s="223" cm="1">
        <f t="array" aca="1" ref="BD8" ca="1">IF($C8="","",
  IFERROR(
    _xlfn.LET(
      _xlpm._対象月初,EOMONTH(BD$1,-1)+1,
      _xlpm._今月初,EOMONTH(基準データ!$C$5,-1)+1,
      IF(
        _xlpm._対象月初&gt;_xlpm._今月初,
        IF(
          OR(BC8="",BC8=0),
          "",
          BC8*BD$26
        ),
        _xlfn.LET(
          _xlpm._参照先,
            "'[在庫状況把握_43期_2025-2026.xlsx]月次報告"
            &amp;TEXT(BD$1,"YYMM")
            &amp;"'!",
          _xlpm._戻り範囲,
            IF(
              _xlpm._対象月初=_xlpm._今月初,
              "$AG$1:$AG$300",
              "$G$1:$G$300"
            ),
          _xlfn.XLOOKUP(
            $C8,
            INDIRECT(_xlpm._参照先&amp;"$C$1:$C$300"),
            INDIRECT(_xlpm._参照先&amp;_xlpm._戻り範囲)
          )
        )
      )
    ),
    ""
  )
)</f>
        <v>2.2668129535299473</v>
      </c>
    </row>
    <row r="9" spans="1:56">
      <c r="A9" s="1059" t="s">
        <v>1632</v>
      </c>
      <c r="B9" s="181" t="str">
        <v>UNW-K-255HX-5070-L6</v>
      </c>
      <c r="C9" s="25" t="s">
        <v>215</v>
      </c>
      <c r="D9" s="26" t="s">
        <v>1356</v>
      </c>
      <c r="E9" s="24">
        <v>5070</v>
      </c>
      <c r="F9" s="24" t="s">
        <v>1347</v>
      </c>
      <c r="G9" s="38">
        <v>268</v>
      </c>
      <c r="H9" s="109" cm="1">
        <f t="array" aca="1" ref="H9" ca="1">_xlfn.LET(_xlpm._来月から4ヶ月計画合計,
  SUM(
    OFFSET($A9,0,
      MATCH(
        EDATE(基準データ!$C$5,3),$A$1:$BF$1,1
      )-3,1,4)),
_xlpm._今月計画数,
INDEX($A$1:$BE$223,
  ROW(),
  MATCH(EOMONTH(基準データ!$C$5,-1)+1,$A$1:$BE$1,0)
),
  IFERROR(IF($B9="","",_xlpm._来月から4ヶ月計画合計+_xlpm._今月計画数/2),""
)
)</f>
        <v>368.48061174917621</v>
      </c>
      <c r="I9" s="38"/>
      <c r="J9" s="38"/>
      <c r="K9" s="38"/>
      <c r="L9" s="38"/>
      <c r="M9" s="38"/>
      <c r="N9" s="38"/>
      <c r="O9" s="38"/>
      <c r="P9" s="38"/>
      <c r="Q9" s="219"/>
      <c r="R9" s="219"/>
      <c r="S9" s="219"/>
      <c r="T9" s="298"/>
      <c r="U9" s="299"/>
      <c r="V9" s="224"/>
      <c r="W9" s="468"/>
      <c r="X9" s="219"/>
      <c r="Y9" s="219"/>
      <c r="Z9" s="219" t="str">
        <f>IF(Y9*'在庫使用計画 (計画　予測)'!$AB$45=0,"",Y9*'在庫使用計画 (計画　予測)'!$AB$45)</f>
        <v/>
      </c>
      <c r="AA9" s="219"/>
      <c r="AB9" s="219">
        <v>21</v>
      </c>
      <c r="AC9" s="224">
        <v>42</v>
      </c>
      <c r="AD9" s="241">
        <v>81</v>
      </c>
      <c r="AE9" s="223">
        <v>102</v>
      </c>
      <c r="AF9" s="223">
        <v>69</v>
      </c>
      <c r="AG9" s="223">
        <v>56</v>
      </c>
      <c r="AH9" s="223">
        <v>62</v>
      </c>
      <c r="AI9" s="223">
        <v>45</v>
      </c>
      <c r="AJ9" s="223">
        <v>49</v>
      </c>
      <c r="AK9" s="223">
        <v>52</v>
      </c>
      <c r="AL9" s="223" cm="1">
        <f t="array" aca="1" ref="AL9" ca="1">IF($C9="","",
  IFERROR(
    _xlfn.LET(
      _xlpm._対象月初,EOMONTH(AL$1,-1)+1,
      _xlpm._今月初,EOMONTH(基準データ!$C$5,-1)+1,
      IF(
        _xlpm._対象月初&gt;_xlpm._今月初,
        IF(
          OR(AK9="",AK9=0),
          "",
          AK9*AL$26
        ),
        _xlfn.LET(
          _xlpm._参照先,
            "'[在庫状況把握_43期_2025-2026.xlsx]月次報告"
            &amp;TEXT(AL$1,"YYMM")
            &amp;"'!",
          _xlpm._戻り範囲,
            IF(
              _xlpm._対象月初=_xlpm._今月初,
              "$AG$1:$AG$300",
              "$G$1:$G$300"
            ),
          _xlfn.XLOOKUP(
            $C9,
            INDIRECT(_xlpm._参照先&amp;"$C$1:$C$300"),
            INDIRECT(_xlpm._参照先&amp;_xlpm._戻り範囲)
          )
        )
      )
    ),
    ""
  )
)</f>
        <v>129</v>
      </c>
      <c r="AM9" s="223" cm="1">
        <f t="array" aca="1" ref="AM9" ca="1">IF($C9="","",
  IFERROR(
    _xlfn.LET(
      _xlpm._対象月初,EOMONTH(AM$1,-1)+1,
      _xlpm._今月初,EOMONTH(基準データ!$C$5,-1)+1,
      IF(
        _xlpm._対象月初&gt;_xlpm._今月初,
        IF(
          OR(AL9="",AL9=0),
          "",
          AL9*AM$26
        ),
        _xlfn.LET(
          _xlpm._参照先,
            "'[在庫状況把握_43期_2025-2026.xlsx]月次報告"
            &amp;TEXT(AM$1,"YYMM")
            &amp;"'!",
          _xlpm._戻り範囲,
            IF(
              _xlpm._対象月初=_xlpm._今月初,
              "$AG$1:$AG$300",
              "$G$1:$G$300"
            ),
          _xlfn.XLOOKUP(
            $C9,
            INDIRECT(_xlpm._参照先&amp;"$C$1:$C$300"),
            INDIRECT(_xlpm._参照先&amp;_xlpm._戻り範囲)
          )
        )
      )
    ),
    ""
  )
)</f>
        <v>115.14285714285715</v>
      </c>
      <c r="AN9" s="223" cm="1">
        <f t="array" aca="1" ref="AN9" ca="1">IF($C9="","",
  IFERROR(
    _xlfn.LET(
      _xlpm._対象月初,EOMONTH(AN$1,-1)+1,
      _xlpm._今月初,EOMONTH(基準データ!$C$5,-1)+1,
      IF(
        _xlpm._対象月初&gt;_xlpm._今月初,
        IF(
          OR(AM9="",AM9=0),
          "",
          AM9*AN$26
        ),
        _xlfn.LET(
          _xlpm._参照先,
            "'[在庫状況把握_43期_2025-2026.xlsx]月次報告"
            &amp;TEXT(AN$1,"YYMM")
            &amp;"'!",
          _xlpm._戻り範囲,
            IF(
              _xlpm._対象月初=_xlpm._今月初,
              "$AG$1:$AG$300",
              "$G$1:$G$300"
            ),
          _xlfn.XLOOKUP(
            $C9,
            INDIRECT(_xlpm._参照先&amp;"$C$1:$C$300"),
            INDIRECT(_xlpm._参照先&amp;_xlpm._戻り範囲)
          )
        )
      )
    ),
    ""
  )
)</f>
        <v>94.104646107362058</v>
      </c>
      <c r="AO9" s="223" cm="1">
        <f t="array" aca="1" ref="AO9" ca="1">IF($C9="","",
  IFERROR(
    _xlfn.LET(
      _xlpm._対象月初,EOMONTH(AO$1,-1)+1,
      _xlpm._今月初,EOMONTH(基準データ!$C$5,-1)+1,
      IF(
        _xlpm._対象月初&gt;_xlpm._今月初,
        IF(
          OR(AN9="",AN9=0),
          "",
          AN9*AO$26
        ),
        _xlfn.LET(
          _xlpm._参照先,
            "'[在庫状況把握_43期_2025-2026.xlsx]月次報告"
            &amp;TEXT(AO$1,"YYMM")
            &amp;"'!",
          _xlpm._戻り範囲,
            IF(
              _xlpm._対象月初=_xlpm._今月初,
              "$AG$1:$AG$300",
              "$G$1:$G$300"
            ),
          _xlfn.XLOOKUP(
            $C9,
            INDIRECT(_xlpm._参照先&amp;"$C$1:$C$300"),
            INDIRECT(_xlpm._参照先&amp;_xlpm._戻り範囲)
          )
        )
      )
    ),
    ""
  )
)</f>
        <v>75.871363570377994</v>
      </c>
      <c r="AP9" s="223" cm="1">
        <f t="array" aca="1" ref="AP9" ca="1">IF($C9="","",
  IFERROR(
    _xlfn.LET(
      _xlpm._対象月初,EOMONTH(AP$1,-1)+1,
      _xlpm._今月初,EOMONTH(基準データ!$C$5,-1)+1,
      IF(
        _xlpm._対象月初&gt;_xlpm._今月初,
        IF(
          OR(AO9="",AO9=0),
          "",
          AO9*AP$26
        ),
        _xlfn.LET(
          _xlpm._参照先,
            "'[在庫状況把握_43期_2025-2026.xlsx]月次報告"
            &amp;TEXT(AP$1,"YYMM")
            &amp;"'!",
          _xlpm._戻り範囲,
            IF(
              _xlpm._対象月初=_xlpm._今月初,
              "$AG$1:$AG$300",
              "$G$1:$G$300"
            ),
          _xlfn.XLOOKUP(
            $C9,
            INDIRECT(_xlpm._参照先&amp;"$C$1:$C$300"),
            INDIRECT(_xlpm._参照先&amp;_xlpm._戻り範囲)
          )
        )
      )
    ),
    ""
  )
)</f>
        <v>65.96519882434896</v>
      </c>
      <c r="AQ9" s="223" cm="1">
        <f t="array" aca="1" ref="AQ9" ca="1">IF($C9="","",
  IFERROR(
    _xlfn.LET(
      _xlpm._対象月初,EOMONTH(AQ$1,-1)+1,
      _xlpm._今月初,EOMONTH(基準データ!$C$5,-1)+1,
      IF(
        _xlpm._対象月初&gt;_xlpm._今月初,
        IF(
          OR(AP9="",AP9=0),
          "",
          AP9*AQ$26
        ),
        _xlfn.LET(
          _xlpm._参照先,
            "'[在庫状況把握_43期_2025-2026.xlsx]月次報告"
            &amp;TEXT(AQ$1,"YYMM")
            &amp;"'!",
          _xlpm._戻り範囲,
            IF(
              _xlpm._対象月初=_xlpm._今月初,
              "$AG$1:$AG$300",
              "$G$1:$G$300"
            ),
          _xlfn.XLOOKUP(
            $C9,
            INDIRECT(_xlpm._参照先&amp;"$C$1:$C$300"),
            INDIRECT(_xlpm._参照先&amp;_xlpm._戻り範囲)
          )
        )
      )
    ),
    ""
  )
)</f>
        <v>74.967974675658624</v>
      </c>
      <c r="AR9" s="223" cm="1">
        <f t="array" aca="1" ref="AR9" ca="1">IF($C9="","",
  IFERROR(
    _xlfn.LET(
      _xlpm._対象月初,EOMONTH(AR$1,-1)+1,
      _xlpm._今月初,EOMONTH(基準データ!$C$5,-1)+1,
      IF(
        _xlpm._対象月初&gt;_xlpm._今月初,
        IF(
          OR(AQ9="",AQ9=0),
          "",
          AQ9*AR$26
        ),
        _xlfn.LET(
          _xlpm._参照先,
            "'[在庫状況把握_43期_2025-2026.xlsx]月次報告"
            &amp;TEXT(AR$1,"YYMM")
            &amp;"'!",
          _xlpm._戻り範囲,
            IF(
              _xlpm._対象月初=_xlpm._今月初,
              "$AG$1:$AG$300",
              "$G$1:$G$300"
            ),
          _xlfn.XLOOKUP(
            $C9,
            INDIRECT(_xlpm._参照先&amp;"$C$1:$C$300"),
            INDIRECT(_xlpm._参照先&amp;_xlpm._戻り範囲)
          )
        )
      )
    ),
    ""
  )
)</f>
        <v>117.8742735835573</v>
      </c>
      <c r="AS9" s="223" cm="1">
        <f t="array" aca="1" ref="AS9" ca="1">IF($C9="","",
  IFERROR(
    _xlfn.LET(
      _xlpm._対象月初,EOMONTH(AS$1,-1)+1,
      _xlpm._今月初,EOMONTH(基準データ!$C$5,-1)+1,
      IF(
        _xlpm._対象月初&gt;_xlpm._今月初,
        IF(
          OR(AR9="",AR9=0),
          "",
          AR9*AS$26
        ),
        _xlfn.LET(
          _xlpm._参照先,
            "'[在庫状況把握_43期_2025-2026.xlsx]月次報告"
            &amp;TEXT(AS$1,"YYMM")
            &amp;"'!",
          _xlpm._戻り範囲,
            IF(
              _xlpm._対象月初=_xlpm._今月初,
              "$AG$1:$AG$300",
              "$G$1:$G$300"
            ),
          _xlfn.XLOOKUP(
            $C9,
            INDIRECT(_xlpm._参照先&amp;"$C$1:$C$300"),
            INDIRECT(_xlpm._参照先&amp;_xlpm._戻り範囲)
          )
        )
      )
    ),
    ""
  )
)</f>
        <v>98.565381825571222</v>
      </c>
      <c r="AT9" s="223" cm="1">
        <f t="array" aca="1" ref="AT9" ca="1">IF($C9="","",
  IFERROR(
    _xlfn.LET(
      _xlpm._対象月初,EOMONTH(AT$1,-1)+1,
      _xlpm._今月初,EOMONTH(基準データ!$C$5,-1)+1,
      IF(
        _xlpm._対象月初&gt;_xlpm._今月初,
        IF(
          OR(AS9="",AS9=0),
          "",
          AS9*AT$26
        ),
        _xlfn.LET(
          _xlpm._参照先,
            "'[在庫状況把握_43期_2025-2026.xlsx]月次報告"
            &amp;TEXT(AT$1,"YYMM")
            &amp;"'!",
          _xlpm._戻り範囲,
            IF(
              _xlpm._対象月初=_xlpm._今月初,
              "$AG$1:$AG$300",
              "$G$1:$G$300"
            ),
          _xlfn.XLOOKUP(
            $C9,
            INDIRECT(_xlpm._参照先&amp;"$C$1:$C$300"),
            INDIRECT(_xlpm._参照先&amp;_xlpm._戻り範囲)
          )
        )
      )
    ),
    ""
  )
)</f>
        <v>88.728192722754997</v>
      </c>
      <c r="AU9" s="223" cm="1">
        <f t="array" aca="1" ref="AU9" ca="1">IF($C9="","",
  IFERROR(
    _xlfn.LET(
      _xlpm._対象月初,EOMONTH(AU$1,-1)+1,
      _xlpm._今月初,EOMONTH(基準データ!$C$5,-1)+1,
      IF(
        _xlpm._対象月初&gt;_xlpm._今月初,
        IF(
          OR(AT9="",AT9=0),
          "",
          AT9*AU$26
        ),
        _xlfn.LET(
          _xlpm._参照先,
            "'[在庫状況把握_43期_2025-2026.xlsx]月次報告"
            &amp;TEXT(AU$1,"YYMM")
            &amp;"'!",
          _xlpm._戻り範囲,
            IF(
              _xlpm._対象月初=_xlpm._今月初,
              "$AG$1:$AG$300",
              "$G$1:$G$300"
            ),
          _xlfn.XLOOKUP(
            $C9,
            INDIRECT(_xlpm._参照先&amp;"$C$1:$C$300"),
            INDIRECT(_xlpm._参照先&amp;_xlpm._戻り範囲)
          )
        )
      )
    ),
    ""
  )
)</f>
        <v>127.66192545961734</v>
      </c>
      <c r="AV9" s="223" cm="1">
        <f t="array" aca="1" ref="AV9" ca="1">IF($C9="","",
  IFERROR(
    _xlfn.LET(
      _xlpm._対象月初,EOMONTH(AV$1,-1)+1,
      _xlpm._今月初,EOMONTH(基準データ!$C$5,-1)+1,
      IF(
        _xlpm._対象月初&gt;_xlpm._今月初,
        IF(
          OR(AU9="",AU9=0),
          "",
          AU9*AV$26
        ),
        _xlfn.LET(
          _xlpm._参照先,
            "'[在庫状況把握_43期_2025-2026.xlsx]月次報告"
            &amp;TEXT(AV$1,"YYMM")
            &amp;"'!",
          _xlpm._戻り範囲,
            IF(
              _xlpm._対象月初=_xlpm._今月初,
              "$AG$1:$AG$300",
              "$G$1:$G$300"
            ),
          _xlfn.XLOOKUP(
            $C9,
            INDIRECT(_xlpm._参照先&amp;"$C$1:$C$300"),
            INDIRECT(_xlpm._参照先&amp;_xlpm._戻り範囲)
          )
        )
      )
    ),
    ""
  )
)</f>
        <v>98.268827620794866</v>
      </c>
      <c r="AW9" s="223" cm="1">
        <f t="array" aca="1" ref="AW9" ca="1">IF($C9="","",
  IFERROR(
    _xlfn.LET(
      _xlpm._対象月初,EOMONTH(AW$1,-1)+1,
      _xlpm._今月初,EOMONTH(基準データ!$C$5,-1)+1,
      IF(
        _xlpm._対象月初&gt;_xlpm._今月初,
        IF(
          OR(AV9="",AV9=0),
          "",
          AV9*AW$26
        ),
        _xlfn.LET(
          _xlpm._参照先,
            "'[在庫状況把握_43期_2025-2026.xlsx]月次報告"
            &amp;TEXT(AW$1,"YYMM")
            &amp;"'!",
          _xlpm._戻り範囲,
            IF(
              _xlpm._対象月初=_xlpm._今月初,
              "$AG$1:$AG$300",
              "$G$1:$G$300"
            ),
          _xlfn.XLOOKUP(
            $C9,
            INDIRECT(_xlpm._参照先&amp;"$C$1:$C$300"),
            INDIRECT(_xlpm._参照先&amp;_xlpm._戻り範囲)
          )
        )
      )
    ),
    ""
  )
)</f>
        <v>78.449769873922094</v>
      </c>
      <c r="AX9" s="223" cm="1">
        <f t="array" aca="1" ref="AX9" ca="1">IF($C9="","",
  IFERROR(
    _xlfn.LET(
      _xlpm._対象月初,EOMONTH(AX$1,-1)+1,
      _xlpm._今月初,EOMONTH(基準データ!$C$5,-1)+1,
      IF(
        _xlpm._対象月初&gt;_xlpm._今月初,
        IF(
          OR(AW9="",AW9=0),
          "",
          AW9*AX$26
        ),
        _xlfn.LET(
          _xlpm._参照先,
            "'[在庫状況把握_43期_2025-2026.xlsx]月次報告"
            &amp;TEXT(AX$1,"YYMM")
            &amp;"'!",
          _xlpm._戻り範囲,
            IF(
              _xlpm._対象月初=_xlpm._今月初,
              "$AG$1:$AG$300",
              "$G$1:$G$300"
            ),
          _xlfn.XLOOKUP(
            $C9,
            INDIRECT(_xlpm._参照先&amp;"$C$1:$C$300"),
            INDIRECT(_xlpm._参照先&amp;_xlpm._戻り範囲)
          )
        )
      )
    ),
    ""
  )
)</f>
        <v>90.774956873739583</v>
      </c>
      <c r="AY9" s="223" cm="1">
        <f t="array" aca="1" ref="AY9" ca="1">IF($C9="","",
  IFERROR(
    _xlfn.LET(
      _xlpm._対象月初,EOMONTH(AY$1,-1)+1,
      _xlpm._今月初,EOMONTH(基準データ!$C$5,-1)+1,
      IF(
        _xlpm._対象月初&gt;_xlpm._今月初,
        IF(
          OR(AX9="",AX9=0),
          "",
          AX9*AY$26
        ),
        _xlfn.LET(
          _xlpm._参照先,
            "'[在庫状況把握_43期_2025-2026.xlsx]月次報告"
            &amp;TEXT(AY$1,"YYMM")
            &amp;"'!",
          _xlpm._戻り範囲,
            IF(
              _xlpm._対象月初=_xlpm._今月初,
              "$AG$1:$AG$300",
              "$G$1:$G$300"
            ),
          _xlfn.XLOOKUP(
            $C9,
            INDIRECT(_xlpm._参照先&amp;"$C$1:$C$300"),
            INDIRECT(_xlpm._参照先&amp;_xlpm._戻り範囲)
          )
        )
      )
    ),
    ""
  )
)</f>
        <v>115.14285714285715</v>
      </c>
      <c r="AZ9" s="223" cm="1">
        <f t="array" aca="1" ref="AZ9" ca="1">IF($C9="","",
  IFERROR(
    _xlfn.LET(
      _xlpm._対象月初,EOMONTH(AZ$1,-1)+1,
      _xlpm._今月初,EOMONTH(基準データ!$C$5,-1)+1,
      IF(
        _xlpm._対象月初&gt;_xlpm._今月初,
        IF(
          OR(AY9="",AY9=0),
          "",
          AY9*AZ$26
        ),
        _xlfn.LET(
          _xlpm._参照先,
            "'[在庫状況把握_43期_2025-2026.xlsx]月次報告"
            &amp;TEXT(AZ$1,"YYMM")
            &amp;"'!",
          _xlpm._戻り範囲,
            IF(
              _xlpm._対象月初=_xlpm._今月初,
              "$AG$1:$AG$300",
              "$G$1:$G$300"
            ),
          _xlfn.XLOOKUP(
            $C9,
            INDIRECT(_xlpm._参照先&amp;"$C$1:$C$300"),
            INDIRECT(_xlpm._参照先&amp;_xlpm._戻り範囲)
          )
        )
      )
    ),
    ""
  )
)</f>
        <v>94.104646107362058</v>
      </c>
      <c r="BA9" s="223" cm="1">
        <f t="array" aca="1" ref="BA9" ca="1">IF($C9="","",
  IFERROR(
    _xlfn.LET(
      _xlpm._対象月初,EOMONTH(BA$1,-1)+1,
      _xlpm._今月初,EOMONTH(基準データ!$C$5,-1)+1,
      IF(
        _xlpm._対象月初&gt;_xlpm._今月初,
        IF(
          OR(AZ9="",AZ9=0),
          "",
          AZ9*BA$26
        ),
        _xlfn.LET(
          _xlpm._参照先,
            "'[在庫状況把握_43期_2025-2026.xlsx]月次報告"
            &amp;TEXT(BA$1,"YYMM")
            &amp;"'!",
          _xlpm._戻り範囲,
            IF(
              _xlpm._対象月初=_xlpm._今月初,
              "$AG$1:$AG$300",
              "$G$1:$G$300"
            ),
          _xlfn.XLOOKUP(
            $C9,
            INDIRECT(_xlpm._参照先&amp;"$C$1:$C$300"),
            INDIRECT(_xlpm._参照先&amp;_xlpm._戻り範囲)
          )
        )
      )
    ),
    ""
  )
)</f>
        <v>75.871363570377994</v>
      </c>
      <c r="BB9" s="223" cm="1">
        <f t="array" aca="1" ref="BB9" ca="1">IF($C9="","",
  IFERROR(
    _xlfn.LET(
      _xlpm._対象月初,EOMONTH(BB$1,-1)+1,
      _xlpm._今月初,EOMONTH(基準データ!$C$5,-1)+1,
      IF(
        _xlpm._対象月初&gt;_xlpm._今月初,
        IF(
          OR(BA9="",BA9=0),
          "",
          BA9*BB$26
        ),
        _xlfn.LET(
          _xlpm._参照先,
            "'[在庫状況把握_43期_2025-2026.xlsx]月次報告"
            &amp;TEXT(BB$1,"YYMM")
            &amp;"'!",
          _xlpm._戻り範囲,
            IF(
              _xlpm._対象月初=_xlpm._今月初,
              "$AG$1:$AG$300",
              "$G$1:$G$300"
            ),
          _xlfn.XLOOKUP(
            $C9,
            INDIRECT(_xlpm._参照先&amp;"$C$1:$C$300"),
            INDIRECT(_xlpm._参照先&amp;_xlpm._戻り範囲)
          )
        )
      )
    ),
    ""
  )
)</f>
        <v>65.96519882434896</v>
      </c>
      <c r="BC9" s="223" cm="1">
        <f t="array" aca="1" ref="BC9" ca="1">IF($C9="","",
  IFERROR(
    _xlfn.LET(
      _xlpm._対象月初,EOMONTH(BC$1,-1)+1,
      _xlpm._今月初,EOMONTH(基準データ!$C$5,-1)+1,
      IF(
        _xlpm._対象月初&gt;_xlpm._今月初,
        IF(
          OR(BB9="",BB9=0),
          "",
          BB9*BC$26
        ),
        _xlfn.LET(
          _xlpm._参照先,
            "'[在庫状況把握_43期_2025-2026.xlsx]月次報告"
            &amp;TEXT(BC$1,"YYMM")
            &amp;"'!",
          _xlpm._戻り範囲,
            IF(
              _xlpm._対象月初=_xlpm._今月初,
              "$AG$1:$AG$300",
              "$G$1:$G$300"
            ),
          _xlfn.XLOOKUP(
            $C9,
            INDIRECT(_xlpm._参照先&amp;"$C$1:$C$300"),
            INDIRECT(_xlpm._参照先&amp;_xlpm._戻り範囲)
          )
        )
      )
    ),
    ""
  )
)</f>
        <v>74.967974675658624</v>
      </c>
      <c r="BD9" s="223" cm="1">
        <f t="array" aca="1" ref="BD9" ca="1">IF($C9="","",
  IFERROR(
    _xlfn.LET(
      _xlpm._対象月初,EOMONTH(BD$1,-1)+1,
      _xlpm._今月初,EOMONTH(基準データ!$C$5,-1)+1,
      IF(
        _xlpm._対象月初&gt;_xlpm._今月初,
        IF(
          OR(BC9="",BC9=0),
          "",
          BC9*BD$26
        ),
        _xlfn.LET(
          _xlpm._参照先,
            "'[在庫状況把握_43期_2025-2026.xlsx]月次報告"
            &amp;TEXT(BD$1,"YYMM")
            &amp;"'!",
          _xlpm._戻り範囲,
            IF(
              _xlpm._対象月初=_xlpm._今月初,
              "$AG$1:$AG$300",
              "$G$1:$G$300"
            ),
          _xlfn.XLOOKUP(
            $C9,
            INDIRECT(_xlpm._参照先&amp;"$C$1:$C$300"),
            INDIRECT(_xlpm._参照先&amp;_xlpm._戻り範囲)
          )
        )
      )
    ),
    ""
  )
)</f>
        <v>117.8742735835573</v>
      </c>
    </row>
    <row r="10" spans="1:56">
      <c r="A10" s="1059" t="s">
        <v>1632</v>
      </c>
      <c r="B10" s="26" t="str">
        <v>CLE-V56-350-5060-L6</v>
      </c>
      <c r="C10" s="25" t="s">
        <v>244</v>
      </c>
      <c r="D10" s="26" t="s">
        <v>1358</v>
      </c>
      <c r="E10" s="24">
        <v>5060</v>
      </c>
      <c r="F10" s="24" t="s">
        <v>1347</v>
      </c>
      <c r="G10" s="38">
        <v>0</v>
      </c>
      <c r="H10" s="109" cm="1">
        <f t="array" aca="1" ref="H10" ca="1">_xlfn.LET(_xlpm._来月から4ヶ月計画合計,
  SUM(
    OFFSET($A10,0,
      MATCH(
        EDATE(基準データ!$C$5,3),$A$1:$BF$1,1
      )-3,1,4)),
_xlpm._今月計画数,
INDEX($A$1:$BE$223,
  ROW(),
  MATCH(EOMONTH(基準データ!$C$5,-1)+1,$A$1:$BE$1,0)
),
  IFERROR(IF($B10="","",_xlpm._来月から4ヶ月計画合計+_xlpm._今月計画数/2),""
)
)</f>
        <v>7.0861656105610784</v>
      </c>
      <c r="I10" s="311"/>
      <c r="J10" s="311"/>
      <c r="K10" s="311"/>
      <c r="L10" s="311"/>
      <c r="M10" s="311"/>
      <c r="N10" s="311"/>
      <c r="O10" s="311"/>
      <c r="P10" s="311"/>
      <c r="Q10" s="298"/>
      <c r="R10" s="298"/>
      <c r="S10" s="298"/>
      <c r="T10" s="298"/>
      <c r="U10" s="299"/>
      <c r="V10" s="224"/>
      <c r="W10" s="219"/>
      <c r="X10" s="480"/>
      <c r="Y10" s="219">
        <v>8</v>
      </c>
      <c r="Z10" s="219">
        <v>77</v>
      </c>
      <c r="AA10" s="508">
        <v>75</v>
      </c>
      <c r="AB10" s="508">
        <v>65</v>
      </c>
      <c r="AC10" s="241">
        <v>29</v>
      </c>
      <c r="AD10" s="241">
        <v>31</v>
      </c>
      <c r="AE10" s="223">
        <v>56</v>
      </c>
      <c r="AF10" s="223">
        <v>64</v>
      </c>
      <c r="AG10" s="223">
        <v>43</v>
      </c>
      <c r="AH10" s="223">
        <v>28</v>
      </c>
      <c r="AI10" s="223">
        <v>99</v>
      </c>
      <c r="AJ10" s="223">
        <v>85</v>
      </c>
      <c r="AK10" s="223">
        <v>11</v>
      </c>
      <c r="AL10" s="223" cm="1">
        <f t="array" aca="1" ref="AL10" ca="1">IF($C10="","",
  IFERROR(
    _xlfn.LET(
      _xlpm._対象月初,EOMONTH(AL$1,-1)+1,
      _xlpm._今月初,EOMONTH(基準データ!$C$5,-1)+1,
      IF(
        _xlpm._対象月初&gt;_xlpm._今月初,
        IF(
          OR(AK10="",AK10=0),
          "",
          AK10*AL$26
        ),
        _xlfn.LET(
          _xlpm._参照先,
            "'[在庫状況把握_43期_2025-2026.xlsx]月次報告"
            &amp;TEXT(AL$1,"YYMM")
            &amp;"'!",
          _xlpm._戻り範囲,
            IF(
              _xlpm._対象月初=_xlpm._今月初,
              "$AG$1:$AG$300",
              "$G$1:$G$300"
            ),
          _xlfn.XLOOKUP(
            $C10,
            INDIRECT(_xlpm._参照先&amp;"$C$1:$C$300"),
            INDIRECT(_xlpm._参照先&amp;_xlpm._戻り範囲)
          )
        )
      )
    ),
    ""
  )
)</f>
        <v>2</v>
      </c>
      <c r="AM10" s="223" cm="1">
        <f t="array" aca="1" ref="AM10" ca="1">IF($C10="","",
  IFERROR(
    _xlfn.LET(
      _xlpm._対象月初,EOMONTH(AM$1,-1)+1,
      _xlpm._今月初,EOMONTH(基準データ!$C$5,-1)+1,
      IF(
        _xlpm._対象月初&gt;_xlpm._今月初,
        IF(
          OR(AL10="",AL10=0),
          "",
          AL10*AM$26
        ),
        _xlfn.LET(
          _xlpm._参照先,
            "'[在庫状況把握_43期_2025-2026.xlsx]月次報告"
            &amp;TEXT(AM$1,"YYMM")
            &amp;"'!",
          _xlpm._戻り範囲,
            IF(
              _xlpm._対象月初=_xlpm._今月初,
              "$AG$1:$AG$300",
              "$G$1:$G$300"
            ),
          _xlfn.XLOOKUP(
            $C10,
            INDIRECT(_xlpm._参照先&amp;"$C$1:$C$300"),
            INDIRECT(_xlpm._参照先&amp;_xlpm._戻り範囲)
          )
        )
      )
    ),
    ""
  )
)</f>
        <v>2.214285714285714</v>
      </c>
      <c r="AN10" s="223" cm="1">
        <f t="array" aca="1" ref="AN10" ca="1">IF($C10="","",
  IFERROR(
    _xlfn.LET(
      _xlpm._対象月初,EOMONTH(AN$1,-1)+1,
      _xlpm._今月初,EOMONTH(基準データ!$C$5,-1)+1,
      IF(
        _xlpm._対象月初&gt;_xlpm._今月初,
        IF(
          OR(AM10="",AM10=0),
          "",
          AM10*AN$26
        ),
        _xlfn.LET(
          _xlpm._参照先,
            "'[在庫状況把握_43期_2025-2026.xlsx]月次報告"
            &amp;TEXT(AN$1,"YYMM")
            &amp;"'!",
          _xlpm._戻り範囲,
            IF(
              _xlpm._対象月初=_xlpm._今月初,
              "$AG$1:$AG$300",
              "$G$1:$G$300"
            ),
          _xlfn.XLOOKUP(
            $C10,
            INDIRECT(_xlpm._参照先&amp;"$C$1:$C$300"),
            INDIRECT(_xlpm._参照先&amp;_xlpm._戻り範囲)
          )
        )
      )
    ),
    ""
  )
)</f>
        <v>1.8097047328338853</v>
      </c>
      <c r="AO10" s="223" cm="1">
        <f t="array" aca="1" ref="AO10" ca="1">IF($C10="","",
  IFERROR(
    _xlfn.LET(
      _xlpm._対象月初,EOMONTH(AO$1,-1)+1,
      _xlpm._今月初,EOMONTH(基準データ!$C$5,-1)+1,
      IF(
        _xlpm._対象月初&gt;_xlpm._今月初,
        IF(
          OR(AN10="",AN10=0),
          "",
          AN10*AO$26
        ),
        _xlfn.LET(
          _xlpm._参照先,
            "'[在庫状況把握_43期_2025-2026.xlsx]月次報告"
            &amp;TEXT(AO$1,"YYMM")
            &amp;"'!",
          _xlpm._戻り範囲,
            IF(
              _xlpm._対象月初=_xlpm._今月初,
              "$AG$1:$AG$300",
              "$G$1:$G$300"
            ),
          _xlfn.XLOOKUP(
            $C10,
            INDIRECT(_xlpm._参照先&amp;"$C$1:$C$300"),
            INDIRECT(_xlpm._参照先&amp;_xlpm._戻り範囲)
          )
        )
      )
    ),
    ""
  )
)</f>
        <v>1.4590646840457302</v>
      </c>
      <c r="AP10" s="223" cm="1">
        <f t="array" aca="1" ref="AP10" ca="1">IF($C10="","",
  IFERROR(
    _xlfn.LET(
      _xlpm._対象月初,EOMONTH(AP$1,-1)+1,
      _xlpm._今月初,EOMONTH(基準データ!$C$5,-1)+1,
      IF(
        _xlpm._対象月初&gt;_xlpm._今月初,
        IF(
          OR(AO10="",AO10=0),
          "",
          AO10*AP$26
        ),
        _xlfn.LET(
          _xlpm._参照先,
            "'[在庫状況把握_43期_2025-2026.xlsx]月次報告"
            &amp;TEXT(AP$1,"YYMM")
            &amp;"'!",
          _xlpm._戻り範囲,
            IF(
              _xlpm._対象月初=_xlpm._今月初,
              "$AG$1:$AG$300",
              "$G$1:$G$300"
            ),
          _xlfn.XLOOKUP(
            $C10,
            INDIRECT(_xlpm._参照先&amp;"$C$1:$C$300"),
            INDIRECT(_xlpm._参照先&amp;_xlpm._戻り範囲)
          )
        )
      )
    ),
    ""
  )
)</f>
        <v>1.268561515852864</v>
      </c>
      <c r="AQ10" s="223" cm="1">
        <f t="array" aca="1" ref="AQ10" ca="1">IF($C10="","",
  IFERROR(
    _xlfn.LET(
      _xlpm._対象月初,EOMONTH(AQ$1,-1)+1,
      _xlpm._今月初,EOMONTH(基準データ!$C$5,-1)+1,
      IF(
        _xlpm._対象月初&gt;_xlpm._今月初,
        IF(
          OR(AP10="",AP10=0),
          "",
          AP10*AQ$26
        ),
        _xlfn.LET(
          _xlpm._参照先,
            "'[在庫状況把握_43期_2025-2026.xlsx]月次報告"
            &amp;TEXT(AQ$1,"YYMM")
            &amp;"'!",
          _xlpm._戻り範囲,
            IF(
              _xlpm._対象月初=_xlpm._今月初,
              "$AG$1:$AG$300",
              "$G$1:$G$300"
            ),
          _xlfn.XLOOKUP(
            $C10,
            INDIRECT(_xlpm._参照先&amp;"$C$1:$C$300"),
            INDIRECT(_xlpm._参照先&amp;_xlpm._戻り範囲)
          )
        )
      )
    ),
    ""
  )
)</f>
        <v>1.4416918206857423</v>
      </c>
      <c r="AR10" s="223" cm="1">
        <f t="array" aca="1" ref="AR10" ca="1">IF($C10="","",
  IFERROR(
    _xlfn.LET(
      _xlpm._対象月初,EOMONTH(AR$1,-1)+1,
      _xlpm._今月初,EOMONTH(基準データ!$C$5,-1)+1,
      IF(
        _xlpm._対象月初&gt;_xlpm._今月初,
        IF(
          OR(AQ10="",AQ10=0),
          "",
          AQ10*AR$26
        ),
        _xlfn.LET(
          _xlpm._参照先,
            "'[在庫状況把握_43期_2025-2026.xlsx]月次報告"
            &amp;TEXT(AR$1,"YYMM")
            &amp;"'!",
          _xlpm._戻り範囲,
            IF(
              _xlpm._対象月初=_xlpm._今月初,
              "$AG$1:$AG$300",
              "$G$1:$G$300"
            ),
          _xlfn.XLOOKUP(
            $C10,
            INDIRECT(_xlpm._参照先&amp;"$C$1:$C$300"),
            INDIRECT(_xlpm._参照先&amp;_xlpm._戻り範囲)
          )
        )
      )
    ),
    ""
  )
)</f>
        <v>2.2668129535299473</v>
      </c>
      <c r="AS10" s="223" cm="1">
        <f t="array" aca="1" ref="AS10" ca="1">IF($C10="","",
  IFERROR(
    _xlfn.LET(
      _xlpm._対象月初,EOMONTH(AS$1,-1)+1,
      _xlpm._今月初,EOMONTH(基準データ!$C$5,-1)+1,
      IF(
        _xlpm._対象月初&gt;_xlpm._今月初,
        IF(
          OR(AR10="",AR10=0),
          "",
          AR10*AS$26
        ),
        _xlfn.LET(
          _xlpm._参照先,
            "'[在庫状況把握_43期_2025-2026.xlsx]月次報告"
            &amp;TEXT(AS$1,"YYMM")
            &amp;"'!",
          _xlpm._戻り範囲,
            IF(
              _xlpm._対象月初=_xlpm._今月初,
              "$AG$1:$AG$300",
              "$G$1:$G$300"
            ),
          _xlfn.XLOOKUP(
            $C10,
            INDIRECT(_xlpm._参照先&amp;"$C$1:$C$300"),
            INDIRECT(_xlpm._参照先&amp;_xlpm._戻り範囲)
          )
        )
      )
    ),
    ""
  )
)</f>
        <v>1.8954881120302152</v>
      </c>
      <c r="AT10" s="223" cm="1">
        <f t="array" aca="1" ref="AT10" ca="1">IF($C10="","",
  IFERROR(
    _xlfn.LET(
      _xlpm._対象月初,EOMONTH(AT$1,-1)+1,
      _xlpm._今月初,EOMONTH(基準データ!$C$5,-1)+1,
      IF(
        _xlpm._対象月初&gt;_xlpm._今月初,
        IF(
          OR(AS10="",AS10=0),
          "",
          AS10*AT$26
        ),
        _xlfn.LET(
          _xlpm._参照先,
            "'[在庫状況把握_43期_2025-2026.xlsx]月次報告"
            &amp;TEXT(AT$1,"YYMM")
            &amp;"'!",
          _xlpm._戻り範囲,
            IF(
              _xlpm._対象月初=_xlpm._今月初,
              "$AG$1:$AG$300",
              "$G$1:$G$300"
            ),
          _xlfn.XLOOKUP(
            $C10,
            INDIRECT(_xlpm._参照先&amp;"$C$1:$C$300"),
            INDIRECT(_xlpm._参照先&amp;_xlpm._戻り範囲)
          )
        )
      )
    ),
    ""
  )
)</f>
        <v>1.7063113985145186</v>
      </c>
      <c r="AU10" s="223" cm="1">
        <f t="array" aca="1" ref="AU10" ca="1">IF($C10="","",
  IFERROR(
    _xlfn.LET(
      _xlpm._対象月初,EOMONTH(AU$1,-1)+1,
      _xlpm._今月初,EOMONTH(基準データ!$C$5,-1)+1,
      IF(
        _xlpm._対象月初&gt;_xlpm._今月初,
        IF(
          OR(AT10="",AT10=0),
          "",
          AT10*AU$26
        ),
        _xlfn.LET(
          _xlpm._参照先,
            "'[在庫状況把握_43期_2025-2026.xlsx]月次報告"
            &amp;TEXT(AU$1,"YYMM")
            &amp;"'!",
          _xlpm._戻り範囲,
            IF(
              _xlpm._対象月初=_xlpm._今月初,
              "$AG$1:$AG$300",
              "$G$1:$G$300"
            ),
          _xlfn.XLOOKUP(
            $C10,
            INDIRECT(_xlpm._参照先&amp;"$C$1:$C$300"),
            INDIRECT(_xlpm._参照先&amp;_xlpm._戻り範囲)
          )
        )
      )
    ),
    ""
  )
)</f>
        <v>2.4550370280695635</v>
      </c>
      <c r="AV10" s="223" cm="1">
        <f t="array" aca="1" ref="AV10" ca="1">IF($C10="","",
  IFERROR(
    _xlfn.LET(
      _xlpm._対象月初,EOMONTH(AV$1,-1)+1,
      _xlpm._今月初,EOMONTH(基準データ!$C$5,-1)+1,
      IF(
        _xlpm._対象月初&gt;_xlpm._今月初,
        IF(
          OR(AU10="",AU10=0),
          "",
          AU10*AV$26
        ),
        _xlfn.LET(
          _xlpm._参照先,
            "'[在庫状況把握_43期_2025-2026.xlsx]月次報告"
            &amp;TEXT(AV$1,"YYMM")
            &amp;"'!",
          _xlpm._戻り範囲,
            IF(
              _xlpm._対象月初=_xlpm._今月初,
              "$AG$1:$AG$300",
              "$G$1:$G$300"
            ),
          _xlfn.XLOOKUP(
            $C10,
            INDIRECT(_xlpm._参照先&amp;"$C$1:$C$300"),
            INDIRECT(_xlpm._参照先&amp;_xlpm._戻り範囲)
          )
        )
      )
    ),
    ""
  )
)</f>
        <v>1.889785146553747</v>
      </c>
      <c r="AW10" s="223" cm="1">
        <f t="array" aca="1" ref="AW10" ca="1">IF($C10="","",
  IFERROR(
    _xlfn.LET(
      _xlpm._対象月初,EOMONTH(AW$1,-1)+1,
      _xlpm._今月初,EOMONTH(基準データ!$C$5,-1)+1,
      IF(
        _xlpm._対象月初&gt;_xlpm._今月初,
        IF(
          OR(AV10="",AV10=0),
          "",
          AV10*AW$26
        ),
        _xlfn.LET(
          _xlpm._参照先,
            "'[在庫状況把握_43期_2025-2026.xlsx]月次報告"
            &amp;TEXT(AW$1,"YYMM")
            &amp;"'!",
          _xlpm._戻り範囲,
            IF(
              _xlpm._対象月初=_xlpm._今月初,
              "$AG$1:$AG$300",
              "$G$1:$G$300"
            ),
          _xlfn.XLOOKUP(
            $C10,
            INDIRECT(_xlpm._参照先&amp;"$C$1:$C$300"),
            INDIRECT(_xlpm._参照先&amp;_xlpm._戻り範囲)
          )
        )
      )
    ),
    ""
  )
)</f>
        <v>1.5086494206523475</v>
      </c>
      <c r="AX10" s="223" cm="1">
        <f t="array" aca="1" ref="AX10" ca="1">IF($C10="","",
  IFERROR(
    _xlfn.LET(
      _xlpm._対象月初,EOMONTH(AX$1,-1)+1,
      _xlpm._今月初,EOMONTH(基準データ!$C$5,-1)+1,
      IF(
        _xlpm._対象月初&gt;_xlpm._今月初,
        IF(
          OR(AW10="",AW10=0),
          "",
          AW10*AX$26
        ),
        _xlfn.LET(
          _xlpm._参照先,
            "'[在庫状況把握_43期_2025-2026.xlsx]月次報告"
            &amp;TEXT(AX$1,"YYMM")
            &amp;"'!",
          _xlpm._戻り範囲,
            IF(
              _xlpm._対象月初=_xlpm._今月初,
              "$AG$1:$AG$300",
              "$G$1:$G$300"
            ),
          _xlfn.XLOOKUP(
            $C10,
            INDIRECT(_xlpm._参照先&amp;"$C$1:$C$300"),
            INDIRECT(_xlpm._参照先&amp;_xlpm._戻り範囲)
          )
        )
      )
    ),
    ""
  )
)</f>
        <v>1.7456722475719146</v>
      </c>
      <c r="AY10" s="223" cm="1">
        <f t="array" aca="1" ref="AY10" ca="1">IF($C10="","",
  IFERROR(
    _xlfn.LET(
      _xlpm._対象月初,EOMONTH(AY$1,-1)+1,
      _xlpm._今月初,EOMONTH(基準データ!$C$5,-1)+1,
      IF(
        _xlpm._対象月初&gt;_xlpm._今月初,
        IF(
          OR(AX10="",AX10=0),
          "",
          AX10*AY$26
        ),
        _xlfn.LET(
          _xlpm._参照先,
            "'[在庫状況把握_43期_2025-2026.xlsx]月次報告"
            &amp;TEXT(AY$1,"YYMM")
            &amp;"'!",
          _xlpm._戻り範囲,
            IF(
              _xlpm._対象月初=_xlpm._今月初,
              "$AG$1:$AG$300",
              "$G$1:$G$300"
            ),
          _xlfn.XLOOKUP(
            $C10,
            INDIRECT(_xlpm._参照先&amp;"$C$1:$C$300"),
            INDIRECT(_xlpm._参照先&amp;_xlpm._戻り範囲)
          )
        )
      )
    ),
    ""
  )
)</f>
        <v>2.214285714285714</v>
      </c>
      <c r="AZ10" s="223" cm="1">
        <f t="array" aca="1" ref="AZ10" ca="1">IF($C10="","",
  IFERROR(
    _xlfn.LET(
      _xlpm._対象月初,EOMONTH(AZ$1,-1)+1,
      _xlpm._今月初,EOMONTH(基準データ!$C$5,-1)+1,
      IF(
        _xlpm._対象月初&gt;_xlpm._今月初,
        IF(
          OR(AY10="",AY10=0),
          "",
          AY10*AZ$26
        ),
        _xlfn.LET(
          _xlpm._参照先,
            "'[在庫状況把握_43期_2025-2026.xlsx]月次報告"
            &amp;TEXT(AZ$1,"YYMM")
            &amp;"'!",
          _xlpm._戻り範囲,
            IF(
              _xlpm._対象月初=_xlpm._今月初,
              "$AG$1:$AG$300",
              "$G$1:$G$300"
            ),
          _xlfn.XLOOKUP(
            $C10,
            INDIRECT(_xlpm._参照先&amp;"$C$1:$C$300"),
            INDIRECT(_xlpm._参照先&amp;_xlpm._戻り範囲)
          )
        )
      )
    ),
    ""
  )
)</f>
        <v>1.8097047328338853</v>
      </c>
      <c r="BA10" s="223" cm="1">
        <f t="array" aca="1" ref="BA10" ca="1">IF($C10="","",
  IFERROR(
    _xlfn.LET(
      _xlpm._対象月初,EOMONTH(BA$1,-1)+1,
      _xlpm._今月初,EOMONTH(基準データ!$C$5,-1)+1,
      IF(
        _xlpm._対象月初&gt;_xlpm._今月初,
        IF(
          OR(AZ10="",AZ10=0),
          "",
          AZ10*BA$26
        ),
        _xlfn.LET(
          _xlpm._参照先,
            "'[在庫状況把握_43期_2025-2026.xlsx]月次報告"
            &amp;TEXT(BA$1,"YYMM")
            &amp;"'!",
          _xlpm._戻り範囲,
            IF(
              _xlpm._対象月初=_xlpm._今月初,
              "$AG$1:$AG$300",
              "$G$1:$G$300"
            ),
          _xlfn.XLOOKUP(
            $C10,
            INDIRECT(_xlpm._参照先&amp;"$C$1:$C$300"),
            INDIRECT(_xlpm._参照先&amp;_xlpm._戻り範囲)
          )
        )
      )
    ),
    ""
  )
)</f>
        <v>1.4590646840457302</v>
      </c>
      <c r="BB10" s="223" cm="1">
        <f t="array" aca="1" ref="BB10" ca="1">IF($C10="","",
  IFERROR(
    _xlfn.LET(
      _xlpm._対象月初,EOMONTH(BB$1,-1)+1,
      _xlpm._今月初,EOMONTH(基準データ!$C$5,-1)+1,
      IF(
        _xlpm._対象月初&gt;_xlpm._今月初,
        IF(
          OR(BA10="",BA10=0),
          "",
          BA10*BB$26
        ),
        _xlfn.LET(
          _xlpm._参照先,
            "'[在庫状況把握_43期_2025-2026.xlsx]月次報告"
            &amp;TEXT(BB$1,"YYMM")
            &amp;"'!",
          _xlpm._戻り範囲,
            IF(
              _xlpm._対象月初=_xlpm._今月初,
              "$AG$1:$AG$300",
              "$G$1:$G$300"
            ),
          _xlfn.XLOOKUP(
            $C10,
            INDIRECT(_xlpm._参照先&amp;"$C$1:$C$300"),
            INDIRECT(_xlpm._参照先&amp;_xlpm._戻り範囲)
          )
        )
      )
    ),
    ""
  )
)</f>
        <v>1.268561515852864</v>
      </c>
      <c r="BC10" s="223" cm="1">
        <f t="array" aca="1" ref="BC10" ca="1">IF($C10="","",
  IFERROR(
    _xlfn.LET(
      _xlpm._対象月初,EOMONTH(BC$1,-1)+1,
      _xlpm._今月初,EOMONTH(基準データ!$C$5,-1)+1,
      IF(
        _xlpm._対象月初&gt;_xlpm._今月初,
        IF(
          OR(BB10="",BB10=0),
          "",
          BB10*BC$26
        ),
        _xlfn.LET(
          _xlpm._参照先,
            "'[在庫状況把握_43期_2025-2026.xlsx]月次報告"
            &amp;TEXT(BC$1,"YYMM")
            &amp;"'!",
          _xlpm._戻り範囲,
            IF(
              _xlpm._対象月初=_xlpm._今月初,
              "$AG$1:$AG$300",
              "$G$1:$G$300"
            ),
          _xlfn.XLOOKUP(
            $C10,
            INDIRECT(_xlpm._参照先&amp;"$C$1:$C$300"),
            INDIRECT(_xlpm._参照先&amp;_xlpm._戻り範囲)
          )
        )
      )
    ),
    ""
  )
)</f>
        <v>1.4416918206857423</v>
      </c>
      <c r="BD10" s="223" cm="1">
        <f t="array" aca="1" ref="BD10" ca="1">IF($C10="","",
  IFERROR(
    _xlfn.LET(
      _xlpm._対象月初,EOMONTH(BD$1,-1)+1,
      _xlpm._今月初,EOMONTH(基準データ!$C$5,-1)+1,
      IF(
        _xlpm._対象月初&gt;_xlpm._今月初,
        IF(
          OR(BC10="",BC10=0),
          "",
          BC10*BD$26
        ),
        _xlfn.LET(
          _xlpm._参照先,
            "'[在庫状況把握_43期_2025-2026.xlsx]月次報告"
            &amp;TEXT(BD$1,"YYMM")
            &amp;"'!",
          _xlpm._戻り範囲,
            IF(
              _xlpm._対象月初=_xlpm._今月初,
              "$AG$1:$AG$300",
              "$G$1:$G$300"
            ),
          _xlfn.XLOOKUP(
            $C10,
            INDIRECT(_xlpm._参照先&amp;"$C$1:$C$300"),
            INDIRECT(_xlpm._参照先&amp;_xlpm._戻り範囲)
          )
        )
      )
    ),
    ""
  )
)</f>
        <v>2.2668129535299473</v>
      </c>
    </row>
    <row r="11" spans="1:56">
      <c r="A11" s="1059" t="s">
        <v>1632</v>
      </c>
      <c r="B11" s="181" t="str">
        <v>UNW-U-255HX-5060-L6</v>
      </c>
      <c r="C11" s="25" t="s">
        <v>256</v>
      </c>
      <c r="D11" s="26" t="s">
        <v>1356</v>
      </c>
      <c r="E11" s="24">
        <v>5060</v>
      </c>
      <c r="F11" s="24" t="s">
        <v>1347</v>
      </c>
      <c r="G11" s="38">
        <v>5</v>
      </c>
      <c r="H11" s="109" cm="1">
        <f t="array" aca="1" ref="H11" ca="1">_xlfn.LET(_xlpm._来月から4ヶ月計画合計,
  SUM(
    OFFSET($A11,0,
      MATCH(
        EDATE(基準データ!$C$5,3),$A$1:$BF$1,1
      )-3,1,4)),
_xlpm._今月計画数,
INDEX($A$1:$BE$223,
  ROW(),
  MATCH(EOMONTH(基準データ!$C$5,-1)+1,$A$1:$BE$1,0)
),
  IFERROR(IF($B11="","",_xlpm._来月から4ヶ月計画合計+_xlpm._今月計画数/2),""
)
)</f>
        <v>3.5430828052805392</v>
      </c>
      <c r="I11" s="38"/>
      <c r="J11" s="38"/>
      <c r="K11" s="38"/>
      <c r="L11" s="38"/>
      <c r="M11" s="38"/>
      <c r="N11" s="38"/>
      <c r="O11" s="38"/>
      <c r="P11" s="38"/>
      <c r="Q11" s="219"/>
      <c r="R11" s="219"/>
      <c r="S11" s="219"/>
      <c r="T11" s="298"/>
      <c r="U11" s="299"/>
      <c r="V11" s="224"/>
      <c r="W11" s="468"/>
      <c r="X11" s="480"/>
      <c r="Y11" s="219"/>
      <c r="Z11" s="219"/>
      <c r="AA11" s="508"/>
      <c r="AB11" s="508"/>
      <c r="AC11" s="241">
        <v>2</v>
      </c>
      <c r="AD11" s="241">
        <v>15</v>
      </c>
      <c r="AE11" s="223">
        <v>18</v>
      </c>
      <c r="AF11" s="223">
        <v>9</v>
      </c>
      <c r="AG11" s="223">
        <v>24</v>
      </c>
      <c r="AH11" s="223">
        <v>5</v>
      </c>
      <c r="AI11" s="223">
        <v>19</v>
      </c>
      <c r="AJ11" s="223">
        <v>243</v>
      </c>
      <c r="AK11" s="223">
        <v>346</v>
      </c>
      <c r="AL11" s="223" cm="1">
        <f t="array" aca="1" ref="AL11" ca="1">IF($C11="","",
  IFERROR(
    _xlfn.LET(
      _xlpm._対象月初,EOMONTH(AL$1,-1)+1,
      _xlpm._今月初,EOMONTH(基準データ!$C$5,-1)+1,
      IF(
        _xlpm._対象月初&gt;_xlpm._今月初,
        IF(
          OR(AK11="",AK11=0),
          "",
          AK11*AL$26
        ),
        _xlfn.LET(
          _xlpm._参照先,
            "'[在庫状況把握_43期_2025-2026.xlsx]月次報告"
            &amp;TEXT(AL$1,"YYMM")
            &amp;"'!",
          _xlpm._戻り範囲,
            IF(
              _xlpm._対象月初=_xlpm._今月初,
              "$AG$1:$AG$300",
              "$G$1:$G$300"
            ),
          _xlfn.XLOOKUP(
            $C11,
            INDIRECT(_xlpm._参照先&amp;"$C$1:$C$300"),
            INDIRECT(_xlpm._参照先&amp;_xlpm._戻り範囲)
          )
        )
      )
    ),
    ""
  )
)</f>
        <v>1</v>
      </c>
      <c r="AM11" s="223" cm="1">
        <f t="array" aca="1" ref="AM11" ca="1">IF($C11="","",
  IFERROR(
    _xlfn.LET(
      _xlpm._対象月初,EOMONTH(AM$1,-1)+1,
      _xlpm._今月初,EOMONTH(基準データ!$C$5,-1)+1,
      IF(
        _xlpm._対象月初&gt;_xlpm._今月初,
        IF(
          OR(AL11="",AL11=0),
          "",
          AL11*AM$26
        ),
        _xlfn.LET(
          _xlpm._参照先,
            "'[在庫状況把握_43期_2025-2026.xlsx]月次報告"
            &amp;TEXT(AM$1,"YYMM")
            &amp;"'!",
          _xlpm._戻り範囲,
            IF(
              _xlpm._対象月初=_xlpm._今月初,
              "$AG$1:$AG$300",
              "$G$1:$G$300"
            ),
          _xlfn.XLOOKUP(
            $C11,
            INDIRECT(_xlpm._参照先&amp;"$C$1:$C$300"),
            INDIRECT(_xlpm._参照先&amp;_xlpm._戻り範囲)
          )
        )
      )
    ),
    ""
  )
)</f>
        <v>1.107142857142857</v>
      </c>
      <c r="AN11" s="223" cm="1">
        <f t="array" aca="1" ref="AN11" ca="1">IF($C11="","",
  IFERROR(
    _xlfn.LET(
      _xlpm._対象月初,EOMONTH(AN$1,-1)+1,
      _xlpm._今月初,EOMONTH(基準データ!$C$5,-1)+1,
      IF(
        _xlpm._対象月初&gt;_xlpm._今月初,
        IF(
          OR(AM11="",AM11=0),
          "",
          AM11*AN$26
        ),
        _xlfn.LET(
          _xlpm._参照先,
            "'[在庫状況把握_43期_2025-2026.xlsx]月次報告"
            &amp;TEXT(AN$1,"YYMM")
            &amp;"'!",
          _xlpm._戻り範囲,
            IF(
              _xlpm._対象月初=_xlpm._今月初,
              "$AG$1:$AG$300",
              "$G$1:$G$300"
            ),
          _xlfn.XLOOKUP(
            $C11,
            INDIRECT(_xlpm._参照先&amp;"$C$1:$C$300"),
            INDIRECT(_xlpm._参照先&amp;_xlpm._戻り範囲)
          )
        )
      )
    ),
    ""
  )
)</f>
        <v>0.90485236641694267</v>
      </c>
      <c r="AO11" s="223" cm="1">
        <f t="array" aca="1" ref="AO11" ca="1">IF($C11="","",
  IFERROR(
    _xlfn.LET(
      _xlpm._対象月初,EOMONTH(AO$1,-1)+1,
      _xlpm._今月初,EOMONTH(基準データ!$C$5,-1)+1,
      IF(
        _xlpm._対象月初&gt;_xlpm._今月初,
        IF(
          OR(AN11="",AN11=0),
          "",
          AN11*AO$26
        ),
        _xlfn.LET(
          _xlpm._参照先,
            "'[在庫状況把握_43期_2025-2026.xlsx]月次報告"
            &amp;TEXT(AO$1,"YYMM")
            &amp;"'!",
          _xlpm._戻り範囲,
            IF(
              _xlpm._対象月初=_xlpm._今月初,
              "$AG$1:$AG$300",
              "$G$1:$G$300"
            ),
          _xlfn.XLOOKUP(
            $C11,
            INDIRECT(_xlpm._参照先&amp;"$C$1:$C$300"),
            INDIRECT(_xlpm._参照先&amp;_xlpm._戻り範囲)
          )
        )
      )
    ),
    ""
  )
)</f>
        <v>0.7295323420228651</v>
      </c>
      <c r="AP11" s="223" cm="1">
        <f t="array" aca="1" ref="AP11" ca="1">IF($C11="","",
  IFERROR(
    _xlfn.LET(
      _xlpm._対象月初,EOMONTH(AP$1,-1)+1,
      _xlpm._今月初,EOMONTH(基準データ!$C$5,-1)+1,
      IF(
        _xlpm._対象月初&gt;_xlpm._今月初,
        IF(
          OR(AO11="",AO11=0),
          "",
          AO11*AP$26
        ),
        _xlfn.LET(
          _xlpm._参照先,
            "'[在庫状況把握_43期_2025-2026.xlsx]月次報告"
            &amp;TEXT(AP$1,"YYMM")
            &amp;"'!",
          _xlpm._戻り範囲,
            IF(
              _xlpm._対象月初=_xlpm._今月初,
              "$AG$1:$AG$300",
              "$G$1:$G$300"
            ),
          _xlfn.XLOOKUP(
            $C11,
            INDIRECT(_xlpm._参照先&amp;"$C$1:$C$300"),
            INDIRECT(_xlpm._参照先&amp;_xlpm._戻り範囲)
          )
        )
      )
    ),
    ""
  )
)</f>
        <v>0.63428075792643202</v>
      </c>
      <c r="AQ11" s="223" cm="1">
        <f t="array" aca="1" ref="AQ11" ca="1">IF($C11="","",
  IFERROR(
    _xlfn.LET(
      _xlpm._対象月初,EOMONTH(AQ$1,-1)+1,
      _xlpm._今月初,EOMONTH(基準データ!$C$5,-1)+1,
      IF(
        _xlpm._対象月初&gt;_xlpm._今月初,
        IF(
          OR(AP11="",AP11=0),
          "",
          AP11*AQ$26
        ),
        _xlfn.LET(
          _xlpm._参照先,
            "'[在庫状況把握_43期_2025-2026.xlsx]月次報告"
            &amp;TEXT(AQ$1,"YYMM")
            &amp;"'!",
          _xlpm._戻り範囲,
            IF(
              _xlpm._対象月初=_xlpm._今月初,
              "$AG$1:$AG$300",
              "$G$1:$G$300"
            ),
          _xlfn.XLOOKUP(
            $C11,
            INDIRECT(_xlpm._参照先&amp;"$C$1:$C$300"),
            INDIRECT(_xlpm._参照先&amp;_xlpm._戻り範囲)
          )
        )
      )
    ),
    ""
  )
)</f>
        <v>0.72084591034287115</v>
      </c>
      <c r="AR11" s="223" cm="1">
        <f t="array" aca="1" ref="AR11" ca="1">IF($C11="","",
  IFERROR(
    _xlfn.LET(
      _xlpm._対象月初,EOMONTH(AR$1,-1)+1,
      _xlpm._今月初,EOMONTH(基準データ!$C$5,-1)+1,
      IF(
        _xlpm._対象月初&gt;_xlpm._今月初,
        IF(
          OR(AQ11="",AQ11=0),
          "",
          AQ11*AR$26
        ),
        _xlfn.LET(
          _xlpm._参照先,
            "'[在庫状況把握_43期_2025-2026.xlsx]月次報告"
            &amp;TEXT(AR$1,"YYMM")
            &amp;"'!",
          _xlpm._戻り範囲,
            IF(
              _xlpm._対象月初=_xlpm._今月初,
              "$AG$1:$AG$300",
              "$G$1:$G$300"
            ),
          _xlfn.XLOOKUP(
            $C11,
            INDIRECT(_xlpm._参照先&amp;"$C$1:$C$300"),
            INDIRECT(_xlpm._参照先&amp;_xlpm._戻り範囲)
          )
        )
      )
    ),
    ""
  )
)</f>
        <v>1.1334064767649736</v>
      </c>
      <c r="AS11" s="223" cm="1">
        <f t="array" aca="1" ref="AS11" ca="1">IF($C11="","",
  IFERROR(
    _xlfn.LET(
      _xlpm._対象月初,EOMONTH(AS$1,-1)+1,
      _xlpm._今月初,EOMONTH(基準データ!$C$5,-1)+1,
      IF(
        _xlpm._対象月初&gt;_xlpm._今月初,
        IF(
          OR(AR11="",AR11=0),
          "",
          AR11*AS$26
        ),
        _xlfn.LET(
          _xlpm._参照先,
            "'[在庫状況把握_43期_2025-2026.xlsx]月次報告"
            &amp;TEXT(AS$1,"YYMM")
            &amp;"'!",
          _xlpm._戻り範囲,
            IF(
              _xlpm._対象月初=_xlpm._今月初,
              "$AG$1:$AG$300",
              "$G$1:$G$300"
            ),
          _xlfn.XLOOKUP(
            $C11,
            INDIRECT(_xlpm._参照先&amp;"$C$1:$C$300"),
            INDIRECT(_xlpm._参照先&amp;_xlpm._戻り範囲)
          )
        )
      )
    ),
    ""
  )
)</f>
        <v>0.94774405601510758</v>
      </c>
      <c r="AT11" s="223" cm="1">
        <f t="array" aca="1" ref="AT11" ca="1">IF($C11="","",
  IFERROR(
    _xlfn.LET(
      _xlpm._対象月初,EOMONTH(AT$1,-1)+1,
      _xlpm._今月初,EOMONTH(基準データ!$C$5,-1)+1,
      IF(
        _xlpm._対象月初&gt;_xlpm._今月初,
        IF(
          OR(AS11="",AS11=0),
          "",
          AS11*AT$26
        ),
        _xlfn.LET(
          _xlpm._参照先,
            "'[在庫状況把握_43期_2025-2026.xlsx]月次報告"
            &amp;TEXT(AT$1,"YYMM")
            &amp;"'!",
          _xlpm._戻り範囲,
            IF(
              _xlpm._対象月初=_xlpm._今月初,
              "$AG$1:$AG$300",
              "$G$1:$G$300"
            ),
          _xlfn.XLOOKUP(
            $C11,
            INDIRECT(_xlpm._参照先&amp;"$C$1:$C$300"),
            INDIRECT(_xlpm._参照先&amp;_xlpm._戻り範囲)
          )
        )
      )
    ),
    ""
  )
)</f>
        <v>0.85315569925725931</v>
      </c>
      <c r="AU11" s="223" cm="1">
        <f t="array" aca="1" ref="AU11" ca="1">IF($C11="","",
  IFERROR(
    _xlfn.LET(
      _xlpm._対象月初,EOMONTH(AU$1,-1)+1,
      _xlpm._今月初,EOMONTH(基準データ!$C$5,-1)+1,
      IF(
        _xlpm._対象月初&gt;_xlpm._今月初,
        IF(
          OR(AT11="",AT11=0),
          "",
          AT11*AU$26
        ),
        _xlfn.LET(
          _xlpm._参照先,
            "'[在庫状況把握_43期_2025-2026.xlsx]月次報告"
            &amp;TEXT(AU$1,"YYMM")
            &amp;"'!",
          _xlpm._戻り範囲,
            IF(
              _xlpm._対象月初=_xlpm._今月初,
              "$AG$1:$AG$300",
              "$G$1:$G$300"
            ),
          _xlfn.XLOOKUP(
            $C11,
            INDIRECT(_xlpm._参照先&amp;"$C$1:$C$300"),
            INDIRECT(_xlpm._参照先&amp;_xlpm._戻り範囲)
          )
        )
      )
    ),
    ""
  )
)</f>
        <v>1.2275185140347817</v>
      </c>
      <c r="AV11" s="223" cm="1">
        <f t="array" aca="1" ref="AV11" ca="1">IF($C11="","",
  IFERROR(
    _xlfn.LET(
      _xlpm._対象月初,EOMONTH(AV$1,-1)+1,
      _xlpm._今月初,EOMONTH(基準データ!$C$5,-1)+1,
      IF(
        _xlpm._対象月初&gt;_xlpm._今月初,
        IF(
          OR(AU11="",AU11=0),
          "",
          AU11*AV$26
        ),
        _xlfn.LET(
          _xlpm._参照先,
            "'[在庫状況把握_43期_2025-2026.xlsx]月次報告"
            &amp;TEXT(AV$1,"YYMM")
            &amp;"'!",
          _xlpm._戻り範囲,
            IF(
              _xlpm._対象月初=_xlpm._今月初,
              "$AG$1:$AG$300",
              "$G$1:$G$300"
            ),
          _xlfn.XLOOKUP(
            $C11,
            INDIRECT(_xlpm._参照先&amp;"$C$1:$C$300"),
            INDIRECT(_xlpm._参照先&amp;_xlpm._戻り範囲)
          )
        )
      )
    ),
    ""
  )
)</f>
        <v>0.94489257327687348</v>
      </c>
      <c r="AW11" s="223" cm="1">
        <f t="array" aca="1" ref="AW11" ca="1">IF($C11="","",
  IFERROR(
    _xlfn.LET(
      _xlpm._対象月初,EOMONTH(AW$1,-1)+1,
      _xlpm._今月初,EOMONTH(基準データ!$C$5,-1)+1,
      IF(
        _xlpm._対象月初&gt;_xlpm._今月初,
        IF(
          OR(AV11="",AV11=0),
          "",
          AV11*AW$26
        ),
        _xlfn.LET(
          _xlpm._参照先,
            "'[在庫状況把握_43期_2025-2026.xlsx]月次報告"
            &amp;TEXT(AW$1,"YYMM")
            &amp;"'!",
          _xlpm._戻り範囲,
            IF(
              _xlpm._対象月初=_xlpm._今月初,
              "$AG$1:$AG$300",
              "$G$1:$G$300"
            ),
          _xlfn.XLOOKUP(
            $C11,
            INDIRECT(_xlpm._参照先&amp;"$C$1:$C$300"),
            INDIRECT(_xlpm._参照先&amp;_xlpm._戻り範囲)
          )
        )
      )
    ),
    ""
  )
)</f>
        <v>0.75432471032617376</v>
      </c>
      <c r="AX11" s="223" cm="1">
        <f t="array" aca="1" ref="AX11" ca="1">IF($C11="","",
  IFERROR(
    _xlfn.LET(
      _xlpm._対象月初,EOMONTH(AX$1,-1)+1,
      _xlpm._今月初,EOMONTH(基準データ!$C$5,-1)+1,
      IF(
        _xlpm._対象月初&gt;_xlpm._今月初,
        IF(
          OR(AW11="",AW11=0),
          "",
          AW11*AX$26
        ),
        _xlfn.LET(
          _xlpm._参照先,
            "'[在庫状況把握_43期_2025-2026.xlsx]月次報告"
            &amp;TEXT(AX$1,"YYMM")
            &amp;"'!",
          _xlpm._戻り範囲,
            IF(
              _xlpm._対象月初=_xlpm._今月初,
              "$AG$1:$AG$300",
              "$G$1:$G$300"
            ),
          _xlfn.XLOOKUP(
            $C11,
            INDIRECT(_xlpm._参照先&amp;"$C$1:$C$300"),
            INDIRECT(_xlpm._参照先&amp;_xlpm._戻り範囲)
          )
        )
      )
    ),
    ""
  )
)</f>
        <v>0.87283612378595732</v>
      </c>
      <c r="AY11" s="223" cm="1">
        <f t="array" aca="1" ref="AY11" ca="1">IF($C11="","",
  IFERROR(
    _xlfn.LET(
      _xlpm._対象月初,EOMONTH(AY$1,-1)+1,
      _xlpm._今月初,EOMONTH(基準データ!$C$5,-1)+1,
      IF(
        _xlpm._対象月初&gt;_xlpm._今月初,
        IF(
          OR(AX11="",AX11=0),
          "",
          AX11*AY$26
        ),
        _xlfn.LET(
          _xlpm._参照先,
            "'[在庫状況把握_43期_2025-2026.xlsx]月次報告"
            &amp;TEXT(AY$1,"YYMM")
            &amp;"'!",
          _xlpm._戻り範囲,
            IF(
              _xlpm._対象月初=_xlpm._今月初,
              "$AG$1:$AG$300",
              "$G$1:$G$300"
            ),
          _xlfn.XLOOKUP(
            $C11,
            INDIRECT(_xlpm._参照先&amp;"$C$1:$C$300"),
            INDIRECT(_xlpm._参照先&amp;_xlpm._戻り範囲)
          )
        )
      )
    ),
    ""
  )
)</f>
        <v>1.107142857142857</v>
      </c>
      <c r="AZ11" s="223" cm="1">
        <f t="array" aca="1" ref="AZ11" ca="1">IF($C11="","",
  IFERROR(
    _xlfn.LET(
      _xlpm._対象月初,EOMONTH(AZ$1,-1)+1,
      _xlpm._今月初,EOMONTH(基準データ!$C$5,-1)+1,
      IF(
        _xlpm._対象月初&gt;_xlpm._今月初,
        IF(
          OR(AY11="",AY11=0),
          "",
          AY11*AZ$26
        ),
        _xlfn.LET(
          _xlpm._参照先,
            "'[在庫状況把握_43期_2025-2026.xlsx]月次報告"
            &amp;TEXT(AZ$1,"YYMM")
            &amp;"'!",
          _xlpm._戻り範囲,
            IF(
              _xlpm._対象月初=_xlpm._今月初,
              "$AG$1:$AG$300",
              "$G$1:$G$300"
            ),
          _xlfn.XLOOKUP(
            $C11,
            INDIRECT(_xlpm._参照先&amp;"$C$1:$C$300"),
            INDIRECT(_xlpm._参照先&amp;_xlpm._戻り範囲)
          )
        )
      )
    ),
    ""
  )
)</f>
        <v>0.90485236641694267</v>
      </c>
      <c r="BA11" s="223" cm="1">
        <f t="array" aca="1" ref="BA11" ca="1">IF($C11="","",
  IFERROR(
    _xlfn.LET(
      _xlpm._対象月初,EOMONTH(BA$1,-1)+1,
      _xlpm._今月初,EOMONTH(基準データ!$C$5,-1)+1,
      IF(
        _xlpm._対象月初&gt;_xlpm._今月初,
        IF(
          OR(AZ11="",AZ11=0),
          "",
          AZ11*BA$26
        ),
        _xlfn.LET(
          _xlpm._参照先,
            "'[在庫状況把握_43期_2025-2026.xlsx]月次報告"
            &amp;TEXT(BA$1,"YYMM")
            &amp;"'!",
          _xlpm._戻り範囲,
            IF(
              _xlpm._対象月初=_xlpm._今月初,
              "$AG$1:$AG$300",
              "$G$1:$G$300"
            ),
          _xlfn.XLOOKUP(
            $C11,
            INDIRECT(_xlpm._参照先&amp;"$C$1:$C$300"),
            INDIRECT(_xlpm._参照先&amp;_xlpm._戻り範囲)
          )
        )
      )
    ),
    ""
  )
)</f>
        <v>0.7295323420228651</v>
      </c>
      <c r="BB11" s="223" cm="1">
        <f t="array" aca="1" ref="BB11" ca="1">IF($C11="","",
  IFERROR(
    _xlfn.LET(
      _xlpm._対象月初,EOMONTH(BB$1,-1)+1,
      _xlpm._今月初,EOMONTH(基準データ!$C$5,-1)+1,
      IF(
        _xlpm._対象月初&gt;_xlpm._今月初,
        IF(
          OR(BA11="",BA11=0),
          "",
          BA11*BB$26
        ),
        _xlfn.LET(
          _xlpm._参照先,
            "'[在庫状況把握_43期_2025-2026.xlsx]月次報告"
            &amp;TEXT(BB$1,"YYMM")
            &amp;"'!",
          _xlpm._戻り範囲,
            IF(
              _xlpm._対象月初=_xlpm._今月初,
              "$AG$1:$AG$300",
              "$G$1:$G$300"
            ),
          _xlfn.XLOOKUP(
            $C11,
            INDIRECT(_xlpm._参照先&amp;"$C$1:$C$300"),
            INDIRECT(_xlpm._参照先&amp;_xlpm._戻り範囲)
          )
        )
      )
    ),
    ""
  )
)</f>
        <v>0.63428075792643202</v>
      </c>
      <c r="BC11" s="223" cm="1">
        <f t="array" aca="1" ref="BC11" ca="1">IF($C11="","",
  IFERROR(
    _xlfn.LET(
      _xlpm._対象月初,EOMONTH(BC$1,-1)+1,
      _xlpm._今月初,EOMONTH(基準データ!$C$5,-1)+1,
      IF(
        _xlpm._対象月初&gt;_xlpm._今月初,
        IF(
          OR(BB11="",BB11=0),
          "",
          BB11*BC$26
        ),
        _xlfn.LET(
          _xlpm._参照先,
            "'[在庫状況把握_43期_2025-2026.xlsx]月次報告"
            &amp;TEXT(BC$1,"YYMM")
            &amp;"'!",
          _xlpm._戻り範囲,
            IF(
              _xlpm._対象月初=_xlpm._今月初,
              "$AG$1:$AG$300",
              "$G$1:$G$300"
            ),
          _xlfn.XLOOKUP(
            $C11,
            INDIRECT(_xlpm._参照先&amp;"$C$1:$C$300"),
            INDIRECT(_xlpm._参照先&amp;_xlpm._戻り範囲)
          )
        )
      )
    ),
    ""
  )
)</f>
        <v>0.72084591034287115</v>
      </c>
      <c r="BD11" s="223" cm="1">
        <f t="array" aca="1" ref="BD11" ca="1">IF($C11="","",
  IFERROR(
    _xlfn.LET(
      _xlpm._対象月初,EOMONTH(BD$1,-1)+1,
      _xlpm._今月初,EOMONTH(基準データ!$C$5,-1)+1,
      IF(
        _xlpm._対象月初&gt;_xlpm._今月初,
        IF(
          OR(BC11="",BC11=0),
          "",
          BC11*BD$26
        ),
        _xlfn.LET(
          _xlpm._参照先,
            "'[在庫状況把握_43期_2025-2026.xlsx]月次報告"
            &amp;TEXT(BD$1,"YYMM")
            &amp;"'!",
          _xlpm._戻り範囲,
            IF(
              _xlpm._対象月初=_xlpm._今月初,
              "$AG$1:$AG$300",
              "$G$1:$G$300"
            ),
          _xlfn.XLOOKUP(
            $C11,
            INDIRECT(_xlpm._参照先&amp;"$C$1:$C$300"),
            INDIRECT(_xlpm._参照先&amp;_xlpm._戻り範囲)
          )
        )
      )
    ),
    ""
  )
)</f>
        <v>1.1334064767649736</v>
      </c>
    </row>
    <row r="12" spans="1:56">
      <c r="A12" s="1059"/>
      <c r="B12" s="26" t="str">
        <v/>
      </c>
      <c r="C12" s="26"/>
      <c r="D12" s="26"/>
      <c r="E12" s="26"/>
      <c r="F12" s="26"/>
      <c r="G12" s="43" t="str">
        <v/>
      </c>
      <c r="H12" s="109" t="str" cm="1">
        <f t="array" aca="1" ref="H12" ca="1">_xlfn.LET(_xlpm._来月から4ヶ月計画合計,
  SUM(
    OFFSET($A12,0,
      MATCH(
        EDATE(基準データ!$C$5,3),$A$1:$BF$1,1
      )-3,1,4)),
_xlpm._今月計画数,
INDEX($A$1:$BE$223,
  ROW(),
  MATCH(EOMONTH(基準データ!$C$5,-1)+1,$A$1:$BE$1,0)
),
  IFERROR(IF($B12="","",_xlpm._来月から4ヶ月計画合計+_xlpm._今月計画数/2),""
)
)</f>
        <v/>
      </c>
      <c r="I12" s="38"/>
      <c r="J12" s="38"/>
      <c r="K12" s="38"/>
      <c r="L12" s="38"/>
      <c r="M12" s="38"/>
      <c r="N12" s="38"/>
      <c r="O12" s="38"/>
      <c r="P12" s="38"/>
      <c r="Q12" s="219"/>
      <c r="R12" s="219"/>
      <c r="S12" s="219"/>
      <c r="T12" s="219"/>
      <c r="U12" s="224"/>
      <c r="V12" s="224"/>
      <c r="W12" s="468"/>
      <c r="X12" s="480"/>
      <c r="Y12" s="219"/>
      <c r="Z12" s="219" t="str">
        <f>IF(Y12*'在庫使用計画 (計画　予測)'!$AB$45=0,"",Y12*'在庫使用計画 (計画　予測)'!$AB$45)</f>
        <v/>
      </c>
      <c r="AA12" s="219"/>
      <c r="AB12" s="219"/>
      <c r="AC12" s="224"/>
      <c r="AD12" s="241" t="s">
        <v>21</v>
      </c>
      <c r="AE12" s="223" t="s">
        <v>21</v>
      </c>
      <c r="AF12" s="223" t="s">
        <v>21</v>
      </c>
      <c r="AG12" s="223" t="s">
        <v>21</v>
      </c>
      <c r="AH12" s="223" t="s">
        <v>21</v>
      </c>
      <c r="AI12" s="223" t="s">
        <v>21</v>
      </c>
      <c r="AJ12" s="223" t="s">
        <v>21</v>
      </c>
      <c r="AK12" s="223" t="s">
        <v>21</v>
      </c>
      <c r="AL12" s="223" t="str" cm="1">
        <f t="array" aca="1" ref="AL12" ca="1">IF($C12="","",
  IFERROR(
    _xlfn.LET(
      _xlpm._対象月初,EOMONTH(AL$1,-1)+1,
      _xlpm._今月初,EOMONTH(基準データ!$C$5,-1)+1,
      IF(
        _xlpm._対象月初&gt;_xlpm._今月初,
        IF(
          OR(AK12="",AK12=0),
          "",
          AK12*AL$26
        ),
        _xlfn.LET(
          _xlpm._参照先,
            "'[在庫状況把握_43期_2025-2026.xlsx]月次報告"
            &amp;TEXT(AL$1,"YYMM")
            &amp;"'!",
          _xlpm._戻り範囲,
            IF(
              _xlpm._対象月初=_xlpm._今月初,
              "$AG$1:$AG$300",
              "$G$1:$G$300"
            ),
          _xlfn.XLOOKUP(
            $C12,
            INDIRECT(_xlpm._参照先&amp;"$C$1:$C$300"),
            INDIRECT(_xlpm._参照先&amp;_xlpm._戻り範囲)
          )
        )
      )
    ),
    ""
  )
)</f>
        <v/>
      </c>
      <c r="AM12" s="223" t="str" cm="1">
        <f t="array" aca="1" ref="AM12" ca="1">IF($C12="","",
  IFERROR(
    _xlfn.LET(
      _xlpm._対象月初,EOMONTH(AM$1,-1)+1,
      _xlpm._今月初,EOMONTH(基準データ!$C$5,-1)+1,
      IF(
        _xlpm._対象月初&gt;_xlpm._今月初,
        IF(
          OR(AL12="",AL12=0),
          "",
          AL12*AM$26
        ),
        _xlfn.LET(
          _xlpm._参照先,
            "'[在庫状況把握_43期_2025-2026.xlsx]月次報告"
            &amp;TEXT(AM$1,"YYMM")
            &amp;"'!",
          _xlpm._戻り範囲,
            IF(
              _xlpm._対象月初=_xlpm._今月初,
              "$AG$1:$AG$300",
              "$G$1:$G$300"
            ),
          _xlfn.XLOOKUP(
            $C12,
            INDIRECT(_xlpm._参照先&amp;"$C$1:$C$300"),
            INDIRECT(_xlpm._参照先&amp;_xlpm._戻り範囲)
          )
        )
      )
    ),
    ""
  )
)</f>
        <v/>
      </c>
      <c r="AN12" s="223" t="str" cm="1">
        <f t="array" aca="1" ref="AN12" ca="1">IF($C12="","",
  IFERROR(
    _xlfn.LET(
      _xlpm._対象月初,EOMONTH(AN$1,-1)+1,
      _xlpm._今月初,EOMONTH(基準データ!$C$5,-1)+1,
      IF(
        _xlpm._対象月初&gt;_xlpm._今月初,
        IF(
          OR(AM12="",AM12=0),
          "",
          AM12*AN$26
        ),
        _xlfn.LET(
          _xlpm._参照先,
            "'[在庫状況把握_43期_2025-2026.xlsx]月次報告"
            &amp;TEXT(AN$1,"YYMM")
            &amp;"'!",
          _xlpm._戻り範囲,
            IF(
              _xlpm._対象月初=_xlpm._今月初,
              "$AG$1:$AG$300",
              "$G$1:$G$300"
            ),
          _xlfn.XLOOKUP(
            $C12,
            INDIRECT(_xlpm._参照先&amp;"$C$1:$C$300"),
            INDIRECT(_xlpm._参照先&amp;_xlpm._戻り範囲)
          )
        )
      )
    ),
    ""
  )
)</f>
        <v/>
      </c>
      <c r="AO12" s="223" t="str" cm="1">
        <f t="array" aca="1" ref="AO12" ca="1">IF($C12="","",
  IFERROR(
    _xlfn.LET(
      _xlpm._対象月初,EOMONTH(AO$1,-1)+1,
      _xlpm._今月初,EOMONTH(基準データ!$C$5,-1)+1,
      IF(
        _xlpm._対象月初&gt;_xlpm._今月初,
        IF(
          OR(AN12="",AN12=0),
          "",
          AN12*AO$26
        ),
        _xlfn.LET(
          _xlpm._参照先,
            "'[在庫状況把握_43期_2025-2026.xlsx]月次報告"
            &amp;TEXT(AO$1,"YYMM")
            &amp;"'!",
          _xlpm._戻り範囲,
            IF(
              _xlpm._対象月初=_xlpm._今月初,
              "$AG$1:$AG$300",
              "$G$1:$G$300"
            ),
          _xlfn.XLOOKUP(
            $C12,
            INDIRECT(_xlpm._参照先&amp;"$C$1:$C$300"),
            INDIRECT(_xlpm._参照先&amp;_xlpm._戻り範囲)
          )
        )
      )
    ),
    ""
  )
)</f>
        <v/>
      </c>
      <c r="AP12" s="223" t="str" cm="1">
        <f t="array" aca="1" ref="AP12" ca="1">IF($C12="","",
  IFERROR(
    _xlfn.LET(
      _xlpm._対象月初,EOMONTH(AP$1,-1)+1,
      _xlpm._今月初,EOMONTH(基準データ!$C$5,-1)+1,
      IF(
        _xlpm._対象月初&gt;_xlpm._今月初,
        IF(
          OR(AO12="",AO12=0),
          "",
          AO12*AP$26
        ),
        _xlfn.LET(
          _xlpm._参照先,
            "'[在庫状況把握_43期_2025-2026.xlsx]月次報告"
            &amp;TEXT(AP$1,"YYMM")
            &amp;"'!",
          _xlpm._戻り範囲,
            IF(
              _xlpm._対象月初=_xlpm._今月初,
              "$AG$1:$AG$300",
              "$G$1:$G$300"
            ),
          _xlfn.XLOOKUP(
            $C12,
            INDIRECT(_xlpm._参照先&amp;"$C$1:$C$300"),
            INDIRECT(_xlpm._参照先&amp;_xlpm._戻り範囲)
          )
        )
      )
    ),
    ""
  )
)</f>
        <v/>
      </c>
      <c r="AQ12" s="223" t="str" cm="1">
        <f t="array" aca="1" ref="AQ12" ca="1">IF($C12="","",
  IFERROR(
    _xlfn.LET(
      _xlpm._対象月初,EOMONTH(AQ$1,-1)+1,
      _xlpm._今月初,EOMONTH(基準データ!$C$5,-1)+1,
      IF(
        _xlpm._対象月初&gt;_xlpm._今月初,
        IF(
          OR(AP12="",AP12=0),
          "",
          AP12*AQ$26
        ),
        _xlfn.LET(
          _xlpm._参照先,
            "'[在庫状況把握_43期_2025-2026.xlsx]月次報告"
            &amp;TEXT(AQ$1,"YYMM")
            &amp;"'!",
          _xlpm._戻り範囲,
            IF(
              _xlpm._対象月初=_xlpm._今月初,
              "$AG$1:$AG$300",
              "$G$1:$G$300"
            ),
          _xlfn.XLOOKUP(
            $C12,
            INDIRECT(_xlpm._参照先&amp;"$C$1:$C$300"),
            INDIRECT(_xlpm._参照先&amp;_xlpm._戻り範囲)
          )
        )
      )
    ),
    ""
  )
)</f>
        <v/>
      </c>
      <c r="AR12" s="223" t="str" cm="1">
        <f t="array" aca="1" ref="AR12" ca="1">IF($C12="","",
  IFERROR(
    _xlfn.LET(
      _xlpm._対象月初,EOMONTH(AR$1,-1)+1,
      _xlpm._今月初,EOMONTH(基準データ!$C$5,-1)+1,
      IF(
        _xlpm._対象月初&gt;_xlpm._今月初,
        IF(
          OR(AQ12="",AQ12=0),
          "",
          AQ12*AR$26
        ),
        _xlfn.LET(
          _xlpm._参照先,
            "'[在庫状況把握_43期_2025-2026.xlsx]月次報告"
            &amp;TEXT(AR$1,"YYMM")
            &amp;"'!",
          _xlpm._戻り範囲,
            IF(
              _xlpm._対象月初=_xlpm._今月初,
              "$AG$1:$AG$300",
              "$G$1:$G$300"
            ),
          _xlfn.XLOOKUP(
            $C12,
            INDIRECT(_xlpm._参照先&amp;"$C$1:$C$300"),
            INDIRECT(_xlpm._参照先&amp;_xlpm._戻り範囲)
          )
        )
      )
    ),
    ""
  )
)</f>
        <v/>
      </c>
      <c r="AS12" s="223" t="str" cm="1">
        <f t="array" aca="1" ref="AS12" ca="1">IF($C12="","",
  IFERROR(
    _xlfn.LET(
      _xlpm._対象月初,EOMONTH(AS$1,-1)+1,
      _xlpm._今月初,EOMONTH(基準データ!$C$5,-1)+1,
      IF(
        _xlpm._対象月初&gt;_xlpm._今月初,
        IF(
          OR(AR12="",AR12=0),
          "",
          AR12*AS$26
        ),
        _xlfn.LET(
          _xlpm._参照先,
            "'[在庫状況把握_43期_2025-2026.xlsx]月次報告"
            &amp;TEXT(AS$1,"YYMM")
            &amp;"'!",
          _xlpm._戻り範囲,
            IF(
              _xlpm._対象月初=_xlpm._今月初,
              "$AG$1:$AG$300",
              "$G$1:$G$300"
            ),
          _xlfn.XLOOKUP(
            $C12,
            INDIRECT(_xlpm._参照先&amp;"$C$1:$C$300"),
            INDIRECT(_xlpm._参照先&amp;_xlpm._戻り範囲)
          )
        )
      )
    ),
    ""
  )
)</f>
        <v/>
      </c>
      <c r="AT12" s="223" t="str" cm="1">
        <f t="array" aca="1" ref="AT12" ca="1">IF($C12="","",
  IFERROR(
    _xlfn.LET(
      _xlpm._対象月初,EOMONTH(AT$1,-1)+1,
      _xlpm._今月初,EOMONTH(基準データ!$C$5,-1)+1,
      IF(
        _xlpm._対象月初&gt;_xlpm._今月初,
        IF(
          OR(AS12="",AS12=0),
          "",
          AS12*AT$26
        ),
        _xlfn.LET(
          _xlpm._参照先,
            "'[在庫状況把握_43期_2025-2026.xlsx]月次報告"
            &amp;TEXT(AT$1,"YYMM")
            &amp;"'!",
          _xlpm._戻り範囲,
            IF(
              _xlpm._対象月初=_xlpm._今月初,
              "$AG$1:$AG$300",
              "$G$1:$G$300"
            ),
          _xlfn.XLOOKUP(
            $C12,
            INDIRECT(_xlpm._参照先&amp;"$C$1:$C$300"),
            INDIRECT(_xlpm._参照先&amp;_xlpm._戻り範囲)
          )
        )
      )
    ),
    ""
  )
)</f>
        <v/>
      </c>
      <c r="AU12" s="223" t="str" cm="1">
        <f t="array" aca="1" ref="AU12" ca="1">IF($C12="","",
  IFERROR(
    _xlfn.LET(
      _xlpm._対象月初,EOMONTH(AU$1,-1)+1,
      _xlpm._今月初,EOMONTH(基準データ!$C$5,-1)+1,
      IF(
        _xlpm._対象月初&gt;_xlpm._今月初,
        IF(
          OR(AT12="",AT12=0),
          "",
          AT12*AU$26
        ),
        _xlfn.LET(
          _xlpm._参照先,
            "'[在庫状況把握_43期_2025-2026.xlsx]月次報告"
            &amp;TEXT(AU$1,"YYMM")
            &amp;"'!",
          _xlpm._戻り範囲,
            IF(
              _xlpm._対象月初=_xlpm._今月初,
              "$AG$1:$AG$300",
              "$G$1:$G$300"
            ),
          _xlfn.XLOOKUP(
            $C12,
            INDIRECT(_xlpm._参照先&amp;"$C$1:$C$300"),
            INDIRECT(_xlpm._参照先&amp;_xlpm._戻り範囲)
          )
        )
      )
    ),
    ""
  )
)</f>
        <v/>
      </c>
      <c r="AV12" s="223" t="str" cm="1">
        <f t="array" aca="1" ref="AV12" ca="1">IF($C12="","",
  IFERROR(
    _xlfn.LET(
      _xlpm._対象月初,EOMONTH(AV$1,-1)+1,
      _xlpm._今月初,EOMONTH(基準データ!$C$5,-1)+1,
      IF(
        _xlpm._対象月初&gt;_xlpm._今月初,
        IF(
          OR(AU12="",AU12=0),
          "",
          AU12*AV$26
        ),
        _xlfn.LET(
          _xlpm._参照先,
            "'[在庫状況把握_43期_2025-2026.xlsx]月次報告"
            &amp;TEXT(AV$1,"YYMM")
            &amp;"'!",
          _xlpm._戻り範囲,
            IF(
              _xlpm._対象月初=_xlpm._今月初,
              "$AG$1:$AG$300",
              "$G$1:$G$300"
            ),
          _xlfn.XLOOKUP(
            $C12,
            INDIRECT(_xlpm._参照先&amp;"$C$1:$C$300"),
            INDIRECT(_xlpm._参照先&amp;_xlpm._戻り範囲)
          )
        )
      )
    ),
    ""
  )
)</f>
        <v/>
      </c>
      <c r="AW12" s="223" t="str" cm="1">
        <f t="array" aca="1" ref="AW12" ca="1">IF($C12="","",
  IFERROR(
    _xlfn.LET(
      _xlpm._対象月初,EOMONTH(AW$1,-1)+1,
      _xlpm._今月初,EOMONTH(基準データ!$C$5,-1)+1,
      IF(
        _xlpm._対象月初&gt;_xlpm._今月初,
        IF(
          OR(AV12="",AV12=0),
          "",
          AV12*AW$26
        ),
        _xlfn.LET(
          _xlpm._参照先,
            "'[在庫状況把握_43期_2025-2026.xlsx]月次報告"
            &amp;TEXT(AW$1,"YYMM")
            &amp;"'!",
          _xlpm._戻り範囲,
            IF(
              _xlpm._対象月初=_xlpm._今月初,
              "$AG$1:$AG$300",
              "$G$1:$G$300"
            ),
          _xlfn.XLOOKUP(
            $C12,
            INDIRECT(_xlpm._参照先&amp;"$C$1:$C$300"),
            INDIRECT(_xlpm._参照先&amp;_xlpm._戻り範囲)
          )
        )
      )
    ),
    ""
  )
)</f>
        <v/>
      </c>
      <c r="AX12" s="223" t="str" cm="1">
        <f t="array" aca="1" ref="AX12" ca="1">IF($C12="","",
  IFERROR(
    _xlfn.LET(
      _xlpm._対象月初,EOMONTH(AX$1,-1)+1,
      _xlpm._今月初,EOMONTH(基準データ!$C$5,-1)+1,
      IF(
        _xlpm._対象月初&gt;_xlpm._今月初,
        IF(
          OR(AW12="",AW12=0),
          "",
          AW12*AX$26
        ),
        _xlfn.LET(
          _xlpm._参照先,
            "'[在庫状況把握_43期_2025-2026.xlsx]月次報告"
            &amp;TEXT(AX$1,"YYMM")
            &amp;"'!",
          _xlpm._戻り範囲,
            IF(
              _xlpm._対象月初=_xlpm._今月初,
              "$AG$1:$AG$300",
              "$G$1:$G$300"
            ),
          _xlfn.XLOOKUP(
            $C12,
            INDIRECT(_xlpm._参照先&amp;"$C$1:$C$300"),
            INDIRECT(_xlpm._参照先&amp;_xlpm._戻り範囲)
          )
        )
      )
    ),
    ""
  )
)</f>
        <v/>
      </c>
      <c r="AY12" s="223" t="str" cm="1">
        <f t="array" aca="1" ref="AY12" ca="1">IF($C12="","",
  IFERROR(
    _xlfn.LET(
      _xlpm._対象月初,EOMONTH(AY$1,-1)+1,
      _xlpm._今月初,EOMONTH(基準データ!$C$5,-1)+1,
      IF(
        _xlpm._対象月初&gt;_xlpm._今月初,
        IF(
          OR(AX12="",AX12=0),
          "",
          AX12*AY$26
        ),
        _xlfn.LET(
          _xlpm._参照先,
            "'[在庫状況把握_43期_2025-2026.xlsx]月次報告"
            &amp;TEXT(AY$1,"YYMM")
            &amp;"'!",
          _xlpm._戻り範囲,
            IF(
              _xlpm._対象月初=_xlpm._今月初,
              "$AG$1:$AG$300",
              "$G$1:$G$300"
            ),
          _xlfn.XLOOKUP(
            $C12,
            INDIRECT(_xlpm._参照先&amp;"$C$1:$C$300"),
            INDIRECT(_xlpm._参照先&amp;_xlpm._戻り範囲)
          )
        )
      )
    ),
    ""
  )
)</f>
        <v/>
      </c>
      <c r="AZ12" s="223" t="str" cm="1">
        <f t="array" aca="1" ref="AZ12" ca="1">IF($C12="","",
  IFERROR(
    _xlfn.LET(
      _xlpm._対象月初,EOMONTH(AZ$1,-1)+1,
      _xlpm._今月初,EOMONTH(基準データ!$C$5,-1)+1,
      IF(
        _xlpm._対象月初&gt;_xlpm._今月初,
        IF(
          OR(AY12="",AY12=0),
          "",
          AY12*AZ$26
        ),
        _xlfn.LET(
          _xlpm._参照先,
            "'[在庫状況把握_43期_2025-2026.xlsx]月次報告"
            &amp;TEXT(AZ$1,"YYMM")
            &amp;"'!",
          _xlpm._戻り範囲,
            IF(
              _xlpm._対象月初=_xlpm._今月初,
              "$AG$1:$AG$300",
              "$G$1:$G$300"
            ),
          _xlfn.XLOOKUP(
            $C12,
            INDIRECT(_xlpm._参照先&amp;"$C$1:$C$300"),
            INDIRECT(_xlpm._参照先&amp;_xlpm._戻り範囲)
          )
        )
      )
    ),
    ""
  )
)</f>
        <v/>
      </c>
      <c r="BA12" s="223" t="str" cm="1">
        <f t="array" aca="1" ref="BA12" ca="1">IF($C12="","",
  IFERROR(
    _xlfn.LET(
      _xlpm._対象月初,EOMONTH(BA$1,-1)+1,
      _xlpm._今月初,EOMONTH(基準データ!$C$5,-1)+1,
      IF(
        _xlpm._対象月初&gt;_xlpm._今月初,
        IF(
          OR(AZ12="",AZ12=0),
          "",
          AZ12*BA$26
        ),
        _xlfn.LET(
          _xlpm._参照先,
            "'[在庫状況把握_43期_2025-2026.xlsx]月次報告"
            &amp;TEXT(BA$1,"YYMM")
            &amp;"'!",
          _xlpm._戻り範囲,
            IF(
              _xlpm._対象月初=_xlpm._今月初,
              "$AG$1:$AG$300",
              "$G$1:$G$300"
            ),
          _xlfn.XLOOKUP(
            $C12,
            INDIRECT(_xlpm._参照先&amp;"$C$1:$C$300"),
            INDIRECT(_xlpm._参照先&amp;_xlpm._戻り範囲)
          )
        )
      )
    ),
    ""
  )
)</f>
        <v/>
      </c>
      <c r="BB12" s="223" t="str" cm="1">
        <f t="array" aca="1" ref="BB12" ca="1">IF($C12="","",
  IFERROR(
    _xlfn.LET(
      _xlpm._対象月初,EOMONTH(BB$1,-1)+1,
      _xlpm._今月初,EOMONTH(基準データ!$C$5,-1)+1,
      IF(
        _xlpm._対象月初&gt;_xlpm._今月初,
        IF(
          OR(BA12="",BA12=0),
          "",
          BA12*BB$26
        ),
        _xlfn.LET(
          _xlpm._参照先,
            "'[在庫状況把握_43期_2025-2026.xlsx]月次報告"
            &amp;TEXT(BB$1,"YYMM")
            &amp;"'!",
          _xlpm._戻り範囲,
            IF(
              _xlpm._対象月初=_xlpm._今月初,
              "$AG$1:$AG$300",
              "$G$1:$G$300"
            ),
          _xlfn.XLOOKUP(
            $C12,
            INDIRECT(_xlpm._参照先&amp;"$C$1:$C$300"),
            INDIRECT(_xlpm._参照先&amp;_xlpm._戻り範囲)
          )
        )
      )
    ),
    ""
  )
)</f>
        <v/>
      </c>
      <c r="BC12" s="223" t="str" cm="1">
        <f t="array" aca="1" ref="BC12" ca="1">IF($C12="","",
  IFERROR(
    _xlfn.LET(
      _xlpm._対象月初,EOMONTH(BC$1,-1)+1,
      _xlpm._今月初,EOMONTH(基準データ!$C$5,-1)+1,
      IF(
        _xlpm._対象月初&gt;_xlpm._今月初,
        IF(
          OR(BB12="",BB12=0),
          "",
          BB12*BC$26
        ),
        _xlfn.LET(
          _xlpm._参照先,
            "'[在庫状況把握_43期_2025-2026.xlsx]月次報告"
            &amp;TEXT(BC$1,"YYMM")
            &amp;"'!",
          _xlpm._戻り範囲,
            IF(
              _xlpm._対象月初=_xlpm._今月初,
              "$AG$1:$AG$300",
              "$G$1:$G$300"
            ),
          _xlfn.XLOOKUP(
            $C12,
            INDIRECT(_xlpm._参照先&amp;"$C$1:$C$300"),
            INDIRECT(_xlpm._参照先&amp;_xlpm._戻り範囲)
          )
        )
      )
    ),
    ""
  )
)</f>
        <v/>
      </c>
      <c r="BD12" s="223" t="str" cm="1">
        <f t="array" aca="1" ref="BD12" ca="1">IF($C12="","",
  IFERROR(
    _xlfn.LET(
      _xlpm._対象月初,EOMONTH(BD$1,-1)+1,
      _xlpm._今月初,EOMONTH(基準データ!$C$5,-1)+1,
      IF(
        _xlpm._対象月初&gt;_xlpm._今月初,
        IF(
          OR(BC12="",BC12=0),
          "",
          BC12*BD$26
        ),
        _xlfn.LET(
          _xlpm._参照先,
            "'[在庫状況把握_43期_2025-2026.xlsx]月次報告"
            &amp;TEXT(BD$1,"YYMM")
            &amp;"'!",
          _xlpm._戻り範囲,
            IF(
              _xlpm._対象月初=_xlpm._今月初,
              "$AG$1:$AG$300",
              "$G$1:$G$300"
            ),
          _xlfn.XLOOKUP(
            $C12,
            INDIRECT(_xlpm._参照先&amp;"$C$1:$C$300"),
            INDIRECT(_xlpm._参照先&amp;_xlpm._戻り範囲)
          )
        )
      )
    ),
    ""
  )
)</f>
        <v/>
      </c>
    </row>
    <row r="13" spans="1:56">
      <c r="A13" s="1127" t="s">
        <v>1633</v>
      </c>
      <c r="B13" s="26" t="str">
        <v>UNW-2-14650HX-5070-L6-DDR5-15.3</v>
      </c>
      <c r="C13" s="25" t="s">
        <v>394</v>
      </c>
      <c r="D13" s="26" t="s">
        <v>1351</v>
      </c>
      <c r="E13" s="24" t="s">
        <v>1352</v>
      </c>
      <c r="F13" s="24" t="s">
        <v>1347</v>
      </c>
      <c r="G13" s="38">
        <v>0</v>
      </c>
      <c r="H13" s="109" cm="1">
        <f t="array" aca="1" ref="H13" ca="1">_xlfn.LET(_xlpm._来月から4ヶ月計画合計,
  SUM(
    OFFSET($A13,0,
      MATCH(
        EDATE(基準データ!$C$5,3),$A$1:$BF$1,1
      )-3,1,4)),
_xlpm._今月計画数,
INDEX($A$1:$BE$223,
  ROW(),
  MATCH(EOMONTH(基準データ!$C$5,-1)+1,$A$1:$BE$1,0)
),
  IFERROR(IF($B13="","",_xlpm._来月から4ヶ月計画合計+_xlpm._今月計画数/2),""
)
)</f>
        <v>0</v>
      </c>
      <c r="I13" s="38"/>
      <c r="J13" s="38"/>
      <c r="K13" s="38"/>
      <c r="L13" s="38"/>
      <c r="M13" s="38"/>
      <c r="N13" s="38"/>
      <c r="O13" s="38"/>
      <c r="P13" s="38"/>
      <c r="Q13" s="219"/>
      <c r="R13" s="219"/>
      <c r="S13" s="219"/>
      <c r="T13" s="298"/>
      <c r="U13" s="299"/>
      <c r="V13" s="224"/>
      <c r="W13" s="467"/>
      <c r="X13" s="508"/>
      <c r="Y13" s="219">
        <v>27</v>
      </c>
      <c r="Z13" s="219">
        <v>139</v>
      </c>
      <c r="AA13" s="508">
        <v>160</v>
      </c>
      <c r="AB13" s="508">
        <v>85</v>
      </c>
      <c r="AC13" s="241">
        <v>40</v>
      </c>
      <c r="AD13" s="241" t="s">
        <v>21</v>
      </c>
      <c r="AE13" s="223" t="s">
        <v>21</v>
      </c>
      <c r="AF13" s="223" t="s">
        <v>21</v>
      </c>
      <c r="AG13" s="223" t="s">
        <v>21</v>
      </c>
      <c r="AH13" s="223" t="s">
        <v>21</v>
      </c>
      <c r="AI13" s="223" t="s">
        <v>21</v>
      </c>
      <c r="AJ13" s="223">
        <v>0</v>
      </c>
      <c r="AK13" s="223">
        <v>0</v>
      </c>
      <c r="AL13" s="223" cm="1">
        <f t="array" aca="1" ref="AL13" ca="1">IF($C13="","",
  IFERROR(
    _xlfn.LET(
      _xlpm._対象月初,EOMONTH(AL$1,-1)+1,
      _xlpm._今月初,EOMONTH(基準データ!$C$5,-1)+1,
      IF(
        _xlpm._対象月初&gt;_xlpm._今月初,
        IF(
          OR(AK13="",AK13=0),
          "",
          AK13*AL$26
        ),
        _xlfn.LET(
          _xlpm._参照先,
            "'[在庫状況把握_43期_2025-2026.xlsx]月次報告"
            &amp;TEXT(AL$1,"YYMM")
            &amp;"'!",
          _xlpm._戻り範囲,
            IF(
              _xlpm._対象月初=_xlpm._今月初,
              "$AG$1:$AG$300",
              "$G$1:$G$300"
            ),
          _xlfn.XLOOKUP(
            $C13,
            INDIRECT(_xlpm._参照先&amp;"$C$1:$C$300"),
            INDIRECT(_xlpm._参照先&amp;_xlpm._戻り範囲)
          )
        )
      )
    ),
    ""
  )
)</f>
        <v>0</v>
      </c>
      <c r="AM13" s="223" cm="1">
        <f t="array" aca="1" ref="AM13" ca="1">IF($C13="","",
  IFERROR(
    _xlfn.LET(
      _xlpm._対象月初,EOMONTH(AM$1,-1)+1,
      _xlpm._今月初,EOMONTH(基準データ!$C$5,-1)+1,
      IF(
        _xlpm._対象月初&gt;_xlpm._今月初,
        IF(
          OR(AL13="",AL13=0),
          "",
          AL13*AM$26
        ),
        _xlfn.LET(
          _xlpm._参照先,
            "'[在庫状況把握_43期_2025-2026.xlsx]月次報告"
            &amp;TEXT(AM$1,"YYMM")
            &amp;"'!",
          _xlpm._戻り範囲,
            IF(
              _xlpm._対象月初=_xlpm._今月初,
              "$AG$1:$AG$300",
              "$G$1:$G$300"
            ),
          _xlfn.XLOOKUP(
            $C13,
            INDIRECT(_xlpm._参照先&amp;"$C$1:$C$300"),
            INDIRECT(_xlpm._参照先&amp;_xlpm._戻り範囲)
          )
        )
      )
    ),
    ""
  )
)</f>
        <v>0</v>
      </c>
      <c r="AN13" s="223" t="str" cm="1">
        <f t="array" aca="1" ref="AN13" ca="1">IF($C13="","",
  IFERROR(
    _xlfn.LET(
      _xlpm._対象月初,EOMONTH(AN$1,-1)+1,
      _xlpm._今月初,EOMONTH(基準データ!$C$5,-1)+1,
      IF(
        _xlpm._対象月初&gt;_xlpm._今月初,
        IF(
          OR(AM13="",AM13=0),
          "",
          AM13*AN$26
        ),
        _xlfn.LET(
          _xlpm._参照先,
            "'[在庫状況把握_43期_2025-2026.xlsx]月次報告"
            &amp;TEXT(AN$1,"YYMM")
            &amp;"'!",
          _xlpm._戻り範囲,
            IF(
              _xlpm._対象月初=_xlpm._今月初,
              "$AG$1:$AG$300",
              "$G$1:$G$300"
            ),
          _xlfn.XLOOKUP(
            $C13,
            INDIRECT(_xlpm._参照先&amp;"$C$1:$C$300"),
            INDIRECT(_xlpm._参照先&amp;_xlpm._戻り範囲)
          )
        )
      )
    ),
    ""
  )
)</f>
        <v/>
      </c>
      <c r="AO13" s="223" t="str" cm="1">
        <f t="array" aca="1" ref="AO13" ca="1">IF($C13="","",
  IFERROR(
    _xlfn.LET(
      _xlpm._対象月初,EOMONTH(AO$1,-1)+1,
      _xlpm._今月初,EOMONTH(基準データ!$C$5,-1)+1,
      IF(
        _xlpm._対象月初&gt;_xlpm._今月初,
        IF(
          OR(AN13="",AN13=0),
          "",
          AN13*AO$26
        ),
        _xlfn.LET(
          _xlpm._参照先,
            "'[在庫状況把握_43期_2025-2026.xlsx]月次報告"
            &amp;TEXT(AO$1,"YYMM")
            &amp;"'!",
          _xlpm._戻り範囲,
            IF(
              _xlpm._対象月初=_xlpm._今月初,
              "$AG$1:$AG$300",
              "$G$1:$G$300"
            ),
          _xlfn.XLOOKUP(
            $C13,
            INDIRECT(_xlpm._参照先&amp;"$C$1:$C$300"),
            INDIRECT(_xlpm._参照先&amp;_xlpm._戻り範囲)
          )
        )
      )
    ),
    ""
  )
)</f>
        <v/>
      </c>
      <c r="AP13" s="223" t="str" cm="1">
        <f t="array" aca="1" ref="AP13" ca="1">IF($C13="","",
  IFERROR(
    _xlfn.LET(
      _xlpm._対象月初,EOMONTH(AP$1,-1)+1,
      _xlpm._今月初,EOMONTH(基準データ!$C$5,-1)+1,
      IF(
        _xlpm._対象月初&gt;_xlpm._今月初,
        IF(
          OR(AO13="",AO13=0),
          "",
          AO13*AP$26
        ),
        _xlfn.LET(
          _xlpm._参照先,
            "'[在庫状況把握_43期_2025-2026.xlsx]月次報告"
            &amp;TEXT(AP$1,"YYMM")
            &amp;"'!",
          _xlpm._戻り範囲,
            IF(
              _xlpm._対象月初=_xlpm._今月初,
              "$AG$1:$AG$300",
              "$G$1:$G$300"
            ),
          _xlfn.XLOOKUP(
            $C13,
            INDIRECT(_xlpm._参照先&amp;"$C$1:$C$300"),
            INDIRECT(_xlpm._参照先&amp;_xlpm._戻り範囲)
          )
        )
      )
    ),
    ""
  )
)</f>
        <v/>
      </c>
      <c r="AQ13" s="223" t="str" cm="1">
        <f t="array" aca="1" ref="AQ13" ca="1">IF($C13="","",
  IFERROR(
    _xlfn.LET(
      _xlpm._対象月初,EOMONTH(AQ$1,-1)+1,
      _xlpm._今月初,EOMONTH(基準データ!$C$5,-1)+1,
      IF(
        _xlpm._対象月初&gt;_xlpm._今月初,
        IF(
          OR(AP13="",AP13=0),
          "",
          AP13*AQ$26
        ),
        _xlfn.LET(
          _xlpm._参照先,
            "'[在庫状況把握_43期_2025-2026.xlsx]月次報告"
            &amp;TEXT(AQ$1,"YYMM")
            &amp;"'!",
          _xlpm._戻り範囲,
            IF(
              _xlpm._対象月初=_xlpm._今月初,
              "$AG$1:$AG$300",
              "$G$1:$G$300"
            ),
          _xlfn.XLOOKUP(
            $C13,
            INDIRECT(_xlpm._参照先&amp;"$C$1:$C$300"),
            INDIRECT(_xlpm._参照先&amp;_xlpm._戻り範囲)
          )
        )
      )
    ),
    ""
  )
)</f>
        <v/>
      </c>
      <c r="AR13" s="223" t="str" cm="1">
        <f t="array" aca="1" ref="AR13" ca="1">IF($C13="","",
  IFERROR(
    _xlfn.LET(
      _xlpm._対象月初,EOMONTH(AR$1,-1)+1,
      _xlpm._今月初,EOMONTH(基準データ!$C$5,-1)+1,
      IF(
        _xlpm._対象月初&gt;_xlpm._今月初,
        IF(
          OR(AQ13="",AQ13=0),
          "",
          AQ13*AR$26
        ),
        _xlfn.LET(
          _xlpm._参照先,
            "'[在庫状況把握_43期_2025-2026.xlsx]月次報告"
            &amp;TEXT(AR$1,"YYMM")
            &amp;"'!",
          _xlpm._戻り範囲,
            IF(
              _xlpm._対象月初=_xlpm._今月初,
              "$AG$1:$AG$300",
              "$G$1:$G$300"
            ),
          _xlfn.XLOOKUP(
            $C13,
            INDIRECT(_xlpm._参照先&amp;"$C$1:$C$300"),
            INDIRECT(_xlpm._参照先&amp;_xlpm._戻り範囲)
          )
        )
      )
    ),
    ""
  )
)</f>
        <v/>
      </c>
      <c r="AS13" s="223" t="str" cm="1">
        <f t="array" aca="1" ref="AS13" ca="1">IF($C13="","",
  IFERROR(
    _xlfn.LET(
      _xlpm._対象月初,EOMONTH(AS$1,-1)+1,
      _xlpm._今月初,EOMONTH(基準データ!$C$5,-1)+1,
      IF(
        _xlpm._対象月初&gt;_xlpm._今月初,
        IF(
          OR(AR13="",AR13=0),
          "",
          AR13*AS$26
        ),
        _xlfn.LET(
          _xlpm._参照先,
            "'[在庫状況把握_43期_2025-2026.xlsx]月次報告"
            &amp;TEXT(AS$1,"YYMM")
            &amp;"'!",
          _xlpm._戻り範囲,
            IF(
              _xlpm._対象月初=_xlpm._今月初,
              "$AG$1:$AG$300",
              "$G$1:$G$300"
            ),
          _xlfn.XLOOKUP(
            $C13,
            INDIRECT(_xlpm._参照先&amp;"$C$1:$C$300"),
            INDIRECT(_xlpm._参照先&amp;_xlpm._戻り範囲)
          )
        )
      )
    ),
    ""
  )
)</f>
        <v/>
      </c>
      <c r="AT13" s="223" t="str" cm="1">
        <f t="array" aca="1" ref="AT13" ca="1">IF($C13="","",
  IFERROR(
    _xlfn.LET(
      _xlpm._対象月初,EOMONTH(AT$1,-1)+1,
      _xlpm._今月初,EOMONTH(基準データ!$C$5,-1)+1,
      IF(
        _xlpm._対象月初&gt;_xlpm._今月初,
        IF(
          OR(AS13="",AS13=0),
          "",
          AS13*AT$26
        ),
        _xlfn.LET(
          _xlpm._参照先,
            "'[在庫状況把握_43期_2025-2026.xlsx]月次報告"
            &amp;TEXT(AT$1,"YYMM")
            &amp;"'!",
          _xlpm._戻り範囲,
            IF(
              _xlpm._対象月初=_xlpm._今月初,
              "$AG$1:$AG$300",
              "$G$1:$G$300"
            ),
          _xlfn.XLOOKUP(
            $C13,
            INDIRECT(_xlpm._参照先&amp;"$C$1:$C$300"),
            INDIRECT(_xlpm._参照先&amp;_xlpm._戻り範囲)
          )
        )
      )
    ),
    ""
  )
)</f>
        <v/>
      </c>
      <c r="AU13" s="223" t="str" cm="1">
        <f t="array" aca="1" ref="AU13" ca="1">IF($C13="","",
  IFERROR(
    _xlfn.LET(
      _xlpm._対象月初,EOMONTH(AU$1,-1)+1,
      _xlpm._今月初,EOMONTH(基準データ!$C$5,-1)+1,
      IF(
        _xlpm._対象月初&gt;_xlpm._今月初,
        IF(
          OR(AT13="",AT13=0),
          "",
          AT13*AU$26
        ),
        _xlfn.LET(
          _xlpm._参照先,
            "'[在庫状況把握_43期_2025-2026.xlsx]月次報告"
            &amp;TEXT(AU$1,"YYMM")
            &amp;"'!",
          _xlpm._戻り範囲,
            IF(
              _xlpm._対象月初=_xlpm._今月初,
              "$AG$1:$AG$300",
              "$G$1:$G$300"
            ),
          _xlfn.XLOOKUP(
            $C13,
            INDIRECT(_xlpm._参照先&amp;"$C$1:$C$300"),
            INDIRECT(_xlpm._参照先&amp;_xlpm._戻り範囲)
          )
        )
      )
    ),
    ""
  )
)</f>
        <v/>
      </c>
      <c r="AV13" s="223" t="str" cm="1">
        <f t="array" aca="1" ref="AV13" ca="1">IF($C13="","",
  IFERROR(
    _xlfn.LET(
      _xlpm._対象月初,EOMONTH(AV$1,-1)+1,
      _xlpm._今月初,EOMONTH(基準データ!$C$5,-1)+1,
      IF(
        _xlpm._対象月初&gt;_xlpm._今月初,
        IF(
          OR(AU13="",AU13=0),
          "",
          AU13*AV$26
        ),
        _xlfn.LET(
          _xlpm._参照先,
            "'[在庫状況把握_43期_2025-2026.xlsx]月次報告"
            &amp;TEXT(AV$1,"YYMM")
            &amp;"'!",
          _xlpm._戻り範囲,
            IF(
              _xlpm._対象月初=_xlpm._今月初,
              "$AG$1:$AG$300",
              "$G$1:$G$300"
            ),
          _xlfn.XLOOKUP(
            $C13,
            INDIRECT(_xlpm._参照先&amp;"$C$1:$C$300"),
            INDIRECT(_xlpm._参照先&amp;_xlpm._戻り範囲)
          )
        )
      )
    ),
    ""
  )
)</f>
        <v/>
      </c>
      <c r="AW13" s="223" t="str" cm="1">
        <f t="array" aca="1" ref="AW13" ca="1">IF($C13="","",
  IFERROR(
    _xlfn.LET(
      _xlpm._対象月初,EOMONTH(AW$1,-1)+1,
      _xlpm._今月初,EOMONTH(基準データ!$C$5,-1)+1,
      IF(
        _xlpm._対象月初&gt;_xlpm._今月初,
        IF(
          OR(AV13="",AV13=0),
          "",
          AV13*AW$26
        ),
        _xlfn.LET(
          _xlpm._参照先,
            "'[在庫状況把握_43期_2025-2026.xlsx]月次報告"
            &amp;TEXT(AW$1,"YYMM")
            &amp;"'!",
          _xlpm._戻り範囲,
            IF(
              _xlpm._対象月初=_xlpm._今月初,
              "$AG$1:$AG$300",
              "$G$1:$G$300"
            ),
          _xlfn.XLOOKUP(
            $C13,
            INDIRECT(_xlpm._参照先&amp;"$C$1:$C$300"),
            INDIRECT(_xlpm._参照先&amp;_xlpm._戻り範囲)
          )
        )
      )
    ),
    ""
  )
)</f>
        <v/>
      </c>
      <c r="AX13" s="223" t="str" cm="1">
        <f t="array" aca="1" ref="AX13" ca="1">IF($C13="","",
  IFERROR(
    _xlfn.LET(
      _xlpm._対象月初,EOMONTH(AX$1,-1)+1,
      _xlpm._今月初,EOMONTH(基準データ!$C$5,-1)+1,
      IF(
        _xlpm._対象月初&gt;_xlpm._今月初,
        IF(
          OR(AW13="",AW13=0),
          "",
          AW13*AX$26
        ),
        _xlfn.LET(
          _xlpm._参照先,
            "'[在庫状況把握_43期_2025-2026.xlsx]月次報告"
            &amp;TEXT(AX$1,"YYMM")
            &amp;"'!",
          _xlpm._戻り範囲,
            IF(
              _xlpm._対象月初=_xlpm._今月初,
              "$AG$1:$AG$300",
              "$G$1:$G$300"
            ),
          _xlfn.XLOOKUP(
            $C13,
            INDIRECT(_xlpm._参照先&amp;"$C$1:$C$300"),
            INDIRECT(_xlpm._参照先&amp;_xlpm._戻り範囲)
          )
        )
      )
    ),
    ""
  )
)</f>
        <v/>
      </c>
      <c r="AY13" s="223" t="str" cm="1">
        <f t="array" aca="1" ref="AY13" ca="1">IF($C13="","",
  IFERROR(
    _xlfn.LET(
      _xlpm._対象月初,EOMONTH(AY$1,-1)+1,
      _xlpm._今月初,EOMONTH(基準データ!$C$5,-1)+1,
      IF(
        _xlpm._対象月初&gt;_xlpm._今月初,
        IF(
          OR(AX13="",AX13=0),
          "",
          AX13*AY$26
        ),
        _xlfn.LET(
          _xlpm._参照先,
            "'[在庫状況把握_43期_2025-2026.xlsx]月次報告"
            &amp;TEXT(AY$1,"YYMM")
            &amp;"'!",
          _xlpm._戻り範囲,
            IF(
              _xlpm._対象月初=_xlpm._今月初,
              "$AG$1:$AG$300",
              "$G$1:$G$300"
            ),
          _xlfn.XLOOKUP(
            $C13,
            INDIRECT(_xlpm._参照先&amp;"$C$1:$C$300"),
            INDIRECT(_xlpm._参照先&amp;_xlpm._戻り範囲)
          )
        )
      )
    ),
    ""
  )
)</f>
        <v/>
      </c>
      <c r="AZ13" s="223" t="str" cm="1">
        <f t="array" aca="1" ref="AZ13" ca="1">IF($C13="","",
  IFERROR(
    _xlfn.LET(
      _xlpm._対象月初,EOMONTH(AZ$1,-1)+1,
      _xlpm._今月初,EOMONTH(基準データ!$C$5,-1)+1,
      IF(
        _xlpm._対象月初&gt;_xlpm._今月初,
        IF(
          OR(AY13="",AY13=0),
          "",
          AY13*AZ$26
        ),
        _xlfn.LET(
          _xlpm._参照先,
            "'[在庫状況把握_43期_2025-2026.xlsx]月次報告"
            &amp;TEXT(AZ$1,"YYMM")
            &amp;"'!",
          _xlpm._戻り範囲,
            IF(
              _xlpm._対象月初=_xlpm._今月初,
              "$AG$1:$AG$300",
              "$G$1:$G$300"
            ),
          _xlfn.XLOOKUP(
            $C13,
            INDIRECT(_xlpm._参照先&amp;"$C$1:$C$300"),
            INDIRECT(_xlpm._参照先&amp;_xlpm._戻り範囲)
          )
        )
      )
    ),
    ""
  )
)</f>
        <v/>
      </c>
      <c r="BA13" s="223" t="str" cm="1">
        <f t="array" aca="1" ref="BA13" ca="1">IF($C13="","",
  IFERROR(
    _xlfn.LET(
      _xlpm._対象月初,EOMONTH(BA$1,-1)+1,
      _xlpm._今月初,EOMONTH(基準データ!$C$5,-1)+1,
      IF(
        _xlpm._対象月初&gt;_xlpm._今月初,
        IF(
          OR(AZ13="",AZ13=0),
          "",
          AZ13*BA$26
        ),
        _xlfn.LET(
          _xlpm._参照先,
            "'[在庫状況把握_43期_2025-2026.xlsx]月次報告"
            &amp;TEXT(BA$1,"YYMM")
            &amp;"'!",
          _xlpm._戻り範囲,
            IF(
              _xlpm._対象月初=_xlpm._今月初,
              "$AG$1:$AG$300",
              "$G$1:$G$300"
            ),
          _xlfn.XLOOKUP(
            $C13,
            INDIRECT(_xlpm._参照先&amp;"$C$1:$C$300"),
            INDIRECT(_xlpm._参照先&amp;_xlpm._戻り範囲)
          )
        )
      )
    ),
    ""
  )
)</f>
        <v/>
      </c>
      <c r="BB13" s="223" t="str" cm="1">
        <f t="array" aca="1" ref="BB13" ca="1">IF($C13="","",
  IFERROR(
    _xlfn.LET(
      _xlpm._対象月初,EOMONTH(BB$1,-1)+1,
      _xlpm._今月初,EOMONTH(基準データ!$C$5,-1)+1,
      IF(
        _xlpm._対象月初&gt;_xlpm._今月初,
        IF(
          OR(BA13="",BA13=0),
          "",
          BA13*BB$26
        ),
        _xlfn.LET(
          _xlpm._参照先,
            "'[在庫状況把握_43期_2025-2026.xlsx]月次報告"
            &amp;TEXT(BB$1,"YYMM")
            &amp;"'!",
          _xlpm._戻り範囲,
            IF(
              _xlpm._対象月初=_xlpm._今月初,
              "$AG$1:$AG$300",
              "$G$1:$G$300"
            ),
          _xlfn.XLOOKUP(
            $C13,
            INDIRECT(_xlpm._参照先&amp;"$C$1:$C$300"),
            INDIRECT(_xlpm._参照先&amp;_xlpm._戻り範囲)
          )
        )
      )
    ),
    ""
  )
)</f>
        <v/>
      </c>
      <c r="BC13" s="223" t="str" cm="1">
        <f t="array" aca="1" ref="BC13" ca="1">IF($C13="","",
  IFERROR(
    _xlfn.LET(
      _xlpm._対象月初,EOMONTH(BC$1,-1)+1,
      _xlpm._今月初,EOMONTH(基準データ!$C$5,-1)+1,
      IF(
        _xlpm._対象月初&gt;_xlpm._今月初,
        IF(
          OR(BB13="",BB13=0),
          "",
          BB13*BC$26
        ),
        _xlfn.LET(
          _xlpm._参照先,
            "'[在庫状況把握_43期_2025-2026.xlsx]月次報告"
            &amp;TEXT(BC$1,"YYMM")
            &amp;"'!",
          _xlpm._戻り範囲,
            IF(
              _xlpm._対象月初=_xlpm._今月初,
              "$AG$1:$AG$300",
              "$G$1:$G$300"
            ),
          _xlfn.XLOOKUP(
            $C13,
            INDIRECT(_xlpm._参照先&amp;"$C$1:$C$300"),
            INDIRECT(_xlpm._参照先&amp;_xlpm._戻り範囲)
          )
        )
      )
    ),
    ""
  )
)</f>
        <v/>
      </c>
      <c r="BD13" s="223" t="str" cm="1">
        <f t="array" aca="1" ref="BD13" ca="1">IF($C13="","",
  IFERROR(
    _xlfn.LET(
      _xlpm._対象月初,EOMONTH(BD$1,-1)+1,
      _xlpm._今月初,EOMONTH(基準データ!$C$5,-1)+1,
      IF(
        _xlpm._対象月初&gt;_xlpm._今月初,
        IF(
          OR(BC13="",BC13=0),
          "",
          BC13*BD$26
        ),
        _xlfn.LET(
          _xlpm._参照先,
            "'[在庫状況把握_43期_2025-2026.xlsx]月次報告"
            &amp;TEXT(BD$1,"YYMM")
            &amp;"'!",
          _xlpm._戻り範囲,
            IF(
              _xlpm._対象月初=_xlpm._今月初,
              "$AG$1:$AG$300",
              "$G$1:$G$300"
            ),
          _xlfn.XLOOKUP(
            $C13,
            INDIRECT(_xlpm._参照先&amp;"$C$1:$C$300"),
            INDIRECT(_xlpm._参照先&amp;_xlpm._戻り範囲)
          )
        )
      )
    ),
    ""
  )
)</f>
        <v/>
      </c>
    </row>
    <row r="14" spans="1:56">
      <c r="A14" s="1060" t="s">
        <v>1633</v>
      </c>
      <c r="B14" s="181" t="str">
        <v>CLE-V35-14650HX-5060-L6</v>
      </c>
      <c r="C14" s="26" t="s">
        <v>298</v>
      </c>
      <c r="D14" s="26" t="s">
        <v>1362</v>
      </c>
      <c r="E14" s="26">
        <v>5060</v>
      </c>
      <c r="F14" s="26" t="s">
        <v>1347</v>
      </c>
      <c r="G14" s="43">
        <v>152</v>
      </c>
      <c r="H14" s="109" cm="1">
        <f t="array" aca="1" ref="H14" ca="1">_xlfn.LET(_xlpm._来月から4ヶ月計画合計,
  SUM(
    OFFSET($A14,0,
      MATCH(
        EDATE(基準データ!$C$5,3),$A$1:$BF$1,1
      )-3,1,4)),
_xlpm._今月計画数,
INDEX($A$1:$BE$223,
  ROW(),
  MATCH(EOMONTH(基準データ!$C$5,-1)+1,$A$1:$BE$1,0)
),
  IFERROR(IF($B14="","",_xlpm._来月から4ヶ月計画合計+_xlpm._今月計画数/2),""
)
)</f>
        <v>2086.8757723102376</v>
      </c>
      <c r="I14" s="38"/>
      <c r="J14" s="38"/>
      <c r="K14" s="38"/>
      <c r="L14" s="38"/>
      <c r="M14" s="38"/>
      <c r="N14" s="38"/>
      <c r="O14" s="38"/>
      <c r="P14" s="38"/>
      <c r="Q14" s="219"/>
      <c r="R14" s="219"/>
      <c r="S14" s="219"/>
      <c r="T14" s="219"/>
      <c r="U14" s="224"/>
      <c r="V14" s="224"/>
      <c r="W14" s="468"/>
      <c r="X14" s="480"/>
      <c r="Y14" s="219"/>
      <c r="Z14" s="219"/>
      <c r="AA14" s="219"/>
      <c r="AB14" s="508"/>
      <c r="AC14" s="241"/>
      <c r="AD14" s="241">
        <v>83</v>
      </c>
      <c r="AE14" s="223">
        <v>134</v>
      </c>
      <c r="AF14" s="223">
        <v>386</v>
      </c>
      <c r="AG14" s="223">
        <v>343</v>
      </c>
      <c r="AH14" s="223">
        <v>285</v>
      </c>
      <c r="AI14" s="223">
        <v>336</v>
      </c>
      <c r="AJ14" s="223">
        <v>317</v>
      </c>
      <c r="AK14" s="223">
        <v>116</v>
      </c>
      <c r="AL14" s="223" cm="1">
        <f t="array" aca="1" ref="AL14" ca="1">IF($C14="","",
  IFERROR(
    _xlfn.LET(
      _xlpm._対象月初,EOMONTH(AL$1,-1)+1,
      _xlpm._今月初,EOMONTH(基準データ!$C$5,-1)+1,
      IF(
        _xlpm._対象月初&gt;_xlpm._今月初,
        IF(
          OR(AK14="",AK14=0),
          "",
          AK14*AL$26
        ),
        _xlfn.LET(
          _xlpm._参照先,
            "'[在庫状況把握_43期_2025-2026.xlsx]月次報告"
            &amp;TEXT(AL$1,"YYMM")
            &amp;"'!",
          _xlpm._戻り範囲,
            IF(
              _xlpm._対象月初=_xlpm._今月初,
              "$AG$1:$AG$300",
              "$G$1:$G$300"
            ),
          _xlfn.XLOOKUP(
            $C14,
            INDIRECT(_xlpm._参照先&amp;"$C$1:$C$300"),
            INDIRECT(_xlpm._参照先&amp;_xlpm._戻り範囲)
          )
        )
      )
    ),
    ""
  )
)</f>
        <v>596</v>
      </c>
      <c r="AM14" s="223" cm="1">
        <f t="array" aca="1" ref="AM14" ca="1">IF($C14="","",
  IFERROR(
    _xlfn.LET(
      _xlpm._対象月初,EOMONTH(AM$1,-1)+1,
      _xlpm._今月初,EOMONTH(基準データ!$C$5,-1)+1,
      IF(
        _xlpm._対象月初&gt;_xlpm._今月初,
        IF(
          OR(AL14="",AL14=0),
          "",
          AL14*AM$26
        ),
        _xlfn.LET(
          _xlpm._参照先,
            "'[在庫状況把握_43期_2025-2026.xlsx]月次報告"
            &amp;TEXT(AM$1,"YYMM")
            &amp;"'!",
          _xlpm._戻り範囲,
            IF(
              _xlpm._対象月初=_xlpm._今月初,
              "$AG$1:$AG$300",
              "$G$1:$G$300"
            ),
          _xlfn.XLOOKUP(
            $C14,
            INDIRECT(_xlpm._参照先&amp;"$C$1:$C$300"),
            INDIRECT(_xlpm._参照先&amp;_xlpm._戻り範囲)
          )
        )
      )
    ),
    ""
  )
)</f>
        <v>652.10714285714278</v>
      </c>
      <c r="AN14" s="223" cm="1">
        <f t="array" aca="1" ref="AN14" ca="1">IF($C14="","",
  IFERROR(
    _xlfn.LET(
      _xlpm._対象月初,EOMONTH(AN$1,-1)+1,
      _xlpm._今月初,EOMONTH(基準データ!$C$5,-1)+1,
      IF(
        _xlpm._対象月初&gt;_xlpm._今月初,
        IF(
          OR(AM14="",AM14=0),
          "",
          AM14*AN$26
        ),
        _xlfn.LET(
          _xlpm._参照先,
            "'[在庫状況把握_43期_2025-2026.xlsx]月次報告"
            &amp;TEXT(AN$1,"YYMM")
            &amp;"'!",
          _xlpm._戻り範囲,
            IF(
              _xlpm._対象月初=_xlpm._今月初,
              "$AG$1:$AG$300",
              "$G$1:$G$300"
            ),
          _xlfn.XLOOKUP(
            $C14,
            INDIRECT(_xlpm._参照先&amp;"$C$1:$C$300"),
            INDIRECT(_xlpm._参照先&amp;_xlpm._戻り範囲)
          )
        )
      )
    ),
    ""
  )
)</f>
        <v>532.95804381957919</v>
      </c>
      <c r="AO14" s="223" cm="1">
        <f t="array" aca="1" ref="AO14" ca="1">IF($C14="","",
  IFERROR(
    _xlfn.LET(
      _xlpm._対象月初,EOMONTH(AO$1,-1)+1,
      _xlpm._今月初,EOMONTH(基準データ!$C$5,-1)+1,
      IF(
        _xlpm._対象月初&gt;_xlpm._今月初,
        IF(
          OR(AN14="",AN14=0),
          "",
          AN14*AO$26
        ),
        _xlfn.LET(
          _xlpm._参照先,
            "'[在庫状況把握_43期_2025-2026.xlsx]月次報告"
            &amp;TEXT(AO$1,"YYMM")
            &amp;"'!",
          _xlpm._戻り範囲,
            IF(
              _xlpm._対象月初=_xlpm._今月初,
              "$AG$1:$AG$300",
              "$G$1:$G$300"
            ),
          _xlfn.XLOOKUP(
            $C14,
            INDIRECT(_xlpm._参照先&amp;"$C$1:$C$300"),
            INDIRECT(_xlpm._参照先&amp;_xlpm._戻り範囲)
          )
        )
      )
    ),
    ""
  )
)</f>
        <v>429.69454945146754</v>
      </c>
      <c r="AP14" s="223" cm="1">
        <f t="array" aca="1" ref="AP14" ca="1">IF($C14="","",
  IFERROR(
    _xlfn.LET(
      _xlpm._対象月初,EOMONTH(AP$1,-1)+1,
      _xlpm._今月初,EOMONTH(基準データ!$C$5,-1)+1,
      IF(
        _xlpm._対象月初&gt;_xlpm._今月初,
        IF(
          OR(AO14="",AO14=0),
          "",
          AO14*AP$26
        ),
        _xlfn.LET(
          _xlpm._参照先,
            "'[在庫状況把握_43期_2025-2026.xlsx]月次報告"
            &amp;TEXT(AP$1,"YYMM")
            &amp;"'!",
          _xlpm._戻り範囲,
            IF(
              _xlpm._対象月初=_xlpm._今月初,
              "$AG$1:$AG$300",
              "$G$1:$G$300"
            ),
          _xlfn.XLOOKUP(
            $C14,
            INDIRECT(_xlpm._参照先&amp;"$C$1:$C$300"),
            INDIRECT(_xlpm._参照先&amp;_xlpm._戻り範囲)
          )
        )
      )
    ),
    ""
  )
)</f>
        <v>373.59136641866849</v>
      </c>
      <c r="AQ14" s="223" cm="1">
        <f t="array" aca="1" ref="AQ14" ca="1">IF($C14="","",
  IFERROR(
    _xlfn.LET(
      _xlpm._対象月初,EOMONTH(AQ$1,-1)+1,
      _xlpm._今月初,EOMONTH(基準データ!$C$5,-1)+1,
      IF(
        _xlpm._対象月初&gt;_xlpm._今月初,
        IF(
          OR(AP14="",AP14=0),
          "",
          AP14*AQ$26
        ),
        _xlfn.LET(
          _xlpm._参照先,
            "'[在庫状況把握_43期_2025-2026.xlsx]月次報告"
            &amp;TEXT(AQ$1,"YYMM")
            &amp;"'!",
          _xlpm._戻り範囲,
            IF(
              _xlpm._対象月初=_xlpm._今月初,
              "$AG$1:$AG$300",
              "$G$1:$G$300"
            ),
          _xlfn.XLOOKUP(
            $C14,
            INDIRECT(_xlpm._参照先&amp;"$C$1:$C$300"),
            INDIRECT(_xlpm._参照先&amp;_xlpm._戻り範囲)
          )
        )
      )
    ),
    ""
  )
)</f>
        <v>424.57824119195112</v>
      </c>
      <c r="AR14" s="223" cm="1">
        <f t="array" aca="1" ref="AR14" ca="1">IF($C14="","",
  IFERROR(
    _xlfn.LET(
      _xlpm._対象月初,EOMONTH(AR$1,-1)+1,
      _xlpm._今月初,EOMONTH(基準データ!$C$5,-1)+1,
      IF(
        _xlpm._対象月初&gt;_xlpm._今月初,
        IF(
          OR(AQ14="",AQ14=0),
          "",
          AQ14*AR$26
        ),
        _xlfn.LET(
          _xlpm._参照先,
            "'[在庫状況把握_43期_2025-2026.xlsx]月次報告"
            &amp;TEXT(AR$1,"YYMM")
            &amp;"'!",
          _xlpm._戻り範囲,
            IF(
              _xlpm._対象月初=_xlpm._今月初,
              "$AG$1:$AG$300",
              "$G$1:$G$300"
            ),
          _xlfn.XLOOKUP(
            $C14,
            INDIRECT(_xlpm._参照先&amp;"$C$1:$C$300"),
            INDIRECT(_xlpm._参照先&amp;_xlpm._戻り範囲)
          )
        )
      )
    ),
    ""
  )
)</f>
        <v>667.57641481456949</v>
      </c>
      <c r="AS14" s="223" cm="1">
        <f t="array" aca="1" ref="AS14" ca="1">IF($C14="","",
  IFERROR(
    _xlfn.LET(
      _xlpm._対象月初,EOMONTH(AS$1,-1)+1,
      _xlpm._今月初,EOMONTH(基準データ!$C$5,-1)+1,
      IF(
        _xlpm._対象月初&gt;_xlpm._今月初,
        IF(
          OR(AR14="",AR14=0),
          "",
          AR14*AS$26
        ),
        _xlfn.LET(
          _xlpm._参照先,
            "'[在庫状況把握_43期_2025-2026.xlsx]月次報告"
            &amp;TEXT(AS$1,"YYMM")
            &amp;"'!",
          _xlpm._戻り範囲,
            IF(
              _xlpm._対象月初=_xlpm._今月初,
              "$AG$1:$AG$300",
              "$G$1:$G$300"
            ),
          _xlfn.XLOOKUP(
            $C14,
            INDIRECT(_xlpm._参照先&amp;"$C$1:$C$300"),
            INDIRECT(_xlpm._参照先&amp;_xlpm._戻り範囲)
          )
        )
      )
    ),
    ""
  )
)</f>
        <v>558.22124899289838</v>
      </c>
      <c r="AT14" s="223" cm="1">
        <f t="array" aca="1" ref="AT14" ca="1">IF($C14="","",
  IFERROR(
    _xlfn.LET(
      _xlpm._対象月初,EOMONTH(AT$1,-1)+1,
      _xlpm._今月初,EOMONTH(基準データ!$C$5,-1)+1,
      IF(
        _xlpm._対象月初&gt;_xlpm._今月初,
        IF(
          OR(AS14="",AS14=0),
          "",
          AS14*AT$26
        ),
        _xlfn.LET(
          _xlpm._参照先,
            "'[在庫状況把握_43期_2025-2026.xlsx]月次報告"
            &amp;TEXT(AT$1,"YYMM")
            &amp;"'!",
          _xlpm._戻り範囲,
            IF(
              _xlpm._対象月初=_xlpm._今月初,
              "$AG$1:$AG$300",
              "$G$1:$G$300"
            ),
          _xlfn.XLOOKUP(
            $C14,
            INDIRECT(_xlpm._参照先&amp;"$C$1:$C$300"),
            INDIRECT(_xlpm._参照先&amp;_xlpm._戻り範囲)
          )
        )
      )
    ),
    ""
  )
)</f>
        <v>502.50870686252574</v>
      </c>
      <c r="AU14" s="223" cm="1">
        <f t="array" aca="1" ref="AU14" ca="1">IF($C14="","",
  IFERROR(
    _xlfn.LET(
      _xlpm._対象月初,EOMONTH(AU$1,-1)+1,
      _xlpm._今月初,EOMONTH(基準データ!$C$5,-1)+1,
      IF(
        _xlpm._対象月初&gt;_xlpm._今月初,
        IF(
          OR(AT14="",AT14=0),
          "",
          AT14*AU$26
        ),
        _xlfn.LET(
          _xlpm._参照先,
            "'[在庫状況把握_43期_2025-2026.xlsx]月次報告"
            &amp;TEXT(AU$1,"YYMM")
            &amp;"'!",
          _xlpm._戻り範囲,
            IF(
              _xlpm._対象月初=_xlpm._今月初,
              "$AG$1:$AG$300",
              "$G$1:$G$300"
            ),
          _xlfn.XLOOKUP(
            $C14,
            INDIRECT(_xlpm._参照先&amp;"$C$1:$C$300"),
            INDIRECT(_xlpm._参照先&amp;_xlpm._戻り範囲)
          )
        )
      )
    ),
    ""
  )
)</f>
        <v>723.00840476648636</v>
      </c>
      <c r="AV14" s="223" cm="1">
        <f t="array" aca="1" ref="AV14" ca="1">IF($C14="","",
  IFERROR(
    _xlfn.LET(
      _xlpm._対象月初,EOMONTH(AV$1,-1)+1,
      _xlpm._今月初,EOMONTH(基準データ!$C$5,-1)+1,
      IF(
        _xlpm._対象月初&gt;_xlpm._今月初,
        IF(
          OR(AU14="",AU14=0),
          "",
          AU14*AV$26
        ),
        _xlfn.LET(
          _xlpm._参照先,
            "'[在庫状況把握_43期_2025-2026.xlsx]月次報告"
            &amp;TEXT(AV$1,"YYMM")
            &amp;"'!",
          _xlpm._戻り範囲,
            IF(
              _xlpm._対象月初=_xlpm._今月初,
              "$AG$1:$AG$300",
              "$G$1:$G$300"
            ),
          _xlfn.XLOOKUP(
            $C14,
            INDIRECT(_xlpm._参照先&amp;"$C$1:$C$300"),
            INDIRECT(_xlpm._参照先&amp;_xlpm._戻り範囲)
          )
        )
      )
    ),
    ""
  )
)</f>
        <v>556.54172566007844</v>
      </c>
      <c r="AW14" s="223" cm="1">
        <f t="array" aca="1" ref="AW14" ca="1">IF($C14="","",
  IFERROR(
    _xlfn.LET(
      _xlpm._対象月初,EOMONTH(AW$1,-1)+1,
      _xlpm._今月初,EOMONTH(基準データ!$C$5,-1)+1,
      IF(
        _xlpm._対象月初&gt;_xlpm._今月初,
        IF(
          OR(AV14="",AV14=0),
          "",
          AV14*AW$26
        ),
        _xlfn.LET(
          _xlpm._参照先,
            "'[在庫状況把握_43期_2025-2026.xlsx]月次報告"
            &amp;TEXT(AW$1,"YYMM")
            &amp;"'!",
          _xlpm._戻り範囲,
            IF(
              _xlpm._対象月初=_xlpm._今月初,
              "$AG$1:$AG$300",
              "$G$1:$G$300"
            ),
          _xlfn.XLOOKUP(
            $C14,
            INDIRECT(_xlpm._参照先&amp;"$C$1:$C$300"),
            INDIRECT(_xlpm._参照先&amp;_xlpm._戻り範囲)
          )
        )
      )
    ),
    ""
  )
)</f>
        <v>444.29725438211631</v>
      </c>
      <c r="AX14" s="223" cm="1">
        <f t="array" aca="1" ref="AX14" ca="1">IF($C14="","",
  IFERROR(
    _xlfn.LET(
      _xlpm._対象月初,EOMONTH(AX$1,-1)+1,
      _xlpm._今月初,EOMONTH(基準データ!$C$5,-1)+1,
      IF(
        _xlpm._対象月初&gt;_xlpm._今月初,
        IF(
          OR(AW14="",AW14=0),
          "",
          AW14*AX$26
        ),
        _xlfn.LET(
          _xlpm._参照先,
            "'[在庫状況把握_43期_2025-2026.xlsx]月次報告"
            &amp;TEXT(AX$1,"YYMM")
            &amp;"'!",
          _xlpm._戻り範囲,
            IF(
              _xlpm._対象月初=_xlpm._今月初,
              "$AG$1:$AG$300",
              "$G$1:$G$300"
            ),
          _xlfn.XLOOKUP(
            $C14,
            INDIRECT(_xlpm._参照先&amp;"$C$1:$C$300"),
            INDIRECT(_xlpm._参照先&amp;_xlpm._戻り範囲)
          )
        )
      )
    ),
    ""
  )
)</f>
        <v>514.10047690992883</v>
      </c>
      <c r="AY14" s="223" cm="1">
        <f t="array" aca="1" ref="AY14" ca="1">IF($C14="","",
  IFERROR(
    _xlfn.LET(
      _xlpm._対象月初,EOMONTH(AY$1,-1)+1,
      _xlpm._今月初,EOMONTH(基準データ!$C$5,-1)+1,
      IF(
        _xlpm._対象月初&gt;_xlpm._今月初,
        IF(
          OR(AX14="",AX14=0),
          "",
          AX14*AY$26
        ),
        _xlfn.LET(
          _xlpm._参照先,
            "'[在庫状況把握_43期_2025-2026.xlsx]月次報告"
            &amp;TEXT(AY$1,"YYMM")
            &amp;"'!",
          _xlpm._戻り範囲,
            IF(
              _xlpm._対象月初=_xlpm._今月初,
              "$AG$1:$AG$300",
              "$G$1:$G$300"
            ),
          _xlfn.XLOOKUP(
            $C14,
            INDIRECT(_xlpm._参照先&amp;"$C$1:$C$300"),
            INDIRECT(_xlpm._参照先&amp;_xlpm._戻り範囲)
          )
        )
      )
    ),
    ""
  )
)</f>
        <v>652.10714285714278</v>
      </c>
      <c r="AZ14" s="223" cm="1">
        <f t="array" aca="1" ref="AZ14" ca="1">IF($C14="","",
  IFERROR(
    _xlfn.LET(
      _xlpm._対象月初,EOMONTH(AZ$1,-1)+1,
      _xlpm._今月初,EOMONTH(基準データ!$C$5,-1)+1,
      IF(
        _xlpm._対象月初&gt;_xlpm._今月初,
        IF(
          OR(AY14="",AY14=0),
          "",
          AY14*AZ$26
        ),
        _xlfn.LET(
          _xlpm._参照先,
            "'[在庫状況把握_43期_2025-2026.xlsx]月次報告"
            &amp;TEXT(AZ$1,"YYMM")
            &amp;"'!",
          _xlpm._戻り範囲,
            IF(
              _xlpm._対象月初=_xlpm._今月初,
              "$AG$1:$AG$300",
              "$G$1:$G$300"
            ),
          _xlfn.XLOOKUP(
            $C14,
            INDIRECT(_xlpm._参照先&amp;"$C$1:$C$300"),
            INDIRECT(_xlpm._参照先&amp;_xlpm._戻り範囲)
          )
        )
      )
    ),
    ""
  )
)</f>
        <v>532.95804381957919</v>
      </c>
      <c r="BA14" s="223" cm="1">
        <f t="array" aca="1" ref="BA14" ca="1">IF($C14="","",
  IFERROR(
    _xlfn.LET(
      _xlpm._対象月初,EOMONTH(BA$1,-1)+1,
      _xlpm._今月初,EOMONTH(基準データ!$C$5,-1)+1,
      IF(
        _xlpm._対象月初&gt;_xlpm._今月初,
        IF(
          OR(AZ14="",AZ14=0),
          "",
          AZ14*BA$26
        ),
        _xlfn.LET(
          _xlpm._参照先,
            "'[在庫状況把握_43期_2025-2026.xlsx]月次報告"
            &amp;TEXT(BA$1,"YYMM")
            &amp;"'!",
          _xlpm._戻り範囲,
            IF(
              _xlpm._対象月初=_xlpm._今月初,
              "$AG$1:$AG$300",
              "$G$1:$G$300"
            ),
          _xlfn.XLOOKUP(
            $C14,
            INDIRECT(_xlpm._参照先&amp;"$C$1:$C$300"),
            INDIRECT(_xlpm._参照先&amp;_xlpm._戻り範囲)
          )
        )
      )
    ),
    ""
  )
)</f>
        <v>429.69454945146754</v>
      </c>
      <c r="BB14" s="223" cm="1">
        <f t="array" aca="1" ref="BB14" ca="1">IF($C14="","",
  IFERROR(
    _xlfn.LET(
      _xlpm._対象月初,EOMONTH(BB$1,-1)+1,
      _xlpm._今月初,EOMONTH(基準データ!$C$5,-1)+1,
      IF(
        _xlpm._対象月初&gt;_xlpm._今月初,
        IF(
          OR(BA14="",BA14=0),
          "",
          BA14*BB$26
        ),
        _xlfn.LET(
          _xlpm._参照先,
            "'[在庫状況把握_43期_2025-2026.xlsx]月次報告"
            &amp;TEXT(BB$1,"YYMM")
            &amp;"'!",
          _xlpm._戻り範囲,
            IF(
              _xlpm._対象月初=_xlpm._今月初,
              "$AG$1:$AG$300",
              "$G$1:$G$300"
            ),
          _xlfn.XLOOKUP(
            $C14,
            INDIRECT(_xlpm._参照先&amp;"$C$1:$C$300"),
            INDIRECT(_xlpm._参照先&amp;_xlpm._戻り範囲)
          )
        )
      )
    ),
    ""
  )
)</f>
        <v>373.59136641866849</v>
      </c>
      <c r="BC14" s="223" cm="1">
        <f t="array" aca="1" ref="BC14" ca="1">IF($C14="","",
  IFERROR(
    _xlfn.LET(
      _xlpm._対象月初,EOMONTH(BC$1,-1)+1,
      _xlpm._今月初,EOMONTH(基準データ!$C$5,-1)+1,
      IF(
        _xlpm._対象月初&gt;_xlpm._今月初,
        IF(
          OR(BB14="",BB14=0),
          "",
          BB14*BC$26
        ),
        _xlfn.LET(
          _xlpm._参照先,
            "'[在庫状況把握_43期_2025-2026.xlsx]月次報告"
            &amp;TEXT(BC$1,"YYMM")
            &amp;"'!",
          _xlpm._戻り範囲,
            IF(
              _xlpm._対象月初=_xlpm._今月初,
              "$AG$1:$AG$300",
              "$G$1:$G$300"
            ),
          _xlfn.XLOOKUP(
            $C14,
            INDIRECT(_xlpm._参照先&amp;"$C$1:$C$300"),
            INDIRECT(_xlpm._参照先&amp;_xlpm._戻り範囲)
          )
        )
      )
    ),
    ""
  )
)</f>
        <v>424.57824119195112</v>
      </c>
      <c r="BD14" s="223" cm="1">
        <f t="array" aca="1" ref="BD14" ca="1">IF($C14="","",
  IFERROR(
    _xlfn.LET(
      _xlpm._対象月初,EOMONTH(BD$1,-1)+1,
      _xlpm._今月初,EOMONTH(基準データ!$C$5,-1)+1,
      IF(
        _xlpm._対象月初&gt;_xlpm._今月初,
        IF(
          OR(BC14="",BC14=0),
          "",
          BC14*BD$26
        ),
        _xlfn.LET(
          _xlpm._参照先,
            "'[在庫状況把握_43期_2025-2026.xlsx]月次報告"
            &amp;TEXT(BD$1,"YYMM")
            &amp;"'!",
          _xlpm._戻り範囲,
            IF(
              _xlpm._対象月初=_xlpm._今月初,
              "$AG$1:$AG$300",
              "$G$1:$G$300"
            ),
          _xlfn.XLOOKUP(
            $C14,
            INDIRECT(_xlpm._参照先&amp;"$C$1:$C$300"),
            INDIRECT(_xlpm._参照先&amp;_xlpm._戻り範囲)
          )
        )
      )
    ),
    ""
  )
)</f>
        <v>667.57641481456949</v>
      </c>
    </row>
    <row r="15" spans="1:56">
      <c r="A15" s="1127" t="s">
        <v>1633</v>
      </c>
      <c r="B15" s="26" t="str">
        <v>UNW-2-14650HX-5060-L6-DDR5-15.3</v>
      </c>
      <c r="C15" s="25" t="s">
        <v>306</v>
      </c>
      <c r="D15" s="26" t="s">
        <v>1351</v>
      </c>
      <c r="E15" s="24" t="s">
        <v>1352</v>
      </c>
      <c r="F15" s="24" t="s">
        <v>1347</v>
      </c>
      <c r="G15" s="38">
        <v>1355</v>
      </c>
      <c r="H15" s="109" cm="1">
        <f t="array" aca="1" ref="H15" ca="1">_xlfn.LET(_xlpm._来月から4ヶ月計画合計,
  SUM(
    OFFSET($A15,0,
      MATCH(
        EDATE(基準データ!$C$5,3),$A$1:$BF$1,1
      )-3,1,4)),
_xlpm._今月計画数,
INDEX($A$1:$BE$223,
  ROW(),
  MATCH(EOMONTH(基準データ!$C$5,-1)+1,$A$1:$BE$1,0)
),
  IFERROR(IF($B15="","",_xlpm._来月から4ヶ月計画合計+_xlpm._今月計画数/2),""
)
)</f>
        <v>0</v>
      </c>
      <c r="I15" s="38"/>
      <c r="J15" s="38"/>
      <c r="K15" s="38"/>
      <c r="L15" s="38"/>
      <c r="M15" s="38"/>
      <c r="N15" s="38"/>
      <c r="O15" s="38"/>
      <c r="P15" s="38"/>
      <c r="Q15" s="219"/>
      <c r="R15" s="219"/>
      <c r="S15" s="219"/>
      <c r="T15" s="298"/>
      <c r="U15" s="299"/>
      <c r="V15" s="224"/>
      <c r="W15" s="467"/>
      <c r="X15" s="508"/>
      <c r="Y15" s="219">
        <v>27</v>
      </c>
      <c r="Z15" s="219">
        <v>139</v>
      </c>
      <c r="AA15" s="508">
        <v>160</v>
      </c>
      <c r="AB15" s="508">
        <v>85</v>
      </c>
      <c r="AC15" s="241">
        <v>40</v>
      </c>
      <c r="AD15" s="241" t="s">
        <v>21</v>
      </c>
      <c r="AE15" s="223" t="s">
        <v>21</v>
      </c>
      <c r="AF15" s="223" t="s">
        <v>21</v>
      </c>
      <c r="AG15" s="223" t="s">
        <v>21</v>
      </c>
      <c r="AH15" s="223" t="s">
        <v>21</v>
      </c>
      <c r="AI15" s="223" t="s">
        <v>21</v>
      </c>
      <c r="AJ15" s="223">
        <v>0</v>
      </c>
      <c r="AK15" s="223">
        <v>0</v>
      </c>
      <c r="AL15" s="223" cm="1">
        <f t="array" aca="1" ref="AL15" ca="1">IF($C15="","",
  IFERROR(
    _xlfn.LET(
      _xlpm._対象月初,EOMONTH(AL$1,-1)+1,
      _xlpm._今月初,EOMONTH(基準データ!$C$5,-1)+1,
      IF(
        _xlpm._対象月初&gt;_xlpm._今月初,
        IF(
          OR(AK15="",AK15=0),
          "",
          AK15*AL$26
        ),
        _xlfn.LET(
          _xlpm._参照先,
            "'[在庫状況把握_43期_2025-2026.xlsx]月次報告"
            &amp;TEXT(AL$1,"YYMM")
            &amp;"'!",
          _xlpm._戻り範囲,
            IF(
              _xlpm._対象月初=_xlpm._今月初,
              "$AG$1:$AG$300",
              "$G$1:$G$300"
            ),
          _xlfn.XLOOKUP(
            $C15,
            INDIRECT(_xlpm._参照先&amp;"$C$1:$C$300"),
            INDIRECT(_xlpm._参照先&amp;_xlpm._戻り範囲)
          )
        )
      )
    ),
    ""
  )
)</f>
        <v>0</v>
      </c>
      <c r="AM15" s="223" cm="1">
        <f t="array" aca="1" ref="AM15" ca="1">IF($C15="","",
  IFERROR(
    _xlfn.LET(
      _xlpm._対象月初,EOMONTH(AM$1,-1)+1,
      _xlpm._今月初,EOMONTH(基準データ!$C$5,-1)+1,
      IF(
        _xlpm._対象月初&gt;_xlpm._今月初,
        IF(
          OR(AL15="",AL15=0),
          "",
          AL15*AM$26
        ),
        _xlfn.LET(
          _xlpm._参照先,
            "'[在庫状況把握_43期_2025-2026.xlsx]月次報告"
            &amp;TEXT(AM$1,"YYMM")
            &amp;"'!",
          _xlpm._戻り範囲,
            IF(
              _xlpm._対象月初=_xlpm._今月初,
              "$AG$1:$AG$300",
              "$G$1:$G$300"
            ),
          _xlfn.XLOOKUP(
            $C15,
            INDIRECT(_xlpm._参照先&amp;"$C$1:$C$300"),
            INDIRECT(_xlpm._参照先&amp;_xlpm._戻り範囲)
          )
        )
      )
    ),
    ""
  )
)</f>
        <v>0</v>
      </c>
      <c r="AN15" s="223" t="str" cm="1">
        <f t="array" aca="1" ref="AN15" ca="1">IF($C15="","",
  IFERROR(
    _xlfn.LET(
      _xlpm._対象月初,EOMONTH(AN$1,-1)+1,
      _xlpm._今月初,EOMONTH(基準データ!$C$5,-1)+1,
      IF(
        _xlpm._対象月初&gt;_xlpm._今月初,
        IF(
          OR(AM15="",AM15=0),
          "",
          AM15*AN$26
        ),
        _xlfn.LET(
          _xlpm._参照先,
            "'[在庫状況把握_43期_2025-2026.xlsx]月次報告"
            &amp;TEXT(AN$1,"YYMM")
            &amp;"'!",
          _xlpm._戻り範囲,
            IF(
              _xlpm._対象月初=_xlpm._今月初,
              "$AG$1:$AG$300",
              "$G$1:$G$300"
            ),
          _xlfn.XLOOKUP(
            $C15,
            INDIRECT(_xlpm._参照先&amp;"$C$1:$C$300"),
            INDIRECT(_xlpm._参照先&amp;_xlpm._戻り範囲)
          )
        )
      )
    ),
    ""
  )
)</f>
        <v/>
      </c>
      <c r="AO15" s="223" t="str" cm="1">
        <f t="array" aca="1" ref="AO15" ca="1">IF($C15="","",
  IFERROR(
    _xlfn.LET(
      _xlpm._対象月初,EOMONTH(AO$1,-1)+1,
      _xlpm._今月初,EOMONTH(基準データ!$C$5,-1)+1,
      IF(
        _xlpm._対象月初&gt;_xlpm._今月初,
        IF(
          OR(AN15="",AN15=0),
          "",
          AN15*AO$26
        ),
        _xlfn.LET(
          _xlpm._参照先,
            "'[在庫状況把握_43期_2025-2026.xlsx]月次報告"
            &amp;TEXT(AO$1,"YYMM")
            &amp;"'!",
          _xlpm._戻り範囲,
            IF(
              _xlpm._対象月初=_xlpm._今月初,
              "$AG$1:$AG$300",
              "$G$1:$G$300"
            ),
          _xlfn.XLOOKUP(
            $C15,
            INDIRECT(_xlpm._参照先&amp;"$C$1:$C$300"),
            INDIRECT(_xlpm._参照先&amp;_xlpm._戻り範囲)
          )
        )
      )
    ),
    ""
  )
)</f>
        <v/>
      </c>
      <c r="AP15" s="223" t="str" cm="1">
        <f t="array" aca="1" ref="AP15" ca="1">IF($C15="","",
  IFERROR(
    _xlfn.LET(
      _xlpm._対象月初,EOMONTH(AP$1,-1)+1,
      _xlpm._今月初,EOMONTH(基準データ!$C$5,-1)+1,
      IF(
        _xlpm._対象月初&gt;_xlpm._今月初,
        IF(
          OR(AO15="",AO15=0),
          "",
          AO15*AP$26
        ),
        _xlfn.LET(
          _xlpm._参照先,
            "'[在庫状況把握_43期_2025-2026.xlsx]月次報告"
            &amp;TEXT(AP$1,"YYMM")
            &amp;"'!",
          _xlpm._戻り範囲,
            IF(
              _xlpm._対象月初=_xlpm._今月初,
              "$AG$1:$AG$300",
              "$G$1:$G$300"
            ),
          _xlfn.XLOOKUP(
            $C15,
            INDIRECT(_xlpm._参照先&amp;"$C$1:$C$300"),
            INDIRECT(_xlpm._参照先&amp;_xlpm._戻り範囲)
          )
        )
      )
    ),
    ""
  )
)</f>
        <v/>
      </c>
      <c r="AQ15" s="223" t="str" cm="1">
        <f t="array" aca="1" ref="AQ15" ca="1">IF($C15="","",
  IFERROR(
    _xlfn.LET(
      _xlpm._対象月初,EOMONTH(AQ$1,-1)+1,
      _xlpm._今月初,EOMONTH(基準データ!$C$5,-1)+1,
      IF(
        _xlpm._対象月初&gt;_xlpm._今月初,
        IF(
          OR(AP15="",AP15=0),
          "",
          AP15*AQ$26
        ),
        _xlfn.LET(
          _xlpm._参照先,
            "'[在庫状況把握_43期_2025-2026.xlsx]月次報告"
            &amp;TEXT(AQ$1,"YYMM")
            &amp;"'!",
          _xlpm._戻り範囲,
            IF(
              _xlpm._対象月初=_xlpm._今月初,
              "$AG$1:$AG$300",
              "$G$1:$G$300"
            ),
          _xlfn.XLOOKUP(
            $C15,
            INDIRECT(_xlpm._参照先&amp;"$C$1:$C$300"),
            INDIRECT(_xlpm._参照先&amp;_xlpm._戻り範囲)
          )
        )
      )
    ),
    ""
  )
)</f>
        <v/>
      </c>
      <c r="AR15" s="223" t="str" cm="1">
        <f t="array" aca="1" ref="AR15" ca="1">IF($C15="","",
  IFERROR(
    _xlfn.LET(
      _xlpm._対象月初,EOMONTH(AR$1,-1)+1,
      _xlpm._今月初,EOMONTH(基準データ!$C$5,-1)+1,
      IF(
        _xlpm._対象月初&gt;_xlpm._今月初,
        IF(
          OR(AQ15="",AQ15=0),
          "",
          AQ15*AR$26
        ),
        _xlfn.LET(
          _xlpm._参照先,
            "'[在庫状況把握_43期_2025-2026.xlsx]月次報告"
            &amp;TEXT(AR$1,"YYMM")
            &amp;"'!",
          _xlpm._戻り範囲,
            IF(
              _xlpm._対象月初=_xlpm._今月初,
              "$AG$1:$AG$300",
              "$G$1:$G$300"
            ),
          _xlfn.XLOOKUP(
            $C15,
            INDIRECT(_xlpm._参照先&amp;"$C$1:$C$300"),
            INDIRECT(_xlpm._参照先&amp;_xlpm._戻り範囲)
          )
        )
      )
    ),
    ""
  )
)</f>
        <v/>
      </c>
      <c r="AS15" s="223" t="str" cm="1">
        <f t="array" aca="1" ref="AS15" ca="1">IF($C15="","",
  IFERROR(
    _xlfn.LET(
      _xlpm._対象月初,EOMONTH(AS$1,-1)+1,
      _xlpm._今月初,EOMONTH(基準データ!$C$5,-1)+1,
      IF(
        _xlpm._対象月初&gt;_xlpm._今月初,
        IF(
          OR(AR15="",AR15=0),
          "",
          AR15*AS$26
        ),
        _xlfn.LET(
          _xlpm._参照先,
            "'[在庫状況把握_43期_2025-2026.xlsx]月次報告"
            &amp;TEXT(AS$1,"YYMM")
            &amp;"'!",
          _xlpm._戻り範囲,
            IF(
              _xlpm._対象月初=_xlpm._今月初,
              "$AG$1:$AG$300",
              "$G$1:$G$300"
            ),
          _xlfn.XLOOKUP(
            $C15,
            INDIRECT(_xlpm._参照先&amp;"$C$1:$C$300"),
            INDIRECT(_xlpm._参照先&amp;_xlpm._戻り範囲)
          )
        )
      )
    ),
    ""
  )
)</f>
        <v/>
      </c>
      <c r="AT15" s="223" t="str" cm="1">
        <f t="array" aca="1" ref="AT15" ca="1">IF($C15="","",
  IFERROR(
    _xlfn.LET(
      _xlpm._対象月初,EOMONTH(AT$1,-1)+1,
      _xlpm._今月初,EOMONTH(基準データ!$C$5,-1)+1,
      IF(
        _xlpm._対象月初&gt;_xlpm._今月初,
        IF(
          OR(AS15="",AS15=0),
          "",
          AS15*AT$26
        ),
        _xlfn.LET(
          _xlpm._参照先,
            "'[在庫状況把握_43期_2025-2026.xlsx]月次報告"
            &amp;TEXT(AT$1,"YYMM")
            &amp;"'!",
          _xlpm._戻り範囲,
            IF(
              _xlpm._対象月初=_xlpm._今月初,
              "$AG$1:$AG$300",
              "$G$1:$G$300"
            ),
          _xlfn.XLOOKUP(
            $C15,
            INDIRECT(_xlpm._参照先&amp;"$C$1:$C$300"),
            INDIRECT(_xlpm._参照先&amp;_xlpm._戻り範囲)
          )
        )
      )
    ),
    ""
  )
)</f>
        <v/>
      </c>
      <c r="AU15" s="223" t="str" cm="1">
        <f t="array" aca="1" ref="AU15" ca="1">IF($C15="","",
  IFERROR(
    _xlfn.LET(
      _xlpm._対象月初,EOMONTH(AU$1,-1)+1,
      _xlpm._今月初,EOMONTH(基準データ!$C$5,-1)+1,
      IF(
        _xlpm._対象月初&gt;_xlpm._今月初,
        IF(
          OR(AT15="",AT15=0),
          "",
          AT15*AU$26
        ),
        _xlfn.LET(
          _xlpm._参照先,
            "'[在庫状況把握_43期_2025-2026.xlsx]月次報告"
            &amp;TEXT(AU$1,"YYMM")
            &amp;"'!",
          _xlpm._戻り範囲,
            IF(
              _xlpm._対象月初=_xlpm._今月初,
              "$AG$1:$AG$300",
              "$G$1:$G$300"
            ),
          _xlfn.XLOOKUP(
            $C15,
            INDIRECT(_xlpm._参照先&amp;"$C$1:$C$300"),
            INDIRECT(_xlpm._参照先&amp;_xlpm._戻り範囲)
          )
        )
      )
    ),
    ""
  )
)</f>
        <v/>
      </c>
      <c r="AV15" s="223" t="str" cm="1">
        <f t="array" aca="1" ref="AV15" ca="1">IF($C15="","",
  IFERROR(
    _xlfn.LET(
      _xlpm._対象月初,EOMONTH(AV$1,-1)+1,
      _xlpm._今月初,EOMONTH(基準データ!$C$5,-1)+1,
      IF(
        _xlpm._対象月初&gt;_xlpm._今月初,
        IF(
          OR(AU15="",AU15=0),
          "",
          AU15*AV$26
        ),
        _xlfn.LET(
          _xlpm._参照先,
            "'[在庫状況把握_43期_2025-2026.xlsx]月次報告"
            &amp;TEXT(AV$1,"YYMM")
            &amp;"'!",
          _xlpm._戻り範囲,
            IF(
              _xlpm._対象月初=_xlpm._今月初,
              "$AG$1:$AG$300",
              "$G$1:$G$300"
            ),
          _xlfn.XLOOKUP(
            $C15,
            INDIRECT(_xlpm._参照先&amp;"$C$1:$C$300"),
            INDIRECT(_xlpm._参照先&amp;_xlpm._戻り範囲)
          )
        )
      )
    ),
    ""
  )
)</f>
        <v/>
      </c>
      <c r="AW15" s="223" t="str" cm="1">
        <f t="array" aca="1" ref="AW15" ca="1">IF($C15="","",
  IFERROR(
    _xlfn.LET(
      _xlpm._対象月初,EOMONTH(AW$1,-1)+1,
      _xlpm._今月初,EOMONTH(基準データ!$C$5,-1)+1,
      IF(
        _xlpm._対象月初&gt;_xlpm._今月初,
        IF(
          OR(AV15="",AV15=0),
          "",
          AV15*AW$26
        ),
        _xlfn.LET(
          _xlpm._参照先,
            "'[在庫状況把握_43期_2025-2026.xlsx]月次報告"
            &amp;TEXT(AW$1,"YYMM")
            &amp;"'!",
          _xlpm._戻り範囲,
            IF(
              _xlpm._対象月初=_xlpm._今月初,
              "$AG$1:$AG$300",
              "$G$1:$G$300"
            ),
          _xlfn.XLOOKUP(
            $C15,
            INDIRECT(_xlpm._参照先&amp;"$C$1:$C$300"),
            INDIRECT(_xlpm._参照先&amp;_xlpm._戻り範囲)
          )
        )
      )
    ),
    ""
  )
)</f>
        <v/>
      </c>
      <c r="AX15" s="223" t="str" cm="1">
        <f t="array" aca="1" ref="AX15" ca="1">IF($C15="","",
  IFERROR(
    _xlfn.LET(
      _xlpm._対象月初,EOMONTH(AX$1,-1)+1,
      _xlpm._今月初,EOMONTH(基準データ!$C$5,-1)+1,
      IF(
        _xlpm._対象月初&gt;_xlpm._今月初,
        IF(
          OR(AW15="",AW15=0),
          "",
          AW15*AX$26
        ),
        _xlfn.LET(
          _xlpm._参照先,
            "'[在庫状況把握_43期_2025-2026.xlsx]月次報告"
            &amp;TEXT(AX$1,"YYMM")
            &amp;"'!",
          _xlpm._戻り範囲,
            IF(
              _xlpm._対象月初=_xlpm._今月初,
              "$AG$1:$AG$300",
              "$G$1:$G$300"
            ),
          _xlfn.XLOOKUP(
            $C15,
            INDIRECT(_xlpm._参照先&amp;"$C$1:$C$300"),
            INDIRECT(_xlpm._参照先&amp;_xlpm._戻り範囲)
          )
        )
      )
    ),
    ""
  )
)</f>
        <v/>
      </c>
      <c r="AY15" s="223" t="str" cm="1">
        <f t="array" aca="1" ref="AY15" ca="1">IF($C15="","",
  IFERROR(
    _xlfn.LET(
      _xlpm._対象月初,EOMONTH(AY$1,-1)+1,
      _xlpm._今月初,EOMONTH(基準データ!$C$5,-1)+1,
      IF(
        _xlpm._対象月初&gt;_xlpm._今月初,
        IF(
          OR(AX15="",AX15=0),
          "",
          AX15*AY$26
        ),
        _xlfn.LET(
          _xlpm._参照先,
            "'[在庫状況把握_43期_2025-2026.xlsx]月次報告"
            &amp;TEXT(AY$1,"YYMM")
            &amp;"'!",
          _xlpm._戻り範囲,
            IF(
              _xlpm._対象月初=_xlpm._今月初,
              "$AG$1:$AG$300",
              "$G$1:$G$300"
            ),
          _xlfn.XLOOKUP(
            $C15,
            INDIRECT(_xlpm._参照先&amp;"$C$1:$C$300"),
            INDIRECT(_xlpm._参照先&amp;_xlpm._戻り範囲)
          )
        )
      )
    ),
    ""
  )
)</f>
        <v/>
      </c>
      <c r="AZ15" s="223" t="str" cm="1">
        <f t="array" aca="1" ref="AZ15" ca="1">IF($C15="","",
  IFERROR(
    _xlfn.LET(
      _xlpm._対象月初,EOMONTH(AZ$1,-1)+1,
      _xlpm._今月初,EOMONTH(基準データ!$C$5,-1)+1,
      IF(
        _xlpm._対象月初&gt;_xlpm._今月初,
        IF(
          OR(AY15="",AY15=0),
          "",
          AY15*AZ$26
        ),
        _xlfn.LET(
          _xlpm._参照先,
            "'[在庫状況把握_43期_2025-2026.xlsx]月次報告"
            &amp;TEXT(AZ$1,"YYMM")
            &amp;"'!",
          _xlpm._戻り範囲,
            IF(
              _xlpm._対象月初=_xlpm._今月初,
              "$AG$1:$AG$300",
              "$G$1:$G$300"
            ),
          _xlfn.XLOOKUP(
            $C15,
            INDIRECT(_xlpm._参照先&amp;"$C$1:$C$300"),
            INDIRECT(_xlpm._参照先&amp;_xlpm._戻り範囲)
          )
        )
      )
    ),
    ""
  )
)</f>
        <v/>
      </c>
      <c r="BA15" s="223" t="str" cm="1">
        <f t="array" aca="1" ref="BA15" ca="1">IF($C15="","",
  IFERROR(
    _xlfn.LET(
      _xlpm._対象月初,EOMONTH(BA$1,-1)+1,
      _xlpm._今月初,EOMONTH(基準データ!$C$5,-1)+1,
      IF(
        _xlpm._対象月初&gt;_xlpm._今月初,
        IF(
          OR(AZ15="",AZ15=0),
          "",
          AZ15*BA$26
        ),
        _xlfn.LET(
          _xlpm._参照先,
            "'[在庫状況把握_43期_2025-2026.xlsx]月次報告"
            &amp;TEXT(BA$1,"YYMM")
            &amp;"'!",
          _xlpm._戻り範囲,
            IF(
              _xlpm._対象月初=_xlpm._今月初,
              "$AG$1:$AG$300",
              "$G$1:$G$300"
            ),
          _xlfn.XLOOKUP(
            $C15,
            INDIRECT(_xlpm._参照先&amp;"$C$1:$C$300"),
            INDIRECT(_xlpm._参照先&amp;_xlpm._戻り範囲)
          )
        )
      )
    ),
    ""
  )
)</f>
        <v/>
      </c>
      <c r="BB15" s="223" t="str" cm="1">
        <f t="array" aca="1" ref="BB15" ca="1">IF($C15="","",
  IFERROR(
    _xlfn.LET(
      _xlpm._対象月初,EOMONTH(BB$1,-1)+1,
      _xlpm._今月初,EOMONTH(基準データ!$C$5,-1)+1,
      IF(
        _xlpm._対象月初&gt;_xlpm._今月初,
        IF(
          OR(BA15="",BA15=0),
          "",
          BA15*BB$26
        ),
        _xlfn.LET(
          _xlpm._参照先,
            "'[在庫状況把握_43期_2025-2026.xlsx]月次報告"
            &amp;TEXT(BB$1,"YYMM")
            &amp;"'!",
          _xlpm._戻り範囲,
            IF(
              _xlpm._対象月初=_xlpm._今月初,
              "$AG$1:$AG$300",
              "$G$1:$G$300"
            ),
          _xlfn.XLOOKUP(
            $C15,
            INDIRECT(_xlpm._参照先&amp;"$C$1:$C$300"),
            INDIRECT(_xlpm._参照先&amp;_xlpm._戻り範囲)
          )
        )
      )
    ),
    ""
  )
)</f>
        <v/>
      </c>
      <c r="BC15" s="223" t="str" cm="1">
        <f t="array" aca="1" ref="BC15" ca="1">IF($C15="","",
  IFERROR(
    _xlfn.LET(
      _xlpm._対象月初,EOMONTH(BC$1,-1)+1,
      _xlpm._今月初,EOMONTH(基準データ!$C$5,-1)+1,
      IF(
        _xlpm._対象月初&gt;_xlpm._今月初,
        IF(
          OR(BB15="",BB15=0),
          "",
          BB15*BC$26
        ),
        _xlfn.LET(
          _xlpm._参照先,
            "'[在庫状況把握_43期_2025-2026.xlsx]月次報告"
            &amp;TEXT(BC$1,"YYMM")
            &amp;"'!",
          _xlpm._戻り範囲,
            IF(
              _xlpm._対象月初=_xlpm._今月初,
              "$AG$1:$AG$300",
              "$G$1:$G$300"
            ),
          _xlfn.XLOOKUP(
            $C15,
            INDIRECT(_xlpm._参照先&amp;"$C$1:$C$300"),
            INDIRECT(_xlpm._参照先&amp;_xlpm._戻り範囲)
          )
        )
      )
    ),
    ""
  )
)</f>
        <v/>
      </c>
      <c r="BD15" s="223" t="str" cm="1">
        <f t="array" aca="1" ref="BD15" ca="1">IF($C15="","",
  IFERROR(
    _xlfn.LET(
      _xlpm._対象月初,EOMONTH(BD$1,-1)+1,
      _xlpm._今月初,EOMONTH(基準データ!$C$5,-1)+1,
      IF(
        _xlpm._対象月初&gt;_xlpm._今月初,
        IF(
          OR(BC15="",BC15=0),
          "",
          BC15*BD$26
        ),
        _xlfn.LET(
          _xlpm._参照先,
            "'[在庫状況把握_43期_2025-2026.xlsx]月次報告"
            &amp;TEXT(BD$1,"YYMM")
            &amp;"'!",
          _xlpm._戻り範囲,
            IF(
              _xlpm._対象月初=_xlpm._今月初,
              "$AG$1:$AG$300",
              "$G$1:$G$300"
            ),
          _xlfn.XLOOKUP(
            $C15,
            INDIRECT(_xlpm._参照先&amp;"$C$1:$C$300"),
            INDIRECT(_xlpm._参照先&amp;_xlpm._戻り範囲)
          )
        )
      )
    ),
    ""
  )
)</f>
        <v/>
      </c>
    </row>
    <row r="16" spans="1:56">
      <c r="A16" s="1060" t="s">
        <v>1633</v>
      </c>
      <c r="B16" s="181" t="str">
        <v>CLE-V35-14650HX-5050-L6</v>
      </c>
      <c r="C16" s="26" t="s">
        <v>309</v>
      </c>
      <c r="D16" s="26" t="s">
        <v>1362</v>
      </c>
      <c r="E16" s="26">
        <v>5050</v>
      </c>
      <c r="F16" s="26" t="s">
        <v>1347</v>
      </c>
      <c r="G16" s="43">
        <v>702</v>
      </c>
      <c r="H16" s="109" cm="1">
        <f t="array" aca="1" ref="H16" ca="1">_xlfn.LET(_xlpm._来月から4ヶ月計画合計,
  SUM(
    OFFSET($A16,0,
      MATCH(
        EDATE(基準データ!$C$5,3),$A$1:$BF$1,1
      )-3,1,4)),
_xlpm._今月計画数,
INDEX($A$1:$BE$223,
  ROW(),
  MATCH(EOMONTH(基準データ!$C$5,-1)+1,$A$1:$BE$1,0)
),
  IFERROR(IF($B16="","",_xlpm._来月から4ヶ月計画合計+_xlpm._今月計画数/2),""
)
)</f>
        <v>265.73121039604052</v>
      </c>
      <c r="I16" s="38"/>
      <c r="J16" s="38"/>
      <c r="K16" s="38"/>
      <c r="L16" s="38"/>
      <c r="M16" s="38"/>
      <c r="N16" s="38"/>
      <c r="O16" s="38"/>
      <c r="P16" s="38"/>
      <c r="Q16" s="219"/>
      <c r="R16" s="219"/>
      <c r="S16" s="219"/>
      <c r="T16" s="219"/>
      <c r="U16" s="224"/>
      <c r="V16" s="224"/>
      <c r="W16" s="468"/>
      <c r="X16" s="480"/>
      <c r="Y16" s="219"/>
      <c r="Z16" s="219">
        <v>1</v>
      </c>
      <c r="AA16" s="219">
        <v>118</v>
      </c>
      <c r="AB16" s="508">
        <v>268</v>
      </c>
      <c r="AC16" s="241">
        <v>304</v>
      </c>
      <c r="AD16" s="241">
        <v>289</v>
      </c>
      <c r="AE16" s="223">
        <v>199</v>
      </c>
      <c r="AF16" s="223">
        <v>429</v>
      </c>
      <c r="AG16" s="223">
        <v>191</v>
      </c>
      <c r="AH16" s="223">
        <v>189</v>
      </c>
      <c r="AI16" s="223">
        <v>254</v>
      </c>
      <c r="AJ16" s="223">
        <v>147</v>
      </c>
      <c r="AK16" s="223">
        <v>87</v>
      </c>
      <c r="AL16" s="223" cm="1">
        <f t="array" aca="1" ref="AL16" ca="1">IF($C16="","",
  IFERROR(
    _xlfn.LET(
      _xlpm._対象月初,EOMONTH(AL$1,-1)+1,
      _xlpm._今月初,EOMONTH(基準データ!$C$5,-1)+1,
      IF(
        _xlpm._対象月初&gt;_xlpm._今月初,
        IF(
          OR(AK16="",AK16=0),
          "",
          AK16*AL$26
        ),
        _xlfn.LET(
          _xlpm._参照先,
            "'[在庫状況把握_43期_2025-2026.xlsx]月次報告"
            &amp;TEXT(AL$1,"YYMM")
            &amp;"'!",
          _xlpm._戻り範囲,
            IF(
              _xlpm._対象月初=_xlpm._今月初,
              "$AG$1:$AG$300",
              "$G$1:$G$300"
            ),
          _xlfn.XLOOKUP(
            $C16,
            INDIRECT(_xlpm._参照先&amp;"$C$1:$C$300"),
            INDIRECT(_xlpm._参照先&amp;_xlpm._戻り範囲)
          )
        )
      )
    ),
    ""
  )
)</f>
        <v>93</v>
      </c>
      <c r="AM16" s="223" cm="1">
        <f t="array" aca="1" ref="AM16" ca="1">IF($C16="","",
  IFERROR(
    _xlfn.LET(
      _xlpm._対象月初,EOMONTH(AM$1,-1)+1,
      _xlpm._今月初,EOMONTH(基準データ!$C$5,-1)+1,
      IF(
        _xlpm._対象月初&gt;_xlpm._今月初,
        IF(
          OR(AL16="",AL16=0),
          "",
          AL16*AM$26
        ),
        _xlfn.LET(
          _xlpm._参照先,
            "'[在庫状況把握_43期_2025-2026.xlsx]月次報告"
            &amp;TEXT(AM$1,"YYMM")
            &amp;"'!",
          _xlpm._戻り範囲,
            IF(
              _xlpm._対象月初=_xlpm._今月初,
              "$AG$1:$AG$300",
              "$G$1:$G$300"
            ),
          _xlfn.XLOOKUP(
            $C16,
            INDIRECT(_xlpm._参照先&amp;"$C$1:$C$300"),
            INDIRECT(_xlpm._参照先&amp;_xlpm._戻り範囲)
          )
        )
      )
    ),
    ""
  )
)</f>
        <v>83.035714285714278</v>
      </c>
      <c r="AN16" s="223" cm="1">
        <f t="array" aca="1" ref="AN16" ca="1">IF($C16="","",
  IFERROR(
    _xlfn.LET(
      _xlpm._対象月初,EOMONTH(AN$1,-1)+1,
      _xlpm._今月初,EOMONTH(基準データ!$C$5,-1)+1,
      IF(
        _xlpm._対象月初&gt;_xlpm._今月初,
        IF(
          OR(AM16="",AM16=0),
          "",
          AM16*AN$26
        ),
        _xlfn.LET(
          _xlpm._参照先,
            "'[在庫状況把握_43期_2025-2026.xlsx]月次報告"
            &amp;TEXT(AN$1,"YYMM")
            &amp;"'!",
          _xlpm._戻り範囲,
            IF(
              _xlpm._対象月初=_xlpm._今月初,
              "$AG$1:$AG$300",
              "$G$1:$G$300"
            ),
          _xlfn.XLOOKUP(
            $C16,
            INDIRECT(_xlpm._参照先&amp;"$C$1:$C$300"),
            INDIRECT(_xlpm._参照先&amp;_xlpm._戻り範囲)
          )
        )
      )
    ),
    ""
  )
)</f>
        <v>67.863927481270707</v>
      </c>
      <c r="AO16" s="223" cm="1">
        <f t="array" aca="1" ref="AO16" ca="1">IF($C16="","",
  IFERROR(
    _xlfn.LET(
      _xlpm._対象月初,EOMONTH(AO$1,-1)+1,
      _xlpm._今月初,EOMONTH(基準データ!$C$5,-1)+1,
      IF(
        _xlpm._対象月初&gt;_xlpm._今月初,
        IF(
          OR(AN16="",AN16=0),
          "",
          AN16*AO$26
        ),
        _xlfn.LET(
          _xlpm._参照先,
            "'[在庫状況把握_43期_2025-2026.xlsx]月次報告"
            &amp;TEXT(AO$1,"YYMM")
            &amp;"'!",
          _xlpm._戻り範囲,
            IF(
              _xlpm._対象月初=_xlpm._今月初,
              "$AG$1:$AG$300",
              "$G$1:$G$300"
            ),
          _xlfn.XLOOKUP(
            $C16,
            INDIRECT(_xlpm._参照先&amp;"$C$1:$C$300"),
            INDIRECT(_xlpm._参照先&amp;_xlpm._戻り範囲)
          )
        )
      )
    ),
    ""
  )
)</f>
        <v>54.714925651714893</v>
      </c>
      <c r="AP16" s="223" cm="1">
        <f t="array" aca="1" ref="AP16" ca="1">IF($C16="","",
  IFERROR(
    _xlfn.LET(
      _xlpm._対象月初,EOMONTH(AP$1,-1)+1,
      _xlpm._今月初,EOMONTH(基準データ!$C$5,-1)+1,
      IF(
        _xlpm._対象月初&gt;_xlpm._今月初,
        IF(
          OR(AO16="",AO16=0),
          "",
          AO16*AP$26
        ),
        _xlfn.LET(
          _xlpm._参照先,
            "'[在庫状況把握_43期_2025-2026.xlsx]月次報告"
            &amp;TEXT(AP$1,"YYMM")
            &amp;"'!",
          _xlpm._戻り範囲,
            IF(
              _xlpm._対象月初=_xlpm._今月初,
              "$AG$1:$AG$300",
              "$G$1:$G$300"
            ),
          _xlfn.XLOOKUP(
            $C16,
            INDIRECT(_xlpm._参照先&amp;"$C$1:$C$300"),
            INDIRECT(_xlpm._参照先&amp;_xlpm._戻り範囲)
          )
        )
      )
    ),
    ""
  )
)</f>
        <v>47.571056844482413</v>
      </c>
      <c r="AQ16" s="223" cm="1">
        <f t="array" aca="1" ref="AQ16" ca="1">IF($C16="","",
  IFERROR(
    _xlfn.LET(
      _xlpm._対象月初,EOMONTH(AQ$1,-1)+1,
      _xlpm._今月初,EOMONTH(基準データ!$C$5,-1)+1,
      IF(
        _xlpm._対象月初&gt;_xlpm._今月初,
        IF(
          OR(AP16="",AP16=0),
          "",
          AP16*AQ$26
        ),
        _xlfn.LET(
          _xlpm._参照先,
            "'[在庫状況把握_43期_2025-2026.xlsx]月次報告"
            &amp;TEXT(AQ$1,"YYMM")
            &amp;"'!",
          _xlpm._戻り範囲,
            IF(
              _xlpm._対象月初=_xlpm._今月初,
              "$AG$1:$AG$300",
              "$G$1:$G$300"
            ),
          _xlfn.XLOOKUP(
            $C16,
            INDIRECT(_xlpm._参照先&amp;"$C$1:$C$300"),
            INDIRECT(_xlpm._参照先&amp;_xlpm._戻り範囲)
          )
        )
      )
    ),
    ""
  )
)</f>
        <v>54.063443275715343</v>
      </c>
      <c r="AR16" s="223" cm="1">
        <f t="array" aca="1" ref="AR16" ca="1">IF($C16="","",
  IFERROR(
    _xlfn.LET(
      _xlpm._対象月初,EOMONTH(AR$1,-1)+1,
      _xlpm._今月初,EOMONTH(基準データ!$C$5,-1)+1,
      IF(
        _xlpm._対象月初&gt;_xlpm._今月初,
        IF(
          OR(AQ16="",AQ16=0),
          "",
          AQ16*AR$26
        ),
        _xlfn.LET(
          _xlpm._参照先,
            "'[在庫状況把握_43期_2025-2026.xlsx]月次報告"
            &amp;TEXT(AR$1,"YYMM")
            &amp;"'!",
          _xlpm._戻り範囲,
            IF(
              _xlpm._対象月初=_xlpm._今月初,
              "$AG$1:$AG$300",
              "$G$1:$G$300"
            ),
          _xlfn.XLOOKUP(
            $C16,
            INDIRECT(_xlpm._参照先&amp;"$C$1:$C$300"),
            INDIRECT(_xlpm._参照先&amp;_xlpm._戻り範囲)
          )
        )
      )
    ),
    ""
  )
)</f>
        <v>85.005485757373023</v>
      </c>
      <c r="AS16" s="223" cm="1">
        <f t="array" aca="1" ref="AS16" ca="1">IF($C16="","",
  IFERROR(
    _xlfn.LET(
      _xlpm._対象月初,EOMONTH(AS$1,-1)+1,
      _xlpm._今月初,EOMONTH(基準データ!$C$5,-1)+1,
      IF(
        _xlpm._対象月初&gt;_xlpm._今月初,
        IF(
          OR(AR16="",AR16=0),
          "",
          AR16*AS$26
        ),
        _xlfn.LET(
          _xlpm._参照先,
            "'[在庫状況把握_43期_2025-2026.xlsx]月次報告"
            &amp;TEXT(AS$1,"YYMM")
            &amp;"'!",
          _xlpm._戻り範囲,
            IF(
              _xlpm._対象月初=_xlpm._今月初,
              "$AG$1:$AG$300",
              "$G$1:$G$300"
            ),
          _xlfn.XLOOKUP(
            $C16,
            INDIRECT(_xlpm._参照先&amp;"$C$1:$C$300"),
            INDIRECT(_xlpm._参照先&amp;_xlpm._戻り範囲)
          )
        )
      )
    ),
    ""
  )
)</f>
        <v>71.080804201133077</v>
      </c>
      <c r="AT16" s="223" cm="1">
        <f t="array" aca="1" ref="AT16" ca="1">IF($C16="","",
  IFERROR(
    _xlfn.LET(
      _xlpm._対象月初,EOMONTH(AT$1,-1)+1,
      _xlpm._今月初,EOMONTH(基準データ!$C$5,-1)+1,
      IF(
        _xlpm._対象月初&gt;_xlpm._今月初,
        IF(
          OR(AS16="",AS16=0),
          "",
          AS16*AT$26
        ),
        _xlfn.LET(
          _xlpm._参照先,
            "'[在庫状況把握_43期_2025-2026.xlsx]月次報告"
            &amp;TEXT(AT$1,"YYMM")
            &amp;"'!",
          _xlpm._戻り範囲,
            IF(
              _xlpm._対象月初=_xlpm._今月初,
              "$AG$1:$AG$300",
              "$G$1:$G$300"
            ),
          _xlfn.XLOOKUP(
            $C16,
            INDIRECT(_xlpm._参照先&amp;"$C$1:$C$300"),
            INDIRECT(_xlpm._参照先&amp;_xlpm._戻り範囲)
          )
        )
      )
    ),
    ""
  )
)</f>
        <v>63.986677444294457</v>
      </c>
      <c r="AU16" s="223" cm="1">
        <f t="array" aca="1" ref="AU16" ca="1">IF($C16="","",
  IFERROR(
    _xlfn.LET(
      _xlpm._対象月初,EOMONTH(AU$1,-1)+1,
      _xlpm._今月初,EOMONTH(基準データ!$C$5,-1)+1,
      IF(
        _xlpm._対象月初&gt;_xlpm._今月初,
        IF(
          OR(AT16="",AT16=0),
          "",
          AT16*AU$26
        ),
        _xlfn.LET(
          _xlpm._参照先,
            "'[在庫状況把握_43期_2025-2026.xlsx]月次報告"
            &amp;TEXT(AU$1,"YYMM")
            &amp;"'!",
          _xlpm._戻り範囲,
            IF(
              _xlpm._対象月初=_xlpm._今月初,
              "$AG$1:$AG$300",
              "$G$1:$G$300"
            ),
          _xlfn.XLOOKUP(
            $C16,
            INDIRECT(_xlpm._参照先&amp;"$C$1:$C$300"),
            INDIRECT(_xlpm._参照先&amp;_xlpm._戻り範囲)
          )
        )
      )
    ),
    ""
  )
)</f>
        <v>92.063888552608645</v>
      </c>
      <c r="AV16" s="223" cm="1">
        <f t="array" aca="1" ref="AV16" ca="1">IF($C16="","",
  IFERROR(
    _xlfn.LET(
      _xlpm._対象月初,EOMONTH(AV$1,-1)+1,
      _xlpm._今月初,EOMONTH(基準データ!$C$5,-1)+1,
      IF(
        _xlpm._対象月初&gt;_xlpm._今月初,
        IF(
          OR(AU16="",AU16=0),
          "",
          AU16*AV$26
        ),
        _xlfn.LET(
          _xlpm._参照先,
            "'[在庫状況把握_43期_2025-2026.xlsx]月次報告"
            &amp;TEXT(AV$1,"YYMM")
            &amp;"'!",
          _xlpm._戻り範囲,
            IF(
              _xlpm._対象月初=_xlpm._今月初,
              "$AG$1:$AG$300",
              "$G$1:$G$300"
            ),
          _xlfn.XLOOKUP(
            $C16,
            INDIRECT(_xlpm._参照先&amp;"$C$1:$C$300"),
            INDIRECT(_xlpm._参照先&amp;_xlpm._戻り範囲)
          )
        )
      )
    ),
    ""
  )
)</f>
        <v>70.866942995765527</v>
      </c>
      <c r="AW16" s="223" cm="1">
        <f t="array" aca="1" ref="AW16" ca="1">IF($C16="","",
  IFERROR(
    _xlfn.LET(
      _xlpm._対象月初,EOMONTH(AW$1,-1)+1,
      _xlpm._今月初,EOMONTH(基準データ!$C$5,-1)+1,
      IF(
        _xlpm._対象月初&gt;_xlpm._今月初,
        IF(
          OR(AV16="",AV16=0),
          "",
          AV16*AW$26
        ),
        _xlfn.LET(
          _xlpm._参照先,
            "'[在庫状況把握_43期_2025-2026.xlsx]月次報告"
            &amp;TEXT(AW$1,"YYMM")
            &amp;"'!",
          _xlpm._戻り範囲,
            IF(
              _xlpm._対象月初=_xlpm._今月初,
              "$AG$1:$AG$300",
              "$G$1:$G$300"
            ),
          _xlfn.XLOOKUP(
            $C16,
            INDIRECT(_xlpm._参照先&amp;"$C$1:$C$300"),
            INDIRECT(_xlpm._参照先&amp;_xlpm._戻り範囲)
          )
        )
      )
    ),
    ""
  )
)</f>
        <v>56.574353274463043</v>
      </c>
      <c r="AX16" s="223" cm="1">
        <f t="array" aca="1" ref="AX16" ca="1">IF($C16="","",
  IFERROR(
    _xlfn.LET(
      _xlpm._対象月初,EOMONTH(AX$1,-1)+1,
      _xlpm._今月初,EOMONTH(基準データ!$C$5,-1)+1,
      IF(
        _xlpm._対象月初&gt;_xlpm._今月初,
        IF(
          OR(AW16="",AW16=0),
          "",
          AW16*AX$26
        ),
        _xlfn.LET(
          _xlpm._参照先,
            "'[在庫状況把握_43期_2025-2026.xlsx]月次報告"
            &amp;TEXT(AX$1,"YYMM")
            &amp;"'!",
          _xlpm._戻り範囲,
            IF(
              _xlpm._対象月初=_xlpm._今月初,
              "$AG$1:$AG$300",
              "$G$1:$G$300"
            ),
          _xlfn.XLOOKUP(
            $C16,
            INDIRECT(_xlpm._参照先&amp;"$C$1:$C$300"),
            INDIRECT(_xlpm._参照先&amp;_xlpm._戻り範囲)
          )
        )
      )
    ),
    ""
  )
)</f>
        <v>65.462709283946808</v>
      </c>
      <c r="AY16" s="223" cm="1">
        <f t="array" aca="1" ref="AY16" ca="1">IF($C16="","",
  IFERROR(
    _xlfn.LET(
      _xlpm._対象月初,EOMONTH(AY$1,-1)+1,
      _xlpm._今月初,EOMONTH(基準データ!$C$5,-1)+1,
      IF(
        _xlpm._対象月初&gt;_xlpm._今月初,
        IF(
          OR(AX16="",AX16=0),
          "",
          AX16*AY$26
        ),
        _xlfn.LET(
          _xlpm._参照先,
            "'[在庫状況把握_43期_2025-2026.xlsx]月次報告"
            &amp;TEXT(AY$1,"YYMM")
            &amp;"'!",
          _xlpm._戻り範囲,
            IF(
              _xlpm._対象月初=_xlpm._今月初,
              "$AG$1:$AG$300",
              "$G$1:$G$300"
            ),
          _xlfn.XLOOKUP(
            $C16,
            INDIRECT(_xlpm._参照先&amp;"$C$1:$C$300"),
            INDIRECT(_xlpm._参照先&amp;_xlpm._戻り範囲)
          )
        )
      )
    ),
    ""
  )
)</f>
        <v>83.035714285714292</v>
      </c>
      <c r="AZ16" s="223" cm="1">
        <f t="array" aca="1" ref="AZ16" ca="1">IF($C16="","",
  IFERROR(
    _xlfn.LET(
      _xlpm._対象月初,EOMONTH(AZ$1,-1)+1,
      _xlpm._今月初,EOMONTH(基準データ!$C$5,-1)+1,
      IF(
        _xlpm._対象月初&gt;_xlpm._今月初,
        IF(
          OR(AY16="",AY16=0),
          "",
          AY16*AZ$26
        ),
        _xlfn.LET(
          _xlpm._参照先,
            "'[在庫状況把握_43期_2025-2026.xlsx]月次報告"
            &amp;TEXT(AZ$1,"YYMM")
            &amp;"'!",
          _xlpm._戻り範囲,
            IF(
              _xlpm._対象月初=_xlpm._今月初,
              "$AG$1:$AG$300",
              "$G$1:$G$300"
            ),
          _xlfn.XLOOKUP(
            $C16,
            INDIRECT(_xlpm._参照先&amp;"$C$1:$C$300"),
            INDIRECT(_xlpm._参照先&amp;_xlpm._戻り範囲)
          )
        )
      )
    ),
    ""
  )
)</f>
        <v>67.863927481270707</v>
      </c>
      <c r="BA16" s="223" cm="1">
        <f t="array" aca="1" ref="BA16" ca="1">IF($C16="","",
  IFERROR(
    _xlfn.LET(
      _xlpm._対象月初,EOMONTH(BA$1,-1)+1,
      _xlpm._今月初,EOMONTH(基準データ!$C$5,-1)+1,
      IF(
        _xlpm._対象月初&gt;_xlpm._今月初,
        IF(
          OR(AZ16="",AZ16=0),
          "",
          AZ16*BA$26
        ),
        _xlfn.LET(
          _xlpm._参照先,
            "'[在庫状況把握_43期_2025-2026.xlsx]月次報告"
            &amp;TEXT(BA$1,"YYMM")
            &amp;"'!",
          _xlpm._戻り範囲,
            IF(
              _xlpm._対象月初=_xlpm._今月初,
              "$AG$1:$AG$300",
              "$G$1:$G$300"
            ),
          _xlfn.XLOOKUP(
            $C16,
            INDIRECT(_xlpm._参照先&amp;"$C$1:$C$300"),
            INDIRECT(_xlpm._参照先&amp;_xlpm._戻り範囲)
          )
        )
      )
    ),
    ""
  )
)</f>
        <v>54.714925651714893</v>
      </c>
      <c r="BB16" s="223" cm="1">
        <f t="array" aca="1" ref="BB16" ca="1">IF($C16="","",
  IFERROR(
    _xlfn.LET(
      _xlpm._対象月初,EOMONTH(BB$1,-1)+1,
      _xlpm._今月初,EOMONTH(基準データ!$C$5,-1)+1,
      IF(
        _xlpm._対象月初&gt;_xlpm._今月初,
        IF(
          OR(BA16="",BA16=0),
          "",
          BA16*BB$26
        ),
        _xlfn.LET(
          _xlpm._参照先,
            "'[在庫状況把握_43期_2025-2026.xlsx]月次報告"
            &amp;TEXT(BB$1,"YYMM")
            &amp;"'!",
          _xlpm._戻り範囲,
            IF(
              _xlpm._対象月初=_xlpm._今月初,
              "$AG$1:$AG$300",
              "$G$1:$G$300"
            ),
          _xlfn.XLOOKUP(
            $C16,
            INDIRECT(_xlpm._参照先&amp;"$C$1:$C$300"),
            INDIRECT(_xlpm._参照先&amp;_xlpm._戻り範囲)
          )
        )
      )
    ),
    ""
  )
)</f>
        <v>47.571056844482413</v>
      </c>
      <c r="BC16" s="223" cm="1">
        <f t="array" aca="1" ref="BC16" ca="1">IF($C16="","",
  IFERROR(
    _xlfn.LET(
      _xlpm._対象月初,EOMONTH(BC$1,-1)+1,
      _xlpm._今月初,EOMONTH(基準データ!$C$5,-1)+1,
      IF(
        _xlpm._対象月初&gt;_xlpm._今月初,
        IF(
          OR(BB16="",BB16=0),
          "",
          BB16*BC$26
        ),
        _xlfn.LET(
          _xlpm._参照先,
            "'[在庫状況把握_43期_2025-2026.xlsx]月次報告"
            &amp;TEXT(BC$1,"YYMM")
            &amp;"'!",
          _xlpm._戻り範囲,
            IF(
              _xlpm._対象月初=_xlpm._今月初,
              "$AG$1:$AG$300",
              "$G$1:$G$300"
            ),
          _xlfn.XLOOKUP(
            $C16,
            INDIRECT(_xlpm._参照先&amp;"$C$1:$C$300"),
            INDIRECT(_xlpm._参照先&amp;_xlpm._戻り範囲)
          )
        )
      )
    ),
    ""
  )
)</f>
        <v>54.063443275715343</v>
      </c>
      <c r="BD16" s="223" cm="1">
        <f t="array" aca="1" ref="BD16" ca="1">IF($C16="","",
  IFERROR(
    _xlfn.LET(
      _xlpm._対象月初,EOMONTH(BD$1,-1)+1,
      _xlpm._今月初,EOMONTH(基準データ!$C$5,-1)+1,
      IF(
        _xlpm._対象月初&gt;_xlpm._今月初,
        IF(
          OR(BC16="",BC16=0),
          "",
          BC16*BD$26
        ),
        _xlfn.LET(
          _xlpm._参照先,
            "'[在庫状況把握_43期_2025-2026.xlsx]月次報告"
            &amp;TEXT(BD$1,"YYMM")
            &amp;"'!",
          _xlpm._戻り範囲,
            IF(
              _xlpm._対象月初=_xlpm._今月初,
              "$AG$1:$AG$300",
              "$G$1:$G$300"
            ),
          _xlfn.XLOOKUP(
            $C16,
            INDIRECT(_xlpm._参照先&amp;"$C$1:$C$300"),
            INDIRECT(_xlpm._参照先&amp;_xlpm._戻り範囲)
          )
        )
      )
    ),
    ""
  )
)</f>
        <v>85.005485757373023</v>
      </c>
    </row>
    <row r="17" spans="1:56">
      <c r="A17" s="1127" t="s">
        <v>1633</v>
      </c>
      <c r="B17" s="26" t="str">
        <v>UNW-ID2</v>
      </c>
      <c r="C17" s="25" t="s">
        <v>391</v>
      </c>
      <c r="D17" s="26" t="s">
        <v>1351</v>
      </c>
      <c r="E17" s="24" t="s">
        <v>1352</v>
      </c>
      <c r="F17" s="24" t="s">
        <v>1347</v>
      </c>
      <c r="G17" s="38">
        <v>0</v>
      </c>
      <c r="H17" s="109" cm="1">
        <f t="array" aca="1" ref="H17" ca="1">_xlfn.LET(_xlpm._来月から4ヶ月計画合計,
  SUM(
    OFFSET($A17,0,
      MATCH(
        EDATE(基準データ!$C$5,3),$A$1:$BF$1,1
      )-3,1,4)),
_xlpm._今月計画数,
INDEX($A$1:$BE$223,
  ROW(),
  MATCH(EOMONTH(基準データ!$C$5,-1)+1,$A$1:$BE$1,0)
),
  IFERROR(IF($B17="","",_xlpm._来月から4ヶ月計画合計+_xlpm._今月計画数/2),""
)
)</f>
        <v>0</v>
      </c>
      <c r="I17" s="38"/>
      <c r="J17" s="38"/>
      <c r="K17" s="38"/>
      <c r="L17" s="38"/>
      <c r="M17" s="38"/>
      <c r="N17" s="38"/>
      <c r="O17" s="38"/>
      <c r="P17" s="38"/>
      <c r="Q17" s="219"/>
      <c r="R17" s="219"/>
      <c r="S17" s="219"/>
      <c r="T17" s="298"/>
      <c r="U17" s="299"/>
      <c r="V17" s="224"/>
      <c r="W17" s="467"/>
      <c r="X17" s="508"/>
      <c r="Y17" s="219">
        <v>27</v>
      </c>
      <c r="Z17" s="219">
        <v>139</v>
      </c>
      <c r="AA17" s="508">
        <v>160</v>
      </c>
      <c r="AB17" s="508">
        <v>85</v>
      </c>
      <c r="AC17" s="241">
        <v>40</v>
      </c>
      <c r="AD17" s="241" t="s">
        <v>21</v>
      </c>
      <c r="AE17" s="223" t="s">
        <v>21</v>
      </c>
      <c r="AF17" s="223" t="s">
        <v>21</v>
      </c>
      <c r="AG17" s="223" t="s">
        <v>21</v>
      </c>
      <c r="AH17" s="223" t="s">
        <v>21</v>
      </c>
      <c r="AI17" s="223" t="s">
        <v>21</v>
      </c>
      <c r="AJ17" s="223">
        <v>0</v>
      </c>
      <c r="AK17" s="223">
        <v>0</v>
      </c>
      <c r="AL17" s="223" cm="1">
        <f t="array" aca="1" ref="AL17" ca="1">IF($C17="","",
  IFERROR(
    _xlfn.LET(
      _xlpm._対象月初,EOMONTH(AL$1,-1)+1,
      _xlpm._今月初,EOMONTH(基準データ!$C$5,-1)+1,
      IF(
        _xlpm._対象月初&gt;_xlpm._今月初,
        IF(
          OR(AK17="",AK17=0),
          "",
          AK17*AL$26
        ),
        _xlfn.LET(
          _xlpm._参照先,
            "'[在庫状況把握_43期_2025-2026.xlsx]月次報告"
            &amp;TEXT(AL$1,"YYMM")
            &amp;"'!",
          _xlpm._戻り範囲,
            IF(
              _xlpm._対象月初=_xlpm._今月初,
              "$AG$1:$AG$300",
              "$G$1:$G$300"
            ),
          _xlfn.XLOOKUP(
            $C17,
            INDIRECT(_xlpm._参照先&amp;"$C$1:$C$300"),
            INDIRECT(_xlpm._参照先&amp;_xlpm._戻り範囲)
          )
        )
      )
    ),
    ""
  )
)</f>
        <v>0</v>
      </c>
      <c r="AM17" s="223" cm="1">
        <f t="array" aca="1" ref="AM17" ca="1">IF($C17="","",
  IFERROR(
    _xlfn.LET(
      _xlpm._対象月初,EOMONTH(AM$1,-1)+1,
      _xlpm._今月初,EOMONTH(基準データ!$C$5,-1)+1,
      IF(
        _xlpm._対象月初&gt;_xlpm._今月初,
        IF(
          OR(AL17="",AL17=0),
          "",
          AL17*AM$26
        ),
        _xlfn.LET(
          _xlpm._参照先,
            "'[在庫状況把握_43期_2025-2026.xlsx]月次報告"
            &amp;TEXT(AM$1,"YYMM")
            &amp;"'!",
          _xlpm._戻り範囲,
            IF(
              _xlpm._対象月初=_xlpm._今月初,
              "$AG$1:$AG$300",
              "$G$1:$G$300"
            ),
          _xlfn.XLOOKUP(
            $C17,
            INDIRECT(_xlpm._参照先&amp;"$C$1:$C$300"),
            INDIRECT(_xlpm._参照先&amp;_xlpm._戻り範囲)
          )
        )
      )
    ),
    ""
  )
)</f>
        <v>0</v>
      </c>
      <c r="AN17" s="223" t="str" cm="1">
        <f t="array" aca="1" ref="AN17" ca="1">IF($C17="","",
  IFERROR(
    _xlfn.LET(
      _xlpm._対象月初,EOMONTH(AN$1,-1)+1,
      _xlpm._今月初,EOMONTH(基準データ!$C$5,-1)+1,
      IF(
        _xlpm._対象月初&gt;_xlpm._今月初,
        IF(
          OR(AM17="",AM17=0),
          "",
          AM17*AN$26
        ),
        _xlfn.LET(
          _xlpm._参照先,
            "'[在庫状況把握_43期_2025-2026.xlsx]月次報告"
            &amp;TEXT(AN$1,"YYMM")
            &amp;"'!",
          _xlpm._戻り範囲,
            IF(
              _xlpm._対象月初=_xlpm._今月初,
              "$AG$1:$AG$300",
              "$G$1:$G$300"
            ),
          _xlfn.XLOOKUP(
            $C17,
            INDIRECT(_xlpm._参照先&amp;"$C$1:$C$300"),
            INDIRECT(_xlpm._参照先&amp;_xlpm._戻り範囲)
          )
        )
      )
    ),
    ""
  )
)</f>
        <v/>
      </c>
      <c r="AO17" s="223" t="str" cm="1">
        <f t="array" aca="1" ref="AO17" ca="1">IF($C17="","",
  IFERROR(
    _xlfn.LET(
      _xlpm._対象月初,EOMONTH(AO$1,-1)+1,
      _xlpm._今月初,EOMONTH(基準データ!$C$5,-1)+1,
      IF(
        _xlpm._対象月初&gt;_xlpm._今月初,
        IF(
          OR(AN17="",AN17=0),
          "",
          AN17*AO$26
        ),
        _xlfn.LET(
          _xlpm._参照先,
            "'[在庫状況把握_43期_2025-2026.xlsx]月次報告"
            &amp;TEXT(AO$1,"YYMM")
            &amp;"'!",
          _xlpm._戻り範囲,
            IF(
              _xlpm._対象月初=_xlpm._今月初,
              "$AG$1:$AG$300",
              "$G$1:$G$300"
            ),
          _xlfn.XLOOKUP(
            $C17,
            INDIRECT(_xlpm._参照先&amp;"$C$1:$C$300"),
            INDIRECT(_xlpm._参照先&amp;_xlpm._戻り範囲)
          )
        )
      )
    ),
    ""
  )
)</f>
        <v/>
      </c>
      <c r="AP17" s="223" t="str" cm="1">
        <f t="array" aca="1" ref="AP17" ca="1">IF($C17="","",
  IFERROR(
    _xlfn.LET(
      _xlpm._対象月初,EOMONTH(AP$1,-1)+1,
      _xlpm._今月初,EOMONTH(基準データ!$C$5,-1)+1,
      IF(
        _xlpm._対象月初&gt;_xlpm._今月初,
        IF(
          OR(AO17="",AO17=0),
          "",
          AO17*AP$26
        ),
        _xlfn.LET(
          _xlpm._参照先,
            "'[在庫状況把握_43期_2025-2026.xlsx]月次報告"
            &amp;TEXT(AP$1,"YYMM")
            &amp;"'!",
          _xlpm._戻り範囲,
            IF(
              _xlpm._対象月初=_xlpm._今月初,
              "$AG$1:$AG$300",
              "$G$1:$G$300"
            ),
          _xlfn.XLOOKUP(
            $C17,
            INDIRECT(_xlpm._参照先&amp;"$C$1:$C$300"),
            INDIRECT(_xlpm._参照先&amp;_xlpm._戻り範囲)
          )
        )
      )
    ),
    ""
  )
)</f>
        <v/>
      </c>
      <c r="AQ17" s="223" t="str" cm="1">
        <f t="array" aca="1" ref="AQ17" ca="1">IF($C17="","",
  IFERROR(
    _xlfn.LET(
      _xlpm._対象月初,EOMONTH(AQ$1,-1)+1,
      _xlpm._今月初,EOMONTH(基準データ!$C$5,-1)+1,
      IF(
        _xlpm._対象月初&gt;_xlpm._今月初,
        IF(
          OR(AP17="",AP17=0),
          "",
          AP17*AQ$26
        ),
        _xlfn.LET(
          _xlpm._参照先,
            "'[在庫状況把握_43期_2025-2026.xlsx]月次報告"
            &amp;TEXT(AQ$1,"YYMM")
            &amp;"'!",
          _xlpm._戻り範囲,
            IF(
              _xlpm._対象月初=_xlpm._今月初,
              "$AG$1:$AG$300",
              "$G$1:$G$300"
            ),
          _xlfn.XLOOKUP(
            $C17,
            INDIRECT(_xlpm._参照先&amp;"$C$1:$C$300"),
            INDIRECT(_xlpm._参照先&amp;_xlpm._戻り範囲)
          )
        )
      )
    ),
    ""
  )
)</f>
        <v/>
      </c>
      <c r="AR17" s="223" t="str" cm="1">
        <f t="array" aca="1" ref="AR17" ca="1">IF($C17="","",
  IFERROR(
    _xlfn.LET(
      _xlpm._対象月初,EOMONTH(AR$1,-1)+1,
      _xlpm._今月初,EOMONTH(基準データ!$C$5,-1)+1,
      IF(
        _xlpm._対象月初&gt;_xlpm._今月初,
        IF(
          OR(AQ17="",AQ17=0),
          "",
          AQ17*AR$26
        ),
        _xlfn.LET(
          _xlpm._参照先,
            "'[在庫状況把握_43期_2025-2026.xlsx]月次報告"
            &amp;TEXT(AR$1,"YYMM")
            &amp;"'!",
          _xlpm._戻り範囲,
            IF(
              _xlpm._対象月初=_xlpm._今月初,
              "$AG$1:$AG$300",
              "$G$1:$G$300"
            ),
          _xlfn.XLOOKUP(
            $C17,
            INDIRECT(_xlpm._参照先&amp;"$C$1:$C$300"),
            INDIRECT(_xlpm._参照先&amp;_xlpm._戻り範囲)
          )
        )
      )
    ),
    ""
  )
)</f>
        <v/>
      </c>
      <c r="AS17" s="223" t="str" cm="1">
        <f t="array" aca="1" ref="AS17" ca="1">IF($C17="","",
  IFERROR(
    _xlfn.LET(
      _xlpm._対象月初,EOMONTH(AS$1,-1)+1,
      _xlpm._今月初,EOMONTH(基準データ!$C$5,-1)+1,
      IF(
        _xlpm._対象月初&gt;_xlpm._今月初,
        IF(
          OR(AR17="",AR17=0),
          "",
          AR17*AS$26
        ),
        _xlfn.LET(
          _xlpm._参照先,
            "'[在庫状況把握_43期_2025-2026.xlsx]月次報告"
            &amp;TEXT(AS$1,"YYMM")
            &amp;"'!",
          _xlpm._戻り範囲,
            IF(
              _xlpm._対象月初=_xlpm._今月初,
              "$AG$1:$AG$300",
              "$G$1:$G$300"
            ),
          _xlfn.XLOOKUP(
            $C17,
            INDIRECT(_xlpm._参照先&amp;"$C$1:$C$300"),
            INDIRECT(_xlpm._参照先&amp;_xlpm._戻り範囲)
          )
        )
      )
    ),
    ""
  )
)</f>
        <v/>
      </c>
      <c r="AT17" s="223" t="str" cm="1">
        <f t="array" aca="1" ref="AT17" ca="1">IF($C17="","",
  IFERROR(
    _xlfn.LET(
      _xlpm._対象月初,EOMONTH(AT$1,-1)+1,
      _xlpm._今月初,EOMONTH(基準データ!$C$5,-1)+1,
      IF(
        _xlpm._対象月初&gt;_xlpm._今月初,
        IF(
          OR(AS17="",AS17=0),
          "",
          AS17*AT$26
        ),
        _xlfn.LET(
          _xlpm._参照先,
            "'[在庫状況把握_43期_2025-2026.xlsx]月次報告"
            &amp;TEXT(AT$1,"YYMM")
            &amp;"'!",
          _xlpm._戻り範囲,
            IF(
              _xlpm._対象月初=_xlpm._今月初,
              "$AG$1:$AG$300",
              "$G$1:$G$300"
            ),
          _xlfn.XLOOKUP(
            $C17,
            INDIRECT(_xlpm._参照先&amp;"$C$1:$C$300"),
            INDIRECT(_xlpm._参照先&amp;_xlpm._戻り範囲)
          )
        )
      )
    ),
    ""
  )
)</f>
        <v/>
      </c>
      <c r="AU17" s="223" t="str" cm="1">
        <f t="array" aca="1" ref="AU17" ca="1">IF($C17="","",
  IFERROR(
    _xlfn.LET(
      _xlpm._対象月初,EOMONTH(AU$1,-1)+1,
      _xlpm._今月初,EOMONTH(基準データ!$C$5,-1)+1,
      IF(
        _xlpm._対象月初&gt;_xlpm._今月初,
        IF(
          OR(AT17="",AT17=0),
          "",
          AT17*AU$26
        ),
        _xlfn.LET(
          _xlpm._参照先,
            "'[在庫状況把握_43期_2025-2026.xlsx]月次報告"
            &amp;TEXT(AU$1,"YYMM")
            &amp;"'!",
          _xlpm._戻り範囲,
            IF(
              _xlpm._対象月初=_xlpm._今月初,
              "$AG$1:$AG$300",
              "$G$1:$G$300"
            ),
          _xlfn.XLOOKUP(
            $C17,
            INDIRECT(_xlpm._参照先&amp;"$C$1:$C$300"),
            INDIRECT(_xlpm._参照先&amp;_xlpm._戻り範囲)
          )
        )
      )
    ),
    ""
  )
)</f>
        <v/>
      </c>
      <c r="AV17" s="223" t="str" cm="1">
        <f t="array" aca="1" ref="AV17" ca="1">IF($C17="","",
  IFERROR(
    _xlfn.LET(
      _xlpm._対象月初,EOMONTH(AV$1,-1)+1,
      _xlpm._今月初,EOMONTH(基準データ!$C$5,-1)+1,
      IF(
        _xlpm._対象月初&gt;_xlpm._今月初,
        IF(
          OR(AU17="",AU17=0),
          "",
          AU17*AV$26
        ),
        _xlfn.LET(
          _xlpm._参照先,
            "'[在庫状況把握_43期_2025-2026.xlsx]月次報告"
            &amp;TEXT(AV$1,"YYMM")
            &amp;"'!",
          _xlpm._戻り範囲,
            IF(
              _xlpm._対象月初=_xlpm._今月初,
              "$AG$1:$AG$300",
              "$G$1:$G$300"
            ),
          _xlfn.XLOOKUP(
            $C17,
            INDIRECT(_xlpm._参照先&amp;"$C$1:$C$300"),
            INDIRECT(_xlpm._参照先&amp;_xlpm._戻り範囲)
          )
        )
      )
    ),
    ""
  )
)</f>
        <v/>
      </c>
      <c r="AW17" s="223" t="str" cm="1">
        <f t="array" aca="1" ref="AW17" ca="1">IF($C17="","",
  IFERROR(
    _xlfn.LET(
      _xlpm._対象月初,EOMONTH(AW$1,-1)+1,
      _xlpm._今月初,EOMONTH(基準データ!$C$5,-1)+1,
      IF(
        _xlpm._対象月初&gt;_xlpm._今月初,
        IF(
          OR(AV17="",AV17=0),
          "",
          AV17*AW$26
        ),
        _xlfn.LET(
          _xlpm._参照先,
            "'[在庫状況把握_43期_2025-2026.xlsx]月次報告"
            &amp;TEXT(AW$1,"YYMM")
            &amp;"'!",
          _xlpm._戻り範囲,
            IF(
              _xlpm._対象月初=_xlpm._今月初,
              "$AG$1:$AG$300",
              "$G$1:$G$300"
            ),
          _xlfn.XLOOKUP(
            $C17,
            INDIRECT(_xlpm._参照先&amp;"$C$1:$C$300"),
            INDIRECT(_xlpm._参照先&amp;_xlpm._戻り範囲)
          )
        )
      )
    ),
    ""
  )
)</f>
        <v/>
      </c>
      <c r="AX17" s="223" t="str" cm="1">
        <f t="array" aca="1" ref="AX17" ca="1">IF($C17="","",
  IFERROR(
    _xlfn.LET(
      _xlpm._対象月初,EOMONTH(AX$1,-1)+1,
      _xlpm._今月初,EOMONTH(基準データ!$C$5,-1)+1,
      IF(
        _xlpm._対象月初&gt;_xlpm._今月初,
        IF(
          OR(AW17="",AW17=0),
          "",
          AW17*AX$26
        ),
        _xlfn.LET(
          _xlpm._参照先,
            "'[在庫状況把握_43期_2025-2026.xlsx]月次報告"
            &amp;TEXT(AX$1,"YYMM")
            &amp;"'!",
          _xlpm._戻り範囲,
            IF(
              _xlpm._対象月初=_xlpm._今月初,
              "$AG$1:$AG$300",
              "$G$1:$G$300"
            ),
          _xlfn.XLOOKUP(
            $C17,
            INDIRECT(_xlpm._参照先&amp;"$C$1:$C$300"),
            INDIRECT(_xlpm._参照先&amp;_xlpm._戻り範囲)
          )
        )
      )
    ),
    ""
  )
)</f>
        <v/>
      </c>
      <c r="AY17" s="223" t="str" cm="1">
        <f t="array" aca="1" ref="AY17" ca="1">IF($C17="","",
  IFERROR(
    _xlfn.LET(
      _xlpm._対象月初,EOMONTH(AY$1,-1)+1,
      _xlpm._今月初,EOMONTH(基準データ!$C$5,-1)+1,
      IF(
        _xlpm._対象月初&gt;_xlpm._今月初,
        IF(
          OR(AX17="",AX17=0),
          "",
          AX17*AY$26
        ),
        _xlfn.LET(
          _xlpm._参照先,
            "'[在庫状況把握_43期_2025-2026.xlsx]月次報告"
            &amp;TEXT(AY$1,"YYMM")
            &amp;"'!",
          _xlpm._戻り範囲,
            IF(
              _xlpm._対象月初=_xlpm._今月初,
              "$AG$1:$AG$300",
              "$G$1:$G$300"
            ),
          _xlfn.XLOOKUP(
            $C17,
            INDIRECT(_xlpm._参照先&amp;"$C$1:$C$300"),
            INDIRECT(_xlpm._参照先&amp;_xlpm._戻り範囲)
          )
        )
      )
    ),
    ""
  )
)</f>
        <v/>
      </c>
      <c r="AZ17" s="223" t="str" cm="1">
        <f t="array" aca="1" ref="AZ17" ca="1">IF($C17="","",
  IFERROR(
    _xlfn.LET(
      _xlpm._対象月初,EOMONTH(AZ$1,-1)+1,
      _xlpm._今月初,EOMONTH(基準データ!$C$5,-1)+1,
      IF(
        _xlpm._対象月初&gt;_xlpm._今月初,
        IF(
          OR(AY17="",AY17=0),
          "",
          AY17*AZ$26
        ),
        _xlfn.LET(
          _xlpm._参照先,
            "'[在庫状況把握_43期_2025-2026.xlsx]月次報告"
            &amp;TEXT(AZ$1,"YYMM")
            &amp;"'!",
          _xlpm._戻り範囲,
            IF(
              _xlpm._対象月初=_xlpm._今月初,
              "$AG$1:$AG$300",
              "$G$1:$G$300"
            ),
          _xlfn.XLOOKUP(
            $C17,
            INDIRECT(_xlpm._参照先&amp;"$C$1:$C$300"),
            INDIRECT(_xlpm._参照先&amp;_xlpm._戻り範囲)
          )
        )
      )
    ),
    ""
  )
)</f>
        <v/>
      </c>
      <c r="BA17" s="223" t="str" cm="1">
        <f t="array" aca="1" ref="BA17" ca="1">IF($C17="","",
  IFERROR(
    _xlfn.LET(
      _xlpm._対象月初,EOMONTH(BA$1,-1)+1,
      _xlpm._今月初,EOMONTH(基準データ!$C$5,-1)+1,
      IF(
        _xlpm._対象月初&gt;_xlpm._今月初,
        IF(
          OR(AZ17="",AZ17=0),
          "",
          AZ17*BA$26
        ),
        _xlfn.LET(
          _xlpm._参照先,
            "'[在庫状況把握_43期_2025-2026.xlsx]月次報告"
            &amp;TEXT(BA$1,"YYMM")
            &amp;"'!",
          _xlpm._戻り範囲,
            IF(
              _xlpm._対象月初=_xlpm._今月初,
              "$AG$1:$AG$300",
              "$G$1:$G$300"
            ),
          _xlfn.XLOOKUP(
            $C17,
            INDIRECT(_xlpm._参照先&amp;"$C$1:$C$300"),
            INDIRECT(_xlpm._参照先&amp;_xlpm._戻り範囲)
          )
        )
      )
    ),
    ""
  )
)</f>
        <v/>
      </c>
      <c r="BB17" s="223" t="str" cm="1">
        <f t="array" aca="1" ref="BB17" ca="1">IF($C17="","",
  IFERROR(
    _xlfn.LET(
      _xlpm._対象月初,EOMONTH(BB$1,-1)+1,
      _xlpm._今月初,EOMONTH(基準データ!$C$5,-1)+1,
      IF(
        _xlpm._対象月初&gt;_xlpm._今月初,
        IF(
          OR(BA17="",BA17=0),
          "",
          BA17*BB$26
        ),
        _xlfn.LET(
          _xlpm._参照先,
            "'[在庫状況把握_43期_2025-2026.xlsx]月次報告"
            &amp;TEXT(BB$1,"YYMM")
            &amp;"'!",
          _xlpm._戻り範囲,
            IF(
              _xlpm._対象月初=_xlpm._今月初,
              "$AG$1:$AG$300",
              "$G$1:$G$300"
            ),
          _xlfn.XLOOKUP(
            $C17,
            INDIRECT(_xlpm._参照先&amp;"$C$1:$C$300"),
            INDIRECT(_xlpm._参照先&amp;_xlpm._戻り範囲)
          )
        )
      )
    ),
    ""
  )
)</f>
        <v/>
      </c>
      <c r="BC17" s="223" t="str" cm="1">
        <f t="array" aca="1" ref="BC17" ca="1">IF($C17="","",
  IFERROR(
    _xlfn.LET(
      _xlpm._対象月初,EOMONTH(BC$1,-1)+1,
      _xlpm._今月初,EOMONTH(基準データ!$C$5,-1)+1,
      IF(
        _xlpm._対象月初&gt;_xlpm._今月初,
        IF(
          OR(BB17="",BB17=0),
          "",
          BB17*BC$26
        ),
        _xlfn.LET(
          _xlpm._参照先,
            "'[在庫状況把握_43期_2025-2026.xlsx]月次報告"
            &amp;TEXT(BC$1,"YYMM")
            &amp;"'!",
          _xlpm._戻り範囲,
            IF(
              _xlpm._対象月初=_xlpm._今月初,
              "$AG$1:$AG$300",
              "$G$1:$G$300"
            ),
          _xlfn.XLOOKUP(
            $C17,
            INDIRECT(_xlpm._参照先&amp;"$C$1:$C$300"),
            INDIRECT(_xlpm._参照先&amp;_xlpm._戻り範囲)
          )
        )
      )
    ),
    ""
  )
)</f>
        <v/>
      </c>
      <c r="BD17" s="223" t="str" cm="1">
        <f t="array" aca="1" ref="BD17" ca="1">IF($C17="","",
  IFERROR(
    _xlfn.LET(
      _xlpm._対象月初,EOMONTH(BD$1,-1)+1,
      _xlpm._今月初,EOMONTH(基準データ!$C$5,-1)+1,
      IF(
        _xlpm._対象月初&gt;_xlpm._今月初,
        IF(
          OR(BC17="",BC17=0),
          "",
          BC17*BD$26
        ),
        _xlfn.LET(
          _xlpm._参照先,
            "'[在庫状況把握_43期_2025-2026.xlsx]月次報告"
            &amp;TEXT(BD$1,"YYMM")
            &amp;"'!",
          _xlpm._戻り範囲,
            IF(
              _xlpm._対象月初=_xlpm._今月初,
              "$AG$1:$AG$300",
              "$G$1:$G$300"
            ),
          _xlfn.XLOOKUP(
            $C17,
            INDIRECT(_xlpm._参照先&amp;"$C$1:$C$300"),
            INDIRECT(_xlpm._参照先&amp;_xlpm._戻り範囲)
          )
        )
      )
    ),
    ""
  )
)</f>
        <v/>
      </c>
    </row>
    <row r="18" spans="1:56">
      <c r="A18" s="1060" t="s">
        <v>1633</v>
      </c>
      <c r="B18" s="26" t="str">
        <v>UNW-E-13620H-4050-L6</v>
      </c>
      <c r="C18" s="26" t="s">
        <v>324</v>
      </c>
      <c r="D18" s="26" t="s">
        <v>1365</v>
      </c>
      <c r="E18" s="26">
        <v>4050</v>
      </c>
      <c r="F18" s="26" t="s">
        <v>1347</v>
      </c>
      <c r="G18" s="43">
        <v>1414</v>
      </c>
      <c r="H18" s="109" cm="1">
        <f t="array" aca="1" ref="H18" ca="1">_xlfn.LET(_xlpm._来月から4ヶ月計画合計,
  SUM(
    OFFSET($A18,0,
      MATCH(
        EDATE(基準データ!$C$5,3),$A$1:$BF$1,1
      )-3,1,4)),
_xlpm._今月計画数,
INDEX($A$1:$BE$223,
  ROW(),
  MATCH(EOMONTH(基準データ!$C$5,-1)+1,$A$1:$BE$1,0)
),
  IFERROR(IF($B18="","",_xlpm._来月から4ヶ月計画合計+_xlpm._今月計画数/2),""
)
)</f>
        <v>1580.2149311551209</v>
      </c>
      <c r="I18" s="38"/>
      <c r="J18" s="38"/>
      <c r="K18" s="38"/>
      <c r="L18" s="38"/>
      <c r="M18" s="38"/>
      <c r="N18" s="38"/>
      <c r="O18" s="38"/>
      <c r="P18" s="38"/>
      <c r="Q18" s="219"/>
      <c r="R18" s="219"/>
      <c r="S18" s="219"/>
      <c r="T18" s="219"/>
      <c r="U18" s="224">
        <v>445</v>
      </c>
      <c r="V18" s="224">
        <v>208</v>
      </c>
      <c r="W18" s="222">
        <v>467</v>
      </c>
      <c r="X18" s="508">
        <v>356</v>
      </c>
      <c r="Y18" s="508">
        <v>343</v>
      </c>
      <c r="Z18" s="508">
        <v>479</v>
      </c>
      <c r="AA18" s="508">
        <v>652</v>
      </c>
      <c r="AB18" s="508">
        <v>764</v>
      </c>
      <c r="AC18" s="241">
        <v>664</v>
      </c>
      <c r="AD18" s="241">
        <v>736</v>
      </c>
      <c r="AE18" s="223">
        <v>336</v>
      </c>
      <c r="AF18" s="223">
        <v>710</v>
      </c>
      <c r="AG18" s="223">
        <v>390</v>
      </c>
      <c r="AH18" s="223">
        <v>299</v>
      </c>
      <c r="AI18" s="223">
        <v>503</v>
      </c>
      <c r="AJ18" s="223">
        <v>333</v>
      </c>
      <c r="AK18" s="223">
        <v>325</v>
      </c>
      <c r="AL18" s="223" cm="1">
        <f t="array" aca="1" ref="AL18" ca="1">IF($C18="","",
  IFERROR(
    _xlfn.LET(
      _xlpm._対象月初,EOMONTH(AL$1,-1)+1,
      _xlpm._今月初,EOMONTH(基準データ!$C$5,-1)+1,
      IF(
        _xlpm._対象月初&gt;_xlpm._今月初,
        IF(
          OR(AK18="",AK18=0),
          "",
          AK18*AL$26
        ),
        _xlfn.LET(
          _xlpm._参照先,
            "'[在庫状況把握_43期_2025-2026.xlsx]月次報告"
            &amp;TEXT(AL$1,"YYMM")
            &amp;"'!",
          _xlpm._戻り範囲,
            IF(
              _xlpm._対象月初=_xlpm._今月初,
              "$AG$1:$AG$300",
              "$G$1:$G$300"
            ),
          _xlfn.XLOOKUP(
            $C18,
            INDIRECT(_xlpm._参照先&amp;"$C$1:$C$300"),
            INDIRECT(_xlpm._参照先&amp;_xlpm._戻り範囲)
          )
        )
      )
    ),
    ""
  )
)</f>
        <v>521</v>
      </c>
      <c r="AM18" s="223" cm="1">
        <f t="array" aca="1" ref="AM18" ca="1">IF($C18="","",
  IFERROR(
    _xlfn.LET(
      _xlpm._対象月初,EOMONTH(AM$1,-1)+1,
      _xlpm._今月初,EOMONTH(基準データ!$C$5,-1)+1,
      IF(
        _xlpm._対象月初&gt;_xlpm._今月初,
        IF(
          OR(AL18="",AL18=0),
          "",
          AL18*AM$26
        ),
        _xlfn.LET(
          _xlpm._参照先,
            "'[在庫状況把握_43期_2025-2026.xlsx]月次報告"
            &amp;TEXT(AM$1,"YYMM")
            &amp;"'!",
          _xlpm._戻り範囲,
            IF(
              _xlpm._対象月初=_xlpm._今月初,
              "$AG$1:$AG$300",
              "$G$1:$G$300"
            ),
          _xlfn.XLOOKUP(
            $C18,
            INDIRECT(_xlpm._参照先&amp;"$C$1:$C$300"),
            INDIRECT(_xlpm._参照先&amp;_xlpm._戻り範囲)
          )
        )
      )
    ),
    ""
  )
)</f>
        <v>493.78571428571428</v>
      </c>
      <c r="AN18" s="223" cm="1">
        <f t="array" aca="1" ref="AN18" ca="1">IF($C18="","",
  IFERROR(
    _xlfn.LET(
      _xlpm._対象月初,EOMONTH(AN$1,-1)+1,
      _xlpm._今月初,EOMONTH(基準データ!$C$5,-1)+1,
      IF(
        _xlpm._対象月初&gt;_xlpm._今月初,
        IF(
          OR(AM18="",AM18=0),
          "",
          AM18*AN$26
        ),
        _xlfn.LET(
          _xlpm._参照先,
            "'[在庫状況把握_43期_2025-2026.xlsx]月次報告"
            &amp;TEXT(AN$1,"YYMM")
            &amp;"'!",
          _xlpm._戻り範囲,
            IF(
              _xlpm._対象月初=_xlpm._今月初,
              "$AG$1:$AG$300",
              "$G$1:$G$300"
            ),
          _xlfn.XLOOKUP(
            $C18,
            INDIRECT(_xlpm._参照先&amp;"$C$1:$C$300"),
            INDIRECT(_xlpm._参照先&amp;_xlpm._戻り範囲)
          )
        )
      )
    ),
    ""
  )
)</f>
        <v>403.56415542195646</v>
      </c>
      <c r="AO18" s="223" cm="1">
        <f t="array" aca="1" ref="AO18" ca="1">IF($C18="","",
  IFERROR(
    _xlfn.LET(
      _xlpm._対象月初,EOMONTH(AO$1,-1)+1,
      _xlpm._今月初,EOMONTH(基準データ!$C$5,-1)+1,
      IF(
        _xlpm._対象月初&gt;_xlpm._今月初,
        IF(
          OR(AN18="",AN18=0),
          "",
          AN18*AO$26
        ),
        _xlfn.LET(
          _xlpm._参照先,
            "'[在庫状況把握_43期_2025-2026.xlsx]月次報告"
            &amp;TEXT(AO$1,"YYMM")
            &amp;"'!",
          _xlpm._戻り範囲,
            IF(
              _xlpm._対象月初=_xlpm._今月初,
              "$AG$1:$AG$300",
              "$G$1:$G$300"
            ),
          _xlfn.XLOOKUP(
            $C18,
            INDIRECT(_xlpm._参照先&amp;"$C$1:$C$300"),
            INDIRECT(_xlpm._参照先&amp;_xlpm._戻り範囲)
          )
        )
      )
    ),
    ""
  )
)</f>
        <v>325.37142454219787</v>
      </c>
      <c r="AP18" s="223" cm="1">
        <f t="array" aca="1" ref="AP18" ca="1">IF($C18="","",
  IFERROR(
    _xlfn.LET(
      _xlpm._対象月初,EOMONTH(AP$1,-1)+1,
      _xlpm._今月初,EOMONTH(基準データ!$C$5,-1)+1,
      IF(
        _xlpm._対象月初&gt;_xlpm._今月初,
        IF(
          OR(AO18="",AO18=0),
          "",
          AO18*AP$26
        ),
        _xlfn.LET(
          _xlpm._参照先,
            "'[在庫状況把握_43期_2025-2026.xlsx]月次報告"
            &amp;TEXT(AP$1,"YYMM")
            &amp;"'!",
          _xlpm._戻り範囲,
            IF(
              _xlpm._対象月初=_xlpm._今月初,
              "$AG$1:$AG$300",
              "$G$1:$G$300"
            ),
          _xlfn.XLOOKUP(
            $C18,
            INDIRECT(_xlpm._参照先&amp;"$C$1:$C$300"),
            INDIRECT(_xlpm._参照先&amp;_xlpm._戻り範囲)
          )
        )
      )
    ),
    ""
  )
)</f>
        <v>282.88921803518872</v>
      </c>
      <c r="AQ18" s="223" cm="1">
        <f t="array" aca="1" ref="AQ18" ca="1">IF($C18="","",
  IFERROR(
    _xlfn.LET(
      _xlpm._対象月初,EOMONTH(AQ$1,-1)+1,
      _xlpm._今月初,EOMONTH(基準データ!$C$5,-1)+1,
      IF(
        _xlpm._対象月初&gt;_xlpm._今月初,
        IF(
          OR(AP18="",AP18=0),
          "",
          AP18*AQ$26
        ),
        _xlfn.LET(
          _xlpm._参照先,
            "'[在庫状況把握_43期_2025-2026.xlsx]月次報告"
            &amp;TEXT(AQ$1,"YYMM")
            &amp;"'!",
          _xlpm._戻り範囲,
            IF(
              _xlpm._対象月初=_xlpm._今月初,
              "$AG$1:$AG$300",
              "$G$1:$G$300"
            ),
          _xlfn.XLOOKUP(
            $C18,
            INDIRECT(_xlpm._参照先&amp;"$C$1:$C$300"),
            INDIRECT(_xlpm._参照先&amp;_xlpm._戻り範囲)
          )
        )
      )
    ),
    ""
  )
)</f>
        <v>321.49727601292057</v>
      </c>
      <c r="AR18" s="223" cm="1">
        <f t="array" aca="1" ref="AR18" ca="1">IF($C18="","",
  IFERROR(
    _xlfn.LET(
      _xlpm._対象月初,EOMONTH(AR$1,-1)+1,
      _xlpm._今月初,EOMONTH(基準データ!$C$5,-1)+1,
      IF(
        _xlpm._対象月初&gt;_xlpm._今月初,
        IF(
          OR(AQ18="",AQ18=0),
          "",
          AQ18*AR$26
        ),
        _xlfn.LET(
          _xlpm._参照先,
            "'[在庫状況把握_43期_2025-2026.xlsx]月次報告"
            &amp;TEXT(AR$1,"YYMM")
            &amp;"'!",
          _xlpm._戻り範囲,
            IF(
              _xlpm._対象月初=_xlpm._今月初,
              "$AG$1:$AG$300",
              "$G$1:$G$300"
            ),
          _xlfn.XLOOKUP(
            $C18,
            INDIRECT(_xlpm._参照先&amp;"$C$1:$C$300"),
            INDIRECT(_xlpm._参照先&amp;_xlpm._戻り範囲)
          )
        )
      )
    ),
    ""
  )
)</f>
        <v>505.49928863717827</v>
      </c>
      <c r="AS18" s="223" cm="1">
        <f t="array" aca="1" ref="AS18" ca="1">IF($C18="","",
  IFERROR(
    _xlfn.LET(
      _xlpm._対象月初,EOMONTH(AS$1,-1)+1,
      _xlpm._今月初,EOMONTH(基準データ!$C$5,-1)+1,
      IF(
        _xlpm._対象月初&gt;_xlpm._今月初,
        IF(
          OR(AR18="",AR18=0),
          "",
          AR18*AS$26
        ),
        _xlfn.LET(
          _xlpm._参照先,
            "'[在庫状況把握_43期_2025-2026.xlsx]月次報告"
            &amp;TEXT(AS$1,"YYMM")
            &amp;"'!",
          _xlpm._戻り範囲,
            IF(
              _xlpm._対象月初=_xlpm._今月初,
              "$AG$1:$AG$300",
              "$G$1:$G$300"
            ),
          _xlfn.XLOOKUP(
            $C18,
            INDIRECT(_xlpm._参照先&amp;"$C$1:$C$300"),
            INDIRECT(_xlpm._参照先&amp;_xlpm._戻り範囲)
          )
        )
      )
    ),
    ""
  )
)</f>
        <v>422.69384898273802</v>
      </c>
      <c r="AT18" s="223" cm="1">
        <f t="array" aca="1" ref="AT18" ca="1">IF($C18="","",
  IFERROR(
    _xlfn.LET(
      _xlpm._対象月初,EOMONTH(AT$1,-1)+1,
      _xlpm._今月初,EOMONTH(基準データ!$C$5,-1)+1,
      IF(
        _xlpm._対象月初&gt;_xlpm._今月初,
        IF(
          OR(AS18="",AS18=0),
          "",
          AS18*AT$26
        ),
        _xlfn.LET(
          _xlpm._参照先,
            "'[在庫状況把握_43期_2025-2026.xlsx]月次報告"
            &amp;TEXT(AT$1,"YYMM")
            &amp;"'!",
          _xlpm._戻り範囲,
            IF(
              _xlpm._対象月初=_xlpm._今月初,
              "$AG$1:$AG$300",
              "$G$1:$G$300"
            ),
          _xlfn.XLOOKUP(
            $C18,
            INDIRECT(_xlpm._参照先&amp;"$C$1:$C$300"),
            INDIRECT(_xlpm._参照先&amp;_xlpm._戻り範囲)
          )
        )
      )
    ),
    ""
  )
)</f>
        <v>380.50744186873771</v>
      </c>
      <c r="AU18" s="223" cm="1">
        <f t="array" aca="1" ref="AU18" ca="1">IF($C18="","",
  IFERROR(
    _xlfn.LET(
      _xlpm._対象月初,EOMONTH(AU$1,-1)+1,
      _xlpm._今月初,EOMONTH(基準データ!$C$5,-1)+1,
      IF(
        _xlpm._対象月初&gt;_xlpm._今月初,
        IF(
          OR(AT18="",AT18=0),
          "",
          AT18*AU$26
        ),
        _xlfn.LET(
          _xlpm._参照先,
            "'[在庫状況把握_43期_2025-2026.xlsx]月次報告"
            &amp;TEXT(AU$1,"YYMM")
            &amp;"'!",
          _xlpm._戻り範囲,
            IF(
              _xlpm._対象月初=_xlpm._今月初,
              "$AG$1:$AG$300",
              "$G$1:$G$300"
            ),
          _xlfn.XLOOKUP(
            $C18,
            INDIRECT(_xlpm._参照先&amp;"$C$1:$C$300"),
            INDIRECT(_xlpm._参照先&amp;_xlpm._戻り範囲)
          )
        )
      )
    ),
    ""
  )
)</f>
        <v>547.47325725951271</v>
      </c>
      <c r="AV18" s="223" cm="1">
        <f t="array" aca="1" ref="AV18" ca="1">IF($C18="","",
  IFERROR(
    _xlfn.LET(
      _xlpm._対象月初,EOMONTH(AV$1,-1)+1,
      _xlpm._今月初,EOMONTH(基準データ!$C$5,-1)+1,
      IF(
        _xlpm._対象月初&gt;_xlpm._今月初,
        IF(
          OR(AU18="",AU18=0),
          "",
          AU18*AV$26
        ),
        _xlfn.LET(
          _xlpm._参照先,
            "'[在庫状況把握_43期_2025-2026.xlsx]月次報告"
            &amp;TEXT(AV$1,"YYMM")
            &amp;"'!",
          _xlpm._戻り範囲,
            IF(
              _xlpm._対象月初=_xlpm._今月初,
              "$AG$1:$AG$300",
              "$G$1:$G$300"
            ),
          _xlfn.XLOOKUP(
            $C18,
            INDIRECT(_xlpm._参照先&amp;"$C$1:$C$300"),
            INDIRECT(_xlpm._参照先&amp;_xlpm._戻り範囲)
          )
        )
      )
    ),
    ""
  )
)</f>
        <v>421.42208768148561</v>
      </c>
      <c r="AW18" s="223" cm="1">
        <f t="array" aca="1" ref="AW18" ca="1">IF($C18="","",
  IFERROR(
    _xlfn.LET(
      _xlpm._対象月初,EOMONTH(AW$1,-1)+1,
      _xlpm._今月初,EOMONTH(基準データ!$C$5,-1)+1,
      IF(
        _xlpm._対象月初&gt;_xlpm._今月初,
        IF(
          OR(AV18="",AV18=0),
          "",
          AV18*AW$26
        ),
        _xlfn.LET(
          _xlpm._参照先,
            "'[在庫状況把握_43期_2025-2026.xlsx]月次報告"
            &amp;TEXT(AW$1,"YYMM")
            &amp;"'!",
          _xlpm._戻り範囲,
            IF(
              _xlpm._対象月初=_xlpm._今月初,
              "$AG$1:$AG$300",
              "$G$1:$G$300"
            ),
          _xlfn.XLOOKUP(
            $C18,
            INDIRECT(_xlpm._参照先&amp;"$C$1:$C$300"),
            INDIRECT(_xlpm._参照先&amp;_xlpm._戻り範囲)
          )
        )
      )
    ),
    ""
  )
)</f>
        <v>336.42882080547349</v>
      </c>
      <c r="AX18" s="223" cm="1">
        <f t="array" aca="1" ref="AX18" ca="1">IF($C18="","",
  IFERROR(
    _xlfn.LET(
      _xlpm._対象月初,EOMONTH(AX$1,-1)+1,
      _xlpm._今月初,EOMONTH(基準データ!$C$5,-1)+1,
      IF(
        _xlpm._対象月初&gt;_xlpm._今月初,
        IF(
          OR(AW18="",AW18=0),
          "",
          AW18*AX$26
        ),
        _xlfn.LET(
          _xlpm._参照先,
            "'[在庫状況把握_43期_2025-2026.xlsx]月次報告"
            &amp;TEXT(AX$1,"YYMM")
            &amp;"'!",
          _xlpm._戻り範囲,
            IF(
              _xlpm._対象月初=_xlpm._今月初,
              "$AG$1:$AG$300",
              "$G$1:$G$300"
            ),
          _xlfn.XLOOKUP(
            $C18,
            INDIRECT(_xlpm._参照先&amp;"$C$1:$C$300"),
            INDIRECT(_xlpm._参照先&amp;_xlpm._戻り範囲)
          )
        )
      )
    ),
    ""
  )
)</f>
        <v>389.28491120853693</v>
      </c>
      <c r="AY18" s="223" cm="1">
        <f t="array" aca="1" ref="AY18" ca="1">IF($C18="","",
  IFERROR(
    _xlfn.LET(
      _xlpm._対象月初,EOMONTH(AY$1,-1)+1,
      _xlpm._今月初,EOMONTH(基準データ!$C$5,-1)+1,
      IF(
        _xlpm._対象月初&gt;_xlpm._今月初,
        IF(
          OR(AX18="",AX18=0),
          "",
          AX18*AY$26
        ),
        _xlfn.LET(
          _xlpm._参照先,
            "'[在庫状況把握_43期_2025-2026.xlsx]月次報告"
            &amp;TEXT(AY$1,"YYMM")
            &amp;"'!",
          _xlpm._戻り範囲,
            IF(
              _xlpm._対象月初=_xlpm._今月初,
              "$AG$1:$AG$300",
              "$G$1:$G$300"
            ),
          _xlfn.XLOOKUP(
            $C18,
            INDIRECT(_xlpm._参照先&amp;"$C$1:$C$300"),
            INDIRECT(_xlpm._参照先&amp;_xlpm._戻り範囲)
          )
        )
      )
    ),
    ""
  )
)</f>
        <v>493.78571428571416</v>
      </c>
      <c r="AZ18" s="223" cm="1">
        <f t="array" aca="1" ref="AZ18" ca="1">IF($C18="","",
  IFERROR(
    _xlfn.LET(
      _xlpm._対象月初,EOMONTH(AZ$1,-1)+1,
      _xlpm._今月初,EOMONTH(基準データ!$C$5,-1)+1,
      IF(
        _xlpm._対象月初&gt;_xlpm._今月初,
        IF(
          OR(AY18="",AY18=0),
          "",
          AY18*AZ$26
        ),
        _xlfn.LET(
          _xlpm._参照先,
            "'[在庫状況把握_43期_2025-2026.xlsx]月次報告"
            &amp;TEXT(AZ$1,"YYMM")
            &amp;"'!",
          _xlpm._戻り範囲,
            IF(
              _xlpm._対象月初=_xlpm._今月初,
              "$AG$1:$AG$300",
              "$G$1:$G$300"
            ),
          _xlfn.XLOOKUP(
            $C18,
            INDIRECT(_xlpm._参照先&amp;"$C$1:$C$300"),
            INDIRECT(_xlpm._参照先&amp;_xlpm._戻り範囲)
          )
        )
      )
    ),
    ""
  )
)</f>
        <v>403.5641554219564</v>
      </c>
      <c r="BA18" s="223" cm="1">
        <f t="array" aca="1" ref="BA18" ca="1">IF($C18="","",
  IFERROR(
    _xlfn.LET(
      _xlpm._対象月初,EOMONTH(BA$1,-1)+1,
      _xlpm._今月初,EOMONTH(基準データ!$C$5,-1)+1,
      IF(
        _xlpm._対象月初&gt;_xlpm._今月初,
        IF(
          OR(AZ18="",AZ18=0),
          "",
          AZ18*BA$26
        ),
        _xlfn.LET(
          _xlpm._参照先,
            "'[在庫状況把握_43期_2025-2026.xlsx]月次報告"
            &amp;TEXT(BA$1,"YYMM")
            &amp;"'!",
          _xlpm._戻り範囲,
            IF(
              _xlpm._対象月初=_xlpm._今月初,
              "$AG$1:$AG$300",
              "$G$1:$G$300"
            ),
          _xlfn.XLOOKUP(
            $C18,
            INDIRECT(_xlpm._参照先&amp;"$C$1:$C$300"),
            INDIRECT(_xlpm._参照先&amp;_xlpm._戻り範囲)
          )
        )
      )
    ),
    ""
  )
)</f>
        <v>325.37142454219781</v>
      </c>
      <c r="BB18" s="223" cm="1">
        <f t="array" aca="1" ref="BB18" ca="1">IF($C18="","",
  IFERROR(
    _xlfn.LET(
      _xlpm._対象月初,EOMONTH(BB$1,-1)+1,
      _xlpm._今月初,EOMONTH(基準データ!$C$5,-1)+1,
      IF(
        _xlpm._対象月初&gt;_xlpm._今月初,
        IF(
          OR(BA18="",BA18=0),
          "",
          BA18*BB$26
        ),
        _xlfn.LET(
          _xlpm._参照先,
            "'[在庫状況把握_43期_2025-2026.xlsx]月次報告"
            &amp;TEXT(BB$1,"YYMM")
            &amp;"'!",
          _xlpm._戻り範囲,
            IF(
              _xlpm._対象月初=_xlpm._今月初,
              "$AG$1:$AG$300",
              "$G$1:$G$300"
            ),
          _xlfn.XLOOKUP(
            $C18,
            INDIRECT(_xlpm._参照先&amp;"$C$1:$C$300"),
            INDIRECT(_xlpm._参照先&amp;_xlpm._戻り範囲)
          )
        )
      )
    ),
    ""
  )
)</f>
        <v>282.88921803518866</v>
      </c>
      <c r="BC18" s="223" cm="1">
        <f t="array" aca="1" ref="BC18" ca="1">IF($C18="","",
  IFERROR(
    _xlfn.LET(
      _xlpm._対象月初,EOMONTH(BC$1,-1)+1,
      _xlpm._今月初,EOMONTH(基準データ!$C$5,-1)+1,
      IF(
        _xlpm._対象月初&gt;_xlpm._今月初,
        IF(
          OR(BB18="",BB18=0),
          "",
          BB18*BC$26
        ),
        _xlfn.LET(
          _xlpm._参照先,
            "'[在庫状況把握_43期_2025-2026.xlsx]月次報告"
            &amp;TEXT(BC$1,"YYMM")
            &amp;"'!",
          _xlpm._戻り範囲,
            IF(
              _xlpm._対象月初=_xlpm._今月初,
              "$AG$1:$AG$300",
              "$G$1:$G$300"
            ),
          _xlfn.XLOOKUP(
            $C18,
            INDIRECT(_xlpm._参照先&amp;"$C$1:$C$300"),
            INDIRECT(_xlpm._参照先&amp;_xlpm._戻り範囲)
          )
        )
      )
    ),
    ""
  )
)</f>
        <v>321.49727601292051</v>
      </c>
      <c r="BD18" s="223" cm="1">
        <f t="array" aca="1" ref="BD18" ca="1">IF($C18="","",
  IFERROR(
    _xlfn.LET(
      _xlpm._対象月初,EOMONTH(BD$1,-1)+1,
      _xlpm._今月初,EOMONTH(基準データ!$C$5,-1)+1,
      IF(
        _xlpm._対象月初&gt;_xlpm._今月初,
        IF(
          OR(BC18="",BC18=0),
          "",
          BC18*BD$26
        ),
        _xlfn.LET(
          _xlpm._参照先,
            "'[在庫状況把握_43期_2025-2026.xlsx]月次報告"
            &amp;TEXT(BD$1,"YYMM")
            &amp;"'!",
          _xlpm._戻り範囲,
            IF(
              _xlpm._対象月初=_xlpm._今月初,
              "$AG$1:$AG$300",
              "$G$1:$G$300"
            ),
          _xlfn.XLOOKUP(
            $C18,
            INDIRECT(_xlpm._参照先&amp;"$C$1:$C$300"),
            INDIRECT(_xlpm._参照先&amp;_xlpm._戻り範囲)
          )
        )
      )
    ),
    ""
  )
)</f>
        <v>505.49928863717815</v>
      </c>
    </row>
    <row r="19" spans="1:56">
      <c r="A19" s="1127" t="s">
        <v>1633</v>
      </c>
      <c r="B19" s="26" t="str">
        <v>UNW-E-14450HX-5050-L6-DDR5-15.6</v>
      </c>
      <c r="C19" s="25" t="s">
        <v>334</v>
      </c>
      <c r="D19" s="26" t="s">
        <v>1351</v>
      </c>
      <c r="E19" s="24" t="s">
        <v>1352</v>
      </c>
      <c r="F19" s="24" t="s">
        <v>1347</v>
      </c>
      <c r="G19" s="38">
        <v>1805</v>
      </c>
      <c r="H19" s="109" cm="1">
        <f t="array" aca="1" ref="H19" ca="1">_xlfn.LET(_xlpm._来月から4ヶ月計画合計,
  SUM(
    OFFSET($A19,0,
      MATCH(
        EDATE(基準データ!$C$5,3),$A$1:$BF$1,1
      )-3,1,4)),
_xlpm._今月計画数,
INDEX($A$1:$BE$223,
  ROW(),
  MATCH(EOMONTH(基準データ!$C$5,-1)+1,$A$1:$BE$1,0)
),
  IFERROR(IF($B19="","",_xlpm._来月から4ヶ月計画合計+_xlpm._今月計画数/2),""
)
)</f>
        <v>0</v>
      </c>
      <c r="I19" s="38"/>
      <c r="J19" s="38"/>
      <c r="K19" s="38"/>
      <c r="L19" s="38"/>
      <c r="M19" s="38"/>
      <c r="N19" s="38"/>
      <c r="O19" s="38"/>
      <c r="P19" s="38"/>
      <c r="Q19" s="219"/>
      <c r="R19" s="219"/>
      <c r="S19" s="219"/>
      <c r="T19" s="298"/>
      <c r="U19" s="299"/>
      <c r="V19" s="224"/>
      <c r="W19" s="467"/>
      <c r="X19" s="508"/>
      <c r="Y19" s="219">
        <v>27</v>
      </c>
      <c r="Z19" s="219">
        <v>139</v>
      </c>
      <c r="AA19" s="508">
        <v>160</v>
      </c>
      <c r="AB19" s="508">
        <v>85</v>
      </c>
      <c r="AC19" s="241">
        <v>40</v>
      </c>
      <c r="AD19" s="241" t="s">
        <v>21</v>
      </c>
      <c r="AE19" s="223" t="s">
        <v>21</v>
      </c>
      <c r="AF19" s="223" t="s">
        <v>21</v>
      </c>
      <c r="AG19" s="223" t="s">
        <v>21</v>
      </c>
      <c r="AH19" s="223" t="s">
        <v>21</v>
      </c>
      <c r="AI19" s="223" t="s">
        <v>21</v>
      </c>
      <c r="AJ19" s="223">
        <v>0</v>
      </c>
      <c r="AK19" s="223">
        <v>0</v>
      </c>
      <c r="AL19" s="223" cm="1">
        <f t="array" aca="1" ref="AL19" ca="1">IF($C19="","",
  IFERROR(
    _xlfn.LET(
      _xlpm._対象月初,EOMONTH(AL$1,-1)+1,
      _xlpm._今月初,EOMONTH(基準データ!$C$5,-1)+1,
      IF(
        _xlpm._対象月初&gt;_xlpm._今月初,
        IF(
          OR(AK19="",AK19=0),
          "",
          AK19*AL$26
        ),
        _xlfn.LET(
          _xlpm._参照先,
            "'[在庫状況把握_43期_2025-2026.xlsx]月次報告"
            &amp;TEXT(AL$1,"YYMM")
            &amp;"'!",
          _xlpm._戻り範囲,
            IF(
              _xlpm._対象月初=_xlpm._今月初,
              "$AG$1:$AG$300",
              "$G$1:$G$300"
            ),
          _xlfn.XLOOKUP(
            $C19,
            INDIRECT(_xlpm._参照先&amp;"$C$1:$C$300"),
            INDIRECT(_xlpm._参照先&amp;_xlpm._戻り範囲)
          )
        )
      )
    ),
    ""
  )
)</f>
        <v>0</v>
      </c>
      <c r="AM19" s="223" cm="1">
        <f t="array" aca="1" ref="AM19" ca="1">IF($C19="","",
  IFERROR(
    _xlfn.LET(
      _xlpm._対象月初,EOMONTH(AM$1,-1)+1,
      _xlpm._今月初,EOMONTH(基準データ!$C$5,-1)+1,
      IF(
        _xlpm._対象月初&gt;_xlpm._今月初,
        IF(
          OR(AL19="",AL19=0),
          "",
          AL19*AM$26
        ),
        _xlfn.LET(
          _xlpm._参照先,
            "'[在庫状況把握_43期_2025-2026.xlsx]月次報告"
            &amp;TEXT(AM$1,"YYMM")
            &amp;"'!",
          _xlpm._戻り範囲,
            IF(
              _xlpm._対象月初=_xlpm._今月初,
              "$AG$1:$AG$300",
              "$G$1:$G$300"
            ),
          _xlfn.XLOOKUP(
            $C19,
            INDIRECT(_xlpm._参照先&amp;"$C$1:$C$300"),
            INDIRECT(_xlpm._参照先&amp;_xlpm._戻り範囲)
          )
        )
      )
    ),
    ""
  )
)</f>
        <v>0</v>
      </c>
      <c r="AN19" s="223" t="str" cm="1">
        <f t="array" aca="1" ref="AN19" ca="1">IF($C19="","",
  IFERROR(
    _xlfn.LET(
      _xlpm._対象月初,EOMONTH(AN$1,-1)+1,
      _xlpm._今月初,EOMONTH(基準データ!$C$5,-1)+1,
      IF(
        _xlpm._対象月初&gt;_xlpm._今月初,
        IF(
          OR(AM19="",AM19=0),
          "",
          AM19*AN$26
        ),
        _xlfn.LET(
          _xlpm._参照先,
            "'[在庫状況把握_43期_2025-2026.xlsx]月次報告"
            &amp;TEXT(AN$1,"YYMM")
            &amp;"'!",
          _xlpm._戻り範囲,
            IF(
              _xlpm._対象月初=_xlpm._今月初,
              "$AG$1:$AG$300",
              "$G$1:$G$300"
            ),
          _xlfn.XLOOKUP(
            $C19,
            INDIRECT(_xlpm._参照先&amp;"$C$1:$C$300"),
            INDIRECT(_xlpm._参照先&amp;_xlpm._戻り範囲)
          )
        )
      )
    ),
    ""
  )
)</f>
        <v/>
      </c>
      <c r="AO19" s="223" t="str" cm="1">
        <f t="array" aca="1" ref="AO19" ca="1">IF($C19="","",
  IFERROR(
    _xlfn.LET(
      _xlpm._対象月初,EOMONTH(AO$1,-1)+1,
      _xlpm._今月初,EOMONTH(基準データ!$C$5,-1)+1,
      IF(
        _xlpm._対象月初&gt;_xlpm._今月初,
        IF(
          OR(AN19="",AN19=0),
          "",
          AN19*AO$26
        ),
        _xlfn.LET(
          _xlpm._参照先,
            "'[在庫状況把握_43期_2025-2026.xlsx]月次報告"
            &amp;TEXT(AO$1,"YYMM")
            &amp;"'!",
          _xlpm._戻り範囲,
            IF(
              _xlpm._対象月初=_xlpm._今月初,
              "$AG$1:$AG$300",
              "$G$1:$G$300"
            ),
          _xlfn.XLOOKUP(
            $C19,
            INDIRECT(_xlpm._参照先&amp;"$C$1:$C$300"),
            INDIRECT(_xlpm._参照先&amp;_xlpm._戻り範囲)
          )
        )
      )
    ),
    ""
  )
)</f>
        <v/>
      </c>
      <c r="AP19" s="223" t="str" cm="1">
        <f t="array" aca="1" ref="AP19" ca="1">IF($C19="","",
  IFERROR(
    _xlfn.LET(
      _xlpm._対象月初,EOMONTH(AP$1,-1)+1,
      _xlpm._今月初,EOMONTH(基準データ!$C$5,-1)+1,
      IF(
        _xlpm._対象月初&gt;_xlpm._今月初,
        IF(
          OR(AO19="",AO19=0),
          "",
          AO19*AP$26
        ),
        _xlfn.LET(
          _xlpm._参照先,
            "'[在庫状況把握_43期_2025-2026.xlsx]月次報告"
            &amp;TEXT(AP$1,"YYMM")
            &amp;"'!",
          _xlpm._戻り範囲,
            IF(
              _xlpm._対象月初=_xlpm._今月初,
              "$AG$1:$AG$300",
              "$G$1:$G$300"
            ),
          _xlfn.XLOOKUP(
            $C19,
            INDIRECT(_xlpm._参照先&amp;"$C$1:$C$300"),
            INDIRECT(_xlpm._参照先&amp;_xlpm._戻り範囲)
          )
        )
      )
    ),
    ""
  )
)</f>
        <v/>
      </c>
      <c r="AQ19" s="223" t="str" cm="1">
        <f t="array" aca="1" ref="AQ19" ca="1">IF($C19="","",
  IFERROR(
    _xlfn.LET(
      _xlpm._対象月初,EOMONTH(AQ$1,-1)+1,
      _xlpm._今月初,EOMONTH(基準データ!$C$5,-1)+1,
      IF(
        _xlpm._対象月初&gt;_xlpm._今月初,
        IF(
          OR(AP19="",AP19=0),
          "",
          AP19*AQ$26
        ),
        _xlfn.LET(
          _xlpm._参照先,
            "'[在庫状況把握_43期_2025-2026.xlsx]月次報告"
            &amp;TEXT(AQ$1,"YYMM")
            &amp;"'!",
          _xlpm._戻り範囲,
            IF(
              _xlpm._対象月初=_xlpm._今月初,
              "$AG$1:$AG$300",
              "$G$1:$G$300"
            ),
          _xlfn.XLOOKUP(
            $C19,
            INDIRECT(_xlpm._参照先&amp;"$C$1:$C$300"),
            INDIRECT(_xlpm._参照先&amp;_xlpm._戻り範囲)
          )
        )
      )
    ),
    ""
  )
)</f>
        <v/>
      </c>
      <c r="AR19" s="223" t="str" cm="1">
        <f t="array" aca="1" ref="AR19" ca="1">IF($C19="","",
  IFERROR(
    _xlfn.LET(
      _xlpm._対象月初,EOMONTH(AR$1,-1)+1,
      _xlpm._今月初,EOMONTH(基準データ!$C$5,-1)+1,
      IF(
        _xlpm._対象月初&gt;_xlpm._今月初,
        IF(
          OR(AQ19="",AQ19=0),
          "",
          AQ19*AR$26
        ),
        _xlfn.LET(
          _xlpm._参照先,
            "'[在庫状況把握_43期_2025-2026.xlsx]月次報告"
            &amp;TEXT(AR$1,"YYMM")
            &amp;"'!",
          _xlpm._戻り範囲,
            IF(
              _xlpm._対象月初=_xlpm._今月初,
              "$AG$1:$AG$300",
              "$G$1:$G$300"
            ),
          _xlfn.XLOOKUP(
            $C19,
            INDIRECT(_xlpm._参照先&amp;"$C$1:$C$300"),
            INDIRECT(_xlpm._参照先&amp;_xlpm._戻り範囲)
          )
        )
      )
    ),
    ""
  )
)</f>
        <v/>
      </c>
      <c r="AS19" s="223" t="str" cm="1">
        <f t="array" aca="1" ref="AS19" ca="1">IF($C19="","",
  IFERROR(
    _xlfn.LET(
      _xlpm._対象月初,EOMONTH(AS$1,-1)+1,
      _xlpm._今月初,EOMONTH(基準データ!$C$5,-1)+1,
      IF(
        _xlpm._対象月初&gt;_xlpm._今月初,
        IF(
          OR(AR19="",AR19=0),
          "",
          AR19*AS$26
        ),
        _xlfn.LET(
          _xlpm._参照先,
            "'[在庫状況把握_43期_2025-2026.xlsx]月次報告"
            &amp;TEXT(AS$1,"YYMM")
            &amp;"'!",
          _xlpm._戻り範囲,
            IF(
              _xlpm._対象月初=_xlpm._今月初,
              "$AG$1:$AG$300",
              "$G$1:$G$300"
            ),
          _xlfn.XLOOKUP(
            $C19,
            INDIRECT(_xlpm._参照先&amp;"$C$1:$C$300"),
            INDIRECT(_xlpm._参照先&amp;_xlpm._戻り範囲)
          )
        )
      )
    ),
    ""
  )
)</f>
        <v/>
      </c>
      <c r="AT19" s="223" t="str" cm="1">
        <f t="array" aca="1" ref="AT19" ca="1">IF($C19="","",
  IFERROR(
    _xlfn.LET(
      _xlpm._対象月初,EOMONTH(AT$1,-1)+1,
      _xlpm._今月初,EOMONTH(基準データ!$C$5,-1)+1,
      IF(
        _xlpm._対象月初&gt;_xlpm._今月初,
        IF(
          OR(AS19="",AS19=0),
          "",
          AS19*AT$26
        ),
        _xlfn.LET(
          _xlpm._参照先,
            "'[在庫状況把握_43期_2025-2026.xlsx]月次報告"
            &amp;TEXT(AT$1,"YYMM")
            &amp;"'!",
          _xlpm._戻り範囲,
            IF(
              _xlpm._対象月初=_xlpm._今月初,
              "$AG$1:$AG$300",
              "$G$1:$G$300"
            ),
          _xlfn.XLOOKUP(
            $C19,
            INDIRECT(_xlpm._参照先&amp;"$C$1:$C$300"),
            INDIRECT(_xlpm._参照先&amp;_xlpm._戻り範囲)
          )
        )
      )
    ),
    ""
  )
)</f>
        <v/>
      </c>
      <c r="AU19" s="223" t="str" cm="1">
        <f t="array" aca="1" ref="AU19" ca="1">IF($C19="","",
  IFERROR(
    _xlfn.LET(
      _xlpm._対象月初,EOMONTH(AU$1,-1)+1,
      _xlpm._今月初,EOMONTH(基準データ!$C$5,-1)+1,
      IF(
        _xlpm._対象月初&gt;_xlpm._今月初,
        IF(
          OR(AT19="",AT19=0),
          "",
          AT19*AU$26
        ),
        _xlfn.LET(
          _xlpm._参照先,
            "'[在庫状況把握_43期_2025-2026.xlsx]月次報告"
            &amp;TEXT(AU$1,"YYMM")
            &amp;"'!",
          _xlpm._戻り範囲,
            IF(
              _xlpm._対象月初=_xlpm._今月初,
              "$AG$1:$AG$300",
              "$G$1:$G$300"
            ),
          _xlfn.XLOOKUP(
            $C19,
            INDIRECT(_xlpm._参照先&amp;"$C$1:$C$300"),
            INDIRECT(_xlpm._参照先&amp;_xlpm._戻り範囲)
          )
        )
      )
    ),
    ""
  )
)</f>
        <v/>
      </c>
      <c r="AV19" s="223" t="str" cm="1">
        <f t="array" aca="1" ref="AV19" ca="1">IF($C19="","",
  IFERROR(
    _xlfn.LET(
      _xlpm._対象月初,EOMONTH(AV$1,-1)+1,
      _xlpm._今月初,EOMONTH(基準データ!$C$5,-1)+1,
      IF(
        _xlpm._対象月初&gt;_xlpm._今月初,
        IF(
          OR(AU19="",AU19=0),
          "",
          AU19*AV$26
        ),
        _xlfn.LET(
          _xlpm._参照先,
            "'[在庫状況把握_43期_2025-2026.xlsx]月次報告"
            &amp;TEXT(AV$1,"YYMM")
            &amp;"'!",
          _xlpm._戻り範囲,
            IF(
              _xlpm._対象月初=_xlpm._今月初,
              "$AG$1:$AG$300",
              "$G$1:$G$300"
            ),
          _xlfn.XLOOKUP(
            $C19,
            INDIRECT(_xlpm._参照先&amp;"$C$1:$C$300"),
            INDIRECT(_xlpm._参照先&amp;_xlpm._戻り範囲)
          )
        )
      )
    ),
    ""
  )
)</f>
        <v/>
      </c>
      <c r="AW19" s="223" t="str" cm="1">
        <f t="array" aca="1" ref="AW19" ca="1">IF($C19="","",
  IFERROR(
    _xlfn.LET(
      _xlpm._対象月初,EOMONTH(AW$1,-1)+1,
      _xlpm._今月初,EOMONTH(基準データ!$C$5,-1)+1,
      IF(
        _xlpm._対象月初&gt;_xlpm._今月初,
        IF(
          OR(AV19="",AV19=0),
          "",
          AV19*AW$26
        ),
        _xlfn.LET(
          _xlpm._参照先,
            "'[在庫状況把握_43期_2025-2026.xlsx]月次報告"
            &amp;TEXT(AW$1,"YYMM")
            &amp;"'!",
          _xlpm._戻り範囲,
            IF(
              _xlpm._対象月初=_xlpm._今月初,
              "$AG$1:$AG$300",
              "$G$1:$G$300"
            ),
          _xlfn.XLOOKUP(
            $C19,
            INDIRECT(_xlpm._参照先&amp;"$C$1:$C$300"),
            INDIRECT(_xlpm._参照先&amp;_xlpm._戻り範囲)
          )
        )
      )
    ),
    ""
  )
)</f>
        <v/>
      </c>
      <c r="AX19" s="223" t="str" cm="1">
        <f t="array" aca="1" ref="AX19" ca="1">IF($C19="","",
  IFERROR(
    _xlfn.LET(
      _xlpm._対象月初,EOMONTH(AX$1,-1)+1,
      _xlpm._今月初,EOMONTH(基準データ!$C$5,-1)+1,
      IF(
        _xlpm._対象月初&gt;_xlpm._今月初,
        IF(
          OR(AW19="",AW19=0),
          "",
          AW19*AX$26
        ),
        _xlfn.LET(
          _xlpm._参照先,
            "'[在庫状況把握_43期_2025-2026.xlsx]月次報告"
            &amp;TEXT(AX$1,"YYMM")
            &amp;"'!",
          _xlpm._戻り範囲,
            IF(
              _xlpm._対象月初=_xlpm._今月初,
              "$AG$1:$AG$300",
              "$G$1:$G$300"
            ),
          _xlfn.XLOOKUP(
            $C19,
            INDIRECT(_xlpm._参照先&amp;"$C$1:$C$300"),
            INDIRECT(_xlpm._参照先&amp;_xlpm._戻り範囲)
          )
        )
      )
    ),
    ""
  )
)</f>
        <v/>
      </c>
      <c r="AY19" s="223" t="str" cm="1">
        <f t="array" aca="1" ref="AY19" ca="1">IF($C19="","",
  IFERROR(
    _xlfn.LET(
      _xlpm._対象月初,EOMONTH(AY$1,-1)+1,
      _xlpm._今月初,EOMONTH(基準データ!$C$5,-1)+1,
      IF(
        _xlpm._対象月初&gt;_xlpm._今月初,
        IF(
          OR(AX19="",AX19=0),
          "",
          AX19*AY$26
        ),
        _xlfn.LET(
          _xlpm._参照先,
            "'[在庫状況把握_43期_2025-2026.xlsx]月次報告"
            &amp;TEXT(AY$1,"YYMM")
            &amp;"'!",
          _xlpm._戻り範囲,
            IF(
              _xlpm._対象月初=_xlpm._今月初,
              "$AG$1:$AG$300",
              "$G$1:$G$300"
            ),
          _xlfn.XLOOKUP(
            $C19,
            INDIRECT(_xlpm._参照先&amp;"$C$1:$C$300"),
            INDIRECT(_xlpm._参照先&amp;_xlpm._戻り範囲)
          )
        )
      )
    ),
    ""
  )
)</f>
        <v/>
      </c>
      <c r="AZ19" s="223" t="str" cm="1">
        <f t="array" aca="1" ref="AZ19" ca="1">IF($C19="","",
  IFERROR(
    _xlfn.LET(
      _xlpm._対象月初,EOMONTH(AZ$1,-1)+1,
      _xlpm._今月初,EOMONTH(基準データ!$C$5,-1)+1,
      IF(
        _xlpm._対象月初&gt;_xlpm._今月初,
        IF(
          OR(AY19="",AY19=0),
          "",
          AY19*AZ$26
        ),
        _xlfn.LET(
          _xlpm._参照先,
            "'[在庫状況把握_43期_2025-2026.xlsx]月次報告"
            &amp;TEXT(AZ$1,"YYMM")
            &amp;"'!",
          _xlpm._戻り範囲,
            IF(
              _xlpm._対象月初=_xlpm._今月初,
              "$AG$1:$AG$300",
              "$G$1:$G$300"
            ),
          _xlfn.XLOOKUP(
            $C19,
            INDIRECT(_xlpm._参照先&amp;"$C$1:$C$300"),
            INDIRECT(_xlpm._参照先&amp;_xlpm._戻り範囲)
          )
        )
      )
    ),
    ""
  )
)</f>
        <v/>
      </c>
      <c r="BA19" s="223" t="str" cm="1">
        <f t="array" aca="1" ref="BA19" ca="1">IF($C19="","",
  IFERROR(
    _xlfn.LET(
      _xlpm._対象月初,EOMONTH(BA$1,-1)+1,
      _xlpm._今月初,EOMONTH(基準データ!$C$5,-1)+1,
      IF(
        _xlpm._対象月初&gt;_xlpm._今月初,
        IF(
          OR(AZ19="",AZ19=0),
          "",
          AZ19*BA$26
        ),
        _xlfn.LET(
          _xlpm._参照先,
            "'[在庫状況把握_43期_2025-2026.xlsx]月次報告"
            &amp;TEXT(BA$1,"YYMM")
            &amp;"'!",
          _xlpm._戻り範囲,
            IF(
              _xlpm._対象月初=_xlpm._今月初,
              "$AG$1:$AG$300",
              "$G$1:$G$300"
            ),
          _xlfn.XLOOKUP(
            $C19,
            INDIRECT(_xlpm._参照先&amp;"$C$1:$C$300"),
            INDIRECT(_xlpm._参照先&amp;_xlpm._戻り範囲)
          )
        )
      )
    ),
    ""
  )
)</f>
        <v/>
      </c>
      <c r="BB19" s="223" t="str" cm="1">
        <f t="array" aca="1" ref="BB19" ca="1">IF($C19="","",
  IFERROR(
    _xlfn.LET(
      _xlpm._対象月初,EOMONTH(BB$1,-1)+1,
      _xlpm._今月初,EOMONTH(基準データ!$C$5,-1)+1,
      IF(
        _xlpm._対象月初&gt;_xlpm._今月初,
        IF(
          OR(BA19="",BA19=0),
          "",
          BA19*BB$26
        ),
        _xlfn.LET(
          _xlpm._参照先,
            "'[在庫状況把握_43期_2025-2026.xlsx]月次報告"
            &amp;TEXT(BB$1,"YYMM")
            &amp;"'!",
          _xlpm._戻り範囲,
            IF(
              _xlpm._対象月初=_xlpm._今月初,
              "$AG$1:$AG$300",
              "$G$1:$G$300"
            ),
          _xlfn.XLOOKUP(
            $C19,
            INDIRECT(_xlpm._参照先&amp;"$C$1:$C$300"),
            INDIRECT(_xlpm._参照先&amp;_xlpm._戻り範囲)
          )
        )
      )
    ),
    ""
  )
)</f>
        <v/>
      </c>
      <c r="BC19" s="223" t="str" cm="1">
        <f t="array" aca="1" ref="BC19" ca="1">IF($C19="","",
  IFERROR(
    _xlfn.LET(
      _xlpm._対象月初,EOMONTH(BC$1,-1)+1,
      _xlpm._今月初,EOMONTH(基準データ!$C$5,-1)+1,
      IF(
        _xlpm._対象月初&gt;_xlpm._今月初,
        IF(
          OR(BB19="",BB19=0),
          "",
          BB19*BC$26
        ),
        _xlfn.LET(
          _xlpm._参照先,
            "'[在庫状況把握_43期_2025-2026.xlsx]月次報告"
            &amp;TEXT(BC$1,"YYMM")
            &amp;"'!",
          _xlpm._戻り範囲,
            IF(
              _xlpm._対象月初=_xlpm._今月初,
              "$AG$1:$AG$300",
              "$G$1:$G$300"
            ),
          _xlfn.XLOOKUP(
            $C19,
            INDIRECT(_xlpm._参照先&amp;"$C$1:$C$300"),
            INDIRECT(_xlpm._参照先&amp;_xlpm._戻り範囲)
          )
        )
      )
    ),
    ""
  )
)</f>
        <v/>
      </c>
      <c r="BD19" s="223" t="str" cm="1">
        <f t="array" aca="1" ref="BD19" ca="1">IF($C19="","",
  IFERROR(
    _xlfn.LET(
      _xlpm._対象月初,EOMONTH(BD$1,-1)+1,
      _xlpm._今月初,EOMONTH(基準データ!$C$5,-1)+1,
      IF(
        _xlpm._対象月初&gt;_xlpm._今月初,
        IF(
          OR(BC19="",BC19=0),
          "",
          BC19*BD$26
        ),
        _xlfn.LET(
          _xlpm._参照先,
            "'[在庫状況把握_43期_2025-2026.xlsx]月次報告"
            &amp;TEXT(BD$1,"YYMM")
            &amp;"'!",
          _xlpm._戻り範囲,
            IF(
              _xlpm._対象月初=_xlpm._今月初,
              "$AG$1:$AG$300",
              "$G$1:$G$300"
            ),
          _xlfn.XLOOKUP(
            $C19,
            INDIRECT(_xlpm._参照先&amp;"$C$1:$C$300"),
            INDIRECT(_xlpm._参照先&amp;_xlpm._戻り範囲)
          )
        )
      )
    ),
    ""
  )
)</f>
        <v/>
      </c>
    </row>
    <row r="20" spans="1:56">
      <c r="A20" s="1060" t="s">
        <v>1633</v>
      </c>
      <c r="B20" s="26" t="str">
        <v>UNW-E-13620H-3050-L6</v>
      </c>
      <c r="C20" s="25" t="s">
        <v>336</v>
      </c>
      <c r="D20" s="68" t="s">
        <v>1367</v>
      </c>
      <c r="E20" s="68">
        <v>3050</v>
      </c>
      <c r="F20" s="68" t="s">
        <v>1347</v>
      </c>
      <c r="G20" s="355">
        <v>2039</v>
      </c>
      <c r="H20" s="109" cm="1">
        <f t="array" aca="1" ref="H20" ca="1">_xlfn.LET(_xlpm._来月から4ヶ月計画合計,
  SUM(
    OFFSET($A20,0,
      MATCH(
        EDATE(基準データ!$C$5,3),$A$1:$BF$1,1
      )-3,1,4)),
_xlpm._今月計画数,
INDEX($A$1:$BE$223,
  ROW(),
  MATCH(EOMONTH(基準データ!$C$5,-1)+1,$A$1:$BE$1,0)
),
  IFERROR(IF($B20="","",_xlpm._来月から4ヶ月計画合計+_xlpm._今月計画数/2),""
)
)</f>
        <v>3086.0251233993504</v>
      </c>
      <c r="I20" s="38"/>
      <c r="J20" s="38"/>
      <c r="K20" s="38"/>
      <c r="L20" s="38"/>
      <c r="M20" s="38"/>
      <c r="N20" s="38"/>
      <c r="O20" s="38"/>
      <c r="P20" s="38"/>
      <c r="Q20" s="219"/>
      <c r="R20" s="219"/>
      <c r="S20" s="219"/>
      <c r="T20" s="219"/>
      <c r="U20" s="224">
        <v>526</v>
      </c>
      <c r="V20" s="224">
        <v>400</v>
      </c>
      <c r="W20" s="222">
        <v>850</v>
      </c>
      <c r="X20" s="508">
        <v>735</v>
      </c>
      <c r="Y20" s="508">
        <v>689</v>
      </c>
      <c r="Z20" s="508">
        <v>1049</v>
      </c>
      <c r="AA20" s="508">
        <v>1825</v>
      </c>
      <c r="AB20" s="508">
        <v>996</v>
      </c>
      <c r="AC20" s="241">
        <v>1117</v>
      </c>
      <c r="AD20" s="241">
        <v>1192</v>
      </c>
      <c r="AE20" s="223">
        <v>1012</v>
      </c>
      <c r="AF20" s="223">
        <v>963</v>
      </c>
      <c r="AG20" s="223">
        <v>572</v>
      </c>
      <c r="AH20" s="223">
        <v>324</v>
      </c>
      <c r="AI20" s="223">
        <v>510</v>
      </c>
      <c r="AJ20" s="223">
        <v>520</v>
      </c>
      <c r="AK20" s="223">
        <v>970</v>
      </c>
      <c r="AL20" s="223" cm="1">
        <f t="array" aca="1" ref="AL20" ca="1">IF($C20="","",
  IFERROR(
    _xlfn.LET(
      _xlpm._対象月初,EOMONTH(AL$1,-1)+1,
      _xlpm._今月初,EOMONTH(基準データ!$C$5,-1)+1,
      IF(
        _xlpm._対象月初&gt;_xlpm._今月初,
        IF(
          OR(AK20="",AK20=0),
          "",
          AK20*AL$26
        ),
        _xlfn.LET(
          _xlpm._参照先,
            "'[在庫状況把握_43期_2025-2026.xlsx]月次報告"
            &amp;TEXT(AL$1,"YYMM")
            &amp;"'!",
          _xlpm._戻り範囲,
            IF(
              _xlpm._対象月初=_xlpm._今月初,
              "$AG$1:$AG$300",
              "$G$1:$G$300"
            ),
          _xlfn.XLOOKUP(
            $C20,
            INDIRECT(_xlpm._参照先&amp;"$C$1:$C$300"),
            INDIRECT(_xlpm._参照先&amp;_xlpm._戻り範囲)
          )
        )
      )
    ),
    ""
  )
)</f>
        <v>938</v>
      </c>
      <c r="AM20" s="223" cm="1">
        <f t="array" aca="1" ref="AM20" ca="1">IF($C20="","",
  IFERROR(
    _xlfn.LET(
      _xlpm._対象月初,EOMONTH(AM$1,-1)+1,
      _xlpm._今月初,EOMONTH(基準データ!$C$5,-1)+1,
      IF(
        _xlpm._対象月初&gt;_xlpm._今月初,
        IF(
          OR(AL20="",AL20=0),
          "",
          AL20*AM$26
        ),
        _xlfn.LET(
          _xlpm._参照先,
            "'[在庫状況把握_43期_2025-2026.xlsx]月次報告"
            &amp;TEXT(AM$1,"YYMM")
            &amp;"'!",
          _xlpm._戻り範囲,
            IF(
              _xlpm._対象月初=_xlpm._今月初,
              "$AG$1:$AG$300",
              "$G$1:$G$300"
            ),
          _xlfn.XLOOKUP(
            $C20,
            INDIRECT(_xlpm._参照先&amp;"$C$1:$C$300"),
            INDIRECT(_xlpm._参照先&amp;_xlpm._戻り範囲)
          )
        )
      )
    ),
    ""
  )
)</f>
        <v>964.32142857142856</v>
      </c>
      <c r="AN20" s="223" cm="1">
        <f t="array" aca="1" ref="AN20" ca="1">IF($C20="","",
  IFERROR(
    _xlfn.LET(
      _xlpm._対象月初,EOMONTH(AN$1,-1)+1,
      _xlpm._今月初,EOMONTH(基準データ!$C$5,-1)+1,
      IF(
        _xlpm._対象月初&gt;_xlpm._今月初,
        IF(
          OR(AM20="",AM20=0),
          "",
          AM20*AN$26
        ),
        _xlfn.LET(
          _xlpm._参照先,
            "'[在庫状況把握_43期_2025-2026.xlsx]月次報告"
            &amp;TEXT(AN$1,"YYMM")
            &amp;"'!",
          _xlpm._戻り範囲,
            IF(
              _xlpm._対象月初=_xlpm._今月初,
              "$AG$1:$AG$300",
              "$G$1:$G$300"
            ),
          _xlfn.XLOOKUP(
            $C20,
            INDIRECT(_xlpm._参照先&amp;"$C$1:$C$300"),
            INDIRECT(_xlpm._参照先&amp;_xlpm._戻り範囲)
          )
        )
      )
    ),
    ""
  )
)</f>
        <v>788.12641114915721</v>
      </c>
      <c r="AO20" s="223" cm="1">
        <f t="array" aca="1" ref="AO20" ca="1">IF($C20="","",
  IFERROR(
    _xlfn.LET(
      _xlpm._対象月初,EOMONTH(AO$1,-1)+1,
      _xlpm._今月初,EOMONTH(基準データ!$C$5,-1)+1,
      IF(
        _xlpm._対象月初&gt;_xlpm._今月初,
        IF(
          OR(AN20="",AN20=0),
          "",
          AN20*AO$26
        ),
        _xlfn.LET(
          _xlpm._参照先,
            "'[在庫状況把握_43期_2025-2026.xlsx]月次報告"
            &amp;TEXT(AO$1,"YYMM")
            &amp;"'!",
          _xlpm._戻り範囲,
            IF(
              _xlpm._対象月初=_xlpm._今月初,
              "$AG$1:$AG$300",
              "$G$1:$G$300"
            ),
          _xlfn.XLOOKUP(
            $C20,
            INDIRECT(_xlpm._参照先&amp;"$C$1:$C$300"),
            INDIRECT(_xlpm._参照先&amp;_xlpm._戻り範囲)
          )
        )
      )
    ),
    ""
  )
)</f>
        <v>635.4226699019157</v>
      </c>
      <c r="AP20" s="223" cm="1">
        <f t="array" aca="1" ref="AP20" ca="1">IF($C20="","",
  IFERROR(
    _xlfn.LET(
      _xlpm._対象月初,EOMONTH(AP$1,-1)+1,
      _xlpm._今月初,EOMONTH(基準データ!$C$5,-1)+1,
      IF(
        _xlpm._対象月初&gt;_xlpm._今月初,
        IF(
          OR(AO20="",AO20=0),
          "",
          AO20*AP$26
        ),
        _xlfn.LET(
          _xlpm._参照先,
            "'[在庫状況把握_43期_2025-2026.xlsx]月次報告"
            &amp;TEXT(AP$1,"YYMM")
            &amp;"'!",
          _xlpm._戻り範囲,
            IF(
              _xlpm._対象月初=_xlpm._今月初,
              "$AG$1:$AG$300",
              "$G$1:$G$300"
            ),
          _xlfn.XLOOKUP(
            $C20,
            INDIRECT(_xlpm._参照先&amp;"$C$1:$C$300"),
            INDIRECT(_xlpm._参照先&amp;_xlpm._戻り範囲)
          )
        )
      )
    ),
    ""
  )
)</f>
        <v>552.45854015392251</v>
      </c>
      <c r="AQ20" s="223" cm="1">
        <f t="array" aca="1" ref="AQ20" ca="1">IF($C20="","",
  IFERROR(
    _xlfn.LET(
      _xlpm._対象月初,EOMONTH(AQ$1,-1)+1,
      _xlpm._今月初,EOMONTH(基準データ!$C$5,-1)+1,
      IF(
        _xlpm._対象月初&gt;_xlpm._今月初,
        IF(
          OR(AP20="",AP20=0),
          "",
          AP20*AQ$26
        ),
        _xlfn.LET(
          _xlpm._参照先,
            "'[在庫状況把握_43期_2025-2026.xlsx]月次報告"
            &amp;TEXT(AQ$1,"YYMM")
            &amp;"'!",
          _xlpm._戻り範囲,
            IF(
              _xlpm._対象月初=_xlpm._今月初,
              "$AG$1:$AG$300",
              "$G$1:$G$300"
            ),
          _xlfn.XLOOKUP(
            $C20,
            INDIRECT(_xlpm._参照先&amp;"$C$1:$C$300"),
            INDIRECT(_xlpm._参照先&amp;_xlpm._戻り範囲)
          )
        )
      )
    ),
    ""
  )
)</f>
        <v>627.85678790864097</v>
      </c>
      <c r="AR20" s="223" cm="1">
        <f t="array" aca="1" ref="AR20" ca="1">IF($C20="","",
  IFERROR(
    _xlfn.LET(
      _xlpm._対象月初,EOMONTH(AR$1,-1)+1,
      _xlpm._今月初,EOMONTH(基準データ!$C$5,-1)+1,
      IF(
        _xlpm._対象月初&gt;_xlpm._今月初,
        IF(
          OR(AQ20="",AQ20=0),
          "",
          AQ20*AR$26
        ),
        _xlfn.LET(
          _xlpm._参照先,
            "'[在庫状況把握_43期_2025-2026.xlsx]月次報告"
            &amp;TEXT(AR$1,"YYMM")
            &amp;"'!",
          _xlpm._戻り範囲,
            IF(
              _xlpm._対象月初=_xlpm._今月初,
              "$AG$1:$AG$300",
              "$G$1:$G$300"
            ),
          _xlfn.XLOOKUP(
            $C20,
            INDIRECT(_xlpm._参照先&amp;"$C$1:$C$300"),
            INDIRECT(_xlpm._参照先&amp;_xlpm._戻り範囲)
          )
        )
      )
    ),
    ""
  )
)</f>
        <v>987.19704126229226</v>
      </c>
      <c r="AS20" s="223" cm="1">
        <f t="array" aca="1" ref="AS20" ca="1">IF($C20="","",
  IFERROR(
    _xlfn.LET(
      _xlpm._対象月初,EOMONTH(AS$1,-1)+1,
      _xlpm._今月初,EOMONTH(基準データ!$C$5,-1)+1,
      IF(
        _xlpm._対象月初&gt;_xlpm._今月初,
        IF(
          OR(AR20="",AR20=0),
          "",
          AR20*AS$26
        ),
        _xlfn.LET(
          _xlpm._参照先,
            "'[在庫状況把握_43期_2025-2026.xlsx]月次報告"
            &amp;TEXT(AS$1,"YYMM")
            &amp;"'!",
          _xlpm._戻り範囲,
            IF(
              _xlpm._対象月初=_xlpm._今月初,
              "$AG$1:$AG$300",
              "$G$1:$G$300"
            ),
          _xlfn.XLOOKUP(
            $C20,
            INDIRECT(_xlpm._参照先&amp;"$C$1:$C$300"),
            INDIRECT(_xlpm._参照先&amp;_xlpm._戻り範囲)
          )
        )
      )
    ),
    ""
  )
)</f>
        <v>825.48507278915895</v>
      </c>
      <c r="AT20" s="223" cm="1">
        <f t="array" aca="1" ref="AT20" ca="1">IF($C20="","",
  IFERROR(
    _xlfn.LET(
      _xlpm._対象月初,EOMONTH(AT$1,-1)+1,
      _xlpm._今月初,EOMONTH(基準データ!$C$5,-1)+1,
      IF(
        _xlpm._対象月初&gt;_xlpm._今月初,
        IF(
          OR(AS20="",AS20=0),
          "",
          AS20*AT$26
        ),
        _xlfn.LET(
          _xlpm._参照先,
            "'[在庫状況把握_43期_2025-2026.xlsx]月次報告"
            &amp;TEXT(AT$1,"YYMM")
            &amp;"'!",
          _xlpm._戻り範囲,
            IF(
              _xlpm._対象月初=_xlpm._今月初,
              "$AG$1:$AG$300",
              "$G$1:$G$300"
            ),
          _xlfn.XLOOKUP(
            $C20,
            INDIRECT(_xlpm._参照先&amp;"$C$1:$C$300"),
            INDIRECT(_xlpm._参照先&amp;_xlpm._戻り範囲)
          )
        )
      )
    ),
    ""
  )
)</f>
        <v>743.09861405307311</v>
      </c>
      <c r="AU20" s="223" cm="1">
        <f t="array" aca="1" ref="AU20" ca="1">IF($C20="","",
  IFERROR(
    _xlfn.LET(
      _xlpm._対象月初,EOMONTH(AU$1,-1)+1,
      _xlpm._今月初,EOMONTH(基準データ!$C$5,-1)+1,
      IF(
        _xlpm._対象月初&gt;_xlpm._今月初,
        IF(
          OR(AT20="",AT20=0),
          "",
          AT20*AU$26
        ),
        _xlfn.LET(
          _xlpm._参照先,
            "'[在庫状況把握_43期_2025-2026.xlsx]月次報告"
            &amp;TEXT(AU$1,"YYMM")
            &amp;"'!",
          _xlpm._戻り範囲,
            IF(
              _xlpm._対象月初=_xlpm._今月初,
              "$AG$1:$AG$300",
              "$G$1:$G$300"
            ),
          _xlfn.XLOOKUP(
            $C20,
            INDIRECT(_xlpm._参照先&amp;"$C$1:$C$300"),
            INDIRECT(_xlpm._参照先&amp;_xlpm._戻り範囲)
          )
        )
      )
    ),
    ""
  )
)</f>
        <v>1069.1686257242952</v>
      </c>
      <c r="AV20" s="223" cm="1">
        <f t="array" aca="1" ref="AV20" ca="1">IF($C20="","",
  IFERROR(
    _xlfn.LET(
      _xlpm._対象月初,EOMONTH(AV$1,-1)+1,
      _xlpm._今月初,EOMONTH(基準データ!$C$5,-1)+1,
      IF(
        _xlpm._対象月初&gt;_xlpm._今月初,
        IF(
          OR(AU20="",AU20=0),
          "",
          AU20*AV$26
        ),
        _xlfn.LET(
          _xlpm._参照先,
            "'[在庫状況把握_43期_2025-2026.xlsx]月次報告"
            &amp;TEXT(AV$1,"YYMM")
            &amp;"'!",
          _xlpm._戻り範囲,
            IF(
              _xlpm._対象月初=_xlpm._今月初,
              "$AG$1:$AG$300",
              "$G$1:$G$300"
            ),
          _xlfn.XLOOKUP(
            $C20,
            INDIRECT(_xlpm._参照先&amp;"$C$1:$C$300"),
            INDIRECT(_xlpm._参照先&amp;_xlpm._戻り範囲)
          )
        )
      )
    ),
    ""
  )
)</f>
        <v>823.00143132415701</v>
      </c>
      <c r="AW20" s="223" cm="1">
        <f t="array" aca="1" ref="AW20" ca="1">IF($C20="","",
  IFERROR(
    _xlfn.LET(
      _xlpm._対象月初,EOMONTH(AW$1,-1)+1,
      _xlpm._今月初,EOMONTH(基準データ!$C$5,-1)+1,
      IF(
        _xlpm._対象月初&gt;_xlpm._今月初,
        IF(
          OR(AV20="",AV20=0),
          "",
          AV20*AW$26
        ),
        _xlfn.LET(
          _xlpm._参照先,
            "'[在庫状況把握_43期_2025-2026.xlsx]月次報告"
            &amp;TEXT(AW$1,"YYMM")
            &amp;"'!",
          _xlpm._戻り範囲,
            IF(
              _xlpm._対象月初=_xlpm._今月初,
              "$AG$1:$AG$300",
              "$G$1:$G$300"
            ),
          _xlfn.XLOOKUP(
            $C20,
            INDIRECT(_xlpm._参照先&amp;"$C$1:$C$300"),
            INDIRECT(_xlpm._参照先&amp;_xlpm._戻り範囲)
          )
        )
      )
    ),
    ""
  )
)</f>
        <v>657.01682269409753</v>
      </c>
      <c r="AX20" s="223" cm="1">
        <f t="array" aca="1" ref="AX20" ca="1">IF($C20="","",
  IFERROR(
    _xlfn.LET(
      _xlpm._対象月初,EOMONTH(AX$1,-1)+1,
      _xlpm._今月初,EOMONTH(基準データ!$C$5,-1)+1,
      IF(
        _xlpm._対象月初&gt;_xlpm._今月初,
        IF(
          OR(AW20="",AW20=0),
          "",
          AW20*AX$26
        ),
        _xlfn.LET(
          _xlpm._参照先,
            "'[在庫状況把握_43期_2025-2026.xlsx]月次報告"
            &amp;TEXT(AX$1,"YYMM")
            &amp;"'!",
          _xlpm._戻り範囲,
            IF(
              _xlpm._対象月初=_xlpm._今月初,
              "$AG$1:$AG$300",
              "$G$1:$G$300"
            ),
          _xlfn.XLOOKUP(
            $C20,
            INDIRECT(_xlpm._参照先&amp;"$C$1:$C$300"),
            INDIRECT(_xlpm._参照先&amp;_xlpm._戻り範囲)
          )
        )
      )
    ),
    ""
  )
)</f>
        <v>760.24026381756903</v>
      </c>
      <c r="AY20" s="223" cm="1">
        <f t="array" aca="1" ref="AY20" ca="1">IF($C20="","",
  IFERROR(
    _xlfn.LET(
      _xlpm._対象月初,EOMONTH(AY$1,-1)+1,
      _xlpm._今月初,EOMONTH(基準データ!$C$5,-1)+1,
      IF(
        _xlpm._対象月初&gt;_xlpm._今月初,
        IF(
          OR(AX20="",AX20=0),
          "",
          AX20*AY$26
        ),
        _xlfn.LET(
          _xlpm._参照先,
            "'[在庫状況把握_43期_2025-2026.xlsx]月次報告"
            &amp;TEXT(AY$1,"YYMM")
            &amp;"'!",
          _xlpm._戻り範囲,
            IF(
              _xlpm._対象月初=_xlpm._今月初,
              "$AG$1:$AG$300",
              "$G$1:$G$300"
            ),
          _xlfn.XLOOKUP(
            $C20,
            INDIRECT(_xlpm._参照先&amp;"$C$1:$C$300"),
            INDIRECT(_xlpm._参照先&amp;_xlpm._戻り範囲)
          )
        )
      )
    ),
    ""
  )
)</f>
        <v>964.32142857142867</v>
      </c>
      <c r="AZ20" s="223" cm="1">
        <f t="array" aca="1" ref="AZ20" ca="1">IF($C20="","",
  IFERROR(
    _xlfn.LET(
      _xlpm._対象月初,EOMONTH(AZ$1,-1)+1,
      _xlpm._今月初,EOMONTH(基準データ!$C$5,-1)+1,
      IF(
        _xlpm._対象月初&gt;_xlpm._今月初,
        IF(
          OR(AY20="",AY20=0),
          "",
          AY20*AZ$26
        ),
        _xlfn.LET(
          _xlpm._参照先,
            "'[在庫状況把握_43期_2025-2026.xlsx]月次報告"
            &amp;TEXT(AZ$1,"YYMM")
            &amp;"'!",
          _xlpm._戻り範囲,
            IF(
              _xlpm._対象月初=_xlpm._今月初,
              "$AG$1:$AG$300",
              "$G$1:$G$300"
            ),
          _xlfn.XLOOKUP(
            $C20,
            INDIRECT(_xlpm._参照先&amp;"$C$1:$C$300"),
            INDIRECT(_xlpm._参照先&amp;_xlpm._戻り範囲)
          )
        )
      )
    ),
    ""
  )
)</f>
        <v>788.12641114915721</v>
      </c>
      <c r="BA20" s="223" cm="1">
        <f t="array" aca="1" ref="BA20" ca="1">IF($C20="","",
  IFERROR(
    _xlfn.LET(
      _xlpm._対象月初,EOMONTH(BA$1,-1)+1,
      _xlpm._今月初,EOMONTH(基準データ!$C$5,-1)+1,
      IF(
        _xlpm._対象月初&gt;_xlpm._今月初,
        IF(
          OR(AZ20="",AZ20=0),
          "",
          AZ20*BA$26
        ),
        _xlfn.LET(
          _xlpm._参照先,
            "'[在庫状況把握_43期_2025-2026.xlsx]月次報告"
            &amp;TEXT(BA$1,"YYMM")
            &amp;"'!",
          _xlpm._戻り範囲,
            IF(
              _xlpm._対象月初=_xlpm._今月初,
              "$AG$1:$AG$300",
              "$G$1:$G$300"
            ),
          _xlfn.XLOOKUP(
            $C20,
            INDIRECT(_xlpm._参照先&amp;"$C$1:$C$300"),
            INDIRECT(_xlpm._参照先&amp;_xlpm._戻り範囲)
          )
        )
      )
    ),
    ""
  )
)</f>
        <v>635.4226699019157</v>
      </c>
      <c r="BB20" s="223" cm="1">
        <f t="array" aca="1" ref="BB20" ca="1">IF($C20="","",
  IFERROR(
    _xlfn.LET(
      _xlpm._対象月初,EOMONTH(BB$1,-1)+1,
      _xlpm._今月初,EOMONTH(基準データ!$C$5,-1)+1,
      IF(
        _xlpm._対象月初&gt;_xlpm._今月初,
        IF(
          OR(BA20="",BA20=0),
          "",
          BA20*BB$26
        ),
        _xlfn.LET(
          _xlpm._参照先,
            "'[在庫状況把握_43期_2025-2026.xlsx]月次報告"
            &amp;TEXT(BB$1,"YYMM")
            &amp;"'!",
          _xlpm._戻り範囲,
            IF(
              _xlpm._対象月初=_xlpm._今月初,
              "$AG$1:$AG$300",
              "$G$1:$G$300"
            ),
          _xlfn.XLOOKUP(
            $C20,
            INDIRECT(_xlpm._参照先&amp;"$C$1:$C$300"),
            INDIRECT(_xlpm._参照先&amp;_xlpm._戻り範囲)
          )
        )
      )
    ),
    ""
  )
)</f>
        <v>552.45854015392251</v>
      </c>
      <c r="BC20" s="223" cm="1">
        <f t="array" aca="1" ref="BC20" ca="1">IF($C20="","",
  IFERROR(
    _xlfn.LET(
      _xlpm._対象月初,EOMONTH(BC$1,-1)+1,
      _xlpm._今月初,EOMONTH(基準データ!$C$5,-1)+1,
      IF(
        _xlpm._対象月初&gt;_xlpm._今月初,
        IF(
          OR(BB20="",BB20=0),
          "",
          BB20*BC$26
        ),
        _xlfn.LET(
          _xlpm._参照先,
            "'[在庫状況把握_43期_2025-2026.xlsx]月次報告"
            &amp;TEXT(BC$1,"YYMM")
            &amp;"'!",
          _xlpm._戻り範囲,
            IF(
              _xlpm._対象月初=_xlpm._今月初,
              "$AG$1:$AG$300",
              "$G$1:$G$300"
            ),
          _xlfn.XLOOKUP(
            $C20,
            INDIRECT(_xlpm._参照先&amp;"$C$1:$C$300"),
            INDIRECT(_xlpm._参照先&amp;_xlpm._戻り範囲)
          )
        )
      )
    ),
    ""
  )
)</f>
        <v>627.85678790864097</v>
      </c>
      <c r="BD20" s="223" cm="1">
        <f t="array" aca="1" ref="BD20" ca="1">IF($C20="","",
  IFERROR(
    _xlfn.LET(
      _xlpm._対象月初,EOMONTH(BD$1,-1)+1,
      _xlpm._今月初,EOMONTH(基準データ!$C$5,-1)+1,
      IF(
        _xlpm._対象月初&gt;_xlpm._今月初,
        IF(
          OR(BC20="",BC20=0),
          "",
          BC20*BD$26
        ),
        _xlfn.LET(
          _xlpm._参照先,
            "'[在庫状況把握_43期_2025-2026.xlsx]月次報告"
            &amp;TEXT(BD$1,"YYMM")
            &amp;"'!",
          _xlpm._戻り範囲,
            IF(
              _xlpm._対象月初=_xlpm._今月初,
              "$AG$1:$AG$300",
              "$G$1:$G$300"
            ),
          _xlfn.XLOOKUP(
            $C20,
            INDIRECT(_xlpm._参照先&amp;"$C$1:$C$300"),
            INDIRECT(_xlpm._参照先&amp;_xlpm._戻り範囲)
          )
        )
      )
    ),
    ""
  )
)</f>
        <v>987.19704126229226</v>
      </c>
    </row>
    <row r="21" spans="1:56">
      <c r="A21" s="1060" t="s">
        <v>1633</v>
      </c>
      <c r="B21" s="26" t="str">
        <v>TFH-E-13420H-3050-L6</v>
      </c>
      <c r="C21" s="100" t="s">
        <v>1368</v>
      </c>
      <c r="D21" s="87" t="s">
        <v>1634</v>
      </c>
      <c r="E21" s="87">
        <v>3050</v>
      </c>
      <c r="F21" s="87" t="s">
        <v>1372</v>
      </c>
      <c r="G21" s="355">
        <v>5</v>
      </c>
      <c r="H21" s="109" cm="1">
        <f t="array" aca="1" ref="H21" ca="1">_xlfn.LET(_xlpm._来月から4ヶ月計画合計,
  SUM(
    OFFSET($A21,0,
      MATCH(
        EDATE(基準データ!$C$5,3),$A$1:$BF$1,1
      )-3,1,4)),
_xlpm._今月計画数,
INDEX($A$1:$BE$223,
  ROW(),
  MATCH(EOMONTH(基準データ!$C$5,-1)+1,$A$1:$BE$1,0)
),
  IFERROR(IF($B21="","",_xlpm._来月から4ヶ月計画合計+_xlpm._今月計画数/2),""
)
)</f>
        <v>0</v>
      </c>
      <c r="I21" s="38"/>
      <c r="J21" s="38"/>
      <c r="K21" s="38"/>
      <c r="L21" s="38"/>
      <c r="M21" s="38"/>
      <c r="N21" s="38"/>
      <c r="O21" s="38"/>
      <c r="P21" s="38"/>
      <c r="Q21" s="219"/>
      <c r="R21" s="219"/>
      <c r="S21" s="219"/>
      <c r="T21" s="219"/>
      <c r="U21" s="224"/>
      <c r="V21" s="224"/>
      <c r="W21" s="222"/>
      <c r="X21" s="508"/>
      <c r="Y21" s="508"/>
      <c r="Z21" s="508"/>
      <c r="AA21" s="508"/>
      <c r="AB21" s="508"/>
      <c r="AC21" s="241"/>
      <c r="AD21" s="241">
        <v>0</v>
      </c>
      <c r="AE21" s="223">
        <v>23</v>
      </c>
      <c r="AF21" s="223">
        <v>22</v>
      </c>
      <c r="AG21" s="223">
        <v>28</v>
      </c>
      <c r="AH21" s="223">
        <v>12</v>
      </c>
      <c r="AI21" s="223">
        <v>192</v>
      </c>
      <c r="AJ21" s="223">
        <v>189</v>
      </c>
      <c r="AK21" s="223">
        <v>12</v>
      </c>
      <c r="AL21" s="223" cm="1">
        <f t="array" aca="1" ref="AL21" ca="1">IF($C21="","",
  IFERROR(
    _xlfn.LET(
      _xlpm._対象月初,EOMONTH(AL$1,-1)+1,
      _xlpm._今月初,EOMONTH(基準データ!$C$5,-1)+1,
      IF(
        _xlpm._対象月初&gt;_xlpm._今月初,
        IF(
          OR(AK21="",AK21=0),
          "",
          AK21*AL$26
        ),
        _xlfn.LET(
          _xlpm._参照先,
            "'[在庫状況把握_43期_2025-2026.xlsx]月次報告"
            &amp;TEXT(AL$1,"YYMM")
            &amp;"'!",
          _xlpm._戻り範囲,
            IF(
              _xlpm._対象月初=_xlpm._今月初,
              "$AG$1:$AG$300",
              "$G$1:$G$300"
            ),
          _xlfn.XLOOKUP(
            $C21,
            INDIRECT(_xlpm._参照先&amp;"$C$1:$C$300"),
            INDIRECT(_xlpm._参照先&amp;_xlpm._戻り範囲)
          )
        )
      )
    ),
    ""
  )
)</f>
        <v>0</v>
      </c>
      <c r="AM21" s="223" cm="1">
        <f t="array" aca="1" ref="AM21" ca="1">IF($C21="","",
  IFERROR(
    _xlfn.LET(
      _xlpm._対象月初,EOMONTH(AM$1,-1)+1,
      _xlpm._今月初,EOMONTH(基準データ!$C$5,-1)+1,
      IF(
        _xlpm._対象月初&gt;_xlpm._今月初,
        IF(
          OR(AL21="",AL21=0),
          "",
          AL21*AM$26
        ),
        _xlfn.LET(
          _xlpm._参照先,
            "'[在庫状況把握_43期_2025-2026.xlsx]月次報告"
            &amp;TEXT(AM$1,"YYMM")
            &amp;"'!",
          _xlpm._戻り範囲,
            IF(
              _xlpm._対象月初=_xlpm._今月初,
              "$AG$1:$AG$300",
              "$G$1:$G$300"
            ),
          _xlfn.XLOOKUP(
            $C21,
            INDIRECT(_xlpm._参照先&amp;"$C$1:$C$300"),
            INDIRECT(_xlpm._参照先&amp;_xlpm._戻り範囲)
          )
        )
      )
    ),
    ""
  )
)</f>
        <v>0</v>
      </c>
      <c r="AN21" s="223" t="str" cm="1">
        <f t="array" aca="1" ref="AN21" ca="1">IF($C21="","",
  IFERROR(
    _xlfn.LET(
      _xlpm._対象月初,EOMONTH(AN$1,-1)+1,
      _xlpm._今月初,EOMONTH(基準データ!$C$5,-1)+1,
      IF(
        _xlpm._対象月初&gt;_xlpm._今月初,
        IF(
          OR(AM21="",AM21=0),
          "",
          AM21*AN$26
        ),
        _xlfn.LET(
          _xlpm._参照先,
            "'[在庫状況把握_43期_2025-2026.xlsx]月次報告"
            &amp;TEXT(AN$1,"YYMM")
            &amp;"'!",
          _xlpm._戻り範囲,
            IF(
              _xlpm._対象月初=_xlpm._今月初,
              "$AG$1:$AG$300",
              "$G$1:$G$300"
            ),
          _xlfn.XLOOKUP(
            $C21,
            INDIRECT(_xlpm._参照先&amp;"$C$1:$C$300"),
            INDIRECT(_xlpm._参照先&amp;_xlpm._戻り範囲)
          )
        )
      )
    ),
    ""
  )
)</f>
        <v/>
      </c>
      <c r="AO21" s="223" t="str" cm="1">
        <f t="array" aca="1" ref="AO21" ca="1">IF($C21="","",
  IFERROR(
    _xlfn.LET(
      _xlpm._対象月初,EOMONTH(AO$1,-1)+1,
      _xlpm._今月初,EOMONTH(基準データ!$C$5,-1)+1,
      IF(
        _xlpm._対象月初&gt;_xlpm._今月初,
        IF(
          OR(AN21="",AN21=0),
          "",
          AN21*AO$26
        ),
        _xlfn.LET(
          _xlpm._参照先,
            "'[在庫状況把握_43期_2025-2026.xlsx]月次報告"
            &amp;TEXT(AO$1,"YYMM")
            &amp;"'!",
          _xlpm._戻り範囲,
            IF(
              _xlpm._対象月初=_xlpm._今月初,
              "$AG$1:$AG$300",
              "$G$1:$G$300"
            ),
          _xlfn.XLOOKUP(
            $C21,
            INDIRECT(_xlpm._参照先&amp;"$C$1:$C$300"),
            INDIRECT(_xlpm._参照先&amp;_xlpm._戻り範囲)
          )
        )
      )
    ),
    ""
  )
)</f>
        <v/>
      </c>
      <c r="AP21" s="223" t="str" cm="1">
        <f t="array" aca="1" ref="AP21" ca="1">IF($C21="","",
  IFERROR(
    _xlfn.LET(
      _xlpm._対象月初,EOMONTH(AP$1,-1)+1,
      _xlpm._今月初,EOMONTH(基準データ!$C$5,-1)+1,
      IF(
        _xlpm._対象月初&gt;_xlpm._今月初,
        IF(
          OR(AO21="",AO21=0),
          "",
          AO21*AP$26
        ),
        _xlfn.LET(
          _xlpm._参照先,
            "'[在庫状況把握_43期_2025-2026.xlsx]月次報告"
            &amp;TEXT(AP$1,"YYMM")
            &amp;"'!",
          _xlpm._戻り範囲,
            IF(
              _xlpm._対象月初=_xlpm._今月初,
              "$AG$1:$AG$300",
              "$G$1:$G$300"
            ),
          _xlfn.XLOOKUP(
            $C21,
            INDIRECT(_xlpm._参照先&amp;"$C$1:$C$300"),
            INDIRECT(_xlpm._参照先&amp;_xlpm._戻り範囲)
          )
        )
      )
    ),
    ""
  )
)</f>
        <v/>
      </c>
      <c r="AQ21" s="223" t="str" cm="1">
        <f t="array" aca="1" ref="AQ21" ca="1">IF($C21="","",
  IFERROR(
    _xlfn.LET(
      _xlpm._対象月初,EOMONTH(AQ$1,-1)+1,
      _xlpm._今月初,EOMONTH(基準データ!$C$5,-1)+1,
      IF(
        _xlpm._対象月初&gt;_xlpm._今月初,
        IF(
          OR(AP21="",AP21=0),
          "",
          AP21*AQ$26
        ),
        _xlfn.LET(
          _xlpm._参照先,
            "'[在庫状況把握_43期_2025-2026.xlsx]月次報告"
            &amp;TEXT(AQ$1,"YYMM")
            &amp;"'!",
          _xlpm._戻り範囲,
            IF(
              _xlpm._対象月初=_xlpm._今月初,
              "$AG$1:$AG$300",
              "$G$1:$G$300"
            ),
          _xlfn.XLOOKUP(
            $C21,
            INDIRECT(_xlpm._参照先&amp;"$C$1:$C$300"),
            INDIRECT(_xlpm._参照先&amp;_xlpm._戻り範囲)
          )
        )
      )
    ),
    ""
  )
)</f>
        <v/>
      </c>
      <c r="AR21" s="223" t="str" cm="1">
        <f t="array" aca="1" ref="AR21" ca="1">IF($C21="","",
  IFERROR(
    _xlfn.LET(
      _xlpm._対象月初,EOMONTH(AR$1,-1)+1,
      _xlpm._今月初,EOMONTH(基準データ!$C$5,-1)+1,
      IF(
        _xlpm._対象月初&gt;_xlpm._今月初,
        IF(
          OR(AQ21="",AQ21=0),
          "",
          AQ21*AR$26
        ),
        _xlfn.LET(
          _xlpm._参照先,
            "'[在庫状況把握_43期_2025-2026.xlsx]月次報告"
            &amp;TEXT(AR$1,"YYMM")
            &amp;"'!",
          _xlpm._戻り範囲,
            IF(
              _xlpm._対象月初=_xlpm._今月初,
              "$AG$1:$AG$300",
              "$G$1:$G$300"
            ),
          _xlfn.XLOOKUP(
            $C21,
            INDIRECT(_xlpm._参照先&amp;"$C$1:$C$300"),
            INDIRECT(_xlpm._参照先&amp;_xlpm._戻り範囲)
          )
        )
      )
    ),
    ""
  )
)</f>
        <v/>
      </c>
      <c r="AS21" s="223" t="str" cm="1">
        <f t="array" aca="1" ref="AS21" ca="1">IF($C21="","",
  IFERROR(
    _xlfn.LET(
      _xlpm._対象月初,EOMONTH(AS$1,-1)+1,
      _xlpm._今月初,EOMONTH(基準データ!$C$5,-1)+1,
      IF(
        _xlpm._対象月初&gt;_xlpm._今月初,
        IF(
          OR(AR21="",AR21=0),
          "",
          AR21*AS$26
        ),
        _xlfn.LET(
          _xlpm._参照先,
            "'[在庫状況把握_43期_2025-2026.xlsx]月次報告"
            &amp;TEXT(AS$1,"YYMM")
            &amp;"'!",
          _xlpm._戻り範囲,
            IF(
              _xlpm._対象月初=_xlpm._今月初,
              "$AG$1:$AG$300",
              "$G$1:$G$300"
            ),
          _xlfn.XLOOKUP(
            $C21,
            INDIRECT(_xlpm._参照先&amp;"$C$1:$C$300"),
            INDIRECT(_xlpm._参照先&amp;_xlpm._戻り範囲)
          )
        )
      )
    ),
    ""
  )
)</f>
        <v/>
      </c>
      <c r="AT21" s="223" t="str" cm="1">
        <f t="array" aca="1" ref="AT21" ca="1">IF($C21="","",
  IFERROR(
    _xlfn.LET(
      _xlpm._対象月初,EOMONTH(AT$1,-1)+1,
      _xlpm._今月初,EOMONTH(基準データ!$C$5,-1)+1,
      IF(
        _xlpm._対象月初&gt;_xlpm._今月初,
        IF(
          OR(AS21="",AS21=0),
          "",
          AS21*AT$26
        ),
        _xlfn.LET(
          _xlpm._参照先,
            "'[在庫状況把握_43期_2025-2026.xlsx]月次報告"
            &amp;TEXT(AT$1,"YYMM")
            &amp;"'!",
          _xlpm._戻り範囲,
            IF(
              _xlpm._対象月初=_xlpm._今月初,
              "$AG$1:$AG$300",
              "$G$1:$G$300"
            ),
          _xlfn.XLOOKUP(
            $C21,
            INDIRECT(_xlpm._参照先&amp;"$C$1:$C$300"),
            INDIRECT(_xlpm._参照先&amp;_xlpm._戻り範囲)
          )
        )
      )
    ),
    ""
  )
)</f>
        <v/>
      </c>
      <c r="AU21" s="223" t="str" cm="1">
        <f t="array" aca="1" ref="AU21" ca="1">IF($C21="","",
  IFERROR(
    _xlfn.LET(
      _xlpm._対象月初,EOMONTH(AU$1,-1)+1,
      _xlpm._今月初,EOMONTH(基準データ!$C$5,-1)+1,
      IF(
        _xlpm._対象月初&gt;_xlpm._今月初,
        IF(
          OR(AT21="",AT21=0),
          "",
          AT21*AU$26
        ),
        _xlfn.LET(
          _xlpm._参照先,
            "'[在庫状況把握_43期_2025-2026.xlsx]月次報告"
            &amp;TEXT(AU$1,"YYMM")
            &amp;"'!",
          _xlpm._戻り範囲,
            IF(
              _xlpm._対象月初=_xlpm._今月初,
              "$AG$1:$AG$300",
              "$G$1:$G$300"
            ),
          _xlfn.XLOOKUP(
            $C21,
            INDIRECT(_xlpm._参照先&amp;"$C$1:$C$300"),
            INDIRECT(_xlpm._参照先&amp;_xlpm._戻り範囲)
          )
        )
      )
    ),
    ""
  )
)</f>
        <v/>
      </c>
      <c r="AV21" s="223" t="str" cm="1">
        <f t="array" aca="1" ref="AV21" ca="1">IF($C21="","",
  IFERROR(
    _xlfn.LET(
      _xlpm._対象月初,EOMONTH(AV$1,-1)+1,
      _xlpm._今月初,EOMONTH(基準データ!$C$5,-1)+1,
      IF(
        _xlpm._対象月初&gt;_xlpm._今月初,
        IF(
          OR(AU21="",AU21=0),
          "",
          AU21*AV$26
        ),
        _xlfn.LET(
          _xlpm._参照先,
            "'[在庫状況把握_43期_2025-2026.xlsx]月次報告"
            &amp;TEXT(AV$1,"YYMM")
            &amp;"'!",
          _xlpm._戻り範囲,
            IF(
              _xlpm._対象月初=_xlpm._今月初,
              "$AG$1:$AG$300",
              "$G$1:$G$300"
            ),
          _xlfn.XLOOKUP(
            $C21,
            INDIRECT(_xlpm._参照先&amp;"$C$1:$C$300"),
            INDIRECT(_xlpm._参照先&amp;_xlpm._戻り範囲)
          )
        )
      )
    ),
    ""
  )
)</f>
        <v/>
      </c>
      <c r="AW21" s="223" t="str" cm="1">
        <f t="array" aca="1" ref="AW21" ca="1">IF($C21="","",
  IFERROR(
    _xlfn.LET(
      _xlpm._対象月初,EOMONTH(AW$1,-1)+1,
      _xlpm._今月初,EOMONTH(基準データ!$C$5,-1)+1,
      IF(
        _xlpm._対象月初&gt;_xlpm._今月初,
        IF(
          OR(AV21="",AV21=0),
          "",
          AV21*AW$26
        ),
        _xlfn.LET(
          _xlpm._参照先,
            "'[在庫状況把握_43期_2025-2026.xlsx]月次報告"
            &amp;TEXT(AW$1,"YYMM")
            &amp;"'!",
          _xlpm._戻り範囲,
            IF(
              _xlpm._対象月初=_xlpm._今月初,
              "$AG$1:$AG$300",
              "$G$1:$G$300"
            ),
          _xlfn.XLOOKUP(
            $C21,
            INDIRECT(_xlpm._参照先&amp;"$C$1:$C$300"),
            INDIRECT(_xlpm._参照先&amp;_xlpm._戻り範囲)
          )
        )
      )
    ),
    ""
  )
)</f>
        <v/>
      </c>
      <c r="AX21" s="223" t="str" cm="1">
        <f t="array" aca="1" ref="AX21" ca="1">IF($C21="","",
  IFERROR(
    _xlfn.LET(
      _xlpm._対象月初,EOMONTH(AX$1,-1)+1,
      _xlpm._今月初,EOMONTH(基準データ!$C$5,-1)+1,
      IF(
        _xlpm._対象月初&gt;_xlpm._今月初,
        IF(
          OR(AW21="",AW21=0),
          "",
          AW21*AX$26
        ),
        _xlfn.LET(
          _xlpm._参照先,
            "'[在庫状況把握_43期_2025-2026.xlsx]月次報告"
            &amp;TEXT(AX$1,"YYMM")
            &amp;"'!",
          _xlpm._戻り範囲,
            IF(
              _xlpm._対象月初=_xlpm._今月初,
              "$AG$1:$AG$300",
              "$G$1:$G$300"
            ),
          _xlfn.XLOOKUP(
            $C21,
            INDIRECT(_xlpm._参照先&amp;"$C$1:$C$300"),
            INDIRECT(_xlpm._参照先&amp;_xlpm._戻り範囲)
          )
        )
      )
    ),
    ""
  )
)</f>
        <v/>
      </c>
      <c r="AY21" s="223" t="str" cm="1">
        <f t="array" aca="1" ref="AY21" ca="1">IF($C21="","",
  IFERROR(
    _xlfn.LET(
      _xlpm._対象月初,EOMONTH(AY$1,-1)+1,
      _xlpm._今月初,EOMONTH(基準データ!$C$5,-1)+1,
      IF(
        _xlpm._対象月初&gt;_xlpm._今月初,
        IF(
          OR(AX21="",AX21=0),
          "",
          AX21*AY$26
        ),
        _xlfn.LET(
          _xlpm._参照先,
            "'[在庫状況把握_43期_2025-2026.xlsx]月次報告"
            &amp;TEXT(AY$1,"YYMM")
            &amp;"'!",
          _xlpm._戻り範囲,
            IF(
              _xlpm._対象月初=_xlpm._今月初,
              "$AG$1:$AG$300",
              "$G$1:$G$300"
            ),
          _xlfn.XLOOKUP(
            $C21,
            INDIRECT(_xlpm._参照先&amp;"$C$1:$C$300"),
            INDIRECT(_xlpm._参照先&amp;_xlpm._戻り範囲)
          )
        )
      )
    ),
    ""
  )
)</f>
        <v/>
      </c>
      <c r="AZ21" s="223" t="str" cm="1">
        <f t="array" aca="1" ref="AZ21" ca="1">IF($C21="","",
  IFERROR(
    _xlfn.LET(
      _xlpm._対象月初,EOMONTH(AZ$1,-1)+1,
      _xlpm._今月初,EOMONTH(基準データ!$C$5,-1)+1,
      IF(
        _xlpm._対象月初&gt;_xlpm._今月初,
        IF(
          OR(AY21="",AY21=0),
          "",
          AY21*AZ$26
        ),
        _xlfn.LET(
          _xlpm._参照先,
            "'[在庫状況把握_43期_2025-2026.xlsx]月次報告"
            &amp;TEXT(AZ$1,"YYMM")
            &amp;"'!",
          _xlpm._戻り範囲,
            IF(
              _xlpm._対象月初=_xlpm._今月初,
              "$AG$1:$AG$300",
              "$G$1:$G$300"
            ),
          _xlfn.XLOOKUP(
            $C21,
            INDIRECT(_xlpm._参照先&amp;"$C$1:$C$300"),
            INDIRECT(_xlpm._参照先&amp;_xlpm._戻り範囲)
          )
        )
      )
    ),
    ""
  )
)</f>
        <v/>
      </c>
      <c r="BA21" s="223" t="str" cm="1">
        <f t="array" aca="1" ref="BA21" ca="1">IF($C21="","",
  IFERROR(
    _xlfn.LET(
      _xlpm._対象月初,EOMONTH(BA$1,-1)+1,
      _xlpm._今月初,EOMONTH(基準データ!$C$5,-1)+1,
      IF(
        _xlpm._対象月初&gt;_xlpm._今月初,
        IF(
          OR(AZ21="",AZ21=0),
          "",
          AZ21*BA$26
        ),
        _xlfn.LET(
          _xlpm._参照先,
            "'[在庫状況把握_43期_2025-2026.xlsx]月次報告"
            &amp;TEXT(BA$1,"YYMM")
            &amp;"'!",
          _xlpm._戻り範囲,
            IF(
              _xlpm._対象月初=_xlpm._今月初,
              "$AG$1:$AG$300",
              "$G$1:$G$300"
            ),
          _xlfn.XLOOKUP(
            $C21,
            INDIRECT(_xlpm._参照先&amp;"$C$1:$C$300"),
            INDIRECT(_xlpm._参照先&amp;_xlpm._戻り範囲)
          )
        )
      )
    ),
    ""
  )
)</f>
        <v/>
      </c>
      <c r="BB21" s="223" t="str" cm="1">
        <f t="array" aca="1" ref="BB21" ca="1">IF($C21="","",
  IFERROR(
    _xlfn.LET(
      _xlpm._対象月初,EOMONTH(BB$1,-1)+1,
      _xlpm._今月初,EOMONTH(基準データ!$C$5,-1)+1,
      IF(
        _xlpm._対象月初&gt;_xlpm._今月初,
        IF(
          OR(BA21="",BA21=0),
          "",
          BA21*BB$26
        ),
        _xlfn.LET(
          _xlpm._参照先,
            "'[在庫状況把握_43期_2025-2026.xlsx]月次報告"
            &amp;TEXT(BB$1,"YYMM")
            &amp;"'!",
          _xlpm._戻り範囲,
            IF(
              _xlpm._対象月初=_xlpm._今月初,
              "$AG$1:$AG$300",
              "$G$1:$G$300"
            ),
          _xlfn.XLOOKUP(
            $C21,
            INDIRECT(_xlpm._参照先&amp;"$C$1:$C$300"),
            INDIRECT(_xlpm._参照先&amp;_xlpm._戻り範囲)
          )
        )
      )
    ),
    ""
  )
)</f>
        <v/>
      </c>
      <c r="BC21" s="223" t="str" cm="1">
        <f t="array" aca="1" ref="BC21" ca="1">IF($C21="","",
  IFERROR(
    _xlfn.LET(
      _xlpm._対象月初,EOMONTH(BC$1,-1)+1,
      _xlpm._今月初,EOMONTH(基準データ!$C$5,-1)+1,
      IF(
        _xlpm._対象月初&gt;_xlpm._今月初,
        IF(
          OR(BB21="",BB21=0),
          "",
          BB21*BC$26
        ),
        _xlfn.LET(
          _xlpm._参照先,
            "'[在庫状況把握_43期_2025-2026.xlsx]月次報告"
            &amp;TEXT(BC$1,"YYMM")
            &amp;"'!",
          _xlpm._戻り範囲,
            IF(
              _xlpm._対象月初=_xlpm._今月初,
              "$AG$1:$AG$300",
              "$G$1:$G$300"
            ),
          _xlfn.XLOOKUP(
            $C21,
            INDIRECT(_xlpm._参照先&amp;"$C$1:$C$300"),
            INDIRECT(_xlpm._参照先&amp;_xlpm._戻り範囲)
          )
        )
      )
    ),
    ""
  )
)</f>
        <v/>
      </c>
      <c r="BD21" s="223" t="str" cm="1">
        <f t="array" aca="1" ref="BD21" ca="1">IF($C21="","",
  IFERROR(
    _xlfn.LET(
      _xlpm._対象月初,EOMONTH(BD$1,-1)+1,
      _xlpm._今月初,EOMONTH(基準データ!$C$5,-1)+1,
      IF(
        _xlpm._対象月初&gt;_xlpm._今月初,
        IF(
          OR(BC21="",BC21=0),
          "",
          BC21*BD$26
        ),
        _xlfn.LET(
          _xlpm._参照先,
            "'[在庫状況把握_43期_2025-2026.xlsx]月次報告"
            &amp;TEXT(BD$1,"YYMM")
            &amp;"'!",
          _xlpm._戻り範囲,
            IF(
              _xlpm._対象月初=_xlpm._今月初,
              "$AG$1:$AG$300",
              "$G$1:$G$300"
            ),
          _xlfn.XLOOKUP(
            $C21,
            INDIRECT(_xlpm._参照先&amp;"$C$1:$C$300"),
            INDIRECT(_xlpm._参照先&amp;_xlpm._戻り範囲)
          )
        )
      )
    ),
    ""
  )
)</f>
        <v/>
      </c>
    </row>
    <row r="22" spans="1:56">
      <c r="A22" s="1060" t="s">
        <v>1633</v>
      </c>
      <c r="B22" s="26" t="str">
        <v>TFH-E-12450H-3050-L6</v>
      </c>
      <c r="C22" s="55" t="s">
        <v>342</v>
      </c>
      <c r="D22" s="26" t="s">
        <v>1371</v>
      </c>
      <c r="E22" s="26">
        <v>3050</v>
      </c>
      <c r="F22" s="26" t="s">
        <v>1372</v>
      </c>
      <c r="G22" s="43">
        <v>0</v>
      </c>
      <c r="H22" s="109" t="str" cm="1">
        <f t="array" aca="1" ref="H22" ca="1">_xlfn.LET(_xlpm._来月から4ヶ月計画合計,
  SUM(
    OFFSET($A22,0,
      MATCH(
        EDATE(基準データ!$C$5,3),$A$1:$BF$1,1
      )-3,1,4)),
_xlpm._今月計画数,
INDEX($A$1:$BE$223,
  ROW(),
  MATCH(EOMONTH(基準データ!$C$5,-1)+1,$A$1:$BE$1,0)
),
  IFERROR(IF($B22="","",_xlpm._来月から4ヶ月計画合計+_xlpm._今月計画数/2),""
)
)</f>
        <v/>
      </c>
      <c r="I22" s="38"/>
      <c r="J22" s="38"/>
      <c r="K22" s="38"/>
      <c r="L22" s="38"/>
      <c r="M22" s="38"/>
      <c r="N22" s="38"/>
      <c r="O22" s="38"/>
      <c r="P22" s="38"/>
      <c r="Q22" s="219"/>
      <c r="R22" s="219"/>
      <c r="S22" s="219"/>
      <c r="T22" s="219"/>
      <c r="U22" s="224">
        <v>136</v>
      </c>
      <c r="V22" s="224">
        <v>110</v>
      </c>
      <c r="W22" s="222">
        <v>24</v>
      </c>
      <c r="X22" s="508">
        <v>44</v>
      </c>
      <c r="Y22" s="508">
        <v>8</v>
      </c>
      <c r="Z22" s="508">
        <v>15</v>
      </c>
      <c r="AA22" s="508">
        <v>10</v>
      </c>
      <c r="AB22" s="508">
        <v>5</v>
      </c>
      <c r="AC22" s="241">
        <v>4</v>
      </c>
      <c r="AD22" s="241">
        <v>9</v>
      </c>
      <c r="AE22" s="223">
        <v>5</v>
      </c>
      <c r="AF22" s="223">
        <v>10</v>
      </c>
      <c r="AG22" s="223">
        <v>14</v>
      </c>
      <c r="AH22" s="223">
        <v>5</v>
      </c>
      <c r="AI22" s="223">
        <v>4</v>
      </c>
      <c r="AJ22" s="223" t="s">
        <v>21</v>
      </c>
      <c r="AK22" s="223" t="s">
        <v>21</v>
      </c>
      <c r="AL22" s="223" t="str" cm="1">
        <f t="array" aca="1" ref="AL22" ca="1">IF($C22="","",
  IFERROR(
    _xlfn.LET(
      _xlpm._対象月初,EOMONTH(AL$1,-1)+1,
      _xlpm._今月初,EOMONTH(基準データ!$C$5,-1)+1,
      IF(
        _xlpm._対象月初&gt;_xlpm._今月初,
        IF(
          OR(AK22="",AK22=0),
          "",
          AK22*AL$26
        ),
        _xlfn.LET(
          _xlpm._参照先,
            "'[在庫状況把握_43期_2025-2026.xlsx]月次報告"
            &amp;TEXT(AL$1,"YYMM")
            &amp;"'!",
          _xlpm._戻り範囲,
            IF(
              _xlpm._対象月初=_xlpm._今月初,
              "$AG$1:$AG$300",
              "$G$1:$G$300"
            ),
          _xlfn.XLOOKUP(
            $C22,
            INDIRECT(_xlpm._参照先&amp;"$C$1:$C$300"),
            INDIRECT(_xlpm._参照先&amp;_xlpm._戻り範囲)
          )
        )
      )
    ),
    ""
  )
)</f>
        <v/>
      </c>
      <c r="AM22" s="223" t="str" cm="1">
        <f t="array" aca="1" ref="AM22" ca="1">IF($C22="","",
  IFERROR(
    _xlfn.LET(
      _xlpm._対象月初,EOMONTH(AM$1,-1)+1,
      _xlpm._今月初,EOMONTH(基準データ!$C$5,-1)+1,
      IF(
        _xlpm._対象月初&gt;_xlpm._今月初,
        IF(
          OR(AL22="",AL22=0),
          "",
          AL22*AM$26
        ),
        _xlfn.LET(
          _xlpm._参照先,
            "'[在庫状況把握_43期_2025-2026.xlsx]月次報告"
            &amp;TEXT(AM$1,"YYMM")
            &amp;"'!",
          _xlpm._戻り範囲,
            IF(
              _xlpm._対象月初=_xlpm._今月初,
              "$AG$1:$AG$300",
              "$G$1:$G$300"
            ),
          _xlfn.XLOOKUP(
            $C22,
            INDIRECT(_xlpm._参照先&amp;"$C$1:$C$300"),
            INDIRECT(_xlpm._参照先&amp;_xlpm._戻り範囲)
          )
        )
      )
    ),
    ""
  )
)</f>
        <v/>
      </c>
      <c r="AN22" s="223" t="str" cm="1">
        <f t="array" aca="1" ref="AN22" ca="1">IF($C22="","",
  IFERROR(
    _xlfn.LET(
      _xlpm._対象月初,EOMONTH(AN$1,-1)+1,
      _xlpm._今月初,EOMONTH(基準データ!$C$5,-1)+1,
      IF(
        _xlpm._対象月初&gt;_xlpm._今月初,
        IF(
          OR(AM22="",AM22=0),
          "",
          AM22*AN$26
        ),
        _xlfn.LET(
          _xlpm._参照先,
            "'[在庫状況把握_43期_2025-2026.xlsx]月次報告"
            &amp;TEXT(AN$1,"YYMM")
            &amp;"'!",
          _xlpm._戻り範囲,
            IF(
              _xlpm._対象月初=_xlpm._今月初,
              "$AG$1:$AG$300",
              "$G$1:$G$300"
            ),
          _xlfn.XLOOKUP(
            $C22,
            INDIRECT(_xlpm._参照先&amp;"$C$1:$C$300"),
            INDIRECT(_xlpm._参照先&amp;_xlpm._戻り範囲)
          )
        )
      )
    ),
    ""
  )
)</f>
        <v/>
      </c>
      <c r="AO22" s="223" t="str" cm="1">
        <f t="array" aca="1" ref="AO22" ca="1">IF($C22="","",
  IFERROR(
    _xlfn.LET(
      _xlpm._対象月初,EOMONTH(AO$1,-1)+1,
      _xlpm._今月初,EOMONTH(基準データ!$C$5,-1)+1,
      IF(
        _xlpm._対象月初&gt;_xlpm._今月初,
        IF(
          OR(AN22="",AN22=0),
          "",
          AN22*AO$26
        ),
        _xlfn.LET(
          _xlpm._参照先,
            "'[在庫状況把握_43期_2025-2026.xlsx]月次報告"
            &amp;TEXT(AO$1,"YYMM")
            &amp;"'!",
          _xlpm._戻り範囲,
            IF(
              _xlpm._対象月初=_xlpm._今月初,
              "$AG$1:$AG$300",
              "$G$1:$G$300"
            ),
          _xlfn.XLOOKUP(
            $C22,
            INDIRECT(_xlpm._参照先&amp;"$C$1:$C$300"),
            INDIRECT(_xlpm._参照先&amp;_xlpm._戻り範囲)
          )
        )
      )
    ),
    ""
  )
)</f>
        <v/>
      </c>
      <c r="AP22" s="223" t="str" cm="1">
        <f t="array" aca="1" ref="AP22" ca="1">IF($C22="","",
  IFERROR(
    _xlfn.LET(
      _xlpm._対象月初,EOMONTH(AP$1,-1)+1,
      _xlpm._今月初,EOMONTH(基準データ!$C$5,-1)+1,
      IF(
        _xlpm._対象月初&gt;_xlpm._今月初,
        IF(
          OR(AO22="",AO22=0),
          "",
          AO22*AP$26
        ),
        _xlfn.LET(
          _xlpm._参照先,
            "'[在庫状況把握_43期_2025-2026.xlsx]月次報告"
            &amp;TEXT(AP$1,"YYMM")
            &amp;"'!",
          _xlpm._戻り範囲,
            IF(
              _xlpm._対象月初=_xlpm._今月初,
              "$AG$1:$AG$300",
              "$G$1:$G$300"
            ),
          _xlfn.XLOOKUP(
            $C22,
            INDIRECT(_xlpm._参照先&amp;"$C$1:$C$300"),
            INDIRECT(_xlpm._参照先&amp;_xlpm._戻り範囲)
          )
        )
      )
    ),
    ""
  )
)</f>
        <v/>
      </c>
      <c r="AQ22" s="223" t="str" cm="1">
        <f t="array" aca="1" ref="AQ22" ca="1">IF($C22="","",
  IFERROR(
    _xlfn.LET(
      _xlpm._対象月初,EOMONTH(AQ$1,-1)+1,
      _xlpm._今月初,EOMONTH(基準データ!$C$5,-1)+1,
      IF(
        _xlpm._対象月初&gt;_xlpm._今月初,
        IF(
          OR(AP22="",AP22=0),
          "",
          AP22*AQ$26
        ),
        _xlfn.LET(
          _xlpm._参照先,
            "'[在庫状況把握_43期_2025-2026.xlsx]月次報告"
            &amp;TEXT(AQ$1,"YYMM")
            &amp;"'!",
          _xlpm._戻り範囲,
            IF(
              _xlpm._対象月初=_xlpm._今月初,
              "$AG$1:$AG$300",
              "$G$1:$G$300"
            ),
          _xlfn.XLOOKUP(
            $C22,
            INDIRECT(_xlpm._参照先&amp;"$C$1:$C$300"),
            INDIRECT(_xlpm._参照先&amp;_xlpm._戻り範囲)
          )
        )
      )
    ),
    ""
  )
)</f>
        <v/>
      </c>
      <c r="AR22" s="223" t="str" cm="1">
        <f t="array" aca="1" ref="AR22" ca="1">IF($C22="","",
  IFERROR(
    _xlfn.LET(
      _xlpm._対象月初,EOMONTH(AR$1,-1)+1,
      _xlpm._今月初,EOMONTH(基準データ!$C$5,-1)+1,
      IF(
        _xlpm._対象月初&gt;_xlpm._今月初,
        IF(
          OR(AQ22="",AQ22=0),
          "",
          AQ22*AR$26
        ),
        _xlfn.LET(
          _xlpm._参照先,
            "'[在庫状況把握_43期_2025-2026.xlsx]月次報告"
            &amp;TEXT(AR$1,"YYMM")
            &amp;"'!",
          _xlpm._戻り範囲,
            IF(
              _xlpm._対象月初=_xlpm._今月初,
              "$AG$1:$AG$300",
              "$G$1:$G$300"
            ),
          _xlfn.XLOOKUP(
            $C22,
            INDIRECT(_xlpm._参照先&amp;"$C$1:$C$300"),
            INDIRECT(_xlpm._参照先&amp;_xlpm._戻り範囲)
          )
        )
      )
    ),
    ""
  )
)</f>
        <v/>
      </c>
      <c r="AS22" s="223" t="str" cm="1">
        <f t="array" aca="1" ref="AS22" ca="1">IF($C22="","",
  IFERROR(
    _xlfn.LET(
      _xlpm._対象月初,EOMONTH(AS$1,-1)+1,
      _xlpm._今月初,EOMONTH(基準データ!$C$5,-1)+1,
      IF(
        _xlpm._対象月初&gt;_xlpm._今月初,
        IF(
          OR(AR22="",AR22=0),
          "",
          AR22*AS$26
        ),
        _xlfn.LET(
          _xlpm._参照先,
            "'[在庫状況把握_43期_2025-2026.xlsx]月次報告"
            &amp;TEXT(AS$1,"YYMM")
            &amp;"'!",
          _xlpm._戻り範囲,
            IF(
              _xlpm._対象月初=_xlpm._今月初,
              "$AG$1:$AG$300",
              "$G$1:$G$300"
            ),
          _xlfn.XLOOKUP(
            $C22,
            INDIRECT(_xlpm._参照先&amp;"$C$1:$C$300"),
            INDIRECT(_xlpm._参照先&amp;_xlpm._戻り範囲)
          )
        )
      )
    ),
    ""
  )
)</f>
        <v/>
      </c>
      <c r="AT22" s="223" t="str" cm="1">
        <f t="array" aca="1" ref="AT22" ca="1">IF($C22="","",
  IFERROR(
    _xlfn.LET(
      _xlpm._対象月初,EOMONTH(AT$1,-1)+1,
      _xlpm._今月初,EOMONTH(基準データ!$C$5,-1)+1,
      IF(
        _xlpm._対象月初&gt;_xlpm._今月初,
        IF(
          OR(AS22="",AS22=0),
          "",
          AS22*AT$26
        ),
        _xlfn.LET(
          _xlpm._参照先,
            "'[在庫状況把握_43期_2025-2026.xlsx]月次報告"
            &amp;TEXT(AT$1,"YYMM")
            &amp;"'!",
          _xlpm._戻り範囲,
            IF(
              _xlpm._対象月初=_xlpm._今月初,
              "$AG$1:$AG$300",
              "$G$1:$G$300"
            ),
          _xlfn.XLOOKUP(
            $C22,
            INDIRECT(_xlpm._参照先&amp;"$C$1:$C$300"),
            INDIRECT(_xlpm._参照先&amp;_xlpm._戻り範囲)
          )
        )
      )
    ),
    ""
  )
)</f>
        <v/>
      </c>
      <c r="AU22" s="223" t="str" cm="1">
        <f t="array" aca="1" ref="AU22" ca="1">IF($C22="","",
  IFERROR(
    _xlfn.LET(
      _xlpm._対象月初,EOMONTH(AU$1,-1)+1,
      _xlpm._今月初,EOMONTH(基準データ!$C$5,-1)+1,
      IF(
        _xlpm._対象月初&gt;_xlpm._今月初,
        IF(
          OR(AT22="",AT22=0),
          "",
          AT22*AU$26
        ),
        _xlfn.LET(
          _xlpm._参照先,
            "'[在庫状況把握_43期_2025-2026.xlsx]月次報告"
            &amp;TEXT(AU$1,"YYMM")
            &amp;"'!",
          _xlpm._戻り範囲,
            IF(
              _xlpm._対象月初=_xlpm._今月初,
              "$AG$1:$AG$300",
              "$G$1:$G$300"
            ),
          _xlfn.XLOOKUP(
            $C22,
            INDIRECT(_xlpm._参照先&amp;"$C$1:$C$300"),
            INDIRECT(_xlpm._参照先&amp;_xlpm._戻り範囲)
          )
        )
      )
    ),
    ""
  )
)</f>
        <v/>
      </c>
      <c r="AV22" s="223" t="str" cm="1">
        <f t="array" aca="1" ref="AV22" ca="1">IF($C22="","",
  IFERROR(
    _xlfn.LET(
      _xlpm._対象月初,EOMONTH(AV$1,-1)+1,
      _xlpm._今月初,EOMONTH(基準データ!$C$5,-1)+1,
      IF(
        _xlpm._対象月初&gt;_xlpm._今月初,
        IF(
          OR(AU22="",AU22=0),
          "",
          AU22*AV$26
        ),
        _xlfn.LET(
          _xlpm._参照先,
            "'[在庫状況把握_43期_2025-2026.xlsx]月次報告"
            &amp;TEXT(AV$1,"YYMM")
            &amp;"'!",
          _xlpm._戻り範囲,
            IF(
              _xlpm._対象月初=_xlpm._今月初,
              "$AG$1:$AG$300",
              "$G$1:$G$300"
            ),
          _xlfn.XLOOKUP(
            $C22,
            INDIRECT(_xlpm._参照先&amp;"$C$1:$C$300"),
            INDIRECT(_xlpm._参照先&amp;_xlpm._戻り範囲)
          )
        )
      )
    ),
    ""
  )
)</f>
        <v/>
      </c>
      <c r="AW22" s="223" t="str" cm="1">
        <f t="array" aca="1" ref="AW22" ca="1">IF($C22="","",
  IFERROR(
    _xlfn.LET(
      _xlpm._対象月初,EOMONTH(AW$1,-1)+1,
      _xlpm._今月初,EOMONTH(基準データ!$C$5,-1)+1,
      IF(
        _xlpm._対象月初&gt;_xlpm._今月初,
        IF(
          OR(AV22="",AV22=0),
          "",
          AV22*AW$26
        ),
        _xlfn.LET(
          _xlpm._参照先,
            "'[在庫状況把握_43期_2025-2026.xlsx]月次報告"
            &amp;TEXT(AW$1,"YYMM")
            &amp;"'!",
          _xlpm._戻り範囲,
            IF(
              _xlpm._対象月初=_xlpm._今月初,
              "$AG$1:$AG$300",
              "$G$1:$G$300"
            ),
          _xlfn.XLOOKUP(
            $C22,
            INDIRECT(_xlpm._参照先&amp;"$C$1:$C$300"),
            INDIRECT(_xlpm._参照先&amp;_xlpm._戻り範囲)
          )
        )
      )
    ),
    ""
  )
)</f>
        <v/>
      </c>
      <c r="AX22" s="223" t="str" cm="1">
        <f t="array" aca="1" ref="AX22" ca="1">IF($C22="","",
  IFERROR(
    _xlfn.LET(
      _xlpm._対象月初,EOMONTH(AX$1,-1)+1,
      _xlpm._今月初,EOMONTH(基準データ!$C$5,-1)+1,
      IF(
        _xlpm._対象月初&gt;_xlpm._今月初,
        IF(
          OR(AW22="",AW22=0),
          "",
          AW22*AX$26
        ),
        _xlfn.LET(
          _xlpm._参照先,
            "'[在庫状況把握_43期_2025-2026.xlsx]月次報告"
            &amp;TEXT(AX$1,"YYMM")
            &amp;"'!",
          _xlpm._戻り範囲,
            IF(
              _xlpm._対象月初=_xlpm._今月初,
              "$AG$1:$AG$300",
              "$G$1:$G$300"
            ),
          _xlfn.XLOOKUP(
            $C22,
            INDIRECT(_xlpm._参照先&amp;"$C$1:$C$300"),
            INDIRECT(_xlpm._参照先&amp;_xlpm._戻り範囲)
          )
        )
      )
    ),
    ""
  )
)</f>
        <v/>
      </c>
      <c r="AY22" s="223" t="str" cm="1">
        <f t="array" aca="1" ref="AY22" ca="1">IF($C22="","",
  IFERROR(
    _xlfn.LET(
      _xlpm._対象月初,EOMONTH(AY$1,-1)+1,
      _xlpm._今月初,EOMONTH(基準データ!$C$5,-1)+1,
      IF(
        _xlpm._対象月初&gt;_xlpm._今月初,
        IF(
          OR(AX22="",AX22=0),
          "",
          AX22*AY$26
        ),
        _xlfn.LET(
          _xlpm._参照先,
            "'[在庫状況把握_43期_2025-2026.xlsx]月次報告"
            &amp;TEXT(AY$1,"YYMM")
            &amp;"'!",
          _xlpm._戻り範囲,
            IF(
              _xlpm._対象月初=_xlpm._今月初,
              "$AG$1:$AG$300",
              "$G$1:$G$300"
            ),
          _xlfn.XLOOKUP(
            $C22,
            INDIRECT(_xlpm._参照先&amp;"$C$1:$C$300"),
            INDIRECT(_xlpm._参照先&amp;_xlpm._戻り範囲)
          )
        )
      )
    ),
    ""
  )
)</f>
        <v/>
      </c>
      <c r="AZ22" s="223" t="str" cm="1">
        <f t="array" aca="1" ref="AZ22" ca="1">IF($C22="","",
  IFERROR(
    _xlfn.LET(
      _xlpm._対象月初,EOMONTH(AZ$1,-1)+1,
      _xlpm._今月初,EOMONTH(基準データ!$C$5,-1)+1,
      IF(
        _xlpm._対象月初&gt;_xlpm._今月初,
        IF(
          OR(AY22="",AY22=0),
          "",
          AY22*AZ$26
        ),
        _xlfn.LET(
          _xlpm._参照先,
            "'[在庫状況把握_43期_2025-2026.xlsx]月次報告"
            &amp;TEXT(AZ$1,"YYMM")
            &amp;"'!",
          _xlpm._戻り範囲,
            IF(
              _xlpm._対象月初=_xlpm._今月初,
              "$AG$1:$AG$300",
              "$G$1:$G$300"
            ),
          _xlfn.XLOOKUP(
            $C22,
            INDIRECT(_xlpm._参照先&amp;"$C$1:$C$300"),
            INDIRECT(_xlpm._参照先&amp;_xlpm._戻り範囲)
          )
        )
      )
    ),
    ""
  )
)</f>
        <v/>
      </c>
      <c r="BA22" s="223" t="str" cm="1">
        <f t="array" aca="1" ref="BA22" ca="1">IF($C22="","",
  IFERROR(
    _xlfn.LET(
      _xlpm._対象月初,EOMONTH(BA$1,-1)+1,
      _xlpm._今月初,EOMONTH(基準データ!$C$5,-1)+1,
      IF(
        _xlpm._対象月初&gt;_xlpm._今月初,
        IF(
          OR(AZ22="",AZ22=0),
          "",
          AZ22*BA$26
        ),
        _xlfn.LET(
          _xlpm._参照先,
            "'[在庫状況把握_43期_2025-2026.xlsx]月次報告"
            &amp;TEXT(BA$1,"YYMM")
            &amp;"'!",
          _xlpm._戻り範囲,
            IF(
              _xlpm._対象月初=_xlpm._今月初,
              "$AG$1:$AG$300",
              "$G$1:$G$300"
            ),
          _xlfn.XLOOKUP(
            $C22,
            INDIRECT(_xlpm._参照先&amp;"$C$1:$C$300"),
            INDIRECT(_xlpm._参照先&amp;_xlpm._戻り範囲)
          )
        )
      )
    ),
    ""
  )
)</f>
        <v/>
      </c>
      <c r="BB22" s="223" t="str" cm="1">
        <f t="array" aca="1" ref="BB22" ca="1">IF($C22="","",
  IFERROR(
    _xlfn.LET(
      _xlpm._対象月初,EOMONTH(BB$1,-1)+1,
      _xlpm._今月初,EOMONTH(基準データ!$C$5,-1)+1,
      IF(
        _xlpm._対象月初&gt;_xlpm._今月初,
        IF(
          OR(BA22="",BA22=0),
          "",
          BA22*BB$26
        ),
        _xlfn.LET(
          _xlpm._参照先,
            "'[在庫状況把握_43期_2025-2026.xlsx]月次報告"
            &amp;TEXT(BB$1,"YYMM")
            &amp;"'!",
          _xlpm._戻り範囲,
            IF(
              _xlpm._対象月初=_xlpm._今月初,
              "$AG$1:$AG$300",
              "$G$1:$G$300"
            ),
          _xlfn.XLOOKUP(
            $C22,
            INDIRECT(_xlpm._参照先&amp;"$C$1:$C$300"),
            INDIRECT(_xlpm._参照先&amp;_xlpm._戻り範囲)
          )
        )
      )
    ),
    ""
  )
)</f>
        <v/>
      </c>
      <c r="BC22" s="223" t="str" cm="1">
        <f t="array" aca="1" ref="BC22" ca="1">IF($C22="","",
  IFERROR(
    _xlfn.LET(
      _xlpm._対象月初,EOMONTH(BC$1,-1)+1,
      _xlpm._今月初,EOMONTH(基準データ!$C$5,-1)+1,
      IF(
        _xlpm._対象月初&gt;_xlpm._今月初,
        IF(
          OR(BB22="",BB22=0),
          "",
          BB22*BC$26
        ),
        _xlfn.LET(
          _xlpm._参照先,
            "'[在庫状況把握_43期_2025-2026.xlsx]月次報告"
            &amp;TEXT(BC$1,"YYMM")
            &amp;"'!",
          _xlpm._戻り範囲,
            IF(
              _xlpm._対象月初=_xlpm._今月初,
              "$AG$1:$AG$300",
              "$G$1:$G$300"
            ),
          _xlfn.XLOOKUP(
            $C22,
            INDIRECT(_xlpm._参照先&amp;"$C$1:$C$300"),
            INDIRECT(_xlpm._参照先&amp;_xlpm._戻り範囲)
          )
        )
      )
    ),
    ""
  )
)</f>
        <v/>
      </c>
      <c r="BD22" s="223" t="str" cm="1">
        <f t="array" aca="1" ref="BD22" ca="1">IF($C22="","",
  IFERROR(
    _xlfn.LET(
      _xlpm._対象月初,EOMONTH(BD$1,-1)+1,
      _xlpm._今月初,EOMONTH(基準データ!$C$5,-1)+1,
      IF(
        _xlpm._対象月初&gt;_xlpm._今月初,
        IF(
          OR(BC22="",BC22=0),
          "",
          BC22*BD$26
        ),
        _xlfn.LET(
          _xlpm._参照先,
            "'[在庫状況把握_43期_2025-2026.xlsx]月次報告"
            &amp;TEXT(BD$1,"YYMM")
            &amp;"'!",
          _xlpm._戻り範囲,
            IF(
              _xlpm._対象月初=_xlpm._今月初,
              "$AG$1:$AG$300",
              "$G$1:$G$300"
            ),
          _xlfn.XLOOKUP(
            $C22,
            INDIRECT(_xlpm._参照先&amp;"$C$1:$C$300"),
            INDIRECT(_xlpm._参照先&amp;_xlpm._戻り範囲)
          )
        )
      )
    ),
    ""
  )
)</f>
        <v/>
      </c>
    </row>
    <row r="23" spans="1:56">
      <c r="A23" s="1059"/>
      <c r="B23" s="26" t="str">
        <v/>
      </c>
      <c r="C23" s="26"/>
      <c r="D23" s="26"/>
      <c r="E23" s="26"/>
      <c r="F23" s="26"/>
      <c r="G23" s="43" t="str">
        <v/>
      </c>
      <c r="H23" s="109" t="str" cm="1">
        <f t="array" aca="1" ref="H23" ca="1">_xlfn.LET(_xlpm._来月から4ヶ月計画合計,
  SUM(
    OFFSET($A23,0,
      MATCH(
        EDATE(基準データ!$C$5,3),$A$1:$BF$1,1
      )-3,1,4)),
_xlpm._今月計画数,
INDEX($A$1:$BE$223,
  ROW(),
  MATCH(EOMONTH(基準データ!$C$5,-1)+1,$A$1:$BE$1,0)
),
  IFERROR(IF($B23="","",_xlpm._来月から4ヶ月計画合計+_xlpm._今月計画数/2),""
)
)</f>
        <v/>
      </c>
      <c r="I23" s="38"/>
      <c r="J23" s="38"/>
      <c r="K23" s="38"/>
      <c r="L23" s="38"/>
      <c r="M23" s="38"/>
      <c r="N23" s="38"/>
      <c r="O23" s="38"/>
      <c r="P23" s="38"/>
      <c r="Q23" s="219"/>
      <c r="R23" s="219"/>
      <c r="S23" s="219"/>
      <c r="T23" s="219"/>
      <c r="U23" s="224"/>
      <c r="V23" s="224"/>
      <c r="W23" s="219"/>
      <c r="X23" s="480"/>
      <c r="Y23" s="219"/>
      <c r="Z23" s="219" t="str">
        <f>IF(Y23*'在庫使用計画 (計画　予測)'!$AB$45=0,"",Y23*'在庫使用計画 (計画　予測)'!$AB$45)</f>
        <v/>
      </c>
      <c r="AA23" s="224"/>
      <c r="AB23" s="224"/>
      <c r="AC23" s="224"/>
      <c r="AD23" s="241" t="s">
        <v>21</v>
      </c>
      <c r="AE23" s="223" t="s">
        <v>21</v>
      </c>
      <c r="AF23" s="223" t="s">
        <v>21</v>
      </c>
      <c r="AG23" s="223" t="s">
        <v>21</v>
      </c>
      <c r="AH23" s="223" t="s">
        <v>21</v>
      </c>
      <c r="AI23" s="223" t="s">
        <v>21</v>
      </c>
      <c r="AJ23" s="223" t="s">
        <v>21</v>
      </c>
      <c r="AK23" s="223" t="s">
        <v>21</v>
      </c>
      <c r="AL23" s="223" t="str" cm="1">
        <f t="array" aca="1" ref="AL23" ca="1">IF($C23="","",
  IFERROR(
    _xlfn.LET(
      _xlpm._対象月初,EOMONTH(AL$1,-1)+1,
      _xlpm._今月初,EOMONTH(基準データ!$C$5,-1)+1,
      IF(
        _xlpm._対象月初&gt;_xlpm._今月初,
        IF(
          OR(AK23="",AK23=0),
          "",
          AK23*AL$26
        ),
        _xlfn.LET(
          _xlpm._参照先,
            "'[在庫状況把握_43期_2025-2026.xlsx]月次報告"
            &amp;TEXT(AL$1,"YYMM")
            &amp;"'!",
          _xlpm._戻り範囲,
            IF(
              _xlpm._対象月初=_xlpm._今月初,
              "$AG$1:$AG$300",
              "$G$1:$G$300"
            ),
          _xlfn.XLOOKUP(
            $C23,
            INDIRECT(_xlpm._参照先&amp;"$C$1:$C$300"),
            INDIRECT(_xlpm._参照先&amp;_xlpm._戻り範囲)
          )
        )
      )
    ),
    ""
  )
)</f>
        <v/>
      </c>
      <c r="AM23" s="223" t="str" cm="1">
        <f t="array" aca="1" ref="AM23" ca="1">IF($C23="","",
  IFERROR(
    _xlfn.LET(
      _xlpm._対象月初,EOMONTH(AM$1,-1)+1,
      _xlpm._今月初,EOMONTH(基準データ!$C$5,-1)+1,
      IF(
        _xlpm._対象月初&gt;_xlpm._今月初,
        IF(
          OR(AL23="",AL23=0),
          "",
          AL23*AM$26
        ),
        _xlfn.LET(
          _xlpm._参照先,
            "'[在庫状況把握_43期_2025-2026.xlsx]月次報告"
            &amp;TEXT(AM$1,"YYMM")
            &amp;"'!",
          _xlpm._戻り範囲,
            IF(
              _xlpm._対象月初=_xlpm._今月初,
              "$AG$1:$AG$300",
              "$G$1:$G$300"
            ),
          _xlfn.XLOOKUP(
            $C23,
            INDIRECT(_xlpm._参照先&amp;"$C$1:$C$300"),
            INDIRECT(_xlpm._参照先&amp;_xlpm._戻り範囲)
          )
        )
      )
    ),
    ""
  )
)</f>
        <v/>
      </c>
      <c r="AN23" s="223" t="str" cm="1">
        <f t="array" aca="1" ref="AN23" ca="1">IF($C23="","",
  IFERROR(
    _xlfn.LET(
      _xlpm._対象月初,EOMONTH(AN$1,-1)+1,
      _xlpm._今月初,EOMONTH(基準データ!$C$5,-1)+1,
      IF(
        _xlpm._対象月初&gt;_xlpm._今月初,
        IF(
          OR(AM23="",AM23=0),
          "",
          AM23*AN$26
        ),
        _xlfn.LET(
          _xlpm._参照先,
            "'[在庫状況把握_43期_2025-2026.xlsx]月次報告"
            &amp;TEXT(AN$1,"YYMM")
            &amp;"'!",
          _xlpm._戻り範囲,
            IF(
              _xlpm._対象月初=_xlpm._今月初,
              "$AG$1:$AG$300",
              "$G$1:$G$300"
            ),
          _xlfn.XLOOKUP(
            $C23,
            INDIRECT(_xlpm._参照先&amp;"$C$1:$C$300"),
            INDIRECT(_xlpm._参照先&amp;_xlpm._戻り範囲)
          )
        )
      )
    ),
    ""
  )
)</f>
        <v/>
      </c>
      <c r="AO23" s="223" t="str" cm="1">
        <f t="array" aca="1" ref="AO23" ca="1">IF($C23="","",
  IFERROR(
    _xlfn.LET(
      _xlpm._対象月初,EOMONTH(AO$1,-1)+1,
      _xlpm._今月初,EOMONTH(基準データ!$C$5,-1)+1,
      IF(
        _xlpm._対象月初&gt;_xlpm._今月初,
        IF(
          OR(AN23="",AN23=0),
          "",
          AN23*AO$26
        ),
        _xlfn.LET(
          _xlpm._参照先,
            "'[在庫状況把握_43期_2025-2026.xlsx]月次報告"
            &amp;TEXT(AO$1,"YYMM")
            &amp;"'!",
          _xlpm._戻り範囲,
            IF(
              _xlpm._対象月初=_xlpm._今月初,
              "$AG$1:$AG$300",
              "$G$1:$G$300"
            ),
          _xlfn.XLOOKUP(
            $C23,
            INDIRECT(_xlpm._参照先&amp;"$C$1:$C$300"),
            INDIRECT(_xlpm._参照先&amp;_xlpm._戻り範囲)
          )
        )
      )
    ),
    ""
  )
)</f>
        <v/>
      </c>
      <c r="AP23" s="223" t="str" cm="1">
        <f t="array" aca="1" ref="AP23" ca="1">IF($C23="","",
  IFERROR(
    _xlfn.LET(
      _xlpm._対象月初,EOMONTH(AP$1,-1)+1,
      _xlpm._今月初,EOMONTH(基準データ!$C$5,-1)+1,
      IF(
        _xlpm._対象月初&gt;_xlpm._今月初,
        IF(
          OR(AO23="",AO23=0),
          "",
          AO23*AP$26
        ),
        _xlfn.LET(
          _xlpm._参照先,
            "'[在庫状況把握_43期_2025-2026.xlsx]月次報告"
            &amp;TEXT(AP$1,"YYMM")
            &amp;"'!",
          _xlpm._戻り範囲,
            IF(
              _xlpm._対象月初=_xlpm._今月初,
              "$AG$1:$AG$300",
              "$G$1:$G$300"
            ),
          _xlfn.XLOOKUP(
            $C23,
            INDIRECT(_xlpm._参照先&amp;"$C$1:$C$300"),
            INDIRECT(_xlpm._参照先&amp;_xlpm._戻り範囲)
          )
        )
      )
    ),
    ""
  )
)</f>
        <v/>
      </c>
      <c r="AQ23" s="223" t="str" cm="1">
        <f t="array" aca="1" ref="AQ23" ca="1">IF($C23="","",
  IFERROR(
    _xlfn.LET(
      _xlpm._対象月初,EOMONTH(AQ$1,-1)+1,
      _xlpm._今月初,EOMONTH(基準データ!$C$5,-1)+1,
      IF(
        _xlpm._対象月初&gt;_xlpm._今月初,
        IF(
          OR(AP23="",AP23=0),
          "",
          AP23*AQ$26
        ),
        _xlfn.LET(
          _xlpm._参照先,
            "'[在庫状況把握_43期_2025-2026.xlsx]月次報告"
            &amp;TEXT(AQ$1,"YYMM")
            &amp;"'!",
          _xlpm._戻り範囲,
            IF(
              _xlpm._対象月初=_xlpm._今月初,
              "$AG$1:$AG$300",
              "$G$1:$G$300"
            ),
          _xlfn.XLOOKUP(
            $C23,
            INDIRECT(_xlpm._参照先&amp;"$C$1:$C$300"),
            INDIRECT(_xlpm._参照先&amp;_xlpm._戻り範囲)
          )
        )
      )
    ),
    ""
  )
)</f>
        <v/>
      </c>
      <c r="AR23" s="223" t="str" cm="1">
        <f t="array" aca="1" ref="AR23" ca="1">IF($C23="","",
  IFERROR(
    _xlfn.LET(
      _xlpm._対象月初,EOMONTH(AR$1,-1)+1,
      _xlpm._今月初,EOMONTH(基準データ!$C$5,-1)+1,
      IF(
        _xlpm._対象月初&gt;_xlpm._今月初,
        IF(
          OR(AQ23="",AQ23=0),
          "",
          AQ23*AR$26
        ),
        _xlfn.LET(
          _xlpm._参照先,
            "'[在庫状況把握_43期_2025-2026.xlsx]月次報告"
            &amp;TEXT(AR$1,"YYMM")
            &amp;"'!",
          _xlpm._戻り範囲,
            IF(
              _xlpm._対象月初=_xlpm._今月初,
              "$AG$1:$AG$300",
              "$G$1:$G$300"
            ),
          _xlfn.XLOOKUP(
            $C23,
            INDIRECT(_xlpm._参照先&amp;"$C$1:$C$300"),
            INDIRECT(_xlpm._参照先&amp;_xlpm._戻り範囲)
          )
        )
      )
    ),
    ""
  )
)</f>
        <v/>
      </c>
      <c r="AS23" s="223" t="str" cm="1">
        <f t="array" aca="1" ref="AS23" ca="1">IF($C23="","",
  IFERROR(
    _xlfn.LET(
      _xlpm._対象月初,EOMONTH(AS$1,-1)+1,
      _xlpm._今月初,EOMONTH(基準データ!$C$5,-1)+1,
      IF(
        _xlpm._対象月初&gt;_xlpm._今月初,
        IF(
          OR(AR23="",AR23=0),
          "",
          AR23*AS$26
        ),
        _xlfn.LET(
          _xlpm._参照先,
            "'[在庫状況把握_43期_2025-2026.xlsx]月次報告"
            &amp;TEXT(AS$1,"YYMM")
            &amp;"'!",
          _xlpm._戻り範囲,
            IF(
              _xlpm._対象月初=_xlpm._今月初,
              "$AG$1:$AG$300",
              "$G$1:$G$300"
            ),
          _xlfn.XLOOKUP(
            $C23,
            INDIRECT(_xlpm._参照先&amp;"$C$1:$C$300"),
            INDIRECT(_xlpm._参照先&amp;_xlpm._戻り範囲)
          )
        )
      )
    ),
    ""
  )
)</f>
        <v/>
      </c>
      <c r="AT23" s="223" t="str" cm="1">
        <f t="array" aca="1" ref="AT23" ca="1">IF($C23="","",
  IFERROR(
    _xlfn.LET(
      _xlpm._対象月初,EOMONTH(AT$1,-1)+1,
      _xlpm._今月初,EOMONTH(基準データ!$C$5,-1)+1,
      IF(
        _xlpm._対象月初&gt;_xlpm._今月初,
        IF(
          OR(AS23="",AS23=0),
          "",
          AS23*AT$26
        ),
        _xlfn.LET(
          _xlpm._参照先,
            "'[在庫状況把握_43期_2025-2026.xlsx]月次報告"
            &amp;TEXT(AT$1,"YYMM")
            &amp;"'!",
          _xlpm._戻り範囲,
            IF(
              _xlpm._対象月初=_xlpm._今月初,
              "$AG$1:$AG$300",
              "$G$1:$G$300"
            ),
          _xlfn.XLOOKUP(
            $C23,
            INDIRECT(_xlpm._参照先&amp;"$C$1:$C$300"),
            INDIRECT(_xlpm._参照先&amp;_xlpm._戻り範囲)
          )
        )
      )
    ),
    ""
  )
)</f>
        <v/>
      </c>
      <c r="AU23" s="223" t="str" cm="1">
        <f t="array" aca="1" ref="AU23" ca="1">IF($C23="","",
  IFERROR(
    _xlfn.LET(
      _xlpm._対象月初,EOMONTH(AU$1,-1)+1,
      _xlpm._今月初,EOMONTH(基準データ!$C$5,-1)+1,
      IF(
        _xlpm._対象月初&gt;_xlpm._今月初,
        IF(
          OR(AT23="",AT23=0),
          "",
          AT23*AU$26
        ),
        _xlfn.LET(
          _xlpm._参照先,
            "'[在庫状況把握_43期_2025-2026.xlsx]月次報告"
            &amp;TEXT(AU$1,"YYMM")
            &amp;"'!",
          _xlpm._戻り範囲,
            IF(
              _xlpm._対象月初=_xlpm._今月初,
              "$AG$1:$AG$300",
              "$G$1:$G$300"
            ),
          _xlfn.XLOOKUP(
            $C23,
            INDIRECT(_xlpm._参照先&amp;"$C$1:$C$300"),
            INDIRECT(_xlpm._参照先&amp;_xlpm._戻り範囲)
          )
        )
      )
    ),
    ""
  )
)</f>
        <v/>
      </c>
      <c r="AV23" s="223" t="str" cm="1">
        <f t="array" aca="1" ref="AV23" ca="1">IF($C23="","",
  IFERROR(
    _xlfn.LET(
      _xlpm._対象月初,EOMONTH(AV$1,-1)+1,
      _xlpm._今月初,EOMONTH(基準データ!$C$5,-1)+1,
      IF(
        _xlpm._対象月初&gt;_xlpm._今月初,
        IF(
          OR(AU23="",AU23=0),
          "",
          AU23*AV$26
        ),
        _xlfn.LET(
          _xlpm._参照先,
            "'[在庫状況把握_43期_2025-2026.xlsx]月次報告"
            &amp;TEXT(AV$1,"YYMM")
            &amp;"'!",
          _xlpm._戻り範囲,
            IF(
              _xlpm._対象月初=_xlpm._今月初,
              "$AG$1:$AG$300",
              "$G$1:$G$300"
            ),
          _xlfn.XLOOKUP(
            $C23,
            INDIRECT(_xlpm._参照先&amp;"$C$1:$C$300"),
            INDIRECT(_xlpm._参照先&amp;_xlpm._戻り範囲)
          )
        )
      )
    ),
    ""
  )
)</f>
        <v/>
      </c>
      <c r="AW23" s="223" t="str" cm="1">
        <f t="array" aca="1" ref="AW23" ca="1">IF($C23="","",
  IFERROR(
    _xlfn.LET(
      _xlpm._対象月初,EOMONTH(AW$1,-1)+1,
      _xlpm._今月初,EOMONTH(基準データ!$C$5,-1)+1,
      IF(
        _xlpm._対象月初&gt;_xlpm._今月初,
        IF(
          OR(AV23="",AV23=0),
          "",
          AV23*AW$26
        ),
        _xlfn.LET(
          _xlpm._参照先,
            "'[在庫状況把握_43期_2025-2026.xlsx]月次報告"
            &amp;TEXT(AW$1,"YYMM")
            &amp;"'!",
          _xlpm._戻り範囲,
            IF(
              _xlpm._対象月初=_xlpm._今月初,
              "$AG$1:$AG$300",
              "$G$1:$G$300"
            ),
          _xlfn.XLOOKUP(
            $C23,
            INDIRECT(_xlpm._参照先&amp;"$C$1:$C$300"),
            INDIRECT(_xlpm._参照先&amp;_xlpm._戻り範囲)
          )
        )
      )
    ),
    ""
  )
)</f>
        <v/>
      </c>
      <c r="AX23" s="223" t="str" cm="1">
        <f t="array" aca="1" ref="AX23" ca="1">IF($C23="","",
  IFERROR(
    _xlfn.LET(
      _xlpm._対象月初,EOMONTH(AX$1,-1)+1,
      _xlpm._今月初,EOMONTH(基準データ!$C$5,-1)+1,
      IF(
        _xlpm._対象月初&gt;_xlpm._今月初,
        IF(
          OR(AW23="",AW23=0),
          "",
          AW23*AX$26
        ),
        _xlfn.LET(
          _xlpm._参照先,
            "'[在庫状況把握_43期_2025-2026.xlsx]月次報告"
            &amp;TEXT(AX$1,"YYMM")
            &amp;"'!",
          _xlpm._戻り範囲,
            IF(
              _xlpm._対象月初=_xlpm._今月初,
              "$AG$1:$AG$300",
              "$G$1:$G$300"
            ),
          _xlfn.XLOOKUP(
            $C23,
            INDIRECT(_xlpm._参照先&amp;"$C$1:$C$300"),
            INDIRECT(_xlpm._参照先&amp;_xlpm._戻り範囲)
          )
        )
      )
    ),
    ""
  )
)</f>
        <v/>
      </c>
      <c r="AY23" s="223" t="str" cm="1">
        <f t="array" aca="1" ref="AY23" ca="1">IF($C23="","",
  IFERROR(
    _xlfn.LET(
      _xlpm._対象月初,EOMONTH(AY$1,-1)+1,
      _xlpm._今月初,EOMONTH(基準データ!$C$5,-1)+1,
      IF(
        _xlpm._対象月初&gt;_xlpm._今月初,
        IF(
          OR(AX23="",AX23=0),
          "",
          AX23*AY$26
        ),
        _xlfn.LET(
          _xlpm._参照先,
            "'[在庫状況把握_43期_2025-2026.xlsx]月次報告"
            &amp;TEXT(AY$1,"YYMM")
            &amp;"'!",
          _xlpm._戻り範囲,
            IF(
              _xlpm._対象月初=_xlpm._今月初,
              "$AG$1:$AG$300",
              "$G$1:$G$300"
            ),
          _xlfn.XLOOKUP(
            $C23,
            INDIRECT(_xlpm._参照先&amp;"$C$1:$C$300"),
            INDIRECT(_xlpm._参照先&amp;_xlpm._戻り範囲)
          )
        )
      )
    ),
    ""
  )
)</f>
        <v/>
      </c>
      <c r="AZ23" s="223" t="str" cm="1">
        <f t="array" aca="1" ref="AZ23" ca="1">IF($C23="","",
  IFERROR(
    _xlfn.LET(
      _xlpm._対象月初,EOMONTH(AZ$1,-1)+1,
      _xlpm._今月初,EOMONTH(基準データ!$C$5,-1)+1,
      IF(
        _xlpm._対象月初&gt;_xlpm._今月初,
        IF(
          OR(AY23="",AY23=0),
          "",
          AY23*AZ$26
        ),
        _xlfn.LET(
          _xlpm._参照先,
            "'[在庫状況把握_43期_2025-2026.xlsx]月次報告"
            &amp;TEXT(AZ$1,"YYMM")
            &amp;"'!",
          _xlpm._戻り範囲,
            IF(
              _xlpm._対象月初=_xlpm._今月初,
              "$AG$1:$AG$300",
              "$G$1:$G$300"
            ),
          _xlfn.XLOOKUP(
            $C23,
            INDIRECT(_xlpm._参照先&amp;"$C$1:$C$300"),
            INDIRECT(_xlpm._参照先&amp;_xlpm._戻り範囲)
          )
        )
      )
    ),
    ""
  )
)</f>
        <v/>
      </c>
      <c r="BA23" s="223" t="str" cm="1">
        <f t="array" aca="1" ref="BA23" ca="1">IF($C23="","",
  IFERROR(
    _xlfn.LET(
      _xlpm._対象月初,EOMONTH(BA$1,-1)+1,
      _xlpm._今月初,EOMONTH(基準データ!$C$5,-1)+1,
      IF(
        _xlpm._対象月初&gt;_xlpm._今月初,
        IF(
          OR(AZ23="",AZ23=0),
          "",
          AZ23*BA$26
        ),
        _xlfn.LET(
          _xlpm._参照先,
            "'[在庫状況把握_43期_2025-2026.xlsx]月次報告"
            &amp;TEXT(BA$1,"YYMM")
            &amp;"'!",
          _xlpm._戻り範囲,
            IF(
              _xlpm._対象月初=_xlpm._今月初,
              "$AG$1:$AG$300",
              "$G$1:$G$300"
            ),
          _xlfn.XLOOKUP(
            $C23,
            INDIRECT(_xlpm._参照先&amp;"$C$1:$C$300"),
            INDIRECT(_xlpm._参照先&amp;_xlpm._戻り範囲)
          )
        )
      )
    ),
    ""
  )
)</f>
        <v/>
      </c>
      <c r="BB23" s="223" t="str" cm="1">
        <f t="array" aca="1" ref="BB23" ca="1">IF($C23="","",
  IFERROR(
    _xlfn.LET(
      _xlpm._対象月初,EOMONTH(BB$1,-1)+1,
      _xlpm._今月初,EOMONTH(基準データ!$C$5,-1)+1,
      IF(
        _xlpm._対象月初&gt;_xlpm._今月初,
        IF(
          OR(BA23="",BA23=0),
          "",
          BA23*BB$26
        ),
        _xlfn.LET(
          _xlpm._参照先,
            "'[在庫状況把握_43期_2025-2026.xlsx]月次報告"
            &amp;TEXT(BB$1,"YYMM")
            &amp;"'!",
          _xlpm._戻り範囲,
            IF(
              _xlpm._対象月初=_xlpm._今月初,
              "$AG$1:$AG$300",
              "$G$1:$G$300"
            ),
          _xlfn.XLOOKUP(
            $C23,
            INDIRECT(_xlpm._参照先&amp;"$C$1:$C$300"),
            INDIRECT(_xlpm._参照先&amp;_xlpm._戻り範囲)
          )
        )
      )
    ),
    ""
  )
)</f>
        <v/>
      </c>
      <c r="BC23" s="223" t="str" cm="1">
        <f t="array" aca="1" ref="BC23" ca="1">IF($C23="","",
  IFERROR(
    _xlfn.LET(
      _xlpm._対象月初,EOMONTH(BC$1,-1)+1,
      _xlpm._今月初,EOMONTH(基準データ!$C$5,-1)+1,
      IF(
        _xlpm._対象月初&gt;_xlpm._今月初,
        IF(
          OR(BB23="",BB23=0),
          "",
          BB23*BC$26
        ),
        _xlfn.LET(
          _xlpm._参照先,
            "'[在庫状況把握_43期_2025-2026.xlsx]月次報告"
            &amp;TEXT(BC$1,"YYMM")
            &amp;"'!",
          _xlpm._戻り範囲,
            IF(
              _xlpm._対象月初=_xlpm._今月初,
              "$AG$1:$AG$300",
              "$G$1:$G$300"
            ),
          _xlfn.XLOOKUP(
            $C23,
            INDIRECT(_xlpm._参照先&amp;"$C$1:$C$300"),
            INDIRECT(_xlpm._参照先&amp;_xlpm._戻り範囲)
          )
        )
      )
    ),
    ""
  )
)</f>
        <v/>
      </c>
      <c r="BD23" s="223" t="str" cm="1">
        <f t="array" aca="1" ref="BD23" ca="1">IF($C23="","",
  IFERROR(
    _xlfn.LET(
      _xlpm._対象月初,EOMONTH(BD$1,-1)+1,
      _xlpm._今月初,EOMONTH(基準データ!$C$5,-1)+1,
      IF(
        _xlpm._対象月初&gt;_xlpm._今月初,
        IF(
          OR(BC23="",BC23=0),
          "",
          BC23*BD$26
        ),
        _xlfn.LET(
          _xlpm._参照先,
            "'[在庫状況把握_43期_2025-2026.xlsx]月次報告"
            &amp;TEXT(BD$1,"YYMM")
            &amp;"'!",
          _xlpm._戻り範囲,
            IF(
              _xlpm._対象月初=_xlpm._今月初,
              "$AG$1:$AG$300",
              "$G$1:$G$300"
            ),
          _xlfn.XLOOKUP(
            $C23,
            INDIRECT(_xlpm._参照先&amp;"$C$1:$C$300"),
            INDIRECT(_xlpm._参照先&amp;_xlpm._戻り範囲)
          )
        )
      )
    ),
    ""
  )
)</f>
        <v/>
      </c>
    </row>
    <row r="24" spans="1:56">
      <c r="A24" s="1060" t="s">
        <v>1635</v>
      </c>
      <c r="B24" s="26" t="str">
        <v>CLE-V540-155H-4050-L6</v>
      </c>
      <c r="C24" s="25" t="s">
        <v>355</v>
      </c>
      <c r="D24" s="26"/>
      <c r="E24" s="26"/>
      <c r="F24" s="26"/>
      <c r="G24" s="43">
        <v>290</v>
      </c>
      <c r="H24" s="109" cm="1">
        <f t="array" aca="1" ref="H24" ca="1">_xlfn.LET(_xlpm._来月から4ヶ月計画合計,
  SUM(
    OFFSET($A24,0,
      MATCH(
        EDATE(基準データ!$C$5,3),$A$1:$BF$1,1
      )-3,1,4)),
_xlpm._今月計画数,
INDEX($A$1:$BE$223,
  ROW(),
  MATCH(EOMONTH(基準データ!$C$5,-1)+1,$A$1:$BE$1,0)
),
  IFERROR(IF($B24="","",_xlpm._来月から4ヶ月計画合計+_xlpm._今月計画数/2),""
)
)</f>
        <v>14.172331221122157</v>
      </c>
      <c r="I24" s="38"/>
      <c r="J24" s="38"/>
      <c r="K24" s="38"/>
      <c r="L24" s="38"/>
      <c r="M24" s="38"/>
      <c r="N24" s="38"/>
      <c r="O24" s="38"/>
      <c r="P24" s="38"/>
      <c r="Q24" s="219"/>
      <c r="R24" s="219"/>
      <c r="S24" s="219"/>
      <c r="T24" s="219"/>
      <c r="U24" s="224"/>
      <c r="V24" s="224"/>
      <c r="W24" s="219"/>
      <c r="X24" s="480"/>
      <c r="Y24" s="219"/>
      <c r="Z24" s="219" t="str">
        <f>IF(Y24*'在庫使用計画 (計画　予測)'!$AB$45=0,"",Y24*'在庫使用計画 (計画　予測)'!$AB$45)</f>
        <v/>
      </c>
      <c r="AA24" s="224"/>
      <c r="AB24" s="224"/>
      <c r="AC24" s="224"/>
      <c r="AD24" s="241">
        <v>0</v>
      </c>
      <c r="AE24" s="223">
        <v>0</v>
      </c>
      <c r="AF24" s="223">
        <v>0</v>
      </c>
      <c r="AG24" s="223">
        <v>0</v>
      </c>
      <c r="AH24" s="223">
        <v>302</v>
      </c>
      <c r="AI24" s="223">
        <v>326</v>
      </c>
      <c r="AJ24" s="223">
        <v>27</v>
      </c>
      <c r="AK24" s="223">
        <v>12</v>
      </c>
      <c r="AL24" s="223" cm="1">
        <f t="array" aca="1" ref="AL24" ca="1">IF($C24="","",
  IFERROR(
    _xlfn.LET(
      _xlpm._対象月初,EOMONTH(AL$1,-1)+1,
      _xlpm._今月初,EOMONTH(基準データ!$C$5,-1)+1,
      IF(
        _xlpm._対象月初&gt;_xlpm._今月初,
        IF(
          OR(AK24="",AK24=0),
          "",
          AK24*AL$26
        ),
        _xlfn.LET(
          _xlpm._参照先,
            "'[在庫状況把握_43期_2025-2026.xlsx]月次報告"
            &amp;TEXT(AL$1,"YYMM")
            &amp;"'!",
          _xlpm._戻り範囲,
            IF(
              _xlpm._対象月初=_xlpm._今月初,
              "$AG$1:$AG$300",
              "$G$1:$G$300"
            ),
          _xlfn.XLOOKUP(
            $C24,
            INDIRECT(_xlpm._参照先&amp;"$C$1:$C$300"),
            INDIRECT(_xlpm._参照先&amp;_xlpm._戻り範囲)
          )
        )
      )
    ),
    ""
  )
)</f>
        <v>4</v>
      </c>
      <c r="AM24" s="223" cm="1">
        <f t="array" aca="1" ref="AM24" ca="1">IF($C24="","",
  IFERROR(
    _xlfn.LET(
      _xlpm._対象月初,EOMONTH(AM$1,-1)+1,
      _xlpm._今月初,EOMONTH(基準データ!$C$5,-1)+1,
      IF(
        _xlpm._対象月初&gt;_xlpm._今月初,
        IF(
          OR(AL24="",AL24=0),
          "",
          AL24*AM$26
        ),
        _xlfn.LET(
          _xlpm._参照先,
            "'[在庫状況把握_43期_2025-2026.xlsx]月次報告"
            &amp;TEXT(AM$1,"YYMM")
            &amp;"'!",
          _xlpm._戻り範囲,
            IF(
              _xlpm._対象月初=_xlpm._今月初,
              "$AG$1:$AG$300",
              "$G$1:$G$300"
            ),
          _xlfn.XLOOKUP(
            $C24,
            INDIRECT(_xlpm._参照先&amp;"$C$1:$C$300"),
            INDIRECT(_xlpm._参照先&amp;_xlpm._戻り範囲)
          )
        )
      )
    ),
    ""
  )
)</f>
        <v>4.4285714285714279</v>
      </c>
      <c r="AN24" s="223" cm="1">
        <f t="array" aca="1" ref="AN24" ca="1">IF($C24="","",
  IFERROR(
    _xlfn.LET(
      _xlpm._対象月初,EOMONTH(AN$1,-1)+1,
      _xlpm._今月初,EOMONTH(基準データ!$C$5,-1)+1,
      IF(
        _xlpm._対象月初&gt;_xlpm._今月初,
        IF(
          OR(AM24="",AM24=0),
          "",
          AM24*AN$26
        ),
        _xlfn.LET(
          _xlpm._参照先,
            "'[在庫状況把握_43期_2025-2026.xlsx]月次報告"
            &amp;TEXT(AN$1,"YYMM")
            &amp;"'!",
          _xlpm._戻り範囲,
            IF(
              _xlpm._対象月初=_xlpm._今月初,
              "$AG$1:$AG$300",
              "$G$1:$G$300"
            ),
          _xlfn.XLOOKUP(
            $C24,
            INDIRECT(_xlpm._参照先&amp;"$C$1:$C$300"),
            INDIRECT(_xlpm._参照先&amp;_xlpm._戻り範囲)
          )
        )
      )
    ),
    ""
  )
)</f>
        <v>3.6194094656677707</v>
      </c>
      <c r="AO24" s="223" cm="1">
        <f t="array" aca="1" ref="AO24" ca="1">IF($C24="","",
  IFERROR(
    _xlfn.LET(
      _xlpm._対象月初,EOMONTH(AO$1,-1)+1,
      _xlpm._今月初,EOMONTH(基準データ!$C$5,-1)+1,
      IF(
        _xlpm._対象月初&gt;_xlpm._今月初,
        IF(
          OR(AN24="",AN24=0),
          "",
          AN24*AO$26
        ),
        _xlfn.LET(
          _xlpm._参照先,
            "'[在庫状況把握_43期_2025-2026.xlsx]月次報告"
            &amp;TEXT(AO$1,"YYMM")
            &amp;"'!",
          _xlpm._戻り範囲,
            IF(
              _xlpm._対象月初=_xlpm._今月初,
              "$AG$1:$AG$300",
              "$G$1:$G$300"
            ),
          _xlfn.XLOOKUP(
            $C24,
            INDIRECT(_xlpm._参照先&amp;"$C$1:$C$300"),
            INDIRECT(_xlpm._参照先&amp;_xlpm._戻り範囲)
          )
        )
      )
    ),
    ""
  )
)</f>
        <v>2.9181293680914604</v>
      </c>
      <c r="AP24" s="223" cm="1">
        <f t="array" aca="1" ref="AP24" ca="1">IF($C24="","",
  IFERROR(
    _xlfn.LET(
      _xlpm._対象月初,EOMONTH(AP$1,-1)+1,
      _xlpm._今月初,EOMONTH(基準データ!$C$5,-1)+1,
      IF(
        _xlpm._対象月初&gt;_xlpm._今月初,
        IF(
          OR(AO24="",AO24=0),
          "",
          AO24*AP$26
        ),
        _xlfn.LET(
          _xlpm._参照先,
            "'[在庫状況把握_43期_2025-2026.xlsx]月次報告"
            &amp;TEXT(AP$1,"YYMM")
            &amp;"'!",
          _xlpm._戻り範囲,
            IF(
              _xlpm._対象月初=_xlpm._今月初,
              "$AG$1:$AG$300",
              "$G$1:$G$300"
            ),
          _xlfn.XLOOKUP(
            $C24,
            INDIRECT(_xlpm._参照先&amp;"$C$1:$C$300"),
            INDIRECT(_xlpm._参照先&amp;_xlpm._戻り範囲)
          )
        )
      )
    ),
    ""
  )
)</f>
        <v>2.5371230317057281</v>
      </c>
      <c r="AQ24" s="223" cm="1">
        <f t="array" aca="1" ref="AQ24" ca="1">IF($C24="","",
  IFERROR(
    _xlfn.LET(
      _xlpm._対象月初,EOMONTH(AQ$1,-1)+1,
      _xlpm._今月初,EOMONTH(基準データ!$C$5,-1)+1,
      IF(
        _xlpm._対象月初&gt;_xlpm._今月初,
        IF(
          OR(AP24="",AP24=0),
          "",
          AP24*AQ$26
        ),
        _xlfn.LET(
          _xlpm._参照先,
            "'[在庫状況把握_43期_2025-2026.xlsx]月次報告"
            &amp;TEXT(AQ$1,"YYMM")
            &amp;"'!",
          _xlpm._戻り範囲,
            IF(
              _xlpm._対象月初=_xlpm._今月初,
              "$AG$1:$AG$300",
              "$G$1:$G$300"
            ),
          _xlfn.XLOOKUP(
            $C24,
            INDIRECT(_xlpm._参照先&amp;"$C$1:$C$300"),
            INDIRECT(_xlpm._参照先&amp;_xlpm._戻り範囲)
          )
        )
      )
    ),
    ""
  )
)</f>
        <v>2.8833836413714846</v>
      </c>
      <c r="AR24" s="223" cm="1">
        <f t="array" aca="1" ref="AR24" ca="1">IF($C24="","",
  IFERROR(
    _xlfn.LET(
      _xlpm._対象月初,EOMONTH(AR$1,-1)+1,
      _xlpm._今月初,EOMONTH(基準データ!$C$5,-1)+1,
      IF(
        _xlpm._対象月初&gt;_xlpm._今月初,
        IF(
          OR(AQ24="",AQ24=0),
          "",
          AQ24*AR$26
        ),
        _xlfn.LET(
          _xlpm._参照先,
            "'[在庫状況把握_43期_2025-2026.xlsx]月次報告"
            &amp;TEXT(AR$1,"YYMM")
            &amp;"'!",
          _xlpm._戻り範囲,
            IF(
              _xlpm._対象月初=_xlpm._今月初,
              "$AG$1:$AG$300",
              "$G$1:$G$300"
            ),
          _xlfn.XLOOKUP(
            $C24,
            INDIRECT(_xlpm._参照先&amp;"$C$1:$C$300"),
            INDIRECT(_xlpm._参照先&amp;_xlpm._戻り範囲)
          )
        )
      )
    ),
    ""
  )
)</f>
        <v>4.5336259070598945</v>
      </c>
      <c r="AS24" s="223" cm="1">
        <f t="array" aca="1" ref="AS24" ca="1">IF($C24="","",
  IFERROR(
    _xlfn.LET(
      _xlpm._対象月初,EOMONTH(AS$1,-1)+1,
      _xlpm._今月初,EOMONTH(基準データ!$C$5,-1)+1,
      IF(
        _xlpm._対象月初&gt;_xlpm._今月初,
        IF(
          OR(AR24="",AR24=0),
          "",
          AR24*AS$26
        ),
        _xlfn.LET(
          _xlpm._参照先,
            "'[在庫状況把握_43期_2025-2026.xlsx]月次報告"
            &amp;TEXT(AS$1,"YYMM")
            &amp;"'!",
          _xlpm._戻り範囲,
            IF(
              _xlpm._対象月初=_xlpm._今月初,
              "$AG$1:$AG$300",
              "$G$1:$G$300"
            ),
          _xlfn.XLOOKUP(
            $C24,
            INDIRECT(_xlpm._参照先&amp;"$C$1:$C$300"),
            INDIRECT(_xlpm._参照先&amp;_xlpm._戻り範囲)
          )
        )
      )
    ),
    ""
  )
)</f>
        <v>3.7909762240604303</v>
      </c>
      <c r="AT24" s="223" cm="1">
        <f t="array" aca="1" ref="AT24" ca="1">IF($C24="","",
  IFERROR(
    _xlfn.LET(
      _xlpm._対象月初,EOMONTH(AT$1,-1)+1,
      _xlpm._今月初,EOMONTH(基準データ!$C$5,-1)+1,
      IF(
        _xlpm._対象月初&gt;_xlpm._今月初,
        IF(
          OR(AS24="",AS24=0),
          "",
          AS24*AT$26
        ),
        _xlfn.LET(
          _xlpm._参照先,
            "'[在庫状況把握_43期_2025-2026.xlsx]月次報告"
            &amp;TEXT(AT$1,"YYMM")
            &amp;"'!",
          _xlpm._戻り範囲,
            IF(
              _xlpm._対象月初=_xlpm._今月初,
              "$AG$1:$AG$300",
              "$G$1:$G$300"
            ),
          _xlfn.XLOOKUP(
            $C24,
            INDIRECT(_xlpm._参照先&amp;"$C$1:$C$300"),
            INDIRECT(_xlpm._参照先&amp;_xlpm._戻り範囲)
          )
        )
      )
    ),
    ""
  )
)</f>
        <v>3.4126227970290373</v>
      </c>
      <c r="AU24" s="223" cm="1">
        <f t="array" aca="1" ref="AU24" ca="1">IF($C24="","",
  IFERROR(
    _xlfn.LET(
      _xlpm._対象月初,EOMONTH(AU$1,-1)+1,
      _xlpm._今月初,EOMONTH(基準データ!$C$5,-1)+1,
      IF(
        _xlpm._対象月初&gt;_xlpm._今月初,
        IF(
          OR(AT24="",AT24=0),
          "",
          AT24*AU$26
        ),
        _xlfn.LET(
          _xlpm._参照先,
            "'[在庫状況把握_43期_2025-2026.xlsx]月次報告"
            &amp;TEXT(AU$1,"YYMM")
            &amp;"'!",
          _xlpm._戻り範囲,
            IF(
              _xlpm._対象月初=_xlpm._今月初,
              "$AG$1:$AG$300",
              "$G$1:$G$300"
            ),
          _xlfn.XLOOKUP(
            $C24,
            INDIRECT(_xlpm._参照先&amp;"$C$1:$C$300"),
            INDIRECT(_xlpm._参照先&amp;_xlpm._戻り範囲)
          )
        )
      )
    ),
    ""
  )
)</f>
        <v>4.910074056139127</v>
      </c>
      <c r="AV24" s="223" cm="1">
        <f t="array" aca="1" ref="AV24" ca="1">IF($C24="","",
  IFERROR(
    _xlfn.LET(
      _xlpm._対象月初,EOMONTH(AV$1,-1)+1,
      _xlpm._今月初,EOMONTH(基準データ!$C$5,-1)+1,
      IF(
        _xlpm._対象月初&gt;_xlpm._今月初,
        IF(
          OR(AU24="",AU24=0),
          "",
          AU24*AV$26
        ),
        _xlfn.LET(
          _xlpm._参照先,
            "'[在庫状況把握_43期_2025-2026.xlsx]月次報告"
            &amp;TEXT(AV$1,"YYMM")
            &amp;"'!",
          _xlpm._戻り範囲,
            IF(
              _xlpm._対象月初=_xlpm._今月初,
              "$AG$1:$AG$300",
              "$G$1:$G$300"
            ),
          _xlfn.XLOOKUP(
            $C24,
            INDIRECT(_xlpm._参照先&amp;"$C$1:$C$300"),
            INDIRECT(_xlpm._参照先&amp;_xlpm._戻り範囲)
          )
        )
      )
    ),
    ""
  )
)</f>
        <v>3.7795702931074939</v>
      </c>
      <c r="AW24" s="223" cm="1">
        <f t="array" aca="1" ref="AW24" ca="1">IF($C24="","",
  IFERROR(
    _xlfn.LET(
      _xlpm._対象月初,EOMONTH(AW$1,-1)+1,
      _xlpm._今月初,EOMONTH(基準データ!$C$5,-1)+1,
      IF(
        _xlpm._対象月初&gt;_xlpm._今月初,
        IF(
          OR(AV24="",AV24=0),
          "",
          AV24*AW$26
        ),
        _xlfn.LET(
          _xlpm._参照先,
            "'[在庫状況把握_43期_2025-2026.xlsx]月次報告"
            &amp;TEXT(AW$1,"YYMM")
            &amp;"'!",
          _xlpm._戻り範囲,
            IF(
              _xlpm._対象月初=_xlpm._今月初,
              "$AG$1:$AG$300",
              "$G$1:$G$300"
            ),
          _xlfn.XLOOKUP(
            $C24,
            INDIRECT(_xlpm._参照先&amp;"$C$1:$C$300"),
            INDIRECT(_xlpm._参照先&amp;_xlpm._戻り範囲)
          )
        )
      )
    ),
    ""
  )
)</f>
        <v>3.0172988413046951</v>
      </c>
      <c r="AX24" s="223" cm="1">
        <f t="array" aca="1" ref="AX24" ca="1">IF($C24="","",
  IFERROR(
    _xlfn.LET(
      _xlpm._対象月初,EOMONTH(AX$1,-1)+1,
      _xlpm._今月初,EOMONTH(基準データ!$C$5,-1)+1,
      IF(
        _xlpm._対象月初&gt;_xlpm._今月初,
        IF(
          OR(AW24="",AW24=0),
          "",
          AW24*AX$26
        ),
        _xlfn.LET(
          _xlpm._参照先,
            "'[在庫状況把握_43期_2025-2026.xlsx]月次報告"
            &amp;TEXT(AX$1,"YYMM")
            &amp;"'!",
          _xlpm._戻り範囲,
            IF(
              _xlpm._対象月初=_xlpm._今月初,
              "$AG$1:$AG$300",
              "$G$1:$G$300"
            ),
          _xlfn.XLOOKUP(
            $C24,
            INDIRECT(_xlpm._参照先&amp;"$C$1:$C$300"),
            INDIRECT(_xlpm._参照先&amp;_xlpm._戻り範囲)
          )
        )
      )
    ),
    ""
  )
)</f>
        <v>3.4913444951438293</v>
      </c>
      <c r="AY24" s="223" cm="1">
        <f t="array" aca="1" ref="AY24" ca="1">IF($C24="","",
  IFERROR(
    _xlfn.LET(
      _xlpm._対象月初,EOMONTH(AY$1,-1)+1,
      _xlpm._今月初,EOMONTH(基準データ!$C$5,-1)+1,
      IF(
        _xlpm._対象月初&gt;_xlpm._今月初,
        IF(
          OR(AX24="",AX24=0),
          "",
          AX24*AY$26
        ),
        _xlfn.LET(
          _xlpm._参照先,
            "'[在庫状況把握_43期_2025-2026.xlsx]月次報告"
            &amp;TEXT(AY$1,"YYMM")
            &amp;"'!",
          _xlpm._戻り範囲,
            IF(
              _xlpm._対象月初=_xlpm._今月初,
              "$AG$1:$AG$300",
              "$G$1:$G$300"
            ),
          _xlfn.XLOOKUP(
            $C24,
            INDIRECT(_xlpm._参照先&amp;"$C$1:$C$300"),
            INDIRECT(_xlpm._参照先&amp;_xlpm._戻り範囲)
          )
        )
      )
    ),
    ""
  )
)</f>
        <v>4.4285714285714279</v>
      </c>
      <c r="AZ24" s="223" cm="1">
        <f t="array" aca="1" ref="AZ24" ca="1">IF($C24="","",
  IFERROR(
    _xlfn.LET(
      _xlpm._対象月初,EOMONTH(AZ$1,-1)+1,
      _xlpm._今月初,EOMONTH(基準データ!$C$5,-1)+1,
      IF(
        _xlpm._対象月初&gt;_xlpm._今月初,
        IF(
          OR(AY24="",AY24=0),
          "",
          AY24*AZ$26
        ),
        _xlfn.LET(
          _xlpm._参照先,
            "'[在庫状況把握_43期_2025-2026.xlsx]月次報告"
            &amp;TEXT(AZ$1,"YYMM")
            &amp;"'!",
          _xlpm._戻り範囲,
            IF(
              _xlpm._対象月初=_xlpm._今月初,
              "$AG$1:$AG$300",
              "$G$1:$G$300"
            ),
          _xlfn.XLOOKUP(
            $C24,
            INDIRECT(_xlpm._参照先&amp;"$C$1:$C$300"),
            INDIRECT(_xlpm._参照先&amp;_xlpm._戻り範囲)
          )
        )
      )
    ),
    ""
  )
)</f>
        <v>3.6194094656677707</v>
      </c>
      <c r="BA24" s="223" cm="1">
        <f t="array" aca="1" ref="BA24" ca="1">IF($C24="","",
  IFERROR(
    _xlfn.LET(
      _xlpm._対象月初,EOMONTH(BA$1,-1)+1,
      _xlpm._今月初,EOMONTH(基準データ!$C$5,-1)+1,
      IF(
        _xlpm._対象月初&gt;_xlpm._今月初,
        IF(
          OR(AZ24="",AZ24=0),
          "",
          AZ24*BA$26
        ),
        _xlfn.LET(
          _xlpm._参照先,
            "'[在庫状況把握_43期_2025-2026.xlsx]月次報告"
            &amp;TEXT(BA$1,"YYMM")
            &amp;"'!",
          _xlpm._戻り範囲,
            IF(
              _xlpm._対象月初=_xlpm._今月初,
              "$AG$1:$AG$300",
              "$G$1:$G$300"
            ),
          _xlfn.XLOOKUP(
            $C24,
            INDIRECT(_xlpm._参照先&amp;"$C$1:$C$300"),
            INDIRECT(_xlpm._参照先&amp;_xlpm._戻り範囲)
          )
        )
      )
    ),
    ""
  )
)</f>
        <v>2.9181293680914604</v>
      </c>
      <c r="BB24" s="223" cm="1">
        <f t="array" aca="1" ref="BB24" ca="1">IF($C24="","",
  IFERROR(
    _xlfn.LET(
      _xlpm._対象月初,EOMONTH(BB$1,-1)+1,
      _xlpm._今月初,EOMONTH(基準データ!$C$5,-1)+1,
      IF(
        _xlpm._対象月初&gt;_xlpm._今月初,
        IF(
          OR(BA24="",BA24=0),
          "",
          BA24*BB$26
        ),
        _xlfn.LET(
          _xlpm._参照先,
            "'[在庫状況把握_43期_2025-2026.xlsx]月次報告"
            &amp;TEXT(BB$1,"YYMM")
            &amp;"'!",
          _xlpm._戻り範囲,
            IF(
              _xlpm._対象月初=_xlpm._今月初,
              "$AG$1:$AG$300",
              "$G$1:$G$300"
            ),
          _xlfn.XLOOKUP(
            $C24,
            INDIRECT(_xlpm._参照先&amp;"$C$1:$C$300"),
            INDIRECT(_xlpm._参照先&amp;_xlpm._戻り範囲)
          )
        )
      )
    ),
    ""
  )
)</f>
        <v>2.5371230317057281</v>
      </c>
      <c r="BC24" s="223" cm="1">
        <f t="array" aca="1" ref="BC24" ca="1">IF($C24="","",
  IFERROR(
    _xlfn.LET(
      _xlpm._対象月初,EOMONTH(BC$1,-1)+1,
      _xlpm._今月初,EOMONTH(基準データ!$C$5,-1)+1,
      IF(
        _xlpm._対象月初&gt;_xlpm._今月初,
        IF(
          OR(BB24="",BB24=0),
          "",
          BB24*BC$26
        ),
        _xlfn.LET(
          _xlpm._参照先,
            "'[在庫状況把握_43期_2025-2026.xlsx]月次報告"
            &amp;TEXT(BC$1,"YYMM")
            &amp;"'!",
          _xlpm._戻り範囲,
            IF(
              _xlpm._対象月初=_xlpm._今月初,
              "$AG$1:$AG$300",
              "$G$1:$G$300"
            ),
          _xlfn.XLOOKUP(
            $C24,
            INDIRECT(_xlpm._参照先&amp;"$C$1:$C$300"),
            INDIRECT(_xlpm._参照先&amp;_xlpm._戻り範囲)
          )
        )
      )
    ),
    ""
  )
)</f>
        <v>2.8833836413714846</v>
      </c>
      <c r="BD24" s="223" cm="1">
        <f t="array" aca="1" ref="BD24" ca="1">IF($C24="","",
  IFERROR(
    _xlfn.LET(
      _xlpm._対象月初,EOMONTH(BD$1,-1)+1,
      _xlpm._今月初,EOMONTH(基準データ!$C$5,-1)+1,
      IF(
        _xlpm._対象月初&gt;_xlpm._今月初,
        IF(
          OR(BC24="",BC24=0),
          "",
          BC24*BD$26
        ),
        _xlfn.LET(
          _xlpm._参照先,
            "'[在庫状況把握_43期_2025-2026.xlsx]月次報告"
            &amp;TEXT(BD$1,"YYMM")
            &amp;"'!",
          _xlpm._戻り範囲,
            IF(
              _xlpm._対象月初=_xlpm._今月初,
              "$AG$1:$AG$300",
              "$G$1:$G$300"
            ),
          _xlfn.XLOOKUP(
            $C24,
            INDIRECT(_xlpm._参照先&amp;"$C$1:$C$300"),
            INDIRECT(_xlpm._参照先&amp;_xlpm._戻り範囲)
          )
        )
      )
    ),
    ""
  )
)</f>
        <v>4.5336259070598945</v>
      </c>
    </row>
    <row r="25" spans="1:56">
      <c r="A25" s="1059"/>
      <c r="B25" s="26" t="str">
        <v/>
      </c>
      <c r="C25" s="26"/>
      <c r="D25" s="26"/>
      <c r="E25" s="26"/>
      <c r="F25" s="26"/>
      <c r="G25" s="43" t="str">
        <v/>
      </c>
      <c r="H25" s="109" t="str" cm="1">
        <f t="array" aca="1" ref="H25" ca="1">_xlfn.LET(_xlpm._来月から4ヶ月計画合計,
  SUM(
    OFFSET($A25,0,
      MATCH(
        EDATE(基準データ!$C$5,3),$A$1:$BF$1,1
      )-3,1,4)),
_xlpm._今月計画数,
INDEX($A$1:$BE$223,
  ROW(),
  MATCH(EOMONTH(基準データ!$C$5,-1)+1,$A$1:$BE$1,0)
),
  IFERROR(IF($B25="","",_xlpm._来月から4ヶ月計画合計+_xlpm._今月計画数/2),""
)
)</f>
        <v/>
      </c>
      <c r="I25" s="38"/>
      <c r="J25" s="38"/>
      <c r="K25" s="38"/>
      <c r="L25" s="38"/>
      <c r="M25" s="38"/>
      <c r="N25" s="38"/>
      <c r="O25" s="38"/>
      <c r="P25" s="38"/>
      <c r="Q25" s="219"/>
      <c r="R25" s="219"/>
      <c r="S25" s="219"/>
      <c r="T25" s="219"/>
      <c r="U25" s="224"/>
      <c r="V25" s="224"/>
      <c r="W25" s="468"/>
      <c r="X25" s="480"/>
      <c r="Y25" s="219"/>
      <c r="Z25" s="219" t="str">
        <f>IF(Y25*'在庫使用計画 (計画　予測)'!$AB$45=0,"",Y25*'在庫使用計画 (計画　予測)'!$AB$45)</f>
        <v/>
      </c>
      <c r="AA25" s="224"/>
      <c r="AB25" s="224"/>
      <c r="AC25" s="224"/>
      <c r="AD25" s="241" t="s">
        <v>21</v>
      </c>
      <c r="AE25" s="223" t="s">
        <v>21</v>
      </c>
      <c r="AF25" s="223" t="s">
        <v>21</v>
      </c>
      <c r="AG25" s="223" t="s">
        <v>21</v>
      </c>
      <c r="AH25" s="223" t="s">
        <v>21</v>
      </c>
      <c r="AI25" s="223" t="s">
        <v>21</v>
      </c>
      <c r="AJ25" s="223" t="s">
        <v>21</v>
      </c>
      <c r="AK25" s="223" t="s">
        <v>21</v>
      </c>
      <c r="AL25" s="223" t="str" cm="1">
        <f t="array" aca="1" ref="AL25" ca="1">IF($C25="","",
  IFERROR(
    _xlfn.LET(
      _xlpm._対象月初,EOMONTH(AL$1,-1)+1,
      _xlpm._今月初,EOMONTH(基準データ!$C$5,-1)+1,
      IF(
        _xlpm._対象月初&gt;_xlpm._今月初,
        IF(
          OR(AK25="",AK25=0),
          "",
          AK25*AL$26
        ),
        _xlfn.LET(
          _xlpm._参照先,
            "'[在庫状況把握_43期_2025-2026.xlsx]月次報告"
            &amp;TEXT(AL$1,"YYMM")
            &amp;"'!",
          _xlpm._戻り範囲,
            IF(
              _xlpm._対象月初=_xlpm._今月初,
              "$AG$1:$AG$300",
              "$G$1:$G$300"
            ),
          _xlfn.XLOOKUP(
            $C25,
            INDIRECT(_xlpm._参照先&amp;"$C$1:$C$300"),
            INDIRECT(_xlpm._参照先&amp;_xlpm._戻り範囲)
          )
        )
      )
    ),
    ""
  )
)</f>
        <v/>
      </c>
      <c r="AM25" s="223" t="str" cm="1">
        <f t="array" aca="1" ref="AM25" ca="1">IF($C25="","",
  IFERROR(
    _xlfn.LET(
      _xlpm._対象月初,EOMONTH(AM$1,-1)+1,
      _xlpm._今月初,EOMONTH(基準データ!$C$5,-1)+1,
      IF(
        _xlpm._対象月初&gt;_xlpm._今月初,
        IF(
          OR(AL25="",AL25=0),
          "",
          AL25*AM$26
        ),
        _xlfn.LET(
          _xlpm._参照先,
            "'[在庫状況把握_43期_2025-2026.xlsx]月次報告"
            &amp;TEXT(AM$1,"YYMM")
            &amp;"'!",
          _xlpm._戻り範囲,
            IF(
              _xlpm._対象月初=_xlpm._今月初,
              "$AG$1:$AG$300",
              "$G$1:$G$300"
            ),
          _xlfn.XLOOKUP(
            $C25,
            INDIRECT(_xlpm._参照先&amp;"$C$1:$C$300"),
            INDIRECT(_xlpm._参照先&amp;_xlpm._戻り範囲)
          )
        )
      )
    ),
    ""
  )
)</f>
        <v/>
      </c>
      <c r="AN25" s="223" t="str" cm="1">
        <f t="array" aca="1" ref="AN25" ca="1">IF($C25="","",
  IFERROR(
    _xlfn.LET(
      _xlpm._対象月初,EOMONTH(AN$1,-1)+1,
      _xlpm._今月初,EOMONTH(基準データ!$C$5,-1)+1,
      IF(
        _xlpm._対象月初&gt;_xlpm._今月初,
        IF(
          OR(AM25="",AM25=0),
          "",
          AM25*AN$26
        ),
        _xlfn.LET(
          _xlpm._参照先,
            "'[在庫状況把握_43期_2025-2026.xlsx]月次報告"
            &amp;TEXT(AN$1,"YYMM")
            &amp;"'!",
          _xlpm._戻り範囲,
            IF(
              _xlpm._対象月初=_xlpm._今月初,
              "$AG$1:$AG$300",
              "$G$1:$G$300"
            ),
          _xlfn.XLOOKUP(
            $C25,
            INDIRECT(_xlpm._参照先&amp;"$C$1:$C$300"),
            INDIRECT(_xlpm._参照先&amp;_xlpm._戻り範囲)
          )
        )
      )
    ),
    ""
  )
)</f>
        <v/>
      </c>
      <c r="AO25" s="223" t="str" cm="1">
        <f t="array" aca="1" ref="AO25" ca="1">IF($C25="","",
  IFERROR(
    _xlfn.LET(
      _xlpm._対象月初,EOMONTH(AO$1,-1)+1,
      _xlpm._今月初,EOMONTH(基準データ!$C$5,-1)+1,
      IF(
        _xlpm._対象月初&gt;_xlpm._今月初,
        IF(
          OR(AN25="",AN25=0),
          "",
          AN25*AO$26
        ),
        _xlfn.LET(
          _xlpm._参照先,
            "'[在庫状況把握_43期_2025-2026.xlsx]月次報告"
            &amp;TEXT(AO$1,"YYMM")
            &amp;"'!",
          _xlpm._戻り範囲,
            IF(
              _xlpm._対象月初=_xlpm._今月初,
              "$AG$1:$AG$300",
              "$G$1:$G$300"
            ),
          _xlfn.XLOOKUP(
            $C25,
            INDIRECT(_xlpm._参照先&amp;"$C$1:$C$300"),
            INDIRECT(_xlpm._参照先&amp;_xlpm._戻り範囲)
          )
        )
      )
    ),
    ""
  )
)</f>
        <v/>
      </c>
      <c r="AP25" s="223" t="str" cm="1">
        <f t="array" aca="1" ref="AP25" ca="1">IF($C25="","",
  IFERROR(
    _xlfn.LET(
      _xlpm._対象月初,EOMONTH(AP$1,-1)+1,
      _xlpm._今月初,EOMONTH(基準データ!$C$5,-1)+1,
      IF(
        _xlpm._対象月初&gt;_xlpm._今月初,
        IF(
          OR(AO25="",AO25=0),
          "",
          AO25*AP$26
        ),
        _xlfn.LET(
          _xlpm._参照先,
            "'[在庫状況把握_43期_2025-2026.xlsx]月次報告"
            &amp;TEXT(AP$1,"YYMM")
            &amp;"'!",
          _xlpm._戻り範囲,
            IF(
              _xlpm._対象月初=_xlpm._今月初,
              "$AG$1:$AG$300",
              "$G$1:$G$300"
            ),
          _xlfn.XLOOKUP(
            $C25,
            INDIRECT(_xlpm._参照先&amp;"$C$1:$C$300"),
            INDIRECT(_xlpm._参照先&amp;_xlpm._戻り範囲)
          )
        )
      )
    ),
    ""
  )
)</f>
        <v/>
      </c>
      <c r="AQ25" s="223" t="str" cm="1">
        <f t="array" aca="1" ref="AQ25" ca="1">IF($C25="","",
  IFERROR(
    _xlfn.LET(
      _xlpm._対象月初,EOMONTH(AQ$1,-1)+1,
      _xlpm._今月初,EOMONTH(基準データ!$C$5,-1)+1,
      IF(
        _xlpm._対象月初&gt;_xlpm._今月初,
        IF(
          OR(AP25="",AP25=0),
          "",
          AP25*AQ$26
        ),
        _xlfn.LET(
          _xlpm._参照先,
            "'[在庫状況把握_43期_2025-2026.xlsx]月次報告"
            &amp;TEXT(AQ$1,"YYMM")
            &amp;"'!",
          _xlpm._戻り範囲,
            IF(
              _xlpm._対象月初=_xlpm._今月初,
              "$AG$1:$AG$300",
              "$G$1:$G$300"
            ),
          _xlfn.XLOOKUP(
            $C25,
            INDIRECT(_xlpm._参照先&amp;"$C$1:$C$300"),
            INDIRECT(_xlpm._参照先&amp;_xlpm._戻り範囲)
          )
        )
      )
    ),
    ""
  )
)</f>
        <v/>
      </c>
      <c r="AR25" s="223" t="str" cm="1">
        <f t="array" aca="1" ref="AR25" ca="1">IF($C25="","",
  IFERROR(
    _xlfn.LET(
      _xlpm._対象月初,EOMONTH(AR$1,-1)+1,
      _xlpm._今月初,EOMONTH(基準データ!$C$5,-1)+1,
      IF(
        _xlpm._対象月初&gt;_xlpm._今月初,
        IF(
          OR(AQ25="",AQ25=0),
          "",
          AQ25*AR$26
        ),
        _xlfn.LET(
          _xlpm._参照先,
            "'[在庫状況把握_43期_2025-2026.xlsx]月次報告"
            &amp;TEXT(AR$1,"YYMM")
            &amp;"'!",
          _xlpm._戻り範囲,
            IF(
              _xlpm._対象月初=_xlpm._今月初,
              "$AG$1:$AG$300",
              "$G$1:$G$300"
            ),
          _xlfn.XLOOKUP(
            $C25,
            INDIRECT(_xlpm._参照先&amp;"$C$1:$C$300"),
            INDIRECT(_xlpm._参照先&amp;_xlpm._戻り範囲)
          )
        )
      )
    ),
    ""
  )
)</f>
        <v/>
      </c>
      <c r="AS25" s="223" t="str" cm="1">
        <f t="array" aca="1" ref="AS25" ca="1">IF($C25="","",
  IFERROR(
    _xlfn.LET(
      _xlpm._対象月初,EOMONTH(AS$1,-1)+1,
      _xlpm._今月初,EOMONTH(基準データ!$C$5,-1)+1,
      IF(
        _xlpm._対象月初&gt;_xlpm._今月初,
        IF(
          OR(AR25="",AR25=0),
          "",
          AR25*AS$26
        ),
        _xlfn.LET(
          _xlpm._参照先,
            "'[在庫状況把握_43期_2025-2026.xlsx]月次報告"
            &amp;TEXT(AS$1,"YYMM")
            &amp;"'!",
          _xlpm._戻り範囲,
            IF(
              _xlpm._対象月初=_xlpm._今月初,
              "$AG$1:$AG$300",
              "$G$1:$G$300"
            ),
          _xlfn.XLOOKUP(
            $C25,
            INDIRECT(_xlpm._参照先&amp;"$C$1:$C$300"),
            INDIRECT(_xlpm._参照先&amp;_xlpm._戻り範囲)
          )
        )
      )
    ),
    ""
  )
)</f>
        <v/>
      </c>
      <c r="AT25" s="223" t="str" cm="1">
        <f t="array" aca="1" ref="AT25" ca="1">IF($C25="","",
  IFERROR(
    _xlfn.LET(
      _xlpm._対象月初,EOMONTH(AT$1,-1)+1,
      _xlpm._今月初,EOMONTH(基準データ!$C$5,-1)+1,
      IF(
        _xlpm._対象月初&gt;_xlpm._今月初,
        IF(
          OR(AS25="",AS25=0),
          "",
          AS25*AT$26
        ),
        _xlfn.LET(
          _xlpm._参照先,
            "'[在庫状況把握_43期_2025-2026.xlsx]月次報告"
            &amp;TEXT(AT$1,"YYMM")
            &amp;"'!",
          _xlpm._戻り範囲,
            IF(
              _xlpm._対象月初=_xlpm._今月初,
              "$AG$1:$AG$300",
              "$G$1:$G$300"
            ),
          _xlfn.XLOOKUP(
            $C25,
            INDIRECT(_xlpm._参照先&amp;"$C$1:$C$300"),
            INDIRECT(_xlpm._参照先&amp;_xlpm._戻り範囲)
          )
        )
      )
    ),
    ""
  )
)</f>
        <v/>
      </c>
      <c r="AU25" s="223" t="str" cm="1">
        <f t="array" aca="1" ref="AU25" ca="1">IF($C25="","",
  IFERROR(
    _xlfn.LET(
      _xlpm._対象月初,EOMONTH(AU$1,-1)+1,
      _xlpm._今月初,EOMONTH(基準データ!$C$5,-1)+1,
      IF(
        _xlpm._対象月初&gt;_xlpm._今月初,
        IF(
          OR(AT25="",AT25=0),
          "",
          AT25*AU$26
        ),
        _xlfn.LET(
          _xlpm._参照先,
            "'[在庫状況把握_43期_2025-2026.xlsx]月次報告"
            &amp;TEXT(AU$1,"YYMM")
            &amp;"'!",
          _xlpm._戻り範囲,
            IF(
              _xlpm._対象月初=_xlpm._今月初,
              "$AG$1:$AG$300",
              "$G$1:$G$300"
            ),
          _xlfn.XLOOKUP(
            $C25,
            INDIRECT(_xlpm._参照先&amp;"$C$1:$C$300"),
            INDIRECT(_xlpm._参照先&amp;_xlpm._戻り範囲)
          )
        )
      )
    ),
    ""
  )
)</f>
        <v/>
      </c>
      <c r="AV25" s="223" t="str" cm="1">
        <f t="array" aca="1" ref="AV25" ca="1">IF($C25="","",
  IFERROR(
    _xlfn.LET(
      _xlpm._対象月初,EOMONTH(AV$1,-1)+1,
      _xlpm._今月初,EOMONTH(基準データ!$C$5,-1)+1,
      IF(
        _xlpm._対象月初&gt;_xlpm._今月初,
        IF(
          OR(AU25="",AU25=0),
          "",
          AU25*AV$26
        ),
        _xlfn.LET(
          _xlpm._参照先,
            "'[在庫状況把握_43期_2025-2026.xlsx]月次報告"
            &amp;TEXT(AV$1,"YYMM")
            &amp;"'!",
          _xlpm._戻り範囲,
            IF(
              _xlpm._対象月初=_xlpm._今月初,
              "$AG$1:$AG$300",
              "$G$1:$G$300"
            ),
          _xlfn.XLOOKUP(
            $C25,
            INDIRECT(_xlpm._参照先&amp;"$C$1:$C$300"),
            INDIRECT(_xlpm._参照先&amp;_xlpm._戻り範囲)
          )
        )
      )
    ),
    ""
  )
)</f>
        <v/>
      </c>
      <c r="AW25" s="223" t="str" cm="1">
        <f t="array" aca="1" ref="AW25" ca="1">IF($C25="","",
  IFERROR(
    _xlfn.LET(
      _xlpm._対象月初,EOMONTH(AW$1,-1)+1,
      _xlpm._今月初,EOMONTH(基準データ!$C$5,-1)+1,
      IF(
        _xlpm._対象月初&gt;_xlpm._今月初,
        IF(
          OR(AV25="",AV25=0),
          "",
          AV25*AW$26
        ),
        _xlfn.LET(
          _xlpm._参照先,
            "'[在庫状況把握_43期_2025-2026.xlsx]月次報告"
            &amp;TEXT(AW$1,"YYMM")
            &amp;"'!",
          _xlpm._戻り範囲,
            IF(
              _xlpm._対象月初=_xlpm._今月初,
              "$AG$1:$AG$300",
              "$G$1:$G$300"
            ),
          _xlfn.XLOOKUP(
            $C25,
            INDIRECT(_xlpm._参照先&amp;"$C$1:$C$300"),
            INDIRECT(_xlpm._参照先&amp;_xlpm._戻り範囲)
          )
        )
      )
    ),
    ""
  )
)</f>
        <v/>
      </c>
      <c r="AX25" s="223" t="str" cm="1">
        <f t="array" aca="1" ref="AX25" ca="1">IF($C25="","",
  IFERROR(
    _xlfn.LET(
      _xlpm._対象月初,EOMONTH(AX$1,-1)+1,
      _xlpm._今月初,EOMONTH(基準データ!$C$5,-1)+1,
      IF(
        _xlpm._対象月初&gt;_xlpm._今月初,
        IF(
          OR(AW25="",AW25=0),
          "",
          AW25*AX$26
        ),
        _xlfn.LET(
          _xlpm._参照先,
            "'[在庫状況把握_43期_2025-2026.xlsx]月次報告"
            &amp;TEXT(AX$1,"YYMM")
            &amp;"'!",
          _xlpm._戻り範囲,
            IF(
              _xlpm._対象月初=_xlpm._今月初,
              "$AG$1:$AG$300",
              "$G$1:$G$300"
            ),
          _xlfn.XLOOKUP(
            $C25,
            INDIRECT(_xlpm._参照先&amp;"$C$1:$C$300"),
            INDIRECT(_xlpm._参照先&amp;_xlpm._戻り範囲)
          )
        )
      )
    ),
    ""
  )
)</f>
        <v/>
      </c>
      <c r="AY25" s="223" t="str" cm="1">
        <f t="array" aca="1" ref="AY25" ca="1">IF($C25="","",
  IFERROR(
    _xlfn.LET(
      _xlpm._対象月初,EOMONTH(AY$1,-1)+1,
      _xlpm._今月初,EOMONTH(基準データ!$C$5,-1)+1,
      IF(
        _xlpm._対象月初&gt;_xlpm._今月初,
        IF(
          OR(AX25="",AX25=0),
          "",
          AX25*AY$26
        ),
        _xlfn.LET(
          _xlpm._参照先,
            "'[在庫状況把握_43期_2025-2026.xlsx]月次報告"
            &amp;TEXT(AY$1,"YYMM")
            &amp;"'!",
          _xlpm._戻り範囲,
            IF(
              _xlpm._対象月初=_xlpm._今月初,
              "$AG$1:$AG$300",
              "$G$1:$G$300"
            ),
          _xlfn.XLOOKUP(
            $C25,
            INDIRECT(_xlpm._参照先&amp;"$C$1:$C$300"),
            INDIRECT(_xlpm._参照先&amp;_xlpm._戻り範囲)
          )
        )
      )
    ),
    ""
  )
)</f>
        <v/>
      </c>
      <c r="AZ25" s="223" t="str" cm="1">
        <f t="array" aca="1" ref="AZ25" ca="1">IF($C25="","",
  IFERROR(
    _xlfn.LET(
      _xlpm._対象月初,EOMONTH(AZ$1,-1)+1,
      _xlpm._今月初,EOMONTH(基準データ!$C$5,-1)+1,
      IF(
        _xlpm._対象月初&gt;_xlpm._今月初,
        IF(
          OR(AY25="",AY25=0),
          "",
          AY25*AZ$26
        ),
        _xlfn.LET(
          _xlpm._参照先,
            "'[在庫状況把握_43期_2025-2026.xlsx]月次報告"
            &amp;TEXT(AZ$1,"YYMM")
            &amp;"'!",
          _xlpm._戻り範囲,
            IF(
              _xlpm._対象月初=_xlpm._今月初,
              "$AG$1:$AG$300",
              "$G$1:$G$300"
            ),
          _xlfn.XLOOKUP(
            $C25,
            INDIRECT(_xlpm._参照先&amp;"$C$1:$C$300"),
            INDIRECT(_xlpm._参照先&amp;_xlpm._戻り範囲)
          )
        )
      )
    ),
    ""
  )
)</f>
        <v/>
      </c>
      <c r="BA25" s="223" t="str" cm="1">
        <f t="array" aca="1" ref="BA25" ca="1">IF($C25="","",
  IFERROR(
    _xlfn.LET(
      _xlpm._対象月初,EOMONTH(BA$1,-1)+1,
      _xlpm._今月初,EOMONTH(基準データ!$C$5,-1)+1,
      IF(
        _xlpm._対象月初&gt;_xlpm._今月初,
        IF(
          OR(AZ25="",AZ25=0),
          "",
          AZ25*BA$26
        ),
        _xlfn.LET(
          _xlpm._参照先,
            "'[在庫状況把握_43期_2025-2026.xlsx]月次報告"
            &amp;TEXT(BA$1,"YYMM")
            &amp;"'!",
          _xlpm._戻り範囲,
            IF(
              _xlpm._対象月初=_xlpm._今月初,
              "$AG$1:$AG$300",
              "$G$1:$G$300"
            ),
          _xlfn.XLOOKUP(
            $C25,
            INDIRECT(_xlpm._参照先&amp;"$C$1:$C$300"),
            INDIRECT(_xlpm._参照先&amp;_xlpm._戻り範囲)
          )
        )
      )
    ),
    ""
  )
)</f>
        <v/>
      </c>
      <c r="BB25" s="223" t="str" cm="1">
        <f t="array" aca="1" ref="BB25" ca="1">IF($C25="","",
  IFERROR(
    _xlfn.LET(
      _xlpm._対象月初,EOMONTH(BB$1,-1)+1,
      _xlpm._今月初,EOMONTH(基準データ!$C$5,-1)+1,
      IF(
        _xlpm._対象月初&gt;_xlpm._今月初,
        IF(
          OR(BA25="",BA25=0),
          "",
          BA25*BB$26
        ),
        _xlfn.LET(
          _xlpm._参照先,
            "'[在庫状況把握_43期_2025-2026.xlsx]月次報告"
            &amp;TEXT(BB$1,"YYMM")
            &amp;"'!",
          _xlpm._戻り範囲,
            IF(
              _xlpm._対象月初=_xlpm._今月初,
              "$AG$1:$AG$300",
              "$G$1:$G$300"
            ),
          _xlfn.XLOOKUP(
            $C25,
            INDIRECT(_xlpm._参照先&amp;"$C$1:$C$300"),
            INDIRECT(_xlpm._参照先&amp;_xlpm._戻り範囲)
          )
        )
      )
    ),
    ""
  )
)</f>
        <v/>
      </c>
      <c r="BC25" s="223" t="str" cm="1">
        <f t="array" aca="1" ref="BC25" ca="1">IF($C25="","",
  IFERROR(
    _xlfn.LET(
      _xlpm._対象月初,EOMONTH(BC$1,-1)+1,
      _xlpm._今月初,EOMONTH(基準データ!$C$5,-1)+1,
      IF(
        _xlpm._対象月初&gt;_xlpm._今月初,
        IF(
          OR(BB25="",BB25=0),
          "",
          BB25*BC$26
        ),
        _xlfn.LET(
          _xlpm._参照先,
            "'[在庫状況把握_43期_2025-2026.xlsx]月次報告"
            &amp;TEXT(BC$1,"YYMM")
            &amp;"'!",
          _xlpm._戻り範囲,
            IF(
              _xlpm._対象月初=_xlpm._今月初,
              "$AG$1:$AG$300",
              "$G$1:$G$300"
            ),
          _xlfn.XLOOKUP(
            $C25,
            INDIRECT(_xlpm._参照先&amp;"$C$1:$C$300"),
            INDIRECT(_xlpm._参照先&amp;_xlpm._戻り範囲)
          )
        )
      )
    ),
    ""
  )
)</f>
        <v/>
      </c>
      <c r="BD25" s="223" t="str" cm="1">
        <f t="array" aca="1" ref="BD25" ca="1">IF($C25="","",
  IFERROR(
    _xlfn.LET(
      _xlpm._対象月初,EOMONTH(BD$1,-1)+1,
      _xlpm._今月初,EOMONTH(基準データ!$C$5,-1)+1,
      IF(
        _xlpm._対象月初&gt;_xlpm._今月初,
        IF(
          OR(BC25="",BC25=0),
          "",
          BC25*BD$26
        ),
        _xlfn.LET(
          _xlpm._参照先,
            "'[在庫状況把握_43期_2025-2026.xlsx]月次報告"
            &amp;TEXT(BD$1,"YYMM")
            &amp;"'!",
          _xlpm._戻り範囲,
            IF(
              _xlpm._対象月初=_xlpm._今月初,
              "$AG$1:$AG$300",
              "$G$1:$G$300"
            ),
          _xlfn.XLOOKUP(
            $C25,
            INDIRECT(_xlpm._参照先&amp;"$C$1:$C$300"),
            INDIRECT(_xlpm._参照先&amp;_xlpm._戻り範囲)
          )
        )
      )
    ),
    ""
  )
)</f>
        <v/>
      </c>
    </row>
    <row r="26" spans="1:56">
      <c r="U26" s="440"/>
      <c r="V26" s="440"/>
      <c r="W26" s="440"/>
      <c r="X26" s="440"/>
      <c r="Y26" s="440"/>
      <c r="Z26" s="440"/>
      <c r="AA26" s="440"/>
      <c r="AB26" s="563">
        <v>0.81728600837659349</v>
      </c>
      <c r="AC26" s="563">
        <v>0.80624460862238312</v>
      </c>
      <c r="AD26" s="563">
        <v>0.8694347342678227</v>
      </c>
      <c r="AE26" s="563">
        <v>1.1364776580948708</v>
      </c>
      <c r="AF26" s="563">
        <v>1.5723283721286114</v>
      </c>
      <c r="AG26" s="563">
        <v>0.83619078895702703</v>
      </c>
      <c r="AH26" s="563">
        <v>0.9001963070540846</v>
      </c>
      <c r="AI26" s="563">
        <v>1.4387977658748987</v>
      </c>
      <c r="AJ26" s="563">
        <v>0.76975830708334225</v>
      </c>
      <c r="AK26" s="563">
        <v>0.79831795873914724</v>
      </c>
      <c r="AL26" s="563">
        <v>1.1571092817687738</v>
      </c>
      <c r="AM26" s="563">
        <v>1.2684429837076243</v>
      </c>
      <c r="AN26" s="563">
        <v>0.81728600837659349</v>
      </c>
      <c r="AO26" s="563">
        <v>0.80624460862238312</v>
      </c>
      <c r="AP26" s="563">
        <v>0.8694347342678227</v>
      </c>
      <c r="AQ26" s="563">
        <v>1.1364776580948708</v>
      </c>
      <c r="AR26" s="563">
        <v>1.5723283721286114</v>
      </c>
      <c r="AS26" s="563">
        <v>0.83619078895702703</v>
      </c>
      <c r="AT26" s="563">
        <v>0.9001963070540846</v>
      </c>
      <c r="AU26" s="563">
        <v>1.4387977658748987</v>
      </c>
      <c r="AV26" s="563">
        <v>0.76975830708334225</v>
      </c>
      <c r="AW26" s="563">
        <v>0.79831795873914724</v>
      </c>
      <c r="AX26" s="563">
        <v>1.1571092817687738</v>
      </c>
      <c r="AY26" s="563">
        <v>1.2684429837076243</v>
      </c>
      <c r="AZ26" s="563">
        <v>0.81728600837659349</v>
      </c>
      <c r="BA26" s="563">
        <v>0.80624460862238312</v>
      </c>
      <c r="BB26" s="563">
        <v>0.8694347342678227</v>
      </c>
      <c r="BC26" s="563">
        <v>1.1364776580948708</v>
      </c>
      <c r="BD26" s="563">
        <v>1.5723283721286114</v>
      </c>
    </row>
    <row r="27" spans="1:56">
      <c r="A27" s="1062"/>
      <c r="B27" s="152" t="s">
        <v>1376</v>
      </c>
      <c r="C27" s="152" t="s">
        <v>1636</v>
      </c>
      <c r="D27" s="152"/>
      <c r="E27" s="152"/>
      <c r="F27" s="152"/>
      <c r="G27" s="356">
        <f>SUM(_xlfn.ANCHORARRAY(G2))</f>
        <v>9143</v>
      </c>
      <c r="H27" s="45"/>
      <c r="I27" s="45">
        <f t="shared" ref="I27:T27" si="0">SUM(I12:I25)</f>
        <v>0</v>
      </c>
      <c r="J27" s="45">
        <f t="shared" si="0"/>
        <v>0</v>
      </c>
      <c r="K27" s="45">
        <f t="shared" si="0"/>
        <v>0</v>
      </c>
      <c r="L27" s="45">
        <f t="shared" si="0"/>
        <v>0</v>
      </c>
      <c r="M27" s="45">
        <f t="shared" si="0"/>
        <v>0</v>
      </c>
      <c r="N27" s="45">
        <f t="shared" si="0"/>
        <v>0</v>
      </c>
      <c r="O27" s="45">
        <f t="shared" si="0"/>
        <v>0</v>
      </c>
      <c r="P27" s="45">
        <f t="shared" si="0"/>
        <v>0</v>
      </c>
      <c r="Q27" s="45">
        <f t="shared" si="0"/>
        <v>0</v>
      </c>
      <c r="R27" s="45">
        <f t="shared" si="0"/>
        <v>0</v>
      </c>
      <c r="S27" s="45">
        <f t="shared" si="0"/>
        <v>0</v>
      </c>
      <c r="T27" s="45">
        <f t="shared" si="0"/>
        <v>0</v>
      </c>
      <c r="U27" s="45">
        <f t="shared" ref="U27:AC27" si="1">SUM(U2:U25)</f>
        <v>1107</v>
      </c>
      <c r="V27" s="45">
        <f t="shared" si="1"/>
        <v>718</v>
      </c>
      <c r="W27" s="45">
        <f t="shared" si="1"/>
        <v>1341</v>
      </c>
      <c r="X27" s="45">
        <f t="shared" si="1"/>
        <v>1153</v>
      </c>
      <c r="Y27" s="45">
        <f t="shared" si="1"/>
        <v>1258</v>
      </c>
      <c r="Z27" s="45">
        <f t="shared" si="1"/>
        <v>2618</v>
      </c>
      <c r="AA27" s="45">
        <f t="shared" si="1"/>
        <v>3829</v>
      </c>
      <c r="AB27" s="155">
        <f t="shared" si="1"/>
        <v>2771</v>
      </c>
      <c r="AC27" s="155">
        <f t="shared" si="1"/>
        <v>2510</v>
      </c>
      <c r="AD27" s="155">
        <v>2554</v>
      </c>
      <c r="AE27" s="155">
        <v>1992</v>
      </c>
      <c r="AF27" s="45">
        <v>2843</v>
      </c>
      <c r="AG27" s="45">
        <v>1773</v>
      </c>
      <c r="AH27" s="45">
        <v>1634</v>
      </c>
      <c r="AI27" s="45">
        <v>2461</v>
      </c>
      <c r="AJ27" s="45">
        <v>2049</v>
      </c>
      <c r="AK27" s="45">
        <v>2194</v>
      </c>
      <c r="AL27" s="155">
        <f t="shared" ref="AL27:BD27" ca="1" si="2">SUM(AL2:AL25)</f>
        <v>2395</v>
      </c>
      <c r="AM27" s="155">
        <f t="shared" ca="1" si="2"/>
        <v>2425.75</v>
      </c>
      <c r="AN27" s="155">
        <f t="shared" ca="1" si="2"/>
        <v>1982.5315348195215</v>
      </c>
      <c r="AO27" s="155">
        <f t="shared" ca="1" si="2"/>
        <v>1598.4053613720978</v>
      </c>
      <c r="AP27" s="155">
        <f t="shared" ca="1" si="2"/>
        <v>1389.7091406168129</v>
      </c>
      <c r="AQ27" s="155">
        <f t="shared" ca="1" si="2"/>
        <v>1579.3733895612309</v>
      </c>
      <c r="AR27" s="155">
        <f t="shared" ca="1" si="2"/>
        <v>2483.2935905920576</v>
      </c>
      <c r="AS27" s="155">
        <f t="shared" ca="1" si="2"/>
        <v>2076.5072267291011</v>
      </c>
      <c r="AT27" s="155">
        <f t="shared" ca="1" si="2"/>
        <v>1869.2641370726556</v>
      </c>
      <c r="AU27" s="155">
        <f t="shared" ca="1" si="2"/>
        <v>2689.4930642502068</v>
      </c>
      <c r="AV27" s="155">
        <f t="shared" ca="1" si="2"/>
        <v>2070.25962804963</v>
      </c>
      <c r="AW27" s="155">
        <f t="shared" ca="1" si="2"/>
        <v>1652.725440324647</v>
      </c>
      <c r="AX27" s="155">
        <f t="shared" ca="1" si="2"/>
        <v>1912.3839472150325</v>
      </c>
      <c r="AY27" s="155">
        <f t="shared" ca="1" si="2"/>
        <v>2425.75</v>
      </c>
      <c r="AZ27" s="155">
        <f t="shared" ca="1" si="2"/>
        <v>1982.5315348195215</v>
      </c>
      <c r="BA27" s="155">
        <f t="shared" ca="1" si="2"/>
        <v>1598.4053613720978</v>
      </c>
      <c r="BB27" s="155">
        <f t="shared" ca="1" si="2"/>
        <v>1389.7091406168129</v>
      </c>
      <c r="BC27" s="155">
        <f t="shared" ca="1" si="2"/>
        <v>1579.3733895612309</v>
      </c>
      <c r="BD27" s="155">
        <f t="shared" ca="1" si="2"/>
        <v>2483.2935905920576</v>
      </c>
    </row>
    <row r="28" spans="1:56" ht="16.149999999999999" customHeight="1">
      <c r="A28" s="1063"/>
      <c r="B28" s="158" t="s">
        <v>1378</v>
      </c>
      <c r="C28" s="157"/>
      <c r="D28" s="157"/>
      <c r="E28" s="158"/>
      <c r="F28" s="158"/>
      <c r="G28" s="45"/>
      <c r="H28" s="45"/>
      <c r="I28" s="159"/>
      <c r="J28" s="159"/>
      <c r="K28" s="159"/>
      <c r="L28" s="159"/>
      <c r="M28" s="159"/>
      <c r="N28" s="159"/>
      <c r="O28" s="159"/>
      <c r="P28" s="159"/>
      <c r="Q28" s="226"/>
      <c r="R28" s="226"/>
      <c r="S28" s="226"/>
      <c r="T28" s="227"/>
      <c r="U28" s="228"/>
      <c r="V28" s="228"/>
      <c r="W28" s="229"/>
      <c r="X28" s="242"/>
      <c r="Y28" s="199"/>
      <c r="Z28" s="199"/>
      <c r="AA28" s="199"/>
      <c r="AB28" s="199"/>
      <c r="AC28" s="226"/>
      <c r="AD28" s="226"/>
      <c r="AE28" s="226"/>
      <c r="AF28" s="199"/>
      <c r="AG28" s="322"/>
      <c r="AH28" s="322"/>
      <c r="AI28" s="322"/>
      <c r="AJ28" s="322"/>
      <c r="AK28" s="322"/>
      <c r="AL28" s="636"/>
      <c r="AM28" s="636"/>
      <c r="AN28" s="636"/>
      <c r="AO28" s="636"/>
      <c r="AP28" s="636"/>
      <c r="AQ28" s="636"/>
      <c r="AR28" s="636"/>
      <c r="AS28" s="636"/>
      <c r="AT28" s="636"/>
      <c r="AU28" s="636"/>
      <c r="AV28" s="636"/>
      <c r="AW28" s="636"/>
      <c r="AX28" s="636"/>
      <c r="AY28" s="636"/>
      <c r="AZ28" s="636"/>
      <c r="BA28" s="636"/>
      <c r="BB28" s="636"/>
      <c r="BC28" s="636"/>
      <c r="BD28" s="636"/>
    </row>
    <row r="29" spans="1:56">
      <c r="A29" s="1059"/>
      <c r="B29" s="934" t="str" cm="1">
        <f t="array" ref="B29:B45">_xlfn.LET(_xlpm.range,C29:C45,
IF(_xlpm.range="","",
_xlfn.XLOOKUP(_xlpm.range,マスタ_EOLリスト[製品型番],マスタ_EOLリスト[綽名])
))</f>
        <v/>
      </c>
      <c r="C29" s="25"/>
      <c r="D29" s="26"/>
      <c r="E29" s="24"/>
      <c r="F29" s="24"/>
      <c r="G29" s="38" t="str" cm="1">
        <f t="array" ref="G29:G45">IF($C29:$C45="","",
_xlfn.XLOOKUP($C29:$C45,'在庫使用計画 (ノート全体試算)'!$C$1:$C$122,'在庫使用計画 (ノート全体試算)'!$G$1:$G$122,""))</f>
        <v/>
      </c>
      <c r="H29" s="109" t="str" cm="1">
        <f t="array" aca="1" ref="H29" ca="1">_xlfn.LET(_xlpm._来月から4ヶ月計画合計,
  SUM(
    OFFSET($A29,0,
      MATCH(
        EDATE(基準データ!$C$5,3),$A$1:$BF$1,1
      )-3,1,4)),
_xlpm._今月計画数,
INDEX($A$1:$BE$223,
  ROW(),
  MATCH(EOMONTH(基準データ!$C$5,-1)+1,$A$1:$BE$1,0)
),
  IFERROR(IF($B29="","",_xlpm._来月から4ヶ月計画合計+_xlpm._今月計画数/2),""
)
)</f>
        <v/>
      </c>
      <c r="I29" s="38" t="str">
        <f>IFERROR(IF(SUM(INDEX('在庫使用計画 (一般)'!$A$1:$BF$557,MATCH($C29,'在庫使用計画 (一般)'!$C$1:$C$557,0),MATCH(I$1,'在庫使用計画 (一般)'!$A$1:$BF$1,0)),INDEX('在庫使用計画 (法人)'!$A$1:$AT$578,MATCH($C29,'在庫使用計画 (法人)'!$C$1:$C$578,0),MATCH(I$1,'在庫使用計画 (法人)'!$A$1:$AT$1,0)))=0,"",SUM(INDEX('在庫使用計画 (一般)'!$A$1:$BF$557,MATCH($C29,'在庫使用計画 (一般)'!$C$1:$C$557,0),MATCH(I$1,'在庫使用計画 (一般)'!$A$1:$BF$1,0)),INDEX('在庫使用計画 (法人)'!$A$1:$AT$578,MATCH($C29,'在庫使用計画 (法人)'!$C$1:$C$578,0),MATCH(I$1,'在庫使用計画 (法人)'!$A$1:$AT$1,0)))),"")</f>
        <v/>
      </c>
      <c r="J29" s="38" t="str">
        <f>IFERROR(IF(SUM(INDEX('在庫使用計画 (一般)'!$A$1:$BF$557,MATCH($C29,'在庫使用計画 (一般)'!$C$1:$C$557,0),MATCH(J$1,'在庫使用計画 (一般)'!$A$1:$BF$1,0)),INDEX('在庫使用計画 (法人)'!$A$1:$AT$578,MATCH($C29,'在庫使用計画 (法人)'!$C$1:$C$578,0),MATCH(J$1,'在庫使用計画 (法人)'!$A$1:$AT$1,0)))=0,"",SUM(INDEX('在庫使用計画 (一般)'!$A$1:$BF$557,MATCH($C29,'在庫使用計画 (一般)'!$C$1:$C$557,0),MATCH(J$1,'在庫使用計画 (一般)'!$A$1:$BF$1,0)),INDEX('在庫使用計画 (法人)'!$A$1:$AT$578,MATCH($C29,'在庫使用計画 (法人)'!$C$1:$C$578,0),MATCH(J$1,'在庫使用計画 (法人)'!$A$1:$AT$1,0)))),"")</f>
        <v/>
      </c>
      <c r="K29" s="38" t="str">
        <f>IFERROR(IF(SUM(INDEX('在庫使用計画 (一般)'!$A$1:$BF$557,MATCH($C29,'在庫使用計画 (一般)'!$C$1:$C$557,0),MATCH(K$1,'在庫使用計画 (一般)'!$A$1:$BF$1,0)),INDEX('在庫使用計画 (法人)'!$A$1:$AT$578,MATCH($C29,'在庫使用計画 (法人)'!$C$1:$C$578,0),MATCH(K$1,'在庫使用計画 (法人)'!$A$1:$AT$1,0)))=0,"",SUM(INDEX('在庫使用計画 (一般)'!$A$1:$BF$557,MATCH($C29,'在庫使用計画 (一般)'!$C$1:$C$557,0),MATCH(K$1,'在庫使用計画 (一般)'!$A$1:$BF$1,0)),INDEX('在庫使用計画 (法人)'!$A$1:$AT$578,MATCH($C29,'在庫使用計画 (法人)'!$C$1:$C$578,0),MATCH(K$1,'在庫使用計画 (法人)'!$A$1:$AT$1,0)))),"")</f>
        <v/>
      </c>
      <c r="L29" s="38" t="str">
        <f>IFERROR(IF(SUM(INDEX('在庫使用計画 (一般)'!$A$1:$BF$557,MATCH($C29,'在庫使用計画 (一般)'!$C$1:$C$557,0),MATCH(L$1,'在庫使用計画 (一般)'!$A$1:$BF$1,0)),INDEX('在庫使用計画 (法人)'!$A$1:$AT$578,MATCH($C29,'在庫使用計画 (法人)'!$C$1:$C$578,0),MATCH(L$1,'在庫使用計画 (法人)'!$A$1:$AT$1,0)))=0,"",SUM(INDEX('在庫使用計画 (一般)'!$A$1:$BF$557,MATCH($C29,'在庫使用計画 (一般)'!$C$1:$C$557,0),MATCH(L$1,'在庫使用計画 (一般)'!$A$1:$BF$1,0)),INDEX('在庫使用計画 (法人)'!$A$1:$AT$578,MATCH($C29,'在庫使用計画 (法人)'!$C$1:$C$578,0),MATCH(L$1,'在庫使用計画 (法人)'!$A$1:$AT$1,0)))),"")</f>
        <v/>
      </c>
      <c r="M29" s="38" t="str">
        <f>IFERROR(IF(SUM(INDEX('在庫使用計画 (一般)'!$A$1:$BF$557,MATCH($C29,'在庫使用計画 (一般)'!$C$1:$C$557,0),MATCH(M$1,'在庫使用計画 (一般)'!$A$1:$BF$1,0)),INDEX('在庫使用計画 (法人)'!$A$1:$AT$578,MATCH($C29,'在庫使用計画 (法人)'!$C$1:$C$578,0),MATCH(M$1,'在庫使用計画 (法人)'!$A$1:$AT$1,0)))=0,"",SUM(INDEX('在庫使用計画 (一般)'!$A$1:$BF$557,MATCH($C29,'在庫使用計画 (一般)'!$C$1:$C$557,0),MATCH(M$1,'在庫使用計画 (一般)'!$A$1:$BF$1,0)),INDEX('在庫使用計画 (法人)'!$A$1:$AT$578,MATCH($C29,'在庫使用計画 (法人)'!$C$1:$C$578,0),MATCH(M$1,'在庫使用計画 (法人)'!$A$1:$AT$1,0)))),"")</f>
        <v/>
      </c>
      <c r="N29" s="38" t="str">
        <f>IFERROR(IF(SUM(INDEX('在庫使用計画 (一般)'!$A$1:$BF$557,MATCH($C29,'在庫使用計画 (一般)'!$C$1:$C$557,0),MATCH(N$1,'在庫使用計画 (一般)'!$A$1:$BF$1,0)),INDEX('在庫使用計画 (法人)'!$A$1:$AT$578,MATCH($C29,'在庫使用計画 (法人)'!$C$1:$C$578,0),MATCH(N$1,'在庫使用計画 (法人)'!$A$1:$AT$1,0)))=0,"",SUM(INDEX('在庫使用計画 (一般)'!$A$1:$BF$557,MATCH($C29,'在庫使用計画 (一般)'!$C$1:$C$557,0),MATCH(N$1,'在庫使用計画 (一般)'!$A$1:$BF$1,0)),INDEX('在庫使用計画 (法人)'!$A$1:$AT$578,MATCH($C29,'在庫使用計画 (法人)'!$C$1:$C$578,0),MATCH(N$1,'在庫使用計画 (法人)'!$A$1:$AT$1,0)))),"")</f>
        <v/>
      </c>
      <c r="O29" s="38" t="str">
        <f>IFERROR(IF(SUM(INDEX('在庫使用計画 (一般)'!$A$1:$BF$557,MATCH($C29,'在庫使用計画 (一般)'!$C$1:$C$557,0),MATCH(O$1,'在庫使用計画 (一般)'!$A$1:$BF$1,0)),INDEX('在庫使用計画 (法人)'!$A$1:$AT$578,MATCH($C29,'在庫使用計画 (法人)'!$C$1:$C$578,0),MATCH(O$1,'在庫使用計画 (法人)'!$A$1:$AT$1,0)))=0,"",SUM(INDEX('在庫使用計画 (一般)'!$A$1:$BF$557,MATCH($C29,'在庫使用計画 (一般)'!$C$1:$C$557,0),MATCH(O$1,'在庫使用計画 (一般)'!$A$1:$BF$1,0)),INDEX('在庫使用計画 (法人)'!$A$1:$AT$578,MATCH($C29,'在庫使用計画 (法人)'!$C$1:$C$578,0),MATCH(O$1,'在庫使用計画 (法人)'!$A$1:$AT$1,0)))),"")</f>
        <v/>
      </c>
      <c r="P29" s="38" t="str">
        <f>IFERROR(IF(SUM(INDEX('在庫使用計画 (一般)'!$A$1:$BF$557,MATCH($C29,'在庫使用計画 (一般)'!$C$1:$C$557,0),MATCH(P$1,'在庫使用計画 (一般)'!$A$1:$BF$1,0)),INDEX('在庫使用計画 (法人)'!$A$1:$AT$578,MATCH($C29,'在庫使用計画 (法人)'!$C$1:$C$578,0),MATCH(P$1,'在庫使用計画 (法人)'!$A$1:$AT$1,0)))=0,"",SUM(INDEX('在庫使用計画 (一般)'!$A$1:$BF$557,MATCH($C29,'在庫使用計画 (一般)'!$C$1:$C$557,0),MATCH(P$1,'在庫使用計画 (一般)'!$A$1:$BF$1,0)),INDEX('在庫使用計画 (法人)'!$A$1:$AT$578,MATCH($C29,'在庫使用計画 (法人)'!$C$1:$C$578,0),MATCH(P$1,'在庫使用計画 (法人)'!$A$1:$AT$1,0)))),"")</f>
        <v/>
      </c>
      <c r="Q29" s="219" t="str">
        <f>IFERROR(IF(SUM(INDEX('在庫使用計画 (一般)'!$A$1:$BF$557,MATCH($C29,'在庫使用計画 (一般)'!$C$1:$C$557,0),MATCH(Q$1,'在庫使用計画 (一般)'!$A$1:$BF$1,0)),INDEX('在庫使用計画 (法人)'!$A$1:$AT$578,MATCH($C29,'在庫使用計画 (法人)'!$C$1:$C$578,0),MATCH(Q$1,'在庫使用計画 (法人)'!$A$1:$AT$1,0)))=0,"",SUM(INDEX('在庫使用計画 (一般)'!$A$1:$BF$557,MATCH($C29,'在庫使用計画 (一般)'!$C$1:$C$557,0),MATCH(Q$1,'在庫使用計画 (一般)'!$A$1:$BF$1,0)),INDEX('在庫使用計画 (法人)'!$A$1:$AT$578,MATCH($C29,'在庫使用計画 (法人)'!$C$1:$C$578,0),MATCH(Q$1,'在庫使用計画 (法人)'!$A$1:$AT$1,0)))),"")</f>
        <v/>
      </c>
      <c r="R29" s="219" t="str">
        <f>IFERROR(IF(SUM(INDEX('在庫使用計画 (一般)'!$A$1:$BF$557,MATCH($C29,'在庫使用計画 (一般)'!$C$1:$C$557,0),MATCH(R$1,'在庫使用計画 (一般)'!$A$1:$BF$1,0)),INDEX('在庫使用計画 (法人)'!$A$1:$AT$578,MATCH($C29,'在庫使用計画 (法人)'!$C$1:$C$578,0),MATCH(R$1,'在庫使用計画 (法人)'!$A$1:$AT$1,0)))=0,"",SUM(INDEX('在庫使用計画 (一般)'!$A$1:$BF$557,MATCH($C29,'在庫使用計画 (一般)'!$C$1:$C$557,0),MATCH(R$1,'在庫使用計画 (一般)'!$A$1:$BF$1,0)),INDEX('在庫使用計画 (法人)'!$A$1:$AT$578,MATCH($C29,'在庫使用計画 (法人)'!$C$1:$C$578,0),MATCH(R$1,'在庫使用計画 (法人)'!$A$1:$AT$1,0)))),"")</f>
        <v/>
      </c>
      <c r="S29" s="219" t="str">
        <f>IFERROR(IF(SUM(INDEX('在庫使用計画 (一般)'!$A$1:$BF$557,MATCH($C29,'在庫使用計画 (一般)'!$C$1:$C$557,0),MATCH(S$1,'在庫使用計画 (一般)'!$A$1:$BF$1,0)),INDEX('在庫使用計画 (法人)'!$A$1:$AT$578,MATCH($C29,'在庫使用計画 (法人)'!$C$1:$C$578,0),MATCH(S$1,'在庫使用計画 (法人)'!$A$1:$AT$1,0)))=0,"",SUM(INDEX('在庫使用計画 (一般)'!$A$1:$BF$557,MATCH($C29,'在庫使用計画 (一般)'!$C$1:$C$557,0),MATCH(S$1,'在庫使用計画 (一般)'!$A$1:$BF$1,0)),INDEX('在庫使用計画 (法人)'!$A$1:$AT$578,MATCH($C29,'在庫使用計画 (法人)'!$C$1:$C$578,0),MATCH(S$1,'在庫使用計画 (法人)'!$A$1:$AT$1,0)))),"")</f>
        <v/>
      </c>
      <c r="T29" s="219" t="str">
        <f>IFERROR(IF(SUM(INDEX('在庫使用計画 (一般)'!$A$1:$BF$557,MATCH($C29,'在庫使用計画 (一般)'!$C$1:$C$557,0),MATCH(T$1,'在庫使用計画 (一般)'!$A$1:$BF$1,0)),INDEX('在庫使用計画 (法人)'!$A$1:$AT$578,MATCH($C29,'在庫使用計画 (法人)'!$C$1:$C$578,0),MATCH(T$1,'在庫使用計画 (法人)'!$A$1:$AT$1,0)))=0,"",SUM(INDEX('在庫使用計画 (一般)'!$A$1:$BF$557,MATCH($C29,'在庫使用計画 (一般)'!$C$1:$C$557,0),MATCH(T$1,'在庫使用計画 (一般)'!$A$1:$BF$1,0)),INDEX('在庫使用計画 (法人)'!$A$1:$AT$578,MATCH($C29,'在庫使用計画 (法人)'!$C$1:$C$578,0),MATCH(T$1,'在庫使用計画 (法人)'!$A$1:$AT$1,0)))),"")</f>
        <v/>
      </c>
      <c r="U29" s="224" t="str">
        <f>IFERROR(IF(SUM(INDEX('在庫使用計画 (一般)'!$A$1:$BF$557,MATCH($C29,'在庫使用計画 (一般)'!$C$1:$C$557,0),MATCH(U$1,'在庫使用計画 (一般)'!$A$1:$BF$1,0)),INDEX('在庫使用計画 (法人)'!$A$1:$AT$578,MATCH($C29,'在庫使用計画 (法人)'!$C$1:$C$578,0),MATCH(U$1,'在庫使用計画 (法人)'!$A$1:$AT$1,0)))=0,"",SUM(INDEX('在庫使用計画 (一般)'!$A$1:$BF$557,MATCH($C29,'在庫使用計画 (一般)'!$C$1:$C$557,0),MATCH(U$1,'在庫使用計画 (一般)'!$A$1:$BF$1,0)),INDEX('在庫使用計画 (法人)'!$A$1:$AT$578,MATCH($C29,'在庫使用計画 (法人)'!$C$1:$C$578,0),MATCH(U$1,'在庫使用計画 (法人)'!$A$1:$AT$1,0)))),"")</f>
        <v/>
      </c>
      <c r="V29" s="224" t="str">
        <f>IFERROR(IF(SUM(INDEX('在庫使用計画 (一般)'!$A$1:$BF$557,MATCH($C29,'在庫使用計画 (一般)'!$C$1:$C$557,0),MATCH(V$1,'在庫使用計画 (一般)'!$A$1:$BF$1,0)),INDEX('在庫使用計画 (法人)'!$A$1:$AT$578,MATCH($C29,'在庫使用計画 (法人)'!$C$1:$C$578,0),MATCH(V$1,'在庫使用計画 (法人)'!$A$1:$AT$1,0)))=0,"",SUM(INDEX('在庫使用計画 (一般)'!$A$1:$BF$557,MATCH($C29,'在庫使用計画 (一般)'!$C$1:$C$557,0),MATCH(V$1,'在庫使用計画 (一般)'!$A$1:$BF$1,0)),INDEX('在庫使用計画 (法人)'!$A$1:$AT$578,MATCH($C29,'在庫使用計画 (法人)'!$C$1:$C$578,0),MATCH(V$1,'在庫使用計画 (法人)'!$A$1:$AT$1,0)))),"")</f>
        <v/>
      </c>
      <c r="W29" s="219" t="str">
        <f>IFERROR(IF(SUM(INDEX('在庫使用計画 (一般)'!$A$1:$BF$557,MATCH($C29,'在庫使用計画 (一般)'!$C$1:$C$557,0),MATCH(W$1,'在庫使用計画 (一般)'!$A$1:$BF$1,0)),INDEX('在庫使用計画 (法人)'!$A$1:$AT$578,MATCH($C29,'在庫使用計画 (法人)'!$C$1:$C$578,0),MATCH(W$1,'在庫使用計画 (法人)'!$A$1:$AT$1,0)))=0,"",SUM(INDEX('在庫使用計画 (一般)'!$A$1:$BF$557,MATCH($C29,'在庫使用計画 (一般)'!$C$1:$C$557,0),MATCH(W$1,'在庫使用計画 (一般)'!$A$1:$BF$1,0)),INDEX('在庫使用計画 (法人)'!$A$1:$AT$578,MATCH($C29,'在庫使用計画 (法人)'!$C$1:$C$578,0),MATCH(W$1,'在庫使用計画 (法人)'!$A$1:$AT$1,0)))),"")</f>
        <v/>
      </c>
      <c r="X29" s="237" t="str">
        <f>IFERROR(IF(SUM(INDEX('在庫使用計画 (一般)'!$A$1:$BF$557,MATCH($C29,'在庫使用計画 (一般)'!$C$1:$C$557,0),MATCH(X$1,'在庫使用計画 (一般)'!$A$1:$BF$1,0)),INDEX('在庫使用計画 (法人)'!$A$1:$AT$578,MATCH($C29,'在庫使用計画 (法人)'!$C$1:$C$578,0),MATCH(X$1,'在庫使用計画 (法人)'!$A$1:$AT$1,0)))=0,"",SUM(INDEX('在庫使用計画 (一般)'!$A$1:$BF$557,MATCH($C29,'在庫使用計画 (一般)'!$C$1:$C$557,0),MATCH(X$1,'在庫使用計画 (一般)'!$A$1:$BF$1,0)),INDEX('在庫使用計画 (法人)'!$A$1:$AT$578,MATCH($C29,'在庫使用計画 (法人)'!$C$1:$C$578,0),MATCH(X$1,'在庫使用計画 (法人)'!$A$1:$AT$1,0)))),"")</f>
        <v/>
      </c>
      <c r="Y29" s="219" t="str">
        <f>IFERROR(IF(SUM(INDEX('在庫使用計画 (一般)'!$A$1:$BF$557,MATCH($C29,'在庫使用計画 (一般)'!$C$1:$C$557,0),MATCH(Y$1,'在庫使用計画 (一般)'!$A$1:$BF$1,0)),INDEX('在庫使用計画 (法人)'!$A$1:$AT$578,MATCH($C29,'在庫使用計画 (法人)'!$C$1:$C$578,0),MATCH(Y$1,'在庫使用計画 (法人)'!$A$1:$AT$1,0)))=0,"",SUM(INDEX('在庫使用計画 (一般)'!$A$1:$BF$557,MATCH($C29,'在庫使用計画 (一般)'!$C$1:$C$557,0),MATCH(Y$1,'在庫使用計画 (一般)'!$A$1:$BF$1,0)),INDEX('在庫使用計画 (法人)'!$A$1:$AT$578,MATCH($C29,'在庫使用計画 (法人)'!$C$1:$C$578,0),MATCH(Y$1,'在庫使用計画 (法人)'!$A$1:$AT$1,0)))),"")</f>
        <v/>
      </c>
      <c r="Z29" s="468" t="str">
        <f>IFERROR(IF(SUM(INDEX('在庫使用計画 (一般)'!$A$1:$BF$557,MATCH($C29,'在庫使用計画 (一般)'!$C$1:$C$557,0),MATCH(Z$1,'在庫使用計画 (一般)'!$A$1:$BF$1,0)),INDEX('在庫使用計画 (法人)'!$A$1:$AT$578,MATCH($C29,'在庫使用計画 (法人)'!$C$1:$C$578,0),MATCH(Z$1,'在庫使用計画 (法人)'!$A$1:$AT$1,0)))=0,"",SUM(INDEX('在庫使用計画 (一般)'!$A$1:$BF$557,MATCH($C29,'在庫使用計画 (一般)'!$C$1:$C$557,0),MATCH(Z$1,'在庫使用計画 (一般)'!$A$1:$BF$1,0)),INDEX('在庫使用計画 (法人)'!$A$1:$AT$578,MATCH($C29,'在庫使用計画 (法人)'!$C$1:$C$578,0),MATCH(Z$1,'在庫使用計画 (法人)'!$A$1:$AT$1,0)))),"")</f>
        <v/>
      </c>
      <c r="AA29" s="224" t="str">
        <f>IFERROR(IF(SUM(INDEX('在庫使用計画 (一般)'!$A$1:$BF$557,MATCH($C29,'在庫使用計画 (一般)'!$C$1:$C$557,0),MATCH(AA$1,'在庫使用計画 (一般)'!$A$1:$BF$1,0)),INDEX('在庫使用計画 (法人)'!$A$1:$AT$578,MATCH($C29,'在庫使用計画 (法人)'!$C$1:$C$578,0),MATCH(AA$1,'在庫使用計画 (法人)'!$A$1:$AT$1,0)))=0,"",SUM(INDEX('在庫使用計画 (一般)'!$A$1:$BF$557,MATCH($C29,'在庫使用計画 (一般)'!$C$1:$C$557,0),MATCH(AA$1,'在庫使用計画 (一般)'!$A$1:$BF$1,0)),INDEX('在庫使用計画 (法人)'!$A$1:$AT$578,MATCH($C29,'在庫使用計画 (法人)'!$C$1:$C$578,0),MATCH(AA$1,'在庫使用計画 (法人)'!$A$1:$AT$1,0)))),"")</f>
        <v/>
      </c>
      <c r="AB29" s="219"/>
      <c r="AC29" s="224"/>
      <c r="AD29" s="224" t="s">
        <v>21</v>
      </c>
      <c r="AE29" s="223" t="s">
        <v>21</v>
      </c>
      <c r="AF29" s="223" t="s">
        <v>21</v>
      </c>
      <c r="AG29" s="223" t="s">
        <v>21</v>
      </c>
      <c r="AH29" s="223" t="s">
        <v>21</v>
      </c>
      <c r="AI29" s="223" t="s">
        <v>21</v>
      </c>
      <c r="AJ29" s="223" t="s">
        <v>21</v>
      </c>
      <c r="AK29" s="223" t="s">
        <v>21</v>
      </c>
      <c r="AL29" s="223" t="str" cm="1">
        <f t="array" aca="1" ref="AL29" ca="1">IF($C29="","",
  IFERROR(
    _xlfn.LET(
      _xlpm._対象月初,EOMONTH(AL$1,-1)+1,
      _xlpm._今月初,EOMONTH(基準データ!$C$5,-1)+1,
      IF(
        _xlpm._対象月初&gt;_xlpm._今月初,
        IF(
          OR(AK29="",AK29=0),
          "",
          AK29*AL$46
        ),
        _xlfn.LET(
          _xlpm._参照先,
            "'[在庫状況把握_43期_2025-2026.xlsx]月次報告"
            &amp;TEXT(AL$1,"YYMM")
            &amp;"'!",
          _xlpm._戻り範囲,
            IF(
              _xlpm._対象月初=_xlpm._今月初,
              "$AG$1:$AG$300",
              "$G$1:$G$300"
            ),
          _xlfn.XLOOKUP(
            $C29,
            INDIRECT(_xlpm._参照先&amp;"$C$1:$C$300"),
            INDIRECT(_xlpm._参照先&amp;_xlpm._戻り範囲)
          )
        )
      )
    ),
    ""
  )
)</f>
        <v/>
      </c>
      <c r="AM29" s="223" t="str" cm="1">
        <f t="array" aca="1" ref="AM29" ca="1">IF($C29="","",
  IFERROR(
    _xlfn.LET(
      _xlpm._対象月初,EOMONTH(AM$1,-1)+1,
      _xlpm._今月初,EOMONTH(基準データ!$C$5,-1)+1,
      IF(
        _xlpm._対象月初&gt;_xlpm._今月初,
        IF(
          OR(AL29="",AL29=0),
          "",
          AL29*AM$46
        ),
        _xlfn.LET(
          _xlpm._参照先,
            "'[在庫状況把握_43期_2025-2026.xlsx]月次報告"
            &amp;TEXT(AM$1,"YYMM")
            &amp;"'!",
          _xlpm._戻り範囲,
            IF(
              _xlpm._対象月初=_xlpm._今月初,
              "$AG$1:$AG$300",
              "$G$1:$G$300"
            ),
          _xlfn.XLOOKUP(
            $C29,
            INDIRECT(_xlpm._参照先&amp;"$C$1:$C$300"),
            INDIRECT(_xlpm._参照先&amp;_xlpm._戻り範囲)
          )
        )
      )
    ),
    ""
  )
)</f>
        <v/>
      </c>
      <c r="AN29" s="223" t="str" cm="1">
        <f t="array" aca="1" ref="AN29" ca="1">IF($C29="","",
  IFERROR(
    _xlfn.LET(
      _xlpm._対象月初,EOMONTH(AN$1,-1)+1,
      _xlpm._今月初,EOMONTH(基準データ!$C$5,-1)+1,
      IF(
        _xlpm._対象月初&gt;_xlpm._今月初,
        IF(
          OR(AM29="",AM29=0),
          "",
          AM29*AN$46
        ),
        _xlfn.LET(
          _xlpm._参照先,
            "'[在庫状況把握_43期_2025-2026.xlsx]月次報告"
            &amp;TEXT(AN$1,"YYMM")
            &amp;"'!",
          _xlpm._戻り範囲,
            IF(
              _xlpm._対象月初=_xlpm._今月初,
              "$AG$1:$AG$300",
              "$G$1:$G$300"
            ),
          _xlfn.XLOOKUP(
            $C29,
            INDIRECT(_xlpm._参照先&amp;"$C$1:$C$300"),
            INDIRECT(_xlpm._参照先&amp;_xlpm._戻り範囲)
          )
        )
      )
    ),
    ""
  )
)</f>
        <v/>
      </c>
      <c r="AO29" s="223" t="str" cm="1">
        <f t="array" aca="1" ref="AO29" ca="1">IF($C29="","",
  IFERROR(
    _xlfn.LET(
      _xlpm._対象月初,EOMONTH(AO$1,-1)+1,
      _xlpm._今月初,EOMONTH(基準データ!$C$5,-1)+1,
      IF(
        _xlpm._対象月初&gt;_xlpm._今月初,
        IF(
          OR(AN29="",AN29=0),
          "",
          AN29*AO$46
        ),
        _xlfn.LET(
          _xlpm._参照先,
            "'[在庫状況把握_43期_2025-2026.xlsx]月次報告"
            &amp;TEXT(AO$1,"YYMM")
            &amp;"'!",
          _xlpm._戻り範囲,
            IF(
              _xlpm._対象月初=_xlpm._今月初,
              "$AG$1:$AG$300",
              "$G$1:$G$300"
            ),
          _xlfn.XLOOKUP(
            $C29,
            INDIRECT(_xlpm._参照先&amp;"$C$1:$C$300"),
            INDIRECT(_xlpm._参照先&amp;_xlpm._戻り範囲)
          )
        )
      )
    ),
    ""
  )
)</f>
        <v/>
      </c>
      <c r="AP29" s="223" t="str" cm="1">
        <f t="array" aca="1" ref="AP29" ca="1">IF($C29="","",
  IFERROR(
    _xlfn.LET(
      _xlpm._対象月初,EOMONTH(AP$1,-1)+1,
      _xlpm._今月初,EOMONTH(基準データ!$C$5,-1)+1,
      IF(
        _xlpm._対象月初&gt;_xlpm._今月初,
        IF(
          OR(AO29="",AO29=0),
          "",
          AO29*AP$46
        ),
        _xlfn.LET(
          _xlpm._参照先,
            "'[在庫状況把握_43期_2025-2026.xlsx]月次報告"
            &amp;TEXT(AP$1,"YYMM")
            &amp;"'!",
          _xlpm._戻り範囲,
            IF(
              _xlpm._対象月初=_xlpm._今月初,
              "$AG$1:$AG$300",
              "$G$1:$G$300"
            ),
          _xlfn.XLOOKUP(
            $C29,
            INDIRECT(_xlpm._参照先&amp;"$C$1:$C$300"),
            INDIRECT(_xlpm._参照先&amp;_xlpm._戻り範囲)
          )
        )
      )
    ),
    ""
  )
)</f>
        <v/>
      </c>
      <c r="AQ29" s="223" t="str" cm="1">
        <f t="array" aca="1" ref="AQ29" ca="1">IF($C29="","",
  IFERROR(
    _xlfn.LET(
      _xlpm._対象月初,EOMONTH(AQ$1,-1)+1,
      _xlpm._今月初,EOMONTH(基準データ!$C$5,-1)+1,
      IF(
        _xlpm._対象月初&gt;_xlpm._今月初,
        IF(
          OR(AP29="",AP29=0),
          "",
          AP29*AQ$46
        ),
        _xlfn.LET(
          _xlpm._参照先,
            "'[在庫状況把握_43期_2025-2026.xlsx]月次報告"
            &amp;TEXT(AQ$1,"YYMM")
            &amp;"'!",
          _xlpm._戻り範囲,
            IF(
              _xlpm._対象月初=_xlpm._今月初,
              "$AG$1:$AG$300",
              "$G$1:$G$300"
            ),
          _xlfn.XLOOKUP(
            $C29,
            INDIRECT(_xlpm._参照先&amp;"$C$1:$C$300"),
            INDIRECT(_xlpm._参照先&amp;_xlpm._戻り範囲)
          )
        )
      )
    ),
    ""
  )
)</f>
        <v/>
      </c>
      <c r="AR29" s="223" t="str" cm="1">
        <f t="array" aca="1" ref="AR29" ca="1">IF($C29="","",
  IFERROR(
    _xlfn.LET(
      _xlpm._対象月初,EOMONTH(AR$1,-1)+1,
      _xlpm._今月初,EOMONTH(基準データ!$C$5,-1)+1,
      IF(
        _xlpm._対象月初&gt;_xlpm._今月初,
        IF(
          OR(AQ29="",AQ29=0),
          "",
          AQ29*AR$46
        ),
        _xlfn.LET(
          _xlpm._参照先,
            "'[在庫状況把握_43期_2025-2026.xlsx]月次報告"
            &amp;TEXT(AR$1,"YYMM")
            &amp;"'!",
          _xlpm._戻り範囲,
            IF(
              _xlpm._対象月初=_xlpm._今月初,
              "$AG$1:$AG$300",
              "$G$1:$G$300"
            ),
          _xlfn.XLOOKUP(
            $C29,
            INDIRECT(_xlpm._参照先&amp;"$C$1:$C$300"),
            INDIRECT(_xlpm._参照先&amp;_xlpm._戻り範囲)
          )
        )
      )
    ),
    ""
  )
)</f>
        <v/>
      </c>
      <c r="AS29" s="223" t="str" cm="1">
        <f t="array" aca="1" ref="AS29" ca="1">IF($C29="","",
  IFERROR(
    _xlfn.LET(
      _xlpm._対象月初,EOMONTH(AS$1,-1)+1,
      _xlpm._今月初,EOMONTH(基準データ!$C$5,-1)+1,
      IF(
        _xlpm._対象月初&gt;_xlpm._今月初,
        IF(
          OR(AR29="",AR29=0),
          "",
          AR29*AS$46
        ),
        _xlfn.LET(
          _xlpm._参照先,
            "'[在庫状況把握_43期_2025-2026.xlsx]月次報告"
            &amp;TEXT(AS$1,"YYMM")
            &amp;"'!",
          _xlpm._戻り範囲,
            IF(
              _xlpm._対象月初=_xlpm._今月初,
              "$AG$1:$AG$300",
              "$G$1:$G$300"
            ),
          _xlfn.XLOOKUP(
            $C29,
            INDIRECT(_xlpm._参照先&amp;"$C$1:$C$300"),
            INDIRECT(_xlpm._参照先&amp;_xlpm._戻り範囲)
          )
        )
      )
    ),
    ""
  )
)</f>
        <v/>
      </c>
      <c r="AT29" s="223" t="str" cm="1">
        <f t="array" aca="1" ref="AT29" ca="1">IF($C29="","",
  IFERROR(
    _xlfn.LET(
      _xlpm._対象月初,EOMONTH(AT$1,-1)+1,
      _xlpm._今月初,EOMONTH(基準データ!$C$5,-1)+1,
      IF(
        _xlpm._対象月初&gt;_xlpm._今月初,
        IF(
          OR(AS29="",AS29=0),
          "",
          AS29*AT$46
        ),
        _xlfn.LET(
          _xlpm._参照先,
            "'[在庫状況把握_43期_2025-2026.xlsx]月次報告"
            &amp;TEXT(AT$1,"YYMM")
            &amp;"'!",
          _xlpm._戻り範囲,
            IF(
              _xlpm._対象月初=_xlpm._今月初,
              "$AG$1:$AG$300",
              "$G$1:$G$300"
            ),
          _xlfn.XLOOKUP(
            $C29,
            INDIRECT(_xlpm._参照先&amp;"$C$1:$C$300"),
            INDIRECT(_xlpm._参照先&amp;_xlpm._戻り範囲)
          )
        )
      )
    ),
    ""
  )
)</f>
        <v/>
      </c>
      <c r="AU29" s="223" t="str" cm="1">
        <f t="array" aca="1" ref="AU29" ca="1">IF($C29="","",
  IFERROR(
    _xlfn.LET(
      _xlpm._対象月初,EOMONTH(AU$1,-1)+1,
      _xlpm._今月初,EOMONTH(基準データ!$C$5,-1)+1,
      IF(
        _xlpm._対象月初&gt;_xlpm._今月初,
        IF(
          OR(AT29="",AT29=0),
          "",
          AT29*AU$46
        ),
        _xlfn.LET(
          _xlpm._参照先,
            "'[在庫状況把握_43期_2025-2026.xlsx]月次報告"
            &amp;TEXT(AU$1,"YYMM")
            &amp;"'!",
          _xlpm._戻り範囲,
            IF(
              _xlpm._対象月初=_xlpm._今月初,
              "$AG$1:$AG$300",
              "$G$1:$G$300"
            ),
          _xlfn.XLOOKUP(
            $C29,
            INDIRECT(_xlpm._参照先&amp;"$C$1:$C$300"),
            INDIRECT(_xlpm._参照先&amp;_xlpm._戻り範囲)
          )
        )
      )
    ),
    ""
  )
)</f>
        <v/>
      </c>
      <c r="AV29" s="223" t="str" cm="1">
        <f t="array" aca="1" ref="AV29" ca="1">IF($C29="","",
  IFERROR(
    _xlfn.LET(
      _xlpm._対象月初,EOMONTH(AV$1,-1)+1,
      _xlpm._今月初,EOMONTH(基準データ!$C$5,-1)+1,
      IF(
        _xlpm._対象月初&gt;_xlpm._今月初,
        IF(
          OR(AU29="",AU29=0),
          "",
          AU29*AV$46
        ),
        _xlfn.LET(
          _xlpm._参照先,
            "'[在庫状況把握_43期_2025-2026.xlsx]月次報告"
            &amp;TEXT(AV$1,"YYMM")
            &amp;"'!",
          _xlpm._戻り範囲,
            IF(
              _xlpm._対象月初=_xlpm._今月初,
              "$AG$1:$AG$300",
              "$G$1:$G$300"
            ),
          _xlfn.XLOOKUP(
            $C29,
            INDIRECT(_xlpm._参照先&amp;"$C$1:$C$300"),
            INDIRECT(_xlpm._参照先&amp;_xlpm._戻り範囲)
          )
        )
      )
    ),
    ""
  )
)</f>
        <v/>
      </c>
      <c r="AW29" s="223" t="str" cm="1">
        <f t="array" aca="1" ref="AW29" ca="1">IF($C29="","",
  IFERROR(
    _xlfn.LET(
      _xlpm._対象月初,EOMONTH(AW$1,-1)+1,
      _xlpm._今月初,EOMONTH(基準データ!$C$5,-1)+1,
      IF(
        _xlpm._対象月初&gt;_xlpm._今月初,
        IF(
          OR(AV29="",AV29=0),
          "",
          AV29*AW$46
        ),
        _xlfn.LET(
          _xlpm._参照先,
            "'[在庫状況把握_43期_2025-2026.xlsx]月次報告"
            &amp;TEXT(AW$1,"YYMM")
            &amp;"'!",
          _xlpm._戻り範囲,
            IF(
              _xlpm._対象月初=_xlpm._今月初,
              "$AG$1:$AG$300",
              "$G$1:$G$300"
            ),
          _xlfn.XLOOKUP(
            $C29,
            INDIRECT(_xlpm._参照先&amp;"$C$1:$C$300"),
            INDIRECT(_xlpm._参照先&amp;_xlpm._戻り範囲)
          )
        )
      )
    ),
    ""
  )
)</f>
        <v/>
      </c>
      <c r="AX29" s="223" t="str" cm="1">
        <f t="array" aca="1" ref="AX29" ca="1">IF($C29="","",
  IFERROR(
    _xlfn.LET(
      _xlpm._対象月初,EOMONTH(AX$1,-1)+1,
      _xlpm._今月初,EOMONTH(基準データ!$C$5,-1)+1,
      IF(
        _xlpm._対象月初&gt;_xlpm._今月初,
        IF(
          OR(AW29="",AW29=0),
          "",
          AW29*AX$46
        ),
        _xlfn.LET(
          _xlpm._参照先,
            "'[在庫状況把握_43期_2025-2026.xlsx]月次報告"
            &amp;TEXT(AX$1,"YYMM")
            &amp;"'!",
          _xlpm._戻り範囲,
            IF(
              _xlpm._対象月初=_xlpm._今月初,
              "$AG$1:$AG$300",
              "$G$1:$G$300"
            ),
          _xlfn.XLOOKUP(
            $C29,
            INDIRECT(_xlpm._参照先&amp;"$C$1:$C$300"),
            INDIRECT(_xlpm._参照先&amp;_xlpm._戻り範囲)
          )
        )
      )
    ),
    ""
  )
)</f>
        <v/>
      </c>
      <c r="AY29" s="223" t="str" cm="1">
        <f t="array" aca="1" ref="AY29" ca="1">IF($C29="","",
  IFERROR(
    _xlfn.LET(
      _xlpm._対象月初,EOMONTH(AY$1,-1)+1,
      _xlpm._今月初,EOMONTH(基準データ!$C$5,-1)+1,
      IF(
        _xlpm._対象月初&gt;_xlpm._今月初,
        IF(
          OR(AX29="",AX29=0),
          "",
          AX29*AY$46
        ),
        _xlfn.LET(
          _xlpm._参照先,
            "'[在庫状況把握_43期_2025-2026.xlsx]月次報告"
            &amp;TEXT(AY$1,"YYMM")
            &amp;"'!",
          _xlpm._戻り範囲,
            IF(
              _xlpm._対象月初=_xlpm._今月初,
              "$AG$1:$AG$300",
              "$G$1:$G$300"
            ),
          _xlfn.XLOOKUP(
            $C29,
            INDIRECT(_xlpm._参照先&amp;"$C$1:$C$300"),
            INDIRECT(_xlpm._参照先&amp;_xlpm._戻り範囲)
          )
        )
      )
    ),
    ""
  )
)</f>
        <v/>
      </c>
      <c r="AZ29" s="223" t="str" cm="1">
        <f t="array" aca="1" ref="AZ29" ca="1">IF($C29="","",
  IFERROR(
    _xlfn.LET(
      _xlpm._対象月初,EOMONTH(AZ$1,-1)+1,
      _xlpm._今月初,EOMONTH(基準データ!$C$5,-1)+1,
      IF(
        _xlpm._対象月初&gt;_xlpm._今月初,
        IF(
          OR(AY29="",AY29=0),
          "",
          AY29*AZ$46
        ),
        _xlfn.LET(
          _xlpm._参照先,
            "'[在庫状況把握_43期_2025-2026.xlsx]月次報告"
            &amp;TEXT(AZ$1,"YYMM")
            &amp;"'!",
          _xlpm._戻り範囲,
            IF(
              _xlpm._対象月初=_xlpm._今月初,
              "$AG$1:$AG$300",
              "$G$1:$G$300"
            ),
          _xlfn.XLOOKUP(
            $C29,
            INDIRECT(_xlpm._参照先&amp;"$C$1:$C$300"),
            INDIRECT(_xlpm._参照先&amp;_xlpm._戻り範囲)
          )
        )
      )
    ),
    ""
  )
)</f>
        <v/>
      </c>
      <c r="BA29" s="223" t="str" cm="1">
        <f t="array" aca="1" ref="BA29" ca="1">IF($C29="","",
  IFERROR(
    _xlfn.LET(
      _xlpm._対象月初,EOMONTH(BA$1,-1)+1,
      _xlpm._今月初,EOMONTH(基準データ!$C$5,-1)+1,
      IF(
        _xlpm._対象月初&gt;_xlpm._今月初,
        IF(
          OR(AZ29="",AZ29=0),
          "",
          AZ29*BA$46
        ),
        _xlfn.LET(
          _xlpm._参照先,
            "'[在庫状況把握_43期_2025-2026.xlsx]月次報告"
            &amp;TEXT(BA$1,"YYMM")
            &amp;"'!",
          _xlpm._戻り範囲,
            IF(
              _xlpm._対象月初=_xlpm._今月初,
              "$AG$1:$AG$300",
              "$G$1:$G$300"
            ),
          _xlfn.XLOOKUP(
            $C29,
            INDIRECT(_xlpm._参照先&amp;"$C$1:$C$300"),
            INDIRECT(_xlpm._参照先&amp;_xlpm._戻り範囲)
          )
        )
      )
    ),
    ""
  )
)</f>
        <v/>
      </c>
      <c r="BB29" s="223" t="str" cm="1">
        <f t="array" aca="1" ref="BB29" ca="1">IF($C29="","",
  IFERROR(
    _xlfn.LET(
      _xlpm._対象月初,EOMONTH(BB$1,-1)+1,
      _xlpm._今月初,EOMONTH(基準データ!$C$5,-1)+1,
      IF(
        _xlpm._対象月初&gt;_xlpm._今月初,
        IF(
          OR(BA29="",BA29=0),
          "",
          BA29*BB$46
        ),
        _xlfn.LET(
          _xlpm._参照先,
            "'[在庫状況把握_43期_2025-2026.xlsx]月次報告"
            &amp;TEXT(BB$1,"YYMM")
            &amp;"'!",
          _xlpm._戻り範囲,
            IF(
              _xlpm._対象月初=_xlpm._今月初,
              "$AG$1:$AG$300",
              "$G$1:$G$300"
            ),
          _xlfn.XLOOKUP(
            $C29,
            INDIRECT(_xlpm._参照先&amp;"$C$1:$C$300"),
            INDIRECT(_xlpm._参照先&amp;_xlpm._戻り範囲)
          )
        )
      )
    ),
    ""
  )
)</f>
        <v/>
      </c>
      <c r="BC29" s="223" t="str" cm="1">
        <f t="array" aca="1" ref="BC29" ca="1">IF($C29="","",
  IFERROR(
    _xlfn.LET(
      _xlpm._対象月初,EOMONTH(BC$1,-1)+1,
      _xlpm._今月初,EOMONTH(基準データ!$C$5,-1)+1,
      IF(
        _xlpm._対象月初&gt;_xlpm._今月初,
        IF(
          OR(BB29="",BB29=0),
          "",
          BB29*BC$46
        ),
        _xlfn.LET(
          _xlpm._参照先,
            "'[在庫状況把握_43期_2025-2026.xlsx]月次報告"
            &amp;TEXT(BC$1,"YYMM")
            &amp;"'!",
          _xlpm._戻り範囲,
            IF(
              _xlpm._対象月初=_xlpm._今月初,
              "$AG$1:$AG$300",
              "$G$1:$G$300"
            ),
          _xlfn.XLOOKUP(
            $C29,
            INDIRECT(_xlpm._参照先&amp;"$C$1:$C$300"),
            INDIRECT(_xlpm._参照先&amp;_xlpm._戻り範囲)
          )
        )
      )
    ),
    ""
  )
)</f>
        <v/>
      </c>
      <c r="BD29" s="223" t="str" cm="1">
        <f t="array" aca="1" ref="BD29" ca="1">IF($C29="","",
  IFERROR(
    _xlfn.LET(
      _xlpm._対象月初,EOMONTH(BD$1,-1)+1,
      _xlpm._今月初,EOMONTH(基準データ!$C$5,-1)+1,
      IF(
        _xlpm._対象月初&gt;_xlpm._今月初,
        IF(
          OR(BC29="",BC29=0),
          "",
          BC29*BD$46
        ),
        _xlfn.LET(
          _xlpm._参照先,
            "'[在庫状況把握_43期_2025-2026.xlsx]月次報告"
            &amp;TEXT(BD$1,"YYMM")
            &amp;"'!",
          _xlpm._戻り範囲,
            IF(
              _xlpm._対象月初=_xlpm._今月初,
              "$AG$1:$AG$300",
              "$G$1:$G$300"
            ),
          _xlfn.XLOOKUP(
            $C29,
            INDIRECT(_xlpm._参照先&amp;"$C$1:$C$300"),
            INDIRECT(_xlpm._参照先&amp;_xlpm._戻り範囲)
          )
        )
      )
    ),
    ""
  )
)</f>
        <v/>
      </c>
    </row>
    <row r="30" spans="1:56">
      <c r="A30" s="1061" t="s">
        <v>1637</v>
      </c>
      <c r="B30" s="181" t="str">
        <v>CLE-V37-14900HX-5070-L6 Creator</v>
      </c>
      <c r="C30" s="25" t="s">
        <v>408</v>
      </c>
      <c r="D30" s="26" t="s">
        <v>1638</v>
      </c>
      <c r="E30" s="34">
        <v>5070</v>
      </c>
      <c r="F30" s="24" t="s">
        <v>1347</v>
      </c>
      <c r="G30" s="69">
        <v>128</v>
      </c>
      <c r="H30" s="109" cm="1">
        <f t="array" aca="1" ref="H30" ca="1">_xlfn.LET(_xlpm._来月から4ヶ月計画合計,
  SUM(
    OFFSET($A30,0,
      MATCH(
        EDATE(基準データ!$C$5,3),$A$1:$BF$1,1
      )-3,1,4)),
_xlpm._今月計画数,
INDEX($A$1:$BE$223,
  ROW(),
  MATCH(EOMONTH(基準データ!$C$5,-1)+1,$A$1:$BE$1,0)
),
  IFERROR(IF($B30="","",_xlpm._来月から4ヶ月計画合計+_xlpm._今月計画数/2),""
)
)</f>
        <v>300.14894592734703</v>
      </c>
      <c r="I30" s="38"/>
      <c r="J30" s="38"/>
      <c r="K30" s="38"/>
      <c r="L30" s="38"/>
      <c r="M30" s="38"/>
      <c r="N30" s="38"/>
      <c r="O30" s="38"/>
      <c r="P30" s="38"/>
      <c r="Q30" s="219"/>
      <c r="R30" s="219"/>
      <c r="S30" s="219"/>
      <c r="T30" s="298"/>
      <c r="U30" s="224"/>
      <c r="V30" s="224"/>
      <c r="W30" s="219"/>
      <c r="X30" s="480"/>
      <c r="Y30" s="480"/>
      <c r="Z30" s="480"/>
      <c r="AA30" s="480">
        <v>37</v>
      </c>
      <c r="AB30" s="219">
        <v>74</v>
      </c>
      <c r="AC30" s="224">
        <v>99</v>
      </c>
      <c r="AD30" s="224">
        <v>93</v>
      </c>
      <c r="AE30" s="223">
        <v>43</v>
      </c>
      <c r="AF30" s="223">
        <v>52</v>
      </c>
      <c r="AG30" s="223">
        <v>41</v>
      </c>
      <c r="AH30" s="223">
        <v>35</v>
      </c>
      <c r="AI30" s="223">
        <v>83</v>
      </c>
      <c r="AJ30" s="223">
        <v>77</v>
      </c>
      <c r="AK30" s="223">
        <v>88</v>
      </c>
      <c r="AL30" s="223" cm="1">
        <f t="array" aca="1" ref="AL30" ca="1">IF($C30="","",
  IFERROR(
    _xlfn.LET(
      _xlpm._対象月初,EOMONTH(AL$1,-1)+1,
      _xlpm._今月初,EOMONTH(基準データ!$C$5,-1)+1,
      IF(
        _xlpm._対象月初&gt;_xlpm._今月初,
        IF(
          OR(AK30="",AK30=0),
          "",
          AK30*AL$46
        ),
        _xlfn.LET(
          _xlpm._参照先,
            "'[在庫状況把握_43期_2025-2026.xlsx]月次報告"
            &amp;TEXT(AL$1,"YYMM")
            &amp;"'!",
          _xlpm._戻り範囲,
            IF(
              _xlpm._対象月初=_xlpm._今月初,
              "$AG$1:$AG$300",
              "$G$1:$G$300"
            ),
          _xlfn.XLOOKUP(
            $C30,
            INDIRECT(_xlpm._参照先&amp;"$C$1:$C$300"),
            INDIRECT(_xlpm._参照先&amp;_xlpm._戻り範囲)
          )
        )
      )
    ),
    ""
  )
)</f>
        <v>55</v>
      </c>
      <c r="AM30" s="223" cm="1">
        <f t="array" aca="1" ref="AM30" ca="1">IF($C30="","",
  IFERROR(
    _xlfn.LET(
      _xlpm._対象月初,EOMONTH(AM$1,-1)+1,
      _xlpm._今月初,EOMONTH(基準データ!$C$5,-1)+1,
      IF(
        _xlpm._対象月初&gt;_xlpm._今月初,
        IF(
          OR(AL30="",AL30=0),
          "",
          AL30*AM$46
        ),
        _xlfn.LET(
          _xlpm._参照先,
            "'[在庫状況把握_43期_2025-2026.xlsx]月次報告"
            &amp;TEXT(AM$1,"YYMM")
            &amp;"'!",
          _xlpm._戻り範囲,
            IF(
              _xlpm._対象月初=_xlpm._今月初,
              "$AG$1:$AG$300",
              "$G$1:$G$300"
            ),
          _xlfn.XLOOKUP(
            $C30,
            INDIRECT(_xlpm._参照先&amp;"$C$1:$C$300"),
            INDIRECT(_xlpm._参照先&amp;_xlpm._戻り範囲)
          )
        )
      )
    ),
    ""
  )
)</f>
        <v>59.785714285714285</v>
      </c>
      <c r="AN30" s="223" cm="1">
        <f t="array" aca="1" ref="AN30" ca="1">IF($C30="","",
  IFERROR(
    _xlfn.LET(
      _xlpm._対象月初,EOMONTH(AN$1,-1)+1,
      _xlpm._今月初,EOMONTH(基準データ!$C$5,-1)+1,
      IF(
        _xlpm._対象月初&gt;_xlpm._今月初,
        IF(
          OR(AM30="",AM30=0),
          "",
          AM30*AN$46
        ),
        _xlfn.LET(
          _xlpm._参照先,
            "'[在庫状況把握_43期_2025-2026.xlsx]月次報告"
            &amp;TEXT(AN$1,"YYMM")
            &amp;"'!",
          _xlpm._戻り範囲,
            IF(
              _xlpm._対象月初=_xlpm._今月初,
              "$AG$1:$AG$300",
              "$G$1:$G$300"
            ),
          _xlfn.XLOOKUP(
            $C30,
            INDIRECT(_xlpm._参照先&amp;"$C$1:$C$300"),
            INDIRECT(_xlpm._参照先&amp;_xlpm._戻り範囲)
          )
        )
      )
    ),
    ""
  )
)</f>
        <v>63.236038074951729</v>
      </c>
      <c r="AO30" s="223" cm="1">
        <f t="array" aca="1" ref="AO30" ca="1">IF($C30="","",
  IFERROR(
    _xlfn.LET(
      _xlpm._対象月初,EOMONTH(AO$1,-1)+1,
      _xlpm._今月初,EOMONTH(基準データ!$C$5,-1)+1,
      IF(
        _xlpm._対象月初&gt;_xlpm._今月初,
        IF(
          OR(AN30="",AN30=0),
          "",
          AN30*AO$46
        ),
        _xlfn.LET(
          _xlpm._参照先,
            "'[在庫状況把握_43期_2025-2026.xlsx]月次報告"
            &amp;TEXT(AO$1,"YYMM")
            &amp;"'!",
          _xlpm._戻り範囲,
            IF(
              _xlpm._対象月初=_xlpm._今月初,
              "$AG$1:$AG$300",
              "$G$1:$G$300"
            ),
          _xlfn.XLOOKUP(
            $C30,
            INDIRECT(_xlpm._参照先&amp;"$C$1:$C$300"),
            INDIRECT(_xlpm._参照先&amp;_xlpm._戻り範囲)
          )
        )
      )
    ),
    ""
  )
)</f>
        <v>68.34320708247354</v>
      </c>
      <c r="AP30" s="223" cm="1">
        <f t="array" aca="1" ref="AP30" ca="1">IF($C30="","",
  IFERROR(
    _xlfn.LET(
      _xlpm._対象月初,EOMONTH(AP$1,-1)+1,
      _xlpm._今月初,EOMONTH(基準データ!$C$5,-1)+1,
      IF(
        _xlpm._対象月初&gt;_xlpm._今月初,
        IF(
          OR(AO30="",AO30=0),
          "",
          AO30*AP$46
        ),
        _xlfn.LET(
          _xlpm._参照先,
            "'[在庫状況把握_43期_2025-2026.xlsx]月次報告"
            &amp;TEXT(AP$1,"YYMM")
            &amp;"'!",
          _xlpm._戻り範囲,
            IF(
              _xlpm._対象月初=_xlpm._今月初,
              "$AG$1:$AG$300",
              "$G$1:$G$300"
            ),
          _xlfn.XLOOKUP(
            $C30,
            INDIRECT(_xlpm._参照先&amp;"$C$1:$C$300"),
            INDIRECT(_xlpm._参照先&amp;_xlpm._戻り範囲)
          )
        )
      )
    ),
    ""
  )
)</f>
        <v>69.015667322652945</v>
      </c>
      <c r="AQ30" s="223" cm="1">
        <f t="array" aca="1" ref="AQ30" ca="1">IF($C30="","",
  IFERROR(
    _xlfn.LET(
      _xlpm._対象月初,EOMONTH(AQ$1,-1)+1,
      _xlpm._今月初,EOMONTH(基準データ!$C$5,-1)+1,
      IF(
        _xlpm._対象月初&gt;_xlpm._今月初,
        IF(
          OR(AP30="",AP30=0),
          "",
          AP30*AQ$46
        ),
        _xlfn.LET(
          _xlpm._参照先,
            "'[在庫状況把握_43期_2025-2026.xlsx]月次報告"
            &amp;TEXT(AQ$1,"YYMM")
            &amp;"'!",
          _xlpm._戻り範囲,
            IF(
              _xlpm._対象月初=_xlpm._今月初,
              "$AG$1:$AG$300",
              "$G$1:$G$300"
            ),
          _xlfn.XLOOKUP(
            $C30,
            INDIRECT(_xlpm._参照先&amp;"$C$1:$C$300"),
            INDIRECT(_xlpm._参照先&amp;_xlpm._戻り範囲)
          )
        )
      )
    ),
    ""
  )
)</f>
        <v>69.66117630441164</v>
      </c>
      <c r="AR30" s="223" cm="1">
        <f t="array" aca="1" ref="AR30" ca="1">IF($C30="","",
  IFERROR(
    _xlfn.LET(
      _xlpm._対象月初,EOMONTH(AR$1,-1)+1,
      _xlpm._今月初,EOMONTH(基準データ!$C$5,-1)+1,
      IF(
        _xlpm._対象月初&gt;_xlpm._今月初,
        IF(
          OR(AQ30="",AQ30=0),
          "",
          AQ30*AR$46
        ),
        _xlfn.LET(
          _xlpm._参照先,
            "'[在庫状況把握_43期_2025-2026.xlsx]月次報告"
            &amp;TEXT(AR$1,"YYMM")
            &amp;"'!",
          _xlpm._戻り範囲,
            IF(
              _xlpm._対象月初=_xlpm._今月初,
              "$AG$1:$AG$300",
              "$G$1:$G$300"
            ),
          _xlfn.XLOOKUP(
            $C30,
            INDIRECT(_xlpm._参照先&amp;"$C$1:$C$300"),
            INDIRECT(_xlpm._参照先&amp;_xlpm._戻り範囲)
          )
        )
      )
    ),
    ""
  )
)</f>
        <v>109.487091222031</v>
      </c>
      <c r="AS30" s="223" cm="1">
        <f t="array" aca="1" ref="AS30" ca="1">IF($C30="","",
  IFERROR(
    _xlfn.LET(
      _xlpm._対象月初,EOMONTH(AS$1,-1)+1,
      _xlpm._今月初,EOMONTH(基準データ!$C$5,-1)+1,
      IF(
        _xlpm._対象月初&gt;_xlpm._今月初,
        IF(
          OR(AR30="",AR30=0),
          "",
          AR30*AS$46
        ),
        _xlfn.LET(
          _xlpm._参照先,
            "'[在庫状況把握_43期_2025-2026.xlsx]月次報告"
            &amp;TEXT(AS$1,"YYMM")
            &amp;"'!",
          _xlpm._戻り範囲,
            IF(
              _xlpm._対象月初=_xlpm._今月初,
              "$AG$1:$AG$300",
              "$G$1:$G$300"
            ),
          _xlfn.XLOOKUP(
            $C30,
            INDIRECT(_xlpm._参照先&amp;"$C$1:$C$300"),
            INDIRECT(_xlpm._参照先&amp;_xlpm._戻り範囲)
          )
        )
      )
    ),
    ""
  )
)</f>
        <v>92.604475421377771</v>
      </c>
      <c r="AT30" s="223" cm="1">
        <f t="array" aca="1" ref="AT30" ca="1">IF($C30="","",
  IFERROR(
    _xlfn.LET(
      _xlpm._対象月初,EOMONTH(AT$1,-1)+1,
      _xlpm._今月初,EOMONTH(基準データ!$C$5,-1)+1,
      IF(
        _xlpm._対象月初&gt;_xlpm._今月初,
        IF(
          OR(AS30="",AS30=0),
          "",
          AS30*AT$46
        ),
        _xlfn.LET(
          _xlpm._参照先,
            "'[在庫状況把握_43期_2025-2026.xlsx]月次報告"
            &amp;TEXT(AT$1,"YYMM")
            &amp;"'!",
          _xlpm._戻り範囲,
            IF(
              _xlpm._対象月初=_xlpm._今月初,
              "$AG$1:$AG$300",
              "$G$1:$G$300"
            ),
          _xlfn.XLOOKUP(
            $C30,
            INDIRECT(_xlpm._参照先&amp;"$C$1:$C$300"),
            INDIRECT(_xlpm._参照先&amp;_xlpm._戻り範囲)
          )
        )
      )
    ),
    ""
  )
)</f>
        <v>61.226333907056805</v>
      </c>
      <c r="AU30" s="223" cm="1">
        <f t="array" aca="1" ref="AU30" ca="1">IF($C30="","",
  IFERROR(
    _xlfn.LET(
      _xlpm._対象月初,EOMONTH(AU$1,-1)+1,
      _xlpm._今月初,EOMONTH(基準データ!$C$5,-1)+1,
      IF(
        _xlpm._対象月初&gt;_xlpm._今月初,
        IF(
          OR(AT30="",AT30=0),
          "",
          AT30*AU$46
        ),
        _xlfn.LET(
          _xlpm._参照先,
            "'[在庫状況把握_43期_2025-2026.xlsx]月次報告"
            &amp;TEXT(AU$1,"YYMM")
            &amp;"'!",
          _xlpm._戻り範囲,
            IF(
              _xlpm._対象月初=_xlpm._今月初,
              "$AG$1:$AG$300",
              "$G$1:$G$300"
            ),
          _xlfn.XLOOKUP(
            $C30,
            INDIRECT(_xlpm._参照先&amp;"$C$1:$C$300"),
            INDIRECT(_xlpm._参照先&amp;_xlpm._戻り範囲)
          )
        )
      )
    ),
    ""
  )
)</f>
        <v>91.62340791738383</v>
      </c>
      <c r="AV30" s="223" cm="1">
        <f t="array" aca="1" ref="AV30" ca="1">IF($C30="","",
  IFERROR(
    _xlfn.LET(
      _xlpm._対象月初,EOMONTH(AV$1,-1)+1,
      _xlpm._今月初,EOMONTH(基準データ!$C$5,-1)+1,
      IF(
        _xlpm._対象月初&gt;_xlpm._今月初,
        IF(
          OR(AU30="",AU30=0),
          "",
          AU30*AV$46
        ),
        _xlfn.LET(
          _xlpm._参照先,
            "'[在庫状況把握_43期_2025-2026.xlsx]月次報告"
            &amp;TEXT(AV$1,"YYMM")
            &amp;"'!",
          _xlpm._戻り範囲,
            IF(
              _xlpm._対象月初=_xlpm._今月初,
              "$AG$1:$AG$300",
              "$G$1:$G$300"
            ),
          _xlfn.XLOOKUP(
            $C30,
            INDIRECT(_xlpm._参照先&amp;"$C$1:$C$300"),
            INDIRECT(_xlpm._参照先&amp;_xlpm._戻り範囲)
          )
        )
      )
    ),
    ""
  )
)</f>
        <v>68.479372208159418</v>
      </c>
      <c r="AW30" s="223" cm="1">
        <f t="array" aca="1" ref="AW30" ca="1">IF($C30="","",
  IFERROR(
    _xlfn.LET(
      _xlpm._対象月初,EOMONTH(AW$1,-1)+1,
      _xlpm._今月初,EOMONTH(基準データ!$C$5,-1)+1,
      IF(
        _xlpm._対象月初&gt;_xlpm._今月初,
        IF(
          OR(AV30="",AV30=0),
          "",
          AV30*AW$46
        ),
        _xlfn.LET(
          _xlpm._参照先,
            "'[在庫状況把握_43期_2025-2026.xlsx]月次報告"
            &amp;TEXT(AW$1,"YYMM")
            &amp;"'!",
          _xlpm._戻り範囲,
            IF(
              _xlpm._対象月初=_xlpm._今月初,
              "$AG$1:$AG$300",
              "$G$1:$G$300"
            ),
          _xlfn.XLOOKUP(
            $C30,
            INDIRECT(_xlpm._参照先&amp;"$C$1:$C$300"),
            INDIRECT(_xlpm._参照先&amp;_xlpm._戻り範囲)
          )
        )
      )
    ),
    ""
  )
)</f>
        <v>57.912908777969029</v>
      </c>
      <c r="AX30" s="223" cm="1">
        <f t="array" aca="1" ref="AX30" ca="1">IF($C30="","",
  IFERROR(
    _xlfn.LET(
      _xlpm._対象月初,EOMONTH(AX$1,-1)+1,
      _xlpm._今月初,EOMONTH(基準データ!$C$5,-1)+1,
      IF(
        _xlpm._対象月初&gt;_xlpm._今月初,
        IF(
          OR(AW30="",AW30=0),
          "",
          AW30*AX$46
        ),
        _xlfn.LET(
          _xlpm._参照先,
            "'[在庫状況把握_43期_2025-2026.xlsx]月次報告"
            &amp;TEXT(AX$1,"YYMM")
            &amp;"'!",
          _xlpm._戻り範囲,
            IF(
              _xlpm._対象月初=_xlpm._今月初,
              "$AG$1:$AG$300",
              "$G$1:$G$300"
            ),
          _xlfn.XLOOKUP(
            $C30,
            INDIRECT(_xlpm._参照先&amp;"$C$1:$C$300"),
            INDIRECT(_xlpm._参照先&amp;_xlpm._戻り範囲)
          )
        )
      )
    ),
    ""
  )
)</f>
        <v>60.860831009652919</v>
      </c>
      <c r="AY30" s="223" cm="1">
        <f t="array" aca="1" ref="AY30" ca="1">IF($C30="","",
  IFERROR(
    _xlfn.LET(
      _xlpm._対象月初,EOMONTH(AY$1,-1)+1,
      _xlpm._今月初,EOMONTH(基準データ!$C$5,-1)+1,
      IF(
        _xlpm._対象月初&gt;_xlpm._今月初,
        IF(
          OR(AX30="",AX30=0),
          "",
          AX30*AY$46
        ),
        _xlfn.LET(
          _xlpm._参照先,
            "'[在庫状況把握_43期_2025-2026.xlsx]月次報告"
            &amp;TEXT(AY$1,"YYMM")
            &amp;"'!",
          _xlpm._戻り範囲,
            IF(
              _xlpm._対象月初=_xlpm._今月初,
              "$AG$1:$AG$300",
              "$G$1:$G$300"
            ),
          _xlfn.XLOOKUP(
            $C30,
            INDIRECT(_xlpm._参照先&amp;"$C$1:$C$300"),
            INDIRECT(_xlpm._参照先&amp;_xlpm._戻り範囲)
          )
        )
      )
    ),
    ""
  )
)</f>
        <v>59.785714285714299</v>
      </c>
      <c r="AZ30" s="223" cm="1">
        <f t="array" aca="1" ref="AZ30" ca="1">IF($C30="","",
  IFERROR(
    _xlfn.LET(
      _xlpm._対象月初,EOMONTH(AZ$1,-1)+1,
      _xlpm._今月初,EOMONTH(基準データ!$C$5,-1)+1,
      IF(
        _xlpm._対象月初&gt;_xlpm._今月初,
        IF(
          OR(AY30="",AY30=0),
          "",
          AY30*AZ$46
        ),
        _xlfn.LET(
          _xlpm._参照先,
            "'[在庫状況把握_43期_2025-2026.xlsx]月次報告"
            &amp;TEXT(AZ$1,"YYMM")
            &amp;"'!",
          _xlpm._戻り範囲,
            IF(
              _xlpm._対象月初=_xlpm._今月初,
              "$AG$1:$AG$300",
              "$G$1:$G$300"
            ),
          _xlfn.XLOOKUP(
            $C30,
            INDIRECT(_xlpm._参照先&amp;"$C$1:$C$300"),
            INDIRECT(_xlpm._参照先&amp;_xlpm._戻り範囲)
          )
        )
      )
    ),
    ""
  )
)</f>
        <v>63.236038074951743</v>
      </c>
      <c r="BA30" s="223" cm="1">
        <f t="array" aca="1" ref="BA30" ca="1">IF($C30="","",
  IFERROR(
    _xlfn.LET(
      _xlpm._対象月初,EOMONTH(BA$1,-1)+1,
      _xlpm._今月初,EOMONTH(基準データ!$C$5,-1)+1,
      IF(
        _xlpm._対象月初&gt;_xlpm._今月初,
        IF(
          OR(AZ30="",AZ30=0),
          "",
          AZ30*BA$46
        ),
        _xlfn.LET(
          _xlpm._参照先,
            "'[在庫状況把握_43期_2025-2026.xlsx]月次報告"
            &amp;TEXT(BA$1,"YYMM")
            &amp;"'!",
          _xlpm._戻り範囲,
            IF(
              _xlpm._対象月初=_xlpm._今月初,
              "$AG$1:$AG$300",
              "$G$1:$G$300"
            ),
          _xlfn.XLOOKUP(
            $C30,
            INDIRECT(_xlpm._参照先&amp;"$C$1:$C$300"),
            INDIRECT(_xlpm._参照先&amp;_xlpm._戻り範囲)
          )
        )
      )
    ),
    ""
  )
)</f>
        <v>68.343207082473555</v>
      </c>
      <c r="BB30" s="223" cm="1">
        <f t="array" aca="1" ref="BB30" ca="1">IF($C30="","",
  IFERROR(
    _xlfn.LET(
      _xlpm._対象月初,EOMONTH(BB$1,-1)+1,
      _xlpm._今月初,EOMONTH(基準データ!$C$5,-1)+1,
      IF(
        _xlpm._対象月初&gt;_xlpm._今月初,
        IF(
          OR(BA30="",BA30=0),
          "",
          BA30*BB$46
        ),
        _xlfn.LET(
          _xlpm._参照先,
            "'[在庫状況把握_43期_2025-2026.xlsx]月次報告"
            &amp;TEXT(BB$1,"YYMM")
            &amp;"'!",
          _xlpm._戻り範囲,
            IF(
              _xlpm._対象月初=_xlpm._今月初,
              "$AG$1:$AG$300",
              "$G$1:$G$300"
            ),
          _xlfn.XLOOKUP(
            $C30,
            INDIRECT(_xlpm._参照先&amp;"$C$1:$C$300"),
            INDIRECT(_xlpm._参照先&amp;_xlpm._戻り範囲)
          )
        )
      )
    ),
    ""
  )
)</f>
        <v>69.015667322652959</v>
      </c>
      <c r="BC30" s="223" cm="1">
        <f t="array" aca="1" ref="BC30" ca="1">IF($C30="","",
  IFERROR(
    _xlfn.LET(
      _xlpm._対象月初,EOMONTH(BC$1,-1)+1,
      _xlpm._今月初,EOMONTH(基準データ!$C$5,-1)+1,
      IF(
        _xlpm._対象月初&gt;_xlpm._今月初,
        IF(
          OR(BB30="",BB30=0),
          "",
          BB30*BC$46
        ),
        _xlfn.LET(
          _xlpm._参照先,
            "'[在庫状況把握_43期_2025-2026.xlsx]月次報告"
            &amp;TEXT(BC$1,"YYMM")
            &amp;"'!",
          _xlpm._戻り範囲,
            IF(
              _xlpm._対象月初=_xlpm._今月初,
              "$AG$1:$AG$300",
              "$G$1:$G$300"
            ),
          _xlfn.XLOOKUP(
            $C30,
            INDIRECT(_xlpm._参照先&amp;"$C$1:$C$300"),
            INDIRECT(_xlpm._参照先&amp;_xlpm._戻り範囲)
          )
        )
      )
    ),
    ""
  )
)</f>
        <v>69.661176304411654</v>
      </c>
      <c r="BD30" s="223" cm="1">
        <f t="array" aca="1" ref="BD30" ca="1">IF($C30="","",
  IFERROR(
    _xlfn.LET(
      _xlpm._対象月初,EOMONTH(BD$1,-1)+1,
      _xlpm._今月初,EOMONTH(基準データ!$C$5,-1)+1,
      IF(
        _xlpm._対象月初&gt;_xlpm._今月初,
        IF(
          OR(BC30="",BC30=0),
          "",
          BC30*BD$46
        ),
        _xlfn.LET(
          _xlpm._参照先,
            "'[在庫状況把握_43期_2025-2026.xlsx]月次報告"
            &amp;TEXT(BD$1,"YYMM")
            &amp;"'!",
          _xlpm._戻り範囲,
            IF(
              _xlpm._対象月初=_xlpm._今月初,
              "$AG$1:$AG$300",
              "$G$1:$G$300"
            ),
          _xlfn.XLOOKUP(
            $C30,
            INDIRECT(_xlpm._参照先&amp;"$C$1:$C$300"),
            INDIRECT(_xlpm._参照先&amp;_xlpm._戻り範囲)
          )
        )
      )
    ),
    ""
  )
)</f>
        <v>109.48709122203101</v>
      </c>
    </row>
    <row r="31" spans="1:56">
      <c r="A31" s="1061" t="s">
        <v>1639</v>
      </c>
      <c r="B31" s="26" t="e">
        <v>#N/A</v>
      </c>
      <c r="C31" s="25" t="s">
        <v>1640</v>
      </c>
      <c r="D31" s="26"/>
      <c r="E31" s="34"/>
      <c r="F31" s="24"/>
      <c r="G31" s="69">
        <v>0</v>
      </c>
      <c r="H31" s="109" t="str" cm="1">
        <f t="array" aca="1" ref="H31" ca="1">_xlfn.LET(_xlpm._来月から4ヶ月計画合計,
  SUM(
    OFFSET($A31,0,
      MATCH(
        EDATE(基準データ!$C$5,3),$A$1:$BF$1,1
      )-3,1,4)),
_xlpm._今月計画数,
INDEX($A$1:$BE$223,
  ROW(),
  MATCH(EOMONTH(基準データ!$C$5,-1)+1,$A$1:$BE$1,0)
),
  IFERROR(IF($B31="","",_xlpm._来月から4ヶ月計画合計+_xlpm._今月計画数/2),""
)
)</f>
        <v/>
      </c>
      <c r="I31" s="38"/>
      <c r="J31" s="38"/>
      <c r="K31" s="38"/>
      <c r="L31" s="38"/>
      <c r="M31" s="38"/>
      <c r="N31" s="38"/>
      <c r="O31" s="38"/>
      <c r="P31" s="38"/>
      <c r="Q31" s="219"/>
      <c r="R31" s="219"/>
      <c r="S31" s="219"/>
      <c r="T31" s="219"/>
      <c r="U31" s="224"/>
      <c r="V31" s="224"/>
      <c r="W31" s="219"/>
      <c r="X31" s="480"/>
      <c r="Y31" s="219"/>
      <c r="Z31" s="219"/>
      <c r="AA31" s="219"/>
      <c r="AB31" s="219"/>
      <c r="AC31" s="224"/>
      <c r="AD31" s="224" t="s">
        <v>21</v>
      </c>
      <c r="AE31" s="223" t="s">
        <v>21</v>
      </c>
      <c r="AF31" s="223" t="s">
        <v>21</v>
      </c>
      <c r="AG31" s="223" t="s">
        <v>21</v>
      </c>
      <c r="AH31" s="223" t="s">
        <v>21</v>
      </c>
      <c r="AI31" s="223" t="s">
        <v>21</v>
      </c>
      <c r="AJ31" s="223" t="s">
        <v>21</v>
      </c>
      <c r="AK31" s="223" t="s">
        <v>21</v>
      </c>
      <c r="AL31" s="223" t="str" cm="1">
        <f t="array" aca="1" ref="AL31" ca="1">IF($C31="","",
  IFERROR(
    _xlfn.LET(
      _xlpm._対象月初,EOMONTH(AL$1,-1)+1,
      _xlpm._今月初,EOMONTH(基準データ!$C$5,-1)+1,
      IF(
        _xlpm._対象月初&gt;_xlpm._今月初,
        IF(
          OR(AK31="",AK31=0),
          "",
          AK31*AL$46
        ),
        _xlfn.LET(
          _xlpm._参照先,
            "'[在庫状況把握_43期_2025-2026.xlsx]月次報告"
            &amp;TEXT(AL$1,"YYMM")
            &amp;"'!",
          _xlpm._戻り範囲,
            IF(
              _xlpm._対象月初=_xlpm._今月初,
              "$AG$1:$AG$300",
              "$G$1:$G$300"
            ),
          _xlfn.XLOOKUP(
            $C31,
            INDIRECT(_xlpm._参照先&amp;"$C$1:$C$300"),
            INDIRECT(_xlpm._参照先&amp;_xlpm._戻り範囲)
          )
        )
      )
    ),
    ""
  )
)</f>
        <v/>
      </c>
      <c r="AM31" s="223" t="str" cm="1">
        <f t="array" aca="1" ref="AM31" ca="1">IF($C31="","",
  IFERROR(
    _xlfn.LET(
      _xlpm._対象月初,EOMONTH(AM$1,-1)+1,
      _xlpm._今月初,EOMONTH(基準データ!$C$5,-1)+1,
      IF(
        _xlpm._対象月初&gt;_xlpm._今月初,
        IF(
          OR(AL31="",AL31=0),
          "",
          AL31*AM$46
        ),
        _xlfn.LET(
          _xlpm._参照先,
            "'[在庫状況把握_43期_2025-2026.xlsx]月次報告"
            &amp;TEXT(AM$1,"YYMM")
            &amp;"'!",
          _xlpm._戻り範囲,
            IF(
              _xlpm._対象月初=_xlpm._今月初,
              "$AG$1:$AG$300",
              "$G$1:$G$300"
            ),
          _xlfn.XLOOKUP(
            $C31,
            INDIRECT(_xlpm._参照先&amp;"$C$1:$C$300"),
            INDIRECT(_xlpm._参照先&amp;_xlpm._戻り範囲)
          )
        )
      )
    ),
    ""
  )
)</f>
        <v/>
      </c>
      <c r="AN31" s="223" t="str" cm="1">
        <f t="array" aca="1" ref="AN31" ca="1">IF($C31="","",
  IFERROR(
    _xlfn.LET(
      _xlpm._対象月初,EOMONTH(AN$1,-1)+1,
      _xlpm._今月初,EOMONTH(基準データ!$C$5,-1)+1,
      IF(
        _xlpm._対象月初&gt;_xlpm._今月初,
        IF(
          OR(AM31="",AM31=0),
          "",
          AM31*AN$46
        ),
        _xlfn.LET(
          _xlpm._参照先,
            "'[在庫状況把握_43期_2025-2026.xlsx]月次報告"
            &amp;TEXT(AN$1,"YYMM")
            &amp;"'!",
          _xlpm._戻り範囲,
            IF(
              _xlpm._対象月初=_xlpm._今月初,
              "$AG$1:$AG$300",
              "$G$1:$G$300"
            ),
          _xlfn.XLOOKUP(
            $C31,
            INDIRECT(_xlpm._参照先&amp;"$C$1:$C$300"),
            INDIRECT(_xlpm._参照先&amp;_xlpm._戻り範囲)
          )
        )
      )
    ),
    ""
  )
)</f>
        <v/>
      </c>
      <c r="AO31" s="223" t="str" cm="1">
        <f t="array" aca="1" ref="AO31" ca="1">IF($C31="","",
  IFERROR(
    _xlfn.LET(
      _xlpm._対象月初,EOMONTH(AO$1,-1)+1,
      _xlpm._今月初,EOMONTH(基準データ!$C$5,-1)+1,
      IF(
        _xlpm._対象月初&gt;_xlpm._今月初,
        IF(
          OR(AN31="",AN31=0),
          "",
          AN31*AO$46
        ),
        _xlfn.LET(
          _xlpm._参照先,
            "'[在庫状況把握_43期_2025-2026.xlsx]月次報告"
            &amp;TEXT(AO$1,"YYMM")
            &amp;"'!",
          _xlpm._戻り範囲,
            IF(
              _xlpm._対象月初=_xlpm._今月初,
              "$AG$1:$AG$300",
              "$G$1:$G$300"
            ),
          _xlfn.XLOOKUP(
            $C31,
            INDIRECT(_xlpm._参照先&amp;"$C$1:$C$300"),
            INDIRECT(_xlpm._参照先&amp;_xlpm._戻り範囲)
          )
        )
      )
    ),
    ""
  )
)</f>
        <v/>
      </c>
      <c r="AP31" s="223" t="str" cm="1">
        <f t="array" aca="1" ref="AP31" ca="1">IF($C31="","",
  IFERROR(
    _xlfn.LET(
      _xlpm._対象月初,EOMONTH(AP$1,-1)+1,
      _xlpm._今月初,EOMONTH(基準データ!$C$5,-1)+1,
      IF(
        _xlpm._対象月初&gt;_xlpm._今月初,
        IF(
          OR(AO31="",AO31=0),
          "",
          AO31*AP$46
        ),
        _xlfn.LET(
          _xlpm._参照先,
            "'[在庫状況把握_43期_2025-2026.xlsx]月次報告"
            &amp;TEXT(AP$1,"YYMM")
            &amp;"'!",
          _xlpm._戻り範囲,
            IF(
              _xlpm._対象月初=_xlpm._今月初,
              "$AG$1:$AG$300",
              "$G$1:$G$300"
            ),
          _xlfn.XLOOKUP(
            $C31,
            INDIRECT(_xlpm._参照先&amp;"$C$1:$C$300"),
            INDIRECT(_xlpm._参照先&amp;_xlpm._戻り範囲)
          )
        )
      )
    ),
    ""
  )
)</f>
        <v/>
      </c>
      <c r="AQ31" s="223" t="str" cm="1">
        <f t="array" aca="1" ref="AQ31" ca="1">IF($C31="","",
  IFERROR(
    _xlfn.LET(
      _xlpm._対象月初,EOMONTH(AQ$1,-1)+1,
      _xlpm._今月初,EOMONTH(基準データ!$C$5,-1)+1,
      IF(
        _xlpm._対象月初&gt;_xlpm._今月初,
        IF(
          OR(AP31="",AP31=0),
          "",
          AP31*AQ$46
        ),
        _xlfn.LET(
          _xlpm._参照先,
            "'[在庫状況把握_43期_2025-2026.xlsx]月次報告"
            &amp;TEXT(AQ$1,"YYMM")
            &amp;"'!",
          _xlpm._戻り範囲,
            IF(
              _xlpm._対象月初=_xlpm._今月初,
              "$AG$1:$AG$300",
              "$G$1:$G$300"
            ),
          _xlfn.XLOOKUP(
            $C31,
            INDIRECT(_xlpm._参照先&amp;"$C$1:$C$300"),
            INDIRECT(_xlpm._参照先&amp;_xlpm._戻り範囲)
          )
        )
      )
    ),
    ""
  )
)</f>
        <v/>
      </c>
      <c r="AR31" s="223" t="str" cm="1">
        <f t="array" aca="1" ref="AR31" ca="1">IF($C31="","",
  IFERROR(
    _xlfn.LET(
      _xlpm._対象月初,EOMONTH(AR$1,-1)+1,
      _xlpm._今月初,EOMONTH(基準データ!$C$5,-1)+1,
      IF(
        _xlpm._対象月初&gt;_xlpm._今月初,
        IF(
          OR(AQ31="",AQ31=0),
          "",
          AQ31*AR$46
        ),
        _xlfn.LET(
          _xlpm._参照先,
            "'[在庫状況把握_43期_2025-2026.xlsx]月次報告"
            &amp;TEXT(AR$1,"YYMM")
            &amp;"'!",
          _xlpm._戻り範囲,
            IF(
              _xlpm._対象月初=_xlpm._今月初,
              "$AG$1:$AG$300",
              "$G$1:$G$300"
            ),
          _xlfn.XLOOKUP(
            $C31,
            INDIRECT(_xlpm._参照先&amp;"$C$1:$C$300"),
            INDIRECT(_xlpm._参照先&amp;_xlpm._戻り範囲)
          )
        )
      )
    ),
    ""
  )
)</f>
        <v/>
      </c>
      <c r="AS31" s="223" t="str" cm="1">
        <f t="array" aca="1" ref="AS31" ca="1">IF($C31="","",
  IFERROR(
    _xlfn.LET(
      _xlpm._対象月初,EOMONTH(AS$1,-1)+1,
      _xlpm._今月初,EOMONTH(基準データ!$C$5,-1)+1,
      IF(
        _xlpm._対象月初&gt;_xlpm._今月初,
        IF(
          OR(AR31="",AR31=0),
          "",
          AR31*AS$46
        ),
        _xlfn.LET(
          _xlpm._参照先,
            "'[在庫状況把握_43期_2025-2026.xlsx]月次報告"
            &amp;TEXT(AS$1,"YYMM")
            &amp;"'!",
          _xlpm._戻り範囲,
            IF(
              _xlpm._対象月初=_xlpm._今月初,
              "$AG$1:$AG$300",
              "$G$1:$G$300"
            ),
          _xlfn.XLOOKUP(
            $C31,
            INDIRECT(_xlpm._参照先&amp;"$C$1:$C$300"),
            INDIRECT(_xlpm._参照先&amp;_xlpm._戻り範囲)
          )
        )
      )
    ),
    ""
  )
)</f>
        <v/>
      </c>
      <c r="AT31" s="223" t="str" cm="1">
        <f t="array" aca="1" ref="AT31" ca="1">IF($C31="","",
  IFERROR(
    _xlfn.LET(
      _xlpm._対象月初,EOMONTH(AT$1,-1)+1,
      _xlpm._今月初,EOMONTH(基準データ!$C$5,-1)+1,
      IF(
        _xlpm._対象月初&gt;_xlpm._今月初,
        IF(
          OR(AS31="",AS31=0),
          "",
          AS31*AT$46
        ),
        _xlfn.LET(
          _xlpm._参照先,
            "'[在庫状況把握_43期_2025-2026.xlsx]月次報告"
            &amp;TEXT(AT$1,"YYMM")
            &amp;"'!",
          _xlpm._戻り範囲,
            IF(
              _xlpm._対象月初=_xlpm._今月初,
              "$AG$1:$AG$300",
              "$G$1:$G$300"
            ),
          _xlfn.XLOOKUP(
            $C31,
            INDIRECT(_xlpm._参照先&amp;"$C$1:$C$300"),
            INDIRECT(_xlpm._参照先&amp;_xlpm._戻り範囲)
          )
        )
      )
    ),
    ""
  )
)</f>
        <v/>
      </c>
      <c r="AU31" s="223" t="str" cm="1">
        <f t="array" aca="1" ref="AU31" ca="1">IF($C31="","",
  IFERROR(
    _xlfn.LET(
      _xlpm._対象月初,EOMONTH(AU$1,-1)+1,
      _xlpm._今月初,EOMONTH(基準データ!$C$5,-1)+1,
      IF(
        _xlpm._対象月初&gt;_xlpm._今月初,
        IF(
          OR(AT31="",AT31=0),
          "",
          AT31*AU$46
        ),
        _xlfn.LET(
          _xlpm._参照先,
            "'[在庫状況把握_43期_2025-2026.xlsx]月次報告"
            &amp;TEXT(AU$1,"YYMM")
            &amp;"'!",
          _xlpm._戻り範囲,
            IF(
              _xlpm._対象月初=_xlpm._今月初,
              "$AG$1:$AG$300",
              "$G$1:$G$300"
            ),
          _xlfn.XLOOKUP(
            $C31,
            INDIRECT(_xlpm._参照先&amp;"$C$1:$C$300"),
            INDIRECT(_xlpm._参照先&amp;_xlpm._戻り範囲)
          )
        )
      )
    ),
    ""
  )
)</f>
        <v/>
      </c>
      <c r="AV31" s="223" t="str" cm="1">
        <f t="array" aca="1" ref="AV31" ca="1">IF($C31="","",
  IFERROR(
    _xlfn.LET(
      _xlpm._対象月初,EOMONTH(AV$1,-1)+1,
      _xlpm._今月初,EOMONTH(基準データ!$C$5,-1)+1,
      IF(
        _xlpm._対象月初&gt;_xlpm._今月初,
        IF(
          OR(AU31="",AU31=0),
          "",
          AU31*AV$46
        ),
        _xlfn.LET(
          _xlpm._参照先,
            "'[在庫状況把握_43期_2025-2026.xlsx]月次報告"
            &amp;TEXT(AV$1,"YYMM")
            &amp;"'!",
          _xlpm._戻り範囲,
            IF(
              _xlpm._対象月初=_xlpm._今月初,
              "$AG$1:$AG$300",
              "$G$1:$G$300"
            ),
          _xlfn.XLOOKUP(
            $C31,
            INDIRECT(_xlpm._参照先&amp;"$C$1:$C$300"),
            INDIRECT(_xlpm._参照先&amp;_xlpm._戻り範囲)
          )
        )
      )
    ),
    ""
  )
)</f>
        <v/>
      </c>
      <c r="AW31" s="223" t="str" cm="1">
        <f t="array" aca="1" ref="AW31" ca="1">IF($C31="","",
  IFERROR(
    _xlfn.LET(
      _xlpm._対象月初,EOMONTH(AW$1,-1)+1,
      _xlpm._今月初,EOMONTH(基準データ!$C$5,-1)+1,
      IF(
        _xlpm._対象月初&gt;_xlpm._今月初,
        IF(
          OR(AV31="",AV31=0),
          "",
          AV31*AW$46
        ),
        _xlfn.LET(
          _xlpm._参照先,
            "'[在庫状況把握_43期_2025-2026.xlsx]月次報告"
            &amp;TEXT(AW$1,"YYMM")
            &amp;"'!",
          _xlpm._戻り範囲,
            IF(
              _xlpm._対象月初=_xlpm._今月初,
              "$AG$1:$AG$300",
              "$G$1:$G$300"
            ),
          _xlfn.XLOOKUP(
            $C31,
            INDIRECT(_xlpm._参照先&amp;"$C$1:$C$300"),
            INDIRECT(_xlpm._参照先&amp;_xlpm._戻り範囲)
          )
        )
      )
    ),
    ""
  )
)</f>
        <v/>
      </c>
      <c r="AX31" s="223" t="str" cm="1">
        <f t="array" aca="1" ref="AX31" ca="1">IF($C31="","",
  IFERROR(
    _xlfn.LET(
      _xlpm._対象月初,EOMONTH(AX$1,-1)+1,
      _xlpm._今月初,EOMONTH(基準データ!$C$5,-1)+1,
      IF(
        _xlpm._対象月初&gt;_xlpm._今月初,
        IF(
          OR(AW31="",AW31=0),
          "",
          AW31*AX$46
        ),
        _xlfn.LET(
          _xlpm._参照先,
            "'[在庫状況把握_43期_2025-2026.xlsx]月次報告"
            &amp;TEXT(AX$1,"YYMM")
            &amp;"'!",
          _xlpm._戻り範囲,
            IF(
              _xlpm._対象月初=_xlpm._今月初,
              "$AG$1:$AG$300",
              "$G$1:$G$300"
            ),
          _xlfn.XLOOKUP(
            $C31,
            INDIRECT(_xlpm._参照先&amp;"$C$1:$C$300"),
            INDIRECT(_xlpm._参照先&amp;_xlpm._戻り範囲)
          )
        )
      )
    ),
    ""
  )
)</f>
        <v/>
      </c>
      <c r="AY31" s="223" t="str" cm="1">
        <f t="array" aca="1" ref="AY31" ca="1">IF($C31="","",
  IFERROR(
    _xlfn.LET(
      _xlpm._対象月初,EOMONTH(AY$1,-1)+1,
      _xlpm._今月初,EOMONTH(基準データ!$C$5,-1)+1,
      IF(
        _xlpm._対象月初&gt;_xlpm._今月初,
        IF(
          OR(AX31="",AX31=0),
          "",
          AX31*AY$46
        ),
        _xlfn.LET(
          _xlpm._参照先,
            "'[在庫状況把握_43期_2025-2026.xlsx]月次報告"
            &amp;TEXT(AY$1,"YYMM")
            &amp;"'!",
          _xlpm._戻り範囲,
            IF(
              _xlpm._対象月初=_xlpm._今月初,
              "$AG$1:$AG$300",
              "$G$1:$G$300"
            ),
          _xlfn.XLOOKUP(
            $C31,
            INDIRECT(_xlpm._参照先&amp;"$C$1:$C$300"),
            INDIRECT(_xlpm._参照先&amp;_xlpm._戻り範囲)
          )
        )
      )
    ),
    ""
  )
)</f>
        <v/>
      </c>
      <c r="AZ31" s="223" t="str" cm="1">
        <f t="array" aca="1" ref="AZ31" ca="1">IF($C31="","",
  IFERROR(
    _xlfn.LET(
      _xlpm._対象月初,EOMONTH(AZ$1,-1)+1,
      _xlpm._今月初,EOMONTH(基準データ!$C$5,-1)+1,
      IF(
        _xlpm._対象月初&gt;_xlpm._今月初,
        IF(
          OR(AY31="",AY31=0),
          "",
          AY31*AZ$46
        ),
        _xlfn.LET(
          _xlpm._参照先,
            "'[在庫状況把握_43期_2025-2026.xlsx]月次報告"
            &amp;TEXT(AZ$1,"YYMM")
            &amp;"'!",
          _xlpm._戻り範囲,
            IF(
              _xlpm._対象月初=_xlpm._今月初,
              "$AG$1:$AG$300",
              "$G$1:$G$300"
            ),
          _xlfn.XLOOKUP(
            $C31,
            INDIRECT(_xlpm._参照先&amp;"$C$1:$C$300"),
            INDIRECT(_xlpm._参照先&amp;_xlpm._戻り範囲)
          )
        )
      )
    ),
    ""
  )
)</f>
        <v/>
      </c>
      <c r="BA31" s="223" t="str" cm="1">
        <f t="array" aca="1" ref="BA31" ca="1">IF($C31="","",
  IFERROR(
    _xlfn.LET(
      _xlpm._対象月初,EOMONTH(BA$1,-1)+1,
      _xlpm._今月初,EOMONTH(基準データ!$C$5,-1)+1,
      IF(
        _xlpm._対象月初&gt;_xlpm._今月初,
        IF(
          OR(AZ31="",AZ31=0),
          "",
          AZ31*BA$46
        ),
        _xlfn.LET(
          _xlpm._参照先,
            "'[在庫状況把握_43期_2025-2026.xlsx]月次報告"
            &amp;TEXT(BA$1,"YYMM")
            &amp;"'!",
          _xlpm._戻り範囲,
            IF(
              _xlpm._対象月初=_xlpm._今月初,
              "$AG$1:$AG$300",
              "$G$1:$G$300"
            ),
          _xlfn.XLOOKUP(
            $C31,
            INDIRECT(_xlpm._参照先&amp;"$C$1:$C$300"),
            INDIRECT(_xlpm._参照先&amp;_xlpm._戻り範囲)
          )
        )
      )
    ),
    ""
  )
)</f>
        <v/>
      </c>
      <c r="BB31" s="223" t="str" cm="1">
        <f t="array" aca="1" ref="BB31" ca="1">IF($C31="","",
  IFERROR(
    _xlfn.LET(
      _xlpm._対象月初,EOMONTH(BB$1,-1)+1,
      _xlpm._今月初,EOMONTH(基準データ!$C$5,-1)+1,
      IF(
        _xlpm._対象月初&gt;_xlpm._今月初,
        IF(
          OR(BA31="",BA31=0),
          "",
          BA31*BB$46
        ),
        _xlfn.LET(
          _xlpm._参照先,
            "'[在庫状況把握_43期_2025-2026.xlsx]月次報告"
            &amp;TEXT(BB$1,"YYMM")
            &amp;"'!",
          _xlpm._戻り範囲,
            IF(
              _xlpm._対象月初=_xlpm._今月初,
              "$AG$1:$AG$300",
              "$G$1:$G$300"
            ),
          _xlfn.XLOOKUP(
            $C31,
            INDIRECT(_xlpm._参照先&amp;"$C$1:$C$300"),
            INDIRECT(_xlpm._参照先&amp;_xlpm._戻り範囲)
          )
        )
      )
    ),
    ""
  )
)</f>
        <v/>
      </c>
      <c r="BC31" s="223" t="str" cm="1">
        <f t="array" aca="1" ref="BC31" ca="1">IF($C31="","",
  IFERROR(
    _xlfn.LET(
      _xlpm._対象月初,EOMONTH(BC$1,-1)+1,
      _xlpm._今月初,EOMONTH(基準データ!$C$5,-1)+1,
      IF(
        _xlpm._対象月初&gt;_xlpm._今月初,
        IF(
          OR(BB31="",BB31=0),
          "",
          BB31*BC$46
        ),
        _xlfn.LET(
          _xlpm._参照先,
            "'[在庫状況把握_43期_2025-2026.xlsx]月次報告"
            &amp;TEXT(BC$1,"YYMM")
            &amp;"'!",
          _xlpm._戻り範囲,
            IF(
              _xlpm._対象月初=_xlpm._今月初,
              "$AG$1:$AG$300",
              "$G$1:$G$300"
            ),
          _xlfn.XLOOKUP(
            $C31,
            INDIRECT(_xlpm._参照先&amp;"$C$1:$C$300"),
            INDIRECT(_xlpm._参照先&amp;_xlpm._戻り範囲)
          )
        )
      )
    ),
    ""
  )
)</f>
        <v/>
      </c>
      <c r="BD31" s="223" t="str" cm="1">
        <f t="array" aca="1" ref="BD31" ca="1">IF($C31="","",
  IFERROR(
    _xlfn.LET(
      _xlpm._対象月初,EOMONTH(BD$1,-1)+1,
      _xlpm._今月初,EOMONTH(基準データ!$C$5,-1)+1,
      IF(
        _xlpm._対象月初&gt;_xlpm._今月初,
        IF(
          OR(BC31="",BC31=0),
          "",
          BC31*BD$46
        ),
        _xlfn.LET(
          _xlpm._参照先,
            "'[在庫状況把握_43期_2025-2026.xlsx]月次報告"
            &amp;TEXT(BD$1,"YYMM")
            &amp;"'!",
          _xlpm._戻り範囲,
            IF(
              _xlpm._対象月初=_xlpm._今月初,
              "$AG$1:$AG$300",
              "$G$1:$G$300"
            ),
          _xlfn.XLOOKUP(
            $C31,
            INDIRECT(_xlpm._参照先&amp;"$C$1:$C$300"),
            INDIRECT(_xlpm._参照先&amp;_xlpm._戻り範囲)
          )
        )
      )
    ),
    ""
  )
)</f>
        <v/>
      </c>
    </row>
    <row r="32" spans="1:56">
      <c r="A32" s="1059" t="s">
        <v>1639</v>
      </c>
      <c r="B32" s="26" t="str">
        <v>MSH-15F5-255H-5060-L6 Creator</v>
      </c>
      <c r="C32" s="25" t="s">
        <v>420</v>
      </c>
      <c r="D32" s="26" t="s">
        <v>1356</v>
      </c>
      <c r="E32" s="24">
        <v>5060</v>
      </c>
      <c r="F32" s="24" t="s">
        <v>1347</v>
      </c>
      <c r="G32" s="38">
        <v>20</v>
      </c>
      <c r="H32" s="109" cm="1">
        <f t="array" aca="1" ref="H32" ca="1">_xlfn.LET(_xlpm._来月から4ヶ月計画合計,
  SUM(
    OFFSET($A32,0,
      MATCH(
        EDATE(基準データ!$C$5,3),$A$1:$BF$1,1
      )-3,1,4)),
_xlpm._今月計画数,
INDEX($A$1:$BE$223,
  ROW(),
  MATCH(EOMONTH(基準データ!$C$5,-1)+1,$A$1:$BE$1,0)
),
  IFERROR(IF($B32="","",_xlpm._来月から4ヶ月計画合計+_xlpm._今月計画数/2),""
)
)</f>
        <v>683.67259905673495</v>
      </c>
      <c r="I32" s="38"/>
      <c r="J32" s="38"/>
      <c r="K32" s="38"/>
      <c r="L32" s="38"/>
      <c r="M32" s="38"/>
      <c r="N32" s="38"/>
      <c r="O32" s="38"/>
      <c r="P32" s="38"/>
      <c r="Q32" s="219"/>
      <c r="R32" s="219"/>
      <c r="S32" s="219"/>
      <c r="T32" s="298"/>
      <c r="U32" s="224"/>
      <c r="V32" s="224"/>
      <c r="W32" s="219"/>
      <c r="X32" s="480"/>
      <c r="Y32" s="219"/>
      <c r="Z32" s="219"/>
      <c r="AA32" s="219"/>
      <c r="AB32" s="219"/>
      <c r="AC32" s="224">
        <v>0</v>
      </c>
      <c r="AD32" s="224">
        <v>1</v>
      </c>
      <c r="AE32" s="223">
        <v>10</v>
      </c>
      <c r="AF32" s="223">
        <v>12</v>
      </c>
      <c r="AG32" s="223">
        <v>20</v>
      </c>
      <c r="AH32" s="223">
        <v>11</v>
      </c>
      <c r="AI32" s="223">
        <v>24</v>
      </c>
      <c r="AJ32" s="223">
        <v>109</v>
      </c>
      <c r="AK32" s="223">
        <v>580</v>
      </c>
      <c r="AL32" s="223" cm="1">
        <f t="array" aca="1" ref="AL32" ca="1">IF($C32="","",
  IFERROR(
    _xlfn.LET(
      _xlpm._対象月初,EOMONTH(AL$1,-1)+1,
      _xlpm._今月初,EOMONTH(基準データ!$C$5,-1)+1,
      IF(
        _xlpm._対象月初&gt;_xlpm._今月初,
        IF(
          OR(AK32="",AK32=0),
          "",
          AK32*AL$46
        ),
        _xlfn.LET(
          _xlpm._参照先,
            "'[在庫状況把握_43期_2025-2026.xlsx]月次報告"
            &amp;TEXT(AL$1,"YYMM")
            &amp;"'!",
          _xlpm._戻り範囲,
            IF(
              _xlpm._対象月初=_xlpm._今月初,
              "$AG$1:$AG$300",
              "$G$1:$G$300"
            ),
          _xlfn.XLOOKUP(
            $C32,
            INDIRECT(_xlpm._参照先&amp;"$C$1:$C$300"),
            INDIRECT(_xlpm._参照先&amp;_xlpm._戻り範囲)
          )
        )
      )
    ),
    ""
  )
)</f>
        <v>124</v>
      </c>
      <c r="AM32" s="223" cm="1">
        <f t="array" aca="1" ref="AM32" ca="1">IF($C32="","",
  IFERROR(
    _xlfn.LET(
      _xlpm._対象月初,EOMONTH(AM$1,-1)+1,
      _xlpm._今月初,EOMONTH(基準データ!$C$5,-1)+1,
      IF(
        _xlpm._対象月初&gt;_xlpm._今月初,
        IF(
          OR(AL32="",AL32=0),
          "",
          AL32*AM$46
        ),
        _xlfn.LET(
          _xlpm._参照先,
            "'[在庫状況把握_43期_2025-2026.xlsx]月次報告"
            &amp;TEXT(AM$1,"YYMM")
            &amp;"'!",
          _xlpm._戻り範囲,
            IF(
              _xlpm._対象月初=_xlpm._今月初,
              "$AG$1:$AG$300",
              "$G$1:$G$300"
            ),
          _xlfn.XLOOKUP(
            $C32,
            INDIRECT(_xlpm._参照先&amp;"$C$1:$C$300"),
            INDIRECT(_xlpm._参照先&amp;_xlpm._戻り範囲)
          )
        )
      )
    ),
    ""
  )
)</f>
        <v>136.17857142857144</v>
      </c>
      <c r="AN32" s="223" cm="1">
        <f t="array" aca="1" ref="AN32" ca="1">IF($C32="","",
  IFERROR(
    _xlfn.LET(
      _xlpm._対象月初,EOMONTH(AN$1,-1)+1,
      _xlpm._今月初,EOMONTH(基準データ!$C$5,-1)+1,
      IF(
        _xlpm._対象月初&gt;_xlpm._今月初,
        IF(
          OR(AM32="",AM32=0),
          "",
          AM32*AN$46
        ),
        _xlfn.LET(
          _xlpm._参照先,
            "'[在庫状況把握_43期_2025-2026.xlsx]月次報告"
            &amp;TEXT(AN$1,"YYMM")
            &amp;"'!",
          _xlpm._戻り範囲,
            IF(
              _xlpm._対象月初=_xlpm._今月初,
              "$AG$1:$AG$300",
              "$G$1:$G$300"
            ),
          _xlfn.XLOOKUP(
            $C32,
            INDIRECT(_xlpm._参照先&amp;"$C$1:$C$300"),
            INDIRECT(_xlpm._参照先&amp;_xlpm._戻り範囲)
          )
        )
      )
    ),
    ""
  )
)</f>
        <v>144.03764228183451</v>
      </c>
      <c r="AO32" s="223" cm="1">
        <f t="array" aca="1" ref="AO32" ca="1">IF($C32="","",
  IFERROR(
    _xlfn.LET(
      _xlpm._対象月初,EOMONTH(AO$1,-1)+1,
      _xlpm._今月初,EOMONTH(基準データ!$C$5,-1)+1,
      IF(
        _xlpm._対象月初&gt;_xlpm._今月初,
        IF(
          OR(AN32="",AN32=0),
          "",
          AN32*AO$46
        ),
        _xlfn.LET(
          _xlpm._参照先,
            "'[在庫状況把握_43期_2025-2026.xlsx]月次報告"
            &amp;TEXT(AO$1,"YYMM")
            &amp;"'!",
          _xlpm._戻り範囲,
            IF(
              _xlpm._対象月初=_xlpm._今月初,
              "$AG$1:$AG$300",
              "$G$1:$G$300"
            ),
          _xlfn.XLOOKUP(
            $C32,
            INDIRECT(_xlpm._参照先&amp;"$C$1:$C$300"),
            INDIRECT(_xlpm._参照先&amp;_xlpm._戻り範囲)
          )
        )
      )
    ),
    ""
  )
)</f>
        <v>155.67063835452308</v>
      </c>
      <c r="AP32" s="223" cm="1">
        <f t="array" aca="1" ref="AP32" ca="1">IF($C32="","",
  IFERROR(
    _xlfn.LET(
      _xlpm._対象月初,EOMONTH(AP$1,-1)+1,
      _xlpm._今月初,EOMONTH(基準データ!$C$5,-1)+1,
      IF(
        _xlpm._対象月初&gt;_xlpm._今月初,
        IF(
          OR(AO32="",AO32=0),
          "",
          AO32*AP$46
        ),
        _xlfn.LET(
          _xlpm._参照先,
            "'[在庫状況把握_43期_2025-2026.xlsx]月次報告"
            &amp;TEXT(AP$1,"YYMM")
            &amp;"'!",
          _xlpm._戻り範囲,
            IF(
              _xlpm._対象月初=_xlpm._今月初,
              "$AG$1:$AG$300",
              "$G$1:$G$300"
            ),
          _xlfn.XLOOKUP(
            $C32,
            INDIRECT(_xlpm._参照先&amp;"$C$1:$C$300"),
            INDIRECT(_xlpm._参照先&amp;_xlpm._戻り範囲)
          )
        )
      )
    ),
    ""
  )
)</f>
        <v>157.20235334604283</v>
      </c>
      <c r="AQ32" s="223" cm="1">
        <f t="array" aca="1" ref="AQ32" ca="1">IF($C32="","",
  IFERROR(
    _xlfn.LET(
      _xlpm._対象月初,EOMONTH(AQ$1,-1)+1,
      _xlpm._今月初,EOMONTH(基準データ!$C$5,-1)+1,
      IF(
        _xlpm._対象月初&gt;_xlpm._今月初,
        IF(
          OR(AP32="",AP32=0),
          "",
          AP32*AQ$46
        ),
        _xlfn.LET(
          _xlpm._参照先,
            "'[在庫状況把握_43期_2025-2026.xlsx]月次報告"
            &amp;TEXT(AQ$1,"YYMM")
            &amp;"'!",
          _xlpm._戻り範囲,
            IF(
              _xlpm._対象月初=_xlpm._今月初,
              "$AG$1:$AG$300",
              "$G$1:$G$300"
            ),
          _xlfn.XLOOKUP(
            $C32,
            INDIRECT(_xlpm._参照先&amp;"$C$1:$C$300"),
            INDIRECT(_xlpm._参照先&amp;_xlpm._戻り範囲)
          )
        )
      )
    ),
    ""
  )
)</f>
        <v>158.67267936004873</v>
      </c>
      <c r="AR32" s="223" cm="1">
        <f t="array" aca="1" ref="AR32" ca="1">IF($C32="","",
  IFERROR(
    _xlfn.LET(
      _xlpm._対象月初,EOMONTH(AR$1,-1)+1,
      _xlpm._今月初,EOMONTH(基準データ!$C$5,-1)+1,
      IF(
        _xlpm._対象月初&gt;_xlpm._今月初,
        IF(
          OR(AQ32="",AQ32=0),
          "",
          AQ32*AR$46
        ),
        _xlfn.LET(
          _xlpm._参照先,
            "'[在庫状況把握_43期_2025-2026.xlsx]月次報告"
            &amp;TEXT(AR$1,"YYMM")
            &amp;"'!",
          _xlpm._戻り範囲,
            IF(
              _xlpm._対象月初=_xlpm._今月初,
              "$AG$1:$AG$300",
              "$G$1:$G$300"
            ),
          _xlfn.XLOOKUP(
            $C32,
            INDIRECT(_xlpm._参照先&amp;"$C$1:$C$300"),
            INDIRECT(_xlpm._参照先&amp;_xlpm._戻り範囲)
          )
        )
      )
    ),
    ""
  )
)</f>
        <v>249.38726333907059</v>
      </c>
      <c r="AS32" s="223" cm="1">
        <f t="array" aca="1" ref="AS32" ca="1">IF($C32="","",
  IFERROR(
    _xlfn.LET(
      _xlpm._対象月初,EOMONTH(AS$1,-1)+1,
      _xlpm._今月初,EOMONTH(基準データ!$C$5,-1)+1,
      IF(
        _xlpm._対象月初&gt;_xlpm._今月初,
        IF(
          OR(AR32="",AR32=0),
          "",
          AR32*AS$46
        ),
        _xlfn.LET(
          _xlpm._参照先,
            "'[在庫状況把握_43期_2025-2026.xlsx]月次報告"
            &amp;TEXT(AS$1,"YYMM")
            &amp;"'!",
          _xlpm._戻り範囲,
            IF(
              _xlpm._対象月初=_xlpm._今月初,
              "$AG$1:$AG$300",
              "$G$1:$G$300"
            ),
          _xlfn.XLOOKUP(
            $C32,
            INDIRECT(_xlpm._参照先&amp;"$C$1:$C$300"),
            INDIRECT(_xlpm._参照先&amp;_xlpm._戻り範囲)
          )
        )
      )
    ),
    ""
  )
)</f>
        <v>210.93241623758266</v>
      </c>
      <c r="AT32" s="223" cm="1">
        <f t="array" aca="1" ref="AT32" ca="1">IF($C32="","",
  IFERROR(
    _xlfn.LET(
      _xlpm._対象月初,EOMONTH(AT$1,-1)+1,
      _xlpm._今月初,EOMONTH(基準データ!$C$5,-1)+1,
      IF(
        _xlpm._対象月初&gt;_xlpm._今月初,
        IF(
          OR(AS32="",AS32=0),
          "",
          AS32*AT$46
        ),
        _xlfn.LET(
          _xlpm._参照先,
            "'[在庫状況把握_43期_2025-2026.xlsx]月次報告"
            &amp;TEXT(AT$1,"YYMM")
            &amp;"'!",
          _xlpm._戻り範囲,
            IF(
              _xlpm._対象月初=_xlpm._今月初,
              "$AG$1:$AG$300",
              "$G$1:$G$300"
            ),
          _xlfn.XLOOKUP(
            $C32,
            INDIRECT(_xlpm._参照先&amp;"$C$1:$C$300"),
            INDIRECT(_xlpm._参照先&amp;_xlpm._戻り範囲)
          )
        )
      )
    ),
    ""
  )
)</f>
        <v>139.45998278829603</v>
      </c>
      <c r="AU32" s="223" cm="1">
        <f t="array" aca="1" ref="AU32" ca="1">IF($C32="","",
  IFERROR(
    _xlfn.LET(
      _xlpm._対象月初,EOMONTH(AU$1,-1)+1,
      _xlpm._今月初,EOMONTH(基準データ!$C$5,-1)+1,
      IF(
        _xlpm._対象月初&gt;_xlpm._今月初,
        IF(
          OR(AT32="",AT32=0),
          "",
          AT32*AU$46
        ),
        _xlfn.LET(
          _xlpm._参照先,
            "'[在庫状況把握_43期_2025-2026.xlsx]月次報告"
            &amp;TEXT(AU$1,"YYMM")
            &amp;"'!",
          _xlpm._戻り範囲,
            IF(
              _xlpm._対象月初=_xlpm._今月初,
              "$AG$1:$AG$300",
              "$G$1:$G$300"
            ),
          _xlfn.XLOOKUP(
            $C32,
            INDIRECT(_xlpm._参照先&amp;"$C$1:$C$300"),
            INDIRECT(_xlpm._参照先&amp;_xlpm._戻り範囲)
          )
        )
      )
    ),
    ""
  )
)</f>
        <v>208.69776247848534</v>
      </c>
      <c r="AV32" s="223" cm="1">
        <f t="array" aca="1" ref="AV32" ca="1">IF($C32="","",
  IFERROR(
    _xlfn.LET(
      _xlpm._対象月初,EOMONTH(AV$1,-1)+1,
      _xlpm._今月初,EOMONTH(基準データ!$C$5,-1)+1,
      IF(
        _xlpm._対象月初&gt;_xlpm._今月初,
        IF(
          OR(AU32="",AU32=0),
          "",
          AU32*AV$46
        ),
        _xlfn.LET(
          _xlpm._参照先,
            "'[在庫状況把握_43期_2025-2026.xlsx]月次報告"
            &amp;TEXT(AV$1,"YYMM")
            &amp;"'!",
          _xlpm._戻り範囲,
            IF(
              _xlpm._対象月初=_xlpm._今月初,
              "$AG$1:$AG$300",
              "$G$1:$G$300"
            ),
          _xlfn.XLOOKUP(
            $C32,
            INDIRECT(_xlpm._参照先&amp;"$C$1:$C$300"),
            INDIRECT(_xlpm._参照先&amp;_xlpm._戻り範囲)
          )
        )
      )
    ),
    ""
  )
)</f>
        <v>155.98079225191864</v>
      </c>
      <c r="AW32" s="223" cm="1">
        <f t="array" aca="1" ref="AW32" ca="1">IF($C32="","",
  IFERROR(
    _xlfn.LET(
      _xlpm._対象月初,EOMONTH(AW$1,-1)+1,
      _xlpm._今月初,EOMONTH(基準データ!$C$5,-1)+1,
      IF(
        _xlpm._対象月初&gt;_xlpm._今月初,
        IF(
          OR(AV32="",AV32=0),
          "",
          AV32*AW$46
        ),
        _xlfn.LET(
          _xlpm._参照先,
            "'[在庫状況把握_43期_2025-2026.xlsx]月次報告"
            &amp;TEXT(AW$1,"YYMM")
            &amp;"'!",
          _xlpm._戻り範囲,
            IF(
              _xlpm._対象月初=_xlpm._今月初,
              "$AG$1:$AG$300",
              "$G$1:$G$300"
            ),
          _xlfn.XLOOKUP(
            $C32,
            INDIRECT(_xlpm._参照先&amp;"$C$1:$C$300"),
            INDIRECT(_xlpm._参照先&amp;_xlpm._戻り範囲)
          )
        )
      )
    ),
    ""
  )
)</f>
        <v>131.91273666092943</v>
      </c>
      <c r="AX32" s="223" cm="1">
        <f t="array" aca="1" ref="AX32" ca="1">IF($C32="","",
  IFERROR(
    _xlfn.LET(
      _xlpm._対象月初,EOMONTH(AX$1,-1)+1,
      _xlpm._今月初,EOMONTH(基準データ!$C$5,-1)+1,
      IF(
        _xlpm._対象月初&gt;_xlpm._今月初,
        IF(
          OR(AW32="",AW32=0),
          "",
          AW32*AX$46
        ),
        _xlfn.LET(
          _xlpm._参照先,
            "'[在庫状況把握_43期_2025-2026.xlsx]月次報告"
            &amp;TEXT(AX$1,"YYMM")
            &amp;"'!",
          _xlpm._戻り範囲,
            IF(
              _xlpm._対象月初=_xlpm._今月初,
              "$AG$1:$AG$300",
              "$G$1:$G$300"
            ),
          _xlfn.XLOOKUP(
            $C32,
            INDIRECT(_xlpm._参照先&amp;"$C$1:$C$300"),
            INDIRECT(_xlpm._参照先&amp;_xlpm._戻り範囲)
          )
        )
      )
    ),
    ""
  )
)</f>
        <v>138.62744841087607</v>
      </c>
      <c r="AY32" s="223" cm="1">
        <f t="array" aca="1" ref="AY32" ca="1">IF($C32="","",
  IFERROR(
    _xlfn.LET(
      _xlpm._対象月初,EOMONTH(AY$1,-1)+1,
      _xlpm._今月初,EOMONTH(基準データ!$C$5,-1)+1,
      IF(
        _xlpm._対象月初&gt;_xlpm._今月初,
        IF(
          OR(AX32="",AX32=0),
          "",
          AX32*AY$46
        ),
        _xlfn.LET(
          _xlpm._参照先,
            "'[在庫状況把握_43期_2025-2026.xlsx]月次報告"
            &amp;TEXT(AY$1,"YYMM")
            &amp;"'!",
          _xlpm._戻り範囲,
            IF(
              _xlpm._対象月初=_xlpm._今月初,
              "$AG$1:$AG$300",
              "$G$1:$G$300"
            ),
          _xlfn.XLOOKUP(
            $C32,
            INDIRECT(_xlpm._参照先&amp;"$C$1:$C$300"),
            INDIRECT(_xlpm._参照先&amp;_xlpm._戻り範囲)
          )
        )
      )
    ),
    ""
  )
)</f>
        <v>136.17857142857142</v>
      </c>
      <c r="AZ32" s="223" cm="1">
        <f t="array" aca="1" ref="AZ32" ca="1">IF($C32="","",
  IFERROR(
    _xlfn.LET(
      _xlpm._対象月初,EOMONTH(AZ$1,-1)+1,
      _xlpm._今月初,EOMONTH(基準データ!$C$5,-1)+1,
      IF(
        _xlpm._対象月初&gt;_xlpm._今月初,
        IF(
          OR(AY32="",AY32=0),
          "",
          AY32*AZ$46
        ),
        _xlfn.LET(
          _xlpm._参照先,
            "'[在庫状況把握_43期_2025-2026.xlsx]月次報告"
            &amp;TEXT(AZ$1,"YYMM")
            &amp;"'!",
          _xlpm._戻り範囲,
            IF(
              _xlpm._対象月初=_xlpm._今月初,
              "$AG$1:$AG$300",
              "$G$1:$G$300"
            ),
          _xlfn.XLOOKUP(
            $C32,
            INDIRECT(_xlpm._参照先&amp;"$C$1:$C$300"),
            INDIRECT(_xlpm._参照先&amp;_xlpm._戻り範囲)
          )
        )
      )
    ),
    ""
  )
)</f>
        <v>144.03764228183448</v>
      </c>
      <c r="BA32" s="223" cm="1">
        <f t="array" aca="1" ref="BA32" ca="1">IF($C32="","",
  IFERROR(
    _xlfn.LET(
      _xlpm._対象月初,EOMONTH(BA$1,-1)+1,
      _xlpm._今月初,EOMONTH(基準データ!$C$5,-1)+1,
      IF(
        _xlpm._対象月初&gt;_xlpm._今月初,
        IF(
          OR(AZ32="",AZ32=0),
          "",
          AZ32*BA$46
        ),
        _xlfn.LET(
          _xlpm._参照先,
            "'[在庫状況把握_43期_2025-2026.xlsx]月次報告"
            &amp;TEXT(BA$1,"YYMM")
            &amp;"'!",
          _xlpm._戻り範囲,
            IF(
              _xlpm._対象月初=_xlpm._今月初,
              "$AG$1:$AG$300",
              "$G$1:$G$300"
            ),
          _xlfn.XLOOKUP(
            $C32,
            INDIRECT(_xlpm._参照先&amp;"$C$1:$C$300"),
            INDIRECT(_xlpm._参照先&amp;_xlpm._戻り範囲)
          )
        )
      )
    ),
    ""
  )
)</f>
        <v>155.67063835452305</v>
      </c>
      <c r="BB32" s="223" cm="1">
        <f t="array" aca="1" ref="BB32" ca="1">IF($C32="","",
  IFERROR(
    _xlfn.LET(
      _xlpm._対象月初,EOMONTH(BB$1,-1)+1,
      _xlpm._今月初,EOMONTH(基準データ!$C$5,-1)+1,
      IF(
        _xlpm._対象月初&gt;_xlpm._今月初,
        IF(
          OR(BA32="",BA32=0),
          "",
          BA32*BB$46
        ),
        _xlfn.LET(
          _xlpm._参照先,
            "'[在庫状況把握_43期_2025-2026.xlsx]月次報告"
            &amp;TEXT(BB$1,"YYMM")
            &amp;"'!",
          _xlpm._戻り範囲,
            IF(
              _xlpm._対象月初=_xlpm._今月初,
              "$AG$1:$AG$300",
              "$G$1:$G$300"
            ),
          _xlfn.XLOOKUP(
            $C32,
            INDIRECT(_xlpm._参照先&amp;"$C$1:$C$300"),
            INDIRECT(_xlpm._参照先&amp;_xlpm._戻り範囲)
          )
        )
      )
    ),
    ""
  )
)</f>
        <v>157.2023533460428</v>
      </c>
      <c r="BC32" s="223" cm="1">
        <f t="array" aca="1" ref="BC32" ca="1">IF($C32="","",
  IFERROR(
    _xlfn.LET(
      _xlpm._対象月初,EOMONTH(BC$1,-1)+1,
      _xlpm._今月初,EOMONTH(基準データ!$C$5,-1)+1,
      IF(
        _xlpm._対象月初&gt;_xlpm._今月初,
        IF(
          OR(BB32="",BB32=0),
          "",
          BB32*BC$46
        ),
        _xlfn.LET(
          _xlpm._参照先,
            "'[在庫状況把握_43期_2025-2026.xlsx]月次報告"
            &amp;TEXT(BC$1,"YYMM")
            &amp;"'!",
          _xlpm._戻り範囲,
            IF(
              _xlpm._対象月初=_xlpm._今月初,
              "$AG$1:$AG$300",
              "$G$1:$G$300"
            ),
          _xlfn.XLOOKUP(
            $C32,
            INDIRECT(_xlpm._参照先&amp;"$C$1:$C$300"),
            INDIRECT(_xlpm._参照先&amp;_xlpm._戻り範囲)
          )
        )
      )
    ),
    ""
  )
)</f>
        <v>158.6726793600487</v>
      </c>
      <c r="BD32" s="223" cm="1">
        <f t="array" aca="1" ref="BD32" ca="1">IF($C32="","",
  IFERROR(
    _xlfn.LET(
      _xlpm._対象月初,EOMONTH(BD$1,-1)+1,
      _xlpm._今月初,EOMONTH(基準データ!$C$5,-1)+1,
      IF(
        _xlpm._対象月初&gt;_xlpm._今月初,
        IF(
          OR(BC32="",BC32=0),
          "",
          BC32*BD$46
        ),
        _xlfn.LET(
          _xlpm._参照先,
            "'[在庫状況把握_43期_2025-2026.xlsx]月次報告"
            &amp;TEXT(BD$1,"YYMM")
            &amp;"'!",
          _xlpm._戻り範囲,
            IF(
              _xlpm._対象月初=_xlpm._今月初,
              "$AG$1:$AG$300",
              "$G$1:$G$300"
            ),
          _xlfn.XLOOKUP(
            $C32,
            INDIRECT(_xlpm._参照先&amp;"$C$1:$C$300"),
            INDIRECT(_xlpm._参照先&amp;_xlpm._戻り範囲)
          )
        )
      )
    ),
    ""
  )
)</f>
        <v>249.38726333907056</v>
      </c>
    </row>
    <row r="33" spans="1:56">
      <c r="A33" s="1061" t="s">
        <v>1639</v>
      </c>
      <c r="B33" s="26" t="str">
        <v>CLE-V56-AI9-470-5060-L6 Creator</v>
      </c>
      <c r="C33" s="57" t="s">
        <v>427</v>
      </c>
      <c r="D33" s="68"/>
      <c r="E33" s="68"/>
      <c r="F33" s="68"/>
      <c r="G33" s="355">
        <v>348</v>
      </c>
      <c r="H33" s="109" cm="1">
        <f t="array" aca="1" ref="H33" ca="1">_xlfn.LET(_xlpm._来月から4ヶ月計画合計,
  SUM(
    OFFSET($A33,0,
      MATCH(
        EDATE(基準データ!$C$5,3),$A$1:$BF$1,1
      )-3,1,4)),
_xlpm._今月計画数,
INDEX($A$1:$BE$223,
  ROW(),
  MATCH(EOMONTH(基準データ!$C$5,-1)+1,$A$1:$BE$1,0)
),
  IFERROR(IF($B33="","",_xlpm._来月から4ヶ月計画合計+_xlpm._今月計画数/2),""
)
)</f>
        <v>16.674941440408166</v>
      </c>
      <c r="I33" s="38"/>
      <c r="J33" s="38"/>
      <c r="K33" s="38"/>
      <c r="L33" s="38"/>
      <c r="M33" s="38"/>
      <c r="N33" s="38"/>
      <c r="O33" s="38"/>
      <c r="P33" s="38"/>
      <c r="Q33" s="219"/>
      <c r="R33" s="219"/>
      <c r="S33" s="219"/>
      <c r="T33" s="219"/>
      <c r="U33" s="224"/>
      <c r="V33" s="224"/>
      <c r="W33" s="219"/>
      <c r="X33" s="480"/>
      <c r="Y33" s="219"/>
      <c r="Z33" s="219"/>
      <c r="AA33" s="219"/>
      <c r="AB33" s="219"/>
      <c r="AC33" s="224"/>
      <c r="AD33" s="224" t="s">
        <v>21</v>
      </c>
      <c r="AE33" s="223">
        <v>0</v>
      </c>
      <c r="AF33" s="223">
        <v>0</v>
      </c>
      <c r="AG33" s="223">
        <v>0</v>
      </c>
      <c r="AH33" s="223">
        <v>3</v>
      </c>
      <c r="AI33" s="223">
        <v>3</v>
      </c>
      <c r="AJ33" s="223">
        <v>0</v>
      </c>
      <c r="AK33" s="223">
        <v>1</v>
      </c>
      <c r="AL33" s="223" cm="1">
        <f t="array" aca="1" ref="AL33" ca="1">IF($C33="","",
  IFERROR(
    _xlfn.LET(
      _xlpm._対象月初,EOMONTH(AL$1,-1)+1,
      _xlpm._今月初,EOMONTH(基準データ!$C$5,-1)+1,
      IF(
        _xlpm._対象月初&gt;_xlpm._今月初,
        IF(
          OR(AK33="",AK33=0),
          "",
          AK33*AL$46
        ),
        _xlfn.LET(
          _xlpm._参照先,
            "'[在庫状況把握_43期_2025-2026.xlsx]月次報告"
            &amp;TEXT(AL$1,"YYMM")
            &amp;"'!",
          _xlpm._戻り範囲,
            IF(
              _xlpm._対象月初=_xlpm._今月初,
              "$AG$1:$AG$300",
              "$G$1:$G$300"
            ),
          _xlfn.XLOOKUP(
            $C33,
            INDIRECT(_xlpm._参照先&amp;"$C$1:$C$300"),
            INDIRECT(_xlpm._参照先&amp;_xlpm._戻り範囲)
          )
        )
      )
    ),
    ""
  )
)</f>
        <v>4</v>
      </c>
      <c r="AM33" s="223" cm="1">
        <f t="array" aca="1" ref="AM33" ca="1">IF($C33="","",
  IFERROR(
    _xlfn.LET(
      _xlpm._対象月初,EOMONTH(AM$1,-1)+1,
      _xlpm._今月初,EOMONTH(基準データ!$C$5,-1)+1,
      IF(
        _xlpm._対象月初&gt;_xlpm._今月初,
        IF(
          OR(AL33="",AL33=0),
          "",
          AL33*AM$46
        ),
        _xlfn.LET(
          _xlpm._参照先,
            "'[在庫状況把握_43期_2025-2026.xlsx]月次報告"
            &amp;TEXT(AM$1,"YYMM")
            &amp;"'!",
          _xlpm._戻り範囲,
            IF(
              _xlpm._対象月初=_xlpm._今月初,
              "$AG$1:$AG$300",
              "$G$1:$G$300"
            ),
          _xlfn.XLOOKUP(
            $C33,
            INDIRECT(_xlpm._参照先&amp;"$C$1:$C$300"),
            INDIRECT(_xlpm._参照先&amp;_xlpm._戻り範囲)
          )
        )
      )
    ),
    ""
  )
)</f>
        <v>3.3214285714285712</v>
      </c>
      <c r="AN33" s="223" cm="1">
        <f t="array" aca="1" ref="AN33" ca="1">IF($C33="","",
  IFERROR(
    _xlfn.LET(
      _xlpm._対象月初,EOMONTH(AN$1,-1)+1,
      _xlpm._今月初,EOMONTH(基準データ!$C$5,-1)+1,
      IF(
        _xlpm._対象月初&gt;_xlpm._今月初,
        IF(
          OR(AM33="",AM33=0),
          "",
          AM33*AN$46
        ),
        _xlfn.LET(
          _xlpm._参照先,
            "'[在庫状況把握_43期_2025-2026.xlsx]月次報告"
            &amp;TEXT(AN$1,"YYMM")
            &amp;"'!",
          _xlpm._戻り範囲,
            IF(
              _xlpm._対象月初=_xlpm._今月初,
              "$AG$1:$AG$300",
              "$G$1:$G$300"
            ),
          _xlfn.XLOOKUP(
            $C33,
            INDIRECT(_xlpm._参照先&amp;"$C$1:$C$300"),
            INDIRECT(_xlpm._参照先&amp;_xlpm._戻り範囲)
          )
        )
      )
    ),
    ""
  )
)</f>
        <v>3.5131132263862073</v>
      </c>
      <c r="AO33" s="223" cm="1">
        <f t="array" aca="1" ref="AO33" ca="1">IF($C33="","",
  IFERROR(
    _xlfn.LET(
      _xlpm._対象月初,EOMONTH(AO$1,-1)+1,
      _xlpm._今月初,EOMONTH(基準データ!$C$5,-1)+1,
      IF(
        _xlpm._対象月初&gt;_xlpm._今月初,
        IF(
          OR(AN33="",AN33=0),
          "",
          AN33*AO$46
        ),
        _xlfn.LET(
          _xlpm._参照先,
            "'[在庫状況把握_43期_2025-2026.xlsx]月次報告"
            &amp;TEXT(AO$1,"YYMM")
            &amp;"'!",
          _xlpm._戻り範囲,
            IF(
              _xlpm._対象月初=_xlpm._今月初,
              "$AG$1:$AG$300",
              "$G$1:$G$300"
            ),
          _xlfn.XLOOKUP(
            $C33,
            INDIRECT(_xlpm._参照先&amp;"$C$1:$C$300"),
            INDIRECT(_xlpm._参照先&amp;_xlpm._戻り範囲)
          )
        )
      )
    ),
    ""
  )
)</f>
        <v>3.7968448379151969</v>
      </c>
      <c r="AP33" s="223" cm="1">
        <f t="array" aca="1" ref="AP33" ca="1">IF($C33="","",
  IFERROR(
    _xlfn.LET(
      _xlpm._対象月初,EOMONTH(AP$1,-1)+1,
      _xlpm._今月初,EOMONTH(基準データ!$C$5,-1)+1,
      IF(
        _xlpm._対象月初&gt;_xlpm._今月初,
        IF(
          OR(AO33="",AO33=0),
          "",
          AO33*AP$46
        ),
        _xlfn.LET(
          _xlpm._参照先,
            "'[在庫状況把握_43期_2025-2026.xlsx]月次報告"
            &amp;TEXT(AP$1,"YYMM")
            &amp;"'!",
          _xlpm._戻り範囲,
            IF(
              _xlpm._対象月初=_xlpm._今月初,
              "$AG$1:$AG$300",
              "$G$1:$G$300"
            ),
          _xlfn.XLOOKUP(
            $C33,
            INDIRECT(_xlpm._参照先&amp;"$C$1:$C$300"),
            INDIRECT(_xlpm._参照先&amp;_xlpm._戻り範囲)
          )
        )
      )
    ),
    ""
  )
)</f>
        <v>3.8342037401473856</v>
      </c>
      <c r="AQ33" s="223" cm="1">
        <f t="array" aca="1" ref="AQ33" ca="1">IF($C33="","",
  IFERROR(
    _xlfn.LET(
      _xlpm._対象月初,EOMONTH(AQ$1,-1)+1,
      _xlpm._今月初,EOMONTH(基準データ!$C$5,-1)+1,
      IF(
        _xlpm._対象月初&gt;_xlpm._今月初,
        IF(
          OR(AP33="",AP33=0),
          "",
          AP33*AQ$46
        ),
        _xlfn.LET(
          _xlpm._参照先,
            "'[在庫状況把握_43期_2025-2026.xlsx]月次報告"
            &amp;TEXT(AQ$1,"YYMM")
            &amp;"'!",
          _xlpm._戻り範囲,
            IF(
              _xlpm._対象月初=_xlpm._今月初,
              "$AG$1:$AG$300",
              "$G$1:$G$300"
            ),
          _xlfn.XLOOKUP(
            $C33,
            INDIRECT(_xlpm._参照先&amp;"$C$1:$C$300"),
            INDIRECT(_xlpm._参照先&amp;_xlpm._戻り範囲)
          )
        )
      )
    ),
    ""
  )
)</f>
        <v>3.8700653502450906</v>
      </c>
      <c r="AR33" s="223" cm="1">
        <f t="array" aca="1" ref="AR33" ca="1">IF($C33="","",
  IFERROR(
    _xlfn.LET(
      _xlpm._対象月初,EOMONTH(AR$1,-1)+1,
      _xlpm._今月初,EOMONTH(基準データ!$C$5,-1)+1,
      IF(
        _xlpm._対象月初&gt;_xlpm._今月初,
        IF(
          OR(AQ33="",AQ33=0),
          "",
          AQ33*AR$46
        ),
        _xlfn.LET(
          _xlpm._参照先,
            "'[在庫状況把握_43期_2025-2026.xlsx]月次報告"
            &amp;TEXT(AR$1,"YYMM")
            &amp;"'!",
          _xlpm._戻り範囲,
            IF(
              _xlpm._対象月初=_xlpm._今月初,
              "$AG$1:$AG$300",
              "$G$1:$G$300"
            ),
          _xlfn.XLOOKUP(
            $C33,
            INDIRECT(_xlpm._参照先&amp;"$C$1:$C$300"),
            INDIRECT(_xlpm._参照先&amp;_xlpm._戻り範囲)
          )
        )
      )
    ),
    ""
  )
)</f>
        <v>6.0826161790017208</v>
      </c>
      <c r="AS33" s="223" cm="1">
        <f t="array" aca="1" ref="AS33" ca="1">IF($C33="","",
  IFERROR(
    _xlfn.LET(
      _xlpm._対象月初,EOMONTH(AS$1,-1)+1,
      _xlpm._今月初,EOMONTH(基準データ!$C$5,-1)+1,
      IF(
        _xlpm._対象月初&gt;_xlpm._今月初,
        IF(
          OR(AR33="",AR33=0),
          "",
          AR33*AS$46
        ),
        _xlfn.LET(
          _xlpm._参照先,
            "'[在庫状況把握_43期_2025-2026.xlsx]月次報告"
            &amp;TEXT(AS$1,"YYMM")
            &amp;"'!",
          _xlpm._戻り範囲,
            IF(
              _xlpm._対象月初=_xlpm._今月初,
              "$AG$1:$AG$300",
              "$G$1:$G$300"
            ),
          _xlfn.XLOOKUP(
            $C33,
            INDIRECT(_xlpm._参照先&amp;"$C$1:$C$300"),
            INDIRECT(_xlpm._参照先&amp;_xlpm._戻り範囲)
          )
        )
      )
    ),
    ""
  )
)</f>
        <v>5.1446930789654299</v>
      </c>
      <c r="AT33" s="223" cm="1">
        <f t="array" aca="1" ref="AT33" ca="1">IF($C33="","",
  IFERROR(
    _xlfn.LET(
      _xlpm._対象月初,EOMONTH(AT$1,-1)+1,
      _xlpm._今月初,EOMONTH(基準データ!$C$5,-1)+1,
      IF(
        _xlpm._対象月初&gt;_xlpm._今月初,
        IF(
          OR(AS33="",AS33=0),
          "",
          AS33*AT$46
        ),
        _xlfn.LET(
          _xlpm._参照先,
            "'[在庫状況把握_43期_2025-2026.xlsx]月次報告"
            &amp;TEXT(AT$1,"YYMM")
            &amp;"'!",
          _xlpm._戻り範囲,
            IF(
              _xlpm._対象月初=_xlpm._今月初,
              "$AG$1:$AG$300",
              "$G$1:$G$300"
            ),
          _xlfn.XLOOKUP(
            $C33,
            INDIRECT(_xlpm._参照先&amp;"$C$1:$C$300"),
            INDIRECT(_xlpm._参照先&amp;_xlpm._戻り範囲)
          )
        )
      )
    ),
    ""
  )
)</f>
        <v>3.4014629948364878</v>
      </c>
      <c r="AU33" s="223" cm="1">
        <f t="array" aca="1" ref="AU33" ca="1">IF($C33="","",
  IFERROR(
    _xlfn.LET(
      _xlpm._対象月初,EOMONTH(AU$1,-1)+1,
      _xlpm._今月初,EOMONTH(基準データ!$C$5,-1)+1,
      IF(
        _xlpm._対象月初&gt;_xlpm._今月初,
        IF(
          OR(AT33="",AT33=0),
          "",
          AT33*AU$46
        ),
        _xlfn.LET(
          _xlpm._参照先,
            "'[在庫状況把握_43期_2025-2026.xlsx]月次報告"
            &amp;TEXT(AU$1,"YYMM")
            &amp;"'!",
          _xlpm._戻り範囲,
            IF(
              _xlpm._対象月初=_xlpm._今月初,
              "$AG$1:$AG$300",
              "$G$1:$G$300"
            ),
          _xlfn.XLOOKUP(
            $C33,
            INDIRECT(_xlpm._参照先&amp;"$C$1:$C$300"),
            INDIRECT(_xlpm._参照先&amp;_xlpm._戻り範囲)
          )
        )
      )
    ),
    ""
  )
)</f>
        <v>5.090189328743544</v>
      </c>
      <c r="AV33" s="223" cm="1">
        <f t="array" aca="1" ref="AV33" ca="1">IF($C33="","",
  IFERROR(
    _xlfn.LET(
      _xlpm._対象月初,EOMONTH(AV$1,-1)+1,
      _xlpm._今月初,EOMONTH(基準データ!$C$5,-1)+1,
      IF(
        _xlpm._対象月初&gt;_xlpm._今月初,
        IF(
          OR(AU33="",AU33=0),
          "",
          AU33*AV$46
        ),
        _xlfn.LET(
          _xlpm._参照先,
            "'[在庫状況把握_43期_2025-2026.xlsx]月次報告"
            &amp;TEXT(AV$1,"YYMM")
            &amp;"'!",
          _xlpm._戻り範囲,
            IF(
              _xlpm._対象月初=_xlpm._今月初,
              "$AG$1:$AG$300",
              "$G$1:$G$300"
            ),
          _xlfn.XLOOKUP(
            $C33,
            INDIRECT(_xlpm._参照先&amp;"$C$1:$C$300"),
            INDIRECT(_xlpm._参照先&amp;_xlpm._戻り範囲)
          )
        )
      )
    ),
    ""
  )
)</f>
        <v>3.8044095671199663</v>
      </c>
      <c r="AW33" s="223" cm="1">
        <f t="array" aca="1" ref="AW33" ca="1">IF($C33="","",
  IFERROR(
    _xlfn.LET(
      _xlpm._対象月初,EOMONTH(AW$1,-1)+1,
      _xlpm._今月初,EOMONTH(基準データ!$C$5,-1)+1,
      IF(
        _xlpm._対象月初&gt;_xlpm._今月初,
        IF(
          OR(AV33="",AV33=0),
          "",
          AV33*AW$46
        ),
        _xlfn.LET(
          _xlpm._参照先,
            "'[在庫状況把握_43期_2025-2026.xlsx]月次報告"
            &amp;TEXT(AW$1,"YYMM")
            &amp;"'!",
          _xlpm._戻り範囲,
            IF(
              _xlpm._対象月初=_xlpm._今月初,
              "$AG$1:$AG$300",
              "$G$1:$G$300"
            ),
          _xlfn.XLOOKUP(
            $C33,
            INDIRECT(_xlpm._参照先&amp;"$C$1:$C$300"),
            INDIRECT(_xlpm._参照先&amp;_xlpm._戻り範囲)
          )
        )
      )
    ),
    ""
  )
)</f>
        <v>3.2173838209982781</v>
      </c>
      <c r="AX33" s="223" cm="1">
        <f t="array" aca="1" ref="AX33" ca="1">IF($C33="","",
  IFERROR(
    _xlfn.LET(
      _xlpm._対象月初,EOMONTH(AX$1,-1)+1,
      _xlpm._今月初,EOMONTH(基準データ!$C$5,-1)+1,
      IF(
        _xlpm._対象月初&gt;_xlpm._今月初,
        IF(
          OR(AW33="",AW33=0),
          "",
          AW33*AX$46
        ),
        _xlfn.LET(
          _xlpm._参照先,
            "'[在庫状況把握_43期_2025-2026.xlsx]月次報告"
            &amp;TEXT(AX$1,"YYMM")
            &amp;"'!",
          _xlpm._戻り範囲,
            IF(
              _xlpm._対象月初=_xlpm._今月初,
              "$AG$1:$AG$300",
              "$G$1:$G$300"
            ),
          _xlfn.XLOOKUP(
            $C33,
            INDIRECT(_xlpm._参照先&amp;"$C$1:$C$300"),
            INDIRECT(_xlpm._参照先&amp;_xlpm._戻り範囲)
          )
        )
      )
    ),
    ""
  )
)</f>
        <v>3.3811572783140496</v>
      </c>
      <c r="AY33" s="223" cm="1">
        <f t="array" aca="1" ref="AY33" ca="1">IF($C33="","",
  IFERROR(
    _xlfn.LET(
      _xlpm._対象月初,EOMONTH(AY$1,-1)+1,
      _xlpm._今月初,EOMONTH(基準データ!$C$5,-1)+1,
      IF(
        _xlpm._対象月初&gt;_xlpm._今月初,
        IF(
          OR(AX33="",AX33=0),
          "",
          AX33*AY$46
        ),
        _xlfn.LET(
          _xlpm._参照先,
            "'[在庫状況把握_43期_2025-2026.xlsx]月次報告"
            &amp;TEXT(AY$1,"YYMM")
            &amp;"'!",
          _xlpm._戻り範囲,
            IF(
              _xlpm._対象月初=_xlpm._今月初,
              "$AG$1:$AG$300",
              "$G$1:$G$300"
            ),
          _xlfn.XLOOKUP(
            $C33,
            INDIRECT(_xlpm._参照先&amp;"$C$1:$C$300"),
            INDIRECT(_xlpm._参照先&amp;_xlpm._戻り範囲)
          )
        )
      )
    ),
    ""
  )
)</f>
        <v>3.3214285714285707</v>
      </c>
      <c r="AZ33" s="223" cm="1">
        <f t="array" aca="1" ref="AZ33" ca="1">IF($C33="","",
  IFERROR(
    _xlfn.LET(
      _xlpm._対象月初,EOMONTH(AZ$1,-1)+1,
      _xlpm._今月初,EOMONTH(基準データ!$C$5,-1)+1,
      IF(
        _xlpm._対象月初&gt;_xlpm._今月初,
        IF(
          OR(AY33="",AY33=0),
          "",
          AY33*AZ$46
        ),
        _xlfn.LET(
          _xlpm._参照先,
            "'[在庫状況把握_43期_2025-2026.xlsx]月次報告"
            &amp;TEXT(AZ$1,"YYMM")
            &amp;"'!",
          _xlpm._戻り範囲,
            IF(
              _xlpm._対象月初=_xlpm._今月初,
              "$AG$1:$AG$300",
              "$G$1:$G$300"
            ),
          _xlfn.XLOOKUP(
            $C33,
            INDIRECT(_xlpm._参照先&amp;"$C$1:$C$300"),
            INDIRECT(_xlpm._参照先&amp;_xlpm._戻り範囲)
          )
        )
      )
    ),
    ""
  )
)</f>
        <v>3.5131132263862064</v>
      </c>
      <c r="BA33" s="223" cm="1">
        <f t="array" aca="1" ref="BA33" ca="1">IF($C33="","",
  IFERROR(
    _xlfn.LET(
      _xlpm._対象月初,EOMONTH(BA$1,-1)+1,
      _xlpm._今月初,EOMONTH(基準データ!$C$5,-1)+1,
      IF(
        _xlpm._対象月初&gt;_xlpm._今月初,
        IF(
          OR(AZ33="",AZ33=0),
          "",
          AZ33*BA$46
        ),
        _xlfn.LET(
          _xlpm._参照先,
            "'[在庫状況把握_43期_2025-2026.xlsx]月次報告"
            &amp;TEXT(BA$1,"YYMM")
            &amp;"'!",
          _xlpm._戻り範囲,
            IF(
              _xlpm._対象月初=_xlpm._今月初,
              "$AG$1:$AG$300",
              "$G$1:$G$300"
            ),
          _xlfn.XLOOKUP(
            $C33,
            INDIRECT(_xlpm._参照先&amp;"$C$1:$C$300"),
            INDIRECT(_xlpm._参照先&amp;_xlpm._戻り範囲)
          )
        )
      )
    ),
    ""
  )
)</f>
        <v>3.796844837915196</v>
      </c>
      <c r="BB33" s="223" cm="1">
        <f t="array" aca="1" ref="BB33" ca="1">IF($C33="","",
  IFERROR(
    _xlfn.LET(
      _xlpm._対象月初,EOMONTH(BB$1,-1)+1,
      _xlpm._今月初,EOMONTH(基準データ!$C$5,-1)+1,
      IF(
        _xlpm._対象月初&gt;_xlpm._今月初,
        IF(
          OR(BA33="",BA33=0),
          "",
          BA33*BB$46
        ),
        _xlfn.LET(
          _xlpm._参照先,
            "'[在庫状況把握_43期_2025-2026.xlsx]月次報告"
            &amp;TEXT(BB$1,"YYMM")
            &amp;"'!",
          _xlpm._戻り範囲,
            IF(
              _xlpm._対象月初=_xlpm._今月初,
              "$AG$1:$AG$300",
              "$G$1:$G$300"
            ),
          _xlfn.XLOOKUP(
            $C33,
            INDIRECT(_xlpm._参照先&amp;"$C$1:$C$300"),
            INDIRECT(_xlpm._参照先&amp;_xlpm._戻り範囲)
          )
        )
      )
    ),
    ""
  )
)</f>
        <v>3.8342037401473847</v>
      </c>
      <c r="BC33" s="223" cm="1">
        <f t="array" aca="1" ref="BC33" ca="1">IF($C33="","",
  IFERROR(
    _xlfn.LET(
      _xlpm._対象月初,EOMONTH(BC$1,-1)+1,
      _xlpm._今月初,EOMONTH(基準データ!$C$5,-1)+1,
      IF(
        _xlpm._対象月初&gt;_xlpm._今月初,
        IF(
          OR(BB33="",BB33=0),
          "",
          BB33*BC$46
        ),
        _xlfn.LET(
          _xlpm._参照先,
            "'[在庫状況把握_43期_2025-2026.xlsx]月次報告"
            &amp;TEXT(BC$1,"YYMM")
            &amp;"'!",
          _xlpm._戻り範囲,
            IF(
              _xlpm._対象月初=_xlpm._今月初,
              "$AG$1:$AG$300",
              "$G$1:$G$300"
            ),
          _xlfn.XLOOKUP(
            $C33,
            INDIRECT(_xlpm._参照先&amp;"$C$1:$C$300"),
            INDIRECT(_xlpm._参照先&amp;_xlpm._戻り範囲)
          )
        )
      )
    ),
    ""
  )
)</f>
        <v>3.8700653502450897</v>
      </c>
      <c r="BD33" s="223" cm="1">
        <f t="array" aca="1" ref="BD33" ca="1">IF($C33="","",
  IFERROR(
    _xlfn.LET(
      _xlpm._対象月初,EOMONTH(BD$1,-1)+1,
      _xlpm._今月初,EOMONTH(基準データ!$C$5,-1)+1,
      IF(
        _xlpm._対象月初&gt;_xlpm._今月初,
        IF(
          OR(BC33="",BC33=0),
          "",
          BC33*BD$46
        ),
        _xlfn.LET(
          _xlpm._参照先,
            "'[在庫状況把握_43期_2025-2026.xlsx]月次報告"
            &amp;TEXT(BD$1,"YYMM")
            &amp;"'!",
          _xlpm._戻り範囲,
            IF(
              _xlpm._対象月初=_xlpm._今月初,
              "$AG$1:$AG$300",
              "$G$1:$G$300"
            ),
          _xlfn.XLOOKUP(
            $C33,
            INDIRECT(_xlpm._参照先&amp;"$C$1:$C$300"),
            INDIRECT(_xlpm._参照先&amp;_xlpm._戻り範囲)
          )
        )
      )
    ),
    ""
  )
)</f>
        <v>6.0826161790017199</v>
      </c>
    </row>
    <row r="34" spans="1:56">
      <c r="A34" s="1061" t="s">
        <v>1639</v>
      </c>
      <c r="B34" s="26" t="str">
        <v>CLE-V54-HX370-UMA-L6 Creator</v>
      </c>
      <c r="C34" s="57" t="s">
        <v>486</v>
      </c>
      <c r="D34" s="68"/>
      <c r="E34" s="68"/>
      <c r="F34" s="68"/>
      <c r="G34" s="355">
        <v>26</v>
      </c>
      <c r="H34" s="109" cm="1">
        <f t="array" aca="1" ref="H34" ca="1">_xlfn.LET(_xlpm._来月から4ヶ月計画合計,
  SUM(
    OFFSET($A34,0,
      MATCH(
        EDATE(基準データ!$C$5,3),$A$1:$BF$1,1
      )-3,1,4)),
_xlpm._今月計画数,
INDEX($A$1:$BE$223,
  ROW(),
  MATCH(EOMONTH(基準データ!$C$5,-1)+1,$A$1:$BE$1,0)
),
  IFERROR(IF($B34="","",_xlpm._来月から4ヶ月計画合計+_xlpm._今月計画数/2),""
)
)</f>
        <v>739.25573719142881</v>
      </c>
      <c r="I34" s="38"/>
      <c r="J34" s="38"/>
      <c r="K34" s="38"/>
      <c r="L34" s="38"/>
      <c r="M34" s="38"/>
      <c r="N34" s="38"/>
      <c r="O34" s="38"/>
      <c r="P34" s="38"/>
      <c r="Q34" s="219"/>
      <c r="R34" s="219"/>
      <c r="S34" s="219"/>
      <c r="T34" s="219"/>
      <c r="U34" s="224"/>
      <c r="V34" s="224"/>
      <c r="W34" s="219"/>
      <c r="X34" s="480"/>
      <c r="Y34" s="219"/>
      <c r="Z34" s="219" t="str">
        <f>IF(Y34*$Z$46=0,"",Y34*$Z$46)</f>
        <v/>
      </c>
      <c r="AA34" s="219"/>
      <c r="AB34" s="219"/>
      <c r="AC34" s="224"/>
      <c r="AD34" s="224" t="s">
        <v>21</v>
      </c>
      <c r="AE34" s="223">
        <v>97</v>
      </c>
      <c r="AF34" s="223">
        <v>192</v>
      </c>
      <c r="AG34" s="223">
        <v>125</v>
      </c>
      <c r="AH34" s="223">
        <v>29</v>
      </c>
      <c r="AI34" s="223">
        <v>97</v>
      </c>
      <c r="AJ34" s="223">
        <v>168</v>
      </c>
      <c r="AK34" s="223">
        <v>256</v>
      </c>
      <c r="AL34" s="223" cm="1">
        <f t="array" aca="1" ref="AL34" ca="1">IF($C34="","",
  IFERROR(
    _xlfn.LET(
      _xlpm._対象月初,EOMONTH(AL$1,-1)+1,
      _xlpm._今月初,EOMONTH(基準データ!$C$5,-1)+1,
      IF(
        _xlpm._対象月初&gt;_xlpm._今月初,
        IF(
          OR(AK34="",AK34=0),
          "",
          AK34*AL$46
        ),
        _xlfn.LET(
          _xlpm._参照先,
            "'[在庫状況把握_43期_2025-2026.xlsx]月次報告"
            &amp;TEXT(AL$1,"YYMM")
            &amp;"'!",
          _xlpm._戻り範囲,
            IF(
              _xlpm._対象月初=_xlpm._今月初,
              "$AG$1:$AG$300",
              "$G$1:$G$300"
            ),
          _xlfn.XLOOKUP(
            $C34,
            INDIRECT(_xlpm._参照先&amp;"$C$1:$C$300"),
            INDIRECT(_xlpm._参照先&amp;_xlpm._戻り範囲)
          )
        )
      )
    ),
    ""
  )
)</f>
        <v>136</v>
      </c>
      <c r="AM34" s="223" cm="1">
        <f t="array" aca="1" ref="AM34" ca="1">IF($C34="","",
  IFERROR(
    _xlfn.LET(
      _xlpm._対象月初,EOMONTH(AM$1,-1)+1,
      _xlpm._今月初,EOMONTH(基準データ!$C$5,-1)+1,
      IF(
        _xlpm._対象月初&gt;_xlpm._今月初,
        IF(
          OR(AL34="",AL34=0),
          "",
          AL34*AM$46
        ),
        _xlfn.LET(
          _xlpm._参照先,
            "'[在庫状況把握_43期_2025-2026.xlsx]月次報告"
            &amp;TEXT(AM$1,"YYMM")
            &amp;"'!",
          _xlpm._戻り範囲,
            IF(
              _xlpm._対象月初=_xlpm._今月初,
              "$AG$1:$AG$300",
              "$G$1:$G$300"
            ),
          _xlfn.XLOOKUP(
            $C34,
            INDIRECT(_xlpm._参照先&amp;"$C$1:$C$300"),
            INDIRECT(_xlpm._参照先&amp;_xlpm._戻り範囲)
          )
        )
      )
    ),
    ""
  )
)</f>
        <v>147.25</v>
      </c>
      <c r="AN34" s="223" cm="1">
        <f t="array" aca="1" ref="AN34" ca="1">IF($C34="","",
  IFERROR(
    _xlfn.LET(
      _xlpm._対象月初,EOMONTH(AN$1,-1)+1,
      _xlpm._今月初,EOMONTH(基準データ!$C$5,-1)+1,
      IF(
        _xlpm._対象月初&gt;_xlpm._今月初,
        IF(
          OR(AM34="",AM34=0),
          "",
          AM34*AN$46
        ),
        _xlfn.LET(
          _xlpm._参照先,
            "'[在庫状況把握_43期_2025-2026.xlsx]月次報告"
            &amp;TEXT(AN$1,"YYMM")
            &amp;"'!",
          _xlpm._戻り範囲,
            IF(
              _xlpm._対象月初=_xlpm._今月初,
              "$AG$1:$AG$300",
              "$G$1:$G$300"
            ),
          _xlfn.XLOOKUP(
            $C34,
            INDIRECT(_xlpm._参照先&amp;"$C$1:$C$300"),
            INDIRECT(_xlpm._参照先&amp;_xlpm._戻り範囲)
          )
        )
      )
    ),
    ""
  )
)</f>
        <v>155.74801970312186</v>
      </c>
      <c r="AO34" s="223" cm="1">
        <f t="array" aca="1" ref="AO34" ca="1">IF($C34="","",
  IFERROR(
    _xlfn.LET(
      _xlpm._対象月初,EOMONTH(AO$1,-1)+1,
      _xlpm._今月初,EOMONTH(基準データ!$C$5,-1)+1,
      IF(
        _xlpm._対象月初&gt;_xlpm._今月初,
        IF(
          OR(AN34="",AN34=0),
          "",
          AN34*AO$46
        ),
        _xlfn.LET(
          _xlpm._参照先,
            "'[在庫状況把握_43期_2025-2026.xlsx]月次報告"
            &amp;TEXT(AO$1,"YYMM")
            &amp;"'!",
          _xlpm._戻り範囲,
            IF(
              _xlpm._対象月初=_xlpm._今月初,
              "$AG$1:$AG$300",
              "$G$1:$G$300"
            ),
          _xlfn.XLOOKUP(
            $C34,
            INDIRECT(_xlpm._参照先&amp;"$C$1:$C$300"),
            INDIRECT(_xlpm._参照先&amp;_xlpm._戻り範囲)
          )
        )
      )
    ),
    ""
  )
)</f>
        <v>168.32678781424039</v>
      </c>
      <c r="AP34" s="223" cm="1">
        <f t="array" aca="1" ref="AP34" ca="1">IF($C34="","",
  IFERROR(
    _xlfn.LET(
      _xlpm._対象月初,EOMONTH(AP$1,-1)+1,
      _xlpm._今月初,EOMONTH(基準データ!$C$5,-1)+1,
      IF(
        _xlpm._対象月初&gt;_xlpm._今月初,
        IF(
          OR(AO34="",AO34=0),
          "",
          AO34*AP$46
        ),
        _xlfn.LET(
          _xlpm._参照先,
            "'[在庫状況把握_43期_2025-2026.xlsx]月次報告"
            &amp;TEXT(AP$1,"YYMM")
            &amp;"'!",
          _xlpm._戻り範囲,
            IF(
              _xlpm._対象月初=_xlpm._今月初,
              "$AG$1:$AG$300",
              "$G$1:$G$300"
            ),
          _xlfn.XLOOKUP(
            $C34,
            INDIRECT(_xlpm._参照先&amp;"$C$1:$C$300"),
            INDIRECT(_xlpm._参照先&amp;_xlpm._戻り範囲)
          )
        )
      )
    ),
    ""
  )
)</f>
        <v>169.98303247986743</v>
      </c>
      <c r="AQ34" s="223" cm="1">
        <f t="array" aca="1" ref="AQ34" ca="1">IF($C34="","",
  IFERROR(
    _xlfn.LET(
      _xlpm._対象月初,EOMONTH(AQ$1,-1)+1,
      _xlpm._今月初,EOMONTH(基準データ!$C$5,-1)+1,
      IF(
        _xlpm._対象月初&gt;_xlpm._今月初,
        IF(
          OR(AP34="",AP34=0),
          "",
          AP34*AQ$46
        ),
        _xlfn.LET(
          _xlpm._参照先,
            "'[在庫状況把握_43期_2025-2026.xlsx]月次報告"
            &amp;TEXT(AQ$1,"YYMM")
            &amp;"'!",
          _xlpm._戻り範囲,
            IF(
              _xlpm._対象月初=_xlpm._今月初,
              "$AG$1:$AG$300",
              "$G$1:$G$300"
            ),
          _xlfn.XLOOKUP(
            $C34,
            INDIRECT(_xlpm._参照先&amp;"$C$1:$C$300"),
            INDIRECT(_xlpm._参照先&amp;_xlpm._戻り範囲)
          )
        )
      )
    ),
    ""
  )
)</f>
        <v>171.57289719419902</v>
      </c>
      <c r="AR34" s="223" cm="1">
        <f t="array" aca="1" ref="AR34" ca="1">IF($C34="","",
  IFERROR(
    _xlfn.LET(
      _xlpm._対象月初,EOMONTH(AR$1,-1)+1,
      _xlpm._今月初,EOMONTH(基準データ!$C$5,-1)+1,
      IF(
        _xlpm._対象月初&gt;_xlpm._今月初,
        IF(
          OR(AQ34="",AQ34=0),
          "",
          AQ34*AR$46
        ),
        _xlfn.LET(
          _xlpm._参照先,
            "'[在庫状況把握_43期_2025-2026.xlsx]月次報告"
            &amp;TEXT(AR$1,"YYMM")
            &amp;"'!",
          _xlpm._戻り範囲,
            IF(
              _xlpm._対象月初=_xlpm._今月初,
              "$AG$1:$AG$300",
              "$G$1:$G$300"
            ),
          _xlfn.XLOOKUP(
            $C34,
            INDIRECT(_xlpm._参照先&amp;"$C$1:$C$300"),
            INDIRECT(_xlpm._参照先&amp;_xlpm._戻り範囲)
          )
        )
      )
    ),
    ""
  )
)</f>
        <v>269.66265060240966</v>
      </c>
      <c r="AS34" s="223" cm="1">
        <f t="array" aca="1" ref="AS34" ca="1">IF($C34="","",
  IFERROR(
    _xlfn.LET(
      _xlpm._対象月初,EOMONTH(AS$1,-1)+1,
      _xlpm._今月初,EOMONTH(基準データ!$C$5,-1)+1,
      IF(
        _xlpm._対象月初&gt;_xlpm._今月初,
        IF(
          OR(AR34="",AR34=0),
          "",
          AR34*AS$46
        ),
        _xlfn.LET(
          _xlpm._参照先,
            "'[在庫状況把握_43期_2025-2026.xlsx]月次報告"
            &amp;TEXT(AS$1,"YYMM")
            &amp;"'!",
          _xlpm._戻り範囲,
            IF(
              _xlpm._対象月初=_xlpm._今月初,
              "$AG$1:$AG$300",
              "$G$1:$G$300"
            ),
          _xlfn.XLOOKUP(
            $C34,
            INDIRECT(_xlpm._参照先&amp;"$C$1:$C$300"),
            INDIRECT(_xlpm._参照先&amp;_xlpm._戻り範囲)
          )
        )
      )
    ),
    ""
  )
)</f>
        <v>228.08139316746744</v>
      </c>
      <c r="AT34" s="223" cm="1">
        <f t="array" aca="1" ref="AT34" ca="1">IF($C34="","",
  IFERROR(
    _xlfn.LET(
      _xlpm._対象月初,EOMONTH(AT$1,-1)+1,
      _xlpm._今月初,EOMONTH(基準データ!$C$5,-1)+1,
      IF(
        _xlpm._対象月初&gt;_xlpm._今月初,
        IF(
          OR(AS34="",AS34=0),
          "",
          AS34*AT$46
        ),
        _xlfn.LET(
          _xlpm._参照先,
            "'[在庫状況把握_43期_2025-2026.xlsx]月次報告"
            &amp;TEXT(AT$1,"YYMM")
            &amp;"'!",
          _xlpm._戻り範囲,
            IF(
              _xlpm._対象月初=_xlpm._今月初,
              "$AG$1:$AG$300",
              "$G$1:$G$300"
            ),
          _xlfn.XLOOKUP(
            $C34,
            INDIRECT(_xlpm._参照先&amp;"$C$1:$C$300"),
            INDIRECT(_xlpm._参照先&amp;_xlpm._戻り範囲)
          )
        )
      )
    ),
    ""
  )
)</f>
        <v>150.79819277108433</v>
      </c>
      <c r="AU34" s="223" cm="1">
        <f t="array" aca="1" ref="AU34" ca="1">IF($C34="","",
  IFERROR(
    _xlfn.LET(
      _xlpm._対象月初,EOMONTH(AU$1,-1)+1,
      _xlpm._今月初,EOMONTH(基準データ!$C$5,-1)+1,
      IF(
        _xlpm._対象月初&gt;_xlpm._今月初,
        IF(
          OR(AT34="",AT34=0),
          "",
          AT34*AU$46
        ),
        _xlfn.LET(
          _xlpm._参照先,
            "'[在庫状況把握_43期_2025-2026.xlsx]月次報告"
            &amp;TEXT(AU$1,"YYMM")
            &amp;"'!",
          _xlpm._戻り範囲,
            IF(
              _xlpm._対象月初=_xlpm._今月初,
              "$AG$1:$AG$300",
              "$G$1:$G$300"
            ),
          _xlfn.XLOOKUP(
            $C34,
            INDIRECT(_xlpm._参照先&amp;"$C$1:$C$300"),
            INDIRECT(_xlpm._参照先&amp;_xlpm._戻り範囲)
          )
        )
      )
    ),
    ""
  )
)</f>
        <v>225.66506024096384</v>
      </c>
      <c r="AV34" s="223" cm="1">
        <f t="array" aca="1" ref="AV34" ca="1">IF($C34="","",
  IFERROR(
    _xlfn.LET(
      _xlpm._対象月初,EOMONTH(AV$1,-1)+1,
      _xlpm._今月初,EOMONTH(基準データ!$C$5,-1)+1,
      IF(
        _xlpm._対象月初&gt;_xlpm._今月初,
        IF(
          OR(AU34="",AU34=0),
          "",
          AU34*AV$46
        ),
        _xlfn.LET(
          _xlpm._参照先,
            "'[在庫状況把握_43期_2025-2026.xlsx]月次報告"
            &amp;TEXT(AV$1,"YYMM")
            &amp;"'!",
          _xlpm._戻り範囲,
            IF(
              _xlpm._対象月初=_xlpm._今月初,
              "$AG$1:$AG$300",
              "$G$1:$G$300"
            ),
          _xlfn.XLOOKUP(
            $C34,
            INDIRECT(_xlpm._参照先&amp;"$C$1:$C$300"),
            INDIRECT(_xlpm._参照先&amp;_xlpm._戻り範囲)
          )
        )
      )
    ),
    ""
  )
)</f>
        <v>168.66215747565187</v>
      </c>
      <c r="AW34" s="223" cm="1">
        <f t="array" aca="1" ref="AW34" ca="1">IF($C34="","",
  IFERROR(
    _xlfn.LET(
      _xlpm._対象月初,EOMONTH(AW$1,-1)+1,
      _xlpm._今月初,EOMONTH(基準データ!$C$5,-1)+1,
      IF(
        _xlpm._対象月初&gt;_xlpm._今月初,
        IF(
          OR(AV34="",AV34=0),
          "",
          AV34*AW$46
        ),
        _xlfn.LET(
          _xlpm._参照先,
            "'[在庫状況把握_43期_2025-2026.xlsx]月次報告"
            &amp;TEXT(AW$1,"YYMM")
            &amp;"'!",
          _xlpm._戻り範囲,
            IF(
              _xlpm._対象月初=_xlpm._今月初,
              "$AG$1:$AG$300",
              "$G$1:$G$300"
            ),
          _xlfn.XLOOKUP(
            $C34,
            INDIRECT(_xlpm._参照先&amp;"$C$1:$C$300"),
            INDIRECT(_xlpm._参照先&amp;_xlpm._戻り範囲)
          )
        )
      )
    ),
    ""
  )
)</f>
        <v>142.63734939759036</v>
      </c>
      <c r="AX34" s="223" cm="1">
        <f t="array" aca="1" ref="AX34" ca="1">IF($C34="","",
  IFERROR(
    _xlfn.LET(
      _xlpm._対象月初,EOMONTH(AX$1,-1)+1,
      _xlpm._今月初,EOMONTH(基準データ!$C$5,-1)+1,
      IF(
        _xlpm._対象月初&gt;_xlpm._今月初,
        IF(
          OR(AW34="",AW34=0),
          "",
          AW34*AX$46
        ),
        _xlfn.LET(
          _xlpm._参照先,
            "'[在庫状況把握_43期_2025-2026.xlsx]月次報告"
            &amp;TEXT(AX$1,"YYMM")
            &amp;"'!",
          _xlpm._戻り範囲,
            IF(
              _xlpm._対象月初=_xlpm._今月初,
              "$AG$1:$AG$300",
              "$G$1:$G$300"
            ),
          _xlfn.XLOOKUP(
            $C34,
            INDIRECT(_xlpm._参照先&amp;"$C$1:$C$300"),
            INDIRECT(_xlpm._参照先&amp;_xlpm._戻り範囲)
          )
        )
      )
    ),
    ""
  )
)</f>
        <v>149.8979726719229</v>
      </c>
      <c r="AY34" s="223" cm="1">
        <f t="array" aca="1" ref="AY34" ca="1">IF($C34="","",
  IFERROR(
    _xlfn.LET(
      _xlpm._対象月初,EOMONTH(AY$1,-1)+1,
      _xlpm._今月初,EOMONTH(基準データ!$C$5,-1)+1,
      IF(
        _xlpm._対象月初&gt;_xlpm._今月初,
        IF(
          OR(AX34="",AX34=0),
          "",
          AX34*AY$46
        ),
        _xlfn.LET(
          _xlpm._参照先,
            "'[在庫状況把握_43期_2025-2026.xlsx]月次報告"
            &amp;TEXT(AY$1,"YYMM")
            &amp;"'!",
          _xlpm._戻り範囲,
            IF(
              _xlpm._対象月初=_xlpm._今月初,
              "$AG$1:$AG$300",
              "$G$1:$G$300"
            ),
          _xlfn.XLOOKUP(
            $C34,
            INDIRECT(_xlpm._参照先&amp;"$C$1:$C$300"),
            INDIRECT(_xlpm._参照先&amp;_xlpm._戻り範囲)
          )
        )
      )
    ),
    ""
  )
)</f>
        <v>147.25</v>
      </c>
      <c r="AZ34" s="223" cm="1">
        <f t="array" aca="1" ref="AZ34" ca="1">IF($C34="","",
  IFERROR(
    _xlfn.LET(
      _xlpm._対象月初,EOMONTH(AZ$1,-1)+1,
      _xlpm._今月初,EOMONTH(基準データ!$C$5,-1)+1,
      IF(
        _xlpm._対象月初&gt;_xlpm._今月初,
        IF(
          OR(AY34="",AY34=0),
          "",
          AY34*AZ$46
        ),
        _xlfn.LET(
          _xlpm._参照先,
            "'[在庫状況把握_43期_2025-2026.xlsx]月次報告"
            &amp;TEXT(AZ$1,"YYMM")
            &amp;"'!",
          _xlpm._戻り範囲,
            IF(
              _xlpm._対象月初=_xlpm._今月初,
              "$AG$1:$AG$300",
              "$G$1:$G$300"
            ),
          _xlfn.XLOOKUP(
            $C34,
            INDIRECT(_xlpm._参照先&amp;"$C$1:$C$300"),
            INDIRECT(_xlpm._参照先&amp;_xlpm._戻り範囲)
          )
        )
      )
    ),
    ""
  )
)</f>
        <v>155.74801970312186</v>
      </c>
      <c r="BA34" s="223" cm="1">
        <f t="array" aca="1" ref="BA34" ca="1">IF($C34="","",
  IFERROR(
    _xlfn.LET(
      _xlpm._対象月初,EOMONTH(BA$1,-1)+1,
      _xlpm._今月初,EOMONTH(基準データ!$C$5,-1)+1,
      IF(
        _xlpm._対象月初&gt;_xlpm._今月初,
        IF(
          OR(AZ34="",AZ34=0),
          "",
          AZ34*BA$46
        ),
        _xlfn.LET(
          _xlpm._参照先,
            "'[在庫状況把握_43期_2025-2026.xlsx]月次報告"
            &amp;TEXT(BA$1,"YYMM")
            &amp;"'!",
          _xlpm._戻り範囲,
            IF(
              _xlpm._対象月初=_xlpm._今月初,
              "$AG$1:$AG$300",
              "$G$1:$G$300"
            ),
          _xlfn.XLOOKUP(
            $C34,
            INDIRECT(_xlpm._参照先&amp;"$C$1:$C$300"),
            INDIRECT(_xlpm._参照先&amp;_xlpm._戻り範囲)
          )
        )
      )
    ),
    ""
  )
)</f>
        <v>168.32678781424039</v>
      </c>
      <c r="BB34" s="223" cm="1">
        <f t="array" aca="1" ref="BB34" ca="1">IF($C34="","",
  IFERROR(
    _xlfn.LET(
      _xlpm._対象月初,EOMONTH(BB$1,-1)+1,
      _xlpm._今月初,EOMONTH(基準データ!$C$5,-1)+1,
      IF(
        _xlpm._対象月初&gt;_xlpm._今月初,
        IF(
          OR(BA34="",BA34=0),
          "",
          BA34*BB$46
        ),
        _xlfn.LET(
          _xlpm._参照先,
            "'[在庫状況把握_43期_2025-2026.xlsx]月次報告"
            &amp;TEXT(BB$1,"YYMM")
            &amp;"'!",
          _xlpm._戻り範囲,
            IF(
              _xlpm._対象月初=_xlpm._今月初,
              "$AG$1:$AG$300",
              "$G$1:$G$300"
            ),
          _xlfn.XLOOKUP(
            $C34,
            INDIRECT(_xlpm._参照先&amp;"$C$1:$C$300"),
            INDIRECT(_xlpm._参照先&amp;_xlpm._戻り範囲)
          )
        )
      )
    ),
    ""
  )
)</f>
        <v>169.98303247986743</v>
      </c>
      <c r="BC34" s="223" cm="1">
        <f t="array" aca="1" ref="BC34" ca="1">IF($C34="","",
  IFERROR(
    _xlfn.LET(
      _xlpm._対象月初,EOMONTH(BC$1,-1)+1,
      _xlpm._今月初,EOMONTH(基準データ!$C$5,-1)+1,
      IF(
        _xlpm._対象月初&gt;_xlpm._今月初,
        IF(
          OR(BB34="",BB34=0),
          "",
          BB34*BC$46
        ),
        _xlfn.LET(
          _xlpm._参照先,
            "'[在庫状況把握_43期_2025-2026.xlsx]月次報告"
            &amp;TEXT(BC$1,"YYMM")
            &amp;"'!",
          _xlpm._戻り範囲,
            IF(
              _xlpm._対象月初=_xlpm._今月初,
              "$AG$1:$AG$300",
              "$G$1:$G$300"
            ),
          _xlfn.XLOOKUP(
            $C34,
            INDIRECT(_xlpm._参照先&amp;"$C$1:$C$300"),
            INDIRECT(_xlpm._参照先&amp;_xlpm._戻り範囲)
          )
        )
      )
    ),
    ""
  )
)</f>
        <v>171.57289719419902</v>
      </c>
      <c r="BD34" s="223" cm="1">
        <f t="array" aca="1" ref="BD34" ca="1">IF($C34="","",
  IFERROR(
    _xlfn.LET(
      _xlpm._対象月初,EOMONTH(BD$1,-1)+1,
      _xlpm._今月初,EOMONTH(基準データ!$C$5,-1)+1,
      IF(
        _xlpm._対象月初&gt;_xlpm._今月初,
        IF(
          OR(BC34="",BC34=0),
          "",
          BC34*BD$46
        ),
        _xlfn.LET(
          _xlpm._参照先,
            "'[在庫状況把握_43期_2025-2026.xlsx]月次報告"
            &amp;TEXT(BD$1,"YYMM")
            &amp;"'!",
          _xlpm._戻り範囲,
            IF(
              _xlpm._対象月初=_xlpm._今月初,
              "$AG$1:$AG$300",
              "$G$1:$G$300"
            ),
          _xlfn.XLOOKUP(
            $C34,
            INDIRECT(_xlpm._参照先&amp;"$C$1:$C$300"),
            INDIRECT(_xlpm._参照先&amp;_xlpm._戻り範囲)
          )
        )
      )
    ),
    ""
  )
)</f>
        <v>269.66265060240966</v>
      </c>
    </row>
    <row r="35" spans="1:56">
      <c r="A35" s="1061" t="s">
        <v>1641</v>
      </c>
      <c r="B35" s="26" t="str">
        <v>CLE-V54-AI9-470-UMA-L6 Creator</v>
      </c>
      <c r="C35" s="57" t="s">
        <v>435</v>
      </c>
      <c r="D35" s="68"/>
      <c r="E35" s="68"/>
      <c r="F35" s="68"/>
      <c r="G35" s="355">
        <v>420</v>
      </c>
      <c r="H35" s="109" cm="1">
        <f t="array" aca="1" ref="H35" ca="1">_xlfn.LET(_xlpm._来月から4ヶ月計画合計,
  SUM(
    OFFSET($A35,0,
      MATCH(
        EDATE(基準データ!$C$5,3),$A$1:$BF$1,1
      )-3,1,4)),
_xlpm._今月計画数,
INDEX($A$1:$BE$223,
  ROW(),
  MATCH(EOMONTH(基準データ!$C$5,-1)+1,$A$1:$BE$1,0)
),
  IFERROR(IF($B35="","",_xlpm._来月から4ヶ月計画合計+_xlpm._今月計画数/2),""
)
)</f>
        <v>11.116627626938776</v>
      </c>
      <c r="I35" s="38"/>
      <c r="J35" s="38"/>
      <c r="K35" s="38"/>
      <c r="L35" s="38"/>
      <c r="M35" s="38"/>
      <c r="N35" s="38"/>
      <c r="O35" s="38"/>
      <c r="P35" s="38"/>
      <c r="Q35" s="219"/>
      <c r="R35" s="219"/>
      <c r="S35" s="219"/>
      <c r="T35" s="219"/>
      <c r="U35" s="224"/>
      <c r="V35" s="224"/>
      <c r="W35" s="219"/>
      <c r="X35" s="480"/>
      <c r="Y35" s="219"/>
      <c r="Z35" s="219"/>
      <c r="AA35" s="219"/>
      <c r="AB35" s="219"/>
      <c r="AC35" s="224"/>
      <c r="AD35" s="224" t="s">
        <v>21</v>
      </c>
      <c r="AE35" s="223">
        <v>0</v>
      </c>
      <c r="AF35" s="223">
        <v>0</v>
      </c>
      <c r="AG35" s="223">
        <v>0</v>
      </c>
      <c r="AH35" s="223">
        <v>0</v>
      </c>
      <c r="AI35" s="223">
        <v>1</v>
      </c>
      <c r="AJ35" s="223">
        <v>0</v>
      </c>
      <c r="AK35" s="223">
        <v>4</v>
      </c>
      <c r="AL35" s="223" cm="1">
        <f t="array" aca="1" ref="AL35" ca="1">IF($C35="","",
  IFERROR(
    _xlfn.LET(
      _xlpm._対象月初,EOMONTH(AL$1,-1)+1,
      _xlpm._今月初,EOMONTH(基準データ!$C$5,-1)+1,
      IF(
        _xlpm._対象月初&gt;_xlpm._今月初,
        IF(
          OR(AK35="",AK35=0),
          "",
          AK35*AL$46
        ),
        _xlfn.LET(
          _xlpm._参照先,
            "'[在庫状況把握_43期_2025-2026.xlsx]月次報告"
            &amp;TEXT(AL$1,"YYMM")
            &amp;"'!",
          _xlpm._戻り範囲,
            IF(
              _xlpm._対象月初=_xlpm._今月初,
              "$AG$1:$AG$300",
              "$G$1:$G$300"
            ),
          _xlfn.XLOOKUP(
            $C35,
            INDIRECT(_xlpm._参照先&amp;"$C$1:$C$300"),
            INDIRECT(_xlpm._参照先&amp;_xlpm._戻り範囲)
          )
        )
      )
    ),
    ""
  )
)</f>
        <v>2</v>
      </c>
      <c r="AM35" s="223" cm="1">
        <f t="array" aca="1" ref="AM35" ca="1">IF($C35="","",
  IFERROR(
    _xlfn.LET(
      _xlpm._対象月初,EOMONTH(AM$1,-1)+1,
      _xlpm._今月初,EOMONTH(基準データ!$C$5,-1)+1,
      IF(
        _xlpm._対象月初&gt;_xlpm._今月初,
        IF(
          OR(AL35="",AL35=0),
          "",
          AL35*AM$46
        ),
        _xlfn.LET(
          _xlpm._参照先,
            "'[在庫状況把握_43期_2025-2026.xlsx]月次報告"
            &amp;TEXT(AM$1,"YYMM")
            &amp;"'!",
          _xlpm._戻り範囲,
            IF(
              _xlpm._対象月初=_xlpm._今月初,
              "$AG$1:$AG$300",
              "$G$1:$G$300"
            ),
          _xlfn.XLOOKUP(
            $C35,
            INDIRECT(_xlpm._参照先&amp;"$C$1:$C$300"),
            INDIRECT(_xlpm._参照先&amp;_xlpm._戻り範囲)
          )
        )
      )
    ),
    ""
  )
)</f>
        <v>2.214285714285714</v>
      </c>
      <c r="AN35" s="223" cm="1">
        <f t="array" aca="1" ref="AN35" ca="1">IF($C35="","",
  IFERROR(
    _xlfn.LET(
      _xlpm._対象月初,EOMONTH(AN$1,-1)+1,
      _xlpm._今月初,EOMONTH(基準データ!$C$5,-1)+1,
      IF(
        _xlpm._対象月初&gt;_xlpm._今月初,
        IF(
          OR(AM35="",AM35=0),
          "",
          AM35*AN$46
        ),
        _xlfn.LET(
          _xlpm._参照先,
            "'[在庫状況把握_43期_2025-2026.xlsx]月次報告"
            &amp;TEXT(AN$1,"YYMM")
            &amp;"'!",
          _xlpm._戻り範囲,
            IF(
              _xlpm._対象月初=_xlpm._今月初,
              "$AG$1:$AG$300",
              "$G$1:$G$300"
            ),
          _xlfn.XLOOKUP(
            $C35,
            INDIRECT(_xlpm._参照先&amp;"$C$1:$C$300"),
            INDIRECT(_xlpm._参照先&amp;_xlpm._戻り範囲)
          )
        )
      )
    ),
    ""
  )
)</f>
        <v>2.3420754842574714</v>
      </c>
      <c r="AO35" s="223" cm="1">
        <f t="array" aca="1" ref="AO35" ca="1">IF($C35="","",
  IFERROR(
    _xlfn.LET(
      _xlpm._対象月初,EOMONTH(AO$1,-1)+1,
      _xlpm._今月初,EOMONTH(基準データ!$C$5,-1)+1,
      IF(
        _xlpm._対象月初&gt;_xlpm._今月初,
        IF(
          OR(AN35="",AN35=0),
          "",
          AN35*AO$46
        ),
        _xlfn.LET(
          _xlpm._参照先,
            "'[在庫状況把握_43期_2025-2026.xlsx]月次報告"
            &amp;TEXT(AO$1,"YYMM")
            &amp;"'!",
          _xlpm._戻り範囲,
            IF(
              _xlpm._対象月初=_xlpm._今月初,
              "$AG$1:$AG$300",
              "$G$1:$G$300"
            ),
          _xlfn.XLOOKUP(
            $C35,
            INDIRECT(_xlpm._参照先&amp;"$C$1:$C$300"),
            INDIRECT(_xlpm._参照先&amp;_xlpm._戻り範囲)
          )
        )
      )
    ),
    ""
  )
)</f>
        <v>2.5312298919434641</v>
      </c>
      <c r="AP35" s="223" cm="1">
        <f t="array" aca="1" ref="AP35" ca="1">IF($C35="","",
  IFERROR(
    _xlfn.LET(
      _xlpm._対象月初,EOMONTH(AP$1,-1)+1,
      _xlpm._今月初,EOMONTH(基準データ!$C$5,-1)+1,
      IF(
        _xlpm._対象月初&gt;_xlpm._今月初,
        IF(
          OR(AO35="",AO35=0),
          "",
          AO35*AP$46
        ),
        _xlfn.LET(
          _xlpm._参照先,
            "'[在庫状況把握_43期_2025-2026.xlsx]月次報告"
            &amp;TEXT(AP$1,"YYMM")
            &amp;"'!",
          _xlpm._戻り範囲,
            IF(
              _xlpm._対象月初=_xlpm._今月初,
              "$AG$1:$AG$300",
              "$G$1:$G$300"
            ),
          _xlfn.XLOOKUP(
            $C35,
            INDIRECT(_xlpm._参照先&amp;"$C$1:$C$300"),
            INDIRECT(_xlpm._参照先&amp;_xlpm._戻り範囲)
          )
        )
      )
    ),
    ""
  )
)</f>
        <v>2.5561358267649235</v>
      </c>
      <c r="AQ35" s="223" cm="1">
        <f t="array" aca="1" ref="AQ35" ca="1">IF($C35="","",
  IFERROR(
    _xlfn.LET(
      _xlpm._対象月初,EOMONTH(AQ$1,-1)+1,
      _xlpm._今月初,EOMONTH(基準データ!$C$5,-1)+1,
      IF(
        _xlpm._対象月初&gt;_xlpm._今月初,
        IF(
          OR(AP35="",AP35=0),
          "",
          AP35*AQ$46
        ),
        _xlfn.LET(
          _xlpm._参照先,
            "'[在庫状況把握_43期_2025-2026.xlsx]月次報告"
            &amp;TEXT(AQ$1,"YYMM")
            &amp;"'!",
          _xlpm._戻り範囲,
            IF(
              _xlpm._対象月初=_xlpm._今月初,
              "$AG$1:$AG$300",
              "$G$1:$G$300"
            ),
          _xlfn.XLOOKUP(
            $C35,
            INDIRECT(_xlpm._参照先&amp;"$C$1:$C$300"),
            INDIRECT(_xlpm._参照先&amp;_xlpm._戻り範囲)
          )
        )
      )
    ),
    ""
  )
)</f>
        <v>2.5800435668300601</v>
      </c>
      <c r="AR35" s="223" cm="1">
        <f t="array" aca="1" ref="AR35" ca="1">IF($C35="","",
  IFERROR(
    _xlfn.LET(
      _xlpm._対象月初,EOMONTH(AR$1,-1)+1,
      _xlpm._今月初,EOMONTH(基準データ!$C$5,-1)+1,
      IF(
        _xlpm._対象月初&gt;_xlpm._今月初,
        IF(
          OR(AQ35="",AQ35=0),
          "",
          AQ35*AR$46
        ),
        _xlfn.LET(
          _xlpm._参照先,
            "'[在庫状況把握_43期_2025-2026.xlsx]月次報告"
            &amp;TEXT(AR$1,"YYMM")
            &amp;"'!",
          _xlpm._戻り範囲,
            IF(
              _xlpm._対象月初=_xlpm._今月初,
              "$AG$1:$AG$300",
              "$G$1:$G$300"
            ),
          _xlfn.XLOOKUP(
            $C35,
            INDIRECT(_xlpm._参照先&amp;"$C$1:$C$300"),
            INDIRECT(_xlpm._参照先&amp;_xlpm._戻り範囲)
          )
        )
      )
    ),
    ""
  )
)</f>
        <v>4.0550774526678133</v>
      </c>
      <c r="AS35" s="223" cm="1">
        <f t="array" aca="1" ref="AS35" ca="1">IF($C35="","",
  IFERROR(
    _xlfn.LET(
      _xlpm._対象月初,EOMONTH(AS$1,-1)+1,
      _xlpm._今月初,EOMONTH(基準データ!$C$5,-1)+1,
      IF(
        _xlpm._対象月初&gt;_xlpm._今月初,
        IF(
          OR(AR35="",AR35=0),
          "",
          AR35*AS$46
        ),
        _xlfn.LET(
          _xlpm._参照先,
            "'[在庫状況把握_43期_2025-2026.xlsx]月次報告"
            &amp;TEXT(AS$1,"YYMM")
            &amp;"'!",
          _xlpm._戻り範囲,
            IF(
              _xlpm._対象月初=_xlpm._今月初,
              "$AG$1:$AG$300",
              "$G$1:$G$300"
            ),
          _xlfn.XLOOKUP(
            $C35,
            INDIRECT(_xlpm._参照先&amp;"$C$1:$C$300"),
            INDIRECT(_xlpm._参照先&amp;_xlpm._戻り範囲)
          )
        )
      )
    ),
    ""
  )
)</f>
        <v>3.429795385976953</v>
      </c>
      <c r="AT35" s="223" cm="1">
        <f t="array" aca="1" ref="AT35" ca="1">IF($C35="","",
  IFERROR(
    _xlfn.LET(
      _xlpm._対象月初,EOMONTH(AT$1,-1)+1,
      _xlpm._今月初,EOMONTH(基準データ!$C$5,-1)+1,
      IF(
        _xlpm._対象月初&gt;_xlpm._今月初,
        IF(
          OR(AS35="",AS35=0),
          "",
          AS35*AT$46
        ),
        _xlfn.LET(
          _xlpm._参照先,
            "'[在庫状況把握_43期_2025-2026.xlsx]月次報告"
            &amp;TEXT(AT$1,"YYMM")
            &amp;"'!",
          _xlpm._戻り範囲,
            IF(
              _xlpm._対象月初=_xlpm._今月初,
              "$AG$1:$AG$300",
              "$G$1:$G$300"
            ),
          _xlfn.XLOOKUP(
            $C35,
            INDIRECT(_xlpm._参照先&amp;"$C$1:$C$300"),
            INDIRECT(_xlpm._参照先&amp;_xlpm._戻り範囲)
          )
        )
      )
    ),
    ""
  )
)</f>
        <v>2.2676419965576584</v>
      </c>
      <c r="AU35" s="223" cm="1">
        <f t="array" aca="1" ref="AU35" ca="1">IF($C35="","",
  IFERROR(
    _xlfn.LET(
      _xlpm._対象月初,EOMONTH(AU$1,-1)+1,
      _xlpm._今月初,EOMONTH(基準データ!$C$5,-1)+1,
      IF(
        _xlpm._対象月初&gt;_xlpm._今月初,
        IF(
          OR(AT35="",AT35=0),
          "",
          AT35*AU$46
        ),
        _xlfn.LET(
          _xlpm._参照先,
            "'[在庫状況把握_43期_2025-2026.xlsx]月次報告"
            &amp;TEXT(AU$1,"YYMM")
            &amp;"'!",
          _xlpm._戻り範囲,
            IF(
              _xlpm._対象月初=_xlpm._今月初,
              "$AG$1:$AG$300",
              "$G$1:$G$300"
            ),
          _xlfn.XLOOKUP(
            $C35,
            INDIRECT(_xlpm._参照先&amp;"$C$1:$C$300"),
            INDIRECT(_xlpm._参照先&amp;_xlpm._戻り範囲)
          )
        )
      )
    ),
    ""
  )
)</f>
        <v>3.3934595524956954</v>
      </c>
      <c r="AV35" s="223" cm="1">
        <f t="array" aca="1" ref="AV35" ca="1">IF($C35="","",
  IFERROR(
    _xlfn.LET(
      _xlpm._対象月初,EOMONTH(AV$1,-1)+1,
      _xlpm._今月初,EOMONTH(基準データ!$C$5,-1)+1,
      IF(
        _xlpm._対象月初&gt;_xlpm._今月初,
        IF(
          OR(AU35="",AU35=0),
          "",
          AU35*AV$46
        ),
        _xlfn.LET(
          _xlpm._参照先,
            "'[在庫状況把握_43期_2025-2026.xlsx]月次報告"
            &amp;TEXT(AV$1,"YYMM")
            &amp;"'!",
          _xlpm._戻り範囲,
            IF(
              _xlpm._対象月初=_xlpm._今月初,
              "$AG$1:$AG$300",
              "$G$1:$G$300"
            ),
          _xlfn.XLOOKUP(
            $C35,
            INDIRECT(_xlpm._参照先&amp;"$C$1:$C$300"),
            INDIRECT(_xlpm._参照先&amp;_xlpm._戻り範囲)
          )
        )
      )
    ),
    ""
  )
)</f>
        <v>2.5362730447466437</v>
      </c>
      <c r="AW35" s="223" cm="1">
        <f t="array" aca="1" ref="AW35" ca="1">IF($C35="","",
  IFERROR(
    _xlfn.LET(
      _xlpm._対象月初,EOMONTH(AW$1,-1)+1,
      _xlpm._今月初,EOMONTH(基準データ!$C$5,-1)+1,
      IF(
        _xlpm._対象月初&gt;_xlpm._今月初,
        IF(
          OR(AV35="",AV35=0),
          "",
          AV35*AW$46
        ),
        _xlfn.LET(
          _xlpm._参照先,
            "'[在庫状況把握_43期_2025-2026.xlsx]月次報告"
            &amp;TEXT(AW$1,"YYMM")
            &amp;"'!",
          _xlpm._戻り範囲,
            IF(
              _xlpm._対象月初=_xlpm._今月初,
              "$AG$1:$AG$300",
              "$G$1:$G$300"
            ),
          _xlfn.XLOOKUP(
            $C35,
            INDIRECT(_xlpm._参照先&amp;"$C$1:$C$300"),
            INDIRECT(_xlpm._参照先&amp;_xlpm._戻り範囲)
          )
        )
      )
    ),
    ""
  )
)</f>
        <v>2.1449225473321851</v>
      </c>
      <c r="AX35" s="223" cm="1">
        <f t="array" aca="1" ref="AX35" ca="1">IF($C35="","",
  IFERROR(
    _xlfn.LET(
      _xlpm._対象月初,EOMONTH(AX$1,-1)+1,
      _xlpm._今月初,EOMONTH(基準データ!$C$5,-1)+1,
      IF(
        _xlpm._対象月初&gt;_xlpm._今月初,
        IF(
          OR(AW35="",AW35=0),
          "",
          AW35*AX$46
        ),
        _xlfn.LET(
          _xlpm._参照先,
            "'[在庫状況把握_43期_2025-2026.xlsx]月次報告"
            &amp;TEXT(AX$1,"YYMM")
            &amp;"'!",
          _xlpm._戻り範囲,
            IF(
              _xlpm._対象月初=_xlpm._今月初,
              "$AG$1:$AG$300",
              "$G$1:$G$300"
            ),
          _xlfn.XLOOKUP(
            $C35,
            INDIRECT(_xlpm._参照先&amp;"$C$1:$C$300"),
            INDIRECT(_xlpm._参照先&amp;_xlpm._戻り範囲)
          )
        )
      )
    ),
    ""
  )
)</f>
        <v>2.2541048522093661</v>
      </c>
      <c r="AY35" s="223" cm="1">
        <f t="array" aca="1" ref="AY35" ca="1">IF($C35="","",
  IFERROR(
    _xlfn.LET(
      _xlpm._対象月初,EOMONTH(AY$1,-1)+1,
      _xlpm._今月初,EOMONTH(基準データ!$C$5,-1)+1,
      IF(
        _xlpm._対象月初&gt;_xlpm._今月初,
        IF(
          OR(AX35="",AX35=0),
          "",
          AX35*AY$46
        ),
        _xlfn.LET(
          _xlpm._参照先,
            "'[在庫状況把握_43期_2025-2026.xlsx]月次報告"
            &amp;TEXT(AY$1,"YYMM")
            &amp;"'!",
          _xlpm._戻り範囲,
            IF(
              _xlpm._対象月初=_xlpm._今月初,
              "$AG$1:$AG$300",
              "$G$1:$G$300"
            ),
          _xlfn.XLOOKUP(
            $C35,
            INDIRECT(_xlpm._参照先&amp;"$C$1:$C$300"),
            INDIRECT(_xlpm._参照先&amp;_xlpm._戻り範囲)
          )
        )
      )
    ),
    ""
  )
)</f>
        <v>2.2142857142857135</v>
      </c>
      <c r="AZ35" s="223" cm="1">
        <f t="array" aca="1" ref="AZ35" ca="1">IF($C35="","",
  IFERROR(
    _xlfn.LET(
      _xlpm._対象月初,EOMONTH(AZ$1,-1)+1,
      _xlpm._今月初,EOMONTH(基準データ!$C$5,-1)+1,
      IF(
        _xlpm._対象月初&gt;_xlpm._今月初,
        IF(
          OR(AY35="",AY35=0),
          "",
          AY35*AZ$46
        ),
        _xlfn.LET(
          _xlpm._参照先,
            "'[在庫状況把握_43期_2025-2026.xlsx]月次報告"
            &amp;TEXT(AZ$1,"YYMM")
            &amp;"'!",
          _xlpm._戻り範囲,
            IF(
              _xlpm._対象月初=_xlpm._今月初,
              "$AG$1:$AG$300",
              "$G$1:$G$300"
            ),
          _xlfn.XLOOKUP(
            $C35,
            INDIRECT(_xlpm._参照先&amp;"$C$1:$C$300"),
            INDIRECT(_xlpm._参照先&amp;_xlpm._戻り範囲)
          )
        )
      )
    ),
    ""
  )
)</f>
        <v>2.3420754842574709</v>
      </c>
      <c r="BA35" s="223" cm="1">
        <f t="array" aca="1" ref="BA35" ca="1">IF($C35="","",
  IFERROR(
    _xlfn.LET(
      _xlpm._対象月初,EOMONTH(BA$1,-1)+1,
      _xlpm._今月初,EOMONTH(基準データ!$C$5,-1)+1,
      IF(
        _xlpm._対象月初&gt;_xlpm._今月初,
        IF(
          OR(AZ35="",AZ35=0),
          "",
          AZ35*BA$46
        ),
        _xlfn.LET(
          _xlpm._参照先,
            "'[在庫状況把握_43期_2025-2026.xlsx]月次報告"
            &amp;TEXT(BA$1,"YYMM")
            &amp;"'!",
          _xlpm._戻り範囲,
            IF(
              _xlpm._対象月初=_xlpm._今月初,
              "$AG$1:$AG$300",
              "$G$1:$G$300"
            ),
          _xlfn.XLOOKUP(
            $C35,
            INDIRECT(_xlpm._参照先&amp;"$C$1:$C$300"),
            INDIRECT(_xlpm._参照先&amp;_xlpm._戻り範囲)
          )
        )
      )
    ),
    ""
  )
)</f>
        <v>2.5312298919434637</v>
      </c>
      <c r="BB35" s="223" cm="1">
        <f t="array" aca="1" ref="BB35" ca="1">IF($C35="","",
  IFERROR(
    _xlfn.LET(
      _xlpm._対象月初,EOMONTH(BB$1,-1)+1,
      _xlpm._今月初,EOMONTH(基準データ!$C$5,-1)+1,
      IF(
        _xlpm._対象月初&gt;_xlpm._今月初,
        IF(
          OR(BA35="",BA35=0),
          "",
          BA35*BB$46
        ),
        _xlfn.LET(
          _xlpm._参照先,
            "'[在庫状況把握_43期_2025-2026.xlsx]月次報告"
            &amp;TEXT(BB$1,"YYMM")
            &amp;"'!",
          _xlpm._戻り範囲,
            IF(
              _xlpm._対象月初=_xlpm._今月初,
              "$AG$1:$AG$300",
              "$G$1:$G$300"
            ),
          _xlfn.XLOOKUP(
            $C35,
            INDIRECT(_xlpm._参照先&amp;"$C$1:$C$300"),
            INDIRECT(_xlpm._参照先&amp;_xlpm._戻り範囲)
          )
        )
      )
    ),
    ""
  )
)</f>
        <v>2.556135826764923</v>
      </c>
      <c r="BC35" s="223" cm="1">
        <f t="array" aca="1" ref="BC35" ca="1">IF($C35="","",
  IFERROR(
    _xlfn.LET(
      _xlpm._対象月初,EOMONTH(BC$1,-1)+1,
      _xlpm._今月初,EOMONTH(基準データ!$C$5,-1)+1,
      IF(
        _xlpm._対象月初&gt;_xlpm._今月初,
        IF(
          OR(BB35="",BB35=0),
          "",
          BB35*BC$46
        ),
        _xlfn.LET(
          _xlpm._参照先,
            "'[在庫状況把握_43期_2025-2026.xlsx]月次報告"
            &amp;TEXT(BC$1,"YYMM")
            &amp;"'!",
          _xlpm._戻り範囲,
            IF(
              _xlpm._対象月初=_xlpm._今月初,
              "$AG$1:$AG$300",
              "$G$1:$G$300"
            ),
          _xlfn.XLOOKUP(
            $C35,
            INDIRECT(_xlpm._参照先&amp;"$C$1:$C$300"),
            INDIRECT(_xlpm._参照先&amp;_xlpm._戻り範囲)
          )
        )
      )
    ),
    ""
  )
)</f>
        <v>2.5800435668300596</v>
      </c>
      <c r="BD35" s="223" cm="1">
        <f t="array" aca="1" ref="BD35" ca="1">IF($C35="","",
  IFERROR(
    _xlfn.LET(
      _xlpm._対象月初,EOMONTH(BD$1,-1)+1,
      _xlpm._今月初,EOMONTH(基準データ!$C$5,-1)+1,
      IF(
        _xlpm._対象月初&gt;_xlpm._今月初,
        IF(
          OR(BC35="",BC35=0),
          "",
          BC35*BD$46
        ),
        _xlfn.LET(
          _xlpm._参照先,
            "'[在庫状況把握_43期_2025-2026.xlsx]月次報告"
            &amp;TEXT(BD$1,"YYMM")
            &amp;"'!",
          _xlpm._戻り範囲,
            IF(
              _xlpm._対象月初=_xlpm._今月初,
              "$AG$1:$AG$300",
              "$G$1:$G$300"
            ),
          _xlfn.XLOOKUP(
            $C35,
            INDIRECT(_xlpm._参照先&amp;"$C$1:$C$300"),
            INDIRECT(_xlpm._参照先&amp;_xlpm._戻り範囲)
          )
        )
      )
    ),
    ""
  )
)</f>
        <v>4.0550774526678133</v>
      </c>
    </row>
    <row r="36" spans="1:56">
      <c r="A36" s="1061"/>
      <c r="B36" s="26" t="str">
        <v/>
      </c>
      <c r="C36" s="57"/>
      <c r="D36" s="68"/>
      <c r="E36" s="68"/>
      <c r="F36" s="68"/>
      <c r="G36" s="355" t="str">
        <v/>
      </c>
      <c r="H36" s="109" t="str" cm="1">
        <f t="array" aca="1" ref="H36" ca="1">_xlfn.LET(_xlpm._来月から4ヶ月計画合計,
  SUM(
    OFFSET($A36,0,
      MATCH(
        EDATE(基準データ!$C$5,3),$A$1:$BF$1,1
      )-3,1,4)),
_xlpm._今月計画数,
INDEX($A$1:$BE$223,
  ROW(),
  MATCH(EOMONTH(基準データ!$C$5,-1)+1,$A$1:$BE$1,0)
),
  IFERROR(IF($B36="","",_xlpm._来月から4ヶ月計画合計+_xlpm._今月計画数/2),""
)
)</f>
        <v/>
      </c>
      <c r="I36" s="38"/>
      <c r="J36" s="38"/>
      <c r="K36" s="38"/>
      <c r="L36" s="38"/>
      <c r="M36" s="38"/>
      <c r="N36" s="38"/>
      <c r="O36" s="38"/>
      <c r="P36" s="38"/>
      <c r="Q36" s="219"/>
      <c r="R36" s="219"/>
      <c r="S36" s="219"/>
      <c r="T36" s="219"/>
      <c r="U36" s="224"/>
      <c r="V36" s="224"/>
      <c r="W36" s="219"/>
      <c r="X36" s="480"/>
      <c r="Y36" s="219"/>
      <c r="Z36" s="219" t="str">
        <f>IF(Y36*$Z$46=0,"",Y36*$Z$46)</f>
        <v/>
      </c>
      <c r="AA36" s="219"/>
      <c r="AB36" s="219"/>
      <c r="AC36" s="224"/>
      <c r="AD36" s="224" t="s">
        <v>21</v>
      </c>
      <c r="AE36" s="223" t="s">
        <v>21</v>
      </c>
      <c r="AF36" s="223" t="s">
        <v>21</v>
      </c>
      <c r="AG36" s="223" t="s">
        <v>21</v>
      </c>
      <c r="AH36" s="223" t="s">
        <v>21</v>
      </c>
      <c r="AI36" s="223" t="s">
        <v>21</v>
      </c>
      <c r="AJ36" s="223" t="s">
        <v>21</v>
      </c>
      <c r="AK36" s="223" t="s">
        <v>21</v>
      </c>
      <c r="AL36" s="223" t="str" cm="1">
        <f t="array" aca="1" ref="AL36" ca="1">IF($C36="","",
  IFERROR(
    _xlfn.LET(
      _xlpm._対象月初,EOMONTH(AL$1,-1)+1,
      _xlpm._今月初,EOMONTH(基準データ!$C$5,-1)+1,
      IF(
        _xlpm._対象月初&gt;_xlpm._今月初,
        IF(
          OR(AK36="",AK36=0),
          "",
          AK36*AL$46
        ),
        _xlfn.LET(
          _xlpm._参照先,
            "'[在庫状況把握_43期_2025-2026.xlsx]月次報告"
            &amp;TEXT(AL$1,"YYMM")
            &amp;"'!",
          _xlpm._戻り範囲,
            IF(
              _xlpm._対象月初=_xlpm._今月初,
              "$AG$1:$AG$300",
              "$G$1:$G$300"
            ),
          _xlfn.XLOOKUP(
            $C36,
            INDIRECT(_xlpm._参照先&amp;"$C$1:$C$300"),
            INDIRECT(_xlpm._参照先&amp;_xlpm._戻り範囲)
          )
        )
      )
    ),
    ""
  )
)</f>
        <v/>
      </c>
      <c r="AM36" s="223" t="str" cm="1">
        <f t="array" aca="1" ref="AM36" ca="1">IF($C36="","",
  IFERROR(
    _xlfn.LET(
      _xlpm._対象月初,EOMONTH(AM$1,-1)+1,
      _xlpm._今月初,EOMONTH(基準データ!$C$5,-1)+1,
      IF(
        _xlpm._対象月初&gt;_xlpm._今月初,
        IF(
          OR(AL36="",AL36=0),
          "",
          AL36*AM$46
        ),
        _xlfn.LET(
          _xlpm._参照先,
            "'[在庫状況把握_43期_2025-2026.xlsx]月次報告"
            &amp;TEXT(AM$1,"YYMM")
            &amp;"'!",
          _xlpm._戻り範囲,
            IF(
              _xlpm._対象月初=_xlpm._今月初,
              "$AG$1:$AG$300",
              "$G$1:$G$300"
            ),
          _xlfn.XLOOKUP(
            $C36,
            INDIRECT(_xlpm._参照先&amp;"$C$1:$C$300"),
            INDIRECT(_xlpm._参照先&amp;_xlpm._戻り範囲)
          )
        )
      )
    ),
    ""
  )
)</f>
        <v/>
      </c>
      <c r="AN36" s="223" t="str" cm="1">
        <f t="array" aca="1" ref="AN36" ca="1">IF($C36="","",
  IFERROR(
    _xlfn.LET(
      _xlpm._対象月初,EOMONTH(AN$1,-1)+1,
      _xlpm._今月初,EOMONTH(基準データ!$C$5,-1)+1,
      IF(
        _xlpm._対象月初&gt;_xlpm._今月初,
        IF(
          OR(AM36="",AM36=0),
          "",
          AM36*AN$46
        ),
        _xlfn.LET(
          _xlpm._参照先,
            "'[在庫状況把握_43期_2025-2026.xlsx]月次報告"
            &amp;TEXT(AN$1,"YYMM")
            &amp;"'!",
          _xlpm._戻り範囲,
            IF(
              _xlpm._対象月初=_xlpm._今月初,
              "$AG$1:$AG$300",
              "$G$1:$G$300"
            ),
          _xlfn.XLOOKUP(
            $C36,
            INDIRECT(_xlpm._参照先&amp;"$C$1:$C$300"),
            INDIRECT(_xlpm._参照先&amp;_xlpm._戻り範囲)
          )
        )
      )
    ),
    ""
  )
)</f>
        <v/>
      </c>
      <c r="AO36" s="223" t="str" cm="1">
        <f t="array" aca="1" ref="AO36" ca="1">IF($C36="","",
  IFERROR(
    _xlfn.LET(
      _xlpm._対象月初,EOMONTH(AO$1,-1)+1,
      _xlpm._今月初,EOMONTH(基準データ!$C$5,-1)+1,
      IF(
        _xlpm._対象月初&gt;_xlpm._今月初,
        IF(
          OR(AN36="",AN36=0),
          "",
          AN36*AO$46
        ),
        _xlfn.LET(
          _xlpm._参照先,
            "'[在庫状況把握_43期_2025-2026.xlsx]月次報告"
            &amp;TEXT(AO$1,"YYMM")
            &amp;"'!",
          _xlpm._戻り範囲,
            IF(
              _xlpm._対象月初=_xlpm._今月初,
              "$AG$1:$AG$300",
              "$G$1:$G$300"
            ),
          _xlfn.XLOOKUP(
            $C36,
            INDIRECT(_xlpm._参照先&amp;"$C$1:$C$300"),
            INDIRECT(_xlpm._参照先&amp;_xlpm._戻り範囲)
          )
        )
      )
    ),
    ""
  )
)</f>
        <v/>
      </c>
      <c r="AP36" s="223" t="str" cm="1">
        <f t="array" aca="1" ref="AP36" ca="1">IF($C36="","",
  IFERROR(
    _xlfn.LET(
      _xlpm._対象月初,EOMONTH(AP$1,-1)+1,
      _xlpm._今月初,EOMONTH(基準データ!$C$5,-1)+1,
      IF(
        _xlpm._対象月初&gt;_xlpm._今月初,
        IF(
          OR(AO36="",AO36=0),
          "",
          AO36*AP$46
        ),
        _xlfn.LET(
          _xlpm._参照先,
            "'[在庫状況把握_43期_2025-2026.xlsx]月次報告"
            &amp;TEXT(AP$1,"YYMM")
            &amp;"'!",
          _xlpm._戻り範囲,
            IF(
              _xlpm._対象月初=_xlpm._今月初,
              "$AG$1:$AG$300",
              "$G$1:$G$300"
            ),
          _xlfn.XLOOKUP(
            $C36,
            INDIRECT(_xlpm._参照先&amp;"$C$1:$C$300"),
            INDIRECT(_xlpm._参照先&amp;_xlpm._戻り範囲)
          )
        )
      )
    ),
    ""
  )
)</f>
        <v/>
      </c>
      <c r="AQ36" s="223" t="str" cm="1">
        <f t="array" aca="1" ref="AQ36" ca="1">IF($C36="","",
  IFERROR(
    _xlfn.LET(
      _xlpm._対象月初,EOMONTH(AQ$1,-1)+1,
      _xlpm._今月初,EOMONTH(基準データ!$C$5,-1)+1,
      IF(
        _xlpm._対象月初&gt;_xlpm._今月初,
        IF(
          OR(AP36="",AP36=0),
          "",
          AP36*AQ$46
        ),
        _xlfn.LET(
          _xlpm._参照先,
            "'[在庫状況把握_43期_2025-2026.xlsx]月次報告"
            &amp;TEXT(AQ$1,"YYMM")
            &amp;"'!",
          _xlpm._戻り範囲,
            IF(
              _xlpm._対象月初=_xlpm._今月初,
              "$AG$1:$AG$300",
              "$G$1:$G$300"
            ),
          _xlfn.XLOOKUP(
            $C36,
            INDIRECT(_xlpm._参照先&amp;"$C$1:$C$300"),
            INDIRECT(_xlpm._参照先&amp;_xlpm._戻り範囲)
          )
        )
      )
    ),
    ""
  )
)</f>
        <v/>
      </c>
      <c r="AR36" s="223" t="str" cm="1">
        <f t="array" aca="1" ref="AR36" ca="1">IF($C36="","",
  IFERROR(
    _xlfn.LET(
      _xlpm._対象月初,EOMONTH(AR$1,-1)+1,
      _xlpm._今月初,EOMONTH(基準データ!$C$5,-1)+1,
      IF(
        _xlpm._対象月初&gt;_xlpm._今月初,
        IF(
          OR(AQ36="",AQ36=0),
          "",
          AQ36*AR$46
        ),
        _xlfn.LET(
          _xlpm._参照先,
            "'[在庫状況把握_43期_2025-2026.xlsx]月次報告"
            &amp;TEXT(AR$1,"YYMM")
            &amp;"'!",
          _xlpm._戻り範囲,
            IF(
              _xlpm._対象月初=_xlpm._今月初,
              "$AG$1:$AG$300",
              "$G$1:$G$300"
            ),
          _xlfn.XLOOKUP(
            $C36,
            INDIRECT(_xlpm._参照先&amp;"$C$1:$C$300"),
            INDIRECT(_xlpm._参照先&amp;_xlpm._戻り範囲)
          )
        )
      )
    ),
    ""
  )
)</f>
        <v/>
      </c>
      <c r="AS36" s="223" t="str" cm="1">
        <f t="array" aca="1" ref="AS36" ca="1">IF($C36="","",
  IFERROR(
    _xlfn.LET(
      _xlpm._対象月初,EOMONTH(AS$1,-1)+1,
      _xlpm._今月初,EOMONTH(基準データ!$C$5,-1)+1,
      IF(
        _xlpm._対象月初&gt;_xlpm._今月初,
        IF(
          OR(AR36="",AR36=0),
          "",
          AR36*AS$46
        ),
        _xlfn.LET(
          _xlpm._参照先,
            "'[在庫状況把握_43期_2025-2026.xlsx]月次報告"
            &amp;TEXT(AS$1,"YYMM")
            &amp;"'!",
          _xlpm._戻り範囲,
            IF(
              _xlpm._対象月初=_xlpm._今月初,
              "$AG$1:$AG$300",
              "$G$1:$G$300"
            ),
          _xlfn.XLOOKUP(
            $C36,
            INDIRECT(_xlpm._参照先&amp;"$C$1:$C$300"),
            INDIRECT(_xlpm._参照先&amp;_xlpm._戻り範囲)
          )
        )
      )
    ),
    ""
  )
)</f>
        <v/>
      </c>
      <c r="AT36" s="223" t="str" cm="1">
        <f t="array" aca="1" ref="AT36" ca="1">IF($C36="","",
  IFERROR(
    _xlfn.LET(
      _xlpm._対象月初,EOMONTH(AT$1,-1)+1,
      _xlpm._今月初,EOMONTH(基準データ!$C$5,-1)+1,
      IF(
        _xlpm._対象月初&gt;_xlpm._今月初,
        IF(
          OR(AS36="",AS36=0),
          "",
          AS36*AT$46
        ),
        _xlfn.LET(
          _xlpm._参照先,
            "'[在庫状況把握_43期_2025-2026.xlsx]月次報告"
            &amp;TEXT(AT$1,"YYMM")
            &amp;"'!",
          _xlpm._戻り範囲,
            IF(
              _xlpm._対象月初=_xlpm._今月初,
              "$AG$1:$AG$300",
              "$G$1:$G$300"
            ),
          _xlfn.XLOOKUP(
            $C36,
            INDIRECT(_xlpm._参照先&amp;"$C$1:$C$300"),
            INDIRECT(_xlpm._参照先&amp;_xlpm._戻り範囲)
          )
        )
      )
    ),
    ""
  )
)</f>
        <v/>
      </c>
      <c r="AU36" s="223" t="str" cm="1">
        <f t="array" aca="1" ref="AU36" ca="1">IF($C36="","",
  IFERROR(
    _xlfn.LET(
      _xlpm._対象月初,EOMONTH(AU$1,-1)+1,
      _xlpm._今月初,EOMONTH(基準データ!$C$5,-1)+1,
      IF(
        _xlpm._対象月初&gt;_xlpm._今月初,
        IF(
          OR(AT36="",AT36=0),
          "",
          AT36*AU$46
        ),
        _xlfn.LET(
          _xlpm._参照先,
            "'[在庫状況把握_43期_2025-2026.xlsx]月次報告"
            &amp;TEXT(AU$1,"YYMM")
            &amp;"'!",
          _xlpm._戻り範囲,
            IF(
              _xlpm._対象月初=_xlpm._今月初,
              "$AG$1:$AG$300",
              "$G$1:$G$300"
            ),
          _xlfn.XLOOKUP(
            $C36,
            INDIRECT(_xlpm._参照先&amp;"$C$1:$C$300"),
            INDIRECT(_xlpm._参照先&amp;_xlpm._戻り範囲)
          )
        )
      )
    ),
    ""
  )
)</f>
        <v/>
      </c>
      <c r="AV36" s="223" t="str" cm="1">
        <f t="array" aca="1" ref="AV36" ca="1">IF($C36="","",
  IFERROR(
    _xlfn.LET(
      _xlpm._対象月初,EOMONTH(AV$1,-1)+1,
      _xlpm._今月初,EOMONTH(基準データ!$C$5,-1)+1,
      IF(
        _xlpm._対象月初&gt;_xlpm._今月初,
        IF(
          OR(AU36="",AU36=0),
          "",
          AU36*AV$46
        ),
        _xlfn.LET(
          _xlpm._参照先,
            "'[在庫状況把握_43期_2025-2026.xlsx]月次報告"
            &amp;TEXT(AV$1,"YYMM")
            &amp;"'!",
          _xlpm._戻り範囲,
            IF(
              _xlpm._対象月初=_xlpm._今月初,
              "$AG$1:$AG$300",
              "$G$1:$G$300"
            ),
          _xlfn.XLOOKUP(
            $C36,
            INDIRECT(_xlpm._参照先&amp;"$C$1:$C$300"),
            INDIRECT(_xlpm._参照先&amp;_xlpm._戻り範囲)
          )
        )
      )
    ),
    ""
  )
)</f>
        <v/>
      </c>
      <c r="AW36" s="223" t="str" cm="1">
        <f t="array" aca="1" ref="AW36" ca="1">IF($C36="","",
  IFERROR(
    _xlfn.LET(
      _xlpm._対象月初,EOMONTH(AW$1,-1)+1,
      _xlpm._今月初,EOMONTH(基準データ!$C$5,-1)+1,
      IF(
        _xlpm._対象月初&gt;_xlpm._今月初,
        IF(
          OR(AV36="",AV36=0),
          "",
          AV36*AW$46
        ),
        _xlfn.LET(
          _xlpm._参照先,
            "'[在庫状況把握_43期_2025-2026.xlsx]月次報告"
            &amp;TEXT(AW$1,"YYMM")
            &amp;"'!",
          _xlpm._戻り範囲,
            IF(
              _xlpm._対象月初=_xlpm._今月初,
              "$AG$1:$AG$300",
              "$G$1:$G$300"
            ),
          _xlfn.XLOOKUP(
            $C36,
            INDIRECT(_xlpm._参照先&amp;"$C$1:$C$300"),
            INDIRECT(_xlpm._参照先&amp;_xlpm._戻り範囲)
          )
        )
      )
    ),
    ""
  )
)</f>
        <v/>
      </c>
      <c r="AX36" s="223" t="str" cm="1">
        <f t="array" aca="1" ref="AX36" ca="1">IF($C36="","",
  IFERROR(
    _xlfn.LET(
      _xlpm._対象月初,EOMONTH(AX$1,-1)+1,
      _xlpm._今月初,EOMONTH(基準データ!$C$5,-1)+1,
      IF(
        _xlpm._対象月初&gt;_xlpm._今月初,
        IF(
          OR(AW36="",AW36=0),
          "",
          AW36*AX$46
        ),
        _xlfn.LET(
          _xlpm._参照先,
            "'[在庫状況把握_43期_2025-2026.xlsx]月次報告"
            &amp;TEXT(AX$1,"YYMM")
            &amp;"'!",
          _xlpm._戻り範囲,
            IF(
              _xlpm._対象月初=_xlpm._今月初,
              "$AG$1:$AG$300",
              "$G$1:$G$300"
            ),
          _xlfn.XLOOKUP(
            $C36,
            INDIRECT(_xlpm._参照先&amp;"$C$1:$C$300"),
            INDIRECT(_xlpm._参照先&amp;_xlpm._戻り範囲)
          )
        )
      )
    ),
    ""
  )
)</f>
        <v/>
      </c>
      <c r="AY36" s="223" t="str" cm="1">
        <f t="array" aca="1" ref="AY36" ca="1">IF($C36="","",
  IFERROR(
    _xlfn.LET(
      _xlpm._対象月初,EOMONTH(AY$1,-1)+1,
      _xlpm._今月初,EOMONTH(基準データ!$C$5,-1)+1,
      IF(
        _xlpm._対象月初&gt;_xlpm._今月初,
        IF(
          OR(AX36="",AX36=0),
          "",
          AX36*AY$46
        ),
        _xlfn.LET(
          _xlpm._参照先,
            "'[在庫状況把握_43期_2025-2026.xlsx]月次報告"
            &amp;TEXT(AY$1,"YYMM")
            &amp;"'!",
          _xlpm._戻り範囲,
            IF(
              _xlpm._対象月初=_xlpm._今月初,
              "$AG$1:$AG$300",
              "$G$1:$G$300"
            ),
          _xlfn.XLOOKUP(
            $C36,
            INDIRECT(_xlpm._参照先&amp;"$C$1:$C$300"),
            INDIRECT(_xlpm._参照先&amp;_xlpm._戻り範囲)
          )
        )
      )
    ),
    ""
  )
)</f>
        <v/>
      </c>
      <c r="AZ36" s="223" t="str" cm="1">
        <f t="array" aca="1" ref="AZ36" ca="1">IF($C36="","",
  IFERROR(
    _xlfn.LET(
      _xlpm._対象月初,EOMONTH(AZ$1,-1)+1,
      _xlpm._今月初,EOMONTH(基準データ!$C$5,-1)+1,
      IF(
        _xlpm._対象月初&gt;_xlpm._今月初,
        IF(
          OR(AY36="",AY36=0),
          "",
          AY36*AZ$46
        ),
        _xlfn.LET(
          _xlpm._参照先,
            "'[在庫状況把握_43期_2025-2026.xlsx]月次報告"
            &amp;TEXT(AZ$1,"YYMM")
            &amp;"'!",
          _xlpm._戻り範囲,
            IF(
              _xlpm._対象月初=_xlpm._今月初,
              "$AG$1:$AG$300",
              "$G$1:$G$300"
            ),
          _xlfn.XLOOKUP(
            $C36,
            INDIRECT(_xlpm._参照先&amp;"$C$1:$C$300"),
            INDIRECT(_xlpm._参照先&amp;_xlpm._戻り範囲)
          )
        )
      )
    ),
    ""
  )
)</f>
        <v/>
      </c>
      <c r="BA36" s="223" t="str" cm="1">
        <f t="array" aca="1" ref="BA36" ca="1">IF($C36="","",
  IFERROR(
    _xlfn.LET(
      _xlpm._対象月初,EOMONTH(BA$1,-1)+1,
      _xlpm._今月初,EOMONTH(基準データ!$C$5,-1)+1,
      IF(
        _xlpm._対象月初&gt;_xlpm._今月初,
        IF(
          OR(AZ36="",AZ36=0),
          "",
          AZ36*BA$46
        ),
        _xlfn.LET(
          _xlpm._参照先,
            "'[在庫状況把握_43期_2025-2026.xlsx]月次報告"
            &amp;TEXT(BA$1,"YYMM")
            &amp;"'!",
          _xlpm._戻り範囲,
            IF(
              _xlpm._対象月初=_xlpm._今月初,
              "$AG$1:$AG$300",
              "$G$1:$G$300"
            ),
          _xlfn.XLOOKUP(
            $C36,
            INDIRECT(_xlpm._参照先&amp;"$C$1:$C$300"),
            INDIRECT(_xlpm._参照先&amp;_xlpm._戻り範囲)
          )
        )
      )
    ),
    ""
  )
)</f>
        <v/>
      </c>
      <c r="BB36" s="223" t="str" cm="1">
        <f t="array" aca="1" ref="BB36" ca="1">IF($C36="","",
  IFERROR(
    _xlfn.LET(
      _xlpm._対象月初,EOMONTH(BB$1,-1)+1,
      _xlpm._今月初,EOMONTH(基準データ!$C$5,-1)+1,
      IF(
        _xlpm._対象月初&gt;_xlpm._今月初,
        IF(
          OR(BA36="",BA36=0),
          "",
          BA36*BB$46
        ),
        _xlfn.LET(
          _xlpm._参照先,
            "'[在庫状況把握_43期_2025-2026.xlsx]月次報告"
            &amp;TEXT(BB$1,"YYMM")
            &amp;"'!",
          _xlpm._戻り範囲,
            IF(
              _xlpm._対象月初=_xlpm._今月初,
              "$AG$1:$AG$300",
              "$G$1:$G$300"
            ),
          _xlfn.XLOOKUP(
            $C36,
            INDIRECT(_xlpm._参照先&amp;"$C$1:$C$300"),
            INDIRECT(_xlpm._参照先&amp;_xlpm._戻り範囲)
          )
        )
      )
    ),
    ""
  )
)</f>
        <v/>
      </c>
      <c r="BC36" s="223" t="str" cm="1">
        <f t="array" aca="1" ref="BC36" ca="1">IF($C36="","",
  IFERROR(
    _xlfn.LET(
      _xlpm._対象月初,EOMONTH(BC$1,-1)+1,
      _xlpm._今月初,EOMONTH(基準データ!$C$5,-1)+1,
      IF(
        _xlpm._対象月初&gt;_xlpm._今月初,
        IF(
          OR(BB36="",BB36=0),
          "",
          BB36*BC$46
        ),
        _xlfn.LET(
          _xlpm._参照先,
            "'[在庫状況把握_43期_2025-2026.xlsx]月次報告"
            &amp;TEXT(BC$1,"YYMM")
            &amp;"'!",
          _xlpm._戻り範囲,
            IF(
              _xlpm._対象月初=_xlpm._今月初,
              "$AG$1:$AG$300",
              "$G$1:$G$300"
            ),
          _xlfn.XLOOKUP(
            $C36,
            INDIRECT(_xlpm._参照先&amp;"$C$1:$C$300"),
            INDIRECT(_xlpm._参照先&amp;_xlpm._戻り範囲)
          )
        )
      )
    ),
    ""
  )
)</f>
        <v/>
      </c>
      <c r="BD36" s="223" t="str" cm="1">
        <f t="array" aca="1" ref="BD36" ca="1">IF($C36="","",
  IFERROR(
    _xlfn.LET(
      _xlpm._対象月初,EOMONTH(BD$1,-1)+1,
      _xlpm._今月初,EOMONTH(基準データ!$C$5,-1)+1,
      IF(
        _xlpm._対象月初&gt;_xlpm._今月初,
        IF(
          OR(BC36="",BC36=0),
          "",
          BC36*BD$46
        ),
        _xlfn.LET(
          _xlpm._参照先,
            "'[在庫状況把握_43期_2025-2026.xlsx]月次報告"
            &amp;TEXT(BD$1,"YYMM")
            &amp;"'!",
          _xlpm._戻り範囲,
            IF(
              _xlpm._対象月初=_xlpm._今月初,
              "$AG$1:$AG$300",
              "$G$1:$G$300"
            ),
          _xlfn.XLOOKUP(
            $C36,
            INDIRECT(_xlpm._参照先&amp;"$C$1:$C$300"),
            INDIRECT(_xlpm._参照先&amp;_xlpm._戻り範囲)
          )
        )
      )
    ),
    ""
  )
)</f>
        <v/>
      </c>
    </row>
    <row r="37" spans="1:56">
      <c r="A37" s="1061" t="s">
        <v>1642</v>
      </c>
      <c r="B37" s="105" t="str">
        <v>CLE-V35-14650HX-5060-L6 Creator</v>
      </c>
      <c r="C37" s="57" t="s">
        <v>444</v>
      </c>
      <c r="D37" s="68"/>
      <c r="E37" s="68"/>
      <c r="F37" s="68"/>
      <c r="G37" s="355">
        <v>536</v>
      </c>
      <c r="H37" s="109" cm="1">
        <f t="array" aca="1" ref="H37" ca="1">_xlfn.LET(_xlpm._来月から4ヶ月計画合計,
  SUM(
    OFFSET($A37,0,
      MATCH(
        EDATE(基準データ!$C$5,3),$A$1:$BF$1,1
      )-3,1,4)),
_xlpm._今月計画数,
INDEX($A$1:$BE$223,
  ROW(),
  MATCH(EOMONTH(基準データ!$C$5,-1)+1,$A$1:$BE$1,0)
),
  IFERROR(IF($B37="","",_xlpm._来月から4ヶ月計画合計+_xlpm._今月計画数/2),""
)
)</f>
        <v>366.84871168897968</v>
      </c>
      <c r="I37" s="38"/>
      <c r="J37" s="38"/>
      <c r="K37" s="38"/>
      <c r="L37" s="38"/>
      <c r="M37" s="38"/>
      <c r="N37" s="38"/>
      <c r="O37" s="38"/>
      <c r="P37" s="38"/>
      <c r="Q37" s="219"/>
      <c r="R37" s="219"/>
      <c r="S37" s="219"/>
      <c r="T37" s="219"/>
      <c r="U37" s="224"/>
      <c r="V37" s="224"/>
      <c r="W37" s="219"/>
      <c r="X37" s="480"/>
      <c r="Y37" s="219"/>
      <c r="Z37" s="219">
        <v>2</v>
      </c>
      <c r="AA37" s="219">
        <v>70</v>
      </c>
      <c r="AB37" s="219">
        <v>180</v>
      </c>
      <c r="AC37" s="224">
        <v>229</v>
      </c>
      <c r="AD37" s="224">
        <v>189</v>
      </c>
      <c r="AE37" s="223">
        <v>161</v>
      </c>
      <c r="AF37" s="223">
        <v>238</v>
      </c>
      <c r="AG37" s="223">
        <v>160</v>
      </c>
      <c r="AH37" s="223">
        <v>141</v>
      </c>
      <c r="AI37" s="223">
        <v>141</v>
      </c>
      <c r="AJ37" s="223">
        <v>71</v>
      </c>
      <c r="AK37" s="223">
        <v>56</v>
      </c>
      <c r="AL37" s="223" cm="1">
        <f t="array" aca="1" ref="AL37" ca="1">IF($C37="","",
  IFERROR(
    _xlfn.LET(
      _xlpm._対象月初,EOMONTH(AL$1,-1)+1,
      _xlpm._今月初,EOMONTH(基準データ!$C$5,-1)+1,
      IF(
        _xlpm._対象月初&gt;_xlpm._今月初,
        IF(
          OR(AK37="",AK37=0),
          "",
          AK37*AL$46
        ),
        _xlfn.LET(
          _xlpm._参照先,
            "'[在庫状況把握_43期_2025-2026.xlsx]月次報告"
            &amp;TEXT(AL$1,"YYMM")
            &amp;"'!",
          _xlpm._戻り範囲,
            IF(
              _xlpm._対象月初=_xlpm._今月初,
              "$AG$1:$AG$300",
              "$G$1:$G$300"
            ),
          _xlfn.XLOOKUP(
            $C37,
            INDIRECT(_xlpm._参照先&amp;"$C$1:$C$300"),
            INDIRECT(_xlpm._参照先&amp;_xlpm._戻り範囲)
          )
        )
      )
    ),
    ""
  )
)</f>
        <v>67</v>
      </c>
      <c r="AM37" s="223" cm="1">
        <f t="array" aca="1" ref="AM37" ca="1">IF($C37="","",
  IFERROR(
    _xlfn.LET(
      _xlpm._対象月初,EOMONTH(AM$1,-1)+1,
      _xlpm._今月初,EOMONTH(基準データ!$C$5,-1)+1,
      IF(
        _xlpm._対象月初&gt;_xlpm._今月初,
        IF(
          OR(AL37="",AL37=0),
          "",
          AL37*AM$46
        ),
        _xlfn.LET(
          _xlpm._参照先,
            "'[在庫状況把握_43期_2025-2026.xlsx]月次報告"
            &amp;TEXT(AM$1,"YYMM")
            &amp;"'!",
          _xlpm._戻り範囲,
            IF(
              _xlpm._対象月初=_xlpm._今月初,
              "$AG$1:$AG$300",
              "$G$1:$G$300"
            ),
          _xlfn.XLOOKUP(
            $C37,
            INDIRECT(_xlpm._参照先&amp;"$C$1:$C$300"),
            INDIRECT(_xlpm._参照先&amp;_xlpm._戻り範囲)
          )
        )
      )
    ),
    ""
  )
)</f>
        <v>73.071428571428569</v>
      </c>
      <c r="AN37" s="223" cm="1">
        <f t="array" aca="1" ref="AN37" ca="1">IF($C37="","",
  IFERROR(
    _xlfn.LET(
      _xlpm._対象月初,EOMONTH(AN$1,-1)+1,
      _xlpm._今月初,EOMONTH(基準データ!$C$5,-1)+1,
      IF(
        _xlpm._対象月初&gt;_xlpm._今月初,
        IF(
          OR(AM37="",AM37=0),
          "",
          AM37*AN$46
        ),
        _xlfn.LET(
          _xlpm._参照先,
            "'[在庫状況把握_43期_2025-2026.xlsx]月次報告"
            &amp;TEXT(AN$1,"YYMM")
            &amp;"'!",
          _xlpm._戻り範囲,
            IF(
              _xlpm._対象月初=_xlpm._今月初,
              "$AG$1:$AG$300",
              "$G$1:$G$300"
            ),
          _xlfn.XLOOKUP(
            $C37,
            INDIRECT(_xlpm._参照先&amp;"$C$1:$C$300"),
            INDIRECT(_xlpm._参照先&amp;_xlpm._戻り範囲)
          )
        )
      )
    ),
    ""
  )
)</f>
        <v>77.288490980496562</v>
      </c>
      <c r="AO37" s="223" cm="1">
        <f t="array" aca="1" ref="AO37" ca="1">IF($C37="","",
  IFERROR(
    _xlfn.LET(
      _xlpm._対象月初,EOMONTH(AO$1,-1)+1,
      _xlpm._今月初,EOMONTH(基準データ!$C$5,-1)+1,
      IF(
        _xlpm._対象月初&gt;_xlpm._今月初,
        IF(
          OR(AN37="",AN37=0),
          "",
          AN37*AO$46
        ),
        _xlfn.LET(
          _xlpm._参照先,
            "'[在庫状況把握_43期_2025-2026.xlsx]月次報告"
            &amp;TEXT(AO$1,"YYMM")
            &amp;"'!",
          _xlpm._戻り範囲,
            IF(
              _xlpm._対象月初=_xlpm._今月初,
              "$AG$1:$AG$300",
              "$G$1:$G$300"
            ),
          _xlfn.XLOOKUP(
            $C37,
            INDIRECT(_xlpm._参照先&amp;"$C$1:$C$300"),
            INDIRECT(_xlpm._参照先&amp;_xlpm._戻り範囲)
          )
        )
      )
    ),
    ""
  )
)</f>
        <v>83.530586434134335</v>
      </c>
      <c r="AP37" s="223" cm="1">
        <f t="array" aca="1" ref="AP37" ca="1">IF($C37="","",
  IFERROR(
    _xlfn.LET(
      _xlpm._対象月初,EOMONTH(AP$1,-1)+1,
      _xlpm._今月初,EOMONTH(基準データ!$C$5,-1)+1,
      IF(
        _xlpm._対象月初&gt;_xlpm._今月初,
        IF(
          OR(AO37="",AO37=0),
          "",
          AO37*AP$46
        ),
        _xlfn.LET(
          _xlpm._参照先,
            "'[在庫状況把握_43期_2025-2026.xlsx]月次報告"
            &amp;TEXT(AP$1,"YYMM")
            &amp;"'!",
          _xlpm._戻り範囲,
            IF(
              _xlpm._対象月初=_xlpm._今月初,
              "$AG$1:$AG$300",
              "$G$1:$G$300"
            ),
          _xlfn.XLOOKUP(
            $C37,
            INDIRECT(_xlpm._参照先&amp;"$C$1:$C$300"),
            INDIRECT(_xlpm._参照先&amp;_xlpm._戻り範囲)
          )
        )
      )
    ),
    ""
  )
)</f>
        <v>84.352482283242495</v>
      </c>
      <c r="AQ37" s="223" cm="1">
        <f t="array" aca="1" ref="AQ37" ca="1">IF($C37="","",
  IFERROR(
    _xlfn.LET(
      _xlpm._対象月初,EOMONTH(AQ$1,-1)+1,
      _xlpm._今月初,EOMONTH(基準データ!$C$5,-1)+1,
      IF(
        _xlpm._対象月初&gt;_xlpm._今月初,
        IF(
          OR(AP37="",AP37=0),
          "",
          AP37*AQ$46
        ),
        _xlfn.LET(
          _xlpm._参照先,
            "'[在庫状況把握_43期_2025-2026.xlsx]月次報告"
            &amp;TEXT(AQ$1,"YYMM")
            &amp;"'!",
          _xlpm._戻り範囲,
            IF(
              _xlpm._対象月初=_xlpm._今月初,
              "$AG$1:$AG$300",
              "$G$1:$G$300"
            ),
          _xlfn.XLOOKUP(
            $C37,
            INDIRECT(_xlpm._参照先&amp;"$C$1:$C$300"),
            INDIRECT(_xlpm._参照先&amp;_xlpm._戻り範囲)
          )
        )
      )
    ),
    ""
  )
)</f>
        <v>85.141437705392008</v>
      </c>
      <c r="AR37" s="223" cm="1">
        <f t="array" aca="1" ref="AR37" ca="1">IF($C37="","",
  IFERROR(
    _xlfn.LET(
      _xlpm._対象月初,EOMONTH(AR$1,-1)+1,
      _xlpm._今月初,EOMONTH(基準データ!$C$5,-1)+1,
      IF(
        _xlpm._対象月初&gt;_xlpm._今月初,
        IF(
          OR(AQ37="",AQ37=0),
          "",
          AQ37*AR$46
        ),
        _xlfn.LET(
          _xlpm._参照先,
            "'[在庫状況把握_43期_2025-2026.xlsx]月次報告"
            &amp;TEXT(AR$1,"YYMM")
            &amp;"'!",
          _xlpm._戻り範囲,
            IF(
              _xlpm._対象月初=_xlpm._今月初,
              "$AG$1:$AG$300",
              "$G$1:$G$300"
            ),
          _xlfn.XLOOKUP(
            $C37,
            INDIRECT(_xlpm._参照先&amp;"$C$1:$C$300"),
            INDIRECT(_xlpm._参照先&amp;_xlpm._戻り範囲)
          )
        )
      )
    ),
    ""
  )
)</f>
        <v>133.81755593803788</v>
      </c>
      <c r="AS37" s="223" cm="1">
        <f t="array" aca="1" ref="AS37" ca="1">IF($C37="","",
  IFERROR(
    _xlfn.LET(
      _xlpm._対象月初,EOMONTH(AS$1,-1)+1,
      _xlpm._今月初,EOMONTH(基準データ!$C$5,-1)+1,
      IF(
        _xlpm._対象月初&gt;_xlpm._今月初,
        IF(
          OR(AR37="",AR37=0),
          "",
          AR37*AS$46
        ),
        _xlfn.LET(
          _xlpm._参照先,
            "'[在庫状況把握_43期_2025-2026.xlsx]月次報告"
            &amp;TEXT(AS$1,"YYMM")
            &amp;"'!",
          _xlpm._戻り範囲,
            IF(
              _xlpm._対象月初=_xlpm._今月初,
              "$AG$1:$AG$300",
              "$G$1:$G$300"
            ),
          _xlfn.XLOOKUP(
            $C37,
            INDIRECT(_xlpm._参照先&amp;"$C$1:$C$300"),
            INDIRECT(_xlpm._参照先&amp;_xlpm._戻り範囲)
          )
        )
      )
    ),
    ""
  )
)</f>
        <v>113.18324773723948</v>
      </c>
      <c r="AT37" s="223" cm="1">
        <f t="array" aca="1" ref="AT37" ca="1">IF($C37="","",
  IFERROR(
    _xlfn.LET(
      _xlpm._対象月初,EOMONTH(AT$1,-1)+1,
      _xlpm._今月初,EOMONTH(基準データ!$C$5,-1)+1,
      IF(
        _xlpm._対象月初&gt;_xlpm._今月初,
        IF(
          OR(AS37="",AS37=0),
          "",
          AS37*AT$46
        ),
        _xlfn.LET(
          _xlpm._参照先,
            "'[在庫状況把握_43期_2025-2026.xlsx]月次報告"
            &amp;TEXT(AT$1,"YYMM")
            &amp;"'!",
          _xlpm._戻り範囲,
            IF(
              _xlpm._対象月初=_xlpm._今月初,
              "$AG$1:$AG$300",
              "$G$1:$G$300"
            ),
          _xlfn.XLOOKUP(
            $C37,
            INDIRECT(_xlpm._参照先&amp;"$C$1:$C$300"),
            INDIRECT(_xlpm._参照先&amp;_xlpm._戻り範囲)
          )
        )
      )
    ),
    ""
  )
)</f>
        <v>74.832185886402755</v>
      </c>
      <c r="AU37" s="223" cm="1">
        <f t="array" aca="1" ref="AU37" ca="1">IF($C37="","",
  IFERROR(
    _xlfn.LET(
      _xlpm._対象月初,EOMONTH(AU$1,-1)+1,
      _xlpm._今月初,EOMONTH(基準データ!$C$5,-1)+1,
      IF(
        _xlpm._対象月初&gt;_xlpm._今月初,
        IF(
          OR(AT37="",AT37=0),
          "",
          AT37*AU$46
        ),
        _xlfn.LET(
          _xlpm._参照先,
            "'[在庫状況把握_43期_2025-2026.xlsx]月次報告"
            &amp;TEXT(AU$1,"YYMM")
            &amp;"'!",
          _xlpm._戻り範囲,
            IF(
              _xlpm._対象月初=_xlpm._今月初,
              "$AG$1:$AG$300",
              "$G$1:$G$300"
            ),
          _xlfn.XLOOKUP(
            $C37,
            INDIRECT(_xlpm._参照先&amp;"$C$1:$C$300"),
            INDIRECT(_xlpm._参照先&amp;_xlpm._戻り範囲)
          )
        )
      )
    ),
    ""
  )
)</f>
        <v>111.984165232358</v>
      </c>
      <c r="AV37" s="223" cm="1">
        <f t="array" aca="1" ref="AV37" ca="1">IF($C37="","",
  IFERROR(
    _xlfn.LET(
      _xlpm._対象月初,EOMONTH(AV$1,-1)+1,
      _xlpm._今月初,EOMONTH(基準データ!$C$5,-1)+1,
      IF(
        _xlpm._対象月初&gt;_xlpm._今月初,
        IF(
          OR(AU37="",AU37=0),
          "",
          AU37*AV$46
        ),
        _xlfn.LET(
          _xlpm._参照先,
            "'[在庫状況把握_43期_2025-2026.xlsx]月次報告"
            &amp;TEXT(AV$1,"YYMM")
            &amp;"'!",
          _xlpm._戻り範囲,
            IF(
              _xlpm._対象月初=_xlpm._今月初,
              "$AG$1:$AG$300",
              "$G$1:$G$300"
            ),
          _xlfn.XLOOKUP(
            $C37,
            INDIRECT(_xlpm._参照先&amp;"$C$1:$C$300"),
            INDIRECT(_xlpm._参照先&amp;_xlpm._戻り範囲)
          )
        )
      )
    ),
    ""
  )
)</f>
        <v>83.697010476639278</v>
      </c>
      <c r="AW37" s="223" cm="1">
        <f t="array" aca="1" ref="AW37" ca="1">IF($C37="","",
  IFERROR(
    _xlfn.LET(
      _xlpm._対象月初,EOMONTH(AW$1,-1)+1,
      _xlpm._今月初,EOMONTH(基準データ!$C$5,-1)+1,
      IF(
        _xlpm._対象月初&gt;_xlpm._今月初,
        IF(
          OR(AV37="",AV37=0),
          "",
          AV37*AW$46
        ),
        _xlfn.LET(
          _xlpm._参照先,
            "'[在庫状況把握_43期_2025-2026.xlsx]月次報告"
            &amp;TEXT(AW$1,"YYMM")
            &amp;"'!",
          _xlpm._戻り範囲,
            IF(
              _xlpm._対象月初=_xlpm._今月初,
              "$AG$1:$AG$300",
              "$G$1:$G$300"
            ),
          _xlfn.XLOOKUP(
            $C37,
            INDIRECT(_xlpm._参照先&amp;"$C$1:$C$300"),
            INDIRECT(_xlpm._参照先&amp;_xlpm._戻り範囲)
          )
        )
      )
    ),
    ""
  )
)</f>
        <v>70.782444061962138</v>
      </c>
      <c r="AX37" s="223" cm="1">
        <f t="array" aca="1" ref="AX37" ca="1">IF($C37="","",
  IFERROR(
    _xlfn.LET(
      _xlpm._対象月初,EOMONTH(AX$1,-1)+1,
      _xlpm._今月初,EOMONTH(基準データ!$C$5,-1)+1,
      IF(
        _xlpm._対象月初&gt;_xlpm._今月初,
        IF(
          OR(AW37="",AW37=0),
          "",
          AW37*AX$46
        ),
        _xlfn.LET(
          _xlpm._参照先,
            "'[在庫状況把握_43期_2025-2026.xlsx]月次報告"
            &amp;TEXT(AX$1,"YYMM")
            &amp;"'!",
          _xlpm._戻り範囲,
            IF(
              _xlpm._対象月初=_xlpm._今月初,
              "$AG$1:$AG$300",
              "$G$1:$G$300"
            ),
          _xlfn.XLOOKUP(
            $C37,
            INDIRECT(_xlpm._参照先&amp;"$C$1:$C$300"),
            INDIRECT(_xlpm._参照先&amp;_xlpm._戻り範囲)
          )
        )
      )
    ),
    ""
  )
)</f>
        <v>74.385460122909109</v>
      </c>
      <c r="AY37" s="223" cm="1">
        <f t="array" aca="1" ref="AY37" ca="1">IF($C37="","",
  IFERROR(
    _xlfn.LET(
      _xlpm._対象月初,EOMONTH(AY$1,-1)+1,
      _xlpm._今月初,EOMONTH(基準データ!$C$5,-1)+1,
      IF(
        _xlpm._対象月初&gt;_xlpm._今月初,
        IF(
          OR(AX37="",AX37=0),
          "",
          AX37*AY$46
        ),
        _xlfn.LET(
          _xlpm._参照先,
            "'[在庫状況把握_43期_2025-2026.xlsx]月次報告"
            &amp;TEXT(AY$1,"YYMM")
            &amp;"'!",
          _xlpm._戻り範囲,
            IF(
              _xlpm._対象月初=_xlpm._今月初,
              "$AG$1:$AG$300",
              "$G$1:$G$300"
            ),
          _xlfn.XLOOKUP(
            $C37,
            INDIRECT(_xlpm._参照先&amp;"$C$1:$C$300"),
            INDIRECT(_xlpm._参照先&amp;_xlpm._戻り範囲)
          )
        )
      )
    ),
    ""
  )
)</f>
        <v>73.071428571428569</v>
      </c>
      <c r="AZ37" s="223" cm="1">
        <f t="array" aca="1" ref="AZ37" ca="1">IF($C37="","",
  IFERROR(
    _xlfn.LET(
      _xlpm._対象月初,EOMONTH(AZ$1,-1)+1,
      _xlpm._今月初,EOMONTH(基準データ!$C$5,-1)+1,
      IF(
        _xlpm._対象月初&gt;_xlpm._今月初,
        IF(
          OR(AY37="",AY37=0),
          "",
          AY37*AZ$46
        ),
        _xlfn.LET(
          _xlpm._参照先,
            "'[在庫状況把握_43期_2025-2026.xlsx]月次報告"
            &amp;TEXT(AZ$1,"YYMM")
            &amp;"'!",
          _xlpm._戻り範囲,
            IF(
              _xlpm._対象月初=_xlpm._今月初,
              "$AG$1:$AG$300",
              "$G$1:$G$300"
            ),
          _xlfn.XLOOKUP(
            $C37,
            INDIRECT(_xlpm._参照先&amp;"$C$1:$C$300"),
            INDIRECT(_xlpm._参照先&amp;_xlpm._戻り範囲)
          )
        )
      )
    ),
    ""
  )
)</f>
        <v>77.288490980496562</v>
      </c>
      <c r="BA37" s="223" cm="1">
        <f t="array" aca="1" ref="BA37" ca="1">IF($C37="","",
  IFERROR(
    _xlfn.LET(
      _xlpm._対象月初,EOMONTH(BA$1,-1)+1,
      _xlpm._今月初,EOMONTH(基準データ!$C$5,-1)+1,
      IF(
        _xlpm._対象月初&gt;_xlpm._今月初,
        IF(
          OR(AZ37="",AZ37=0),
          "",
          AZ37*BA$46
        ),
        _xlfn.LET(
          _xlpm._参照先,
            "'[在庫状況把握_43期_2025-2026.xlsx]月次報告"
            &amp;TEXT(BA$1,"YYMM")
            &amp;"'!",
          _xlpm._戻り範囲,
            IF(
              _xlpm._対象月初=_xlpm._今月初,
              "$AG$1:$AG$300",
              "$G$1:$G$300"
            ),
          _xlfn.XLOOKUP(
            $C37,
            INDIRECT(_xlpm._参照先&amp;"$C$1:$C$300"),
            INDIRECT(_xlpm._参照先&amp;_xlpm._戻り範囲)
          )
        )
      )
    ),
    ""
  )
)</f>
        <v>83.530586434134335</v>
      </c>
      <c r="BB37" s="223" cm="1">
        <f t="array" aca="1" ref="BB37" ca="1">IF($C37="","",
  IFERROR(
    _xlfn.LET(
      _xlpm._対象月初,EOMONTH(BB$1,-1)+1,
      _xlpm._今月初,EOMONTH(基準データ!$C$5,-1)+1,
      IF(
        _xlpm._対象月初&gt;_xlpm._今月初,
        IF(
          OR(BA37="",BA37=0),
          "",
          BA37*BB$46
        ),
        _xlfn.LET(
          _xlpm._参照先,
            "'[在庫状況把握_43期_2025-2026.xlsx]月次報告"
            &amp;TEXT(BB$1,"YYMM")
            &amp;"'!",
          _xlpm._戻り範囲,
            IF(
              _xlpm._対象月初=_xlpm._今月初,
              "$AG$1:$AG$300",
              "$G$1:$G$300"
            ),
          _xlfn.XLOOKUP(
            $C37,
            INDIRECT(_xlpm._参照先&amp;"$C$1:$C$300"),
            INDIRECT(_xlpm._参照先&amp;_xlpm._戻り範囲)
          )
        )
      )
    ),
    ""
  )
)</f>
        <v>84.352482283242495</v>
      </c>
      <c r="BC37" s="223" cm="1">
        <f t="array" aca="1" ref="BC37" ca="1">IF($C37="","",
  IFERROR(
    _xlfn.LET(
      _xlpm._対象月初,EOMONTH(BC$1,-1)+1,
      _xlpm._今月初,EOMONTH(基準データ!$C$5,-1)+1,
      IF(
        _xlpm._対象月初&gt;_xlpm._今月初,
        IF(
          OR(BB37="",BB37=0),
          "",
          BB37*BC$46
        ),
        _xlfn.LET(
          _xlpm._参照先,
            "'[在庫状況把握_43期_2025-2026.xlsx]月次報告"
            &amp;TEXT(BC$1,"YYMM")
            &amp;"'!",
          _xlpm._戻り範囲,
            IF(
              _xlpm._対象月初=_xlpm._今月初,
              "$AG$1:$AG$300",
              "$G$1:$G$300"
            ),
          _xlfn.XLOOKUP(
            $C37,
            INDIRECT(_xlpm._参照先&amp;"$C$1:$C$300"),
            INDIRECT(_xlpm._参照先&amp;_xlpm._戻り範囲)
          )
        )
      )
    ),
    ""
  )
)</f>
        <v>85.141437705392008</v>
      </c>
      <c r="BD37" s="223" cm="1">
        <f t="array" aca="1" ref="BD37" ca="1">IF($C37="","",
  IFERROR(
    _xlfn.LET(
      _xlpm._対象月初,EOMONTH(BD$1,-1)+1,
      _xlpm._今月初,EOMONTH(基準データ!$C$5,-1)+1,
      IF(
        _xlpm._対象月初&gt;_xlpm._今月初,
        IF(
          OR(BC37="",BC37=0),
          "",
          BC37*BD$46
        ),
        _xlfn.LET(
          _xlpm._参照先,
            "'[在庫状況把握_43期_2025-2026.xlsx]月次報告"
            &amp;TEXT(BD$1,"YYMM")
            &amp;"'!",
          _xlpm._戻り範囲,
            IF(
              _xlpm._対象月初=_xlpm._今月初,
              "$AG$1:$AG$300",
              "$G$1:$G$300"
            ),
          _xlfn.XLOOKUP(
            $C37,
            INDIRECT(_xlpm._参照先&amp;"$C$1:$C$300"),
            INDIRECT(_xlpm._参照先&amp;_xlpm._戻り範囲)
          )
        )
      )
    ),
    ""
  )
)</f>
        <v>133.81755593803788</v>
      </c>
    </row>
    <row r="38" spans="1:56">
      <c r="A38" s="1061" t="s">
        <v>1643</v>
      </c>
      <c r="B38" s="26" t="str">
        <v>QNT-NLT-240H-5060-L6-GC</v>
      </c>
      <c r="C38" s="57" t="s">
        <v>448</v>
      </c>
      <c r="D38" s="68"/>
      <c r="E38" s="68"/>
      <c r="F38" s="68"/>
      <c r="G38" s="355">
        <v>1100</v>
      </c>
      <c r="H38" s="109" cm="1">
        <f t="array" aca="1" ref="H38" ca="1">_xlfn.LET(_xlpm._来月から4ヶ月計画合計,
  SUM(
    OFFSET($A38,0,
      MATCH(
        EDATE(基準データ!$C$5,3),$A$1:$BF$1,1
      )-3,1,4)),
_xlpm._今月計画数,
INDEX($A$1:$BE$223,
  ROW(),
  MATCH(EOMONTH(基準データ!$C$5,-1)+1,$A$1:$BE$1,0)
),
  IFERROR(IF($B38="","",_xlpm._来月から4ヶ月計画合計+_xlpm._今月計画数/2),""
)
)</f>
        <v>0</v>
      </c>
      <c r="I38" s="38"/>
      <c r="J38" s="38"/>
      <c r="K38" s="38"/>
      <c r="L38" s="38"/>
      <c r="M38" s="38"/>
      <c r="N38" s="38"/>
      <c r="O38" s="38"/>
      <c r="P38" s="38"/>
      <c r="Q38" s="219"/>
      <c r="R38" s="219"/>
      <c r="S38" s="219"/>
      <c r="T38" s="219"/>
      <c r="U38" s="224"/>
      <c r="V38" s="224"/>
      <c r="W38" s="219"/>
      <c r="X38" s="480"/>
      <c r="Y38" s="219"/>
      <c r="Z38" s="219" t="str">
        <f>IF(Y38*$Z$46=0,"",Y38*$Z$46)</f>
        <v/>
      </c>
      <c r="AA38" s="219"/>
      <c r="AB38" s="219"/>
      <c r="AC38" s="224"/>
      <c r="AD38" s="224" t="s">
        <v>21</v>
      </c>
      <c r="AE38" s="223">
        <v>0</v>
      </c>
      <c r="AF38" s="223">
        <v>0</v>
      </c>
      <c r="AG38" s="223">
        <v>0</v>
      </c>
      <c r="AH38" s="223">
        <v>0</v>
      </c>
      <c r="AI38" s="223">
        <v>0</v>
      </c>
      <c r="AJ38" s="223">
        <v>0</v>
      </c>
      <c r="AK38" s="223">
        <v>0</v>
      </c>
      <c r="AL38" s="223" cm="1">
        <f t="array" aca="1" ref="AL38" ca="1">IF($C38="","",
  IFERROR(
    _xlfn.LET(
      _xlpm._対象月初,EOMONTH(AL$1,-1)+1,
      _xlpm._今月初,EOMONTH(基準データ!$C$5,-1)+1,
      IF(
        _xlpm._対象月初&gt;_xlpm._今月初,
        IF(
          OR(AK38="",AK38=0),
          "",
          AK38*AL$46
        ),
        _xlfn.LET(
          _xlpm._参照先,
            "'[在庫状況把握_43期_2025-2026.xlsx]月次報告"
            &amp;TEXT(AL$1,"YYMM")
            &amp;"'!",
          _xlpm._戻り範囲,
            IF(
              _xlpm._対象月初=_xlpm._今月初,
              "$AG$1:$AG$300",
              "$G$1:$G$300"
            ),
          _xlfn.XLOOKUP(
            $C38,
            INDIRECT(_xlpm._参照先&amp;"$C$1:$C$300"),
            INDIRECT(_xlpm._参照先&amp;_xlpm._戻り範囲)
          )
        )
      )
    ),
    ""
  )
)</f>
        <v>0</v>
      </c>
      <c r="AM38" s="223" cm="1">
        <f t="array" aca="1" ref="AM38" ca="1">IF($C38="","",
  IFERROR(
    _xlfn.LET(
      _xlpm._対象月初,EOMONTH(AM$1,-1)+1,
      _xlpm._今月初,EOMONTH(基準データ!$C$5,-1)+1,
      IF(
        _xlpm._対象月初&gt;_xlpm._今月初,
        IF(
          OR(AL38="",AL38=0),
          "",
          AL38*AM$46
        ),
        _xlfn.LET(
          _xlpm._参照先,
            "'[在庫状況把握_43期_2025-2026.xlsx]月次報告"
            &amp;TEXT(AM$1,"YYMM")
            &amp;"'!",
          _xlpm._戻り範囲,
            IF(
              _xlpm._対象月初=_xlpm._今月初,
              "$AG$1:$AG$300",
              "$G$1:$G$300"
            ),
          _xlfn.XLOOKUP(
            $C38,
            INDIRECT(_xlpm._参照先&amp;"$C$1:$C$300"),
            INDIRECT(_xlpm._参照先&amp;_xlpm._戻り範囲)
          )
        )
      )
    ),
    ""
  )
)</f>
        <v>0</v>
      </c>
      <c r="AN38" s="223" t="str" cm="1">
        <f t="array" aca="1" ref="AN38" ca="1">IF($C38="","",
  IFERROR(
    _xlfn.LET(
      _xlpm._対象月初,EOMONTH(AN$1,-1)+1,
      _xlpm._今月初,EOMONTH(基準データ!$C$5,-1)+1,
      IF(
        _xlpm._対象月初&gt;_xlpm._今月初,
        IF(
          OR(AM38="",AM38=0),
          "",
          AM38*AN$46
        ),
        _xlfn.LET(
          _xlpm._参照先,
            "'[在庫状況把握_43期_2025-2026.xlsx]月次報告"
            &amp;TEXT(AN$1,"YYMM")
            &amp;"'!",
          _xlpm._戻り範囲,
            IF(
              _xlpm._対象月初=_xlpm._今月初,
              "$AG$1:$AG$300",
              "$G$1:$G$300"
            ),
          _xlfn.XLOOKUP(
            $C38,
            INDIRECT(_xlpm._参照先&amp;"$C$1:$C$300"),
            INDIRECT(_xlpm._参照先&amp;_xlpm._戻り範囲)
          )
        )
      )
    ),
    ""
  )
)</f>
        <v/>
      </c>
      <c r="AO38" s="223" t="str" cm="1">
        <f t="array" aca="1" ref="AO38" ca="1">IF($C38="","",
  IFERROR(
    _xlfn.LET(
      _xlpm._対象月初,EOMONTH(AO$1,-1)+1,
      _xlpm._今月初,EOMONTH(基準データ!$C$5,-1)+1,
      IF(
        _xlpm._対象月初&gt;_xlpm._今月初,
        IF(
          OR(AN38="",AN38=0),
          "",
          AN38*AO$46
        ),
        _xlfn.LET(
          _xlpm._参照先,
            "'[在庫状況把握_43期_2025-2026.xlsx]月次報告"
            &amp;TEXT(AO$1,"YYMM")
            &amp;"'!",
          _xlpm._戻り範囲,
            IF(
              _xlpm._対象月初=_xlpm._今月初,
              "$AG$1:$AG$300",
              "$G$1:$G$300"
            ),
          _xlfn.XLOOKUP(
            $C38,
            INDIRECT(_xlpm._参照先&amp;"$C$1:$C$300"),
            INDIRECT(_xlpm._参照先&amp;_xlpm._戻り範囲)
          )
        )
      )
    ),
    ""
  )
)</f>
        <v/>
      </c>
      <c r="AP38" s="223" t="str" cm="1">
        <f t="array" aca="1" ref="AP38" ca="1">IF($C38="","",
  IFERROR(
    _xlfn.LET(
      _xlpm._対象月初,EOMONTH(AP$1,-1)+1,
      _xlpm._今月初,EOMONTH(基準データ!$C$5,-1)+1,
      IF(
        _xlpm._対象月初&gt;_xlpm._今月初,
        IF(
          OR(AO38="",AO38=0),
          "",
          AO38*AP$46
        ),
        _xlfn.LET(
          _xlpm._参照先,
            "'[在庫状況把握_43期_2025-2026.xlsx]月次報告"
            &amp;TEXT(AP$1,"YYMM")
            &amp;"'!",
          _xlpm._戻り範囲,
            IF(
              _xlpm._対象月初=_xlpm._今月初,
              "$AG$1:$AG$300",
              "$G$1:$G$300"
            ),
          _xlfn.XLOOKUP(
            $C38,
            INDIRECT(_xlpm._参照先&amp;"$C$1:$C$300"),
            INDIRECT(_xlpm._参照先&amp;_xlpm._戻り範囲)
          )
        )
      )
    ),
    ""
  )
)</f>
        <v/>
      </c>
      <c r="AQ38" s="223" t="str" cm="1">
        <f t="array" aca="1" ref="AQ38" ca="1">IF($C38="","",
  IFERROR(
    _xlfn.LET(
      _xlpm._対象月初,EOMONTH(AQ$1,-1)+1,
      _xlpm._今月初,EOMONTH(基準データ!$C$5,-1)+1,
      IF(
        _xlpm._対象月初&gt;_xlpm._今月初,
        IF(
          OR(AP38="",AP38=0),
          "",
          AP38*AQ$46
        ),
        _xlfn.LET(
          _xlpm._参照先,
            "'[在庫状況把握_43期_2025-2026.xlsx]月次報告"
            &amp;TEXT(AQ$1,"YYMM")
            &amp;"'!",
          _xlpm._戻り範囲,
            IF(
              _xlpm._対象月初=_xlpm._今月初,
              "$AG$1:$AG$300",
              "$G$1:$G$300"
            ),
          _xlfn.XLOOKUP(
            $C38,
            INDIRECT(_xlpm._参照先&amp;"$C$1:$C$300"),
            INDIRECT(_xlpm._参照先&amp;_xlpm._戻り範囲)
          )
        )
      )
    ),
    ""
  )
)</f>
        <v/>
      </c>
      <c r="AR38" s="223" t="str" cm="1">
        <f t="array" aca="1" ref="AR38" ca="1">IF($C38="","",
  IFERROR(
    _xlfn.LET(
      _xlpm._対象月初,EOMONTH(AR$1,-1)+1,
      _xlpm._今月初,EOMONTH(基準データ!$C$5,-1)+1,
      IF(
        _xlpm._対象月初&gt;_xlpm._今月初,
        IF(
          OR(AQ38="",AQ38=0),
          "",
          AQ38*AR$46
        ),
        _xlfn.LET(
          _xlpm._参照先,
            "'[在庫状況把握_43期_2025-2026.xlsx]月次報告"
            &amp;TEXT(AR$1,"YYMM")
            &amp;"'!",
          _xlpm._戻り範囲,
            IF(
              _xlpm._対象月初=_xlpm._今月初,
              "$AG$1:$AG$300",
              "$G$1:$G$300"
            ),
          _xlfn.XLOOKUP(
            $C38,
            INDIRECT(_xlpm._参照先&amp;"$C$1:$C$300"),
            INDIRECT(_xlpm._参照先&amp;_xlpm._戻り範囲)
          )
        )
      )
    ),
    ""
  )
)</f>
        <v/>
      </c>
      <c r="AS38" s="223" t="str" cm="1">
        <f t="array" aca="1" ref="AS38" ca="1">IF($C38="","",
  IFERROR(
    _xlfn.LET(
      _xlpm._対象月初,EOMONTH(AS$1,-1)+1,
      _xlpm._今月初,EOMONTH(基準データ!$C$5,-1)+1,
      IF(
        _xlpm._対象月初&gt;_xlpm._今月初,
        IF(
          OR(AR38="",AR38=0),
          "",
          AR38*AS$46
        ),
        _xlfn.LET(
          _xlpm._参照先,
            "'[在庫状況把握_43期_2025-2026.xlsx]月次報告"
            &amp;TEXT(AS$1,"YYMM")
            &amp;"'!",
          _xlpm._戻り範囲,
            IF(
              _xlpm._対象月初=_xlpm._今月初,
              "$AG$1:$AG$300",
              "$G$1:$G$300"
            ),
          _xlfn.XLOOKUP(
            $C38,
            INDIRECT(_xlpm._参照先&amp;"$C$1:$C$300"),
            INDIRECT(_xlpm._参照先&amp;_xlpm._戻り範囲)
          )
        )
      )
    ),
    ""
  )
)</f>
        <v/>
      </c>
      <c r="AT38" s="223" t="str" cm="1">
        <f t="array" aca="1" ref="AT38" ca="1">IF($C38="","",
  IFERROR(
    _xlfn.LET(
      _xlpm._対象月初,EOMONTH(AT$1,-1)+1,
      _xlpm._今月初,EOMONTH(基準データ!$C$5,-1)+1,
      IF(
        _xlpm._対象月初&gt;_xlpm._今月初,
        IF(
          OR(AS38="",AS38=0),
          "",
          AS38*AT$46
        ),
        _xlfn.LET(
          _xlpm._参照先,
            "'[在庫状況把握_43期_2025-2026.xlsx]月次報告"
            &amp;TEXT(AT$1,"YYMM")
            &amp;"'!",
          _xlpm._戻り範囲,
            IF(
              _xlpm._対象月初=_xlpm._今月初,
              "$AG$1:$AG$300",
              "$G$1:$G$300"
            ),
          _xlfn.XLOOKUP(
            $C38,
            INDIRECT(_xlpm._参照先&amp;"$C$1:$C$300"),
            INDIRECT(_xlpm._参照先&amp;_xlpm._戻り範囲)
          )
        )
      )
    ),
    ""
  )
)</f>
        <v/>
      </c>
      <c r="AU38" s="223" t="str" cm="1">
        <f t="array" aca="1" ref="AU38" ca="1">IF($C38="","",
  IFERROR(
    _xlfn.LET(
      _xlpm._対象月初,EOMONTH(AU$1,-1)+1,
      _xlpm._今月初,EOMONTH(基準データ!$C$5,-1)+1,
      IF(
        _xlpm._対象月初&gt;_xlpm._今月初,
        IF(
          OR(AT38="",AT38=0),
          "",
          AT38*AU$46
        ),
        _xlfn.LET(
          _xlpm._参照先,
            "'[在庫状況把握_43期_2025-2026.xlsx]月次報告"
            &amp;TEXT(AU$1,"YYMM")
            &amp;"'!",
          _xlpm._戻り範囲,
            IF(
              _xlpm._対象月初=_xlpm._今月初,
              "$AG$1:$AG$300",
              "$G$1:$G$300"
            ),
          _xlfn.XLOOKUP(
            $C38,
            INDIRECT(_xlpm._参照先&amp;"$C$1:$C$300"),
            INDIRECT(_xlpm._参照先&amp;_xlpm._戻り範囲)
          )
        )
      )
    ),
    ""
  )
)</f>
        <v/>
      </c>
      <c r="AV38" s="223" t="str" cm="1">
        <f t="array" aca="1" ref="AV38" ca="1">IF($C38="","",
  IFERROR(
    _xlfn.LET(
      _xlpm._対象月初,EOMONTH(AV$1,-1)+1,
      _xlpm._今月初,EOMONTH(基準データ!$C$5,-1)+1,
      IF(
        _xlpm._対象月初&gt;_xlpm._今月初,
        IF(
          OR(AU38="",AU38=0),
          "",
          AU38*AV$46
        ),
        _xlfn.LET(
          _xlpm._参照先,
            "'[在庫状況把握_43期_2025-2026.xlsx]月次報告"
            &amp;TEXT(AV$1,"YYMM")
            &amp;"'!",
          _xlpm._戻り範囲,
            IF(
              _xlpm._対象月初=_xlpm._今月初,
              "$AG$1:$AG$300",
              "$G$1:$G$300"
            ),
          _xlfn.XLOOKUP(
            $C38,
            INDIRECT(_xlpm._参照先&amp;"$C$1:$C$300"),
            INDIRECT(_xlpm._参照先&amp;_xlpm._戻り範囲)
          )
        )
      )
    ),
    ""
  )
)</f>
        <v/>
      </c>
      <c r="AW38" s="223" t="str" cm="1">
        <f t="array" aca="1" ref="AW38" ca="1">IF($C38="","",
  IFERROR(
    _xlfn.LET(
      _xlpm._対象月初,EOMONTH(AW$1,-1)+1,
      _xlpm._今月初,EOMONTH(基準データ!$C$5,-1)+1,
      IF(
        _xlpm._対象月初&gt;_xlpm._今月初,
        IF(
          OR(AV38="",AV38=0),
          "",
          AV38*AW$46
        ),
        _xlfn.LET(
          _xlpm._参照先,
            "'[在庫状況把握_43期_2025-2026.xlsx]月次報告"
            &amp;TEXT(AW$1,"YYMM")
            &amp;"'!",
          _xlpm._戻り範囲,
            IF(
              _xlpm._対象月初=_xlpm._今月初,
              "$AG$1:$AG$300",
              "$G$1:$G$300"
            ),
          _xlfn.XLOOKUP(
            $C38,
            INDIRECT(_xlpm._参照先&amp;"$C$1:$C$300"),
            INDIRECT(_xlpm._参照先&amp;_xlpm._戻り範囲)
          )
        )
      )
    ),
    ""
  )
)</f>
        <v/>
      </c>
      <c r="AX38" s="223" t="str" cm="1">
        <f t="array" aca="1" ref="AX38" ca="1">IF($C38="","",
  IFERROR(
    _xlfn.LET(
      _xlpm._対象月初,EOMONTH(AX$1,-1)+1,
      _xlpm._今月初,EOMONTH(基準データ!$C$5,-1)+1,
      IF(
        _xlpm._対象月初&gt;_xlpm._今月初,
        IF(
          OR(AW38="",AW38=0),
          "",
          AW38*AX$46
        ),
        _xlfn.LET(
          _xlpm._参照先,
            "'[在庫状況把握_43期_2025-2026.xlsx]月次報告"
            &amp;TEXT(AX$1,"YYMM")
            &amp;"'!",
          _xlpm._戻り範囲,
            IF(
              _xlpm._対象月初=_xlpm._今月初,
              "$AG$1:$AG$300",
              "$G$1:$G$300"
            ),
          _xlfn.XLOOKUP(
            $C38,
            INDIRECT(_xlpm._参照先&amp;"$C$1:$C$300"),
            INDIRECT(_xlpm._参照先&amp;_xlpm._戻り範囲)
          )
        )
      )
    ),
    ""
  )
)</f>
        <v/>
      </c>
      <c r="AY38" s="223" t="str" cm="1">
        <f t="array" aca="1" ref="AY38" ca="1">IF($C38="","",
  IFERROR(
    _xlfn.LET(
      _xlpm._対象月初,EOMONTH(AY$1,-1)+1,
      _xlpm._今月初,EOMONTH(基準データ!$C$5,-1)+1,
      IF(
        _xlpm._対象月初&gt;_xlpm._今月初,
        IF(
          OR(AX38="",AX38=0),
          "",
          AX38*AY$46
        ),
        _xlfn.LET(
          _xlpm._参照先,
            "'[在庫状況把握_43期_2025-2026.xlsx]月次報告"
            &amp;TEXT(AY$1,"YYMM")
            &amp;"'!",
          _xlpm._戻り範囲,
            IF(
              _xlpm._対象月初=_xlpm._今月初,
              "$AG$1:$AG$300",
              "$G$1:$G$300"
            ),
          _xlfn.XLOOKUP(
            $C38,
            INDIRECT(_xlpm._参照先&amp;"$C$1:$C$300"),
            INDIRECT(_xlpm._参照先&amp;_xlpm._戻り範囲)
          )
        )
      )
    ),
    ""
  )
)</f>
        <v/>
      </c>
      <c r="AZ38" s="223" t="str" cm="1">
        <f t="array" aca="1" ref="AZ38" ca="1">IF($C38="","",
  IFERROR(
    _xlfn.LET(
      _xlpm._対象月初,EOMONTH(AZ$1,-1)+1,
      _xlpm._今月初,EOMONTH(基準データ!$C$5,-1)+1,
      IF(
        _xlpm._対象月初&gt;_xlpm._今月初,
        IF(
          OR(AY38="",AY38=0),
          "",
          AY38*AZ$46
        ),
        _xlfn.LET(
          _xlpm._参照先,
            "'[在庫状況把握_43期_2025-2026.xlsx]月次報告"
            &amp;TEXT(AZ$1,"YYMM")
            &amp;"'!",
          _xlpm._戻り範囲,
            IF(
              _xlpm._対象月初=_xlpm._今月初,
              "$AG$1:$AG$300",
              "$G$1:$G$300"
            ),
          _xlfn.XLOOKUP(
            $C38,
            INDIRECT(_xlpm._参照先&amp;"$C$1:$C$300"),
            INDIRECT(_xlpm._参照先&amp;_xlpm._戻り範囲)
          )
        )
      )
    ),
    ""
  )
)</f>
        <v/>
      </c>
      <c r="BA38" s="223" t="str" cm="1">
        <f t="array" aca="1" ref="BA38" ca="1">IF($C38="","",
  IFERROR(
    _xlfn.LET(
      _xlpm._対象月初,EOMONTH(BA$1,-1)+1,
      _xlpm._今月初,EOMONTH(基準データ!$C$5,-1)+1,
      IF(
        _xlpm._対象月初&gt;_xlpm._今月初,
        IF(
          OR(AZ38="",AZ38=0),
          "",
          AZ38*BA$46
        ),
        _xlfn.LET(
          _xlpm._参照先,
            "'[在庫状況把握_43期_2025-2026.xlsx]月次報告"
            &amp;TEXT(BA$1,"YYMM")
            &amp;"'!",
          _xlpm._戻り範囲,
            IF(
              _xlpm._対象月初=_xlpm._今月初,
              "$AG$1:$AG$300",
              "$G$1:$G$300"
            ),
          _xlfn.XLOOKUP(
            $C38,
            INDIRECT(_xlpm._参照先&amp;"$C$1:$C$300"),
            INDIRECT(_xlpm._参照先&amp;_xlpm._戻り範囲)
          )
        )
      )
    ),
    ""
  )
)</f>
        <v/>
      </c>
      <c r="BB38" s="223" t="str" cm="1">
        <f t="array" aca="1" ref="BB38" ca="1">IF($C38="","",
  IFERROR(
    _xlfn.LET(
      _xlpm._対象月初,EOMONTH(BB$1,-1)+1,
      _xlpm._今月初,EOMONTH(基準データ!$C$5,-1)+1,
      IF(
        _xlpm._対象月初&gt;_xlpm._今月初,
        IF(
          OR(BA38="",BA38=0),
          "",
          BA38*BB$46
        ),
        _xlfn.LET(
          _xlpm._参照先,
            "'[在庫状況把握_43期_2025-2026.xlsx]月次報告"
            &amp;TEXT(BB$1,"YYMM")
            &amp;"'!",
          _xlpm._戻り範囲,
            IF(
              _xlpm._対象月初=_xlpm._今月初,
              "$AG$1:$AG$300",
              "$G$1:$G$300"
            ),
          _xlfn.XLOOKUP(
            $C38,
            INDIRECT(_xlpm._参照先&amp;"$C$1:$C$300"),
            INDIRECT(_xlpm._参照先&amp;_xlpm._戻り範囲)
          )
        )
      )
    ),
    ""
  )
)</f>
        <v/>
      </c>
      <c r="BC38" s="223" t="str" cm="1">
        <f t="array" aca="1" ref="BC38" ca="1">IF($C38="","",
  IFERROR(
    _xlfn.LET(
      _xlpm._対象月初,EOMONTH(BC$1,-1)+1,
      _xlpm._今月初,EOMONTH(基準データ!$C$5,-1)+1,
      IF(
        _xlpm._対象月初&gt;_xlpm._今月初,
        IF(
          OR(BB38="",BB38=0),
          "",
          BB38*BC$46
        ),
        _xlfn.LET(
          _xlpm._参照先,
            "'[在庫状況把握_43期_2025-2026.xlsx]月次報告"
            &amp;TEXT(BC$1,"YYMM")
            &amp;"'!",
          _xlpm._戻り範囲,
            IF(
              _xlpm._対象月初=_xlpm._今月初,
              "$AG$1:$AG$300",
              "$G$1:$G$300"
            ),
          _xlfn.XLOOKUP(
            $C38,
            INDIRECT(_xlpm._参照先&amp;"$C$1:$C$300"),
            INDIRECT(_xlpm._参照先&amp;_xlpm._戻り範囲)
          )
        )
      )
    ),
    ""
  )
)</f>
        <v/>
      </c>
      <c r="BD38" s="223" t="str" cm="1">
        <f t="array" aca="1" ref="BD38" ca="1">IF($C38="","",
  IFERROR(
    _xlfn.LET(
      _xlpm._対象月初,EOMONTH(BD$1,-1)+1,
      _xlpm._今月初,EOMONTH(基準データ!$C$5,-1)+1,
      IF(
        _xlpm._対象月初&gt;_xlpm._今月初,
        IF(
          OR(BC38="",BC38=0),
          "",
          BC38*BD$46
        ),
        _xlfn.LET(
          _xlpm._参照先,
            "'[在庫状況把握_43期_2025-2026.xlsx]月次報告"
            &amp;TEXT(BD$1,"YYMM")
            &amp;"'!",
          _xlpm._戻り範囲,
            IF(
              _xlpm._対象月初=_xlpm._今月初,
              "$AG$1:$AG$300",
              "$G$1:$G$300"
            ),
          _xlfn.XLOOKUP(
            $C38,
            INDIRECT(_xlpm._参照先&amp;"$C$1:$C$300"),
            INDIRECT(_xlpm._参照先&amp;_xlpm._戻り範囲)
          )
        )
      )
    ),
    ""
  )
)</f>
        <v/>
      </c>
    </row>
    <row r="39" spans="1:56">
      <c r="A39" s="1061" t="s">
        <v>1642</v>
      </c>
      <c r="B39" s="105" t="str">
        <v>CLE-V35-14650HX-5050-L6 Creator</v>
      </c>
      <c r="C39" s="57" t="s">
        <v>449</v>
      </c>
      <c r="D39" s="68"/>
      <c r="E39" s="68"/>
      <c r="F39" s="68"/>
      <c r="G39" s="355">
        <v>42</v>
      </c>
      <c r="H39" s="109" cm="1">
        <f t="array" aca="1" ref="H39" ca="1">_xlfn.LET(_xlpm._来月から4ヶ月計画合計,
  SUM(
    OFFSET($A39,0,
      MATCH(
        EDATE(基準データ!$C$5,3),$A$1:$BF$1,1
      )-3,1,4)),
_xlpm._今月計画数,
INDEX($A$1:$BE$223,
  ROW(),
  MATCH(EOMONTH(基準データ!$C$5,-1)+1,$A$1:$BE$1,0)
),
  IFERROR(IF($B39="","",_xlpm._来月から4ヶ月計画合計+_xlpm._今月計画数/2),""
)
)</f>
        <v>75.306187150230443</v>
      </c>
      <c r="I39" s="38"/>
      <c r="J39" s="38"/>
      <c r="K39" s="38"/>
      <c r="L39" s="38"/>
      <c r="M39" s="38"/>
      <c r="N39" s="38"/>
      <c r="O39" s="38"/>
      <c r="P39" s="38"/>
      <c r="Q39" s="219"/>
      <c r="R39" s="219"/>
      <c r="S39" s="219"/>
      <c r="T39" s="219"/>
      <c r="U39" s="224"/>
      <c r="V39" s="224"/>
      <c r="W39" s="219"/>
      <c r="X39" s="480"/>
      <c r="Y39" s="219"/>
      <c r="Z39" s="219"/>
      <c r="AA39" s="219">
        <v>69</v>
      </c>
      <c r="AB39" s="219">
        <v>114</v>
      </c>
      <c r="AC39" s="224">
        <v>138</v>
      </c>
      <c r="AD39" s="224">
        <v>189</v>
      </c>
      <c r="AE39" s="223">
        <v>99</v>
      </c>
      <c r="AF39" s="223">
        <v>141</v>
      </c>
      <c r="AG39" s="223">
        <v>106</v>
      </c>
      <c r="AH39" s="223">
        <v>57</v>
      </c>
      <c r="AI39" s="223">
        <v>126</v>
      </c>
      <c r="AJ39" s="223">
        <v>76</v>
      </c>
      <c r="AK39" s="223">
        <v>44</v>
      </c>
      <c r="AL39" s="223" cm="1">
        <f t="array" aca="1" ref="AL39" ca="1">IF($C39="","",
  IFERROR(
    _xlfn.LET(
      _xlpm._対象月初,EOMONTH(AL$1,-1)+1,
      _xlpm._今月初,EOMONTH(基準データ!$C$5,-1)+1,
      IF(
        _xlpm._対象月初&gt;_xlpm._今月初,
        IF(
          OR(AK39="",AK39=0),
          "",
          AK39*AL$46
        ),
        _xlfn.LET(
          _xlpm._参照先,
            "'[在庫状況把握_43期_2025-2026.xlsx]月次報告"
            &amp;TEXT(AL$1,"YYMM")
            &amp;"'!",
          _xlpm._戻り範囲,
            IF(
              _xlpm._対象月初=_xlpm._今月初,
              "$AG$1:$AG$300",
              "$G$1:$G$300"
            ),
          _xlfn.XLOOKUP(
            $C39,
            INDIRECT(_xlpm._参照先&amp;"$C$1:$C$300"),
            INDIRECT(_xlpm._参照先&amp;_xlpm._戻り範囲)
          )
        )
      )
    ),
    ""
  )
)</f>
        <v>134</v>
      </c>
      <c r="AM39" s="223" cm="1">
        <f t="array" aca="1" ref="AM39" ca="1">IF($C39="","",
  IFERROR(
    _xlfn.LET(
      _xlpm._対象月初,EOMONTH(AM$1,-1)+1,
      _xlpm._今月初,EOMONTH(基準データ!$C$5,-1)+1,
      IF(
        _xlpm._対象月初&gt;_xlpm._今月初,
        IF(
          OR(AL39="",AL39=0),
          "",
          AL39*AM$46
        ),
        _xlfn.LET(
          _xlpm._参照先,
            "'[在庫状況把握_43期_2025-2026.xlsx]月次報告"
            &amp;TEXT(AM$1,"YYMM")
            &amp;"'!",
          _xlpm._戻り範囲,
            IF(
              _xlpm._対象月初=_xlpm._今月初,
              "$AG$1:$AG$300",
              "$G$1:$G$300"
            ),
          _xlfn.XLOOKUP(
            $C39,
            INDIRECT(_xlpm._参照先&amp;"$C$1:$C$300"),
            INDIRECT(_xlpm._参照先&amp;_xlpm._戻り範囲)
          )
        )
      )
    ),
    ""
  )
)</f>
        <v>15</v>
      </c>
      <c r="AN39" s="223" cm="1">
        <f t="array" aca="1" ref="AN39" ca="1">IF($C39="","",
  IFERROR(
    _xlfn.LET(
      _xlpm._対象月初,EOMONTH(AN$1,-1)+1,
      _xlpm._今月初,EOMONTH(基準データ!$C$5,-1)+1,
      IF(
        _xlpm._対象月初&gt;_xlpm._今月初,
        IF(
          OR(AM39="",AM39=0),
          "",
          AM39*AN$46
        ),
        _xlfn.LET(
          _xlpm._参照先,
            "'[在庫状況把握_43期_2025-2026.xlsx]月次報告"
            &amp;TEXT(AN$1,"YYMM")
            &amp;"'!",
          _xlpm._戻り範囲,
            IF(
              _xlpm._対象月初=_xlpm._今月初,
              "$AG$1:$AG$300",
              "$G$1:$G$300"
            ),
          _xlfn.XLOOKUP(
            $C39,
            INDIRECT(_xlpm._参照先&amp;"$C$1:$C$300"),
            INDIRECT(_xlpm._参照先&amp;_xlpm._戻り範囲)
          )
        )
      )
    ),
    ""
  )
)</f>
        <v>15.865672635292549</v>
      </c>
      <c r="AO39" s="223" cm="1">
        <f t="array" aca="1" ref="AO39" ca="1">IF($C39="","",
  IFERROR(
    _xlfn.LET(
      _xlpm._対象月初,EOMONTH(AO$1,-1)+1,
      _xlpm._今月初,EOMONTH(基準データ!$C$5,-1)+1,
      IF(
        _xlpm._対象月初&gt;_xlpm._今月初,
        IF(
          OR(AN39="",AN39=0),
          "",
          AN39*AO$46
        ),
        _xlfn.LET(
          _xlpm._参照先,
            "'[在庫状況把握_43期_2025-2026.xlsx]月次報告"
            &amp;TEXT(AO$1,"YYMM")
            &amp;"'!",
          _xlpm._戻り範囲,
            IF(
              _xlpm._対象月初=_xlpm._今月初,
              "$AG$1:$AG$300",
              "$G$1:$G$300"
            ),
          _xlfn.XLOOKUP(
            $C39,
            INDIRECT(_xlpm._参照先&amp;"$C$1:$C$300"),
            INDIRECT(_xlpm._参照先&amp;_xlpm._戻り範囲)
          )
        )
      )
    ),
    ""
  )
)</f>
        <v>17.147041203487987</v>
      </c>
      <c r="AP39" s="223" cm="1">
        <f t="array" aca="1" ref="AP39" ca="1">IF($C39="","",
  IFERROR(
    _xlfn.LET(
      _xlpm._対象月初,EOMONTH(AP$1,-1)+1,
      _xlpm._今月初,EOMONTH(基準データ!$C$5,-1)+1,
      IF(
        _xlpm._対象月初&gt;_xlpm._今月初,
        IF(
          OR(AO39="",AO39=0),
          "",
          AO39*AP$46
        ),
        _xlfn.LET(
          _xlpm._参照先,
            "'[在庫状況把握_43期_2025-2026.xlsx]月次報告"
            &amp;TEXT(AP$1,"YYMM")
            &amp;"'!",
          _xlpm._戻り範囲,
            IF(
              _xlpm._対象月初=_xlpm._今月初,
              "$AG$1:$AG$300",
              "$G$1:$G$300"
            ),
          _xlfn.XLOOKUP(
            $C39,
            INDIRECT(_xlpm._参照先&amp;"$C$1:$C$300"),
            INDIRECT(_xlpm._参照先&amp;_xlpm._戻り範囲)
          )
        )
      )
    ),
    ""
  )
)</f>
        <v>17.315758826472067</v>
      </c>
      <c r="AQ39" s="223" cm="1">
        <f t="array" aca="1" ref="AQ39" ca="1">IF($C39="","",
  IFERROR(
    _xlfn.LET(
      _xlpm._対象月初,EOMONTH(AQ$1,-1)+1,
      _xlpm._今月初,EOMONTH(基準データ!$C$5,-1)+1,
      IF(
        _xlpm._対象月初&gt;_xlpm._今月初,
        IF(
          OR(AP39="",AP39=0),
          "",
          AP39*AQ$46
        ),
        _xlfn.LET(
          _xlpm._参照先,
            "'[在庫状況把握_43期_2025-2026.xlsx]月次報告"
            &amp;TEXT(AQ$1,"YYMM")
            &amp;"'!",
          _xlpm._戻り範囲,
            IF(
              _xlpm._対象月初=_xlpm._今月初,
              "$AG$1:$AG$300",
              "$G$1:$G$300"
            ),
          _xlfn.XLOOKUP(
            $C39,
            INDIRECT(_xlpm._参照先&amp;"$C$1:$C$300"),
            INDIRECT(_xlpm._参照先&amp;_xlpm._戻り範囲)
          )
        )
      )
    ),
    ""
  )
)</f>
        <v>17.477714484977831</v>
      </c>
      <c r="AR39" s="223" cm="1">
        <f t="array" aca="1" ref="AR39" ca="1">IF($C39="","",
  IFERROR(
    _xlfn.LET(
      _xlpm._対象月初,EOMONTH(AR$1,-1)+1,
      _xlpm._今月初,EOMONTH(基準データ!$C$5,-1)+1,
      IF(
        _xlpm._対象月初&gt;_xlpm._今月初,
        IF(
          OR(AQ39="",AQ39=0),
          "",
          AQ39*AR$46
        ),
        _xlfn.LET(
          _xlpm._参照先,
            "'[在庫状況把握_43期_2025-2026.xlsx]月次報告"
            &amp;TEXT(AR$1,"YYMM")
            &amp;"'!",
          _xlpm._戻り範囲,
            IF(
              _xlpm._対象月初=_xlpm._今月初,
              "$AG$1:$AG$300",
              "$G$1:$G$300"
            ),
          _xlfn.XLOOKUP(
            $C39,
            INDIRECT(_xlpm._参照先&amp;"$C$1:$C$300"),
            INDIRECT(_xlpm._参照先&amp;_xlpm._戻り範囲)
          )
        )
      )
    ),
    ""
  )
)</f>
        <v>27.469879518072293</v>
      </c>
      <c r="AS39" s="223" cm="1">
        <f t="array" aca="1" ref="AS39" ca="1">IF($C39="","",
  IFERROR(
    _xlfn.LET(
      _xlpm._対象月初,EOMONTH(AS$1,-1)+1,
      _xlpm._今月初,EOMONTH(基準データ!$C$5,-1)+1,
      IF(
        _xlpm._対象月初&gt;_xlpm._今月初,
        IF(
          OR(AR39="",AR39=0),
          "",
          AR39*AS$46
        ),
        _xlfn.LET(
          _xlpm._参照先,
            "'[在庫状況把握_43期_2025-2026.xlsx]月次報告"
            &amp;TEXT(AS$1,"YYMM")
            &amp;"'!",
          _xlpm._戻り範囲,
            IF(
              _xlpm._対象月初=_xlpm._今月初,
              "$AG$1:$AG$300",
              "$G$1:$G$300"
            ),
          _xlfn.XLOOKUP(
            $C39,
            INDIRECT(_xlpm._参照先&amp;"$C$1:$C$300"),
            INDIRECT(_xlpm._参照先&amp;_xlpm._戻り範囲)
          )
        )
      )
    ),
    ""
  )
)</f>
        <v>23.234097775972916</v>
      </c>
      <c r="AT39" s="223" cm="1">
        <f t="array" aca="1" ref="AT39" ca="1">IF($C39="","",
  IFERROR(
    _xlfn.LET(
      _xlpm._対象月初,EOMONTH(AT$1,-1)+1,
      _xlpm._今月初,EOMONTH(基準データ!$C$5,-1)+1,
      IF(
        _xlpm._対象月初&gt;_xlpm._今月初,
        IF(
          OR(AS39="",AS39=0),
          "",
          AS39*AT$46
        ),
        _xlfn.LET(
          _xlpm._参照先,
            "'[在庫状況把握_43期_2025-2026.xlsx]月次報告"
            &amp;TEXT(AT$1,"YYMM")
            &amp;"'!",
          _xlpm._戻り範囲,
            IF(
              _xlpm._対象月初=_xlpm._今月初,
              "$AG$1:$AG$300",
              "$G$1:$G$300"
            ),
          _xlfn.XLOOKUP(
            $C39,
            INDIRECT(_xlpm._参照先&amp;"$C$1:$C$300"),
            INDIRECT(_xlpm._参照先&amp;_xlpm._戻り範囲)
          )
        )
      )
    ),
    ""
  )
)</f>
        <v>15.361445783132531</v>
      </c>
      <c r="AU39" s="223" cm="1">
        <f t="array" aca="1" ref="AU39" ca="1">IF($C39="","",
  IFERROR(
    _xlfn.LET(
      _xlpm._対象月初,EOMONTH(AU$1,-1)+1,
      _xlpm._今月初,EOMONTH(基準データ!$C$5,-1)+1,
      IF(
        _xlpm._対象月初&gt;_xlpm._今月初,
        IF(
          OR(AT39="",AT39=0),
          "",
          AT39*AU$46
        ),
        _xlfn.LET(
          _xlpm._参照先,
            "'[在庫状況把握_43期_2025-2026.xlsx]月次報告"
            &amp;TEXT(AU$1,"YYMM")
            &amp;"'!",
          _xlpm._戻り範囲,
            IF(
              _xlpm._対象月初=_xlpm._今月初,
              "$AG$1:$AG$300",
              "$G$1:$G$300"
            ),
          _xlfn.XLOOKUP(
            $C39,
            INDIRECT(_xlpm._参照先&amp;"$C$1:$C$300"),
            INDIRECT(_xlpm._参照先&amp;_xlpm._戻り範囲)
          )
        )
      )
    ),
    ""
  )
)</f>
        <v>22.987951807228914</v>
      </c>
      <c r="AV39" s="223" cm="1">
        <f t="array" aca="1" ref="AV39" ca="1">IF($C39="","",
  IFERROR(
    _xlfn.LET(
      _xlpm._対象月初,EOMONTH(AV$1,-1)+1,
      _xlpm._今月初,EOMONTH(基準データ!$C$5,-1)+1,
      IF(
        _xlpm._対象月初&gt;_xlpm._今月初,
        IF(
          OR(AU39="",AU39=0),
          "",
          AU39*AV$46
        ),
        _xlfn.LET(
          _xlpm._参照先,
            "'[在庫状況把握_43期_2025-2026.xlsx]月次報告"
            &amp;TEXT(AV$1,"YYMM")
            &amp;"'!",
          _xlpm._戻り範囲,
            IF(
              _xlpm._対象月初=_xlpm._今月初,
              "$AG$1:$AG$300",
              "$G$1:$G$300"
            ),
          _xlfn.XLOOKUP(
            $C39,
            INDIRECT(_xlpm._参照先&amp;"$C$1:$C$300"),
            INDIRECT(_xlpm._参照先&amp;_xlpm._戻り範囲)
          )
        )
      )
    ),
    ""
  )
)</f>
        <v>17.181204496670819</v>
      </c>
      <c r="AW39" s="223" cm="1">
        <f t="array" aca="1" ref="AW39" ca="1">IF($C39="","",
  IFERROR(
    _xlfn.LET(
      _xlpm._対象月初,EOMONTH(AW$1,-1)+1,
      _xlpm._今月初,EOMONTH(基準データ!$C$5,-1)+1,
      IF(
        _xlpm._対象月初&gt;_xlpm._今月初,
        IF(
          OR(AV39="",AV39=0),
          "",
          AV39*AW$46
        ),
        _xlfn.LET(
          _xlpm._参照先,
            "'[在庫状況把握_43期_2025-2026.xlsx]月次報告"
            &amp;TEXT(AW$1,"YYMM")
            &amp;"'!",
          _xlpm._戻り範囲,
            IF(
              _xlpm._対象月初=_xlpm._今月初,
              "$AG$1:$AG$300",
              "$G$1:$G$300"
            ),
          _xlfn.XLOOKUP(
            $C39,
            INDIRECT(_xlpm._参照先&amp;"$C$1:$C$300"),
            INDIRECT(_xlpm._参照先&amp;_xlpm._戻り範囲)
          )
        )
      )
    ),
    ""
  )
)</f>
        <v>14.530120481927712</v>
      </c>
      <c r="AX39" s="223" cm="1">
        <f t="array" aca="1" ref="AX39" ca="1">IF($C39="","",
  IFERROR(
    _xlfn.LET(
      _xlpm._対象月初,EOMONTH(AX$1,-1)+1,
      _xlpm._今月初,EOMONTH(基準データ!$C$5,-1)+1,
      IF(
        _xlpm._対象月初&gt;_xlpm._今月初,
        IF(
          OR(AW39="",AW39=0),
          "",
          AW39*AX$46
        ),
        _xlfn.LET(
          _xlpm._参照先,
            "'[在庫状況把握_43期_2025-2026.xlsx]月次報告"
            &amp;TEXT(AX$1,"YYMM")
            &amp;"'!",
          _xlpm._戻り範囲,
            IF(
              _xlpm._対象月初=_xlpm._今月初,
              "$AG$1:$AG$300",
              "$G$1:$G$300"
            ),
          _xlfn.XLOOKUP(
            $C39,
            INDIRECT(_xlpm._参照先&amp;"$C$1:$C$300"),
            INDIRECT(_xlpm._参照先&amp;_xlpm._戻り範囲)
          )
        )
      )
    ),
    ""
  )
)</f>
        <v>15.269742547224745</v>
      </c>
      <c r="AY39" s="223" cm="1">
        <f t="array" aca="1" ref="AY39" ca="1">IF($C39="","",
  IFERROR(
    _xlfn.LET(
      _xlpm._対象月初,EOMONTH(AY$1,-1)+1,
      _xlpm._今月初,EOMONTH(基準データ!$C$5,-1)+1,
      IF(
        _xlpm._対象月初&gt;_xlpm._今月初,
        IF(
          OR(AX39="",AX39=0),
          "",
          AX39*AY$46
        ),
        _xlfn.LET(
          _xlpm._参照先,
            "'[在庫状況把握_43期_2025-2026.xlsx]月次報告"
            &amp;TEXT(AY$1,"YYMM")
            &amp;"'!",
          _xlpm._戻り範囲,
            IF(
              _xlpm._対象月初=_xlpm._今月初,
              "$AG$1:$AG$300",
              "$G$1:$G$300"
            ),
          _xlfn.XLOOKUP(
            $C39,
            INDIRECT(_xlpm._参照先&amp;"$C$1:$C$300"),
            INDIRECT(_xlpm._参照先&amp;_xlpm._戻り範囲)
          )
        )
      )
    ),
    ""
  )
)</f>
        <v>15</v>
      </c>
      <c r="AZ39" s="223" cm="1">
        <f t="array" aca="1" ref="AZ39" ca="1">IF($C39="","",
  IFERROR(
    _xlfn.LET(
      _xlpm._対象月初,EOMONTH(AZ$1,-1)+1,
      _xlpm._今月初,EOMONTH(基準データ!$C$5,-1)+1,
      IF(
        _xlpm._対象月初&gt;_xlpm._今月初,
        IF(
          OR(AY39="",AY39=0),
          "",
          AY39*AZ$46
        ),
        _xlfn.LET(
          _xlpm._参照先,
            "'[在庫状況把握_43期_2025-2026.xlsx]月次報告"
            &amp;TEXT(AZ$1,"YYMM")
            &amp;"'!",
          _xlpm._戻り範囲,
            IF(
              _xlpm._対象月初=_xlpm._今月初,
              "$AG$1:$AG$300",
              "$G$1:$G$300"
            ),
          _xlfn.XLOOKUP(
            $C39,
            INDIRECT(_xlpm._参照先&amp;"$C$1:$C$300"),
            INDIRECT(_xlpm._参照先&amp;_xlpm._戻り範囲)
          )
        )
      )
    ),
    ""
  )
)</f>
        <v>15.865672635292549</v>
      </c>
      <c r="BA39" s="223" cm="1">
        <f t="array" aca="1" ref="BA39" ca="1">IF($C39="","",
  IFERROR(
    _xlfn.LET(
      _xlpm._対象月初,EOMONTH(BA$1,-1)+1,
      _xlpm._今月初,EOMONTH(基準データ!$C$5,-1)+1,
      IF(
        _xlpm._対象月初&gt;_xlpm._今月初,
        IF(
          OR(AZ39="",AZ39=0),
          "",
          AZ39*BA$46
        ),
        _xlfn.LET(
          _xlpm._参照先,
            "'[在庫状況把握_43期_2025-2026.xlsx]月次報告"
            &amp;TEXT(BA$1,"YYMM")
            &amp;"'!",
          _xlpm._戻り範囲,
            IF(
              _xlpm._対象月初=_xlpm._今月初,
              "$AG$1:$AG$300",
              "$G$1:$G$300"
            ),
          _xlfn.XLOOKUP(
            $C39,
            INDIRECT(_xlpm._参照先&amp;"$C$1:$C$300"),
            INDIRECT(_xlpm._参照先&amp;_xlpm._戻り範囲)
          )
        )
      )
    ),
    ""
  )
)</f>
        <v>17.147041203487987</v>
      </c>
      <c r="BB39" s="223" cm="1">
        <f t="array" aca="1" ref="BB39" ca="1">IF($C39="","",
  IFERROR(
    _xlfn.LET(
      _xlpm._対象月初,EOMONTH(BB$1,-1)+1,
      _xlpm._今月初,EOMONTH(基準データ!$C$5,-1)+1,
      IF(
        _xlpm._対象月初&gt;_xlpm._今月初,
        IF(
          OR(BA39="",BA39=0),
          "",
          BA39*BB$46
        ),
        _xlfn.LET(
          _xlpm._参照先,
            "'[在庫状況把握_43期_2025-2026.xlsx]月次報告"
            &amp;TEXT(BB$1,"YYMM")
            &amp;"'!",
          _xlpm._戻り範囲,
            IF(
              _xlpm._対象月初=_xlpm._今月初,
              "$AG$1:$AG$300",
              "$G$1:$G$300"
            ),
          _xlfn.XLOOKUP(
            $C39,
            INDIRECT(_xlpm._参照先&amp;"$C$1:$C$300"),
            INDIRECT(_xlpm._参照先&amp;_xlpm._戻り範囲)
          )
        )
      )
    ),
    ""
  )
)</f>
        <v>17.315758826472067</v>
      </c>
      <c r="BC39" s="223" cm="1">
        <f t="array" aca="1" ref="BC39" ca="1">IF($C39="","",
  IFERROR(
    _xlfn.LET(
      _xlpm._対象月初,EOMONTH(BC$1,-1)+1,
      _xlpm._今月初,EOMONTH(基準データ!$C$5,-1)+1,
      IF(
        _xlpm._対象月初&gt;_xlpm._今月初,
        IF(
          OR(BB39="",BB39=0),
          "",
          BB39*BC$46
        ),
        _xlfn.LET(
          _xlpm._参照先,
            "'[在庫状況把握_43期_2025-2026.xlsx]月次報告"
            &amp;TEXT(BC$1,"YYMM")
            &amp;"'!",
          _xlpm._戻り範囲,
            IF(
              _xlpm._対象月初=_xlpm._今月初,
              "$AG$1:$AG$300",
              "$G$1:$G$300"
            ),
          _xlfn.XLOOKUP(
            $C39,
            INDIRECT(_xlpm._参照先&amp;"$C$1:$C$300"),
            INDIRECT(_xlpm._参照先&amp;_xlpm._戻り範囲)
          )
        )
      )
    ),
    ""
  )
)</f>
        <v>17.477714484977831</v>
      </c>
      <c r="BD39" s="223" cm="1">
        <f t="array" aca="1" ref="BD39" ca="1">IF($C39="","",
  IFERROR(
    _xlfn.LET(
      _xlpm._対象月初,EOMONTH(BD$1,-1)+1,
      _xlpm._今月初,EOMONTH(基準データ!$C$5,-1)+1,
      IF(
        _xlpm._対象月初&gt;_xlpm._今月初,
        IF(
          OR(BC39="",BC39=0),
          "",
          BC39*BD$46
        ),
        _xlfn.LET(
          _xlpm._参照先,
            "'[在庫状況把握_43期_2025-2026.xlsx]月次報告"
            &amp;TEXT(BD$1,"YYMM")
            &amp;"'!",
          _xlpm._戻り範囲,
            IF(
              _xlpm._対象月初=_xlpm._今月初,
              "$AG$1:$AG$300",
              "$G$1:$G$300"
            ),
          _xlfn.XLOOKUP(
            $C39,
            INDIRECT(_xlpm._参照先&amp;"$C$1:$C$300"),
            INDIRECT(_xlpm._参照先&amp;_xlpm._戻り範囲)
          )
        )
      )
    ),
    ""
  )
)</f>
        <v>27.469879518072293</v>
      </c>
    </row>
    <row r="40" spans="1:56">
      <c r="A40" s="1061" t="s">
        <v>1643</v>
      </c>
      <c r="B40" s="26" t="str">
        <v>QNT-NLT-240H-5050-L6-GC</v>
      </c>
      <c r="C40" s="57" t="s">
        <v>453</v>
      </c>
      <c r="D40" s="68"/>
      <c r="E40" s="68"/>
      <c r="F40" s="68"/>
      <c r="G40" s="355">
        <v>730</v>
      </c>
      <c r="H40" s="109" cm="1">
        <f t="array" aca="1" ref="H40" ca="1">_xlfn.LET(_xlpm._来月から4ヶ月計画合計,
  SUM(
    OFFSET($A40,0,
      MATCH(
        EDATE(基準データ!$C$5,3),$A$1:$BF$1,1
      )-3,1,4)),
_xlpm._今月計画数,
INDEX($A$1:$BE$223,
  ROW(),
  MATCH(EOMONTH(基準データ!$C$5,-1)+1,$A$1:$BE$1,0)
),
  IFERROR(IF($B40="","",_xlpm._来月から4ヶ月計画合計+_xlpm._今月計画数/2),""
)
)</f>
        <v>0</v>
      </c>
      <c r="I40" s="38"/>
      <c r="J40" s="38"/>
      <c r="K40" s="38"/>
      <c r="L40" s="38"/>
      <c r="M40" s="38"/>
      <c r="N40" s="38"/>
      <c r="O40" s="38"/>
      <c r="P40" s="38"/>
      <c r="Q40" s="219"/>
      <c r="R40" s="219"/>
      <c r="S40" s="219"/>
      <c r="T40" s="219"/>
      <c r="U40" s="224"/>
      <c r="V40" s="224"/>
      <c r="W40" s="219"/>
      <c r="X40" s="480"/>
      <c r="Y40" s="219"/>
      <c r="Z40" s="219" t="str">
        <f>IF(Y40*$Z$46=0,"",Y40*$Z$46)</f>
        <v/>
      </c>
      <c r="AA40" s="219"/>
      <c r="AB40" s="219"/>
      <c r="AC40" s="224"/>
      <c r="AD40" s="224" t="s">
        <v>21</v>
      </c>
      <c r="AE40" s="223">
        <v>0</v>
      </c>
      <c r="AF40" s="223">
        <v>0</v>
      </c>
      <c r="AG40" s="223">
        <v>0</v>
      </c>
      <c r="AH40" s="223">
        <v>0</v>
      </c>
      <c r="AI40" s="223">
        <v>0</v>
      </c>
      <c r="AJ40" s="223">
        <v>0</v>
      </c>
      <c r="AK40" s="223">
        <v>0</v>
      </c>
      <c r="AL40" s="223" cm="1">
        <f t="array" aca="1" ref="AL40" ca="1">IF($C40="","",
  IFERROR(
    _xlfn.LET(
      _xlpm._対象月初,EOMONTH(AL$1,-1)+1,
      _xlpm._今月初,EOMONTH(基準データ!$C$5,-1)+1,
      IF(
        _xlpm._対象月初&gt;_xlpm._今月初,
        IF(
          OR(AK40="",AK40=0),
          "",
          AK40*AL$46
        ),
        _xlfn.LET(
          _xlpm._参照先,
            "'[在庫状況把握_43期_2025-2026.xlsx]月次報告"
            &amp;TEXT(AL$1,"YYMM")
            &amp;"'!",
          _xlpm._戻り範囲,
            IF(
              _xlpm._対象月初=_xlpm._今月初,
              "$AG$1:$AG$300",
              "$G$1:$G$300"
            ),
          _xlfn.XLOOKUP(
            $C40,
            INDIRECT(_xlpm._参照先&amp;"$C$1:$C$300"),
            INDIRECT(_xlpm._参照先&amp;_xlpm._戻り範囲)
          )
        )
      )
    ),
    ""
  )
)</f>
        <v>0</v>
      </c>
      <c r="AM40" s="223" cm="1">
        <f t="array" aca="1" ref="AM40" ca="1">IF($C40="","",
  IFERROR(
    _xlfn.LET(
      _xlpm._対象月初,EOMONTH(AM$1,-1)+1,
      _xlpm._今月初,EOMONTH(基準データ!$C$5,-1)+1,
      IF(
        _xlpm._対象月初&gt;_xlpm._今月初,
        IF(
          OR(AL40="",AL40=0),
          "",
          AL40*AM$46
        ),
        _xlfn.LET(
          _xlpm._参照先,
            "'[在庫状況把握_43期_2025-2026.xlsx]月次報告"
            &amp;TEXT(AM$1,"YYMM")
            &amp;"'!",
          _xlpm._戻り範囲,
            IF(
              _xlpm._対象月初=_xlpm._今月初,
              "$AG$1:$AG$300",
              "$G$1:$G$300"
            ),
          _xlfn.XLOOKUP(
            $C40,
            INDIRECT(_xlpm._参照先&amp;"$C$1:$C$300"),
            INDIRECT(_xlpm._参照先&amp;_xlpm._戻り範囲)
          )
        )
      )
    ),
    ""
  )
)</f>
        <v>0</v>
      </c>
      <c r="AN40" s="223" t="str" cm="1">
        <f t="array" aca="1" ref="AN40" ca="1">IF($C40="","",
  IFERROR(
    _xlfn.LET(
      _xlpm._対象月初,EOMONTH(AN$1,-1)+1,
      _xlpm._今月初,EOMONTH(基準データ!$C$5,-1)+1,
      IF(
        _xlpm._対象月初&gt;_xlpm._今月初,
        IF(
          OR(AM40="",AM40=0),
          "",
          AM40*AN$46
        ),
        _xlfn.LET(
          _xlpm._参照先,
            "'[在庫状況把握_43期_2025-2026.xlsx]月次報告"
            &amp;TEXT(AN$1,"YYMM")
            &amp;"'!",
          _xlpm._戻り範囲,
            IF(
              _xlpm._対象月初=_xlpm._今月初,
              "$AG$1:$AG$300",
              "$G$1:$G$300"
            ),
          _xlfn.XLOOKUP(
            $C40,
            INDIRECT(_xlpm._参照先&amp;"$C$1:$C$300"),
            INDIRECT(_xlpm._参照先&amp;_xlpm._戻り範囲)
          )
        )
      )
    ),
    ""
  )
)</f>
        <v/>
      </c>
      <c r="AO40" s="223" t="str" cm="1">
        <f t="array" aca="1" ref="AO40" ca="1">IF($C40="","",
  IFERROR(
    _xlfn.LET(
      _xlpm._対象月初,EOMONTH(AO$1,-1)+1,
      _xlpm._今月初,EOMONTH(基準データ!$C$5,-1)+1,
      IF(
        _xlpm._対象月初&gt;_xlpm._今月初,
        IF(
          OR(AN40="",AN40=0),
          "",
          AN40*AO$46
        ),
        _xlfn.LET(
          _xlpm._参照先,
            "'[在庫状況把握_43期_2025-2026.xlsx]月次報告"
            &amp;TEXT(AO$1,"YYMM")
            &amp;"'!",
          _xlpm._戻り範囲,
            IF(
              _xlpm._対象月初=_xlpm._今月初,
              "$AG$1:$AG$300",
              "$G$1:$G$300"
            ),
          _xlfn.XLOOKUP(
            $C40,
            INDIRECT(_xlpm._参照先&amp;"$C$1:$C$300"),
            INDIRECT(_xlpm._参照先&amp;_xlpm._戻り範囲)
          )
        )
      )
    ),
    ""
  )
)</f>
        <v/>
      </c>
      <c r="AP40" s="223" t="str" cm="1">
        <f t="array" aca="1" ref="AP40" ca="1">IF($C40="","",
  IFERROR(
    _xlfn.LET(
      _xlpm._対象月初,EOMONTH(AP$1,-1)+1,
      _xlpm._今月初,EOMONTH(基準データ!$C$5,-1)+1,
      IF(
        _xlpm._対象月初&gt;_xlpm._今月初,
        IF(
          OR(AO40="",AO40=0),
          "",
          AO40*AP$46
        ),
        _xlfn.LET(
          _xlpm._参照先,
            "'[在庫状況把握_43期_2025-2026.xlsx]月次報告"
            &amp;TEXT(AP$1,"YYMM")
            &amp;"'!",
          _xlpm._戻り範囲,
            IF(
              _xlpm._対象月初=_xlpm._今月初,
              "$AG$1:$AG$300",
              "$G$1:$G$300"
            ),
          _xlfn.XLOOKUP(
            $C40,
            INDIRECT(_xlpm._参照先&amp;"$C$1:$C$300"),
            INDIRECT(_xlpm._参照先&amp;_xlpm._戻り範囲)
          )
        )
      )
    ),
    ""
  )
)</f>
        <v/>
      </c>
      <c r="AQ40" s="223" t="str" cm="1">
        <f t="array" aca="1" ref="AQ40" ca="1">IF($C40="","",
  IFERROR(
    _xlfn.LET(
      _xlpm._対象月初,EOMONTH(AQ$1,-1)+1,
      _xlpm._今月初,EOMONTH(基準データ!$C$5,-1)+1,
      IF(
        _xlpm._対象月初&gt;_xlpm._今月初,
        IF(
          OR(AP40="",AP40=0),
          "",
          AP40*AQ$46
        ),
        _xlfn.LET(
          _xlpm._参照先,
            "'[在庫状況把握_43期_2025-2026.xlsx]月次報告"
            &amp;TEXT(AQ$1,"YYMM")
            &amp;"'!",
          _xlpm._戻り範囲,
            IF(
              _xlpm._対象月初=_xlpm._今月初,
              "$AG$1:$AG$300",
              "$G$1:$G$300"
            ),
          _xlfn.XLOOKUP(
            $C40,
            INDIRECT(_xlpm._参照先&amp;"$C$1:$C$300"),
            INDIRECT(_xlpm._参照先&amp;_xlpm._戻り範囲)
          )
        )
      )
    ),
    ""
  )
)</f>
        <v/>
      </c>
      <c r="AR40" s="223" t="str" cm="1">
        <f t="array" aca="1" ref="AR40" ca="1">IF($C40="","",
  IFERROR(
    _xlfn.LET(
      _xlpm._対象月初,EOMONTH(AR$1,-1)+1,
      _xlpm._今月初,EOMONTH(基準データ!$C$5,-1)+1,
      IF(
        _xlpm._対象月初&gt;_xlpm._今月初,
        IF(
          OR(AQ40="",AQ40=0),
          "",
          AQ40*AR$46
        ),
        _xlfn.LET(
          _xlpm._参照先,
            "'[在庫状況把握_43期_2025-2026.xlsx]月次報告"
            &amp;TEXT(AR$1,"YYMM")
            &amp;"'!",
          _xlpm._戻り範囲,
            IF(
              _xlpm._対象月初=_xlpm._今月初,
              "$AG$1:$AG$300",
              "$G$1:$G$300"
            ),
          _xlfn.XLOOKUP(
            $C40,
            INDIRECT(_xlpm._参照先&amp;"$C$1:$C$300"),
            INDIRECT(_xlpm._参照先&amp;_xlpm._戻り範囲)
          )
        )
      )
    ),
    ""
  )
)</f>
        <v/>
      </c>
      <c r="AS40" s="223" t="str" cm="1">
        <f t="array" aca="1" ref="AS40" ca="1">IF($C40="","",
  IFERROR(
    _xlfn.LET(
      _xlpm._対象月初,EOMONTH(AS$1,-1)+1,
      _xlpm._今月初,EOMONTH(基準データ!$C$5,-1)+1,
      IF(
        _xlpm._対象月初&gt;_xlpm._今月初,
        IF(
          OR(AR40="",AR40=0),
          "",
          AR40*AS$46
        ),
        _xlfn.LET(
          _xlpm._参照先,
            "'[在庫状況把握_43期_2025-2026.xlsx]月次報告"
            &amp;TEXT(AS$1,"YYMM")
            &amp;"'!",
          _xlpm._戻り範囲,
            IF(
              _xlpm._対象月初=_xlpm._今月初,
              "$AG$1:$AG$300",
              "$G$1:$G$300"
            ),
          _xlfn.XLOOKUP(
            $C40,
            INDIRECT(_xlpm._参照先&amp;"$C$1:$C$300"),
            INDIRECT(_xlpm._参照先&amp;_xlpm._戻り範囲)
          )
        )
      )
    ),
    ""
  )
)</f>
        <v/>
      </c>
      <c r="AT40" s="223" t="str" cm="1">
        <f t="array" aca="1" ref="AT40" ca="1">IF($C40="","",
  IFERROR(
    _xlfn.LET(
      _xlpm._対象月初,EOMONTH(AT$1,-1)+1,
      _xlpm._今月初,EOMONTH(基準データ!$C$5,-1)+1,
      IF(
        _xlpm._対象月初&gt;_xlpm._今月初,
        IF(
          OR(AS40="",AS40=0),
          "",
          AS40*AT$46
        ),
        _xlfn.LET(
          _xlpm._参照先,
            "'[在庫状況把握_43期_2025-2026.xlsx]月次報告"
            &amp;TEXT(AT$1,"YYMM")
            &amp;"'!",
          _xlpm._戻り範囲,
            IF(
              _xlpm._対象月初=_xlpm._今月初,
              "$AG$1:$AG$300",
              "$G$1:$G$300"
            ),
          _xlfn.XLOOKUP(
            $C40,
            INDIRECT(_xlpm._参照先&amp;"$C$1:$C$300"),
            INDIRECT(_xlpm._参照先&amp;_xlpm._戻り範囲)
          )
        )
      )
    ),
    ""
  )
)</f>
        <v/>
      </c>
      <c r="AU40" s="223" t="str" cm="1">
        <f t="array" aca="1" ref="AU40" ca="1">IF($C40="","",
  IFERROR(
    _xlfn.LET(
      _xlpm._対象月初,EOMONTH(AU$1,-1)+1,
      _xlpm._今月初,EOMONTH(基準データ!$C$5,-1)+1,
      IF(
        _xlpm._対象月初&gt;_xlpm._今月初,
        IF(
          OR(AT40="",AT40=0),
          "",
          AT40*AU$46
        ),
        _xlfn.LET(
          _xlpm._参照先,
            "'[在庫状況把握_43期_2025-2026.xlsx]月次報告"
            &amp;TEXT(AU$1,"YYMM")
            &amp;"'!",
          _xlpm._戻り範囲,
            IF(
              _xlpm._対象月初=_xlpm._今月初,
              "$AG$1:$AG$300",
              "$G$1:$G$300"
            ),
          _xlfn.XLOOKUP(
            $C40,
            INDIRECT(_xlpm._参照先&amp;"$C$1:$C$300"),
            INDIRECT(_xlpm._参照先&amp;_xlpm._戻り範囲)
          )
        )
      )
    ),
    ""
  )
)</f>
        <v/>
      </c>
      <c r="AV40" s="223" t="str" cm="1">
        <f t="array" aca="1" ref="AV40" ca="1">IF($C40="","",
  IFERROR(
    _xlfn.LET(
      _xlpm._対象月初,EOMONTH(AV$1,-1)+1,
      _xlpm._今月初,EOMONTH(基準データ!$C$5,-1)+1,
      IF(
        _xlpm._対象月初&gt;_xlpm._今月初,
        IF(
          OR(AU40="",AU40=0),
          "",
          AU40*AV$46
        ),
        _xlfn.LET(
          _xlpm._参照先,
            "'[在庫状況把握_43期_2025-2026.xlsx]月次報告"
            &amp;TEXT(AV$1,"YYMM")
            &amp;"'!",
          _xlpm._戻り範囲,
            IF(
              _xlpm._対象月初=_xlpm._今月初,
              "$AG$1:$AG$300",
              "$G$1:$G$300"
            ),
          _xlfn.XLOOKUP(
            $C40,
            INDIRECT(_xlpm._参照先&amp;"$C$1:$C$300"),
            INDIRECT(_xlpm._参照先&amp;_xlpm._戻り範囲)
          )
        )
      )
    ),
    ""
  )
)</f>
        <v/>
      </c>
      <c r="AW40" s="223" t="str" cm="1">
        <f t="array" aca="1" ref="AW40" ca="1">IF($C40="","",
  IFERROR(
    _xlfn.LET(
      _xlpm._対象月初,EOMONTH(AW$1,-1)+1,
      _xlpm._今月初,EOMONTH(基準データ!$C$5,-1)+1,
      IF(
        _xlpm._対象月初&gt;_xlpm._今月初,
        IF(
          OR(AV40="",AV40=0),
          "",
          AV40*AW$46
        ),
        _xlfn.LET(
          _xlpm._参照先,
            "'[在庫状況把握_43期_2025-2026.xlsx]月次報告"
            &amp;TEXT(AW$1,"YYMM")
            &amp;"'!",
          _xlpm._戻り範囲,
            IF(
              _xlpm._対象月初=_xlpm._今月初,
              "$AG$1:$AG$300",
              "$G$1:$G$300"
            ),
          _xlfn.XLOOKUP(
            $C40,
            INDIRECT(_xlpm._参照先&amp;"$C$1:$C$300"),
            INDIRECT(_xlpm._参照先&amp;_xlpm._戻り範囲)
          )
        )
      )
    ),
    ""
  )
)</f>
        <v/>
      </c>
      <c r="AX40" s="223" t="str" cm="1">
        <f t="array" aca="1" ref="AX40" ca="1">IF($C40="","",
  IFERROR(
    _xlfn.LET(
      _xlpm._対象月初,EOMONTH(AX$1,-1)+1,
      _xlpm._今月初,EOMONTH(基準データ!$C$5,-1)+1,
      IF(
        _xlpm._対象月初&gt;_xlpm._今月初,
        IF(
          OR(AW40="",AW40=0),
          "",
          AW40*AX$46
        ),
        _xlfn.LET(
          _xlpm._参照先,
            "'[在庫状況把握_43期_2025-2026.xlsx]月次報告"
            &amp;TEXT(AX$1,"YYMM")
            &amp;"'!",
          _xlpm._戻り範囲,
            IF(
              _xlpm._対象月初=_xlpm._今月初,
              "$AG$1:$AG$300",
              "$G$1:$G$300"
            ),
          _xlfn.XLOOKUP(
            $C40,
            INDIRECT(_xlpm._参照先&amp;"$C$1:$C$300"),
            INDIRECT(_xlpm._参照先&amp;_xlpm._戻り範囲)
          )
        )
      )
    ),
    ""
  )
)</f>
        <v/>
      </c>
      <c r="AY40" s="223" t="str" cm="1">
        <f t="array" aca="1" ref="AY40" ca="1">IF($C40="","",
  IFERROR(
    _xlfn.LET(
      _xlpm._対象月初,EOMONTH(AY$1,-1)+1,
      _xlpm._今月初,EOMONTH(基準データ!$C$5,-1)+1,
      IF(
        _xlpm._対象月初&gt;_xlpm._今月初,
        IF(
          OR(AX40="",AX40=0),
          "",
          AX40*AY$46
        ),
        _xlfn.LET(
          _xlpm._参照先,
            "'[在庫状況把握_43期_2025-2026.xlsx]月次報告"
            &amp;TEXT(AY$1,"YYMM")
            &amp;"'!",
          _xlpm._戻り範囲,
            IF(
              _xlpm._対象月初=_xlpm._今月初,
              "$AG$1:$AG$300",
              "$G$1:$G$300"
            ),
          _xlfn.XLOOKUP(
            $C40,
            INDIRECT(_xlpm._参照先&amp;"$C$1:$C$300"),
            INDIRECT(_xlpm._参照先&amp;_xlpm._戻り範囲)
          )
        )
      )
    ),
    ""
  )
)</f>
        <v/>
      </c>
      <c r="AZ40" s="223" t="str" cm="1">
        <f t="array" aca="1" ref="AZ40" ca="1">IF($C40="","",
  IFERROR(
    _xlfn.LET(
      _xlpm._対象月初,EOMONTH(AZ$1,-1)+1,
      _xlpm._今月初,EOMONTH(基準データ!$C$5,-1)+1,
      IF(
        _xlpm._対象月初&gt;_xlpm._今月初,
        IF(
          OR(AY40="",AY40=0),
          "",
          AY40*AZ$46
        ),
        _xlfn.LET(
          _xlpm._参照先,
            "'[在庫状況把握_43期_2025-2026.xlsx]月次報告"
            &amp;TEXT(AZ$1,"YYMM")
            &amp;"'!",
          _xlpm._戻り範囲,
            IF(
              _xlpm._対象月初=_xlpm._今月初,
              "$AG$1:$AG$300",
              "$G$1:$G$300"
            ),
          _xlfn.XLOOKUP(
            $C40,
            INDIRECT(_xlpm._参照先&amp;"$C$1:$C$300"),
            INDIRECT(_xlpm._参照先&amp;_xlpm._戻り範囲)
          )
        )
      )
    ),
    ""
  )
)</f>
        <v/>
      </c>
      <c r="BA40" s="223" t="str" cm="1">
        <f t="array" aca="1" ref="BA40" ca="1">IF($C40="","",
  IFERROR(
    _xlfn.LET(
      _xlpm._対象月初,EOMONTH(BA$1,-1)+1,
      _xlpm._今月初,EOMONTH(基準データ!$C$5,-1)+1,
      IF(
        _xlpm._対象月初&gt;_xlpm._今月初,
        IF(
          OR(AZ40="",AZ40=0),
          "",
          AZ40*BA$46
        ),
        _xlfn.LET(
          _xlpm._参照先,
            "'[在庫状況把握_43期_2025-2026.xlsx]月次報告"
            &amp;TEXT(BA$1,"YYMM")
            &amp;"'!",
          _xlpm._戻り範囲,
            IF(
              _xlpm._対象月初=_xlpm._今月初,
              "$AG$1:$AG$300",
              "$G$1:$G$300"
            ),
          _xlfn.XLOOKUP(
            $C40,
            INDIRECT(_xlpm._参照先&amp;"$C$1:$C$300"),
            INDIRECT(_xlpm._参照先&amp;_xlpm._戻り範囲)
          )
        )
      )
    ),
    ""
  )
)</f>
        <v/>
      </c>
      <c r="BB40" s="223" t="str" cm="1">
        <f t="array" aca="1" ref="BB40" ca="1">IF($C40="","",
  IFERROR(
    _xlfn.LET(
      _xlpm._対象月初,EOMONTH(BB$1,-1)+1,
      _xlpm._今月初,EOMONTH(基準データ!$C$5,-1)+1,
      IF(
        _xlpm._対象月初&gt;_xlpm._今月初,
        IF(
          OR(BA40="",BA40=0),
          "",
          BA40*BB$46
        ),
        _xlfn.LET(
          _xlpm._参照先,
            "'[在庫状況把握_43期_2025-2026.xlsx]月次報告"
            &amp;TEXT(BB$1,"YYMM")
            &amp;"'!",
          _xlpm._戻り範囲,
            IF(
              _xlpm._対象月初=_xlpm._今月初,
              "$AG$1:$AG$300",
              "$G$1:$G$300"
            ),
          _xlfn.XLOOKUP(
            $C40,
            INDIRECT(_xlpm._参照先&amp;"$C$1:$C$300"),
            INDIRECT(_xlpm._参照先&amp;_xlpm._戻り範囲)
          )
        )
      )
    ),
    ""
  )
)</f>
        <v/>
      </c>
      <c r="BC40" s="223" t="str" cm="1">
        <f t="array" aca="1" ref="BC40" ca="1">IF($C40="","",
  IFERROR(
    _xlfn.LET(
      _xlpm._対象月初,EOMONTH(BC$1,-1)+1,
      _xlpm._今月初,EOMONTH(基準データ!$C$5,-1)+1,
      IF(
        _xlpm._対象月初&gt;_xlpm._今月初,
        IF(
          OR(BB40="",BB40=0),
          "",
          BB40*BC$46
        ),
        _xlfn.LET(
          _xlpm._参照先,
            "'[在庫状況把握_43期_2025-2026.xlsx]月次報告"
            &amp;TEXT(BC$1,"YYMM")
            &amp;"'!",
          _xlpm._戻り範囲,
            IF(
              _xlpm._対象月初=_xlpm._今月初,
              "$AG$1:$AG$300",
              "$G$1:$G$300"
            ),
          _xlfn.XLOOKUP(
            $C40,
            INDIRECT(_xlpm._参照先&amp;"$C$1:$C$300"),
            INDIRECT(_xlpm._参照先&amp;_xlpm._戻り範囲)
          )
        )
      )
    ),
    ""
  )
)</f>
        <v/>
      </c>
      <c r="BD40" s="223" t="str" cm="1">
        <f t="array" aca="1" ref="BD40" ca="1">IF($C40="","",
  IFERROR(
    _xlfn.LET(
      _xlpm._対象月初,EOMONTH(BD$1,-1)+1,
      _xlpm._今月初,EOMONTH(基準データ!$C$5,-1)+1,
      IF(
        _xlpm._対象月初&gt;_xlpm._今月初,
        IF(
          OR(BC40="",BC40=0),
          "",
          BC40*BD$46
        ),
        _xlfn.LET(
          _xlpm._参照先,
            "'[在庫状況把握_43期_2025-2026.xlsx]月次報告"
            &amp;TEXT(BD$1,"YYMM")
            &amp;"'!",
          _xlpm._戻り範囲,
            IF(
              _xlpm._対象月初=_xlpm._今月初,
              "$AG$1:$AG$300",
              "$G$1:$G$300"
            ),
          _xlfn.XLOOKUP(
            $C40,
            INDIRECT(_xlpm._参照先&amp;"$C$1:$C$300"),
            INDIRECT(_xlpm._参照先&amp;_xlpm._戻り範囲)
          )
        )
      )
    ),
    ""
  )
)</f>
        <v/>
      </c>
    </row>
    <row r="41" spans="1:56">
      <c r="A41" s="1061" t="s">
        <v>1642</v>
      </c>
      <c r="B41" s="26" t="str">
        <v>UNW-E-13620H-4050-L6 Creator</v>
      </c>
      <c r="C41" s="25" t="s">
        <v>458</v>
      </c>
      <c r="D41" s="68" t="s">
        <v>1367</v>
      </c>
      <c r="E41" s="68">
        <v>4050</v>
      </c>
      <c r="F41" s="68" t="s">
        <v>1347</v>
      </c>
      <c r="G41" s="355">
        <v>555</v>
      </c>
      <c r="H41" s="109" cm="1">
        <f t="array" aca="1" ref="H41" ca="1">_xlfn.LET(_xlpm._来月から4ヶ月計画合計,
  SUM(
    OFFSET($A41,0,
      MATCH(
        EDATE(基準データ!$C$5,3),$A$1:$BF$1,1
      )-3,1,4)),
_xlpm._今月計画数,
INDEX($A$1:$BE$223,
  ROW(),
  MATCH(EOMONTH(基準データ!$C$5,-1)+1,$A$1:$BE$1,0)
),
  IFERROR(IF($B41="","",_xlpm._来月から4ヶ月計画合計+_xlpm._今月計画数/2),""
)
)</f>
        <v>972.70491735714313</v>
      </c>
      <c r="I41" s="38"/>
      <c r="J41" s="38"/>
      <c r="K41" s="38"/>
      <c r="L41" s="38"/>
      <c r="M41" s="38"/>
      <c r="N41" s="38"/>
      <c r="O41" s="38"/>
      <c r="P41" s="38"/>
      <c r="Q41" s="219"/>
      <c r="R41" s="224"/>
      <c r="S41" s="224"/>
      <c r="T41" s="219"/>
      <c r="U41" s="224">
        <v>176</v>
      </c>
      <c r="V41" s="224">
        <v>79</v>
      </c>
      <c r="W41" s="219">
        <v>106</v>
      </c>
      <c r="X41" s="480">
        <v>105</v>
      </c>
      <c r="Y41" s="219">
        <v>73</v>
      </c>
      <c r="Z41" s="219">
        <v>112</v>
      </c>
      <c r="AA41" s="219">
        <v>157</v>
      </c>
      <c r="AB41" s="219">
        <v>276</v>
      </c>
      <c r="AC41" s="224">
        <v>181</v>
      </c>
      <c r="AD41" s="224">
        <v>218</v>
      </c>
      <c r="AE41" s="223">
        <v>103</v>
      </c>
      <c r="AF41" s="223">
        <v>163</v>
      </c>
      <c r="AG41" s="223">
        <v>88</v>
      </c>
      <c r="AH41" s="223">
        <v>44</v>
      </c>
      <c r="AI41" s="223">
        <v>90</v>
      </c>
      <c r="AJ41" s="223">
        <v>117</v>
      </c>
      <c r="AK41" s="223">
        <v>64</v>
      </c>
      <c r="AL41" s="223" cm="1">
        <f t="array" aca="1" ref="AL41" ca="1">IF($C41="","",
  IFERROR(
    _xlfn.LET(
      _xlpm._対象月初,EOMONTH(AL$1,-1)+1,
      _xlpm._今月初,EOMONTH(基準データ!$C$5,-1)+1,
      IF(
        _xlpm._対象月初&gt;_xlpm._今月初,
        IF(
          OR(AK41="",AK41=0),
          "",
          AK41*AL$46
        ),
        _xlfn.LET(
          _xlpm._参照先,
            "'[在庫状況把握_43期_2025-2026.xlsx]月次報告"
            &amp;TEXT(AL$1,"YYMM")
            &amp;"'!",
          _xlpm._戻り範囲,
            IF(
              _xlpm._対象月初=_xlpm._今月初,
              "$AG$1:$AG$300",
              "$G$1:$G$300"
            ),
          _xlfn.XLOOKUP(
            $C41,
            INDIRECT(_xlpm._参照先&amp;"$C$1:$C$300"),
            INDIRECT(_xlpm._参照先&amp;_xlpm._戻り範囲)
          )
        )
      )
    ),
    ""
  )
)</f>
        <v>201</v>
      </c>
      <c r="AM41" s="223" cm="1">
        <f t="array" aca="1" ref="AM41" ca="1">IF($C41="","",
  IFERROR(
    _xlfn.LET(
      _xlpm._対象月初,EOMONTH(AM$1,-1)+1,
      _xlpm._今月初,EOMONTH(基準データ!$C$5,-1)+1,
      IF(
        _xlpm._対象月初&gt;_xlpm._今月初,
        IF(
          OR(AL41="",AL41=0),
          "",
          AL41*AM$46
        ),
        _xlfn.LET(
          _xlpm._参照先,
            "'[在庫状況把握_43期_2025-2026.xlsx]月次報告"
            &amp;TEXT(AM$1,"YYMM")
            &amp;"'!",
          _xlpm._戻り範囲,
            IF(
              _xlpm._対象月初=_xlpm._今月初,
              "$AG$1:$AG$300",
              "$G$1:$G$300"
            ),
          _xlfn.XLOOKUP(
            $C41,
            INDIRECT(_xlpm._参照先&amp;"$C$1:$C$300"),
            INDIRECT(_xlpm._参照先&amp;_xlpm._戻り範囲)
          )
        )
      )
    ),
    ""
  )
)</f>
        <v>193.75</v>
      </c>
      <c r="AN41" s="223" cm="1">
        <f t="array" aca="1" ref="AN41" ca="1">IF($C41="","",
  IFERROR(
    _xlfn.LET(
      _xlpm._対象月初,EOMONTH(AN$1,-1)+1,
      _xlpm._今月初,EOMONTH(基準データ!$C$5,-1)+1,
      IF(
        _xlpm._対象月初&gt;_xlpm._今月初,
        IF(
          OR(AM41="",AM41=0),
          "",
          AM41*AN$46
        ),
        _xlfn.LET(
          _xlpm._参照先,
            "'[在庫状況把握_43期_2025-2026.xlsx]月次報告"
            &amp;TEXT(AN$1,"YYMM")
            &amp;"'!",
          _xlpm._戻り範囲,
            IF(
              _xlpm._対象月初=_xlpm._今月初,
              "$AG$1:$AG$300",
              "$G$1:$G$300"
            ),
          _xlfn.XLOOKUP(
            $C41,
            INDIRECT(_xlpm._参照先&amp;"$C$1:$C$300"),
            INDIRECT(_xlpm._参照先&amp;_xlpm._戻り範囲)
          )
        )
      )
    ),
    ""
  )
)</f>
        <v>204.93160487252877</v>
      </c>
      <c r="AO41" s="223" cm="1">
        <f t="array" aca="1" ref="AO41" ca="1">IF($C41="","",
  IFERROR(
    _xlfn.LET(
      _xlpm._対象月初,EOMONTH(AO$1,-1)+1,
      _xlpm._今月初,EOMONTH(基準データ!$C$5,-1)+1,
      IF(
        _xlpm._対象月初&gt;_xlpm._今月初,
        IF(
          OR(AN41="",AN41=0),
          "",
          AN41*AO$46
        ),
        _xlfn.LET(
          _xlpm._参照先,
            "'[在庫状況把握_43期_2025-2026.xlsx]月次報告"
            &amp;TEXT(AO$1,"YYMM")
            &amp;"'!",
          _xlpm._戻り範囲,
            IF(
              _xlpm._対象月初=_xlpm._今月初,
              "$AG$1:$AG$300",
              "$G$1:$G$300"
            ),
          _xlfn.XLOOKUP(
            $C41,
            INDIRECT(_xlpm._参照先&amp;"$C$1:$C$300"),
            INDIRECT(_xlpm._参照先&amp;_xlpm._戻り範囲)
          )
        )
      )
    ),
    ""
  )
)</f>
        <v>221.48261554505316</v>
      </c>
      <c r="AP41" s="223" cm="1">
        <f t="array" aca="1" ref="AP41" ca="1">IF($C41="","",
  IFERROR(
    _xlfn.LET(
      _xlpm._対象月初,EOMONTH(AP$1,-1)+1,
      _xlpm._今月初,EOMONTH(基準データ!$C$5,-1)+1,
      IF(
        _xlpm._対象月初&gt;_xlpm._今月初,
        IF(
          OR(AO41="",AO41=0),
          "",
          AO41*AP$46
        ),
        _xlfn.LET(
          _xlpm._参照先,
            "'[在庫状況把握_43期_2025-2026.xlsx]月次報告"
            &amp;TEXT(AP$1,"YYMM")
            &amp;"'!",
          _xlpm._戻り範囲,
            IF(
              _xlpm._対象月初=_xlpm._今月初,
              "$AG$1:$AG$300",
              "$G$1:$G$300"
            ),
          _xlfn.XLOOKUP(
            $C41,
            INDIRECT(_xlpm._参照先&amp;"$C$1:$C$300"),
            INDIRECT(_xlpm._参照先&amp;_xlpm._戻り範囲)
          )
        )
      )
    ),
    ""
  )
)</f>
        <v>223.66188484193086</v>
      </c>
      <c r="AQ41" s="223" cm="1">
        <f t="array" aca="1" ref="AQ41" ca="1">IF($C41="","",
  IFERROR(
    _xlfn.LET(
      _xlpm._対象月初,EOMONTH(AQ$1,-1)+1,
      _xlpm._今月初,EOMONTH(基準データ!$C$5,-1)+1,
      IF(
        _xlpm._対象月初&gt;_xlpm._今月初,
        IF(
          OR(AP41="",AP41=0),
          "",
          AP41*AQ$46
        ),
        _xlfn.LET(
          _xlpm._参照先,
            "'[在庫状況把握_43期_2025-2026.xlsx]月次報告"
            &amp;TEXT(AQ$1,"YYMM")
            &amp;"'!",
          _xlpm._戻り範囲,
            IF(
              _xlpm._対象月初=_xlpm._今月初,
              "$AG$1:$AG$300",
              "$G$1:$G$300"
            ),
          _xlfn.XLOOKUP(
            $C41,
            INDIRECT(_xlpm._参照先&amp;"$C$1:$C$300"),
            INDIRECT(_xlpm._参照先&amp;_xlpm._戻り範囲)
          )
        )
      )
    ),
    ""
  )
)</f>
        <v>225.75381209763032</v>
      </c>
      <c r="AR41" s="223" cm="1">
        <f t="array" aca="1" ref="AR41" ca="1">IF($C41="","",
  IFERROR(
    _xlfn.LET(
      _xlpm._対象月初,EOMONTH(AR$1,-1)+1,
      _xlpm._今月初,EOMONTH(基準データ!$C$5,-1)+1,
      IF(
        _xlpm._対象月初&gt;_xlpm._今月初,
        IF(
          OR(AQ41="",AQ41=0),
          "",
          AQ41*AR$46
        ),
        _xlfn.LET(
          _xlpm._参照先,
            "'[在庫状況把握_43期_2025-2026.xlsx]月次報告"
            &amp;TEXT(AR$1,"YYMM")
            &amp;"'!",
          _xlpm._戻り範囲,
            IF(
              _xlpm._対象月初=_xlpm._今月初,
              "$AG$1:$AG$300",
              "$G$1:$G$300"
            ),
          _xlfn.XLOOKUP(
            $C41,
            INDIRECT(_xlpm._参照先&amp;"$C$1:$C$300"),
            INDIRECT(_xlpm._参照先&amp;_xlpm._戻り範囲)
          )
        )
      )
    ),
    ""
  )
)</f>
        <v>354.81927710843377</v>
      </c>
      <c r="AS41" s="223" cm="1">
        <f t="array" aca="1" ref="AS41" ca="1">IF($C41="","",
  IFERROR(
    _xlfn.LET(
      _xlpm._対象月初,EOMONTH(AS$1,-1)+1,
      _xlpm._今月初,EOMONTH(基準データ!$C$5,-1)+1,
      IF(
        _xlpm._対象月初&gt;_xlpm._今月初,
        IF(
          OR(AR41="",AR41=0),
          "",
          AR41*AS$46
        ),
        _xlfn.LET(
          _xlpm._参照先,
            "'[在庫状況把握_43期_2025-2026.xlsx]月次報告"
            &amp;TEXT(AS$1,"YYMM")
            &amp;"'!",
          _xlpm._戻り範囲,
            IF(
              _xlpm._対象月初=_xlpm._今月初,
              "$AG$1:$AG$300",
              "$G$1:$G$300"
            ),
          _xlfn.XLOOKUP(
            $C41,
            INDIRECT(_xlpm._参照先&amp;"$C$1:$C$300"),
            INDIRECT(_xlpm._参照先&amp;_xlpm._戻り範囲)
          )
        )
      )
    ),
    ""
  )
)</f>
        <v>300.10709627298348</v>
      </c>
      <c r="AT41" s="223" cm="1">
        <f t="array" aca="1" ref="AT41" ca="1">IF($C41="","",
  IFERROR(
    _xlfn.LET(
      _xlpm._対象月初,EOMONTH(AT$1,-1)+1,
      _xlpm._今月初,EOMONTH(基準データ!$C$5,-1)+1,
      IF(
        _xlpm._対象月初&gt;_xlpm._今月初,
        IF(
          OR(AS41="",AS41=0),
          "",
          AS41*AT$46
        ),
        _xlfn.LET(
          _xlpm._参照先,
            "'[在庫状況把握_43期_2025-2026.xlsx]月次報告"
            &amp;TEXT(AT$1,"YYMM")
            &amp;"'!",
          _xlpm._戻り範囲,
            IF(
              _xlpm._対象月初=_xlpm._今月初,
              "$AG$1:$AG$300",
              "$G$1:$G$300"
            ),
          _xlfn.XLOOKUP(
            $C41,
            INDIRECT(_xlpm._参照先&amp;"$C$1:$C$300"),
            INDIRECT(_xlpm._参照先&amp;_xlpm._戻り範囲)
          )
        )
      )
    ),
    ""
  )
)</f>
        <v>198.41867469879517</v>
      </c>
      <c r="AU41" s="223" cm="1">
        <f t="array" aca="1" ref="AU41" ca="1">IF($C41="","",
  IFERROR(
    _xlfn.LET(
      _xlpm._対象月初,EOMONTH(AU$1,-1)+1,
      _xlpm._今月初,EOMONTH(基準データ!$C$5,-1)+1,
      IF(
        _xlpm._対象月初&gt;_xlpm._今月初,
        IF(
          OR(AT41="",AT41=0),
          "",
          AT41*AU$46
        ),
        _xlfn.LET(
          _xlpm._参照先,
            "'[在庫状況把握_43期_2025-2026.xlsx]月次報告"
            &amp;TEXT(AU$1,"YYMM")
            &amp;"'!",
          _xlpm._戻り範囲,
            IF(
              _xlpm._対象月初=_xlpm._今月初,
              "$AG$1:$AG$300",
              "$G$1:$G$300"
            ),
          _xlfn.XLOOKUP(
            $C41,
            INDIRECT(_xlpm._参照先&amp;"$C$1:$C$300"),
            INDIRECT(_xlpm._参照先&amp;_xlpm._戻り範囲)
          )
        )
      )
    ),
    ""
  )
)</f>
        <v>296.92771084337346</v>
      </c>
      <c r="AV41" s="223" cm="1">
        <f t="array" aca="1" ref="AV41" ca="1">IF($C41="","",
  IFERROR(
    _xlfn.LET(
      _xlpm._対象月初,EOMONTH(AV$1,-1)+1,
      _xlpm._今月初,EOMONTH(基準データ!$C$5,-1)+1,
      IF(
        _xlpm._対象月初&gt;_xlpm._今月初,
        IF(
          OR(AU41="",AU41=0),
          "",
          AU41*AV$46
        ),
        _xlfn.LET(
          _xlpm._参照先,
            "'[在庫状況把握_43期_2025-2026.xlsx]月次報告"
            &amp;TEXT(AV$1,"YYMM")
            &amp;"'!",
          _xlpm._戻り範囲,
            IF(
              _xlpm._対象月初=_xlpm._今月初,
              "$AG$1:$AG$300",
              "$G$1:$G$300"
            ),
          _xlfn.XLOOKUP(
            $C41,
            INDIRECT(_xlpm._参照先&amp;"$C$1:$C$300"),
            INDIRECT(_xlpm._参照先&amp;_xlpm._戻り範囲)
          )
        )
      )
    ),
    ""
  )
)</f>
        <v>221.92389141533141</v>
      </c>
      <c r="AW41" s="223" cm="1">
        <f t="array" aca="1" ref="AW41" ca="1">IF($C41="","",
  IFERROR(
    _xlfn.LET(
      _xlpm._対象月初,EOMONTH(AW$1,-1)+1,
      _xlpm._今月初,EOMONTH(基準データ!$C$5,-1)+1,
      IF(
        _xlpm._対象月初&gt;_xlpm._今月初,
        IF(
          OR(AV41="",AV41=0),
          "",
          AV41*AW$46
        ),
        _xlfn.LET(
          _xlpm._参照先,
            "'[在庫状況把握_43期_2025-2026.xlsx]月次報告"
            &amp;TEXT(AW$1,"YYMM")
            &amp;"'!",
          _xlpm._戻り範囲,
            IF(
              _xlpm._対象月初=_xlpm._今月初,
              "$AG$1:$AG$300",
              "$G$1:$G$300"
            ),
          _xlfn.XLOOKUP(
            $C41,
            INDIRECT(_xlpm._参照先&amp;"$C$1:$C$300"),
            INDIRECT(_xlpm._参照先&amp;_xlpm._戻り範囲)
          )
        )
      )
    ),
    ""
  )
)</f>
        <v>187.68072289156626</v>
      </c>
      <c r="AX41" s="223" cm="1">
        <f t="array" aca="1" ref="AX41" ca="1">IF($C41="","",
  IFERROR(
    _xlfn.LET(
      _xlpm._対象月初,EOMONTH(AX$1,-1)+1,
      _xlpm._今月初,EOMONTH(基準データ!$C$5,-1)+1,
      IF(
        _xlpm._対象月初&gt;_xlpm._今月初,
        IF(
          OR(AW41="",AW41=0),
          "",
          AW41*AX$46
        ),
        _xlfn.LET(
          _xlpm._参照先,
            "'[在庫状況把握_43期_2025-2026.xlsx]月次報告"
            &amp;TEXT(AX$1,"YYMM")
            &amp;"'!",
          _xlpm._戻り範囲,
            IF(
              _xlpm._対象月初=_xlpm._今月初,
              "$AG$1:$AG$300",
              "$G$1:$G$300"
            ),
          _xlfn.XLOOKUP(
            $C41,
            INDIRECT(_xlpm._参照先&amp;"$C$1:$C$300"),
            INDIRECT(_xlpm._参照先&amp;_xlpm._戻り範囲)
          )
        )
      )
    ),
    ""
  )
)</f>
        <v>197.23417456831962</v>
      </c>
      <c r="AY41" s="223" cm="1">
        <f t="array" aca="1" ref="AY41" ca="1">IF($C41="","",
  IFERROR(
    _xlfn.LET(
      _xlpm._対象月初,EOMONTH(AY$1,-1)+1,
      _xlpm._今月初,EOMONTH(基準データ!$C$5,-1)+1,
      IF(
        _xlpm._対象月初&gt;_xlpm._今月初,
        IF(
          OR(AX41="",AX41=0),
          "",
          AX41*AY$46
        ),
        _xlfn.LET(
          _xlpm._参照先,
            "'[在庫状況把握_43期_2025-2026.xlsx]月次報告"
            &amp;TEXT(AY$1,"YYMM")
            &amp;"'!",
          _xlpm._戻り範囲,
            IF(
              _xlpm._対象月初=_xlpm._今月初,
              "$AG$1:$AG$300",
              "$G$1:$G$300"
            ),
          _xlfn.XLOOKUP(
            $C41,
            INDIRECT(_xlpm._参照先&amp;"$C$1:$C$300"),
            INDIRECT(_xlpm._参照先&amp;_xlpm._戻り範囲)
          )
        )
      )
    ),
    ""
  )
)</f>
        <v>193.75</v>
      </c>
      <c r="AZ41" s="223" cm="1">
        <f t="array" aca="1" ref="AZ41" ca="1">IF($C41="","",
  IFERROR(
    _xlfn.LET(
      _xlpm._対象月初,EOMONTH(AZ$1,-1)+1,
      _xlpm._今月初,EOMONTH(基準データ!$C$5,-1)+1,
      IF(
        _xlpm._対象月初&gt;_xlpm._今月初,
        IF(
          OR(AY41="",AY41=0),
          "",
          AY41*AZ$46
        ),
        _xlfn.LET(
          _xlpm._参照先,
            "'[在庫状況把握_43期_2025-2026.xlsx]月次報告"
            &amp;TEXT(AZ$1,"YYMM")
            &amp;"'!",
          _xlpm._戻り範囲,
            IF(
              _xlpm._対象月初=_xlpm._今月初,
              "$AG$1:$AG$300",
              "$G$1:$G$300"
            ),
          _xlfn.XLOOKUP(
            $C41,
            INDIRECT(_xlpm._参照先&amp;"$C$1:$C$300"),
            INDIRECT(_xlpm._参照先&amp;_xlpm._戻り範囲)
          )
        )
      )
    ),
    ""
  )
)</f>
        <v>204.93160487252877</v>
      </c>
      <c r="BA41" s="223" cm="1">
        <f t="array" aca="1" ref="BA41" ca="1">IF($C41="","",
  IFERROR(
    _xlfn.LET(
      _xlpm._対象月初,EOMONTH(BA$1,-1)+1,
      _xlpm._今月初,EOMONTH(基準データ!$C$5,-1)+1,
      IF(
        _xlpm._対象月初&gt;_xlpm._今月初,
        IF(
          OR(AZ41="",AZ41=0),
          "",
          AZ41*BA$46
        ),
        _xlfn.LET(
          _xlpm._参照先,
            "'[在庫状況把握_43期_2025-2026.xlsx]月次報告"
            &amp;TEXT(BA$1,"YYMM")
            &amp;"'!",
          _xlpm._戻り範囲,
            IF(
              _xlpm._対象月初=_xlpm._今月初,
              "$AG$1:$AG$300",
              "$G$1:$G$300"
            ),
          _xlfn.XLOOKUP(
            $C41,
            INDIRECT(_xlpm._参照先&amp;"$C$1:$C$300"),
            INDIRECT(_xlpm._参照先&amp;_xlpm._戻り範囲)
          )
        )
      )
    ),
    ""
  )
)</f>
        <v>221.48261554505316</v>
      </c>
      <c r="BB41" s="223" cm="1">
        <f t="array" aca="1" ref="BB41" ca="1">IF($C41="","",
  IFERROR(
    _xlfn.LET(
      _xlpm._対象月初,EOMONTH(BB$1,-1)+1,
      _xlpm._今月初,EOMONTH(基準データ!$C$5,-1)+1,
      IF(
        _xlpm._対象月初&gt;_xlpm._今月初,
        IF(
          OR(BA41="",BA41=0),
          "",
          BA41*BB$46
        ),
        _xlfn.LET(
          _xlpm._参照先,
            "'[在庫状況把握_43期_2025-2026.xlsx]月次報告"
            &amp;TEXT(BB$1,"YYMM")
            &amp;"'!",
          _xlpm._戻り範囲,
            IF(
              _xlpm._対象月初=_xlpm._今月初,
              "$AG$1:$AG$300",
              "$G$1:$G$300"
            ),
          _xlfn.XLOOKUP(
            $C41,
            INDIRECT(_xlpm._参照先&amp;"$C$1:$C$300"),
            INDIRECT(_xlpm._参照先&amp;_xlpm._戻り範囲)
          )
        )
      )
    ),
    ""
  )
)</f>
        <v>223.66188484193086</v>
      </c>
      <c r="BC41" s="223" cm="1">
        <f t="array" aca="1" ref="BC41" ca="1">IF($C41="","",
  IFERROR(
    _xlfn.LET(
      _xlpm._対象月初,EOMONTH(BC$1,-1)+1,
      _xlpm._今月初,EOMONTH(基準データ!$C$5,-1)+1,
      IF(
        _xlpm._対象月初&gt;_xlpm._今月初,
        IF(
          OR(BB41="",BB41=0),
          "",
          BB41*BC$46
        ),
        _xlfn.LET(
          _xlpm._参照先,
            "'[在庫状況把握_43期_2025-2026.xlsx]月次報告"
            &amp;TEXT(BC$1,"YYMM")
            &amp;"'!",
          _xlpm._戻り範囲,
            IF(
              _xlpm._対象月初=_xlpm._今月初,
              "$AG$1:$AG$300",
              "$G$1:$G$300"
            ),
          _xlfn.XLOOKUP(
            $C41,
            INDIRECT(_xlpm._参照先&amp;"$C$1:$C$300"),
            INDIRECT(_xlpm._参照先&amp;_xlpm._戻り範囲)
          )
        )
      )
    ),
    ""
  )
)</f>
        <v>225.75381209763032</v>
      </c>
      <c r="BD41" s="223" cm="1">
        <f t="array" aca="1" ref="BD41" ca="1">IF($C41="","",
  IFERROR(
    _xlfn.LET(
      _xlpm._対象月初,EOMONTH(BD$1,-1)+1,
      _xlpm._今月初,EOMONTH(基準データ!$C$5,-1)+1,
      IF(
        _xlpm._対象月初&gt;_xlpm._今月初,
        IF(
          OR(BC41="",BC41=0),
          "",
          BC41*BD$46
        ),
        _xlfn.LET(
          _xlpm._参照先,
            "'[在庫状況把握_43期_2025-2026.xlsx]月次報告"
            &amp;TEXT(BD$1,"YYMM")
            &amp;"'!",
          _xlpm._戻り範囲,
            IF(
              _xlpm._対象月初=_xlpm._今月初,
              "$AG$1:$AG$300",
              "$G$1:$G$300"
            ),
          _xlfn.XLOOKUP(
            $C41,
            INDIRECT(_xlpm._参照先&amp;"$C$1:$C$300"),
            INDIRECT(_xlpm._参照先&amp;_xlpm._戻り範囲)
          )
        )
      )
    ),
    ""
  )
)</f>
        <v>354.81927710843377</v>
      </c>
    </row>
    <row r="42" spans="1:56">
      <c r="A42" s="1061" t="s">
        <v>1642</v>
      </c>
      <c r="B42" s="26" t="str">
        <v>UNW-E-13620H-3050-L6 Creator</v>
      </c>
      <c r="C42" s="25" t="s">
        <v>463</v>
      </c>
      <c r="D42" s="68" t="s">
        <v>1367</v>
      </c>
      <c r="E42" s="68">
        <v>3050</v>
      </c>
      <c r="F42" s="68" t="s">
        <v>1347</v>
      </c>
      <c r="G42" s="355">
        <v>11</v>
      </c>
      <c r="H42" s="109" cm="1">
        <f t="array" aca="1" ref="H42" ca="1">_xlfn.LET(_xlpm._来月から4ヶ月計画合計,
  SUM(
    OFFSET($A42,0,
      MATCH(
        EDATE(基準データ!$C$5,3),$A$1:$BF$1,1
      )-3,1,4)),
_xlpm._今月計画数,
INDEX($A$1:$BE$223,
  ROW(),
  MATCH(EOMONTH(基準データ!$C$5,-1)+1,$A$1:$BE$1,0)
),
  IFERROR(IF($B42="","",_xlpm._来月から4ヶ月計画合計+_xlpm._今月計画数/2),""
)
)</f>
        <v>166.74941440408165</v>
      </c>
      <c r="I42" s="38"/>
      <c r="J42" s="38"/>
      <c r="K42" s="38"/>
      <c r="L42" s="38"/>
      <c r="M42" s="38"/>
      <c r="N42" s="38"/>
      <c r="O42" s="38"/>
      <c r="P42" s="38"/>
      <c r="Q42" s="219"/>
      <c r="R42" s="224"/>
      <c r="S42" s="224"/>
      <c r="T42" s="219"/>
      <c r="U42" s="224">
        <v>349</v>
      </c>
      <c r="V42" s="224">
        <v>201</v>
      </c>
      <c r="W42" s="219">
        <v>248</v>
      </c>
      <c r="X42" s="480">
        <v>220</v>
      </c>
      <c r="Y42" s="219">
        <v>197</v>
      </c>
      <c r="Z42" s="219">
        <v>242</v>
      </c>
      <c r="AA42" s="219">
        <v>378</v>
      </c>
      <c r="AB42" s="219">
        <v>534</v>
      </c>
      <c r="AC42" s="224">
        <v>439</v>
      </c>
      <c r="AD42" s="224">
        <v>280</v>
      </c>
      <c r="AE42" s="223">
        <v>112</v>
      </c>
      <c r="AF42" s="223">
        <v>309</v>
      </c>
      <c r="AG42" s="223">
        <v>184</v>
      </c>
      <c r="AH42" s="223">
        <v>85</v>
      </c>
      <c r="AI42" s="223">
        <v>105</v>
      </c>
      <c r="AJ42" s="223">
        <v>97</v>
      </c>
      <c r="AK42" s="223">
        <v>85</v>
      </c>
      <c r="AL42" s="223" cm="1">
        <f t="array" aca="1" ref="AL42" ca="1">IF($C42="","",
  IFERROR(
    _xlfn.LET(
      _xlpm._対象月初,EOMONTH(AL$1,-1)+1,
      _xlpm._今月初,EOMONTH(基準データ!$C$5,-1)+1,
      IF(
        _xlpm._対象月初&gt;_xlpm._今月初,
        IF(
          OR(AK42="",AK42=0),
          "",
          AK42*AL$46
        ),
        _xlfn.LET(
          _xlpm._参照先,
            "'[在庫状況把握_43期_2025-2026.xlsx]月次報告"
            &amp;TEXT(AL$1,"YYMM")
            &amp;"'!",
          _xlpm._戻り範囲,
            IF(
              _xlpm._対象月初=_xlpm._今月初,
              "$AG$1:$AG$300",
              "$G$1:$G$300"
            ),
          _xlfn.XLOOKUP(
            $C42,
            INDIRECT(_xlpm._参照先&amp;"$C$1:$C$300"),
            INDIRECT(_xlpm._参照先&amp;_xlpm._戻り範囲)
          )
        )
      )
    ),
    ""
  )
)</f>
        <v>30</v>
      </c>
      <c r="AM42" s="223" cm="1">
        <f t="array" aca="1" ref="AM42" ca="1">IF($C42="","",
  IFERROR(
    _xlfn.LET(
      _xlpm._対象月初,EOMONTH(AM$1,-1)+1,
      _xlpm._今月初,EOMONTH(基準データ!$C$5,-1)+1,
      IF(
        _xlpm._対象月初&gt;_xlpm._今月初,
        IF(
          OR(AL42="",AL42=0),
          "",
          AL42*AM$46
        ),
        _xlfn.LET(
          _xlpm._参照先,
            "'[在庫状況把握_43期_2025-2026.xlsx]月次報告"
            &amp;TEXT(AM$1,"YYMM")
            &amp;"'!",
          _xlpm._戻り範囲,
            IF(
              _xlpm._対象月初=_xlpm._今月初,
              "$AG$1:$AG$300",
              "$G$1:$G$300"
            ),
          _xlfn.XLOOKUP(
            $C42,
            INDIRECT(_xlpm._参照先&amp;"$C$1:$C$300"),
            INDIRECT(_xlpm._参照先&amp;_xlpm._戻り範囲)
          )
        )
      )
    ),
    ""
  )
)</f>
        <v>33.214285714285715</v>
      </c>
      <c r="AN42" s="223" cm="1">
        <f t="array" aca="1" ref="AN42" ca="1">IF($C42="","",
  IFERROR(
    _xlfn.LET(
      _xlpm._対象月初,EOMONTH(AN$1,-1)+1,
      _xlpm._今月初,EOMONTH(基準データ!$C$5,-1)+1,
      IF(
        _xlpm._対象月初&gt;_xlpm._今月初,
        IF(
          OR(AM42="",AM42=0),
          "",
          AM42*AN$46
        ),
        _xlfn.LET(
          _xlpm._参照先,
            "'[在庫状況把握_43期_2025-2026.xlsx]月次報告"
            &amp;TEXT(AN$1,"YYMM")
            &amp;"'!",
          _xlpm._戻り範囲,
            IF(
              _xlpm._対象月初=_xlpm._今月初,
              "$AG$1:$AG$300",
              "$G$1:$G$300"
            ),
          _xlfn.XLOOKUP(
            $C42,
            INDIRECT(_xlpm._参照先&amp;"$C$1:$C$300"),
            INDIRECT(_xlpm._参照先&amp;_xlpm._戻り範囲)
          )
        )
      )
    ),
    ""
  )
)</f>
        <v>35.131132263862071</v>
      </c>
      <c r="AO42" s="223" cm="1">
        <f t="array" aca="1" ref="AO42" ca="1">IF($C42="","",
  IFERROR(
    _xlfn.LET(
      _xlpm._対象月初,EOMONTH(AO$1,-1)+1,
      _xlpm._今月初,EOMONTH(基準データ!$C$5,-1)+1,
      IF(
        _xlpm._対象月初&gt;_xlpm._今月初,
        IF(
          OR(AN42="",AN42=0),
          "",
          AN42*AO$46
        ),
        _xlfn.LET(
          _xlpm._参照先,
            "'[在庫状況把握_43期_2025-2026.xlsx]月次報告"
            &amp;TEXT(AO$1,"YYMM")
            &amp;"'!",
          _xlpm._戻り範囲,
            IF(
              _xlpm._対象月初=_xlpm._今月初,
              "$AG$1:$AG$300",
              "$G$1:$G$300"
            ),
          _xlfn.XLOOKUP(
            $C42,
            INDIRECT(_xlpm._参照先&amp;"$C$1:$C$300"),
            INDIRECT(_xlpm._参照先&amp;_xlpm._戻り範囲)
          )
        )
      )
    ),
    ""
  )
)</f>
        <v>37.968448379151965</v>
      </c>
      <c r="AP42" s="223" cm="1">
        <f t="array" aca="1" ref="AP42" ca="1">IF($C42="","",
  IFERROR(
    _xlfn.LET(
      _xlpm._対象月初,EOMONTH(AP$1,-1)+1,
      _xlpm._今月初,EOMONTH(基準データ!$C$5,-1)+1,
      IF(
        _xlpm._対象月初&gt;_xlpm._今月初,
        IF(
          OR(AO42="",AO42=0),
          "",
          AO42*AP$46
        ),
        _xlfn.LET(
          _xlpm._参照先,
            "'[在庫状況把握_43期_2025-2026.xlsx]月次報告"
            &amp;TEXT(AP$1,"YYMM")
            &amp;"'!",
          _xlpm._戻り範囲,
            IF(
              _xlpm._対象月初=_xlpm._今月初,
              "$AG$1:$AG$300",
              "$G$1:$G$300"
            ),
          _xlfn.XLOOKUP(
            $C42,
            INDIRECT(_xlpm._参照先&amp;"$C$1:$C$300"),
            INDIRECT(_xlpm._参照先&amp;_xlpm._戻り範囲)
          )
        )
      )
    ),
    ""
  )
)</f>
        <v>38.342037401473853</v>
      </c>
      <c r="AQ42" s="223" cm="1">
        <f t="array" aca="1" ref="AQ42" ca="1">IF($C42="","",
  IFERROR(
    _xlfn.LET(
      _xlpm._対象月初,EOMONTH(AQ$1,-1)+1,
      _xlpm._今月初,EOMONTH(基準データ!$C$5,-1)+1,
      IF(
        _xlpm._対象月初&gt;_xlpm._今月初,
        IF(
          OR(AP42="",AP42=0),
          "",
          AP42*AQ$46
        ),
        _xlfn.LET(
          _xlpm._参照先,
            "'[在庫状況把握_43期_2025-2026.xlsx]月次報告"
            &amp;TEXT(AQ$1,"YYMM")
            &amp;"'!",
          _xlpm._戻り範囲,
            IF(
              _xlpm._対象月初=_xlpm._今月初,
              "$AG$1:$AG$300",
              "$G$1:$G$300"
            ),
          _xlfn.XLOOKUP(
            $C42,
            INDIRECT(_xlpm._参照先&amp;"$C$1:$C$300"),
            INDIRECT(_xlpm._参照先&amp;_xlpm._戻り範囲)
          )
        )
      )
    ),
    ""
  )
)</f>
        <v>38.700653502450905</v>
      </c>
      <c r="AR42" s="223" cm="1">
        <f t="array" aca="1" ref="AR42" ca="1">IF($C42="","",
  IFERROR(
    _xlfn.LET(
      _xlpm._対象月初,EOMONTH(AR$1,-1)+1,
      _xlpm._今月初,EOMONTH(基準データ!$C$5,-1)+1,
      IF(
        _xlpm._対象月初&gt;_xlpm._今月初,
        IF(
          OR(AQ42="",AQ42=0),
          "",
          AQ42*AR$46
        ),
        _xlfn.LET(
          _xlpm._参照先,
            "'[在庫状況把握_43期_2025-2026.xlsx]月次報告"
            &amp;TEXT(AR$1,"YYMM")
            &amp;"'!",
          _xlpm._戻り範囲,
            IF(
              _xlpm._対象月初=_xlpm._今月初,
              "$AG$1:$AG$300",
              "$G$1:$G$300"
            ),
          _xlfn.XLOOKUP(
            $C42,
            INDIRECT(_xlpm._参照先&amp;"$C$1:$C$300"),
            INDIRECT(_xlpm._参照先&amp;_xlpm._戻り範囲)
          )
        )
      )
    ),
    ""
  )
)</f>
        <v>60.82616179001721</v>
      </c>
      <c r="AS42" s="223" cm="1">
        <f t="array" aca="1" ref="AS42" ca="1">IF($C42="","",
  IFERROR(
    _xlfn.LET(
      _xlpm._対象月初,EOMONTH(AS$1,-1)+1,
      _xlpm._今月初,EOMONTH(基準データ!$C$5,-1)+1,
      IF(
        _xlpm._対象月初&gt;_xlpm._今月初,
        IF(
          OR(AR42="",AR42=0),
          "",
          AR42*AS$46
        ),
        _xlfn.LET(
          _xlpm._参照先,
            "'[在庫状況把握_43期_2025-2026.xlsx]月次報告"
            &amp;TEXT(AS$1,"YYMM")
            &amp;"'!",
          _xlpm._戻り範囲,
            IF(
              _xlpm._対象月初=_xlpm._今月初,
              "$AG$1:$AG$300",
              "$G$1:$G$300"
            ),
          _xlfn.XLOOKUP(
            $C42,
            INDIRECT(_xlpm._参照先&amp;"$C$1:$C$300"),
            INDIRECT(_xlpm._参照先&amp;_xlpm._戻り範囲)
          )
        )
      )
    ),
    ""
  )
)</f>
        <v>51.446930789654303</v>
      </c>
      <c r="AT42" s="223" cm="1">
        <f t="array" aca="1" ref="AT42" ca="1">IF($C42="","",
  IFERROR(
    _xlfn.LET(
      _xlpm._対象月初,EOMONTH(AT$1,-1)+1,
      _xlpm._今月初,EOMONTH(基準データ!$C$5,-1)+1,
      IF(
        _xlpm._対象月初&gt;_xlpm._今月初,
        IF(
          OR(AS42="",AS42=0),
          "",
          AS42*AT$46
        ),
        _xlfn.LET(
          _xlpm._参照先,
            "'[在庫状況把握_43期_2025-2026.xlsx]月次報告"
            &amp;TEXT(AT$1,"YYMM")
            &amp;"'!",
          _xlpm._戻り範囲,
            IF(
              _xlpm._対象月初=_xlpm._今月初,
              "$AG$1:$AG$300",
              "$G$1:$G$300"
            ),
          _xlfn.XLOOKUP(
            $C42,
            INDIRECT(_xlpm._参照先&amp;"$C$1:$C$300"),
            INDIRECT(_xlpm._参照先&amp;_xlpm._戻り範囲)
          )
        )
      )
    ),
    ""
  )
)</f>
        <v>34.014629948364885</v>
      </c>
      <c r="AU42" s="223" cm="1">
        <f t="array" aca="1" ref="AU42" ca="1">IF($C42="","",
  IFERROR(
    _xlfn.LET(
      _xlpm._対象月初,EOMONTH(AU$1,-1)+1,
      _xlpm._今月初,EOMONTH(基準データ!$C$5,-1)+1,
      IF(
        _xlpm._対象月初&gt;_xlpm._今月初,
        IF(
          OR(AT42="",AT42=0),
          "",
          AT42*AU$46
        ),
        _xlfn.LET(
          _xlpm._参照先,
            "'[在庫状況把握_43期_2025-2026.xlsx]月次報告"
            &amp;TEXT(AU$1,"YYMM")
            &amp;"'!",
          _xlpm._戻り範囲,
            IF(
              _xlpm._対象月初=_xlpm._今月初,
              "$AG$1:$AG$300",
              "$G$1:$G$300"
            ),
          _xlfn.XLOOKUP(
            $C42,
            INDIRECT(_xlpm._参照先&amp;"$C$1:$C$300"),
            INDIRECT(_xlpm._参照先&amp;_xlpm._戻り範囲)
          )
        )
      )
    ),
    ""
  )
)</f>
        <v>50.901893287435449</v>
      </c>
      <c r="AV42" s="223" cm="1">
        <f t="array" aca="1" ref="AV42" ca="1">IF($C42="","",
  IFERROR(
    _xlfn.LET(
      _xlpm._対象月初,EOMONTH(AV$1,-1)+1,
      _xlpm._今月初,EOMONTH(基準データ!$C$5,-1)+1,
      IF(
        _xlpm._対象月初&gt;_xlpm._今月初,
        IF(
          OR(AU42="",AU42=0),
          "",
          AU42*AV$46
        ),
        _xlfn.LET(
          _xlpm._参照先,
            "'[在庫状況把握_43期_2025-2026.xlsx]月次報告"
            &amp;TEXT(AV$1,"YYMM")
            &amp;"'!",
          _xlpm._戻り範囲,
            IF(
              _xlpm._対象月初=_xlpm._今月初,
              "$AG$1:$AG$300",
              "$G$1:$G$300"
            ),
          _xlfn.XLOOKUP(
            $C42,
            INDIRECT(_xlpm._参照先&amp;"$C$1:$C$300"),
            INDIRECT(_xlpm._参照先&amp;_xlpm._戻り範囲)
          )
        )
      )
    ),
    ""
  )
)</f>
        <v>38.044095671199671</v>
      </c>
      <c r="AW42" s="223" cm="1">
        <f t="array" aca="1" ref="AW42" ca="1">IF($C42="","",
  IFERROR(
    _xlfn.LET(
      _xlpm._対象月初,EOMONTH(AW$1,-1)+1,
      _xlpm._今月初,EOMONTH(基準データ!$C$5,-1)+1,
      IF(
        _xlpm._対象月初&gt;_xlpm._今月初,
        IF(
          OR(AV42="",AV42=0),
          "",
          AV42*AW$46
        ),
        _xlfn.LET(
          _xlpm._参照先,
            "'[在庫状況把握_43期_2025-2026.xlsx]月次報告"
            &amp;TEXT(AW$1,"YYMM")
            &amp;"'!",
          _xlpm._戻り範囲,
            IF(
              _xlpm._対象月初=_xlpm._今月初,
              "$AG$1:$AG$300",
              "$G$1:$G$300"
            ),
          _xlfn.XLOOKUP(
            $C42,
            INDIRECT(_xlpm._参照先&amp;"$C$1:$C$300"),
            INDIRECT(_xlpm._参照先&amp;_xlpm._戻り範囲)
          )
        )
      )
    ),
    ""
  )
)</f>
        <v>32.17383820998279</v>
      </c>
      <c r="AX42" s="223" cm="1">
        <f t="array" aca="1" ref="AX42" ca="1">IF($C42="","",
  IFERROR(
    _xlfn.LET(
      _xlpm._対象月初,EOMONTH(AX$1,-1)+1,
      _xlpm._今月初,EOMONTH(基準データ!$C$5,-1)+1,
      IF(
        _xlpm._対象月初&gt;_xlpm._今月初,
        IF(
          OR(AW42="",AW42=0),
          "",
          AW42*AX$46
        ),
        _xlfn.LET(
          _xlpm._参照先,
            "'[在庫状況把握_43期_2025-2026.xlsx]月次報告"
            &amp;TEXT(AX$1,"YYMM")
            &amp;"'!",
          _xlpm._戻り範囲,
            IF(
              _xlpm._対象月初=_xlpm._今月初,
              "$AG$1:$AG$300",
              "$G$1:$G$300"
            ),
          _xlfn.XLOOKUP(
            $C42,
            INDIRECT(_xlpm._参照先&amp;"$C$1:$C$300"),
            INDIRECT(_xlpm._参照先&amp;_xlpm._戻り範囲)
          )
        )
      )
    ),
    ""
  )
)</f>
        <v>33.811572783140505</v>
      </c>
      <c r="AY42" s="223" cm="1">
        <f t="array" aca="1" ref="AY42" ca="1">IF($C42="","",
  IFERROR(
    _xlfn.LET(
      _xlpm._対象月初,EOMONTH(AY$1,-1)+1,
      _xlpm._今月初,EOMONTH(基準データ!$C$5,-1)+1,
      IF(
        _xlpm._対象月初&gt;_xlpm._今月初,
        IF(
          OR(AX42="",AX42=0),
          "",
          AX42*AY$46
        ),
        _xlfn.LET(
          _xlpm._参照先,
            "'[在庫状況把握_43期_2025-2026.xlsx]月次報告"
            &amp;TEXT(AY$1,"YYMM")
            &amp;"'!",
          _xlpm._戻り範囲,
            IF(
              _xlpm._対象月初=_xlpm._今月初,
              "$AG$1:$AG$300",
              "$G$1:$G$300"
            ),
          _xlfn.XLOOKUP(
            $C42,
            INDIRECT(_xlpm._参照先&amp;"$C$1:$C$300"),
            INDIRECT(_xlpm._参照先&amp;_xlpm._戻り範囲)
          )
        )
      )
    ),
    ""
  )
)</f>
        <v>33.214285714285715</v>
      </c>
      <c r="AZ42" s="223" cm="1">
        <f t="array" aca="1" ref="AZ42" ca="1">IF($C42="","",
  IFERROR(
    _xlfn.LET(
      _xlpm._対象月初,EOMONTH(AZ$1,-1)+1,
      _xlpm._今月初,EOMONTH(基準データ!$C$5,-1)+1,
      IF(
        _xlpm._対象月初&gt;_xlpm._今月初,
        IF(
          OR(AY42="",AY42=0),
          "",
          AY42*AZ$46
        ),
        _xlfn.LET(
          _xlpm._参照先,
            "'[在庫状況把握_43期_2025-2026.xlsx]月次報告"
            &amp;TEXT(AZ$1,"YYMM")
            &amp;"'!",
          _xlpm._戻り範囲,
            IF(
              _xlpm._対象月初=_xlpm._今月初,
              "$AG$1:$AG$300",
              "$G$1:$G$300"
            ),
          _xlfn.XLOOKUP(
            $C42,
            INDIRECT(_xlpm._参照先&amp;"$C$1:$C$300"),
            INDIRECT(_xlpm._参照先&amp;_xlpm._戻り範囲)
          )
        )
      )
    ),
    ""
  )
)</f>
        <v>35.131132263862071</v>
      </c>
      <c r="BA42" s="223" cm="1">
        <f t="array" aca="1" ref="BA42" ca="1">IF($C42="","",
  IFERROR(
    _xlfn.LET(
      _xlpm._対象月初,EOMONTH(BA$1,-1)+1,
      _xlpm._今月初,EOMONTH(基準データ!$C$5,-1)+1,
      IF(
        _xlpm._対象月初&gt;_xlpm._今月初,
        IF(
          OR(AZ42="",AZ42=0),
          "",
          AZ42*BA$46
        ),
        _xlfn.LET(
          _xlpm._参照先,
            "'[在庫状況把握_43期_2025-2026.xlsx]月次報告"
            &amp;TEXT(BA$1,"YYMM")
            &amp;"'!",
          _xlpm._戻り範囲,
            IF(
              _xlpm._対象月初=_xlpm._今月初,
              "$AG$1:$AG$300",
              "$G$1:$G$300"
            ),
          _xlfn.XLOOKUP(
            $C42,
            INDIRECT(_xlpm._参照先&amp;"$C$1:$C$300"),
            INDIRECT(_xlpm._参照先&amp;_xlpm._戻り範囲)
          )
        )
      )
    ),
    ""
  )
)</f>
        <v>37.968448379151965</v>
      </c>
      <c r="BB42" s="223" cm="1">
        <f t="array" aca="1" ref="BB42" ca="1">IF($C42="","",
  IFERROR(
    _xlfn.LET(
      _xlpm._対象月初,EOMONTH(BB$1,-1)+1,
      _xlpm._今月初,EOMONTH(基準データ!$C$5,-1)+1,
      IF(
        _xlpm._対象月初&gt;_xlpm._今月初,
        IF(
          OR(BA42="",BA42=0),
          "",
          BA42*BB$46
        ),
        _xlfn.LET(
          _xlpm._参照先,
            "'[在庫状況把握_43期_2025-2026.xlsx]月次報告"
            &amp;TEXT(BB$1,"YYMM")
            &amp;"'!",
          _xlpm._戻り範囲,
            IF(
              _xlpm._対象月初=_xlpm._今月初,
              "$AG$1:$AG$300",
              "$G$1:$G$300"
            ),
          _xlfn.XLOOKUP(
            $C42,
            INDIRECT(_xlpm._参照先&amp;"$C$1:$C$300"),
            INDIRECT(_xlpm._参照先&amp;_xlpm._戻り範囲)
          )
        )
      )
    ),
    ""
  )
)</f>
        <v>38.342037401473853</v>
      </c>
      <c r="BC42" s="223" cm="1">
        <f t="array" aca="1" ref="BC42" ca="1">IF($C42="","",
  IFERROR(
    _xlfn.LET(
      _xlpm._対象月初,EOMONTH(BC$1,-1)+1,
      _xlpm._今月初,EOMONTH(基準データ!$C$5,-1)+1,
      IF(
        _xlpm._対象月初&gt;_xlpm._今月初,
        IF(
          OR(BB42="",BB42=0),
          "",
          BB42*BC$46
        ),
        _xlfn.LET(
          _xlpm._参照先,
            "'[在庫状況把握_43期_2025-2026.xlsx]月次報告"
            &amp;TEXT(BC$1,"YYMM")
            &amp;"'!",
          _xlpm._戻り範囲,
            IF(
              _xlpm._対象月初=_xlpm._今月初,
              "$AG$1:$AG$300",
              "$G$1:$G$300"
            ),
          _xlfn.XLOOKUP(
            $C42,
            INDIRECT(_xlpm._参照先&amp;"$C$1:$C$300"),
            INDIRECT(_xlpm._参照先&amp;_xlpm._戻り範囲)
          )
        )
      )
    ),
    ""
  )
)</f>
        <v>38.700653502450905</v>
      </c>
      <c r="BD42" s="223" cm="1">
        <f t="array" aca="1" ref="BD42" ca="1">IF($C42="","",
  IFERROR(
    _xlfn.LET(
      _xlpm._対象月初,EOMONTH(BD$1,-1)+1,
      _xlpm._今月初,EOMONTH(基準データ!$C$5,-1)+1,
      IF(
        _xlpm._対象月初&gt;_xlpm._今月初,
        IF(
          OR(BC42="",BC42=0),
          "",
          BC42*BD$46
        ),
        _xlfn.LET(
          _xlpm._参照先,
            "'[在庫状況把握_43期_2025-2026.xlsx]月次報告"
            &amp;TEXT(BD$1,"YYMM")
            &amp;"'!",
          _xlpm._戻り範囲,
            IF(
              _xlpm._対象月初=_xlpm._今月初,
              "$AG$1:$AG$300",
              "$G$1:$G$300"
            ),
          _xlfn.XLOOKUP(
            $C42,
            INDIRECT(_xlpm._参照先&amp;"$C$1:$C$300"),
            INDIRECT(_xlpm._参照先&amp;_xlpm._戻り範囲)
          )
        )
      )
    ),
    ""
  )
)</f>
        <v>60.82616179001721</v>
      </c>
    </row>
    <row r="43" spans="1:56">
      <c r="A43" s="1061" t="s">
        <v>1644</v>
      </c>
      <c r="B43" s="26" t="str">
        <v>WZN-A14JG-125U-UMA-16G-L7-GC</v>
      </c>
      <c r="C43" s="25" t="s">
        <v>1645</v>
      </c>
      <c r="D43" s="68"/>
      <c r="E43" s="68"/>
      <c r="F43" s="68"/>
      <c r="G43" s="355">
        <v>555</v>
      </c>
      <c r="H43" s="109" cm="1">
        <f t="array" aca="1" ref="H43" ca="1">_xlfn.LET(_xlpm._来月から4ヶ月計画合計,
  SUM(
    OFFSET($A43,0,
      MATCH(
        EDATE(基準データ!$C$5,3),$A$1:$BF$1,1
      )-3,1,4)),
_xlpm._今月計画数,
INDEX($A$1:$BE$223,
  ROW(),
  MATCH(EOMONTH(基準データ!$C$5,-1)+1,$A$1:$BE$1,0)
),
  IFERROR(IF($B43="","",_xlpm._来月から4ヶ月計画合計+_xlpm._今月計画数/2),""
)
)</f>
        <v>0</v>
      </c>
      <c r="I43" s="38"/>
      <c r="J43" s="38"/>
      <c r="K43" s="38"/>
      <c r="L43" s="38"/>
      <c r="M43" s="38"/>
      <c r="N43" s="38"/>
      <c r="O43" s="38"/>
      <c r="P43" s="38"/>
      <c r="Q43" s="219"/>
      <c r="R43" s="219"/>
      <c r="S43" s="219"/>
      <c r="T43" s="219"/>
      <c r="U43" s="224"/>
      <c r="V43" s="224"/>
      <c r="W43" s="219"/>
      <c r="X43" s="480"/>
      <c r="Y43" s="219"/>
      <c r="Z43" s="219" t="str">
        <f>IF(Y43*$Z$46=0,"",Y43*$Z$46)</f>
        <v/>
      </c>
      <c r="AA43" s="219"/>
      <c r="AB43" s="219"/>
      <c r="AC43" s="224"/>
      <c r="AD43" s="224" t="s">
        <v>21</v>
      </c>
      <c r="AE43" s="223">
        <v>0</v>
      </c>
      <c r="AF43" s="223">
        <v>0</v>
      </c>
      <c r="AG43" s="223">
        <v>0</v>
      </c>
      <c r="AH43" s="223">
        <v>0</v>
      </c>
      <c r="AI43" s="223">
        <v>0</v>
      </c>
      <c r="AJ43" s="223"/>
      <c r="AK43" s="223" t="s">
        <v>21</v>
      </c>
      <c r="AL43" s="223" cm="1">
        <f t="array" aca="1" ref="AL43" ca="1">IF($C43="","",
  IFERROR(
    _xlfn.LET(
      _xlpm._対象月初,EOMONTH(AL$1,-1)+1,
      _xlpm._今月初,EOMONTH(基準データ!$C$5,-1)+1,
      IF(
        _xlpm._対象月初&gt;_xlpm._今月初,
        IF(
          OR(AK43="",AK43=0),
          "",
          AK43*AL$46
        ),
        _xlfn.LET(
          _xlpm._参照先,
            "'[在庫状況把握_43期_2025-2026.xlsx]月次報告"
            &amp;TEXT(AL$1,"YYMM")
            &amp;"'!",
          _xlpm._戻り範囲,
            IF(
              _xlpm._対象月初=_xlpm._今月初,
              "$AG$1:$AG$300",
              "$G$1:$G$300"
            ),
          _xlfn.XLOOKUP(
            $C43,
            INDIRECT(_xlpm._参照先&amp;"$C$1:$C$300"),
            INDIRECT(_xlpm._参照先&amp;_xlpm._戻り範囲)
          )
        )
      )
    ),
    ""
  )
)</f>
        <v>0</v>
      </c>
      <c r="AM43" s="223" cm="1">
        <f t="array" aca="1" ref="AM43" ca="1">IF($C43="","",
  IFERROR(
    _xlfn.LET(
      _xlpm._対象月初,EOMONTH(AM$1,-1)+1,
      _xlpm._今月初,EOMONTH(基準データ!$C$5,-1)+1,
      IF(
        _xlpm._対象月初&gt;_xlpm._今月初,
        IF(
          OR(AL43="",AL43=0),
          "",
          AL43*AM$46
        ),
        _xlfn.LET(
          _xlpm._参照先,
            "'[在庫状況把握_43期_2025-2026.xlsx]月次報告"
            &amp;TEXT(AM$1,"YYMM")
            &amp;"'!",
          _xlpm._戻り範囲,
            IF(
              _xlpm._対象月初=_xlpm._今月初,
              "$AG$1:$AG$300",
              "$G$1:$G$300"
            ),
          _xlfn.XLOOKUP(
            $C43,
            INDIRECT(_xlpm._参照先&amp;"$C$1:$C$300"),
            INDIRECT(_xlpm._参照先&amp;_xlpm._戻り範囲)
          )
        )
      )
    ),
    ""
  )
)</f>
        <v>0</v>
      </c>
      <c r="AN43" s="223" t="str" cm="1">
        <f t="array" aca="1" ref="AN43" ca="1">IF($C43="","",
  IFERROR(
    _xlfn.LET(
      _xlpm._対象月初,EOMONTH(AN$1,-1)+1,
      _xlpm._今月初,EOMONTH(基準データ!$C$5,-1)+1,
      IF(
        _xlpm._対象月初&gt;_xlpm._今月初,
        IF(
          OR(AM43="",AM43=0),
          "",
          AM43*AN$46
        ),
        _xlfn.LET(
          _xlpm._参照先,
            "'[在庫状況把握_43期_2025-2026.xlsx]月次報告"
            &amp;TEXT(AN$1,"YYMM")
            &amp;"'!",
          _xlpm._戻り範囲,
            IF(
              _xlpm._対象月初=_xlpm._今月初,
              "$AG$1:$AG$300",
              "$G$1:$G$300"
            ),
          _xlfn.XLOOKUP(
            $C43,
            INDIRECT(_xlpm._参照先&amp;"$C$1:$C$300"),
            INDIRECT(_xlpm._参照先&amp;_xlpm._戻り範囲)
          )
        )
      )
    ),
    ""
  )
)</f>
        <v/>
      </c>
      <c r="AO43" s="223" t="str" cm="1">
        <f t="array" aca="1" ref="AO43" ca="1">IF($C43="","",
  IFERROR(
    _xlfn.LET(
      _xlpm._対象月初,EOMONTH(AO$1,-1)+1,
      _xlpm._今月初,EOMONTH(基準データ!$C$5,-1)+1,
      IF(
        _xlpm._対象月初&gt;_xlpm._今月初,
        IF(
          OR(AN43="",AN43=0),
          "",
          AN43*AO$46
        ),
        _xlfn.LET(
          _xlpm._参照先,
            "'[在庫状況把握_43期_2025-2026.xlsx]月次報告"
            &amp;TEXT(AO$1,"YYMM")
            &amp;"'!",
          _xlpm._戻り範囲,
            IF(
              _xlpm._対象月初=_xlpm._今月初,
              "$AG$1:$AG$300",
              "$G$1:$G$300"
            ),
          _xlfn.XLOOKUP(
            $C43,
            INDIRECT(_xlpm._参照先&amp;"$C$1:$C$300"),
            INDIRECT(_xlpm._参照先&amp;_xlpm._戻り範囲)
          )
        )
      )
    ),
    ""
  )
)</f>
        <v/>
      </c>
      <c r="AP43" s="223" t="str" cm="1">
        <f t="array" aca="1" ref="AP43" ca="1">IF($C43="","",
  IFERROR(
    _xlfn.LET(
      _xlpm._対象月初,EOMONTH(AP$1,-1)+1,
      _xlpm._今月初,EOMONTH(基準データ!$C$5,-1)+1,
      IF(
        _xlpm._対象月初&gt;_xlpm._今月初,
        IF(
          OR(AO43="",AO43=0),
          "",
          AO43*AP$46
        ),
        _xlfn.LET(
          _xlpm._参照先,
            "'[在庫状況把握_43期_2025-2026.xlsx]月次報告"
            &amp;TEXT(AP$1,"YYMM")
            &amp;"'!",
          _xlpm._戻り範囲,
            IF(
              _xlpm._対象月初=_xlpm._今月初,
              "$AG$1:$AG$300",
              "$G$1:$G$300"
            ),
          _xlfn.XLOOKUP(
            $C43,
            INDIRECT(_xlpm._参照先&amp;"$C$1:$C$300"),
            INDIRECT(_xlpm._参照先&amp;_xlpm._戻り範囲)
          )
        )
      )
    ),
    ""
  )
)</f>
        <v/>
      </c>
      <c r="AQ43" s="223" t="str" cm="1">
        <f t="array" aca="1" ref="AQ43" ca="1">IF($C43="","",
  IFERROR(
    _xlfn.LET(
      _xlpm._対象月初,EOMONTH(AQ$1,-1)+1,
      _xlpm._今月初,EOMONTH(基準データ!$C$5,-1)+1,
      IF(
        _xlpm._対象月初&gt;_xlpm._今月初,
        IF(
          OR(AP43="",AP43=0),
          "",
          AP43*AQ$46
        ),
        _xlfn.LET(
          _xlpm._参照先,
            "'[在庫状況把握_43期_2025-2026.xlsx]月次報告"
            &amp;TEXT(AQ$1,"YYMM")
            &amp;"'!",
          _xlpm._戻り範囲,
            IF(
              _xlpm._対象月初=_xlpm._今月初,
              "$AG$1:$AG$300",
              "$G$1:$G$300"
            ),
          _xlfn.XLOOKUP(
            $C43,
            INDIRECT(_xlpm._参照先&amp;"$C$1:$C$300"),
            INDIRECT(_xlpm._参照先&amp;_xlpm._戻り範囲)
          )
        )
      )
    ),
    ""
  )
)</f>
        <v/>
      </c>
      <c r="AR43" s="223" t="str" cm="1">
        <f t="array" aca="1" ref="AR43" ca="1">IF($C43="","",
  IFERROR(
    _xlfn.LET(
      _xlpm._対象月初,EOMONTH(AR$1,-1)+1,
      _xlpm._今月初,EOMONTH(基準データ!$C$5,-1)+1,
      IF(
        _xlpm._対象月初&gt;_xlpm._今月初,
        IF(
          OR(AQ43="",AQ43=0),
          "",
          AQ43*AR$46
        ),
        _xlfn.LET(
          _xlpm._参照先,
            "'[在庫状況把握_43期_2025-2026.xlsx]月次報告"
            &amp;TEXT(AR$1,"YYMM")
            &amp;"'!",
          _xlpm._戻り範囲,
            IF(
              _xlpm._対象月初=_xlpm._今月初,
              "$AG$1:$AG$300",
              "$G$1:$G$300"
            ),
          _xlfn.XLOOKUP(
            $C43,
            INDIRECT(_xlpm._参照先&amp;"$C$1:$C$300"),
            INDIRECT(_xlpm._参照先&amp;_xlpm._戻り範囲)
          )
        )
      )
    ),
    ""
  )
)</f>
        <v/>
      </c>
      <c r="AS43" s="223" t="str" cm="1">
        <f t="array" aca="1" ref="AS43" ca="1">IF($C43="","",
  IFERROR(
    _xlfn.LET(
      _xlpm._対象月初,EOMONTH(AS$1,-1)+1,
      _xlpm._今月初,EOMONTH(基準データ!$C$5,-1)+1,
      IF(
        _xlpm._対象月初&gt;_xlpm._今月初,
        IF(
          OR(AR43="",AR43=0),
          "",
          AR43*AS$46
        ),
        _xlfn.LET(
          _xlpm._参照先,
            "'[在庫状況把握_43期_2025-2026.xlsx]月次報告"
            &amp;TEXT(AS$1,"YYMM")
            &amp;"'!",
          _xlpm._戻り範囲,
            IF(
              _xlpm._対象月初=_xlpm._今月初,
              "$AG$1:$AG$300",
              "$G$1:$G$300"
            ),
          _xlfn.XLOOKUP(
            $C43,
            INDIRECT(_xlpm._参照先&amp;"$C$1:$C$300"),
            INDIRECT(_xlpm._参照先&amp;_xlpm._戻り範囲)
          )
        )
      )
    ),
    ""
  )
)</f>
        <v/>
      </c>
      <c r="AT43" s="223" t="str" cm="1">
        <f t="array" aca="1" ref="AT43" ca="1">IF($C43="","",
  IFERROR(
    _xlfn.LET(
      _xlpm._対象月初,EOMONTH(AT$1,-1)+1,
      _xlpm._今月初,EOMONTH(基準データ!$C$5,-1)+1,
      IF(
        _xlpm._対象月初&gt;_xlpm._今月初,
        IF(
          OR(AS43="",AS43=0),
          "",
          AS43*AT$46
        ),
        _xlfn.LET(
          _xlpm._参照先,
            "'[在庫状況把握_43期_2025-2026.xlsx]月次報告"
            &amp;TEXT(AT$1,"YYMM")
            &amp;"'!",
          _xlpm._戻り範囲,
            IF(
              _xlpm._対象月初=_xlpm._今月初,
              "$AG$1:$AG$300",
              "$G$1:$G$300"
            ),
          _xlfn.XLOOKUP(
            $C43,
            INDIRECT(_xlpm._参照先&amp;"$C$1:$C$300"),
            INDIRECT(_xlpm._参照先&amp;_xlpm._戻り範囲)
          )
        )
      )
    ),
    ""
  )
)</f>
        <v/>
      </c>
      <c r="AU43" s="223" t="str" cm="1">
        <f t="array" aca="1" ref="AU43" ca="1">IF($C43="","",
  IFERROR(
    _xlfn.LET(
      _xlpm._対象月初,EOMONTH(AU$1,-1)+1,
      _xlpm._今月初,EOMONTH(基準データ!$C$5,-1)+1,
      IF(
        _xlpm._対象月初&gt;_xlpm._今月初,
        IF(
          OR(AT43="",AT43=0),
          "",
          AT43*AU$46
        ),
        _xlfn.LET(
          _xlpm._参照先,
            "'[在庫状況把握_43期_2025-2026.xlsx]月次報告"
            &amp;TEXT(AU$1,"YYMM")
            &amp;"'!",
          _xlpm._戻り範囲,
            IF(
              _xlpm._対象月初=_xlpm._今月初,
              "$AG$1:$AG$300",
              "$G$1:$G$300"
            ),
          _xlfn.XLOOKUP(
            $C43,
            INDIRECT(_xlpm._参照先&amp;"$C$1:$C$300"),
            INDIRECT(_xlpm._参照先&amp;_xlpm._戻り範囲)
          )
        )
      )
    ),
    ""
  )
)</f>
        <v/>
      </c>
      <c r="AV43" s="223" t="str" cm="1">
        <f t="array" aca="1" ref="AV43" ca="1">IF($C43="","",
  IFERROR(
    _xlfn.LET(
      _xlpm._対象月初,EOMONTH(AV$1,-1)+1,
      _xlpm._今月初,EOMONTH(基準データ!$C$5,-1)+1,
      IF(
        _xlpm._対象月初&gt;_xlpm._今月初,
        IF(
          OR(AU43="",AU43=0),
          "",
          AU43*AV$46
        ),
        _xlfn.LET(
          _xlpm._参照先,
            "'[在庫状況把握_43期_2025-2026.xlsx]月次報告"
            &amp;TEXT(AV$1,"YYMM")
            &amp;"'!",
          _xlpm._戻り範囲,
            IF(
              _xlpm._対象月初=_xlpm._今月初,
              "$AG$1:$AG$300",
              "$G$1:$G$300"
            ),
          _xlfn.XLOOKUP(
            $C43,
            INDIRECT(_xlpm._参照先&amp;"$C$1:$C$300"),
            INDIRECT(_xlpm._参照先&amp;_xlpm._戻り範囲)
          )
        )
      )
    ),
    ""
  )
)</f>
        <v/>
      </c>
      <c r="AW43" s="223" t="str" cm="1">
        <f t="array" aca="1" ref="AW43" ca="1">IF($C43="","",
  IFERROR(
    _xlfn.LET(
      _xlpm._対象月初,EOMONTH(AW$1,-1)+1,
      _xlpm._今月初,EOMONTH(基準データ!$C$5,-1)+1,
      IF(
        _xlpm._対象月初&gt;_xlpm._今月初,
        IF(
          OR(AV43="",AV43=0),
          "",
          AV43*AW$46
        ),
        _xlfn.LET(
          _xlpm._参照先,
            "'[在庫状況把握_43期_2025-2026.xlsx]月次報告"
            &amp;TEXT(AW$1,"YYMM")
            &amp;"'!",
          _xlpm._戻り範囲,
            IF(
              _xlpm._対象月初=_xlpm._今月初,
              "$AG$1:$AG$300",
              "$G$1:$G$300"
            ),
          _xlfn.XLOOKUP(
            $C43,
            INDIRECT(_xlpm._参照先&amp;"$C$1:$C$300"),
            INDIRECT(_xlpm._参照先&amp;_xlpm._戻り範囲)
          )
        )
      )
    ),
    ""
  )
)</f>
        <v/>
      </c>
      <c r="AX43" s="223" t="str" cm="1">
        <f t="array" aca="1" ref="AX43" ca="1">IF($C43="","",
  IFERROR(
    _xlfn.LET(
      _xlpm._対象月初,EOMONTH(AX$1,-1)+1,
      _xlpm._今月初,EOMONTH(基準データ!$C$5,-1)+1,
      IF(
        _xlpm._対象月初&gt;_xlpm._今月初,
        IF(
          OR(AW43="",AW43=0),
          "",
          AW43*AX$46
        ),
        _xlfn.LET(
          _xlpm._参照先,
            "'[在庫状況把握_43期_2025-2026.xlsx]月次報告"
            &amp;TEXT(AX$1,"YYMM")
            &amp;"'!",
          _xlpm._戻り範囲,
            IF(
              _xlpm._対象月初=_xlpm._今月初,
              "$AG$1:$AG$300",
              "$G$1:$G$300"
            ),
          _xlfn.XLOOKUP(
            $C43,
            INDIRECT(_xlpm._参照先&amp;"$C$1:$C$300"),
            INDIRECT(_xlpm._参照先&amp;_xlpm._戻り範囲)
          )
        )
      )
    ),
    ""
  )
)</f>
        <v/>
      </c>
      <c r="AY43" s="223" t="str" cm="1">
        <f t="array" aca="1" ref="AY43" ca="1">IF($C43="","",
  IFERROR(
    _xlfn.LET(
      _xlpm._対象月初,EOMONTH(AY$1,-1)+1,
      _xlpm._今月初,EOMONTH(基準データ!$C$5,-1)+1,
      IF(
        _xlpm._対象月初&gt;_xlpm._今月初,
        IF(
          OR(AX43="",AX43=0),
          "",
          AX43*AY$46
        ),
        _xlfn.LET(
          _xlpm._参照先,
            "'[在庫状況把握_43期_2025-2026.xlsx]月次報告"
            &amp;TEXT(AY$1,"YYMM")
            &amp;"'!",
          _xlpm._戻り範囲,
            IF(
              _xlpm._対象月初=_xlpm._今月初,
              "$AG$1:$AG$300",
              "$G$1:$G$300"
            ),
          _xlfn.XLOOKUP(
            $C43,
            INDIRECT(_xlpm._参照先&amp;"$C$1:$C$300"),
            INDIRECT(_xlpm._参照先&amp;_xlpm._戻り範囲)
          )
        )
      )
    ),
    ""
  )
)</f>
        <v/>
      </c>
      <c r="AZ43" s="223" t="str" cm="1">
        <f t="array" aca="1" ref="AZ43" ca="1">IF($C43="","",
  IFERROR(
    _xlfn.LET(
      _xlpm._対象月初,EOMONTH(AZ$1,-1)+1,
      _xlpm._今月初,EOMONTH(基準データ!$C$5,-1)+1,
      IF(
        _xlpm._対象月初&gt;_xlpm._今月初,
        IF(
          OR(AY43="",AY43=0),
          "",
          AY43*AZ$46
        ),
        _xlfn.LET(
          _xlpm._参照先,
            "'[在庫状況把握_43期_2025-2026.xlsx]月次報告"
            &amp;TEXT(AZ$1,"YYMM")
            &amp;"'!",
          _xlpm._戻り範囲,
            IF(
              _xlpm._対象月初=_xlpm._今月初,
              "$AG$1:$AG$300",
              "$G$1:$G$300"
            ),
          _xlfn.XLOOKUP(
            $C43,
            INDIRECT(_xlpm._参照先&amp;"$C$1:$C$300"),
            INDIRECT(_xlpm._参照先&amp;_xlpm._戻り範囲)
          )
        )
      )
    ),
    ""
  )
)</f>
        <v/>
      </c>
      <c r="BA43" s="223" t="str" cm="1">
        <f t="array" aca="1" ref="BA43" ca="1">IF($C43="","",
  IFERROR(
    _xlfn.LET(
      _xlpm._対象月初,EOMONTH(BA$1,-1)+1,
      _xlpm._今月初,EOMONTH(基準データ!$C$5,-1)+1,
      IF(
        _xlpm._対象月初&gt;_xlpm._今月初,
        IF(
          OR(AZ43="",AZ43=0),
          "",
          AZ43*BA$46
        ),
        _xlfn.LET(
          _xlpm._参照先,
            "'[在庫状況把握_43期_2025-2026.xlsx]月次報告"
            &amp;TEXT(BA$1,"YYMM")
            &amp;"'!",
          _xlpm._戻り範囲,
            IF(
              _xlpm._対象月初=_xlpm._今月初,
              "$AG$1:$AG$300",
              "$G$1:$G$300"
            ),
          _xlfn.XLOOKUP(
            $C43,
            INDIRECT(_xlpm._参照先&amp;"$C$1:$C$300"),
            INDIRECT(_xlpm._参照先&amp;_xlpm._戻り範囲)
          )
        )
      )
    ),
    ""
  )
)</f>
        <v/>
      </c>
      <c r="BB43" s="223" t="str" cm="1">
        <f t="array" aca="1" ref="BB43" ca="1">IF($C43="","",
  IFERROR(
    _xlfn.LET(
      _xlpm._対象月初,EOMONTH(BB$1,-1)+1,
      _xlpm._今月初,EOMONTH(基準データ!$C$5,-1)+1,
      IF(
        _xlpm._対象月初&gt;_xlpm._今月初,
        IF(
          OR(BA43="",BA43=0),
          "",
          BA43*BB$46
        ),
        _xlfn.LET(
          _xlpm._参照先,
            "'[在庫状況把握_43期_2025-2026.xlsx]月次報告"
            &amp;TEXT(BB$1,"YYMM")
            &amp;"'!",
          _xlpm._戻り範囲,
            IF(
              _xlpm._対象月初=_xlpm._今月初,
              "$AG$1:$AG$300",
              "$G$1:$G$300"
            ),
          _xlfn.XLOOKUP(
            $C43,
            INDIRECT(_xlpm._参照先&amp;"$C$1:$C$300"),
            INDIRECT(_xlpm._参照先&amp;_xlpm._戻り範囲)
          )
        )
      )
    ),
    ""
  )
)</f>
        <v/>
      </c>
      <c r="BC43" s="223" t="str" cm="1">
        <f t="array" aca="1" ref="BC43" ca="1">IF($C43="","",
  IFERROR(
    _xlfn.LET(
      _xlpm._対象月初,EOMONTH(BC$1,-1)+1,
      _xlpm._今月初,EOMONTH(基準データ!$C$5,-1)+1,
      IF(
        _xlpm._対象月初&gt;_xlpm._今月初,
        IF(
          OR(BB43="",BB43=0),
          "",
          BB43*BC$46
        ),
        _xlfn.LET(
          _xlpm._参照先,
            "'[在庫状況把握_43期_2025-2026.xlsx]月次報告"
            &amp;TEXT(BC$1,"YYMM")
            &amp;"'!",
          _xlpm._戻り範囲,
            IF(
              _xlpm._対象月初=_xlpm._今月初,
              "$AG$1:$AG$300",
              "$G$1:$G$300"
            ),
          _xlfn.XLOOKUP(
            $C43,
            INDIRECT(_xlpm._参照先&amp;"$C$1:$C$300"),
            INDIRECT(_xlpm._参照先&amp;_xlpm._戻り範囲)
          )
        )
      )
    ),
    ""
  )
)</f>
        <v/>
      </c>
      <c r="BD43" s="223" t="str" cm="1">
        <f t="array" aca="1" ref="BD43" ca="1">IF($C43="","",
  IFERROR(
    _xlfn.LET(
      _xlpm._対象月初,EOMONTH(BD$1,-1)+1,
      _xlpm._今月初,EOMONTH(基準データ!$C$5,-1)+1,
      IF(
        _xlpm._対象月初&gt;_xlpm._今月初,
        IF(
          OR(BC43="",BC43=0),
          "",
          BC43*BD$46
        ),
        _xlfn.LET(
          _xlpm._参照先,
            "'[在庫状況把握_43期_2025-2026.xlsx]月次報告"
            &amp;TEXT(BD$1,"YYMM")
            &amp;"'!",
          _xlpm._戻り範囲,
            IF(
              _xlpm._対象月初=_xlpm._今月初,
              "$AG$1:$AG$300",
              "$G$1:$G$300"
            ),
          _xlfn.XLOOKUP(
            $C43,
            INDIRECT(_xlpm._参照先&amp;"$C$1:$C$300"),
            INDIRECT(_xlpm._参照先&amp;_xlpm._戻り範囲)
          )
        )
      )
    ),
    ""
  )
)</f>
        <v/>
      </c>
    </row>
    <row r="44" spans="1:56">
      <c r="A44" s="1061" t="s">
        <v>1644</v>
      </c>
      <c r="B44" s="26" t="str">
        <v>WZN-A14JG-125U-UMA-32G-L7-GC</v>
      </c>
      <c r="C44" s="25" t="s">
        <v>1646</v>
      </c>
      <c r="D44" s="68" t="s">
        <v>1375</v>
      </c>
      <c r="E44" s="68" t="s">
        <v>1416</v>
      </c>
      <c r="F44" s="68" t="s">
        <v>1347</v>
      </c>
      <c r="G44" s="355">
        <v>505</v>
      </c>
      <c r="H44" s="109" cm="1">
        <f t="array" aca="1" ref="H44" ca="1">_xlfn.LET(_xlpm._来月から4ヶ月計画合計,
  SUM(
    OFFSET($A44,0,
      MATCH(
        EDATE(基準データ!$C$5,3),$A$1:$BF$1,1
      )-3,1,4)),
_xlpm._今月計画数,
INDEX($A$1:$BE$223,
  ROW(),
  MATCH(EOMONTH(基準データ!$C$5,-1)+1,$A$1:$BE$1,0)
),
  IFERROR(IF($B44="","",_xlpm._来月から4ヶ月計画合計+_xlpm._今月計画数/2),""
)
)</f>
        <v>0</v>
      </c>
      <c r="I44" s="38"/>
      <c r="J44" s="38"/>
      <c r="K44" s="38"/>
      <c r="L44" s="38"/>
      <c r="M44" s="38"/>
      <c r="N44" s="38"/>
      <c r="O44" s="38"/>
      <c r="P44" s="38"/>
      <c r="Q44" s="219"/>
      <c r="R44" s="224"/>
      <c r="S44" s="224"/>
      <c r="T44" s="224"/>
      <c r="U44" s="224">
        <v>274</v>
      </c>
      <c r="V44" s="224">
        <v>112</v>
      </c>
      <c r="W44" s="219">
        <v>187</v>
      </c>
      <c r="X44" s="480">
        <v>70</v>
      </c>
      <c r="Y44" s="219">
        <v>34</v>
      </c>
      <c r="Z44" s="219">
        <v>2</v>
      </c>
      <c r="AA44" s="529">
        <v>3</v>
      </c>
      <c r="AB44" s="219"/>
      <c r="AC44" s="224">
        <v>1</v>
      </c>
      <c r="AD44" s="224">
        <v>1</v>
      </c>
      <c r="AE44" s="223" t="s">
        <v>21</v>
      </c>
      <c r="AF44" s="223" t="s">
        <v>21</v>
      </c>
      <c r="AG44" s="223" t="s">
        <v>21</v>
      </c>
      <c r="AH44" s="223" t="s">
        <v>21</v>
      </c>
      <c r="AI44" s="223" t="s">
        <v>21</v>
      </c>
      <c r="AJ44" s="223" t="s">
        <v>21</v>
      </c>
      <c r="AK44" s="223" t="s">
        <v>21</v>
      </c>
      <c r="AL44" s="223" cm="1">
        <f t="array" aca="1" ref="AL44" ca="1">IF($C44="","",
  IFERROR(
    _xlfn.LET(
      _xlpm._対象月初,EOMONTH(AL$1,-1)+1,
      _xlpm._今月初,EOMONTH(基準データ!$C$5,-1)+1,
      IF(
        _xlpm._対象月初&gt;_xlpm._今月初,
        IF(
          OR(AK44="",AK44=0),
          "",
          AK44*AL$46
        ),
        _xlfn.LET(
          _xlpm._参照先,
            "'[在庫状況把握_43期_2025-2026.xlsx]月次報告"
            &amp;TEXT(AL$1,"YYMM")
            &amp;"'!",
          _xlpm._戻り範囲,
            IF(
              _xlpm._対象月初=_xlpm._今月初,
              "$AG$1:$AG$300",
              "$G$1:$G$300"
            ),
          _xlfn.XLOOKUP(
            $C44,
            INDIRECT(_xlpm._参照先&amp;"$C$1:$C$300"),
            INDIRECT(_xlpm._参照先&amp;_xlpm._戻り範囲)
          )
        )
      )
    ),
    ""
  )
)</f>
        <v>0</v>
      </c>
      <c r="AM44" s="223" cm="1">
        <f t="array" aca="1" ref="AM44" ca="1">IF($C44="","",
  IFERROR(
    _xlfn.LET(
      _xlpm._対象月初,EOMONTH(AM$1,-1)+1,
      _xlpm._今月初,EOMONTH(基準データ!$C$5,-1)+1,
      IF(
        _xlpm._対象月初&gt;_xlpm._今月初,
        IF(
          OR(AL44="",AL44=0),
          "",
          AL44*AM$46
        ),
        _xlfn.LET(
          _xlpm._参照先,
            "'[在庫状況把握_43期_2025-2026.xlsx]月次報告"
            &amp;TEXT(AM$1,"YYMM")
            &amp;"'!",
          _xlpm._戻り範囲,
            IF(
              _xlpm._対象月初=_xlpm._今月初,
              "$AG$1:$AG$300",
              "$G$1:$G$300"
            ),
          _xlfn.XLOOKUP(
            $C44,
            INDIRECT(_xlpm._参照先&amp;"$C$1:$C$300"),
            INDIRECT(_xlpm._参照先&amp;_xlpm._戻り範囲)
          )
        )
      )
    ),
    ""
  )
)</f>
        <v>0</v>
      </c>
      <c r="AN44" s="223" t="str" cm="1">
        <f t="array" aca="1" ref="AN44" ca="1">IF($C44="","",
  IFERROR(
    _xlfn.LET(
      _xlpm._対象月初,EOMONTH(AN$1,-1)+1,
      _xlpm._今月初,EOMONTH(基準データ!$C$5,-1)+1,
      IF(
        _xlpm._対象月初&gt;_xlpm._今月初,
        IF(
          OR(AM44="",AM44=0),
          "",
          AM44*AN$46
        ),
        _xlfn.LET(
          _xlpm._参照先,
            "'[在庫状況把握_43期_2025-2026.xlsx]月次報告"
            &amp;TEXT(AN$1,"YYMM")
            &amp;"'!",
          _xlpm._戻り範囲,
            IF(
              _xlpm._対象月初=_xlpm._今月初,
              "$AG$1:$AG$300",
              "$G$1:$G$300"
            ),
          _xlfn.XLOOKUP(
            $C44,
            INDIRECT(_xlpm._参照先&amp;"$C$1:$C$300"),
            INDIRECT(_xlpm._参照先&amp;_xlpm._戻り範囲)
          )
        )
      )
    ),
    ""
  )
)</f>
        <v/>
      </c>
      <c r="AO44" s="223" t="str" cm="1">
        <f t="array" aca="1" ref="AO44" ca="1">IF($C44="","",
  IFERROR(
    _xlfn.LET(
      _xlpm._対象月初,EOMONTH(AO$1,-1)+1,
      _xlpm._今月初,EOMONTH(基準データ!$C$5,-1)+1,
      IF(
        _xlpm._対象月初&gt;_xlpm._今月初,
        IF(
          OR(AN44="",AN44=0),
          "",
          AN44*AO$46
        ),
        _xlfn.LET(
          _xlpm._参照先,
            "'[在庫状況把握_43期_2025-2026.xlsx]月次報告"
            &amp;TEXT(AO$1,"YYMM")
            &amp;"'!",
          _xlpm._戻り範囲,
            IF(
              _xlpm._対象月初=_xlpm._今月初,
              "$AG$1:$AG$300",
              "$G$1:$G$300"
            ),
          _xlfn.XLOOKUP(
            $C44,
            INDIRECT(_xlpm._参照先&amp;"$C$1:$C$300"),
            INDIRECT(_xlpm._参照先&amp;_xlpm._戻り範囲)
          )
        )
      )
    ),
    ""
  )
)</f>
        <v/>
      </c>
      <c r="AP44" s="223" t="str" cm="1">
        <f t="array" aca="1" ref="AP44" ca="1">IF($C44="","",
  IFERROR(
    _xlfn.LET(
      _xlpm._対象月初,EOMONTH(AP$1,-1)+1,
      _xlpm._今月初,EOMONTH(基準データ!$C$5,-1)+1,
      IF(
        _xlpm._対象月初&gt;_xlpm._今月初,
        IF(
          OR(AO44="",AO44=0),
          "",
          AO44*AP$46
        ),
        _xlfn.LET(
          _xlpm._参照先,
            "'[在庫状況把握_43期_2025-2026.xlsx]月次報告"
            &amp;TEXT(AP$1,"YYMM")
            &amp;"'!",
          _xlpm._戻り範囲,
            IF(
              _xlpm._対象月初=_xlpm._今月初,
              "$AG$1:$AG$300",
              "$G$1:$G$300"
            ),
          _xlfn.XLOOKUP(
            $C44,
            INDIRECT(_xlpm._参照先&amp;"$C$1:$C$300"),
            INDIRECT(_xlpm._参照先&amp;_xlpm._戻り範囲)
          )
        )
      )
    ),
    ""
  )
)</f>
        <v/>
      </c>
      <c r="AQ44" s="223" t="str" cm="1">
        <f t="array" aca="1" ref="AQ44" ca="1">IF($C44="","",
  IFERROR(
    _xlfn.LET(
      _xlpm._対象月初,EOMONTH(AQ$1,-1)+1,
      _xlpm._今月初,EOMONTH(基準データ!$C$5,-1)+1,
      IF(
        _xlpm._対象月初&gt;_xlpm._今月初,
        IF(
          OR(AP44="",AP44=0),
          "",
          AP44*AQ$46
        ),
        _xlfn.LET(
          _xlpm._参照先,
            "'[在庫状況把握_43期_2025-2026.xlsx]月次報告"
            &amp;TEXT(AQ$1,"YYMM")
            &amp;"'!",
          _xlpm._戻り範囲,
            IF(
              _xlpm._対象月初=_xlpm._今月初,
              "$AG$1:$AG$300",
              "$G$1:$G$300"
            ),
          _xlfn.XLOOKUP(
            $C44,
            INDIRECT(_xlpm._参照先&amp;"$C$1:$C$300"),
            INDIRECT(_xlpm._参照先&amp;_xlpm._戻り範囲)
          )
        )
      )
    ),
    ""
  )
)</f>
        <v/>
      </c>
      <c r="AR44" s="223" t="str" cm="1">
        <f t="array" aca="1" ref="AR44" ca="1">IF($C44="","",
  IFERROR(
    _xlfn.LET(
      _xlpm._対象月初,EOMONTH(AR$1,-1)+1,
      _xlpm._今月初,EOMONTH(基準データ!$C$5,-1)+1,
      IF(
        _xlpm._対象月初&gt;_xlpm._今月初,
        IF(
          OR(AQ44="",AQ44=0),
          "",
          AQ44*AR$46
        ),
        _xlfn.LET(
          _xlpm._参照先,
            "'[在庫状況把握_43期_2025-2026.xlsx]月次報告"
            &amp;TEXT(AR$1,"YYMM")
            &amp;"'!",
          _xlpm._戻り範囲,
            IF(
              _xlpm._対象月初=_xlpm._今月初,
              "$AG$1:$AG$300",
              "$G$1:$G$300"
            ),
          _xlfn.XLOOKUP(
            $C44,
            INDIRECT(_xlpm._参照先&amp;"$C$1:$C$300"),
            INDIRECT(_xlpm._参照先&amp;_xlpm._戻り範囲)
          )
        )
      )
    ),
    ""
  )
)</f>
        <v/>
      </c>
      <c r="AS44" s="223" t="str" cm="1">
        <f t="array" aca="1" ref="AS44" ca="1">IF($C44="","",
  IFERROR(
    _xlfn.LET(
      _xlpm._対象月初,EOMONTH(AS$1,-1)+1,
      _xlpm._今月初,EOMONTH(基準データ!$C$5,-1)+1,
      IF(
        _xlpm._対象月初&gt;_xlpm._今月初,
        IF(
          OR(AR44="",AR44=0),
          "",
          AR44*AS$46
        ),
        _xlfn.LET(
          _xlpm._参照先,
            "'[在庫状況把握_43期_2025-2026.xlsx]月次報告"
            &amp;TEXT(AS$1,"YYMM")
            &amp;"'!",
          _xlpm._戻り範囲,
            IF(
              _xlpm._対象月初=_xlpm._今月初,
              "$AG$1:$AG$300",
              "$G$1:$G$300"
            ),
          _xlfn.XLOOKUP(
            $C44,
            INDIRECT(_xlpm._参照先&amp;"$C$1:$C$300"),
            INDIRECT(_xlpm._参照先&amp;_xlpm._戻り範囲)
          )
        )
      )
    ),
    ""
  )
)</f>
        <v/>
      </c>
      <c r="AT44" s="223" t="str" cm="1">
        <f t="array" aca="1" ref="AT44" ca="1">IF($C44="","",
  IFERROR(
    _xlfn.LET(
      _xlpm._対象月初,EOMONTH(AT$1,-1)+1,
      _xlpm._今月初,EOMONTH(基準データ!$C$5,-1)+1,
      IF(
        _xlpm._対象月初&gt;_xlpm._今月初,
        IF(
          OR(AS44="",AS44=0),
          "",
          AS44*AT$46
        ),
        _xlfn.LET(
          _xlpm._参照先,
            "'[在庫状況把握_43期_2025-2026.xlsx]月次報告"
            &amp;TEXT(AT$1,"YYMM")
            &amp;"'!",
          _xlpm._戻り範囲,
            IF(
              _xlpm._対象月初=_xlpm._今月初,
              "$AG$1:$AG$300",
              "$G$1:$G$300"
            ),
          _xlfn.XLOOKUP(
            $C44,
            INDIRECT(_xlpm._参照先&amp;"$C$1:$C$300"),
            INDIRECT(_xlpm._参照先&amp;_xlpm._戻り範囲)
          )
        )
      )
    ),
    ""
  )
)</f>
        <v/>
      </c>
      <c r="AU44" s="223" t="str" cm="1">
        <f t="array" aca="1" ref="AU44" ca="1">IF($C44="","",
  IFERROR(
    _xlfn.LET(
      _xlpm._対象月初,EOMONTH(AU$1,-1)+1,
      _xlpm._今月初,EOMONTH(基準データ!$C$5,-1)+1,
      IF(
        _xlpm._対象月初&gt;_xlpm._今月初,
        IF(
          OR(AT44="",AT44=0),
          "",
          AT44*AU$46
        ),
        _xlfn.LET(
          _xlpm._参照先,
            "'[在庫状況把握_43期_2025-2026.xlsx]月次報告"
            &amp;TEXT(AU$1,"YYMM")
            &amp;"'!",
          _xlpm._戻り範囲,
            IF(
              _xlpm._対象月初=_xlpm._今月初,
              "$AG$1:$AG$300",
              "$G$1:$G$300"
            ),
          _xlfn.XLOOKUP(
            $C44,
            INDIRECT(_xlpm._参照先&amp;"$C$1:$C$300"),
            INDIRECT(_xlpm._参照先&amp;_xlpm._戻り範囲)
          )
        )
      )
    ),
    ""
  )
)</f>
        <v/>
      </c>
      <c r="AV44" s="223" t="str" cm="1">
        <f t="array" aca="1" ref="AV44" ca="1">IF($C44="","",
  IFERROR(
    _xlfn.LET(
      _xlpm._対象月初,EOMONTH(AV$1,-1)+1,
      _xlpm._今月初,EOMONTH(基準データ!$C$5,-1)+1,
      IF(
        _xlpm._対象月初&gt;_xlpm._今月初,
        IF(
          OR(AU44="",AU44=0),
          "",
          AU44*AV$46
        ),
        _xlfn.LET(
          _xlpm._参照先,
            "'[在庫状況把握_43期_2025-2026.xlsx]月次報告"
            &amp;TEXT(AV$1,"YYMM")
            &amp;"'!",
          _xlpm._戻り範囲,
            IF(
              _xlpm._対象月初=_xlpm._今月初,
              "$AG$1:$AG$300",
              "$G$1:$G$300"
            ),
          _xlfn.XLOOKUP(
            $C44,
            INDIRECT(_xlpm._参照先&amp;"$C$1:$C$300"),
            INDIRECT(_xlpm._参照先&amp;_xlpm._戻り範囲)
          )
        )
      )
    ),
    ""
  )
)</f>
        <v/>
      </c>
      <c r="AW44" s="223" t="str" cm="1">
        <f t="array" aca="1" ref="AW44" ca="1">IF($C44="","",
  IFERROR(
    _xlfn.LET(
      _xlpm._対象月初,EOMONTH(AW$1,-1)+1,
      _xlpm._今月初,EOMONTH(基準データ!$C$5,-1)+1,
      IF(
        _xlpm._対象月初&gt;_xlpm._今月初,
        IF(
          OR(AV44="",AV44=0),
          "",
          AV44*AW$46
        ),
        _xlfn.LET(
          _xlpm._参照先,
            "'[在庫状況把握_43期_2025-2026.xlsx]月次報告"
            &amp;TEXT(AW$1,"YYMM")
            &amp;"'!",
          _xlpm._戻り範囲,
            IF(
              _xlpm._対象月初=_xlpm._今月初,
              "$AG$1:$AG$300",
              "$G$1:$G$300"
            ),
          _xlfn.XLOOKUP(
            $C44,
            INDIRECT(_xlpm._参照先&amp;"$C$1:$C$300"),
            INDIRECT(_xlpm._参照先&amp;_xlpm._戻り範囲)
          )
        )
      )
    ),
    ""
  )
)</f>
        <v/>
      </c>
      <c r="AX44" s="223" t="str" cm="1">
        <f t="array" aca="1" ref="AX44" ca="1">IF($C44="","",
  IFERROR(
    _xlfn.LET(
      _xlpm._対象月初,EOMONTH(AX$1,-1)+1,
      _xlpm._今月初,EOMONTH(基準データ!$C$5,-1)+1,
      IF(
        _xlpm._対象月初&gt;_xlpm._今月初,
        IF(
          OR(AW44="",AW44=0),
          "",
          AW44*AX$46
        ),
        _xlfn.LET(
          _xlpm._参照先,
            "'[在庫状況把握_43期_2025-2026.xlsx]月次報告"
            &amp;TEXT(AX$1,"YYMM")
            &amp;"'!",
          _xlpm._戻り範囲,
            IF(
              _xlpm._対象月初=_xlpm._今月初,
              "$AG$1:$AG$300",
              "$G$1:$G$300"
            ),
          _xlfn.XLOOKUP(
            $C44,
            INDIRECT(_xlpm._参照先&amp;"$C$1:$C$300"),
            INDIRECT(_xlpm._参照先&amp;_xlpm._戻り範囲)
          )
        )
      )
    ),
    ""
  )
)</f>
        <v/>
      </c>
      <c r="AY44" s="223" t="str" cm="1">
        <f t="array" aca="1" ref="AY44" ca="1">IF($C44="","",
  IFERROR(
    _xlfn.LET(
      _xlpm._対象月初,EOMONTH(AY$1,-1)+1,
      _xlpm._今月初,EOMONTH(基準データ!$C$5,-1)+1,
      IF(
        _xlpm._対象月初&gt;_xlpm._今月初,
        IF(
          OR(AX44="",AX44=0),
          "",
          AX44*AY$46
        ),
        _xlfn.LET(
          _xlpm._参照先,
            "'[在庫状況把握_43期_2025-2026.xlsx]月次報告"
            &amp;TEXT(AY$1,"YYMM")
            &amp;"'!",
          _xlpm._戻り範囲,
            IF(
              _xlpm._対象月初=_xlpm._今月初,
              "$AG$1:$AG$300",
              "$G$1:$G$300"
            ),
          _xlfn.XLOOKUP(
            $C44,
            INDIRECT(_xlpm._参照先&amp;"$C$1:$C$300"),
            INDIRECT(_xlpm._参照先&amp;_xlpm._戻り範囲)
          )
        )
      )
    ),
    ""
  )
)</f>
        <v/>
      </c>
      <c r="AZ44" s="223" t="str" cm="1">
        <f t="array" aca="1" ref="AZ44" ca="1">IF($C44="","",
  IFERROR(
    _xlfn.LET(
      _xlpm._対象月初,EOMONTH(AZ$1,-1)+1,
      _xlpm._今月初,EOMONTH(基準データ!$C$5,-1)+1,
      IF(
        _xlpm._対象月初&gt;_xlpm._今月初,
        IF(
          OR(AY44="",AY44=0),
          "",
          AY44*AZ$46
        ),
        _xlfn.LET(
          _xlpm._参照先,
            "'[在庫状況把握_43期_2025-2026.xlsx]月次報告"
            &amp;TEXT(AZ$1,"YYMM")
            &amp;"'!",
          _xlpm._戻り範囲,
            IF(
              _xlpm._対象月初=_xlpm._今月初,
              "$AG$1:$AG$300",
              "$G$1:$G$300"
            ),
          _xlfn.XLOOKUP(
            $C44,
            INDIRECT(_xlpm._参照先&amp;"$C$1:$C$300"),
            INDIRECT(_xlpm._参照先&amp;_xlpm._戻り範囲)
          )
        )
      )
    ),
    ""
  )
)</f>
        <v/>
      </c>
      <c r="BA44" s="223" t="str" cm="1">
        <f t="array" aca="1" ref="BA44" ca="1">IF($C44="","",
  IFERROR(
    _xlfn.LET(
      _xlpm._対象月初,EOMONTH(BA$1,-1)+1,
      _xlpm._今月初,EOMONTH(基準データ!$C$5,-1)+1,
      IF(
        _xlpm._対象月初&gt;_xlpm._今月初,
        IF(
          OR(AZ44="",AZ44=0),
          "",
          AZ44*BA$46
        ),
        _xlfn.LET(
          _xlpm._参照先,
            "'[在庫状況把握_43期_2025-2026.xlsx]月次報告"
            &amp;TEXT(BA$1,"YYMM")
            &amp;"'!",
          _xlpm._戻り範囲,
            IF(
              _xlpm._対象月初=_xlpm._今月初,
              "$AG$1:$AG$300",
              "$G$1:$G$300"
            ),
          _xlfn.XLOOKUP(
            $C44,
            INDIRECT(_xlpm._参照先&amp;"$C$1:$C$300"),
            INDIRECT(_xlpm._参照先&amp;_xlpm._戻り範囲)
          )
        )
      )
    ),
    ""
  )
)</f>
        <v/>
      </c>
      <c r="BB44" s="223" t="str" cm="1">
        <f t="array" aca="1" ref="BB44" ca="1">IF($C44="","",
  IFERROR(
    _xlfn.LET(
      _xlpm._対象月初,EOMONTH(BB$1,-1)+1,
      _xlpm._今月初,EOMONTH(基準データ!$C$5,-1)+1,
      IF(
        _xlpm._対象月初&gt;_xlpm._今月初,
        IF(
          OR(BA44="",BA44=0),
          "",
          BA44*BB$46
        ),
        _xlfn.LET(
          _xlpm._参照先,
            "'[在庫状況把握_43期_2025-2026.xlsx]月次報告"
            &amp;TEXT(BB$1,"YYMM")
            &amp;"'!",
          _xlpm._戻り範囲,
            IF(
              _xlpm._対象月初=_xlpm._今月初,
              "$AG$1:$AG$300",
              "$G$1:$G$300"
            ),
          _xlfn.XLOOKUP(
            $C44,
            INDIRECT(_xlpm._参照先&amp;"$C$1:$C$300"),
            INDIRECT(_xlpm._参照先&amp;_xlpm._戻り範囲)
          )
        )
      )
    ),
    ""
  )
)</f>
        <v/>
      </c>
      <c r="BC44" s="223" t="str" cm="1">
        <f t="array" aca="1" ref="BC44" ca="1">IF($C44="","",
  IFERROR(
    _xlfn.LET(
      _xlpm._対象月初,EOMONTH(BC$1,-1)+1,
      _xlpm._今月初,EOMONTH(基準データ!$C$5,-1)+1,
      IF(
        _xlpm._対象月初&gt;_xlpm._今月初,
        IF(
          OR(BB44="",BB44=0),
          "",
          BB44*BC$46
        ),
        _xlfn.LET(
          _xlpm._参照先,
            "'[在庫状況把握_43期_2025-2026.xlsx]月次報告"
            &amp;TEXT(BC$1,"YYMM")
            &amp;"'!",
          _xlpm._戻り範囲,
            IF(
              _xlpm._対象月初=_xlpm._今月初,
              "$AG$1:$AG$300",
              "$G$1:$G$300"
            ),
          _xlfn.XLOOKUP(
            $C44,
            INDIRECT(_xlpm._参照先&amp;"$C$1:$C$300"),
            INDIRECT(_xlpm._参照先&amp;_xlpm._戻り範囲)
          )
        )
      )
    ),
    ""
  )
)</f>
        <v/>
      </c>
      <c r="BD44" s="223" t="str" cm="1">
        <f t="array" aca="1" ref="BD44" ca="1">IF($C44="","",
  IFERROR(
    _xlfn.LET(
      _xlpm._対象月初,EOMONTH(BD$1,-1)+1,
      _xlpm._今月初,EOMONTH(基準データ!$C$5,-1)+1,
      IF(
        _xlpm._対象月初&gt;_xlpm._今月初,
        IF(
          OR(BC44="",BC44=0),
          "",
          BC44*BD$46
        ),
        _xlfn.LET(
          _xlpm._参照先,
            "'[在庫状況把握_43期_2025-2026.xlsx]月次報告"
            &amp;TEXT(BD$1,"YYMM")
            &amp;"'!",
          _xlpm._戻り範囲,
            IF(
              _xlpm._対象月初=_xlpm._今月初,
              "$AG$1:$AG$300",
              "$G$1:$G$300"
            ),
          _xlfn.XLOOKUP(
            $C44,
            INDIRECT(_xlpm._参照先&amp;"$C$1:$C$300"),
            INDIRECT(_xlpm._参照先&amp;_xlpm._戻り範囲)
          )
        )
      )
    ),
    ""
  )
)</f>
        <v/>
      </c>
    </row>
    <row r="45" spans="1:56">
      <c r="A45" s="1059"/>
      <c r="B45" s="26" t="str">
        <v/>
      </c>
      <c r="C45" s="26"/>
      <c r="D45" s="26"/>
      <c r="E45" s="26"/>
      <c r="F45" s="26"/>
      <c r="G45" s="43" t="str">
        <v/>
      </c>
      <c r="H45" s="109" t="str" cm="1">
        <f t="array" aca="1" ref="H45" ca="1">_xlfn.LET(_xlpm._来月から4ヶ月計画合計,
  SUM(
    OFFSET($A45,0,
      MATCH(
        EDATE(基準データ!$C$5,3),$A$1:$BF$1,1
      )-3,1,4)),
_xlpm._今月計画数,
INDEX($A$1:$BE$223,
  ROW(),
  MATCH(EOMONTH(基準データ!$C$5,-1)+1,$A$1:$BE$1,0)
),
  IFERROR(IF($B45="","",_xlpm._来月から4ヶ月計画合計+_xlpm._今月計画数/2),""
)
)</f>
        <v/>
      </c>
      <c r="I45" s="38"/>
      <c r="J45" s="38"/>
      <c r="K45" s="38"/>
      <c r="L45" s="38"/>
      <c r="M45" s="38"/>
      <c r="N45" s="38"/>
      <c r="O45" s="38"/>
      <c r="P45" s="38"/>
      <c r="Q45" s="219"/>
      <c r="R45" s="219"/>
      <c r="S45" s="219"/>
      <c r="T45" s="219"/>
      <c r="U45" s="224"/>
      <c r="V45" s="224"/>
      <c r="W45" s="219"/>
      <c r="X45" s="480"/>
      <c r="Y45" s="219"/>
      <c r="Z45" s="468"/>
      <c r="AA45" s="468"/>
      <c r="AB45" s="219"/>
      <c r="AC45" s="224"/>
      <c r="AD45" s="224" t="s">
        <v>21</v>
      </c>
      <c r="AE45" s="223" t="s">
        <v>21</v>
      </c>
      <c r="AF45" s="223" t="s">
        <v>21</v>
      </c>
      <c r="AG45" s="223" t="s">
        <v>21</v>
      </c>
      <c r="AH45" s="223" t="s">
        <v>21</v>
      </c>
      <c r="AI45" s="223" t="s">
        <v>21</v>
      </c>
      <c r="AJ45" s="223" t="s">
        <v>21</v>
      </c>
      <c r="AK45" s="223" t="s">
        <v>21</v>
      </c>
      <c r="AL45" s="223" t="str" cm="1">
        <f t="array" aca="1" ref="AL45" ca="1">IF($C45="","",
  IFERROR(
    _xlfn.LET(
      _xlpm._対象月初,EOMONTH(AL$1,-1)+1,
      _xlpm._今月初,EOMONTH(基準データ!$C$5,-1)+1,
      IF(
        _xlpm._対象月初&gt;_xlpm._今月初,
        IF(
          OR(AK45="",AK45=0),
          "",
          AK45*AL$46
        ),
        _xlfn.LET(
          _xlpm._参照先,
            "'[在庫状況把握_43期_2025-2026.xlsx]月次報告"
            &amp;TEXT(AL$1,"YYMM")
            &amp;"'!",
          _xlpm._戻り範囲,
            IF(
              _xlpm._対象月初=_xlpm._今月初,
              "$AG$1:$AG$300",
              "$G$1:$G$300"
            ),
          _xlfn.XLOOKUP(
            $C45,
            INDIRECT(_xlpm._参照先&amp;"$C$1:$C$300"),
            INDIRECT(_xlpm._参照先&amp;_xlpm._戻り範囲)
          )
        )
      )
    ),
    ""
  )
)</f>
        <v/>
      </c>
      <c r="AM45" s="223" t="str" cm="1">
        <f t="array" aca="1" ref="AM45" ca="1">IF($C45="","",
  IFERROR(
    _xlfn.LET(
      _xlpm._対象月初,EOMONTH(AM$1,-1)+1,
      _xlpm._今月初,EOMONTH(基準データ!$C$5,-1)+1,
      IF(
        _xlpm._対象月初&gt;_xlpm._今月初,
        IF(
          OR(AL45="",AL45=0),
          "",
          AL45*AM$46
        ),
        _xlfn.LET(
          _xlpm._参照先,
            "'[在庫状況把握_43期_2025-2026.xlsx]月次報告"
            &amp;TEXT(AM$1,"YYMM")
            &amp;"'!",
          _xlpm._戻り範囲,
            IF(
              _xlpm._対象月初=_xlpm._今月初,
              "$AG$1:$AG$300",
              "$G$1:$G$300"
            ),
          _xlfn.XLOOKUP(
            $C45,
            INDIRECT(_xlpm._参照先&amp;"$C$1:$C$300"),
            INDIRECT(_xlpm._参照先&amp;_xlpm._戻り範囲)
          )
        )
      )
    ),
    ""
  )
)</f>
        <v/>
      </c>
      <c r="AN45" s="223" t="str" cm="1">
        <f t="array" aca="1" ref="AN45" ca="1">IF($C45="","",
  IFERROR(
    _xlfn.LET(
      _xlpm._対象月初,EOMONTH(AN$1,-1)+1,
      _xlpm._今月初,EOMONTH(基準データ!$C$5,-1)+1,
      IF(
        _xlpm._対象月初&gt;_xlpm._今月初,
        IF(
          OR(AM45="",AM45=0),
          "",
          AM45*AN$46
        ),
        _xlfn.LET(
          _xlpm._参照先,
            "'[在庫状況把握_43期_2025-2026.xlsx]月次報告"
            &amp;TEXT(AN$1,"YYMM")
            &amp;"'!",
          _xlpm._戻り範囲,
            IF(
              _xlpm._対象月初=_xlpm._今月初,
              "$AG$1:$AG$300",
              "$G$1:$G$300"
            ),
          _xlfn.XLOOKUP(
            $C45,
            INDIRECT(_xlpm._参照先&amp;"$C$1:$C$300"),
            INDIRECT(_xlpm._参照先&amp;_xlpm._戻り範囲)
          )
        )
      )
    ),
    ""
  )
)</f>
        <v/>
      </c>
      <c r="AO45" s="223" t="str" cm="1">
        <f t="array" aca="1" ref="AO45" ca="1">IF($C45="","",
  IFERROR(
    _xlfn.LET(
      _xlpm._対象月初,EOMONTH(AO$1,-1)+1,
      _xlpm._今月初,EOMONTH(基準データ!$C$5,-1)+1,
      IF(
        _xlpm._対象月初&gt;_xlpm._今月初,
        IF(
          OR(AN45="",AN45=0),
          "",
          AN45*AO$46
        ),
        _xlfn.LET(
          _xlpm._参照先,
            "'[在庫状況把握_43期_2025-2026.xlsx]月次報告"
            &amp;TEXT(AO$1,"YYMM")
            &amp;"'!",
          _xlpm._戻り範囲,
            IF(
              _xlpm._対象月初=_xlpm._今月初,
              "$AG$1:$AG$300",
              "$G$1:$G$300"
            ),
          _xlfn.XLOOKUP(
            $C45,
            INDIRECT(_xlpm._参照先&amp;"$C$1:$C$300"),
            INDIRECT(_xlpm._参照先&amp;_xlpm._戻り範囲)
          )
        )
      )
    ),
    ""
  )
)</f>
        <v/>
      </c>
      <c r="AP45" s="223" t="str" cm="1">
        <f t="array" aca="1" ref="AP45" ca="1">IF($C45="","",
  IFERROR(
    _xlfn.LET(
      _xlpm._対象月初,EOMONTH(AP$1,-1)+1,
      _xlpm._今月初,EOMONTH(基準データ!$C$5,-1)+1,
      IF(
        _xlpm._対象月初&gt;_xlpm._今月初,
        IF(
          OR(AO45="",AO45=0),
          "",
          AO45*AP$46
        ),
        _xlfn.LET(
          _xlpm._参照先,
            "'[在庫状況把握_43期_2025-2026.xlsx]月次報告"
            &amp;TEXT(AP$1,"YYMM")
            &amp;"'!",
          _xlpm._戻り範囲,
            IF(
              _xlpm._対象月初=_xlpm._今月初,
              "$AG$1:$AG$300",
              "$G$1:$G$300"
            ),
          _xlfn.XLOOKUP(
            $C45,
            INDIRECT(_xlpm._参照先&amp;"$C$1:$C$300"),
            INDIRECT(_xlpm._参照先&amp;_xlpm._戻り範囲)
          )
        )
      )
    ),
    ""
  )
)</f>
        <v/>
      </c>
      <c r="AQ45" s="223" t="str" cm="1">
        <f t="array" aca="1" ref="AQ45" ca="1">IF($C45="","",
  IFERROR(
    _xlfn.LET(
      _xlpm._対象月初,EOMONTH(AQ$1,-1)+1,
      _xlpm._今月初,EOMONTH(基準データ!$C$5,-1)+1,
      IF(
        _xlpm._対象月初&gt;_xlpm._今月初,
        IF(
          OR(AP45="",AP45=0),
          "",
          AP45*AQ$46
        ),
        _xlfn.LET(
          _xlpm._参照先,
            "'[在庫状況把握_43期_2025-2026.xlsx]月次報告"
            &amp;TEXT(AQ$1,"YYMM")
            &amp;"'!",
          _xlpm._戻り範囲,
            IF(
              _xlpm._対象月初=_xlpm._今月初,
              "$AG$1:$AG$300",
              "$G$1:$G$300"
            ),
          _xlfn.XLOOKUP(
            $C45,
            INDIRECT(_xlpm._参照先&amp;"$C$1:$C$300"),
            INDIRECT(_xlpm._参照先&amp;_xlpm._戻り範囲)
          )
        )
      )
    ),
    ""
  )
)</f>
        <v/>
      </c>
      <c r="AR45" s="223" t="str" cm="1">
        <f t="array" aca="1" ref="AR45" ca="1">IF($C45="","",
  IFERROR(
    _xlfn.LET(
      _xlpm._対象月初,EOMONTH(AR$1,-1)+1,
      _xlpm._今月初,EOMONTH(基準データ!$C$5,-1)+1,
      IF(
        _xlpm._対象月初&gt;_xlpm._今月初,
        IF(
          OR(AQ45="",AQ45=0),
          "",
          AQ45*AR$46
        ),
        _xlfn.LET(
          _xlpm._参照先,
            "'[在庫状況把握_43期_2025-2026.xlsx]月次報告"
            &amp;TEXT(AR$1,"YYMM")
            &amp;"'!",
          _xlpm._戻り範囲,
            IF(
              _xlpm._対象月初=_xlpm._今月初,
              "$AG$1:$AG$300",
              "$G$1:$G$300"
            ),
          _xlfn.XLOOKUP(
            $C45,
            INDIRECT(_xlpm._参照先&amp;"$C$1:$C$300"),
            INDIRECT(_xlpm._参照先&amp;_xlpm._戻り範囲)
          )
        )
      )
    ),
    ""
  )
)</f>
        <v/>
      </c>
      <c r="AS45" s="223" t="str" cm="1">
        <f t="array" aca="1" ref="AS45" ca="1">IF($C45="","",
  IFERROR(
    _xlfn.LET(
      _xlpm._対象月初,EOMONTH(AS$1,-1)+1,
      _xlpm._今月初,EOMONTH(基準データ!$C$5,-1)+1,
      IF(
        _xlpm._対象月初&gt;_xlpm._今月初,
        IF(
          OR(AR45="",AR45=0),
          "",
          AR45*AS$46
        ),
        _xlfn.LET(
          _xlpm._参照先,
            "'[在庫状況把握_43期_2025-2026.xlsx]月次報告"
            &amp;TEXT(AS$1,"YYMM")
            &amp;"'!",
          _xlpm._戻り範囲,
            IF(
              _xlpm._対象月初=_xlpm._今月初,
              "$AG$1:$AG$300",
              "$G$1:$G$300"
            ),
          _xlfn.XLOOKUP(
            $C45,
            INDIRECT(_xlpm._参照先&amp;"$C$1:$C$300"),
            INDIRECT(_xlpm._参照先&amp;_xlpm._戻り範囲)
          )
        )
      )
    ),
    ""
  )
)</f>
        <v/>
      </c>
      <c r="AT45" s="223" t="str" cm="1">
        <f t="array" aca="1" ref="AT45" ca="1">IF($C45="","",
  IFERROR(
    _xlfn.LET(
      _xlpm._対象月初,EOMONTH(AT$1,-1)+1,
      _xlpm._今月初,EOMONTH(基準データ!$C$5,-1)+1,
      IF(
        _xlpm._対象月初&gt;_xlpm._今月初,
        IF(
          OR(AS45="",AS45=0),
          "",
          AS45*AT$46
        ),
        _xlfn.LET(
          _xlpm._参照先,
            "'[在庫状況把握_43期_2025-2026.xlsx]月次報告"
            &amp;TEXT(AT$1,"YYMM")
            &amp;"'!",
          _xlpm._戻り範囲,
            IF(
              _xlpm._対象月初=_xlpm._今月初,
              "$AG$1:$AG$300",
              "$G$1:$G$300"
            ),
          _xlfn.XLOOKUP(
            $C45,
            INDIRECT(_xlpm._参照先&amp;"$C$1:$C$300"),
            INDIRECT(_xlpm._参照先&amp;_xlpm._戻り範囲)
          )
        )
      )
    ),
    ""
  )
)</f>
        <v/>
      </c>
      <c r="AU45" s="223" t="str" cm="1">
        <f t="array" aca="1" ref="AU45" ca="1">IF($C45="","",
  IFERROR(
    _xlfn.LET(
      _xlpm._対象月初,EOMONTH(AU$1,-1)+1,
      _xlpm._今月初,EOMONTH(基準データ!$C$5,-1)+1,
      IF(
        _xlpm._対象月初&gt;_xlpm._今月初,
        IF(
          OR(AT45="",AT45=0),
          "",
          AT45*AU$46
        ),
        _xlfn.LET(
          _xlpm._参照先,
            "'[在庫状況把握_43期_2025-2026.xlsx]月次報告"
            &amp;TEXT(AU$1,"YYMM")
            &amp;"'!",
          _xlpm._戻り範囲,
            IF(
              _xlpm._対象月初=_xlpm._今月初,
              "$AG$1:$AG$300",
              "$G$1:$G$300"
            ),
          _xlfn.XLOOKUP(
            $C45,
            INDIRECT(_xlpm._参照先&amp;"$C$1:$C$300"),
            INDIRECT(_xlpm._参照先&amp;_xlpm._戻り範囲)
          )
        )
      )
    ),
    ""
  )
)</f>
        <v/>
      </c>
      <c r="AV45" s="223" t="str" cm="1">
        <f t="array" aca="1" ref="AV45" ca="1">IF($C45="","",
  IFERROR(
    _xlfn.LET(
      _xlpm._対象月初,EOMONTH(AV$1,-1)+1,
      _xlpm._今月初,EOMONTH(基準データ!$C$5,-1)+1,
      IF(
        _xlpm._対象月初&gt;_xlpm._今月初,
        IF(
          OR(AU45="",AU45=0),
          "",
          AU45*AV$46
        ),
        _xlfn.LET(
          _xlpm._参照先,
            "'[在庫状況把握_43期_2025-2026.xlsx]月次報告"
            &amp;TEXT(AV$1,"YYMM")
            &amp;"'!",
          _xlpm._戻り範囲,
            IF(
              _xlpm._対象月初=_xlpm._今月初,
              "$AG$1:$AG$300",
              "$G$1:$G$300"
            ),
          _xlfn.XLOOKUP(
            $C45,
            INDIRECT(_xlpm._参照先&amp;"$C$1:$C$300"),
            INDIRECT(_xlpm._参照先&amp;_xlpm._戻り範囲)
          )
        )
      )
    ),
    ""
  )
)</f>
        <v/>
      </c>
      <c r="AW45" s="223" t="str" cm="1">
        <f t="array" aca="1" ref="AW45" ca="1">IF($C45="","",
  IFERROR(
    _xlfn.LET(
      _xlpm._対象月初,EOMONTH(AW$1,-1)+1,
      _xlpm._今月初,EOMONTH(基準データ!$C$5,-1)+1,
      IF(
        _xlpm._対象月初&gt;_xlpm._今月初,
        IF(
          OR(AV45="",AV45=0),
          "",
          AV45*AW$46
        ),
        _xlfn.LET(
          _xlpm._参照先,
            "'[在庫状況把握_43期_2025-2026.xlsx]月次報告"
            &amp;TEXT(AW$1,"YYMM")
            &amp;"'!",
          _xlpm._戻り範囲,
            IF(
              _xlpm._対象月初=_xlpm._今月初,
              "$AG$1:$AG$300",
              "$G$1:$G$300"
            ),
          _xlfn.XLOOKUP(
            $C45,
            INDIRECT(_xlpm._参照先&amp;"$C$1:$C$300"),
            INDIRECT(_xlpm._参照先&amp;_xlpm._戻り範囲)
          )
        )
      )
    ),
    ""
  )
)</f>
        <v/>
      </c>
      <c r="AX45" s="223" t="str" cm="1">
        <f t="array" aca="1" ref="AX45" ca="1">IF($C45="","",
  IFERROR(
    _xlfn.LET(
      _xlpm._対象月初,EOMONTH(AX$1,-1)+1,
      _xlpm._今月初,EOMONTH(基準データ!$C$5,-1)+1,
      IF(
        _xlpm._対象月初&gt;_xlpm._今月初,
        IF(
          OR(AW45="",AW45=0),
          "",
          AW45*AX$46
        ),
        _xlfn.LET(
          _xlpm._参照先,
            "'[在庫状況把握_43期_2025-2026.xlsx]月次報告"
            &amp;TEXT(AX$1,"YYMM")
            &amp;"'!",
          _xlpm._戻り範囲,
            IF(
              _xlpm._対象月初=_xlpm._今月初,
              "$AG$1:$AG$300",
              "$G$1:$G$300"
            ),
          _xlfn.XLOOKUP(
            $C45,
            INDIRECT(_xlpm._参照先&amp;"$C$1:$C$300"),
            INDIRECT(_xlpm._参照先&amp;_xlpm._戻り範囲)
          )
        )
      )
    ),
    ""
  )
)</f>
        <v/>
      </c>
      <c r="AY45" s="223" t="str" cm="1">
        <f t="array" aca="1" ref="AY45" ca="1">IF($C45="","",
  IFERROR(
    _xlfn.LET(
      _xlpm._対象月初,EOMONTH(AY$1,-1)+1,
      _xlpm._今月初,EOMONTH(基準データ!$C$5,-1)+1,
      IF(
        _xlpm._対象月初&gt;_xlpm._今月初,
        IF(
          OR(AX45="",AX45=0),
          "",
          AX45*AY$46
        ),
        _xlfn.LET(
          _xlpm._参照先,
            "'[在庫状況把握_43期_2025-2026.xlsx]月次報告"
            &amp;TEXT(AY$1,"YYMM")
            &amp;"'!",
          _xlpm._戻り範囲,
            IF(
              _xlpm._対象月初=_xlpm._今月初,
              "$AG$1:$AG$300",
              "$G$1:$G$300"
            ),
          _xlfn.XLOOKUP(
            $C45,
            INDIRECT(_xlpm._参照先&amp;"$C$1:$C$300"),
            INDIRECT(_xlpm._参照先&amp;_xlpm._戻り範囲)
          )
        )
      )
    ),
    ""
  )
)</f>
        <v/>
      </c>
      <c r="AZ45" s="223" t="str" cm="1">
        <f t="array" aca="1" ref="AZ45" ca="1">IF($C45="","",
  IFERROR(
    _xlfn.LET(
      _xlpm._対象月初,EOMONTH(AZ$1,-1)+1,
      _xlpm._今月初,EOMONTH(基準データ!$C$5,-1)+1,
      IF(
        _xlpm._対象月初&gt;_xlpm._今月初,
        IF(
          OR(AY45="",AY45=0),
          "",
          AY45*AZ$46
        ),
        _xlfn.LET(
          _xlpm._参照先,
            "'[在庫状況把握_43期_2025-2026.xlsx]月次報告"
            &amp;TEXT(AZ$1,"YYMM")
            &amp;"'!",
          _xlpm._戻り範囲,
            IF(
              _xlpm._対象月初=_xlpm._今月初,
              "$AG$1:$AG$300",
              "$G$1:$G$300"
            ),
          _xlfn.XLOOKUP(
            $C45,
            INDIRECT(_xlpm._参照先&amp;"$C$1:$C$300"),
            INDIRECT(_xlpm._参照先&amp;_xlpm._戻り範囲)
          )
        )
      )
    ),
    ""
  )
)</f>
        <v/>
      </c>
      <c r="BA45" s="223" t="str" cm="1">
        <f t="array" aca="1" ref="BA45" ca="1">IF($C45="","",
  IFERROR(
    _xlfn.LET(
      _xlpm._対象月初,EOMONTH(BA$1,-1)+1,
      _xlpm._今月初,EOMONTH(基準データ!$C$5,-1)+1,
      IF(
        _xlpm._対象月初&gt;_xlpm._今月初,
        IF(
          OR(AZ45="",AZ45=0),
          "",
          AZ45*BA$46
        ),
        _xlfn.LET(
          _xlpm._参照先,
            "'[在庫状況把握_43期_2025-2026.xlsx]月次報告"
            &amp;TEXT(BA$1,"YYMM")
            &amp;"'!",
          _xlpm._戻り範囲,
            IF(
              _xlpm._対象月初=_xlpm._今月初,
              "$AG$1:$AG$300",
              "$G$1:$G$300"
            ),
          _xlfn.XLOOKUP(
            $C45,
            INDIRECT(_xlpm._参照先&amp;"$C$1:$C$300"),
            INDIRECT(_xlpm._参照先&amp;_xlpm._戻り範囲)
          )
        )
      )
    ),
    ""
  )
)</f>
        <v/>
      </c>
      <c r="BB45" s="223" t="str" cm="1">
        <f t="array" aca="1" ref="BB45" ca="1">IF($C45="","",
  IFERROR(
    _xlfn.LET(
      _xlpm._対象月初,EOMONTH(BB$1,-1)+1,
      _xlpm._今月初,EOMONTH(基準データ!$C$5,-1)+1,
      IF(
        _xlpm._対象月初&gt;_xlpm._今月初,
        IF(
          OR(BA45="",BA45=0),
          "",
          BA45*BB$46
        ),
        _xlfn.LET(
          _xlpm._参照先,
            "'[在庫状況把握_43期_2025-2026.xlsx]月次報告"
            &amp;TEXT(BB$1,"YYMM")
            &amp;"'!",
          _xlpm._戻り範囲,
            IF(
              _xlpm._対象月初=_xlpm._今月初,
              "$AG$1:$AG$300",
              "$G$1:$G$300"
            ),
          _xlfn.XLOOKUP(
            $C45,
            INDIRECT(_xlpm._参照先&amp;"$C$1:$C$300"),
            INDIRECT(_xlpm._参照先&amp;_xlpm._戻り範囲)
          )
        )
      )
    ),
    ""
  )
)</f>
        <v/>
      </c>
      <c r="BC45" s="223" t="str" cm="1">
        <f t="array" aca="1" ref="BC45" ca="1">IF($C45="","",
  IFERROR(
    _xlfn.LET(
      _xlpm._対象月初,EOMONTH(BC$1,-1)+1,
      _xlpm._今月初,EOMONTH(基準データ!$C$5,-1)+1,
      IF(
        _xlpm._対象月初&gt;_xlpm._今月初,
        IF(
          OR(BB45="",BB45=0),
          "",
          BB45*BC$46
        ),
        _xlfn.LET(
          _xlpm._参照先,
            "'[在庫状況把握_43期_2025-2026.xlsx]月次報告"
            &amp;TEXT(BC$1,"YYMM")
            &amp;"'!",
          _xlpm._戻り範囲,
            IF(
              _xlpm._対象月初=_xlpm._今月初,
              "$AG$1:$AG$300",
              "$G$1:$G$300"
            ),
          _xlfn.XLOOKUP(
            $C45,
            INDIRECT(_xlpm._参照先&amp;"$C$1:$C$300"),
            INDIRECT(_xlpm._参照先&amp;_xlpm._戻り範囲)
          )
        )
      )
    ),
    ""
  )
)</f>
        <v/>
      </c>
      <c r="BD45" s="223" t="str" cm="1">
        <f t="array" aca="1" ref="BD45" ca="1">IF($C45="","",
  IFERROR(
    _xlfn.LET(
      _xlpm._対象月初,EOMONTH(BD$1,-1)+1,
      _xlpm._今月初,EOMONTH(基準データ!$C$5,-1)+1,
      IF(
        _xlpm._対象月初&gt;_xlpm._今月初,
        IF(
          OR(BC45="",BC45=0),
          "",
          BC45*BD$46
        ),
        _xlfn.LET(
          _xlpm._参照先,
            "'[在庫状況把握_43期_2025-2026.xlsx]月次報告"
            &amp;TEXT(BD$1,"YYMM")
            &amp;"'!",
          _xlpm._戻り範囲,
            IF(
              _xlpm._対象月初=_xlpm._今月初,
              "$AG$1:$AG$300",
              "$G$1:$G$300"
            ),
          _xlfn.XLOOKUP(
            $C45,
            INDIRECT(_xlpm._参照先&amp;"$C$1:$C$300"),
            INDIRECT(_xlpm._参照先&amp;_xlpm._戻り範囲)
          )
        )
      )
    ),
    ""
  )
)</f>
        <v/>
      </c>
    </row>
    <row r="46" spans="1:56">
      <c r="A46" s="1059"/>
      <c r="B46" s="26" t="s">
        <v>1647</v>
      </c>
      <c r="C46" s="26"/>
      <c r="D46" s="26"/>
      <c r="E46" s="26"/>
      <c r="F46" s="26"/>
      <c r="G46" s="43"/>
      <c r="H46" s="38"/>
      <c r="I46" s="38"/>
      <c r="J46" s="38"/>
      <c r="K46" s="38"/>
      <c r="L46" s="38"/>
      <c r="M46" s="38"/>
      <c r="N46" s="38"/>
      <c r="O46" s="38"/>
      <c r="P46" s="38"/>
      <c r="Q46" s="219"/>
      <c r="R46" s="219"/>
      <c r="S46" s="219"/>
      <c r="T46" s="219"/>
      <c r="U46" s="440"/>
      <c r="V46" s="440"/>
      <c r="W46" s="440"/>
      <c r="X46" s="440"/>
      <c r="Y46" s="440"/>
      <c r="Z46" s="440"/>
      <c r="AA46" s="440"/>
      <c r="AB46" s="440">
        <v>1.0577115090195033</v>
      </c>
      <c r="AC46" s="440">
        <v>1.0807635829662263</v>
      </c>
      <c r="AD46" s="440">
        <v>1.0098394598217773</v>
      </c>
      <c r="AE46" s="440">
        <v>1.0093530788993301</v>
      </c>
      <c r="AF46" s="440">
        <v>1.5717089063151117</v>
      </c>
      <c r="AG46" s="440">
        <v>0.84580268219550514</v>
      </c>
      <c r="AH46" s="440">
        <v>0.66115955658145964</v>
      </c>
      <c r="AI46" s="440">
        <v>1.496470588235294</v>
      </c>
      <c r="AJ46" s="440">
        <v>0.74740040525350004</v>
      </c>
      <c r="AK46" s="440">
        <v>0.84569859375943024</v>
      </c>
      <c r="AL46" s="440">
        <v>1.0509026794524492</v>
      </c>
      <c r="AM46" s="440">
        <v>0.98233483332213944</v>
      </c>
      <c r="AN46" s="440">
        <v>1.0577115090195033</v>
      </c>
      <c r="AO46" s="440">
        <v>1.0807635829662263</v>
      </c>
      <c r="AP46" s="440">
        <v>1.0098394598217773</v>
      </c>
      <c r="AQ46" s="440">
        <v>1.0093530788993301</v>
      </c>
      <c r="AR46" s="440">
        <v>1.5717089063151117</v>
      </c>
      <c r="AS46" s="440">
        <v>0.84580268219550514</v>
      </c>
      <c r="AT46" s="440">
        <v>0.66115955658145964</v>
      </c>
      <c r="AU46" s="440">
        <v>1.496470588235294</v>
      </c>
      <c r="AV46" s="440">
        <v>0.74740040525350004</v>
      </c>
      <c r="AW46" s="440">
        <v>0.84569859375943024</v>
      </c>
      <c r="AX46" s="440">
        <v>1.0509026794524492</v>
      </c>
      <c r="AY46" s="440">
        <v>0.98233483332213944</v>
      </c>
      <c r="AZ46" s="440">
        <v>1.0577115090195033</v>
      </c>
      <c r="BA46" s="440">
        <v>1.0807635829662263</v>
      </c>
      <c r="BB46" s="440">
        <v>1.0098394598217773</v>
      </c>
      <c r="BC46" s="440">
        <v>1.0093530788993301</v>
      </c>
      <c r="BD46" s="440">
        <v>1.5717089063151117</v>
      </c>
    </row>
    <row r="47" spans="1:56">
      <c r="A47" s="1062"/>
      <c r="B47" s="364" t="s">
        <v>1390</v>
      </c>
      <c r="C47" s="152" t="s">
        <v>1648</v>
      </c>
      <c r="D47" s="152"/>
      <c r="E47" s="152"/>
      <c r="F47" s="152"/>
      <c r="G47" s="356">
        <f>SUMIFS(在庫確認!C:C,在庫確認!B:B,'(全体実績+予測）の元データ'!C:C)</f>
        <v>0</v>
      </c>
      <c r="H47" s="45"/>
      <c r="I47" s="45">
        <f t="shared" ref="I47:T47" si="3">SUM(I30:I43)</f>
        <v>0</v>
      </c>
      <c r="J47" s="45">
        <f t="shared" si="3"/>
        <v>0</v>
      </c>
      <c r="K47" s="45">
        <f t="shared" si="3"/>
        <v>0</v>
      </c>
      <c r="L47" s="45">
        <f t="shared" si="3"/>
        <v>0</v>
      </c>
      <c r="M47" s="45">
        <f t="shared" si="3"/>
        <v>0</v>
      </c>
      <c r="N47" s="45">
        <f t="shared" si="3"/>
        <v>0</v>
      </c>
      <c r="O47" s="45">
        <f t="shared" si="3"/>
        <v>0</v>
      </c>
      <c r="P47" s="45">
        <f t="shared" si="3"/>
        <v>0</v>
      </c>
      <c r="Q47" s="45">
        <f t="shared" si="3"/>
        <v>0</v>
      </c>
      <c r="R47" s="45">
        <f t="shared" si="3"/>
        <v>0</v>
      </c>
      <c r="S47" s="45">
        <f t="shared" si="3"/>
        <v>0</v>
      </c>
      <c r="T47" s="45">
        <f t="shared" si="3"/>
        <v>0</v>
      </c>
      <c r="U47" s="45">
        <f t="shared" ref="U47:AC47" si="4">SUM(U29:U45)</f>
        <v>799</v>
      </c>
      <c r="V47" s="45">
        <f t="shared" si="4"/>
        <v>392</v>
      </c>
      <c r="W47" s="45">
        <f t="shared" si="4"/>
        <v>541</v>
      </c>
      <c r="X47" s="45">
        <f t="shared" si="4"/>
        <v>395</v>
      </c>
      <c r="Y47" s="45">
        <f t="shared" si="4"/>
        <v>304</v>
      </c>
      <c r="Z47" s="45">
        <f t="shared" si="4"/>
        <v>358</v>
      </c>
      <c r="AA47" s="45">
        <f t="shared" si="4"/>
        <v>714</v>
      </c>
      <c r="AB47" s="45">
        <f t="shared" si="4"/>
        <v>1178</v>
      </c>
      <c r="AC47" s="155">
        <f t="shared" si="4"/>
        <v>1087</v>
      </c>
      <c r="AD47" s="155">
        <v>1890</v>
      </c>
      <c r="AE47" s="155">
        <v>625</v>
      </c>
      <c r="AF47" s="155">
        <v>1107</v>
      </c>
      <c r="AG47" s="45">
        <v>724</v>
      </c>
      <c r="AH47" s="45">
        <v>405</v>
      </c>
      <c r="AI47" s="45">
        <v>670</v>
      </c>
      <c r="AJ47" s="45">
        <v>715</v>
      </c>
      <c r="AK47" s="45">
        <v>1178</v>
      </c>
      <c r="AL47" s="155">
        <f t="shared" ref="AL47:BD47" ca="1" si="5">SUM(AL29:AL45)</f>
        <v>753</v>
      </c>
      <c r="AM47" s="155">
        <f t="shared" ca="1" si="5"/>
        <v>663.78571428571433</v>
      </c>
      <c r="AN47" s="155">
        <f t="shared" ca="1" si="5"/>
        <v>702.09378952273164</v>
      </c>
      <c r="AO47" s="155">
        <f t="shared" ca="1" si="5"/>
        <v>758.79739954292302</v>
      </c>
      <c r="AP47" s="155">
        <f t="shared" ca="1" si="5"/>
        <v>766.26355606859477</v>
      </c>
      <c r="AQ47" s="155">
        <f t="shared" ca="1" si="5"/>
        <v>773.43047956618557</v>
      </c>
      <c r="AR47" s="155">
        <f t="shared" ca="1" si="5"/>
        <v>1215.6075731497419</v>
      </c>
      <c r="AS47" s="155">
        <f t="shared" ca="1" si="5"/>
        <v>1028.1641458672204</v>
      </c>
      <c r="AT47" s="155">
        <f t="shared" ca="1" si="5"/>
        <v>679.78055077452677</v>
      </c>
      <c r="AU47" s="155">
        <f t="shared" ca="1" si="5"/>
        <v>1017.271600688468</v>
      </c>
      <c r="AV47" s="155">
        <f t="shared" ca="1" si="5"/>
        <v>760.30920660743766</v>
      </c>
      <c r="AW47" s="155">
        <f t="shared" ca="1" si="5"/>
        <v>642.99242685025808</v>
      </c>
      <c r="AX47" s="155">
        <f t="shared" ca="1" si="5"/>
        <v>675.72246424456921</v>
      </c>
      <c r="AY47" s="155">
        <f t="shared" ca="1" si="5"/>
        <v>663.78571428571433</v>
      </c>
      <c r="AZ47" s="155">
        <f t="shared" ca="1" si="5"/>
        <v>702.09378952273164</v>
      </c>
      <c r="BA47" s="155">
        <f t="shared" ca="1" si="5"/>
        <v>758.79739954292302</v>
      </c>
      <c r="BB47" s="155">
        <f t="shared" ca="1" si="5"/>
        <v>766.26355606859477</v>
      </c>
      <c r="BC47" s="155">
        <f t="shared" ca="1" si="5"/>
        <v>773.43047956618557</v>
      </c>
      <c r="BD47" s="155">
        <f t="shared" ca="1" si="5"/>
        <v>1215.6075731497419</v>
      </c>
    </row>
    <row r="48" spans="1:56">
      <c r="A48" s="1064"/>
      <c r="B48" s="152" t="s">
        <v>1392</v>
      </c>
      <c r="C48" s="191"/>
      <c r="D48" s="191"/>
      <c r="E48" s="152"/>
      <c r="F48" s="152"/>
      <c r="G48" s="45"/>
      <c r="H48" s="45"/>
      <c r="I48" s="185"/>
      <c r="J48" s="185"/>
      <c r="K48" s="185"/>
      <c r="L48" s="185"/>
      <c r="M48" s="185"/>
      <c r="N48" s="185"/>
      <c r="O48" s="185"/>
      <c r="P48" s="185"/>
      <c r="Q48" s="230"/>
      <c r="R48" s="230"/>
      <c r="S48" s="230"/>
      <c r="T48" s="230"/>
      <c r="U48" s="226"/>
      <c r="V48" s="226"/>
      <c r="W48" s="199"/>
      <c r="X48" s="243"/>
      <c r="Y48" s="199"/>
      <c r="Z48" s="322"/>
      <c r="AA48" s="322"/>
      <c r="AB48" s="322"/>
      <c r="AC48" s="636"/>
      <c r="AD48" s="636"/>
      <c r="AE48" s="636"/>
      <c r="AF48" s="636"/>
      <c r="AG48" s="322"/>
      <c r="AH48" s="322"/>
      <c r="AI48" s="322"/>
      <c r="AJ48" s="322"/>
      <c r="AK48" s="322"/>
      <c r="AL48" s="636"/>
      <c r="AM48" s="636"/>
      <c r="AN48" s="636"/>
      <c r="AO48" s="636"/>
      <c r="AP48" s="636"/>
      <c r="AQ48" s="636"/>
      <c r="AR48" s="636"/>
      <c r="AS48" s="636"/>
      <c r="AT48" s="636"/>
      <c r="AU48" s="636"/>
      <c r="AV48" s="636"/>
      <c r="AW48" s="636"/>
      <c r="AX48" s="636"/>
      <c r="AY48" s="636"/>
      <c r="AZ48" s="636"/>
      <c r="BA48" s="636"/>
      <c r="BB48" s="636"/>
      <c r="BC48" s="636"/>
      <c r="BD48" s="636"/>
    </row>
    <row r="49" spans="1:56">
      <c r="A49" s="1062"/>
      <c r="B49" s="152" t="s">
        <v>1393</v>
      </c>
      <c r="C49" s="152"/>
      <c r="D49" s="152"/>
      <c r="E49" s="152"/>
      <c r="F49" s="152"/>
      <c r="G49" s="356">
        <f>SUMIFS(在庫確認!C:C,在庫確認!B:B,'(全体実績+予測）の元データ'!C:C)</f>
        <v>0</v>
      </c>
      <c r="H49" s="45"/>
      <c r="I49" s="45">
        <f t="shared" ref="I49:AC49" si="6">I27+I47</f>
        <v>0</v>
      </c>
      <c r="J49" s="45">
        <f t="shared" si="6"/>
        <v>0</v>
      </c>
      <c r="K49" s="45">
        <f t="shared" si="6"/>
        <v>0</v>
      </c>
      <c r="L49" s="45">
        <f t="shared" si="6"/>
        <v>0</v>
      </c>
      <c r="M49" s="45">
        <f t="shared" si="6"/>
        <v>0</v>
      </c>
      <c r="N49" s="45">
        <f t="shared" si="6"/>
        <v>0</v>
      </c>
      <c r="O49" s="45">
        <f t="shared" si="6"/>
        <v>0</v>
      </c>
      <c r="P49" s="45">
        <f t="shared" si="6"/>
        <v>0</v>
      </c>
      <c r="Q49" s="45">
        <f t="shared" si="6"/>
        <v>0</v>
      </c>
      <c r="R49" s="45">
        <f t="shared" si="6"/>
        <v>0</v>
      </c>
      <c r="S49" s="45">
        <f t="shared" si="6"/>
        <v>0</v>
      </c>
      <c r="T49" s="365">
        <f t="shared" si="6"/>
        <v>0</v>
      </c>
      <c r="U49" s="45">
        <f t="shared" si="6"/>
        <v>1906</v>
      </c>
      <c r="V49" s="45">
        <f t="shared" si="6"/>
        <v>1110</v>
      </c>
      <c r="W49" s="45">
        <f t="shared" si="6"/>
        <v>1882</v>
      </c>
      <c r="X49" s="45">
        <f t="shared" si="6"/>
        <v>1548</v>
      </c>
      <c r="Y49" s="45">
        <f t="shared" si="6"/>
        <v>1562</v>
      </c>
      <c r="Z49" s="45">
        <f t="shared" si="6"/>
        <v>2976</v>
      </c>
      <c r="AA49" s="45">
        <f t="shared" si="6"/>
        <v>4543</v>
      </c>
      <c r="AB49" s="45">
        <f t="shared" si="6"/>
        <v>3949</v>
      </c>
      <c r="AC49" s="155">
        <f t="shared" si="6"/>
        <v>3597</v>
      </c>
      <c r="AD49" s="155">
        <v>4444</v>
      </c>
      <c r="AE49" s="155">
        <v>2617</v>
      </c>
      <c r="AF49" s="155">
        <v>3950</v>
      </c>
      <c r="AG49" s="45">
        <v>2497</v>
      </c>
      <c r="AH49" s="45">
        <v>2039</v>
      </c>
      <c r="AI49" s="45">
        <v>3131</v>
      </c>
      <c r="AJ49" s="45">
        <v>2764</v>
      </c>
      <c r="AK49" s="45">
        <v>3372</v>
      </c>
      <c r="AL49" s="155">
        <f t="shared" ref="AL49:BD49" ca="1" si="7">AL27+AL47</f>
        <v>3148</v>
      </c>
      <c r="AM49" s="155">
        <f t="shared" ca="1" si="7"/>
        <v>3089.5357142857142</v>
      </c>
      <c r="AN49" s="155">
        <f t="shared" ca="1" si="7"/>
        <v>2684.6253243422534</v>
      </c>
      <c r="AO49" s="155">
        <f t="shared" ca="1" si="7"/>
        <v>2357.2027609150209</v>
      </c>
      <c r="AP49" s="155">
        <f t="shared" ca="1" si="7"/>
        <v>2155.9726966854078</v>
      </c>
      <c r="AQ49" s="155">
        <f t="shared" ca="1" si="7"/>
        <v>2352.8038691274164</v>
      </c>
      <c r="AR49" s="155">
        <f t="shared" ca="1" si="7"/>
        <v>3698.9011637417998</v>
      </c>
      <c r="AS49" s="155">
        <f t="shared" ca="1" si="7"/>
        <v>3104.6713725963218</v>
      </c>
      <c r="AT49" s="155">
        <f t="shared" ca="1" si="7"/>
        <v>2549.0446878471821</v>
      </c>
      <c r="AU49" s="155">
        <f t="shared" ca="1" si="7"/>
        <v>3706.7646649386747</v>
      </c>
      <c r="AV49" s="155">
        <f t="shared" ca="1" si="7"/>
        <v>2830.5688346570678</v>
      </c>
      <c r="AW49" s="155">
        <f t="shared" ca="1" si="7"/>
        <v>2295.7178671749052</v>
      </c>
      <c r="AX49" s="155">
        <f t="shared" ca="1" si="7"/>
        <v>2588.106411459602</v>
      </c>
      <c r="AY49" s="155">
        <f t="shared" ca="1" si="7"/>
        <v>3089.5357142857142</v>
      </c>
      <c r="AZ49" s="155">
        <f t="shared" ca="1" si="7"/>
        <v>2684.6253243422534</v>
      </c>
      <c r="BA49" s="155">
        <f t="shared" ca="1" si="7"/>
        <v>2357.2027609150209</v>
      </c>
      <c r="BB49" s="155">
        <f t="shared" ca="1" si="7"/>
        <v>2155.9726966854078</v>
      </c>
      <c r="BC49" s="155">
        <f t="shared" ca="1" si="7"/>
        <v>2352.8038691274164</v>
      </c>
      <c r="BD49" s="155">
        <f t="shared" ca="1" si="7"/>
        <v>3698.9011637417998</v>
      </c>
    </row>
    <row r="50" spans="1:56" ht="19.5" thickBot="1">
      <c r="A50" s="1065"/>
      <c r="B50" s="187" t="s">
        <v>1394</v>
      </c>
      <c r="C50" s="188"/>
      <c r="D50" s="188"/>
      <c r="E50" s="187"/>
      <c r="F50" s="189"/>
      <c r="G50" s="202"/>
      <c r="H50" s="325"/>
      <c r="I50" s="190">
        <v>4019</v>
      </c>
      <c r="J50" s="285">
        <v>3770</v>
      </c>
      <c r="K50" s="285">
        <v>5757</v>
      </c>
      <c r="L50" s="285">
        <v>4872</v>
      </c>
      <c r="M50" s="285">
        <v>3770</v>
      </c>
      <c r="N50" s="285">
        <v>4129</v>
      </c>
      <c r="O50" s="285">
        <v>3824</v>
      </c>
      <c r="P50" s="197">
        <v>2919.1792034122345</v>
      </c>
      <c r="Q50" s="197">
        <v>2806.02065373818</v>
      </c>
      <c r="R50" s="197">
        <v>2719.4458762311187</v>
      </c>
      <c r="S50" s="198">
        <v>2912.4680768635094</v>
      </c>
      <c r="T50" s="339">
        <v>4805.0358755231455</v>
      </c>
      <c r="U50" s="337">
        <v>4440.263414625133</v>
      </c>
      <c r="V50" s="339">
        <v>3200.305112035187</v>
      </c>
      <c r="W50" s="340">
        <v>5548.5262228830134</v>
      </c>
      <c r="X50" s="341">
        <v>4669.2410360134509</v>
      </c>
      <c r="Y50" s="316">
        <v>4226.8807137193162</v>
      </c>
      <c r="Z50" s="330">
        <v>4462.318009570301</v>
      </c>
      <c r="AA50" s="330">
        <v>5010.43818071644</v>
      </c>
      <c r="AB50" s="331"/>
      <c r="AC50" s="332"/>
      <c r="AD50" s="332"/>
      <c r="AE50" s="332"/>
      <c r="AF50" s="332"/>
      <c r="AG50" s="332"/>
      <c r="AH50" s="332"/>
      <c r="AI50" s="332"/>
      <c r="AJ50" s="332"/>
      <c r="AK50" s="332"/>
      <c r="AL50" s="332"/>
      <c r="AM50" s="332"/>
      <c r="AN50" s="332"/>
      <c r="AO50" s="332"/>
      <c r="AP50" s="332"/>
      <c r="AQ50" s="332"/>
      <c r="AR50" s="332"/>
      <c r="AS50" s="332"/>
      <c r="AT50" s="332"/>
      <c r="AU50" s="332"/>
      <c r="AV50" s="332"/>
      <c r="AW50" s="332"/>
      <c r="AX50" s="332"/>
      <c r="AY50" s="332"/>
      <c r="AZ50" s="332"/>
      <c r="BA50" s="332"/>
      <c r="BB50" s="332"/>
      <c r="BC50" s="332"/>
      <c r="BD50" s="332"/>
    </row>
    <row r="51" spans="1:56">
      <c r="A51" s="1066"/>
      <c r="B51" s="30" t="s">
        <v>1395</v>
      </c>
      <c r="C51" s="30" t="s">
        <v>10</v>
      </c>
      <c r="D51" s="30" t="s">
        <v>1324</v>
      </c>
      <c r="E51" s="30" t="s">
        <v>1325</v>
      </c>
      <c r="F51" s="30"/>
      <c r="G51" s="40"/>
      <c r="H51" s="311"/>
      <c r="I51" s="41"/>
      <c r="J51" s="41"/>
      <c r="K51" s="41"/>
      <c r="L51" s="41"/>
      <c r="M51" s="41"/>
      <c r="N51" s="41"/>
      <c r="O51" s="41"/>
      <c r="P51" s="41"/>
      <c r="Q51" s="231"/>
      <c r="R51" s="231"/>
      <c r="S51" s="231"/>
      <c r="T51" s="231"/>
      <c r="U51" s="231"/>
      <c r="V51" s="135"/>
      <c r="W51" s="135"/>
      <c r="X51" s="135"/>
      <c r="Y51" s="135"/>
      <c r="Z51" s="135"/>
      <c r="AA51" s="135"/>
      <c r="AB51" s="135"/>
      <c r="AC51" s="338"/>
      <c r="AD51" s="338"/>
      <c r="AE51" s="338"/>
      <c r="AF51" s="338"/>
      <c r="AG51" s="338"/>
      <c r="AH51" s="338"/>
      <c r="AI51" s="338"/>
      <c r="AJ51" s="338"/>
      <c r="AK51" s="338"/>
      <c r="AL51" s="338"/>
      <c r="AM51" s="338"/>
      <c r="AN51" s="338"/>
      <c r="AO51" s="338"/>
      <c r="AP51" s="338"/>
      <c r="AQ51" s="338"/>
      <c r="AR51" s="338"/>
      <c r="AS51" s="338"/>
      <c r="AT51" s="338"/>
      <c r="AU51" s="338"/>
      <c r="AV51" s="338"/>
      <c r="AW51" s="338"/>
      <c r="AX51" s="338"/>
      <c r="AY51" s="338"/>
      <c r="AZ51" s="338"/>
      <c r="BA51" s="338"/>
      <c r="BB51" s="338"/>
      <c r="BC51" s="338"/>
      <c r="BD51" s="338"/>
    </row>
    <row r="52" spans="1:56" ht="18.75" customHeight="1">
      <c r="A52" s="1070" t="s">
        <v>1649</v>
      </c>
      <c r="B52" s="934" t="str" cm="1">
        <f t="array" ref="B52:B106">_xlfn.LET(_xlpm.range,C52:C106,
IF(_xlpm.range="","",
_xlfn.XLOOKUP(_xlpm.range,マスタ_EOLリスト[製品型番],マスタ_EOLリスト[綽名])
))</f>
        <v>MSH-15F3-185H-5000-L6 Thirdwave</v>
      </c>
      <c r="C52" s="58" t="s">
        <v>847</v>
      </c>
      <c r="D52" s="26" t="s">
        <v>1362</v>
      </c>
      <c r="E52" s="26">
        <v>5060</v>
      </c>
      <c r="F52" s="193"/>
      <c r="G52" s="38" cm="1">
        <f t="array" ref="G52:G106">IF($C52:$C106="","",
_xlfn.XLOOKUP($C52:$C106,'在庫使用計画 (ノート全体試算)'!$C$1:$C$122,'在庫使用計画 (ノート全体試算)'!$G$1:$G$122,""))</f>
        <v>177</v>
      </c>
      <c r="H52" s="109" cm="1">
        <f t="array" aca="1" ref="H52" ca="1">_xlfn.LET(_xlpm._来月から4ヶ月計画合計,
  SUM(
    OFFSET($A52,0,
      MATCH(
        EDATE(基準データ!$C$5,3),$A$1:$BF$1,1
      )-3,1,4)),
_xlpm._今月計画数,
INDEX($A$1:$BE$223,
  ROW(),
  MATCH(EOMONTH(基準データ!$C$5,-1)+1,$A$1:$BE$1,0)
),
  IFERROR(IF($B52="","",_xlpm._来月から4ヶ月計画合計+_xlpm._今月計画数/2),""
)
)</f>
        <v>0</v>
      </c>
      <c r="I52" s="409"/>
      <c r="J52" s="409"/>
      <c r="K52" s="409"/>
      <c r="L52" s="409"/>
      <c r="M52" s="409"/>
      <c r="N52" s="409"/>
      <c r="O52" s="409"/>
      <c r="P52" s="409"/>
      <c r="Q52" s="497"/>
      <c r="R52" s="497"/>
      <c r="S52" s="497"/>
      <c r="T52" s="497"/>
      <c r="U52" s="497"/>
      <c r="V52" s="498"/>
      <c r="W52" s="333"/>
      <c r="X52" s="333"/>
      <c r="Y52" s="333"/>
      <c r="Z52" s="219"/>
      <c r="AA52" s="219"/>
      <c r="AB52" s="219"/>
      <c r="AC52" s="224"/>
      <c r="AD52" s="224">
        <v>0</v>
      </c>
      <c r="AE52" s="223">
        <v>2</v>
      </c>
      <c r="AF52" s="223">
        <v>1</v>
      </c>
      <c r="AG52" s="223">
        <v>0</v>
      </c>
      <c r="AH52" s="223">
        <v>1</v>
      </c>
      <c r="AI52" s="223">
        <v>1</v>
      </c>
      <c r="AJ52" s="223">
        <v>15</v>
      </c>
      <c r="AK52" s="223">
        <v>0</v>
      </c>
      <c r="AL52" s="223" cm="1">
        <f t="array" aca="1" ref="AL52" ca="1">IF($C52="","",
  IFERROR(
    _xlfn.LET(
      _xlpm._対象月初,EOMONTH(AL$1,-1)+1,
      _xlpm._今月初,EOMONTH(基準データ!$C$5,-1)+1,
      IF(
        _xlpm._対象月初&gt;_xlpm._今月初,
        IF(
          OR(AK52="",AK52=0),
          "",
          AK52*AL$107
        ),
        _xlfn.LET(
          _xlpm._参照先,
            "'[在庫状況把握_43期_2025-2026.xlsx]月次報告"
            &amp;TEXT(AL$1,"YYMM")
            &amp;"'!",
          _xlpm._戻り範囲,
            IF(
              _xlpm._対象月初=_xlpm._今月初,
              "$AG$1:$AG$300",
              "$G$1:$G$300"
            ),
          _xlfn.XLOOKUP(
            $C52,
            INDIRECT(_xlpm._参照先&amp;"$C$1:$C$300"),
            INDIRECT(_xlpm._参照先&amp;_xlpm._戻り範囲)
          )
        )
      )
    ),
    ""
  )
)</f>
        <v>0</v>
      </c>
      <c r="AM52" s="223" cm="1">
        <f t="array" aca="1" ref="AM52" ca="1">IF($C52="","",
  IFERROR(
    _xlfn.LET(
      _xlpm._対象月初,EOMONTH(AM$1,-1)+1,
      _xlpm._今月初,EOMONTH(基準データ!$C$5,-1)+1,
      IF(
        _xlpm._対象月初&gt;_xlpm._今月初,
        IF(
          OR(AL52="",AL52=0),
          "",
          AL52*AM$107
        ),
        _xlfn.LET(
          _xlpm._参照先,
            "'[在庫状況把握_43期_2025-2026.xlsx]月次報告"
            &amp;TEXT(AM$1,"YYMM")
            &amp;"'!",
          _xlpm._戻り範囲,
            IF(
              _xlpm._対象月初=_xlpm._今月初,
              "$AG$1:$AG$300",
              "$G$1:$G$300"
            ),
          _xlfn.XLOOKUP(
            $C52,
            INDIRECT(_xlpm._参照先&amp;"$C$1:$C$300"),
            INDIRECT(_xlpm._参照先&amp;_xlpm._戻り範囲)
          )
        )
      )
    ),
    ""
  )
)</f>
        <v>0</v>
      </c>
      <c r="AN52" s="223" t="str" cm="1">
        <f t="array" aca="1" ref="AN52" ca="1">IF($C52="","",
  IFERROR(
    _xlfn.LET(
      _xlpm._対象月初,EOMONTH(AN$1,-1)+1,
      _xlpm._今月初,EOMONTH(基準データ!$C$5,-1)+1,
      IF(
        _xlpm._対象月初&gt;_xlpm._今月初,
        IF(
          OR(AM52="",AM52=0),
          "",
          AM52*AN$107
        ),
        _xlfn.LET(
          _xlpm._参照先,
            "'[在庫状況把握_43期_2025-2026.xlsx]月次報告"
            &amp;TEXT(AN$1,"YYMM")
            &amp;"'!",
          _xlpm._戻り範囲,
            IF(
              _xlpm._対象月初=_xlpm._今月初,
              "$AG$1:$AG$300",
              "$G$1:$G$300"
            ),
          _xlfn.XLOOKUP(
            $C52,
            INDIRECT(_xlpm._参照先&amp;"$C$1:$C$300"),
            INDIRECT(_xlpm._参照先&amp;_xlpm._戻り範囲)
          )
        )
      )
    ),
    ""
  )
)</f>
        <v/>
      </c>
      <c r="AO52" s="223" t="str" cm="1">
        <f t="array" aca="1" ref="AO52" ca="1">IF($C52="","",
  IFERROR(
    _xlfn.LET(
      _xlpm._対象月初,EOMONTH(AO$1,-1)+1,
      _xlpm._今月初,EOMONTH(基準データ!$C$5,-1)+1,
      IF(
        _xlpm._対象月初&gt;_xlpm._今月初,
        IF(
          OR(AN52="",AN52=0),
          "",
          AN52*AO$107
        ),
        _xlfn.LET(
          _xlpm._参照先,
            "'[在庫状況把握_43期_2025-2026.xlsx]月次報告"
            &amp;TEXT(AO$1,"YYMM")
            &amp;"'!",
          _xlpm._戻り範囲,
            IF(
              _xlpm._対象月初=_xlpm._今月初,
              "$AG$1:$AG$300",
              "$G$1:$G$300"
            ),
          _xlfn.XLOOKUP(
            $C52,
            INDIRECT(_xlpm._参照先&amp;"$C$1:$C$300"),
            INDIRECT(_xlpm._参照先&amp;_xlpm._戻り範囲)
          )
        )
      )
    ),
    ""
  )
)</f>
        <v/>
      </c>
      <c r="AP52" s="223" t="str" cm="1">
        <f t="array" aca="1" ref="AP52" ca="1">IF($C52="","",
  IFERROR(
    _xlfn.LET(
      _xlpm._対象月初,EOMONTH(AP$1,-1)+1,
      _xlpm._今月初,EOMONTH(基準データ!$C$5,-1)+1,
      IF(
        _xlpm._対象月初&gt;_xlpm._今月初,
        IF(
          OR(AO52="",AO52=0),
          "",
          AO52*AP$107
        ),
        _xlfn.LET(
          _xlpm._参照先,
            "'[在庫状況把握_43期_2025-2026.xlsx]月次報告"
            &amp;TEXT(AP$1,"YYMM")
            &amp;"'!",
          _xlpm._戻り範囲,
            IF(
              _xlpm._対象月初=_xlpm._今月初,
              "$AG$1:$AG$300",
              "$G$1:$G$300"
            ),
          _xlfn.XLOOKUP(
            $C52,
            INDIRECT(_xlpm._参照先&amp;"$C$1:$C$300"),
            INDIRECT(_xlpm._参照先&amp;_xlpm._戻り範囲)
          )
        )
      )
    ),
    ""
  )
)</f>
        <v/>
      </c>
      <c r="AQ52" s="223" t="str" cm="1">
        <f t="array" aca="1" ref="AQ52" ca="1">IF($C52="","",
  IFERROR(
    _xlfn.LET(
      _xlpm._対象月初,EOMONTH(AQ$1,-1)+1,
      _xlpm._今月初,EOMONTH(基準データ!$C$5,-1)+1,
      IF(
        _xlpm._対象月初&gt;_xlpm._今月初,
        IF(
          OR(AP52="",AP52=0),
          "",
          AP52*AQ$107
        ),
        _xlfn.LET(
          _xlpm._参照先,
            "'[在庫状況把握_43期_2025-2026.xlsx]月次報告"
            &amp;TEXT(AQ$1,"YYMM")
            &amp;"'!",
          _xlpm._戻り範囲,
            IF(
              _xlpm._対象月初=_xlpm._今月初,
              "$AG$1:$AG$300",
              "$G$1:$G$300"
            ),
          _xlfn.XLOOKUP(
            $C52,
            INDIRECT(_xlpm._参照先&amp;"$C$1:$C$300"),
            INDIRECT(_xlpm._参照先&amp;_xlpm._戻り範囲)
          )
        )
      )
    ),
    ""
  )
)</f>
        <v/>
      </c>
      <c r="AR52" s="223" t="str" cm="1">
        <f t="array" aca="1" ref="AR52" ca="1">IF($C52="","",
  IFERROR(
    _xlfn.LET(
      _xlpm._対象月初,EOMONTH(AR$1,-1)+1,
      _xlpm._今月初,EOMONTH(基準データ!$C$5,-1)+1,
      IF(
        _xlpm._対象月初&gt;_xlpm._今月初,
        IF(
          OR(AQ52="",AQ52=0),
          "",
          AQ52*AR$107
        ),
        _xlfn.LET(
          _xlpm._参照先,
            "'[在庫状況把握_43期_2025-2026.xlsx]月次報告"
            &amp;TEXT(AR$1,"YYMM")
            &amp;"'!",
          _xlpm._戻り範囲,
            IF(
              _xlpm._対象月初=_xlpm._今月初,
              "$AG$1:$AG$300",
              "$G$1:$G$300"
            ),
          _xlfn.XLOOKUP(
            $C52,
            INDIRECT(_xlpm._参照先&amp;"$C$1:$C$300"),
            INDIRECT(_xlpm._参照先&amp;_xlpm._戻り範囲)
          )
        )
      )
    ),
    ""
  )
)</f>
        <v/>
      </c>
      <c r="AS52" s="223" t="str" cm="1">
        <f t="array" aca="1" ref="AS52" ca="1">IF($C52="","",
  IFERROR(
    _xlfn.LET(
      _xlpm._対象月初,EOMONTH(AS$1,-1)+1,
      _xlpm._今月初,EOMONTH(基準データ!$C$5,-1)+1,
      IF(
        _xlpm._対象月初&gt;_xlpm._今月初,
        IF(
          OR(AR52="",AR52=0),
          "",
          AR52*AS$107
        ),
        _xlfn.LET(
          _xlpm._参照先,
            "'[在庫状況把握_43期_2025-2026.xlsx]月次報告"
            &amp;TEXT(AS$1,"YYMM")
            &amp;"'!",
          _xlpm._戻り範囲,
            IF(
              _xlpm._対象月初=_xlpm._今月初,
              "$AG$1:$AG$300",
              "$G$1:$G$300"
            ),
          _xlfn.XLOOKUP(
            $C52,
            INDIRECT(_xlpm._参照先&amp;"$C$1:$C$300"),
            INDIRECT(_xlpm._参照先&amp;_xlpm._戻り範囲)
          )
        )
      )
    ),
    ""
  )
)</f>
        <v/>
      </c>
      <c r="AT52" s="223" t="str" cm="1">
        <f t="array" aca="1" ref="AT52" ca="1">IF($C52="","",
  IFERROR(
    _xlfn.LET(
      _xlpm._対象月初,EOMONTH(AT$1,-1)+1,
      _xlpm._今月初,EOMONTH(基準データ!$C$5,-1)+1,
      IF(
        _xlpm._対象月初&gt;_xlpm._今月初,
        IF(
          OR(AS52="",AS52=0),
          "",
          AS52*AT$107
        ),
        _xlfn.LET(
          _xlpm._参照先,
            "'[在庫状況把握_43期_2025-2026.xlsx]月次報告"
            &amp;TEXT(AT$1,"YYMM")
            &amp;"'!",
          _xlpm._戻り範囲,
            IF(
              _xlpm._対象月初=_xlpm._今月初,
              "$AG$1:$AG$300",
              "$G$1:$G$300"
            ),
          _xlfn.XLOOKUP(
            $C52,
            INDIRECT(_xlpm._参照先&amp;"$C$1:$C$300"),
            INDIRECT(_xlpm._参照先&amp;_xlpm._戻り範囲)
          )
        )
      )
    ),
    ""
  )
)</f>
        <v/>
      </c>
      <c r="AU52" s="223" t="str" cm="1">
        <f t="array" aca="1" ref="AU52" ca="1">IF($C52="","",
  IFERROR(
    _xlfn.LET(
      _xlpm._対象月初,EOMONTH(AU$1,-1)+1,
      _xlpm._今月初,EOMONTH(基準データ!$C$5,-1)+1,
      IF(
        _xlpm._対象月初&gt;_xlpm._今月初,
        IF(
          OR(AT52="",AT52=0),
          "",
          AT52*AU$107
        ),
        _xlfn.LET(
          _xlpm._参照先,
            "'[在庫状況把握_43期_2025-2026.xlsx]月次報告"
            &amp;TEXT(AU$1,"YYMM")
            &amp;"'!",
          _xlpm._戻り範囲,
            IF(
              _xlpm._対象月初=_xlpm._今月初,
              "$AG$1:$AG$300",
              "$G$1:$G$300"
            ),
          _xlfn.XLOOKUP(
            $C52,
            INDIRECT(_xlpm._参照先&amp;"$C$1:$C$300"),
            INDIRECT(_xlpm._参照先&amp;_xlpm._戻り範囲)
          )
        )
      )
    ),
    ""
  )
)</f>
        <v/>
      </c>
      <c r="AV52" s="223" t="str" cm="1">
        <f t="array" aca="1" ref="AV52" ca="1">IF($C52="","",
  IFERROR(
    _xlfn.LET(
      _xlpm._対象月初,EOMONTH(AV$1,-1)+1,
      _xlpm._今月初,EOMONTH(基準データ!$C$5,-1)+1,
      IF(
        _xlpm._対象月初&gt;_xlpm._今月初,
        IF(
          OR(AU52="",AU52=0),
          "",
          AU52*AV$107
        ),
        _xlfn.LET(
          _xlpm._参照先,
            "'[在庫状況把握_43期_2025-2026.xlsx]月次報告"
            &amp;TEXT(AV$1,"YYMM")
            &amp;"'!",
          _xlpm._戻り範囲,
            IF(
              _xlpm._対象月初=_xlpm._今月初,
              "$AG$1:$AG$300",
              "$G$1:$G$300"
            ),
          _xlfn.XLOOKUP(
            $C52,
            INDIRECT(_xlpm._参照先&amp;"$C$1:$C$300"),
            INDIRECT(_xlpm._参照先&amp;_xlpm._戻り範囲)
          )
        )
      )
    ),
    ""
  )
)</f>
        <v/>
      </c>
      <c r="AW52" s="223" t="str" cm="1">
        <f t="array" aca="1" ref="AW52" ca="1">IF($C52="","",
  IFERROR(
    _xlfn.LET(
      _xlpm._対象月初,EOMONTH(AW$1,-1)+1,
      _xlpm._今月初,EOMONTH(基準データ!$C$5,-1)+1,
      IF(
        _xlpm._対象月初&gt;_xlpm._今月初,
        IF(
          OR(AV52="",AV52=0),
          "",
          AV52*AW$107
        ),
        _xlfn.LET(
          _xlpm._参照先,
            "'[在庫状況把握_43期_2025-2026.xlsx]月次報告"
            &amp;TEXT(AW$1,"YYMM")
            &amp;"'!",
          _xlpm._戻り範囲,
            IF(
              _xlpm._対象月初=_xlpm._今月初,
              "$AG$1:$AG$300",
              "$G$1:$G$300"
            ),
          _xlfn.XLOOKUP(
            $C52,
            INDIRECT(_xlpm._参照先&amp;"$C$1:$C$300"),
            INDIRECT(_xlpm._参照先&amp;_xlpm._戻り範囲)
          )
        )
      )
    ),
    ""
  )
)</f>
        <v/>
      </c>
      <c r="AX52" s="223" t="str" cm="1">
        <f t="array" aca="1" ref="AX52" ca="1">IF($C52="","",
  IFERROR(
    _xlfn.LET(
      _xlpm._対象月初,EOMONTH(AX$1,-1)+1,
      _xlpm._今月初,EOMONTH(基準データ!$C$5,-1)+1,
      IF(
        _xlpm._対象月初&gt;_xlpm._今月初,
        IF(
          OR(AW52="",AW52=0),
          "",
          AW52*AX$107
        ),
        _xlfn.LET(
          _xlpm._参照先,
            "'[在庫状況把握_43期_2025-2026.xlsx]月次報告"
            &amp;TEXT(AX$1,"YYMM")
            &amp;"'!",
          _xlpm._戻り範囲,
            IF(
              _xlpm._対象月初=_xlpm._今月初,
              "$AG$1:$AG$300",
              "$G$1:$G$300"
            ),
          _xlfn.XLOOKUP(
            $C52,
            INDIRECT(_xlpm._参照先&amp;"$C$1:$C$300"),
            INDIRECT(_xlpm._参照先&amp;_xlpm._戻り範囲)
          )
        )
      )
    ),
    ""
  )
)</f>
        <v/>
      </c>
      <c r="AY52" s="223" t="str" cm="1">
        <f t="array" aca="1" ref="AY52" ca="1">IF($C52="","",
  IFERROR(
    _xlfn.LET(
      _xlpm._対象月初,EOMONTH(AY$1,-1)+1,
      _xlpm._今月初,EOMONTH(基準データ!$C$5,-1)+1,
      IF(
        _xlpm._対象月初&gt;_xlpm._今月初,
        IF(
          OR(AX52="",AX52=0),
          "",
          AX52*AY$107
        ),
        _xlfn.LET(
          _xlpm._参照先,
            "'[在庫状況把握_43期_2025-2026.xlsx]月次報告"
            &amp;TEXT(AY$1,"YYMM")
            &amp;"'!",
          _xlpm._戻り範囲,
            IF(
              _xlpm._対象月初=_xlpm._今月初,
              "$AG$1:$AG$300",
              "$G$1:$G$300"
            ),
          _xlfn.XLOOKUP(
            $C52,
            INDIRECT(_xlpm._参照先&amp;"$C$1:$C$300"),
            INDIRECT(_xlpm._参照先&amp;_xlpm._戻り範囲)
          )
        )
      )
    ),
    ""
  )
)</f>
        <v/>
      </c>
      <c r="AZ52" s="223" t="str" cm="1">
        <f t="array" aca="1" ref="AZ52" ca="1">IF($C52="","",
  IFERROR(
    _xlfn.LET(
      _xlpm._対象月初,EOMONTH(AZ$1,-1)+1,
      _xlpm._今月初,EOMONTH(基準データ!$C$5,-1)+1,
      IF(
        _xlpm._対象月初&gt;_xlpm._今月初,
        IF(
          OR(AY52="",AY52=0),
          "",
          AY52*AZ$107
        ),
        _xlfn.LET(
          _xlpm._参照先,
            "'[在庫状況把握_43期_2025-2026.xlsx]月次報告"
            &amp;TEXT(AZ$1,"YYMM")
            &amp;"'!",
          _xlpm._戻り範囲,
            IF(
              _xlpm._対象月初=_xlpm._今月初,
              "$AG$1:$AG$300",
              "$G$1:$G$300"
            ),
          _xlfn.XLOOKUP(
            $C52,
            INDIRECT(_xlpm._参照先&amp;"$C$1:$C$300"),
            INDIRECT(_xlpm._参照先&amp;_xlpm._戻り範囲)
          )
        )
      )
    ),
    ""
  )
)</f>
        <v/>
      </c>
      <c r="BA52" s="223" t="str" cm="1">
        <f t="array" aca="1" ref="BA52" ca="1">IF($C52="","",
  IFERROR(
    _xlfn.LET(
      _xlpm._対象月初,EOMONTH(BA$1,-1)+1,
      _xlpm._今月初,EOMONTH(基準データ!$C$5,-1)+1,
      IF(
        _xlpm._対象月初&gt;_xlpm._今月初,
        IF(
          OR(AZ52="",AZ52=0),
          "",
          AZ52*BA$107
        ),
        _xlfn.LET(
          _xlpm._参照先,
            "'[在庫状況把握_43期_2025-2026.xlsx]月次報告"
            &amp;TEXT(BA$1,"YYMM")
            &amp;"'!",
          _xlpm._戻り範囲,
            IF(
              _xlpm._対象月初=_xlpm._今月初,
              "$AG$1:$AG$300",
              "$G$1:$G$300"
            ),
          _xlfn.XLOOKUP(
            $C52,
            INDIRECT(_xlpm._参照先&amp;"$C$1:$C$300"),
            INDIRECT(_xlpm._参照先&amp;_xlpm._戻り範囲)
          )
        )
      )
    ),
    ""
  )
)</f>
        <v/>
      </c>
      <c r="BB52" s="223" t="str" cm="1">
        <f t="array" aca="1" ref="BB52" ca="1">IF($C52="","",
  IFERROR(
    _xlfn.LET(
      _xlpm._対象月初,EOMONTH(BB$1,-1)+1,
      _xlpm._今月初,EOMONTH(基準データ!$C$5,-1)+1,
      IF(
        _xlpm._対象月初&gt;_xlpm._今月初,
        IF(
          OR(BA52="",BA52=0),
          "",
          BA52*BB$107
        ),
        _xlfn.LET(
          _xlpm._参照先,
            "'[在庫状況把握_43期_2025-2026.xlsx]月次報告"
            &amp;TEXT(BB$1,"YYMM")
            &amp;"'!",
          _xlpm._戻り範囲,
            IF(
              _xlpm._対象月初=_xlpm._今月初,
              "$AG$1:$AG$300",
              "$G$1:$G$300"
            ),
          _xlfn.XLOOKUP(
            $C52,
            INDIRECT(_xlpm._参照先&amp;"$C$1:$C$300"),
            INDIRECT(_xlpm._参照先&amp;_xlpm._戻り範囲)
          )
        )
      )
    ),
    ""
  )
)</f>
        <v/>
      </c>
      <c r="BC52" s="223" t="str" cm="1">
        <f t="array" aca="1" ref="BC52" ca="1">IF($C52="","",
  IFERROR(
    _xlfn.LET(
      _xlpm._対象月初,EOMONTH(BC$1,-1)+1,
      _xlpm._今月初,EOMONTH(基準データ!$C$5,-1)+1,
      IF(
        _xlpm._対象月初&gt;_xlpm._今月初,
        IF(
          OR(BB52="",BB52=0),
          "",
          BB52*BC$107
        ),
        _xlfn.LET(
          _xlpm._参照先,
            "'[在庫状況把握_43期_2025-2026.xlsx]月次報告"
            &amp;TEXT(BC$1,"YYMM")
            &amp;"'!",
          _xlpm._戻り範囲,
            IF(
              _xlpm._対象月初=_xlpm._今月初,
              "$AG$1:$AG$300",
              "$G$1:$G$300"
            ),
          _xlfn.XLOOKUP(
            $C52,
            INDIRECT(_xlpm._参照先&amp;"$C$1:$C$300"),
            INDIRECT(_xlpm._参照先&amp;_xlpm._戻り範囲)
          )
        )
      )
    ),
    ""
  )
)</f>
        <v/>
      </c>
      <c r="BD52" s="223" t="str" cm="1">
        <f t="array" aca="1" ref="BD52" ca="1">IF($C52="","",
  IFERROR(
    _xlfn.LET(
      _xlpm._対象月初,EOMONTH(BD$1,-1)+1,
      _xlpm._今月初,EOMONTH(基準データ!$C$5,-1)+1,
      IF(
        _xlpm._対象月初&gt;_xlpm._今月初,
        IF(
          OR(BC52="",BC52=0),
          "",
          BC52*BD$107
        ),
        _xlfn.LET(
          _xlpm._参照先,
            "'[在庫状況把握_43期_2025-2026.xlsx]月次報告"
            &amp;TEXT(BD$1,"YYMM")
            &amp;"'!",
          _xlpm._戻り範囲,
            IF(
              _xlpm._対象月初=_xlpm._今月初,
              "$AG$1:$AG$300",
              "$G$1:$G$300"
            ),
          _xlfn.XLOOKUP(
            $C52,
            INDIRECT(_xlpm._参照先&amp;"$C$1:$C$300"),
            INDIRECT(_xlpm._参照先&amp;_xlpm._戻り範囲)
          )
        )
      )
    ),
    ""
  )
)</f>
        <v/>
      </c>
    </row>
    <row r="53" spans="1:56" ht="18.75" customHeight="1">
      <c r="A53" s="1084" t="s">
        <v>1649</v>
      </c>
      <c r="B53" s="193" t="str">
        <v>MSH-15F4-185H-2000-L6 Thirdwave</v>
      </c>
      <c r="C53" s="194" t="s">
        <v>854</v>
      </c>
      <c r="D53" s="193"/>
      <c r="E53" s="193"/>
      <c r="F53" s="193"/>
      <c r="G53" s="630">
        <v>36</v>
      </c>
      <c r="H53" s="109" cm="1">
        <f t="array" aca="1" ref="H53" ca="1">_xlfn.LET(_xlpm._来月から4ヶ月計画合計,
  SUM(
    OFFSET($A53,0,
      MATCH(
        EDATE(基準データ!$C$5,3),$A$1:$BF$1,1
      )-3,1,4)),
_xlpm._今月計画数,
INDEX($A$1:$BE$223,
  ROW(),
  MATCH(EOMONTH(基準データ!$C$5,-1)+1,$A$1:$BE$1,0)
),
  IFERROR(IF($B53="","",_xlpm._来月から4ヶ月計画合計+_xlpm._今月計画数/2),""
)
)</f>
        <v>86.401596921528323</v>
      </c>
      <c r="I53" s="409"/>
      <c r="J53" s="409"/>
      <c r="K53" s="409"/>
      <c r="L53" s="409"/>
      <c r="M53" s="409"/>
      <c r="N53" s="409"/>
      <c r="O53" s="409"/>
      <c r="P53" s="409"/>
      <c r="Q53" s="497"/>
      <c r="R53" s="497"/>
      <c r="S53" s="497"/>
      <c r="T53" s="497"/>
      <c r="U53" s="497"/>
      <c r="V53" s="498"/>
      <c r="W53" s="333"/>
      <c r="X53" s="333"/>
      <c r="Y53" s="333"/>
      <c r="Z53" s="219"/>
      <c r="AA53" s="219"/>
      <c r="AB53" s="219"/>
      <c r="AC53" s="224"/>
      <c r="AD53" s="224">
        <v>0</v>
      </c>
      <c r="AE53" s="223">
        <v>0</v>
      </c>
      <c r="AF53" s="223">
        <v>1</v>
      </c>
      <c r="AG53" s="223">
        <v>1</v>
      </c>
      <c r="AH53" s="223">
        <v>12</v>
      </c>
      <c r="AI53" s="223">
        <v>10</v>
      </c>
      <c r="AJ53" s="223">
        <v>1</v>
      </c>
      <c r="AK53" s="223">
        <v>4</v>
      </c>
      <c r="AL53" s="223" cm="1">
        <f t="array" aca="1" ref="AL53" ca="1">IF($C53="","",
  IFERROR(
    _xlfn.LET(
      _xlpm._対象月初,EOMONTH(AL$1,-1)+1,
      _xlpm._今月初,EOMONTH(基準データ!$C$5,-1)+1,
      IF(
        _xlpm._対象月初&gt;_xlpm._今月初,
        IF(
          OR(AK53="",AK53=0),
          "",
          AK53*AL$107
        ),
        _xlfn.LET(
          _xlpm._参照先,
            "'[在庫状況把握_43期_2025-2026.xlsx]月次報告"
            &amp;TEXT(AL$1,"YYMM")
            &amp;"'!",
          _xlpm._戻り範囲,
            IF(
              _xlpm._対象月初=_xlpm._今月初,
              "$AG$1:$AG$300",
              "$G$1:$G$300"
            ),
          _xlfn.XLOOKUP(
            $C53,
            INDIRECT(_xlpm._参照先&amp;"$C$1:$C$300"),
            INDIRECT(_xlpm._参照先&amp;_xlpm._戻り範囲)
          )
        )
      )
    ),
    ""
  )
)</f>
        <v>17</v>
      </c>
      <c r="AM53" s="223" cm="1">
        <f t="array" aca="1" ref="AM53" ca="1">IF($C53="","",
  IFERROR(
    _xlfn.LET(
      _xlpm._対象月初,EOMONTH(AM$1,-1)+1,
      _xlpm._今月初,EOMONTH(基準データ!$C$5,-1)+1,
      IF(
        _xlpm._対象月初&gt;_xlpm._今月初,
        IF(
          OR(AL53="",AL53=0),
          "",
          AL53*AM$107
        ),
        _xlfn.LET(
          _xlpm._参照先,
            "'[在庫状況把握_43期_2025-2026.xlsx]月次報告"
            &amp;TEXT(AM$1,"YYMM")
            &amp;"'!",
          _xlpm._戻り範囲,
            IF(
              _xlpm._対象月初=_xlpm._今月初,
              "$AG$1:$AG$300",
              "$G$1:$G$300"
            ),
          _xlfn.XLOOKUP(
            $C53,
            INDIRECT(_xlpm._参照先&amp;"$C$1:$C$300"),
            INDIRECT(_xlpm._参照先&amp;_xlpm._戻り範囲)
          )
        )
      )
    ),
    ""
  )
)</f>
        <v>18.821428571428569</v>
      </c>
      <c r="AN53" s="223" cm="1">
        <f t="array" aca="1" ref="AN53" ca="1">IF($C53="","",
  IFERROR(
    _xlfn.LET(
      _xlpm._対象月初,EOMONTH(AN$1,-1)+1,
      _xlpm._今月初,EOMONTH(基準データ!$C$5,-1)+1,
      IF(
        _xlpm._対象月初&gt;_xlpm._今月初,
        IF(
          OR(AM53="",AM53=0),
          "",
          AM53*AN$107
        ),
        _xlfn.LET(
          _xlpm._参照先,
            "'[在庫状況把握_43期_2025-2026.xlsx]月次報告"
            &amp;TEXT(AN$1,"YYMM")
            &amp;"'!",
          _xlpm._戻り範囲,
            IF(
              _xlpm._対象月初=_xlpm._今月初,
              "$AG$1:$AG$300",
              "$G$1:$G$300"
            ),
          _xlfn.XLOOKUP(
            $C53,
            INDIRECT(_xlpm._参照先&amp;"$C$1:$C$300"),
            INDIRECT(_xlpm._参照先&amp;_xlpm._戻り範囲)
          )
        )
      )
    ),
    ""
  )
)</f>
        <v>17.31118035506875</v>
      </c>
      <c r="AO53" s="223" cm="1">
        <f t="array" aca="1" ref="AO53" ca="1">IF($C53="","",
  IFERROR(
    _xlfn.LET(
      _xlpm._対象月初,EOMONTH(AO$1,-1)+1,
      _xlpm._今月初,EOMONTH(基準データ!$C$5,-1)+1,
      IF(
        _xlpm._対象月初&gt;_xlpm._今月初,
        IF(
          OR(AN53="",AN53=0),
          "",
          AN53*AO$107
        ),
        _xlfn.LET(
          _xlpm._参照先,
            "'[在庫状況把握_43期_2025-2026.xlsx]月次報告"
            &amp;TEXT(AO$1,"YYMM")
            &amp;"'!",
          _xlpm._戻り範囲,
            IF(
              _xlpm._対象月初=_xlpm._今月初,
              "$AG$1:$AG$300",
              "$G$1:$G$300"
            ),
          _xlfn.XLOOKUP(
            $C53,
            INDIRECT(_xlpm._参照先&amp;"$C$1:$C$300"),
            INDIRECT(_xlpm._参照先&amp;_xlpm._戻り範囲)
          )
        )
      )
    ),
    ""
  )
)</f>
        <v>18.700035214792766</v>
      </c>
      <c r="AP53" s="223" cm="1">
        <f t="array" aca="1" ref="AP53" ca="1">IF($C53="","",
  IFERROR(
    _xlfn.LET(
      _xlpm._対象月初,EOMONTH(AP$1,-1)+1,
      _xlpm._今月初,EOMONTH(基準データ!$C$5,-1)+1,
      IF(
        _xlpm._対象月初&gt;_xlpm._今月初,
        IF(
          OR(AO53="",AO53=0),
          "",
          AO53*AP$107
        ),
        _xlfn.LET(
          _xlpm._参照先,
            "'[在庫状況把握_43期_2025-2026.xlsx]月次報告"
            &amp;TEXT(AP$1,"YYMM")
            &amp;"'!",
          _xlpm._戻り範囲,
            IF(
              _xlpm._対象月初=_xlpm._今月初,
              "$AG$1:$AG$300",
              "$G$1:$G$300"
            ),
          _xlfn.XLOOKUP(
            $C53,
            INDIRECT(_xlpm._参照先&amp;"$C$1:$C$300"),
            INDIRECT(_xlpm._参照先&amp;_xlpm._戻り範囲)
          )
        )
      )
    ),
    ""
  )
)</f>
        <v>20.137925269222805</v>
      </c>
      <c r="AQ53" s="223" cm="1">
        <f t="array" aca="1" ref="AQ53" ca="1">IF($C53="","",
  IFERROR(
    _xlfn.LET(
      _xlpm._対象月初,EOMONTH(AQ$1,-1)+1,
      _xlpm._今月初,EOMONTH(基準データ!$C$5,-1)+1,
      IF(
        _xlpm._対象月初&gt;_xlpm._今月初,
        IF(
          OR(AP53="",AP53=0),
          "",
          AP53*AQ$107
        ),
        _xlfn.LET(
          _xlpm._参照先,
            "'[在庫状況把握_43期_2025-2026.xlsx]月次報告"
            &amp;TEXT(AQ$1,"YYMM")
            &amp;"'!",
          _xlpm._戻り範囲,
            IF(
              _xlpm._対象月初=_xlpm._今月初,
              "$AG$1:$AG$300",
              "$G$1:$G$300"
            ),
          _xlfn.XLOOKUP(
            $C53,
            INDIRECT(_xlpm._参照先&amp;"$C$1:$C$300"),
            INDIRECT(_xlpm._参照先&amp;_xlpm._戻り範囲)
          )
        )
      )
    ),
    ""
  )
)</f>
        <v>20.841741796729718</v>
      </c>
      <c r="AR53" s="223" cm="1">
        <f t="array" aca="1" ref="AR53" ca="1">IF($C53="","",
  IFERROR(
    _xlfn.LET(
      _xlpm._対象月初,EOMONTH(AR$1,-1)+1,
      _xlpm._今月初,EOMONTH(基準データ!$C$5,-1)+1,
      IF(
        _xlpm._対象月初&gt;_xlpm._今月初,
        IF(
          OR(AQ53="",AQ53=0),
          "",
          AQ53*AR$107
        ),
        _xlfn.LET(
          _xlpm._参照先,
            "'[在庫状況把握_43期_2025-2026.xlsx]月次報告"
            &amp;TEXT(AR$1,"YYMM")
            &amp;"'!",
          _xlpm._戻り範囲,
            IF(
              _xlpm._対象月初=_xlpm._今月初,
              "$AG$1:$AG$300",
              "$G$1:$G$300"
            ),
          _xlfn.XLOOKUP(
            $C53,
            INDIRECT(_xlpm._参照先&amp;"$C$1:$C$300"),
            INDIRECT(_xlpm._参照先&amp;_xlpm._戻り範囲)
          )
        )
      )
    ),
    ""
  )
)</f>
        <v>30.71923041370615</v>
      </c>
      <c r="AS53" s="223" cm="1">
        <f t="array" aca="1" ref="AS53" ca="1">IF($C53="","",
  IFERROR(
    _xlfn.LET(
      _xlpm._対象月初,EOMONTH(AS$1,-1)+1,
      _xlpm._今月初,EOMONTH(基準データ!$C$5,-1)+1,
      IF(
        _xlpm._対象月初&gt;_xlpm._今月初,
        IF(
          OR(AR53="",AR53=0),
          "",
          AR53*AS$107
        ),
        _xlfn.LET(
          _xlpm._参照先,
            "'[在庫状況把握_43期_2025-2026.xlsx]月次報告"
            &amp;TEXT(AS$1,"YYMM")
            &amp;"'!",
          _xlpm._戻り範囲,
            IF(
              _xlpm._対象月初=_xlpm._今月初,
              "$AG$1:$AG$300",
              "$G$1:$G$300"
            ),
          _xlfn.XLOOKUP(
            $C53,
            INDIRECT(_xlpm._参照先&amp;"$C$1:$C$300"),
            INDIRECT(_xlpm._参照先&amp;_xlpm._戻り範囲)
          )
        )
      )
    ),
    ""
  )
)</f>
        <v>26.509728436311391</v>
      </c>
      <c r="AT53" s="223" cm="1">
        <f t="array" aca="1" ref="AT53" ca="1">IF($C53="","",
  IFERROR(
    _xlfn.LET(
      _xlpm._対象月初,EOMONTH(AT$1,-1)+1,
      _xlpm._今月初,EOMONTH(基準データ!$C$5,-1)+1,
      IF(
        _xlpm._対象月初&gt;_xlpm._今月初,
        IF(
          OR(AS53="",AS53=0),
          "",
          AS53*AT$107
        ),
        _xlfn.LET(
          _xlpm._参照先,
            "'[在庫状況把握_43期_2025-2026.xlsx]月次報告"
            &amp;TEXT(AT$1,"YYMM")
            &amp;"'!",
          _xlpm._戻り範囲,
            IF(
              _xlpm._対象月初=_xlpm._今月初,
              "$AG$1:$AG$300",
              "$G$1:$G$300"
            ),
          _xlfn.XLOOKUP(
            $C53,
            INDIRECT(_xlpm._参照先&amp;"$C$1:$C$300"),
            INDIRECT(_xlpm._参照先&amp;_xlpm._戻り範囲)
          )
        )
      )
    ),
    ""
  )
)</f>
        <v>24.993705151137604</v>
      </c>
      <c r="AU53" s="223" cm="1">
        <f t="array" aca="1" ref="AU53" ca="1">IF($C53="","",
  IFERROR(
    _xlfn.LET(
      _xlpm._対象月初,EOMONTH(AU$1,-1)+1,
      _xlpm._今月初,EOMONTH(基準データ!$C$5,-1)+1,
      IF(
        _xlpm._対象月初&gt;_xlpm._今月初,
        IF(
          OR(AT53="",AT53=0),
          "",
          AT53*AU$107
        ),
        _xlfn.LET(
          _xlpm._参照先,
            "'[在庫状況把握_43期_2025-2026.xlsx]月次報告"
            &amp;TEXT(AU$1,"YYMM")
            &amp;"'!",
          _xlpm._戻り範囲,
            IF(
              _xlpm._対象月初=_xlpm._今月初,
              "$AG$1:$AG$300",
              "$G$1:$G$300"
            ),
          _xlfn.XLOOKUP(
            $C53,
            INDIRECT(_xlpm._参照先&amp;"$C$1:$C$300"),
            INDIRECT(_xlpm._参照先&amp;_xlpm._戻り範囲)
          )
        )
      )
    ),
    ""
  )
)</f>
        <v>36.936305101369918</v>
      </c>
      <c r="AV53" s="223" cm="1">
        <f t="array" aca="1" ref="AV53" ca="1">IF($C53="","",
  IFERROR(
    _xlfn.LET(
      _xlpm._対象月初,EOMONTH(AV$1,-1)+1,
      _xlpm._今月初,EOMONTH(基準データ!$C$5,-1)+1,
      IF(
        _xlpm._対象月初&gt;_xlpm._今月初,
        IF(
          OR(AU53="",AU53=0),
          "",
          AU53*AV$107
        ),
        _xlfn.LET(
          _xlpm._参照先,
            "'[在庫状況把握_43期_2025-2026.xlsx]月次報告"
            &amp;TEXT(AV$1,"YYMM")
            &amp;"'!",
          _xlpm._戻り範囲,
            IF(
              _xlpm._対象月初=_xlpm._今月初,
              "$AG$1:$AG$300",
              "$G$1:$G$300"
            ),
          _xlfn.XLOOKUP(
            $C53,
            INDIRECT(_xlpm._参照先&amp;"$C$1:$C$300"),
            INDIRECT(_xlpm._参照先&amp;_xlpm._戻り範囲)
          )
        )
      )
    ),
    ""
  )
)</f>
        <v>22.680076579645469</v>
      </c>
      <c r="AW53" s="223" cm="1">
        <f t="array" aca="1" ref="AW53" ca="1">IF($C53="","",
  IFERROR(
    _xlfn.LET(
      _xlpm._対象月初,EOMONTH(AW$1,-1)+1,
      _xlpm._今月初,EOMONTH(基準データ!$C$5,-1)+1,
      IF(
        _xlpm._対象月初&gt;_xlpm._今月初,
        IF(
          OR(AV53="",AV53=0),
          "",
          AV53*AW$107
        ),
        _xlfn.LET(
          _xlpm._参照先,
            "'[在庫状況把握_43期_2025-2026.xlsx]月次報告"
            &amp;TEXT(AW$1,"YYMM")
            &amp;"'!",
          _xlpm._戻り範囲,
            IF(
              _xlpm._対象月初=_xlpm._今月初,
              "$AG$1:$AG$300",
              "$G$1:$G$300"
            ),
          _xlfn.XLOOKUP(
            $C53,
            INDIRECT(_xlpm._参照先&amp;"$C$1:$C$300"),
            INDIRECT(_xlpm._参照先&amp;_xlpm._戻り範囲)
          )
        )
      )
    ),
    ""
  )
)</f>
        <v>16.448278821164056</v>
      </c>
      <c r="AX53" s="223" cm="1">
        <f t="array" aca="1" ref="AX53" ca="1">IF($C53="","",
  IFERROR(
    _xlfn.LET(
      _xlpm._対象月初,EOMONTH(AX$1,-1)+1,
      _xlpm._今月初,EOMONTH(基準データ!$C$5,-1)+1,
      IF(
        _xlpm._対象月初&gt;_xlpm._今月初,
        IF(
          OR(AW53="",AW53=0),
          "",
          AW53*AX$107
        ),
        _xlfn.LET(
          _xlpm._参照先,
            "'[在庫状況把握_43期_2025-2026.xlsx]月次報告"
            &amp;TEXT(AX$1,"YYMM")
            &amp;"'!",
          _xlpm._戻り範囲,
            IF(
              _xlpm._対象月初=_xlpm._今月初,
              "$AG$1:$AG$300",
              "$G$1:$G$300"
            ),
          _xlfn.XLOOKUP(
            $C53,
            INDIRECT(_xlpm._参照先&amp;"$C$1:$C$300"),
            INDIRECT(_xlpm._参照先&amp;_xlpm._戻り範囲)
          )
        )
      )
    ),
    ""
  )
)</f>
        <v>17.15078125577957</v>
      </c>
      <c r="AY53" s="223" cm="1">
        <f t="array" aca="1" ref="AY53" ca="1">IF($C53="","",
  IFERROR(
    _xlfn.LET(
      _xlpm._対象月初,EOMONTH(AY$1,-1)+1,
      _xlpm._今月初,EOMONTH(基準データ!$C$5,-1)+1,
      IF(
        _xlpm._対象月初&gt;_xlpm._今月初,
        IF(
          OR(AX53="",AX53=0),
          "",
          AX53*AY$107
        ),
        _xlfn.LET(
          _xlpm._参照先,
            "'[在庫状況把握_43期_2025-2026.xlsx]月次報告"
            &amp;TEXT(AY$1,"YYMM")
            &amp;"'!",
          _xlpm._戻り範囲,
            IF(
              _xlpm._対象月初=_xlpm._今月初,
              "$AG$1:$AG$300",
              "$G$1:$G$300"
            ),
          _xlfn.XLOOKUP(
            $C53,
            INDIRECT(_xlpm._参照先&amp;"$C$1:$C$300"),
            INDIRECT(_xlpm._参照先&amp;_xlpm._戻り範囲)
          )
        )
      )
    ),
    ""
  )
)</f>
        <v>18.821428571428569</v>
      </c>
      <c r="AZ53" s="223" cm="1">
        <f t="array" aca="1" ref="AZ53" ca="1">IF($C53="","",
  IFERROR(
    _xlfn.LET(
      _xlpm._対象月初,EOMONTH(AZ$1,-1)+1,
      _xlpm._今月初,EOMONTH(基準データ!$C$5,-1)+1,
      IF(
        _xlpm._対象月初&gt;_xlpm._今月初,
        IF(
          OR(AY53="",AY53=0),
          "",
          AY53*AZ$107
        ),
        _xlfn.LET(
          _xlpm._参照先,
            "'[在庫状況把握_43期_2025-2026.xlsx]月次報告"
            &amp;TEXT(AZ$1,"YYMM")
            &amp;"'!",
          _xlpm._戻り範囲,
            IF(
              _xlpm._対象月初=_xlpm._今月初,
              "$AG$1:$AG$300",
              "$G$1:$G$300"
            ),
          _xlfn.XLOOKUP(
            $C53,
            INDIRECT(_xlpm._参照先&amp;"$C$1:$C$300"),
            INDIRECT(_xlpm._参照先&amp;_xlpm._戻り範囲)
          )
        )
      )
    ),
    ""
  )
)</f>
        <v>17.31118035506875</v>
      </c>
      <c r="BA53" s="223" cm="1">
        <f t="array" aca="1" ref="BA53" ca="1">IF($C53="","",
  IFERROR(
    _xlfn.LET(
      _xlpm._対象月初,EOMONTH(BA$1,-1)+1,
      _xlpm._今月初,EOMONTH(基準データ!$C$5,-1)+1,
      IF(
        _xlpm._対象月初&gt;_xlpm._今月初,
        IF(
          OR(AZ53="",AZ53=0),
          "",
          AZ53*BA$107
        ),
        _xlfn.LET(
          _xlpm._参照先,
            "'[在庫状況把握_43期_2025-2026.xlsx]月次報告"
            &amp;TEXT(BA$1,"YYMM")
            &amp;"'!",
          _xlpm._戻り範囲,
            IF(
              _xlpm._対象月初=_xlpm._今月初,
              "$AG$1:$AG$300",
              "$G$1:$G$300"
            ),
          _xlfn.XLOOKUP(
            $C53,
            INDIRECT(_xlpm._参照先&amp;"$C$1:$C$300"),
            INDIRECT(_xlpm._参照先&amp;_xlpm._戻り範囲)
          )
        )
      )
    ),
    ""
  )
)</f>
        <v>18.700035214792766</v>
      </c>
      <c r="BB53" s="223" cm="1">
        <f t="array" aca="1" ref="BB53" ca="1">IF($C53="","",
  IFERROR(
    _xlfn.LET(
      _xlpm._対象月初,EOMONTH(BB$1,-1)+1,
      _xlpm._今月初,EOMONTH(基準データ!$C$5,-1)+1,
      IF(
        _xlpm._対象月初&gt;_xlpm._今月初,
        IF(
          OR(BA53="",BA53=0),
          "",
          BA53*BB$107
        ),
        _xlfn.LET(
          _xlpm._参照先,
            "'[在庫状況把握_43期_2025-2026.xlsx]月次報告"
            &amp;TEXT(BB$1,"YYMM")
            &amp;"'!",
          _xlpm._戻り範囲,
            IF(
              _xlpm._対象月初=_xlpm._今月初,
              "$AG$1:$AG$300",
              "$G$1:$G$300"
            ),
          _xlfn.XLOOKUP(
            $C53,
            INDIRECT(_xlpm._参照先&amp;"$C$1:$C$300"),
            INDIRECT(_xlpm._参照先&amp;_xlpm._戻り範囲)
          )
        )
      )
    ),
    ""
  )
)</f>
        <v>20.137925269222805</v>
      </c>
      <c r="BC53" s="223" cm="1">
        <f t="array" aca="1" ref="BC53" ca="1">IF($C53="","",
  IFERROR(
    _xlfn.LET(
      _xlpm._対象月初,EOMONTH(BC$1,-1)+1,
      _xlpm._今月初,EOMONTH(基準データ!$C$5,-1)+1,
      IF(
        _xlpm._対象月初&gt;_xlpm._今月初,
        IF(
          OR(BB53="",BB53=0),
          "",
          BB53*BC$107
        ),
        _xlfn.LET(
          _xlpm._参照先,
            "'[在庫状況把握_43期_2025-2026.xlsx]月次報告"
            &amp;TEXT(BC$1,"YYMM")
            &amp;"'!",
          _xlpm._戻り範囲,
            IF(
              _xlpm._対象月初=_xlpm._今月初,
              "$AG$1:$AG$300",
              "$G$1:$G$300"
            ),
          _xlfn.XLOOKUP(
            $C53,
            INDIRECT(_xlpm._参照先&amp;"$C$1:$C$300"),
            INDIRECT(_xlpm._参照先&amp;_xlpm._戻り範囲)
          )
        )
      )
    ),
    ""
  )
)</f>
        <v>20.841741796729718</v>
      </c>
      <c r="BD53" s="223" cm="1">
        <f t="array" aca="1" ref="BD53" ca="1">IF($C53="","",
  IFERROR(
    _xlfn.LET(
      _xlpm._対象月初,EOMONTH(BD$1,-1)+1,
      _xlpm._今月初,EOMONTH(基準データ!$C$5,-1)+1,
      IF(
        _xlpm._対象月初&gt;_xlpm._今月初,
        IF(
          OR(BC53="",BC53=0),
          "",
          BC53*BD$107
        ),
        _xlfn.LET(
          _xlpm._参照先,
            "'[在庫状況把握_43期_2025-2026.xlsx]月次報告"
            &amp;TEXT(BD$1,"YYMM")
            &amp;"'!",
          _xlpm._戻り範囲,
            IF(
              _xlpm._対象月初=_xlpm._今月初,
              "$AG$1:$AG$300",
              "$G$1:$G$300"
            ),
          _xlfn.XLOOKUP(
            $C53,
            INDIRECT(_xlpm._参照先&amp;"$C$1:$C$300"),
            INDIRECT(_xlpm._参照先&amp;_xlpm._戻り範囲)
          )
        )
      )
    ),
    ""
  )
)</f>
        <v>30.71923041370615</v>
      </c>
    </row>
    <row r="54" spans="1:56" ht="18.75" customHeight="1">
      <c r="A54" s="1061" t="s">
        <v>1649</v>
      </c>
      <c r="B54" s="28" t="str">
        <v>UNW-U-14650HX-5060-L6 Thirdwave</v>
      </c>
      <c r="C54" s="24" t="s">
        <v>586</v>
      </c>
      <c r="D54" s="34" t="s">
        <v>1405</v>
      </c>
      <c r="E54" s="68" t="s">
        <v>438</v>
      </c>
      <c r="F54" s="68" t="s">
        <v>20</v>
      </c>
      <c r="G54" s="355">
        <v>230</v>
      </c>
      <c r="H54" s="109" cm="1">
        <f t="array" aca="1" ref="H54" ca="1">_xlfn.LET(_xlpm._来月から4ヶ月計画合計,
  SUM(
    OFFSET($A54,0,
      MATCH(
        EDATE(基準データ!$C$5,3),$A$1:$BF$1,1
      )-3,1,4)),
_xlpm._今月計画数,
INDEX($A$1:$BE$223,
  ROW(),
  MATCH(EOMONTH(基準データ!$C$5,-1)+1,$A$1:$BE$1,0)
),
  IFERROR(IF($B54="","",_xlpm._来月から4ヶ月計画合計+_xlpm._今月計画数/2),""
)
)</f>
        <v>3877.9069677133011</v>
      </c>
      <c r="I54" s="311"/>
      <c r="J54" s="311"/>
      <c r="K54" s="311"/>
      <c r="L54" s="38"/>
      <c r="M54" s="38"/>
      <c r="N54" s="38"/>
      <c r="O54" s="38"/>
      <c r="P54" s="38"/>
      <c r="Q54" s="219"/>
      <c r="R54" s="219"/>
      <c r="S54" s="219"/>
      <c r="T54" s="219"/>
      <c r="U54" s="224"/>
      <c r="V54" s="335"/>
      <c r="W54" s="333"/>
      <c r="X54" s="333"/>
      <c r="Y54" s="333"/>
      <c r="Z54" s="219"/>
      <c r="AA54" s="219"/>
      <c r="AB54" s="219"/>
      <c r="AC54" s="224"/>
      <c r="AD54" s="224" t="s">
        <v>21</v>
      </c>
      <c r="AE54" s="223">
        <v>0</v>
      </c>
      <c r="AF54" s="223">
        <v>0</v>
      </c>
      <c r="AG54" s="223">
        <v>0</v>
      </c>
      <c r="AH54" s="223">
        <v>25</v>
      </c>
      <c r="AI54" s="223">
        <v>373</v>
      </c>
      <c r="AJ54" s="223">
        <v>93</v>
      </c>
      <c r="AK54" s="223">
        <v>28</v>
      </c>
      <c r="AL54" s="223" cm="1">
        <f t="array" aca="1" ref="AL54" ca="1">IF($C54="","",
  IFERROR(
    _xlfn.LET(
      _xlpm._対象月初,EOMONTH(AL$1,-1)+1,
      _xlpm._今月初,EOMONTH(基準データ!$C$5,-1)+1,
      IF(
        _xlpm._対象月初&gt;_xlpm._今月初,
        IF(
          OR(AK54="",AK54=0),
          "",
          AK54*AL$107
        ),
        _xlfn.LET(
          _xlpm._参照先,
            "'[在庫状況把握_43期_2025-2026.xlsx]月次報告"
            &amp;TEXT(AL$1,"YYMM")
            &amp;"'!",
          _xlpm._戻り範囲,
            IF(
              _xlpm._対象月初=_xlpm._今月初,
              "$AG$1:$AG$300",
              "$G$1:$G$300"
            ),
          _xlfn.XLOOKUP(
            $C54,
            INDIRECT(_xlpm._参照先&amp;"$C$1:$C$300"),
            INDIRECT(_xlpm._参照先&amp;_xlpm._戻り範囲)
          )
        )
      )
    ),
    ""
  )
)</f>
        <v>765</v>
      </c>
      <c r="AM54" s="223" cm="1">
        <f t="array" aca="1" ref="AM54" ca="1">IF($C54="","",
  IFERROR(
    _xlfn.LET(
      _xlpm._対象月初,EOMONTH(AM$1,-1)+1,
      _xlpm._今月初,EOMONTH(基準データ!$C$5,-1)+1,
      IF(
        _xlpm._対象月初&gt;_xlpm._今月初,
        IF(
          OR(AL54="",AL54=0),
          "",
          AL54*AM$107
        ),
        _xlfn.LET(
          _xlpm._参照先,
            "'[在庫状況把握_43期_2025-2026.xlsx]月次報告"
            &amp;TEXT(AM$1,"YYMM")
            &amp;"'!",
          _xlpm._戻り範囲,
            IF(
              _xlpm._対象月初=_xlpm._今月初,
              "$AG$1:$AG$300",
              "$G$1:$G$300"
            ),
          _xlfn.XLOOKUP(
            $C54,
            INDIRECT(_xlpm._参照先&amp;"$C$1:$C$300"),
            INDIRECT(_xlpm._参照先&amp;_xlpm._戻り範囲)
          )
        )
      )
    ),
    ""
  )
)</f>
        <v>844.75</v>
      </c>
      <c r="AN54" s="223" cm="1">
        <f t="array" aca="1" ref="AN54" ca="1">IF($C54="","",
  IFERROR(
    _xlfn.LET(
      _xlpm._対象月初,EOMONTH(AN$1,-1)+1,
      _xlpm._今月初,EOMONTH(基準データ!$C$5,-1)+1,
      IF(
        _xlpm._対象月初&gt;_xlpm._今月初,
        IF(
          OR(AM54="",AM54=0),
          "",
          AM54*AN$107
        ),
        _xlfn.LET(
          _xlpm._参照先,
            "'[在庫状況把握_43期_2025-2026.xlsx]月次報告"
            &amp;TEXT(AN$1,"YYMM")
            &amp;"'!",
          _xlpm._戻り範囲,
            IF(
              _xlpm._対象月初=_xlpm._今月初,
              "$AG$1:$AG$300",
              "$G$1:$G$300"
            ),
          _xlfn.XLOOKUP(
            $C54,
            INDIRECT(_xlpm._参照先&amp;"$C$1:$C$300"),
            INDIRECT(_xlpm._参照先&amp;_xlpm._戻り範囲)
          )
        )
      )
    ),
    ""
  )
)</f>
        <v>776.96650652455628</v>
      </c>
      <c r="AO54" s="223" cm="1">
        <f t="array" aca="1" ref="AO54" ca="1">IF($C54="","",
  IFERROR(
    _xlfn.LET(
      _xlpm._対象月初,EOMONTH(AO$1,-1)+1,
      _xlpm._今月初,EOMONTH(基準データ!$C$5,-1)+1,
      IF(
        _xlpm._対象月初&gt;_xlpm._今月初,
        IF(
          OR(AN54="",AN54=0),
          "",
          AN54*AO$107
        ),
        _xlfn.LET(
          _xlpm._参照先,
            "'[在庫状況把握_43期_2025-2026.xlsx]月次報告"
            &amp;TEXT(AO$1,"YYMM")
            &amp;"'!",
          _xlpm._戻り範囲,
            IF(
              _xlpm._対象月初=_xlpm._今月初,
              "$AG$1:$AG$300",
              "$G$1:$G$300"
            ),
          _xlfn.XLOOKUP(
            $C54,
            INDIRECT(_xlpm._参照先&amp;"$C$1:$C$300"),
            INDIRECT(_xlpm._参照先&amp;_xlpm._戻り範囲)
          )
        )
      )
    ),
    ""
  )
)</f>
        <v>839.30158052275772</v>
      </c>
      <c r="AP54" s="223" cm="1">
        <f t="array" aca="1" ref="AP54" ca="1">IF($C54="","",
  IFERROR(
    _xlfn.LET(
      _xlpm._対象月初,EOMONTH(AP$1,-1)+1,
      _xlpm._今月初,EOMONTH(基準データ!$C$5,-1)+1,
      IF(
        _xlpm._対象月初&gt;_xlpm._今月初,
        IF(
          OR(AO54="",AO54=0),
          "",
          AO54*AP$107
        ),
        _xlfn.LET(
          _xlpm._参照先,
            "'[在庫状況把握_43期_2025-2026.xlsx]月次報告"
            &amp;TEXT(AP$1,"YYMM")
            &amp;"'!",
          _xlpm._戻り範囲,
            IF(
              _xlpm._対象月初=_xlpm._今月初,
              "$AG$1:$AG$300",
              "$G$1:$G$300"
            ),
          _xlfn.XLOOKUP(
            $C54,
            INDIRECT(_xlpm._参照先&amp;"$C$1:$C$300"),
            INDIRECT(_xlpm._参照先&amp;_xlpm._戻り範囲)
          )
        )
      )
    ),
    ""
  )
)</f>
        <v>903.83746943629421</v>
      </c>
      <c r="AQ54" s="223" cm="1">
        <f t="array" aca="1" ref="AQ54" ca="1">IF($C54="","",
  IFERROR(
    _xlfn.LET(
      _xlpm._対象月初,EOMONTH(AQ$1,-1)+1,
      _xlpm._今月初,EOMONTH(基準データ!$C$5,-1)+1,
      IF(
        _xlpm._対象月初&gt;_xlpm._今月初,
        IF(
          OR(AP54="",AP54=0),
          "",
          AP54*AQ$107
        ),
        _xlfn.LET(
          _xlpm._参照先,
            "'[在庫状況把握_43期_2025-2026.xlsx]月次報告"
            &amp;TEXT(AQ$1,"YYMM")
            &amp;"'!",
          _xlpm._戻り範囲,
            IF(
              _xlpm._対象月初=_xlpm._今月初,
              "$AG$1:$AG$300",
              "$G$1:$G$300"
            ),
          _xlfn.XLOOKUP(
            $C54,
            INDIRECT(_xlpm._参照先&amp;"$C$1:$C$300"),
            INDIRECT(_xlpm._参照先&amp;_xlpm._戻り範囲)
          )
        )
      )
    ),
    ""
  )
)</f>
        <v>935.4264112296928</v>
      </c>
      <c r="AR54" s="223" cm="1">
        <f t="array" aca="1" ref="AR54" ca="1">IF($C54="","",
  IFERROR(
    _xlfn.LET(
      _xlpm._対象月初,EOMONTH(AR$1,-1)+1,
      _xlpm._今月初,EOMONTH(基準データ!$C$5,-1)+1,
      IF(
        _xlpm._対象月初&gt;_xlpm._今月初,
        IF(
          OR(AQ54="",AQ54=0),
          "",
          AQ54*AR$107
        ),
        _xlfn.LET(
          _xlpm._参照先,
            "'[在庫状況把握_43期_2025-2026.xlsx]月次報告"
            &amp;TEXT(AR$1,"YYMM")
            &amp;"'!",
          _xlpm._戻り範囲,
            IF(
              _xlpm._対象月初=_xlpm._今月初,
              "$AG$1:$AG$300",
              "$G$1:$G$300"
            ),
          _xlfn.XLOOKUP(
            $C54,
            INDIRECT(_xlpm._参照先&amp;"$C$1:$C$300"),
            INDIRECT(_xlpm._参照先&amp;_xlpm._戻り範囲)
          )
        )
      )
    ),
    ""
  )
)</f>
        <v>1378.7513415092822</v>
      </c>
      <c r="AS54" s="223" cm="1">
        <f t="array" aca="1" ref="AS54" ca="1">IF($C54="","",
  IFERROR(
    _xlfn.LET(
      _xlpm._対象月初,EOMONTH(AS$1,-1)+1,
      _xlpm._今月初,EOMONTH(基準データ!$C$5,-1)+1,
      IF(
        _xlpm._対象月初&gt;_xlpm._今月初,
        IF(
          OR(AR54="",AR54=0),
          "",
          AR54*AS$107
        ),
        _xlfn.LET(
          _xlpm._参照先,
            "'[在庫状況把握_43期_2025-2026.xlsx]月次報告"
            &amp;TEXT(AS$1,"YYMM")
            &amp;"'!",
          _xlpm._戻り範囲,
            IF(
              _xlpm._対象月初=_xlpm._今月初,
              "$AG$1:$AG$300",
              "$G$1:$G$300"
            ),
          _xlfn.XLOOKUP(
            $C54,
            INDIRECT(_xlpm._参照先&amp;"$C$1:$C$300"),
            INDIRECT(_xlpm._参照先&amp;_xlpm._戻り範囲)
          )
        )
      )
    ),
    ""
  )
)</f>
        <v>1189.8189880532702</v>
      </c>
      <c r="AT54" s="223" cm="1">
        <f t="array" aca="1" ref="AT54" ca="1">IF($C54="","",
  IFERROR(
    _xlfn.LET(
      _xlpm._対象月初,EOMONTH(AT$1,-1)+1,
      _xlpm._今月初,EOMONTH(基準データ!$C$5,-1)+1,
      IF(
        _xlpm._対象月初&gt;_xlpm._今月初,
        IF(
          OR(AS54="",AS54=0),
          "",
          AS54*AT$107
        ),
        _xlfn.LET(
          _xlpm._参照先,
            "'[在庫状況把握_43期_2025-2026.xlsx]月次報告"
            &amp;TEXT(AT$1,"YYMM")
            &amp;"'!",
          _xlpm._戻り範囲,
            IF(
              _xlpm._対象月初=_xlpm._今月初,
              "$AG$1:$AG$300",
              "$G$1:$G$300"
            ),
          _xlfn.XLOOKUP(
            $C54,
            INDIRECT(_xlpm._参照先&amp;"$C$1:$C$300"),
            INDIRECT(_xlpm._参照先&amp;_xlpm._戻り範囲)
          )
        )
      )
    ),
    ""
  )
)</f>
        <v>1121.7762959010583</v>
      </c>
      <c r="AU54" s="223" cm="1">
        <f t="array" aca="1" ref="AU54" ca="1">IF($C54="","",
  IFERROR(
    _xlfn.LET(
      _xlpm._対象月初,EOMONTH(AU$1,-1)+1,
      _xlpm._今月初,EOMONTH(基準データ!$C$5,-1)+1,
      IF(
        _xlpm._対象月初&gt;_xlpm._今月初,
        IF(
          OR(AT54="",AT54=0),
          "",
          AT54*AU$107
        ),
        _xlfn.LET(
          _xlpm._参照先,
            "'[在庫状況把握_43期_2025-2026.xlsx]月次報告"
            &amp;TEXT(AU$1,"YYMM")
            &amp;"'!",
          _xlpm._戻り範囲,
            IF(
              _xlpm._対象月初=_xlpm._今月初,
              "$AG$1:$AG$300",
              "$G$1:$G$300"
            ),
          _xlfn.XLOOKUP(
            $C54,
            INDIRECT(_xlpm._参照先&amp;"$C$1:$C$300"),
            INDIRECT(_xlpm._参照先&amp;_xlpm._戻り範囲)
          )
        )
      )
    ),
    ""
  )
)</f>
        <v>1657.7882819026615</v>
      </c>
      <c r="AV54" s="223" cm="1">
        <f t="array" aca="1" ref="AV54" ca="1">IF($C54="","",
  IFERROR(
    _xlfn.LET(
      _xlpm._対象月初,EOMONTH(AV$1,-1)+1,
      _xlpm._今月初,EOMONTH(基準データ!$C$5,-1)+1,
      IF(
        _xlpm._対象月初&gt;_xlpm._今月初,
        IF(
          OR(AU54="",AU54=0),
          "",
          AU54*AV$107
        ),
        _xlfn.LET(
          _xlpm._参照先,
            "'[在庫状況把握_43期_2025-2026.xlsx]月次報告"
            &amp;TEXT(AV$1,"YYMM")
            &amp;"'!",
          _xlpm._戻り範囲,
            IF(
              _xlpm._対象月初=_xlpm._今月初,
              "$AG$1:$AG$300",
              "$G$1:$G$300"
            ),
          _xlfn.XLOOKUP(
            $C54,
            INDIRECT(_xlpm._参照先&amp;"$C$1:$C$300"),
            INDIRECT(_xlpm._参照先&amp;_xlpm._戻り範囲)
          )
        )
      )
    ),
    ""
  )
)</f>
        <v>1017.9352017805584</v>
      </c>
      <c r="AW54" s="223" cm="1">
        <f t="array" aca="1" ref="AW54" ca="1">IF($C54="","",
  IFERROR(
    _xlfn.LET(
      _xlpm._対象月初,EOMONTH(AW$1,-1)+1,
      _xlpm._今月初,EOMONTH(基準データ!$C$5,-1)+1,
      IF(
        _xlpm._対象月初&gt;_xlpm._今月初,
        IF(
          OR(AV54="",AV54=0),
          "",
          AV54*AW$107
        ),
        _xlfn.LET(
          _xlpm._参照先,
            "'[在庫状況把握_43期_2025-2026.xlsx]月次報告"
            &amp;TEXT(AW$1,"YYMM")
            &amp;"'!",
          _xlpm._戻り範囲,
            IF(
              _xlpm._対象月初=_xlpm._今月初,
              "$AG$1:$AG$300",
              "$G$1:$G$300"
            ),
          _xlfn.XLOOKUP(
            $C54,
            INDIRECT(_xlpm._参照先&amp;"$C$1:$C$300"),
            INDIRECT(_xlpm._参照先&amp;_xlpm._戻り範囲)
          )
        )
      )
    ),
    ""
  )
)</f>
        <v>738.23745532636315</v>
      </c>
      <c r="AX54" s="223" cm="1">
        <f t="array" aca="1" ref="AX54" ca="1">IF($C54="","",
  IFERROR(
    _xlfn.LET(
      _xlpm._対象月初,EOMONTH(AX$1,-1)+1,
      _xlpm._今月初,EOMONTH(基準データ!$C$5,-1)+1,
      IF(
        _xlpm._対象月初&gt;_xlpm._今月初,
        IF(
          OR(AW54="",AW54=0),
          "",
          AW54*AX$107
        ),
        _xlfn.LET(
          _xlpm._参照先,
            "'[在庫状況把握_43期_2025-2026.xlsx]月次報告"
            &amp;TEXT(AX$1,"YYMM")
            &amp;"'!",
          _xlpm._戻り範囲,
            IF(
              _xlpm._対象月初=_xlpm._今月初,
              "$AG$1:$AG$300",
              "$G$1:$G$300"
            ),
          _xlfn.XLOOKUP(
            $C54,
            INDIRECT(_xlpm._参照先&amp;"$C$1:$C$300"),
            INDIRECT(_xlpm._参照先&amp;_xlpm._戻り範囲)
          )
        )
      )
    ),
    ""
  )
)</f>
        <v>769.76741753881242</v>
      </c>
      <c r="AY54" s="223" cm="1">
        <f t="array" aca="1" ref="AY54" ca="1">IF($C54="","",
  IFERROR(
    _xlfn.LET(
      _xlpm._対象月初,EOMONTH(AY$1,-1)+1,
      _xlpm._今月初,EOMONTH(基準データ!$C$5,-1)+1,
      IF(
        _xlpm._対象月初&gt;_xlpm._今月初,
        IF(
          OR(AX54="",AX54=0),
          "",
          AX54*AY$107
        ),
        _xlfn.LET(
          _xlpm._参照先,
            "'[在庫状況把握_43期_2025-2026.xlsx]月次報告"
            &amp;TEXT(AY$1,"YYMM")
            &amp;"'!",
          _xlpm._戻り範囲,
            IF(
              _xlpm._対象月初=_xlpm._今月初,
              "$AG$1:$AG$300",
              "$G$1:$G$300"
            ),
          _xlfn.XLOOKUP(
            $C54,
            INDIRECT(_xlpm._参照先&amp;"$C$1:$C$300"),
            INDIRECT(_xlpm._参照先&amp;_xlpm._戻り範囲)
          )
        )
      )
    ),
    ""
  )
)</f>
        <v>844.74999999999989</v>
      </c>
      <c r="AZ54" s="223" cm="1">
        <f t="array" aca="1" ref="AZ54" ca="1">IF($C54="","",
  IFERROR(
    _xlfn.LET(
      _xlpm._対象月初,EOMONTH(AZ$1,-1)+1,
      _xlpm._今月初,EOMONTH(基準データ!$C$5,-1)+1,
      IF(
        _xlpm._対象月初&gt;_xlpm._今月初,
        IF(
          OR(AY54="",AY54=0),
          "",
          AY54*AZ$107
        ),
        _xlfn.LET(
          _xlpm._参照先,
            "'[在庫状況把握_43期_2025-2026.xlsx]月次報告"
            &amp;TEXT(AZ$1,"YYMM")
            &amp;"'!",
          _xlpm._戻り範囲,
            IF(
              _xlpm._対象月初=_xlpm._今月初,
              "$AG$1:$AG$300",
              "$G$1:$G$300"
            ),
          _xlfn.XLOOKUP(
            $C54,
            INDIRECT(_xlpm._参照先&amp;"$C$1:$C$300"),
            INDIRECT(_xlpm._参照先&amp;_xlpm._戻り範囲)
          )
        )
      )
    ),
    ""
  )
)</f>
        <v>776.96650652455617</v>
      </c>
      <c r="BA54" s="223" cm="1">
        <f t="array" aca="1" ref="BA54" ca="1">IF($C54="","",
  IFERROR(
    _xlfn.LET(
      _xlpm._対象月初,EOMONTH(BA$1,-1)+1,
      _xlpm._今月初,EOMONTH(基準データ!$C$5,-1)+1,
      IF(
        _xlpm._対象月初&gt;_xlpm._今月初,
        IF(
          OR(AZ54="",AZ54=0),
          "",
          AZ54*BA$107
        ),
        _xlfn.LET(
          _xlpm._参照先,
            "'[在庫状況把握_43期_2025-2026.xlsx]月次報告"
            &amp;TEXT(BA$1,"YYMM")
            &amp;"'!",
          _xlpm._戻り範囲,
            IF(
              _xlpm._対象月初=_xlpm._今月初,
              "$AG$1:$AG$300",
              "$G$1:$G$300"
            ),
          _xlfn.XLOOKUP(
            $C54,
            INDIRECT(_xlpm._参照先&amp;"$C$1:$C$300"),
            INDIRECT(_xlpm._参照先&amp;_xlpm._戻り範囲)
          )
        )
      )
    ),
    ""
  )
)</f>
        <v>839.3015805227576</v>
      </c>
      <c r="BB54" s="223" cm="1">
        <f t="array" aca="1" ref="BB54" ca="1">IF($C54="","",
  IFERROR(
    _xlfn.LET(
      _xlpm._対象月初,EOMONTH(BB$1,-1)+1,
      _xlpm._今月初,EOMONTH(基準データ!$C$5,-1)+1,
      IF(
        _xlpm._対象月初&gt;_xlpm._今月初,
        IF(
          OR(BA54="",BA54=0),
          "",
          BA54*BB$107
        ),
        _xlfn.LET(
          _xlpm._参照先,
            "'[在庫状況把握_43期_2025-2026.xlsx]月次報告"
            &amp;TEXT(BB$1,"YYMM")
            &amp;"'!",
          _xlpm._戻り範囲,
            IF(
              _xlpm._対象月初=_xlpm._今月初,
              "$AG$1:$AG$300",
              "$G$1:$G$300"
            ),
          _xlfn.XLOOKUP(
            $C54,
            INDIRECT(_xlpm._参照先&amp;"$C$1:$C$300"),
            INDIRECT(_xlpm._参照先&amp;_xlpm._戻り範囲)
          )
        )
      )
    ),
    ""
  )
)</f>
        <v>903.8374694362941</v>
      </c>
      <c r="BC54" s="223" cm="1">
        <f t="array" aca="1" ref="BC54" ca="1">IF($C54="","",
  IFERROR(
    _xlfn.LET(
      _xlpm._対象月初,EOMONTH(BC$1,-1)+1,
      _xlpm._今月初,EOMONTH(基準データ!$C$5,-1)+1,
      IF(
        _xlpm._対象月初&gt;_xlpm._今月初,
        IF(
          OR(BB54="",BB54=0),
          "",
          BB54*BC$107
        ),
        _xlfn.LET(
          _xlpm._参照先,
            "'[在庫状況把握_43期_2025-2026.xlsx]月次報告"
            &amp;TEXT(BC$1,"YYMM")
            &amp;"'!",
          _xlpm._戻り範囲,
            IF(
              _xlpm._対象月初=_xlpm._今月初,
              "$AG$1:$AG$300",
              "$G$1:$G$300"
            ),
          _xlfn.XLOOKUP(
            $C54,
            INDIRECT(_xlpm._参照先&amp;"$C$1:$C$300"),
            INDIRECT(_xlpm._参照先&amp;_xlpm._戻り範囲)
          )
        )
      )
    ),
    ""
  )
)</f>
        <v>935.42641122969258</v>
      </c>
      <c r="BD54" s="223" cm="1">
        <f t="array" aca="1" ref="BD54" ca="1">IF($C54="","",
  IFERROR(
    _xlfn.LET(
      _xlpm._対象月初,EOMONTH(BD$1,-1)+1,
      _xlpm._今月初,EOMONTH(基準データ!$C$5,-1)+1,
      IF(
        _xlpm._対象月初&gt;_xlpm._今月初,
        IF(
          OR(BC54="",BC54=0),
          "",
          BC54*BD$107
        ),
        _xlfn.LET(
          _xlpm._参照先,
            "'[在庫状況把握_43期_2025-2026.xlsx]月次報告"
            &amp;TEXT(BD$1,"YYMM")
            &amp;"'!",
          _xlpm._戻り範囲,
            IF(
              _xlpm._対象月初=_xlpm._今月初,
              "$AG$1:$AG$300",
              "$G$1:$G$300"
            ),
          _xlfn.XLOOKUP(
            $C54,
            INDIRECT(_xlpm._参照先&amp;"$C$1:$C$300"),
            INDIRECT(_xlpm._参照先&amp;_xlpm._戻り範囲)
          )
        )
      )
    ),
    ""
  )
)</f>
        <v>1378.7513415092819</v>
      </c>
    </row>
    <row r="55" spans="1:56" ht="18.75" customHeight="1">
      <c r="A55" s="1061"/>
      <c r="B55" s="28" t="str">
        <v/>
      </c>
      <c r="C55" s="24"/>
      <c r="D55" s="34"/>
      <c r="E55" s="68"/>
      <c r="F55" s="68"/>
      <c r="G55" s="355" t="str">
        <v/>
      </c>
      <c r="H55" s="109" t="str" cm="1">
        <f t="array" aca="1" ref="H55" ca="1">_xlfn.LET(_xlpm._来月から4ヶ月計画合計,
  SUM(
    OFFSET($A55,0,
      MATCH(
        EDATE(基準データ!$C$5,3),$A$1:$BF$1,1
      )-3,1,4)),
_xlpm._今月計画数,
INDEX($A$1:$BE$223,
  ROW(),
  MATCH(EOMONTH(基準データ!$C$5,-1)+1,$A$1:$BE$1,0)
),
  IFERROR(IF($B55="","",_xlpm._来月から4ヶ月計画合計+_xlpm._今月計画数/2),""
)
)</f>
        <v/>
      </c>
      <c r="I55" s="38"/>
      <c r="J55" s="38"/>
      <c r="K55" s="38"/>
      <c r="L55" s="38"/>
      <c r="M55" s="38"/>
      <c r="N55" s="38"/>
      <c r="O55" s="38"/>
      <c r="P55" s="38"/>
      <c r="Q55" s="219"/>
      <c r="R55" s="219"/>
      <c r="S55" s="219"/>
      <c r="T55" s="219"/>
      <c r="U55" s="224"/>
      <c r="V55" s="335"/>
      <c r="W55" s="333"/>
      <c r="X55" s="333"/>
      <c r="Y55" s="333"/>
      <c r="Z55" s="334"/>
      <c r="AA55" s="219"/>
      <c r="AB55" s="334"/>
      <c r="AC55" s="336"/>
      <c r="AD55" s="336" t="s">
        <v>21</v>
      </c>
      <c r="AE55" s="223" t="s">
        <v>21</v>
      </c>
      <c r="AF55" s="223" t="s">
        <v>21</v>
      </c>
      <c r="AG55" s="223" t="s">
        <v>21</v>
      </c>
      <c r="AH55" s="223" t="s">
        <v>21</v>
      </c>
      <c r="AI55" s="223" t="s">
        <v>21</v>
      </c>
      <c r="AJ55" s="223" t="s">
        <v>21</v>
      </c>
      <c r="AK55" s="223" t="s">
        <v>21</v>
      </c>
      <c r="AL55" s="223" t="str" cm="1">
        <f t="array" aca="1" ref="AL55" ca="1">IF($C55="","",
  IFERROR(
    _xlfn.LET(
      _xlpm._対象月初,EOMONTH(AL$1,-1)+1,
      _xlpm._今月初,EOMONTH(基準データ!$C$5,-1)+1,
      IF(
        _xlpm._対象月初&gt;_xlpm._今月初,
        IF(
          OR(AK55="",AK55=0),
          "",
          AK55*AL$107
        ),
        _xlfn.LET(
          _xlpm._参照先,
            "'[在庫状況把握_43期_2025-2026.xlsx]月次報告"
            &amp;TEXT(AL$1,"YYMM")
            &amp;"'!",
          _xlpm._戻り範囲,
            IF(
              _xlpm._対象月初=_xlpm._今月初,
              "$AG$1:$AG$300",
              "$G$1:$G$300"
            ),
          _xlfn.XLOOKUP(
            $C55,
            INDIRECT(_xlpm._参照先&amp;"$C$1:$C$300"),
            INDIRECT(_xlpm._参照先&amp;_xlpm._戻り範囲)
          )
        )
      )
    ),
    ""
  )
)</f>
        <v/>
      </c>
      <c r="AM55" s="223" t="str" cm="1">
        <f t="array" aca="1" ref="AM55" ca="1">IF($C55="","",
  IFERROR(
    _xlfn.LET(
      _xlpm._対象月初,EOMONTH(AM$1,-1)+1,
      _xlpm._今月初,EOMONTH(基準データ!$C$5,-1)+1,
      IF(
        _xlpm._対象月初&gt;_xlpm._今月初,
        IF(
          OR(AL55="",AL55=0),
          "",
          AL55*AM$107
        ),
        _xlfn.LET(
          _xlpm._参照先,
            "'[在庫状況把握_43期_2025-2026.xlsx]月次報告"
            &amp;TEXT(AM$1,"YYMM")
            &amp;"'!",
          _xlpm._戻り範囲,
            IF(
              _xlpm._対象月初=_xlpm._今月初,
              "$AG$1:$AG$300",
              "$G$1:$G$300"
            ),
          _xlfn.XLOOKUP(
            $C55,
            INDIRECT(_xlpm._参照先&amp;"$C$1:$C$300"),
            INDIRECT(_xlpm._参照先&amp;_xlpm._戻り範囲)
          )
        )
      )
    ),
    ""
  )
)</f>
        <v/>
      </c>
      <c r="AN55" s="223" t="str" cm="1">
        <f t="array" aca="1" ref="AN55" ca="1">IF($C55="","",
  IFERROR(
    _xlfn.LET(
      _xlpm._対象月初,EOMONTH(AN$1,-1)+1,
      _xlpm._今月初,EOMONTH(基準データ!$C$5,-1)+1,
      IF(
        _xlpm._対象月初&gt;_xlpm._今月初,
        IF(
          OR(AM55="",AM55=0),
          "",
          AM55*AN$107
        ),
        _xlfn.LET(
          _xlpm._参照先,
            "'[在庫状況把握_43期_2025-2026.xlsx]月次報告"
            &amp;TEXT(AN$1,"YYMM")
            &amp;"'!",
          _xlpm._戻り範囲,
            IF(
              _xlpm._対象月初=_xlpm._今月初,
              "$AG$1:$AG$300",
              "$G$1:$G$300"
            ),
          _xlfn.XLOOKUP(
            $C55,
            INDIRECT(_xlpm._参照先&amp;"$C$1:$C$300"),
            INDIRECT(_xlpm._参照先&amp;_xlpm._戻り範囲)
          )
        )
      )
    ),
    ""
  )
)</f>
        <v/>
      </c>
      <c r="AO55" s="223" t="str" cm="1">
        <f t="array" aca="1" ref="AO55" ca="1">IF($C55="","",
  IFERROR(
    _xlfn.LET(
      _xlpm._対象月初,EOMONTH(AO$1,-1)+1,
      _xlpm._今月初,EOMONTH(基準データ!$C$5,-1)+1,
      IF(
        _xlpm._対象月初&gt;_xlpm._今月初,
        IF(
          OR(AN55="",AN55=0),
          "",
          AN55*AO$107
        ),
        _xlfn.LET(
          _xlpm._参照先,
            "'[在庫状況把握_43期_2025-2026.xlsx]月次報告"
            &amp;TEXT(AO$1,"YYMM")
            &amp;"'!",
          _xlpm._戻り範囲,
            IF(
              _xlpm._対象月初=_xlpm._今月初,
              "$AG$1:$AG$300",
              "$G$1:$G$300"
            ),
          _xlfn.XLOOKUP(
            $C55,
            INDIRECT(_xlpm._参照先&amp;"$C$1:$C$300"),
            INDIRECT(_xlpm._参照先&amp;_xlpm._戻り範囲)
          )
        )
      )
    ),
    ""
  )
)</f>
        <v/>
      </c>
      <c r="AP55" s="223" t="str" cm="1">
        <f t="array" aca="1" ref="AP55" ca="1">IF($C55="","",
  IFERROR(
    _xlfn.LET(
      _xlpm._対象月初,EOMONTH(AP$1,-1)+1,
      _xlpm._今月初,EOMONTH(基準データ!$C$5,-1)+1,
      IF(
        _xlpm._対象月初&gt;_xlpm._今月初,
        IF(
          OR(AO55="",AO55=0),
          "",
          AO55*AP$107
        ),
        _xlfn.LET(
          _xlpm._参照先,
            "'[在庫状況把握_43期_2025-2026.xlsx]月次報告"
            &amp;TEXT(AP$1,"YYMM")
            &amp;"'!",
          _xlpm._戻り範囲,
            IF(
              _xlpm._対象月初=_xlpm._今月初,
              "$AG$1:$AG$300",
              "$G$1:$G$300"
            ),
          _xlfn.XLOOKUP(
            $C55,
            INDIRECT(_xlpm._参照先&amp;"$C$1:$C$300"),
            INDIRECT(_xlpm._参照先&amp;_xlpm._戻り範囲)
          )
        )
      )
    ),
    ""
  )
)</f>
        <v/>
      </c>
      <c r="AQ55" s="223" t="str" cm="1">
        <f t="array" aca="1" ref="AQ55" ca="1">IF($C55="","",
  IFERROR(
    _xlfn.LET(
      _xlpm._対象月初,EOMONTH(AQ$1,-1)+1,
      _xlpm._今月初,EOMONTH(基準データ!$C$5,-1)+1,
      IF(
        _xlpm._対象月初&gt;_xlpm._今月初,
        IF(
          OR(AP55="",AP55=0),
          "",
          AP55*AQ$107
        ),
        _xlfn.LET(
          _xlpm._参照先,
            "'[在庫状況把握_43期_2025-2026.xlsx]月次報告"
            &amp;TEXT(AQ$1,"YYMM")
            &amp;"'!",
          _xlpm._戻り範囲,
            IF(
              _xlpm._対象月初=_xlpm._今月初,
              "$AG$1:$AG$300",
              "$G$1:$G$300"
            ),
          _xlfn.XLOOKUP(
            $C55,
            INDIRECT(_xlpm._参照先&amp;"$C$1:$C$300"),
            INDIRECT(_xlpm._参照先&amp;_xlpm._戻り範囲)
          )
        )
      )
    ),
    ""
  )
)</f>
        <v/>
      </c>
      <c r="AR55" s="223" t="str" cm="1">
        <f t="array" aca="1" ref="AR55" ca="1">IF($C55="","",
  IFERROR(
    _xlfn.LET(
      _xlpm._対象月初,EOMONTH(AR$1,-1)+1,
      _xlpm._今月初,EOMONTH(基準データ!$C$5,-1)+1,
      IF(
        _xlpm._対象月初&gt;_xlpm._今月初,
        IF(
          OR(AQ55="",AQ55=0),
          "",
          AQ55*AR$107
        ),
        _xlfn.LET(
          _xlpm._参照先,
            "'[在庫状況把握_43期_2025-2026.xlsx]月次報告"
            &amp;TEXT(AR$1,"YYMM")
            &amp;"'!",
          _xlpm._戻り範囲,
            IF(
              _xlpm._対象月初=_xlpm._今月初,
              "$AG$1:$AG$300",
              "$G$1:$G$300"
            ),
          _xlfn.XLOOKUP(
            $C55,
            INDIRECT(_xlpm._参照先&amp;"$C$1:$C$300"),
            INDIRECT(_xlpm._参照先&amp;_xlpm._戻り範囲)
          )
        )
      )
    ),
    ""
  )
)</f>
        <v/>
      </c>
      <c r="AS55" s="223" t="str" cm="1">
        <f t="array" aca="1" ref="AS55" ca="1">IF($C55="","",
  IFERROR(
    _xlfn.LET(
      _xlpm._対象月初,EOMONTH(AS$1,-1)+1,
      _xlpm._今月初,EOMONTH(基準データ!$C$5,-1)+1,
      IF(
        _xlpm._対象月初&gt;_xlpm._今月初,
        IF(
          OR(AR55="",AR55=0),
          "",
          AR55*AS$107
        ),
        _xlfn.LET(
          _xlpm._参照先,
            "'[在庫状況把握_43期_2025-2026.xlsx]月次報告"
            &amp;TEXT(AS$1,"YYMM")
            &amp;"'!",
          _xlpm._戻り範囲,
            IF(
              _xlpm._対象月初=_xlpm._今月初,
              "$AG$1:$AG$300",
              "$G$1:$G$300"
            ),
          _xlfn.XLOOKUP(
            $C55,
            INDIRECT(_xlpm._参照先&amp;"$C$1:$C$300"),
            INDIRECT(_xlpm._参照先&amp;_xlpm._戻り範囲)
          )
        )
      )
    ),
    ""
  )
)</f>
        <v/>
      </c>
      <c r="AT55" s="223" t="str" cm="1">
        <f t="array" aca="1" ref="AT55" ca="1">IF($C55="","",
  IFERROR(
    _xlfn.LET(
      _xlpm._対象月初,EOMONTH(AT$1,-1)+1,
      _xlpm._今月初,EOMONTH(基準データ!$C$5,-1)+1,
      IF(
        _xlpm._対象月初&gt;_xlpm._今月初,
        IF(
          OR(AS55="",AS55=0),
          "",
          AS55*AT$107
        ),
        _xlfn.LET(
          _xlpm._参照先,
            "'[在庫状況把握_43期_2025-2026.xlsx]月次報告"
            &amp;TEXT(AT$1,"YYMM")
            &amp;"'!",
          _xlpm._戻り範囲,
            IF(
              _xlpm._対象月初=_xlpm._今月初,
              "$AG$1:$AG$300",
              "$G$1:$G$300"
            ),
          _xlfn.XLOOKUP(
            $C55,
            INDIRECT(_xlpm._参照先&amp;"$C$1:$C$300"),
            INDIRECT(_xlpm._参照先&amp;_xlpm._戻り範囲)
          )
        )
      )
    ),
    ""
  )
)</f>
        <v/>
      </c>
      <c r="AU55" s="223" t="str" cm="1">
        <f t="array" aca="1" ref="AU55" ca="1">IF($C55="","",
  IFERROR(
    _xlfn.LET(
      _xlpm._対象月初,EOMONTH(AU$1,-1)+1,
      _xlpm._今月初,EOMONTH(基準データ!$C$5,-1)+1,
      IF(
        _xlpm._対象月初&gt;_xlpm._今月初,
        IF(
          OR(AT55="",AT55=0),
          "",
          AT55*AU$107
        ),
        _xlfn.LET(
          _xlpm._参照先,
            "'[在庫状況把握_43期_2025-2026.xlsx]月次報告"
            &amp;TEXT(AU$1,"YYMM")
            &amp;"'!",
          _xlpm._戻り範囲,
            IF(
              _xlpm._対象月初=_xlpm._今月初,
              "$AG$1:$AG$300",
              "$G$1:$G$300"
            ),
          _xlfn.XLOOKUP(
            $C55,
            INDIRECT(_xlpm._参照先&amp;"$C$1:$C$300"),
            INDIRECT(_xlpm._参照先&amp;_xlpm._戻り範囲)
          )
        )
      )
    ),
    ""
  )
)</f>
        <v/>
      </c>
      <c r="AV55" s="223" t="str" cm="1">
        <f t="array" aca="1" ref="AV55" ca="1">IF($C55="","",
  IFERROR(
    _xlfn.LET(
      _xlpm._対象月初,EOMONTH(AV$1,-1)+1,
      _xlpm._今月初,EOMONTH(基準データ!$C$5,-1)+1,
      IF(
        _xlpm._対象月初&gt;_xlpm._今月初,
        IF(
          OR(AU55="",AU55=0),
          "",
          AU55*AV$107
        ),
        _xlfn.LET(
          _xlpm._参照先,
            "'[在庫状況把握_43期_2025-2026.xlsx]月次報告"
            &amp;TEXT(AV$1,"YYMM")
            &amp;"'!",
          _xlpm._戻り範囲,
            IF(
              _xlpm._対象月初=_xlpm._今月初,
              "$AG$1:$AG$300",
              "$G$1:$G$300"
            ),
          _xlfn.XLOOKUP(
            $C55,
            INDIRECT(_xlpm._参照先&amp;"$C$1:$C$300"),
            INDIRECT(_xlpm._参照先&amp;_xlpm._戻り範囲)
          )
        )
      )
    ),
    ""
  )
)</f>
        <v/>
      </c>
      <c r="AW55" s="223" t="str" cm="1">
        <f t="array" aca="1" ref="AW55" ca="1">IF($C55="","",
  IFERROR(
    _xlfn.LET(
      _xlpm._対象月初,EOMONTH(AW$1,-1)+1,
      _xlpm._今月初,EOMONTH(基準データ!$C$5,-1)+1,
      IF(
        _xlpm._対象月初&gt;_xlpm._今月初,
        IF(
          OR(AV55="",AV55=0),
          "",
          AV55*AW$107
        ),
        _xlfn.LET(
          _xlpm._参照先,
            "'[在庫状況把握_43期_2025-2026.xlsx]月次報告"
            &amp;TEXT(AW$1,"YYMM")
            &amp;"'!",
          _xlpm._戻り範囲,
            IF(
              _xlpm._対象月初=_xlpm._今月初,
              "$AG$1:$AG$300",
              "$G$1:$G$300"
            ),
          _xlfn.XLOOKUP(
            $C55,
            INDIRECT(_xlpm._参照先&amp;"$C$1:$C$300"),
            INDIRECT(_xlpm._参照先&amp;_xlpm._戻り範囲)
          )
        )
      )
    ),
    ""
  )
)</f>
        <v/>
      </c>
      <c r="AX55" s="223" t="str" cm="1">
        <f t="array" aca="1" ref="AX55" ca="1">IF($C55="","",
  IFERROR(
    _xlfn.LET(
      _xlpm._対象月初,EOMONTH(AX$1,-1)+1,
      _xlpm._今月初,EOMONTH(基準データ!$C$5,-1)+1,
      IF(
        _xlpm._対象月初&gt;_xlpm._今月初,
        IF(
          OR(AW55="",AW55=0),
          "",
          AW55*AX$107
        ),
        _xlfn.LET(
          _xlpm._参照先,
            "'[在庫状況把握_43期_2025-2026.xlsx]月次報告"
            &amp;TEXT(AX$1,"YYMM")
            &amp;"'!",
          _xlpm._戻り範囲,
            IF(
              _xlpm._対象月初=_xlpm._今月初,
              "$AG$1:$AG$300",
              "$G$1:$G$300"
            ),
          _xlfn.XLOOKUP(
            $C55,
            INDIRECT(_xlpm._参照先&amp;"$C$1:$C$300"),
            INDIRECT(_xlpm._参照先&amp;_xlpm._戻り範囲)
          )
        )
      )
    ),
    ""
  )
)</f>
        <v/>
      </c>
      <c r="AY55" s="223" t="str" cm="1">
        <f t="array" aca="1" ref="AY55" ca="1">IF($C55="","",
  IFERROR(
    _xlfn.LET(
      _xlpm._対象月初,EOMONTH(AY$1,-1)+1,
      _xlpm._今月初,EOMONTH(基準データ!$C$5,-1)+1,
      IF(
        _xlpm._対象月初&gt;_xlpm._今月初,
        IF(
          OR(AX55="",AX55=0),
          "",
          AX55*AY$107
        ),
        _xlfn.LET(
          _xlpm._参照先,
            "'[在庫状況把握_43期_2025-2026.xlsx]月次報告"
            &amp;TEXT(AY$1,"YYMM")
            &amp;"'!",
          _xlpm._戻り範囲,
            IF(
              _xlpm._対象月初=_xlpm._今月初,
              "$AG$1:$AG$300",
              "$G$1:$G$300"
            ),
          _xlfn.XLOOKUP(
            $C55,
            INDIRECT(_xlpm._参照先&amp;"$C$1:$C$300"),
            INDIRECT(_xlpm._参照先&amp;_xlpm._戻り範囲)
          )
        )
      )
    ),
    ""
  )
)</f>
        <v/>
      </c>
      <c r="AZ55" s="223" t="str" cm="1">
        <f t="array" aca="1" ref="AZ55" ca="1">IF($C55="","",
  IFERROR(
    _xlfn.LET(
      _xlpm._対象月初,EOMONTH(AZ$1,-1)+1,
      _xlpm._今月初,EOMONTH(基準データ!$C$5,-1)+1,
      IF(
        _xlpm._対象月初&gt;_xlpm._今月初,
        IF(
          OR(AY55="",AY55=0),
          "",
          AY55*AZ$107
        ),
        _xlfn.LET(
          _xlpm._参照先,
            "'[在庫状況把握_43期_2025-2026.xlsx]月次報告"
            &amp;TEXT(AZ$1,"YYMM")
            &amp;"'!",
          _xlpm._戻り範囲,
            IF(
              _xlpm._対象月初=_xlpm._今月初,
              "$AG$1:$AG$300",
              "$G$1:$G$300"
            ),
          _xlfn.XLOOKUP(
            $C55,
            INDIRECT(_xlpm._参照先&amp;"$C$1:$C$300"),
            INDIRECT(_xlpm._参照先&amp;_xlpm._戻り範囲)
          )
        )
      )
    ),
    ""
  )
)</f>
        <v/>
      </c>
      <c r="BA55" s="223" t="str" cm="1">
        <f t="array" aca="1" ref="BA55" ca="1">IF($C55="","",
  IFERROR(
    _xlfn.LET(
      _xlpm._対象月初,EOMONTH(BA$1,-1)+1,
      _xlpm._今月初,EOMONTH(基準データ!$C$5,-1)+1,
      IF(
        _xlpm._対象月初&gt;_xlpm._今月初,
        IF(
          OR(AZ55="",AZ55=0),
          "",
          AZ55*BA$107
        ),
        _xlfn.LET(
          _xlpm._参照先,
            "'[在庫状況把握_43期_2025-2026.xlsx]月次報告"
            &amp;TEXT(BA$1,"YYMM")
            &amp;"'!",
          _xlpm._戻り範囲,
            IF(
              _xlpm._対象月初=_xlpm._今月初,
              "$AG$1:$AG$300",
              "$G$1:$G$300"
            ),
          _xlfn.XLOOKUP(
            $C55,
            INDIRECT(_xlpm._参照先&amp;"$C$1:$C$300"),
            INDIRECT(_xlpm._参照先&amp;_xlpm._戻り範囲)
          )
        )
      )
    ),
    ""
  )
)</f>
        <v/>
      </c>
      <c r="BB55" s="223" t="str" cm="1">
        <f t="array" aca="1" ref="BB55" ca="1">IF($C55="","",
  IFERROR(
    _xlfn.LET(
      _xlpm._対象月初,EOMONTH(BB$1,-1)+1,
      _xlpm._今月初,EOMONTH(基準データ!$C$5,-1)+1,
      IF(
        _xlpm._対象月初&gt;_xlpm._今月初,
        IF(
          OR(BA55="",BA55=0),
          "",
          BA55*BB$107
        ),
        _xlfn.LET(
          _xlpm._参照先,
            "'[在庫状況把握_43期_2025-2026.xlsx]月次報告"
            &amp;TEXT(BB$1,"YYMM")
            &amp;"'!",
          _xlpm._戻り範囲,
            IF(
              _xlpm._対象月初=_xlpm._今月初,
              "$AG$1:$AG$300",
              "$G$1:$G$300"
            ),
          _xlfn.XLOOKUP(
            $C55,
            INDIRECT(_xlpm._参照先&amp;"$C$1:$C$300"),
            INDIRECT(_xlpm._参照先&amp;_xlpm._戻り範囲)
          )
        )
      )
    ),
    ""
  )
)</f>
        <v/>
      </c>
      <c r="BC55" s="223" t="str" cm="1">
        <f t="array" aca="1" ref="BC55" ca="1">IF($C55="","",
  IFERROR(
    _xlfn.LET(
      _xlpm._対象月初,EOMONTH(BC$1,-1)+1,
      _xlpm._今月初,EOMONTH(基準データ!$C$5,-1)+1,
      IF(
        _xlpm._対象月初&gt;_xlpm._今月初,
        IF(
          OR(BB55="",BB55=0),
          "",
          BB55*BC$107
        ),
        _xlfn.LET(
          _xlpm._参照先,
            "'[在庫状況把握_43期_2025-2026.xlsx]月次報告"
            &amp;TEXT(BC$1,"YYMM")
            &amp;"'!",
          _xlpm._戻り範囲,
            IF(
              _xlpm._対象月初=_xlpm._今月初,
              "$AG$1:$AG$300",
              "$G$1:$G$300"
            ),
          _xlfn.XLOOKUP(
            $C55,
            INDIRECT(_xlpm._参照先&amp;"$C$1:$C$300"),
            INDIRECT(_xlpm._参照先&amp;_xlpm._戻り範囲)
          )
        )
      )
    ),
    ""
  )
)</f>
        <v/>
      </c>
      <c r="BD55" s="223" t="str" cm="1">
        <f t="array" aca="1" ref="BD55" ca="1">IF($C55="","",
  IFERROR(
    _xlfn.LET(
      _xlpm._対象月初,EOMONTH(BD$1,-1)+1,
      _xlpm._今月初,EOMONTH(基準データ!$C$5,-1)+1,
      IF(
        _xlpm._対象月初&gt;_xlpm._今月初,
        IF(
          OR(BC55="",BC55=0),
          "",
          BC55*BD$107
        ),
        _xlfn.LET(
          _xlpm._参照先,
            "'[在庫状況把握_43期_2025-2026.xlsx]月次報告"
            &amp;TEXT(BD$1,"YYMM")
            &amp;"'!",
          _xlpm._戻り範囲,
            IF(
              _xlpm._対象月初=_xlpm._今月初,
              "$AG$1:$AG$300",
              "$G$1:$G$300"
            ),
          _xlfn.XLOOKUP(
            $C55,
            INDIRECT(_xlpm._参照先&amp;"$C$1:$C$300"),
            INDIRECT(_xlpm._参照先&amp;_xlpm._戻り範囲)
          )
        )
      )
    ),
    ""
  )
)</f>
        <v/>
      </c>
    </row>
    <row r="56" spans="1:56" ht="18.75" customHeight="1">
      <c r="A56" s="1070" t="s">
        <v>1403</v>
      </c>
      <c r="B56" s="300" t="str">
        <v>CLE-NL75-1334U-UMA-L6-TPM Thirdwave</v>
      </c>
      <c r="C56" s="194" t="s">
        <v>623</v>
      </c>
      <c r="D56" s="194" t="s">
        <v>1409</v>
      </c>
      <c r="E56" s="68" t="s">
        <v>1410</v>
      </c>
      <c r="F56" s="195" t="s">
        <v>1324</v>
      </c>
      <c r="G56" s="38">
        <v>436</v>
      </c>
      <c r="H56" s="109" cm="1">
        <f t="array" aca="1" ref="H56" ca="1">_xlfn.LET(_xlpm._来月から4ヶ月計画合計,
  SUM(
    OFFSET($A56,0,
      MATCH(
        EDATE(基準データ!$C$5,3),$A$1:$BF$1,1
      )-3,1,4)),
_xlpm._今月計画数,
INDEX($A$1:$BE$223,
  ROW(),
  MATCH(EOMONTH(基準データ!$C$5,-1)+1,$A$1:$BE$1,0)
),
  IFERROR(IF($B56="","",_xlpm._来月から4ヶ月計画合計+_xlpm._今月計画数/2),""
)
)</f>
        <v>193.13298135400453</v>
      </c>
      <c r="I56" s="319"/>
      <c r="J56" s="319"/>
      <c r="K56" s="319"/>
      <c r="L56" s="311"/>
      <c r="M56" s="311"/>
      <c r="N56" s="311"/>
      <c r="O56" s="311"/>
      <c r="P56" s="311"/>
      <c r="Q56" s="298"/>
      <c r="R56" s="219"/>
      <c r="S56" s="219"/>
      <c r="T56" s="222"/>
      <c r="U56" s="219">
        <v>13</v>
      </c>
      <c r="V56" s="333">
        <v>11</v>
      </c>
      <c r="W56" s="333">
        <v>18</v>
      </c>
      <c r="X56" s="333">
        <v>16</v>
      </c>
      <c r="Y56" s="333">
        <v>20</v>
      </c>
      <c r="Z56" s="219">
        <v>11</v>
      </c>
      <c r="AA56" s="219">
        <v>10</v>
      </c>
      <c r="AB56" s="219">
        <v>21</v>
      </c>
      <c r="AC56" s="224">
        <v>39</v>
      </c>
      <c r="AD56" s="224">
        <v>0</v>
      </c>
      <c r="AE56" s="223">
        <v>0</v>
      </c>
      <c r="AF56" s="223">
        <v>0</v>
      </c>
      <c r="AG56" s="223">
        <v>0</v>
      </c>
      <c r="AH56" s="223">
        <v>9</v>
      </c>
      <c r="AI56" s="223">
        <v>22</v>
      </c>
      <c r="AJ56" s="223">
        <v>34</v>
      </c>
      <c r="AK56" s="223">
        <v>44</v>
      </c>
      <c r="AL56" s="223" cm="1">
        <f t="array" aca="1" ref="AL56" ca="1">IF($C56="","",
  IFERROR(
    _xlfn.LET(
      _xlpm._対象月初,EOMONTH(AL$1,-1)+1,
      _xlpm._今月初,EOMONTH(基準データ!$C$5,-1)+1,
      IF(
        _xlpm._対象月初&gt;_xlpm._今月初,
        IF(
          OR(AK56="",AK56=0),
          "",
          AK56*AL$107
        ),
        _xlfn.LET(
          _xlpm._参照先,
            "'[在庫状況把握_43期_2025-2026.xlsx]月次報告"
            &amp;TEXT(AL$1,"YYMM")
            &amp;"'!",
          _xlpm._戻り範囲,
            IF(
              _xlpm._対象月初=_xlpm._今月初,
              "$AG$1:$AG$300",
              "$G$1:$G$300"
            ),
          _xlfn.XLOOKUP(
            $C56,
            INDIRECT(_xlpm._参照先&amp;"$C$1:$C$300"),
            INDIRECT(_xlpm._参照先&amp;_xlpm._戻り範囲)
          )
        )
      )
    ),
    ""
  )
)</f>
        <v>38</v>
      </c>
      <c r="AM56" s="223" cm="1">
        <f t="array" aca="1" ref="AM56" ca="1">IF($C56="","",
  IFERROR(
    _xlfn.LET(
      _xlpm._対象月初,EOMONTH(AM$1,-1)+1,
      _xlpm._今月初,EOMONTH(基準データ!$C$5,-1)+1,
      IF(
        _xlpm._対象月初&gt;_xlpm._今月初,
        IF(
          OR(AL56="",AL56=0),
          "",
          AL56*AM$107
        ),
        _xlfn.LET(
          _xlpm._参照先,
            "'[在庫状況把握_43期_2025-2026.xlsx]月次報告"
            &amp;TEXT(AM$1,"YYMM")
            &amp;"'!",
          _xlpm._戻り範囲,
            IF(
              _xlpm._対象月初=_xlpm._今月初,
              "$AG$1:$AG$300",
              "$G$1:$G$300"
            ),
          _xlfn.XLOOKUP(
            $C56,
            INDIRECT(_xlpm._参照先&amp;"$C$1:$C$300"),
            INDIRECT(_xlpm._参照先&amp;_xlpm._戻り範囲)
          )
        )
      )
    ),
    ""
  )
)</f>
        <v>42.071428571428577</v>
      </c>
      <c r="AN56" s="223" cm="1">
        <f t="array" aca="1" ref="AN56" ca="1">IF($C56="","",
  IFERROR(
    _xlfn.LET(
      _xlpm._対象月初,EOMONTH(AN$1,-1)+1,
      _xlpm._今月初,EOMONTH(基準データ!$C$5,-1)+1,
      IF(
        _xlpm._対象月初&gt;_xlpm._今月初,
        IF(
          OR(AM56="",AM56=0),
          "",
          AM56*AN$107
        ),
        _xlfn.LET(
          _xlpm._参照先,
            "'[在庫状況把握_43期_2025-2026.xlsx]月次報告"
            &amp;TEXT(AN$1,"YYMM")
            &amp;"'!",
          _xlpm._戻り範囲,
            IF(
              _xlpm._対象月初=_xlpm._今月初,
              "$AG$1:$AG$300",
              "$G$1:$G$300"
            ),
          _xlfn.XLOOKUP(
            $C56,
            INDIRECT(_xlpm._参照先&amp;"$C$1:$C$300"),
            INDIRECT(_xlpm._参照先&amp;_xlpm._戻り範囲)
          )
        )
      )
    ),
    ""
  )
)</f>
        <v>38.695579617212509</v>
      </c>
      <c r="AO56" s="223" cm="1">
        <f t="array" aca="1" ref="AO56" ca="1">IF($C56="","",
  IFERROR(
    _xlfn.LET(
      _xlpm._対象月初,EOMONTH(AO$1,-1)+1,
      _xlpm._今月初,EOMONTH(基準データ!$C$5,-1)+1,
      IF(
        _xlpm._対象月初&gt;_xlpm._今月初,
        IF(
          OR(AN56="",AN56=0),
          "",
          AN56*AO$107
        ),
        _xlfn.LET(
          _xlpm._参照先,
            "'[在庫状況把握_43期_2025-2026.xlsx]月次報告"
            &amp;TEXT(AO$1,"YYMM")
            &amp;"'!",
          _xlpm._戻り範囲,
            IF(
              _xlpm._対象月初=_xlpm._今月初,
              "$AG$1:$AG$300",
              "$G$1:$G$300"
            ),
          _xlfn.XLOOKUP(
            $C56,
            INDIRECT(_xlpm._参照先&amp;"$C$1:$C$300"),
            INDIRECT(_xlpm._参照先&amp;_xlpm._戻り範囲)
          )
        )
      )
    ),
    ""
  )
)</f>
        <v>41.800078715419133</v>
      </c>
      <c r="AP56" s="223" cm="1">
        <f t="array" aca="1" ref="AP56" ca="1">IF($C56="","",
  IFERROR(
    _xlfn.LET(
      _xlpm._対象月初,EOMONTH(AP$1,-1)+1,
      _xlpm._今月初,EOMONTH(基準データ!$C$5,-1)+1,
      IF(
        _xlpm._対象月初&gt;_xlpm._今月初,
        IF(
          OR(AO56="",AO56=0),
          "",
          AO56*AP$107
        ),
        _xlfn.LET(
          _xlpm._参照先,
            "'[在庫状況把握_43期_2025-2026.xlsx]月次報告"
            &amp;TEXT(AP$1,"YYMM")
            &amp;"'!",
          _xlpm._戻り範囲,
            IF(
              _xlpm._対象月初=_xlpm._今月初,
              "$AG$1:$AG$300",
              "$G$1:$G$300"
            ),
          _xlfn.XLOOKUP(
            $C56,
            INDIRECT(_xlpm._参照先&amp;"$C$1:$C$300"),
            INDIRECT(_xlpm._参照先&amp;_xlpm._戻り範囲)
          )
        )
      )
    ),
    ""
  )
)</f>
        <v>45.014185895909812</v>
      </c>
      <c r="AQ56" s="223" cm="1">
        <f t="array" aca="1" ref="AQ56" ca="1">IF($C56="","",
  IFERROR(
    _xlfn.LET(
      _xlpm._対象月初,EOMONTH(AQ$1,-1)+1,
      _xlpm._今月初,EOMONTH(基準データ!$C$5,-1)+1,
      IF(
        _xlpm._対象月初&gt;_xlpm._今月初,
        IF(
          OR(AP56="",AP56=0),
          "",
          AP56*AQ$107
        ),
        _xlfn.LET(
          _xlpm._参照先,
            "'[在庫状況把握_43期_2025-2026.xlsx]月次報告"
            &amp;TEXT(AQ$1,"YYMM")
            &amp;"'!",
          _xlpm._戻り範囲,
            IF(
              _xlpm._対象月初=_xlpm._今月初,
              "$AG$1:$AG$300",
              "$G$1:$G$300"
            ),
          _xlfn.XLOOKUP(
            $C56,
            INDIRECT(_xlpm._参照先&amp;"$C$1:$C$300"),
            INDIRECT(_xlpm._参照先&amp;_xlpm._戻り範囲)
          )
        )
      )
    ),
    ""
  )
)</f>
        <v>46.587422839748797</v>
      </c>
      <c r="AR56" s="223" cm="1">
        <f t="array" aca="1" ref="AR56" ca="1">IF($C56="","",
  IFERROR(
    _xlfn.LET(
      _xlpm._対象月初,EOMONTH(AR$1,-1)+1,
      _xlpm._今月初,EOMONTH(基準データ!$C$5,-1)+1,
      IF(
        _xlpm._対象月初&gt;_xlpm._今月初,
        IF(
          OR(AQ56="",AQ56=0),
          "",
          AQ56*AR$107
        ),
        _xlfn.LET(
          _xlpm._参照先,
            "'[在庫状況把握_43期_2025-2026.xlsx]月次報告"
            &amp;TEXT(AR$1,"YYMM")
            &amp;"'!",
          _xlpm._戻り範囲,
            IF(
              _xlpm._対象月初=_xlpm._今月初,
              "$AG$1:$AG$300",
              "$G$1:$G$300"
            ),
          _xlfn.XLOOKUP(
            $C56,
            INDIRECT(_xlpm._参照先&amp;"$C$1:$C$300"),
            INDIRECT(_xlpm._参照先&amp;_xlpm._戻り範囲)
          )
        )
      )
    ),
    ""
  )
)</f>
        <v>68.666515042402011</v>
      </c>
      <c r="AS56" s="223" cm="1">
        <f t="array" aca="1" ref="AS56" ca="1">IF($C56="","",
  IFERROR(
    _xlfn.LET(
      _xlpm._対象月初,EOMONTH(AS$1,-1)+1,
      _xlpm._今月初,EOMONTH(基準データ!$C$5,-1)+1,
      IF(
        _xlpm._対象月初&gt;_xlpm._今月初,
        IF(
          OR(AR56="",AR56=0),
          "",
          AR56*AS$107
        ),
        _xlfn.LET(
          _xlpm._参照先,
            "'[在庫状況把握_43期_2025-2026.xlsx]月次報告"
            &amp;TEXT(AS$1,"YYMM")
            &amp;"'!",
          _xlpm._戻り範囲,
            IF(
              _xlpm._対象月初=_xlpm._今月初,
              "$AG$1:$AG$300",
              "$G$1:$G$300"
            ),
          _xlfn.XLOOKUP(
            $C56,
            INDIRECT(_xlpm._参照先&amp;"$C$1:$C$300"),
            INDIRECT(_xlpm._参照先&amp;_xlpm._戻り範囲)
          )
        )
      )
    ),
    ""
  )
)</f>
        <v>59.257040034107838</v>
      </c>
      <c r="AT56" s="223" cm="1">
        <f t="array" aca="1" ref="AT56" ca="1">IF($C56="","",
  IFERROR(
    _xlfn.LET(
      _xlpm._対象月初,EOMONTH(AT$1,-1)+1,
      _xlpm._今月初,EOMONTH(基準データ!$C$5,-1)+1,
      IF(
        _xlpm._対象月初&gt;_xlpm._今月初,
        IF(
          OR(AS56="",AS56=0),
          "",
          AS56*AT$107
        ),
        _xlfn.LET(
          _xlpm._参照先,
            "'[在庫状況把握_43期_2025-2026.xlsx]月次報告"
            &amp;TEXT(AT$1,"YYMM")
            &amp;"'!",
          _xlpm._戻り範囲,
            IF(
              _xlpm._対象月初=_xlpm._今月初,
              "$AG$1:$AG$300",
              "$G$1:$G$300"
            ),
          _xlfn.XLOOKUP(
            $C56,
            INDIRECT(_xlpm._参照先&amp;"$C$1:$C$300"),
            INDIRECT(_xlpm._参照先&amp;_xlpm._戻り範囲)
          )
        )
      )
    ),
    ""
  )
)</f>
        <v>55.868282102542899</v>
      </c>
      <c r="AU56" s="223" cm="1">
        <f t="array" aca="1" ref="AU56" ca="1">IF($C56="","",
  IFERROR(
    _xlfn.LET(
      _xlpm._対象月初,EOMONTH(AU$1,-1)+1,
      _xlpm._今月初,EOMONTH(基準データ!$C$5,-1)+1,
      IF(
        _xlpm._対象月初&gt;_xlpm._今月初,
        IF(
          OR(AT56="",AT56=0),
          "",
          AT56*AU$107
        ),
        _xlfn.LET(
          _xlpm._参照先,
            "'[在庫状況把握_43期_2025-2026.xlsx]月次報告"
            &amp;TEXT(AU$1,"YYMM")
            &amp;"'!",
          _xlpm._戻り範囲,
            IF(
              _xlpm._対象月初=_xlpm._今月初,
              "$AG$1:$AG$300",
              "$G$1:$G$300"
            ),
          _xlfn.XLOOKUP(
            $C56,
            INDIRECT(_xlpm._参照先&amp;"$C$1:$C$300"),
            INDIRECT(_xlpm._参照先&amp;_xlpm._戻り範囲)
          )
        )
      )
    ),
    ""
  )
)</f>
        <v>82.563505520709256</v>
      </c>
      <c r="AV56" s="223" cm="1">
        <f t="array" aca="1" ref="AV56" ca="1">IF($C56="","",
  IFERROR(
    _xlfn.LET(
      _xlpm._対象月初,EOMONTH(AV$1,-1)+1,
      _xlpm._今月初,EOMONTH(基準データ!$C$5,-1)+1,
      IF(
        _xlpm._対象月初&gt;_xlpm._今月初,
        IF(
          OR(AU56="",AU56=0),
          "",
          AU56*AV$107
        ),
        _xlfn.LET(
          _xlpm._参照先,
            "'[在庫状況把握_43期_2025-2026.xlsx]月次報告"
            &amp;TEXT(AV$1,"YYMM")
            &amp;"'!",
          _xlpm._戻り範囲,
            IF(
              _xlpm._対象月初=_xlpm._今月初,
              "$AG$1:$AG$300",
              "$G$1:$G$300"
            ),
          _xlfn.XLOOKUP(
            $C56,
            INDIRECT(_xlpm._参照先&amp;"$C$1:$C$300"),
            INDIRECT(_xlpm._参照先&amp;_xlpm._戻り範囲)
          )
        )
      )
    ),
    ""
  )
)</f>
        <v>50.69664176626636</v>
      </c>
      <c r="AW56" s="223" cm="1">
        <f t="array" aca="1" ref="AW56" ca="1">IF($C56="","",
  IFERROR(
    _xlfn.LET(
      _xlpm._対象月初,EOMONTH(AW$1,-1)+1,
      _xlpm._今月初,EOMONTH(基準データ!$C$5,-1)+1,
      IF(
        _xlpm._対象月初&gt;_xlpm._今月初,
        IF(
          OR(AV56="",AV56=0),
          "",
          AV56*AW$107
        ),
        _xlfn.LET(
          _xlpm._参照先,
            "'[在庫状況把握_43期_2025-2026.xlsx]月次報告"
            &amp;TEXT(AW$1,"YYMM")
            &amp;"'!",
          _xlpm._戻り範囲,
            IF(
              _xlpm._対象月初=_xlpm._今月初,
              "$AG$1:$AG$300",
              "$G$1:$G$300"
            ),
          _xlfn.XLOOKUP(
            $C56,
            INDIRECT(_xlpm._参照先&amp;"$C$1:$C$300"),
            INDIRECT(_xlpm._参照先&amp;_xlpm._戻り範囲)
          )
        )
      )
    ),
    ""
  )
)</f>
        <v>36.76674089436672</v>
      </c>
      <c r="AX56" s="223" cm="1">
        <f t="array" aca="1" ref="AX56" ca="1">IF($C56="","",
  IFERROR(
    _xlfn.LET(
      _xlpm._対象月初,EOMONTH(AX$1,-1)+1,
      _xlpm._今月初,EOMONTH(基準データ!$C$5,-1)+1,
      IF(
        _xlpm._対象月初&gt;_xlpm._今月初,
        IF(
          OR(AW56="",AW56=0),
          "",
          AW56*AX$107
        ),
        _xlfn.LET(
          _xlpm._参照先,
            "'[在庫状況把握_43期_2025-2026.xlsx]月次報告"
            &amp;TEXT(AX$1,"YYMM")
            &amp;"'!",
          _xlpm._戻り範囲,
            IF(
              _xlpm._対象月初=_xlpm._今月初,
              "$AG$1:$AG$300",
              "$G$1:$G$300"
            ),
          _xlfn.XLOOKUP(
            $C56,
            INDIRECT(_xlpm._参照先&amp;"$C$1:$C$300"),
            INDIRECT(_xlpm._参照先&amp;_xlpm._戻り範囲)
          )
        )
      )
    ),
    ""
  )
)</f>
        <v>38.337040454095522</v>
      </c>
      <c r="AY56" s="223" cm="1">
        <f t="array" aca="1" ref="AY56" ca="1">IF($C56="","",
  IFERROR(
    _xlfn.LET(
      _xlpm._対象月初,EOMONTH(AY$1,-1)+1,
      _xlpm._今月初,EOMONTH(基準データ!$C$5,-1)+1,
      IF(
        _xlpm._対象月初&gt;_xlpm._今月初,
        IF(
          OR(AX56="",AX56=0),
          "",
          AX56*AY$107
        ),
        _xlfn.LET(
          _xlpm._参照先,
            "'[在庫状況把握_43期_2025-2026.xlsx]月次報告"
            &amp;TEXT(AY$1,"YYMM")
            &amp;"'!",
          _xlpm._戻り範囲,
            IF(
              _xlpm._対象月初=_xlpm._今月初,
              "$AG$1:$AG$300",
              "$G$1:$G$300"
            ),
          _xlfn.XLOOKUP(
            $C56,
            INDIRECT(_xlpm._参照先&amp;"$C$1:$C$300"),
            INDIRECT(_xlpm._参照先&amp;_xlpm._戻り範囲)
          )
        )
      )
    ),
    ""
  )
)</f>
        <v>42.071428571428584</v>
      </c>
      <c r="AZ56" s="223" cm="1">
        <f t="array" aca="1" ref="AZ56" ca="1">IF($C56="","",
  IFERROR(
    _xlfn.LET(
      _xlpm._対象月初,EOMONTH(AZ$1,-1)+1,
      _xlpm._今月初,EOMONTH(基準データ!$C$5,-1)+1,
      IF(
        _xlpm._対象月初&gt;_xlpm._今月初,
        IF(
          OR(AY56="",AY56=0),
          "",
          AY56*AZ$107
        ),
        _xlfn.LET(
          _xlpm._参照先,
            "'[在庫状況把握_43期_2025-2026.xlsx]月次報告"
            &amp;TEXT(AZ$1,"YYMM")
            &amp;"'!",
          _xlpm._戻り範囲,
            IF(
              _xlpm._対象月初=_xlpm._今月初,
              "$AG$1:$AG$300",
              "$G$1:$G$300"
            ),
          _xlfn.XLOOKUP(
            $C56,
            INDIRECT(_xlpm._参照先&amp;"$C$1:$C$300"),
            INDIRECT(_xlpm._参照先&amp;_xlpm._戻り範囲)
          )
        )
      )
    ),
    ""
  )
)</f>
        <v>38.695579617212516</v>
      </c>
      <c r="BA56" s="223" cm="1">
        <f t="array" aca="1" ref="BA56" ca="1">IF($C56="","",
  IFERROR(
    _xlfn.LET(
      _xlpm._対象月初,EOMONTH(BA$1,-1)+1,
      _xlpm._今月初,EOMONTH(基準データ!$C$5,-1)+1,
      IF(
        _xlpm._対象月初&gt;_xlpm._今月初,
        IF(
          OR(AZ56="",AZ56=0),
          "",
          AZ56*BA$107
        ),
        _xlfn.LET(
          _xlpm._参照先,
            "'[在庫状況把握_43期_2025-2026.xlsx]月次報告"
            &amp;TEXT(BA$1,"YYMM")
            &amp;"'!",
          _xlpm._戻り範囲,
            IF(
              _xlpm._対象月初=_xlpm._今月初,
              "$AG$1:$AG$300",
              "$G$1:$G$300"
            ),
          _xlfn.XLOOKUP(
            $C56,
            INDIRECT(_xlpm._参照先&amp;"$C$1:$C$300"),
            INDIRECT(_xlpm._参照先&amp;_xlpm._戻り範囲)
          )
        )
      )
    ),
    ""
  )
)</f>
        <v>41.80007871541914</v>
      </c>
      <c r="BB56" s="223" cm="1">
        <f t="array" aca="1" ref="BB56" ca="1">IF($C56="","",
  IFERROR(
    _xlfn.LET(
      _xlpm._対象月初,EOMONTH(BB$1,-1)+1,
      _xlpm._今月初,EOMONTH(基準データ!$C$5,-1)+1,
      IF(
        _xlpm._対象月初&gt;_xlpm._今月初,
        IF(
          OR(BA56="",BA56=0),
          "",
          BA56*BB$107
        ),
        _xlfn.LET(
          _xlpm._参照先,
            "'[在庫状況把握_43期_2025-2026.xlsx]月次報告"
            &amp;TEXT(BB$1,"YYMM")
            &amp;"'!",
          _xlpm._戻り範囲,
            IF(
              _xlpm._対象月初=_xlpm._今月初,
              "$AG$1:$AG$300",
              "$G$1:$G$300"
            ),
          _xlfn.XLOOKUP(
            $C56,
            INDIRECT(_xlpm._参照先&amp;"$C$1:$C$300"),
            INDIRECT(_xlpm._参照先&amp;_xlpm._戻り範囲)
          )
        )
      )
    ),
    ""
  )
)</f>
        <v>45.014185895909819</v>
      </c>
      <c r="BC56" s="223" cm="1">
        <f t="array" aca="1" ref="BC56" ca="1">IF($C56="","",
  IFERROR(
    _xlfn.LET(
      _xlpm._対象月初,EOMONTH(BC$1,-1)+1,
      _xlpm._今月初,EOMONTH(基準データ!$C$5,-1)+1,
      IF(
        _xlpm._対象月初&gt;_xlpm._今月初,
        IF(
          OR(BB56="",BB56=0),
          "",
          BB56*BC$107
        ),
        _xlfn.LET(
          _xlpm._参照先,
            "'[在庫状況把握_43期_2025-2026.xlsx]月次報告"
            &amp;TEXT(BC$1,"YYMM")
            &amp;"'!",
          _xlpm._戻り範囲,
            IF(
              _xlpm._対象月初=_xlpm._今月初,
              "$AG$1:$AG$300",
              "$G$1:$G$300"
            ),
          _xlfn.XLOOKUP(
            $C56,
            INDIRECT(_xlpm._参照先&amp;"$C$1:$C$300"),
            INDIRECT(_xlpm._参照先&amp;_xlpm._戻り範囲)
          )
        )
      )
    ),
    ""
  )
)</f>
        <v>46.587422839748804</v>
      </c>
      <c r="BD56" s="223" cm="1">
        <f t="array" aca="1" ref="BD56" ca="1">IF($C56="","",
  IFERROR(
    _xlfn.LET(
      _xlpm._対象月初,EOMONTH(BD$1,-1)+1,
      _xlpm._今月初,EOMONTH(基準データ!$C$5,-1)+1,
      IF(
        _xlpm._対象月初&gt;_xlpm._今月初,
        IF(
          OR(BC56="",BC56=0),
          "",
          BC56*BD$107
        ),
        _xlfn.LET(
          _xlpm._参照先,
            "'[在庫状況把握_43期_2025-2026.xlsx]月次報告"
            &amp;TEXT(BD$1,"YYMM")
            &amp;"'!",
          _xlpm._戻り範囲,
            IF(
              _xlpm._対象月初=_xlpm._今月初,
              "$AG$1:$AG$300",
              "$G$1:$G$300"
            ),
          _xlfn.XLOOKUP(
            $C56,
            INDIRECT(_xlpm._参照先&amp;"$C$1:$C$300"),
            INDIRECT(_xlpm._参照先&amp;_xlpm._戻り範囲)
          )
        )
      )
    ),
    ""
  )
)</f>
        <v>68.666515042402011</v>
      </c>
    </row>
    <row r="57" spans="1:56" ht="18.75" customHeight="1">
      <c r="A57" s="1070"/>
      <c r="B57" s="300" t="str">
        <v/>
      </c>
      <c r="C57" s="194"/>
      <c r="D57" s="194" t="s">
        <v>1412</v>
      </c>
      <c r="E57" s="68" t="s">
        <v>1410</v>
      </c>
      <c r="F57" s="195" t="s">
        <v>1324</v>
      </c>
      <c r="G57" s="38" t="str">
        <v/>
      </c>
      <c r="H57" s="109" t="str" cm="1">
        <f t="array" aca="1" ref="H57" ca="1">_xlfn.LET(_xlpm._来月から4ヶ月計画合計,
  SUM(
    OFFSET($A57,0,
      MATCH(
        EDATE(基準データ!$C$5,3),$A$1:$BF$1,1
      )-3,1,4)),
_xlpm._今月計画数,
INDEX($A$1:$BE$223,
  ROW(),
  MATCH(EOMONTH(基準データ!$C$5,-1)+1,$A$1:$BE$1,0)
),
  IFERROR(IF($B57="","",_xlpm._来月から4ヶ月計画合計+_xlpm._今月計画数/2),""
)
)</f>
        <v/>
      </c>
      <c r="I57" s="319"/>
      <c r="J57" s="319"/>
      <c r="K57" s="319"/>
      <c r="L57" s="311"/>
      <c r="M57" s="311"/>
      <c r="N57" s="311"/>
      <c r="O57" s="311"/>
      <c r="P57" s="311"/>
      <c r="Q57" s="298"/>
      <c r="R57" s="298"/>
      <c r="S57" s="298"/>
      <c r="T57" s="219"/>
      <c r="U57" s="219">
        <v>5</v>
      </c>
      <c r="V57" s="333">
        <v>2</v>
      </c>
      <c r="W57" s="333">
        <v>8</v>
      </c>
      <c r="X57" s="333">
        <v>8</v>
      </c>
      <c r="Y57" s="333">
        <v>18</v>
      </c>
      <c r="Z57" s="219">
        <v>20</v>
      </c>
      <c r="AA57" s="219">
        <v>17</v>
      </c>
      <c r="AB57" s="219">
        <v>23</v>
      </c>
      <c r="AC57" s="224">
        <v>23</v>
      </c>
      <c r="AD57" s="224" t="s">
        <v>21</v>
      </c>
      <c r="AE57" s="223" t="s">
        <v>21</v>
      </c>
      <c r="AF57" s="223" t="s">
        <v>21</v>
      </c>
      <c r="AG57" s="223" t="s">
        <v>21</v>
      </c>
      <c r="AH57" s="223" t="s">
        <v>21</v>
      </c>
      <c r="AI57" s="223" t="s">
        <v>21</v>
      </c>
      <c r="AJ57" s="223" t="s">
        <v>21</v>
      </c>
      <c r="AK57" s="223" t="s">
        <v>21</v>
      </c>
      <c r="AL57" s="223" t="str" cm="1">
        <f t="array" aca="1" ref="AL57" ca="1">IF($C57="","",
  IFERROR(
    _xlfn.LET(
      _xlpm._対象月初,EOMONTH(AL$1,-1)+1,
      _xlpm._今月初,EOMONTH(基準データ!$C$5,-1)+1,
      IF(
        _xlpm._対象月初&gt;_xlpm._今月初,
        IF(
          OR(AK57="",AK57=0),
          "",
          AK57*AL$107
        ),
        _xlfn.LET(
          _xlpm._参照先,
            "'[在庫状況把握_43期_2025-2026.xlsx]月次報告"
            &amp;TEXT(AL$1,"YYMM")
            &amp;"'!",
          _xlpm._戻り範囲,
            IF(
              _xlpm._対象月初=_xlpm._今月初,
              "$AG$1:$AG$300",
              "$G$1:$G$300"
            ),
          _xlfn.XLOOKUP(
            $C57,
            INDIRECT(_xlpm._参照先&amp;"$C$1:$C$300"),
            INDIRECT(_xlpm._参照先&amp;_xlpm._戻り範囲)
          )
        )
      )
    ),
    ""
  )
)</f>
        <v/>
      </c>
      <c r="AM57" s="223" t="str" cm="1">
        <f t="array" aca="1" ref="AM57" ca="1">IF($C57="","",
  IFERROR(
    _xlfn.LET(
      _xlpm._対象月初,EOMONTH(AM$1,-1)+1,
      _xlpm._今月初,EOMONTH(基準データ!$C$5,-1)+1,
      IF(
        _xlpm._対象月初&gt;_xlpm._今月初,
        IF(
          OR(AL57="",AL57=0),
          "",
          AL57*AM$107
        ),
        _xlfn.LET(
          _xlpm._参照先,
            "'[在庫状況把握_43期_2025-2026.xlsx]月次報告"
            &amp;TEXT(AM$1,"YYMM")
            &amp;"'!",
          _xlpm._戻り範囲,
            IF(
              _xlpm._対象月初=_xlpm._今月初,
              "$AG$1:$AG$300",
              "$G$1:$G$300"
            ),
          _xlfn.XLOOKUP(
            $C57,
            INDIRECT(_xlpm._参照先&amp;"$C$1:$C$300"),
            INDIRECT(_xlpm._参照先&amp;_xlpm._戻り範囲)
          )
        )
      )
    ),
    ""
  )
)</f>
        <v/>
      </c>
      <c r="AN57" s="223" t="str" cm="1">
        <f t="array" aca="1" ref="AN57" ca="1">IF($C57="","",
  IFERROR(
    _xlfn.LET(
      _xlpm._対象月初,EOMONTH(AN$1,-1)+1,
      _xlpm._今月初,EOMONTH(基準データ!$C$5,-1)+1,
      IF(
        _xlpm._対象月初&gt;_xlpm._今月初,
        IF(
          OR(AM57="",AM57=0),
          "",
          AM57*AN$107
        ),
        _xlfn.LET(
          _xlpm._参照先,
            "'[在庫状況把握_43期_2025-2026.xlsx]月次報告"
            &amp;TEXT(AN$1,"YYMM")
            &amp;"'!",
          _xlpm._戻り範囲,
            IF(
              _xlpm._対象月初=_xlpm._今月初,
              "$AG$1:$AG$300",
              "$G$1:$G$300"
            ),
          _xlfn.XLOOKUP(
            $C57,
            INDIRECT(_xlpm._参照先&amp;"$C$1:$C$300"),
            INDIRECT(_xlpm._参照先&amp;_xlpm._戻り範囲)
          )
        )
      )
    ),
    ""
  )
)</f>
        <v/>
      </c>
      <c r="AO57" s="223" t="str" cm="1">
        <f t="array" aca="1" ref="AO57" ca="1">IF($C57="","",
  IFERROR(
    _xlfn.LET(
      _xlpm._対象月初,EOMONTH(AO$1,-1)+1,
      _xlpm._今月初,EOMONTH(基準データ!$C$5,-1)+1,
      IF(
        _xlpm._対象月初&gt;_xlpm._今月初,
        IF(
          OR(AN57="",AN57=0),
          "",
          AN57*AO$107
        ),
        _xlfn.LET(
          _xlpm._参照先,
            "'[在庫状況把握_43期_2025-2026.xlsx]月次報告"
            &amp;TEXT(AO$1,"YYMM")
            &amp;"'!",
          _xlpm._戻り範囲,
            IF(
              _xlpm._対象月初=_xlpm._今月初,
              "$AG$1:$AG$300",
              "$G$1:$G$300"
            ),
          _xlfn.XLOOKUP(
            $C57,
            INDIRECT(_xlpm._参照先&amp;"$C$1:$C$300"),
            INDIRECT(_xlpm._参照先&amp;_xlpm._戻り範囲)
          )
        )
      )
    ),
    ""
  )
)</f>
        <v/>
      </c>
      <c r="AP57" s="223" t="str" cm="1">
        <f t="array" aca="1" ref="AP57" ca="1">IF($C57="","",
  IFERROR(
    _xlfn.LET(
      _xlpm._対象月初,EOMONTH(AP$1,-1)+1,
      _xlpm._今月初,EOMONTH(基準データ!$C$5,-1)+1,
      IF(
        _xlpm._対象月初&gt;_xlpm._今月初,
        IF(
          OR(AO57="",AO57=0),
          "",
          AO57*AP$107
        ),
        _xlfn.LET(
          _xlpm._参照先,
            "'[在庫状況把握_43期_2025-2026.xlsx]月次報告"
            &amp;TEXT(AP$1,"YYMM")
            &amp;"'!",
          _xlpm._戻り範囲,
            IF(
              _xlpm._対象月初=_xlpm._今月初,
              "$AG$1:$AG$300",
              "$G$1:$G$300"
            ),
          _xlfn.XLOOKUP(
            $C57,
            INDIRECT(_xlpm._参照先&amp;"$C$1:$C$300"),
            INDIRECT(_xlpm._参照先&amp;_xlpm._戻り範囲)
          )
        )
      )
    ),
    ""
  )
)</f>
        <v/>
      </c>
      <c r="AQ57" s="223" t="str" cm="1">
        <f t="array" aca="1" ref="AQ57" ca="1">IF($C57="","",
  IFERROR(
    _xlfn.LET(
      _xlpm._対象月初,EOMONTH(AQ$1,-1)+1,
      _xlpm._今月初,EOMONTH(基準データ!$C$5,-1)+1,
      IF(
        _xlpm._対象月初&gt;_xlpm._今月初,
        IF(
          OR(AP57="",AP57=0),
          "",
          AP57*AQ$107
        ),
        _xlfn.LET(
          _xlpm._参照先,
            "'[在庫状況把握_43期_2025-2026.xlsx]月次報告"
            &amp;TEXT(AQ$1,"YYMM")
            &amp;"'!",
          _xlpm._戻り範囲,
            IF(
              _xlpm._対象月初=_xlpm._今月初,
              "$AG$1:$AG$300",
              "$G$1:$G$300"
            ),
          _xlfn.XLOOKUP(
            $C57,
            INDIRECT(_xlpm._参照先&amp;"$C$1:$C$300"),
            INDIRECT(_xlpm._参照先&amp;_xlpm._戻り範囲)
          )
        )
      )
    ),
    ""
  )
)</f>
        <v/>
      </c>
      <c r="AR57" s="223" t="str" cm="1">
        <f t="array" aca="1" ref="AR57" ca="1">IF($C57="","",
  IFERROR(
    _xlfn.LET(
      _xlpm._対象月初,EOMONTH(AR$1,-1)+1,
      _xlpm._今月初,EOMONTH(基準データ!$C$5,-1)+1,
      IF(
        _xlpm._対象月初&gt;_xlpm._今月初,
        IF(
          OR(AQ57="",AQ57=0),
          "",
          AQ57*AR$107
        ),
        _xlfn.LET(
          _xlpm._参照先,
            "'[在庫状況把握_43期_2025-2026.xlsx]月次報告"
            &amp;TEXT(AR$1,"YYMM")
            &amp;"'!",
          _xlpm._戻り範囲,
            IF(
              _xlpm._対象月初=_xlpm._今月初,
              "$AG$1:$AG$300",
              "$G$1:$G$300"
            ),
          _xlfn.XLOOKUP(
            $C57,
            INDIRECT(_xlpm._参照先&amp;"$C$1:$C$300"),
            INDIRECT(_xlpm._参照先&amp;_xlpm._戻り範囲)
          )
        )
      )
    ),
    ""
  )
)</f>
        <v/>
      </c>
      <c r="AS57" s="223" t="str" cm="1">
        <f t="array" aca="1" ref="AS57" ca="1">IF($C57="","",
  IFERROR(
    _xlfn.LET(
      _xlpm._対象月初,EOMONTH(AS$1,-1)+1,
      _xlpm._今月初,EOMONTH(基準データ!$C$5,-1)+1,
      IF(
        _xlpm._対象月初&gt;_xlpm._今月初,
        IF(
          OR(AR57="",AR57=0),
          "",
          AR57*AS$107
        ),
        _xlfn.LET(
          _xlpm._参照先,
            "'[在庫状況把握_43期_2025-2026.xlsx]月次報告"
            &amp;TEXT(AS$1,"YYMM")
            &amp;"'!",
          _xlpm._戻り範囲,
            IF(
              _xlpm._対象月初=_xlpm._今月初,
              "$AG$1:$AG$300",
              "$G$1:$G$300"
            ),
          _xlfn.XLOOKUP(
            $C57,
            INDIRECT(_xlpm._参照先&amp;"$C$1:$C$300"),
            INDIRECT(_xlpm._参照先&amp;_xlpm._戻り範囲)
          )
        )
      )
    ),
    ""
  )
)</f>
        <v/>
      </c>
      <c r="AT57" s="223" t="str" cm="1">
        <f t="array" aca="1" ref="AT57" ca="1">IF($C57="","",
  IFERROR(
    _xlfn.LET(
      _xlpm._対象月初,EOMONTH(AT$1,-1)+1,
      _xlpm._今月初,EOMONTH(基準データ!$C$5,-1)+1,
      IF(
        _xlpm._対象月初&gt;_xlpm._今月初,
        IF(
          OR(AS57="",AS57=0),
          "",
          AS57*AT$107
        ),
        _xlfn.LET(
          _xlpm._参照先,
            "'[在庫状況把握_43期_2025-2026.xlsx]月次報告"
            &amp;TEXT(AT$1,"YYMM")
            &amp;"'!",
          _xlpm._戻り範囲,
            IF(
              _xlpm._対象月初=_xlpm._今月初,
              "$AG$1:$AG$300",
              "$G$1:$G$300"
            ),
          _xlfn.XLOOKUP(
            $C57,
            INDIRECT(_xlpm._参照先&amp;"$C$1:$C$300"),
            INDIRECT(_xlpm._参照先&amp;_xlpm._戻り範囲)
          )
        )
      )
    ),
    ""
  )
)</f>
        <v/>
      </c>
      <c r="AU57" s="223" t="str" cm="1">
        <f t="array" aca="1" ref="AU57" ca="1">IF($C57="","",
  IFERROR(
    _xlfn.LET(
      _xlpm._対象月初,EOMONTH(AU$1,-1)+1,
      _xlpm._今月初,EOMONTH(基準データ!$C$5,-1)+1,
      IF(
        _xlpm._対象月初&gt;_xlpm._今月初,
        IF(
          OR(AT57="",AT57=0),
          "",
          AT57*AU$107
        ),
        _xlfn.LET(
          _xlpm._参照先,
            "'[在庫状況把握_43期_2025-2026.xlsx]月次報告"
            &amp;TEXT(AU$1,"YYMM")
            &amp;"'!",
          _xlpm._戻り範囲,
            IF(
              _xlpm._対象月初=_xlpm._今月初,
              "$AG$1:$AG$300",
              "$G$1:$G$300"
            ),
          _xlfn.XLOOKUP(
            $C57,
            INDIRECT(_xlpm._参照先&amp;"$C$1:$C$300"),
            INDIRECT(_xlpm._参照先&amp;_xlpm._戻り範囲)
          )
        )
      )
    ),
    ""
  )
)</f>
        <v/>
      </c>
      <c r="AV57" s="223" t="str" cm="1">
        <f t="array" aca="1" ref="AV57" ca="1">IF($C57="","",
  IFERROR(
    _xlfn.LET(
      _xlpm._対象月初,EOMONTH(AV$1,-1)+1,
      _xlpm._今月初,EOMONTH(基準データ!$C$5,-1)+1,
      IF(
        _xlpm._対象月初&gt;_xlpm._今月初,
        IF(
          OR(AU57="",AU57=0),
          "",
          AU57*AV$107
        ),
        _xlfn.LET(
          _xlpm._参照先,
            "'[在庫状況把握_43期_2025-2026.xlsx]月次報告"
            &amp;TEXT(AV$1,"YYMM")
            &amp;"'!",
          _xlpm._戻り範囲,
            IF(
              _xlpm._対象月初=_xlpm._今月初,
              "$AG$1:$AG$300",
              "$G$1:$G$300"
            ),
          _xlfn.XLOOKUP(
            $C57,
            INDIRECT(_xlpm._参照先&amp;"$C$1:$C$300"),
            INDIRECT(_xlpm._参照先&amp;_xlpm._戻り範囲)
          )
        )
      )
    ),
    ""
  )
)</f>
        <v/>
      </c>
      <c r="AW57" s="223" t="str" cm="1">
        <f t="array" aca="1" ref="AW57" ca="1">IF($C57="","",
  IFERROR(
    _xlfn.LET(
      _xlpm._対象月初,EOMONTH(AW$1,-1)+1,
      _xlpm._今月初,EOMONTH(基準データ!$C$5,-1)+1,
      IF(
        _xlpm._対象月初&gt;_xlpm._今月初,
        IF(
          OR(AV57="",AV57=0),
          "",
          AV57*AW$107
        ),
        _xlfn.LET(
          _xlpm._参照先,
            "'[在庫状況把握_43期_2025-2026.xlsx]月次報告"
            &amp;TEXT(AW$1,"YYMM")
            &amp;"'!",
          _xlpm._戻り範囲,
            IF(
              _xlpm._対象月初=_xlpm._今月初,
              "$AG$1:$AG$300",
              "$G$1:$G$300"
            ),
          _xlfn.XLOOKUP(
            $C57,
            INDIRECT(_xlpm._参照先&amp;"$C$1:$C$300"),
            INDIRECT(_xlpm._参照先&amp;_xlpm._戻り範囲)
          )
        )
      )
    ),
    ""
  )
)</f>
        <v/>
      </c>
      <c r="AX57" s="223" t="str" cm="1">
        <f t="array" aca="1" ref="AX57" ca="1">IF($C57="","",
  IFERROR(
    _xlfn.LET(
      _xlpm._対象月初,EOMONTH(AX$1,-1)+1,
      _xlpm._今月初,EOMONTH(基準データ!$C$5,-1)+1,
      IF(
        _xlpm._対象月初&gt;_xlpm._今月初,
        IF(
          OR(AW57="",AW57=0),
          "",
          AW57*AX$107
        ),
        _xlfn.LET(
          _xlpm._参照先,
            "'[在庫状況把握_43期_2025-2026.xlsx]月次報告"
            &amp;TEXT(AX$1,"YYMM")
            &amp;"'!",
          _xlpm._戻り範囲,
            IF(
              _xlpm._対象月初=_xlpm._今月初,
              "$AG$1:$AG$300",
              "$G$1:$G$300"
            ),
          _xlfn.XLOOKUP(
            $C57,
            INDIRECT(_xlpm._参照先&amp;"$C$1:$C$300"),
            INDIRECT(_xlpm._参照先&amp;_xlpm._戻り範囲)
          )
        )
      )
    ),
    ""
  )
)</f>
        <v/>
      </c>
      <c r="AY57" s="223" t="str" cm="1">
        <f t="array" aca="1" ref="AY57" ca="1">IF($C57="","",
  IFERROR(
    _xlfn.LET(
      _xlpm._対象月初,EOMONTH(AY$1,-1)+1,
      _xlpm._今月初,EOMONTH(基準データ!$C$5,-1)+1,
      IF(
        _xlpm._対象月初&gt;_xlpm._今月初,
        IF(
          OR(AX57="",AX57=0),
          "",
          AX57*AY$107
        ),
        _xlfn.LET(
          _xlpm._参照先,
            "'[在庫状況把握_43期_2025-2026.xlsx]月次報告"
            &amp;TEXT(AY$1,"YYMM")
            &amp;"'!",
          _xlpm._戻り範囲,
            IF(
              _xlpm._対象月初=_xlpm._今月初,
              "$AG$1:$AG$300",
              "$G$1:$G$300"
            ),
          _xlfn.XLOOKUP(
            $C57,
            INDIRECT(_xlpm._参照先&amp;"$C$1:$C$300"),
            INDIRECT(_xlpm._参照先&amp;_xlpm._戻り範囲)
          )
        )
      )
    ),
    ""
  )
)</f>
        <v/>
      </c>
      <c r="AZ57" s="223" t="str" cm="1">
        <f t="array" aca="1" ref="AZ57" ca="1">IF($C57="","",
  IFERROR(
    _xlfn.LET(
      _xlpm._対象月初,EOMONTH(AZ$1,-1)+1,
      _xlpm._今月初,EOMONTH(基準データ!$C$5,-1)+1,
      IF(
        _xlpm._対象月初&gt;_xlpm._今月初,
        IF(
          OR(AY57="",AY57=0),
          "",
          AY57*AZ$107
        ),
        _xlfn.LET(
          _xlpm._参照先,
            "'[在庫状況把握_43期_2025-2026.xlsx]月次報告"
            &amp;TEXT(AZ$1,"YYMM")
            &amp;"'!",
          _xlpm._戻り範囲,
            IF(
              _xlpm._対象月初=_xlpm._今月初,
              "$AG$1:$AG$300",
              "$G$1:$G$300"
            ),
          _xlfn.XLOOKUP(
            $C57,
            INDIRECT(_xlpm._参照先&amp;"$C$1:$C$300"),
            INDIRECT(_xlpm._参照先&amp;_xlpm._戻り範囲)
          )
        )
      )
    ),
    ""
  )
)</f>
        <v/>
      </c>
      <c r="BA57" s="223" t="str" cm="1">
        <f t="array" aca="1" ref="BA57" ca="1">IF($C57="","",
  IFERROR(
    _xlfn.LET(
      _xlpm._対象月初,EOMONTH(BA$1,-1)+1,
      _xlpm._今月初,EOMONTH(基準データ!$C$5,-1)+1,
      IF(
        _xlpm._対象月初&gt;_xlpm._今月初,
        IF(
          OR(AZ57="",AZ57=0),
          "",
          AZ57*BA$107
        ),
        _xlfn.LET(
          _xlpm._参照先,
            "'[在庫状況把握_43期_2025-2026.xlsx]月次報告"
            &amp;TEXT(BA$1,"YYMM")
            &amp;"'!",
          _xlpm._戻り範囲,
            IF(
              _xlpm._対象月初=_xlpm._今月初,
              "$AG$1:$AG$300",
              "$G$1:$G$300"
            ),
          _xlfn.XLOOKUP(
            $C57,
            INDIRECT(_xlpm._参照先&amp;"$C$1:$C$300"),
            INDIRECT(_xlpm._参照先&amp;_xlpm._戻り範囲)
          )
        )
      )
    ),
    ""
  )
)</f>
        <v/>
      </c>
      <c r="BB57" s="223" t="str" cm="1">
        <f t="array" aca="1" ref="BB57" ca="1">IF($C57="","",
  IFERROR(
    _xlfn.LET(
      _xlpm._対象月初,EOMONTH(BB$1,-1)+1,
      _xlpm._今月初,EOMONTH(基準データ!$C$5,-1)+1,
      IF(
        _xlpm._対象月初&gt;_xlpm._今月初,
        IF(
          OR(BA57="",BA57=0),
          "",
          BA57*BB$107
        ),
        _xlfn.LET(
          _xlpm._参照先,
            "'[在庫状況把握_43期_2025-2026.xlsx]月次報告"
            &amp;TEXT(BB$1,"YYMM")
            &amp;"'!",
          _xlpm._戻り範囲,
            IF(
              _xlpm._対象月初=_xlpm._今月初,
              "$AG$1:$AG$300",
              "$G$1:$G$300"
            ),
          _xlfn.XLOOKUP(
            $C57,
            INDIRECT(_xlpm._参照先&amp;"$C$1:$C$300"),
            INDIRECT(_xlpm._参照先&amp;_xlpm._戻り範囲)
          )
        )
      )
    ),
    ""
  )
)</f>
        <v/>
      </c>
      <c r="BC57" s="223" t="str" cm="1">
        <f t="array" aca="1" ref="BC57" ca="1">IF($C57="","",
  IFERROR(
    _xlfn.LET(
      _xlpm._対象月初,EOMONTH(BC$1,-1)+1,
      _xlpm._今月初,EOMONTH(基準データ!$C$5,-1)+1,
      IF(
        _xlpm._対象月初&gt;_xlpm._今月初,
        IF(
          OR(BB57="",BB57=0),
          "",
          BB57*BC$107
        ),
        _xlfn.LET(
          _xlpm._参照先,
            "'[在庫状況把握_43期_2025-2026.xlsx]月次報告"
            &amp;TEXT(BC$1,"YYMM")
            &amp;"'!",
          _xlpm._戻り範囲,
            IF(
              _xlpm._対象月初=_xlpm._今月初,
              "$AG$1:$AG$300",
              "$G$1:$G$300"
            ),
          _xlfn.XLOOKUP(
            $C57,
            INDIRECT(_xlpm._参照先&amp;"$C$1:$C$300"),
            INDIRECT(_xlpm._参照先&amp;_xlpm._戻り範囲)
          )
        )
      )
    ),
    ""
  )
)</f>
        <v/>
      </c>
      <c r="BD57" s="223" t="str" cm="1">
        <f t="array" aca="1" ref="BD57" ca="1">IF($C57="","",
  IFERROR(
    _xlfn.LET(
      _xlpm._対象月初,EOMONTH(BD$1,-1)+1,
      _xlpm._今月初,EOMONTH(基準データ!$C$5,-1)+1,
      IF(
        _xlpm._対象月初&gt;_xlpm._今月初,
        IF(
          OR(BC57="",BC57=0),
          "",
          BC57*BD$107
        ),
        _xlfn.LET(
          _xlpm._参照先,
            "'[在庫状況把握_43期_2025-2026.xlsx]月次報告"
            &amp;TEXT(BD$1,"YYMM")
            &amp;"'!",
          _xlpm._戻り範囲,
            IF(
              _xlpm._対象月初=_xlpm._今月初,
              "$AG$1:$AG$300",
              "$G$1:$G$300"
            ),
          _xlfn.XLOOKUP(
            $C57,
            INDIRECT(_xlpm._参照先&amp;"$C$1:$C$300"),
            INDIRECT(_xlpm._参照先&amp;_xlpm._戻り範囲)
          )
        )
      )
    ),
    ""
  )
)</f>
        <v/>
      </c>
    </row>
    <row r="58" spans="1:56" ht="18.75" customHeight="1">
      <c r="A58" s="1061" t="s">
        <v>1650</v>
      </c>
      <c r="B58" s="28" t="str">
        <v>CLE-L26-258V-UMA-32G-L7 Thirdwave</v>
      </c>
      <c r="C58" s="24" t="s">
        <v>552</v>
      </c>
      <c r="D58" s="34" t="s">
        <v>1415</v>
      </c>
      <c r="E58" s="68" t="s">
        <v>1416</v>
      </c>
      <c r="F58" s="68" t="s">
        <v>1347</v>
      </c>
      <c r="G58" s="355" t="str">
        <v/>
      </c>
      <c r="H58" s="109" t="str" cm="1">
        <f t="array" aca="1" ref="H58" ca="1">_xlfn.LET(_xlpm._来月から4ヶ月計画合計,
  SUM(
    OFFSET($A58,0,
      MATCH(
        EDATE(基準データ!$C$5,3),$A$1:$BF$1,1
      )-3,1,4)),
_xlpm._今月計画数,
INDEX($A$1:$BE$223,
  ROW(),
  MATCH(EOMONTH(基準データ!$C$5,-1)+1,$A$1:$BE$1,0)
),
  IFERROR(IF($B58="","",_xlpm._来月から4ヶ月計画合計+_xlpm._今月計画数/2),""
)
)</f>
        <v/>
      </c>
      <c r="I58" s="311"/>
      <c r="J58" s="311"/>
      <c r="K58" s="311"/>
      <c r="L58" s="38"/>
      <c r="M58" s="38"/>
      <c r="N58" s="38"/>
      <c r="O58" s="38"/>
      <c r="P58" s="38"/>
      <c r="Q58" s="219"/>
      <c r="R58" s="219"/>
      <c r="S58" s="219"/>
      <c r="T58" s="219"/>
      <c r="U58" s="224">
        <v>31</v>
      </c>
      <c r="V58" s="335">
        <v>23</v>
      </c>
      <c r="W58" s="333">
        <v>43</v>
      </c>
      <c r="X58" s="333">
        <v>48</v>
      </c>
      <c r="Y58" s="333">
        <v>31</v>
      </c>
      <c r="Z58" s="219">
        <v>32</v>
      </c>
      <c r="AA58" s="219">
        <v>60</v>
      </c>
      <c r="AB58" s="219">
        <v>57</v>
      </c>
      <c r="AC58" s="224">
        <v>85</v>
      </c>
      <c r="AD58" s="224">
        <v>55</v>
      </c>
      <c r="AE58" s="223">
        <v>20</v>
      </c>
      <c r="AF58" s="223">
        <v>38</v>
      </c>
      <c r="AG58" s="223">
        <v>48</v>
      </c>
      <c r="AH58" s="223">
        <v>11</v>
      </c>
      <c r="AI58" s="223">
        <v>0</v>
      </c>
      <c r="AJ58" s="223">
        <v>0</v>
      </c>
      <c r="AK58" s="223">
        <v>0</v>
      </c>
      <c r="AL58" s="223" t="str" cm="1">
        <f t="array" aca="1" ref="AL58" ca="1">IF($C58="","",
  IFERROR(
    _xlfn.LET(
      _xlpm._対象月初,EOMONTH(AL$1,-1)+1,
      _xlpm._今月初,EOMONTH(基準データ!$C$5,-1)+1,
      IF(
        _xlpm._対象月初&gt;_xlpm._今月初,
        IF(
          OR(AK58="",AK58=0),
          "",
          AK58*AL$107
        ),
        _xlfn.LET(
          _xlpm._参照先,
            "'[在庫状況把握_43期_2025-2026.xlsx]月次報告"
            &amp;TEXT(AL$1,"YYMM")
            &amp;"'!",
          _xlpm._戻り範囲,
            IF(
              _xlpm._対象月初=_xlpm._今月初,
              "$AG$1:$AG$300",
              "$G$1:$G$300"
            ),
          _xlfn.XLOOKUP(
            $C58,
            INDIRECT(_xlpm._参照先&amp;"$C$1:$C$300"),
            INDIRECT(_xlpm._参照先&amp;_xlpm._戻り範囲)
          )
        )
      )
    ),
    ""
  )
)</f>
        <v/>
      </c>
      <c r="AM58" s="223" t="str" cm="1">
        <f t="array" aca="1" ref="AM58" ca="1">IF($C58="","",
  IFERROR(
    _xlfn.LET(
      _xlpm._対象月初,EOMONTH(AM$1,-1)+1,
      _xlpm._今月初,EOMONTH(基準データ!$C$5,-1)+1,
      IF(
        _xlpm._対象月初&gt;_xlpm._今月初,
        IF(
          OR(AL58="",AL58=0),
          "",
          AL58*AM$107
        ),
        _xlfn.LET(
          _xlpm._参照先,
            "'[在庫状況把握_43期_2025-2026.xlsx]月次報告"
            &amp;TEXT(AM$1,"YYMM")
            &amp;"'!",
          _xlpm._戻り範囲,
            IF(
              _xlpm._対象月初=_xlpm._今月初,
              "$AG$1:$AG$300",
              "$G$1:$G$300"
            ),
          _xlfn.XLOOKUP(
            $C58,
            INDIRECT(_xlpm._参照先&amp;"$C$1:$C$300"),
            INDIRECT(_xlpm._参照先&amp;_xlpm._戻り範囲)
          )
        )
      )
    ),
    ""
  )
)</f>
        <v/>
      </c>
      <c r="AN58" s="223" t="str" cm="1">
        <f t="array" aca="1" ref="AN58" ca="1">IF($C58="","",
  IFERROR(
    _xlfn.LET(
      _xlpm._対象月初,EOMONTH(AN$1,-1)+1,
      _xlpm._今月初,EOMONTH(基準データ!$C$5,-1)+1,
      IF(
        _xlpm._対象月初&gt;_xlpm._今月初,
        IF(
          OR(AM58="",AM58=0),
          "",
          AM58*AN$107
        ),
        _xlfn.LET(
          _xlpm._参照先,
            "'[在庫状況把握_43期_2025-2026.xlsx]月次報告"
            &amp;TEXT(AN$1,"YYMM")
            &amp;"'!",
          _xlpm._戻り範囲,
            IF(
              _xlpm._対象月初=_xlpm._今月初,
              "$AG$1:$AG$300",
              "$G$1:$G$300"
            ),
          _xlfn.XLOOKUP(
            $C58,
            INDIRECT(_xlpm._参照先&amp;"$C$1:$C$300"),
            INDIRECT(_xlpm._参照先&amp;_xlpm._戻り範囲)
          )
        )
      )
    ),
    ""
  )
)</f>
        <v/>
      </c>
      <c r="AO58" s="223" t="str" cm="1">
        <f t="array" aca="1" ref="AO58" ca="1">IF($C58="","",
  IFERROR(
    _xlfn.LET(
      _xlpm._対象月初,EOMONTH(AO$1,-1)+1,
      _xlpm._今月初,EOMONTH(基準データ!$C$5,-1)+1,
      IF(
        _xlpm._対象月初&gt;_xlpm._今月初,
        IF(
          OR(AN58="",AN58=0),
          "",
          AN58*AO$107
        ),
        _xlfn.LET(
          _xlpm._参照先,
            "'[在庫状況把握_43期_2025-2026.xlsx]月次報告"
            &amp;TEXT(AO$1,"YYMM")
            &amp;"'!",
          _xlpm._戻り範囲,
            IF(
              _xlpm._対象月初=_xlpm._今月初,
              "$AG$1:$AG$300",
              "$G$1:$G$300"
            ),
          _xlfn.XLOOKUP(
            $C58,
            INDIRECT(_xlpm._参照先&amp;"$C$1:$C$300"),
            INDIRECT(_xlpm._参照先&amp;_xlpm._戻り範囲)
          )
        )
      )
    ),
    ""
  )
)</f>
        <v/>
      </c>
      <c r="AP58" s="223" t="str" cm="1">
        <f t="array" aca="1" ref="AP58" ca="1">IF($C58="","",
  IFERROR(
    _xlfn.LET(
      _xlpm._対象月初,EOMONTH(AP$1,-1)+1,
      _xlpm._今月初,EOMONTH(基準データ!$C$5,-1)+1,
      IF(
        _xlpm._対象月初&gt;_xlpm._今月初,
        IF(
          OR(AO58="",AO58=0),
          "",
          AO58*AP$107
        ),
        _xlfn.LET(
          _xlpm._参照先,
            "'[在庫状況把握_43期_2025-2026.xlsx]月次報告"
            &amp;TEXT(AP$1,"YYMM")
            &amp;"'!",
          _xlpm._戻り範囲,
            IF(
              _xlpm._対象月初=_xlpm._今月初,
              "$AG$1:$AG$300",
              "$G$1:$G$300"
            ),
          _xlfn.XLOOKUP(
            $C58,
            INDIRECT(_xlpm._参照先&amp;"$C$1:$C$300"),
            INDIRECT(_xlpm._参照先&amp;_xlpm._戻り範囲)
          )
        )
      )
    ),
    ""
  )
)</f>
        <v/>
      </c>
      <c r="AQ58" s="223" t="str" cm="1">
        <f t="array" aca="1" ref="AQ58" ca="1">IF($C58="","",
  IFERROR(
    _xlfn.LET(
      _xlpm._対象月初,EOMONTH(AQ$1,-1)+1,
      _xlpm._今月初,EOMONTH(基準データ!$C$5,-1)+1,
      IF(
        _xlpm._対象月初&gt;_xlpm._今月初,
        IF(
          OR(AP58="",AP58=0),
          "",
          AP58*AQ$107
        ),
        _xlfn.LET(
          _xlpm._参照先,
            "'[在庫状況把握_43期_2025-2026.xlsx]月次報告"
            &amp;TEXT(AQ$1,"YYMM")
            &amp;"'!",
          _xlpm._戻り範囲,
            IF(
              _xlpm._対象月初=_xlpm._今月初,
              "$AG$1:$AG$300",
              "$G$1:$G$300"
            ),
          _xlfn.XLOOKUP(
            $C58,
            INDIRECT(_xlpm._参照先&amp;"$C$1:$C$300"),
            INDIRECT(_xlpm._参照先&amp;_xlpm._戻り範囲)
          )
        )
      )
    ),
    ""
  )
)</f>
        <v/>
      </c>
      <c r="AR58" s="223" t="str" cm="1">
        <f t="array" aca="1" ref="AR58" ca="1">IF($C58="","",
  IFERROR(
    _xlfn.LET(
      _xlpm._対象月初,EOMONTH(AR$1,-1)+1,
      _xlpm._今月初,EOMONTH(基準データ!$C$5,-1)+1,
      IF(
        _xlpm._対象月初&gt;_xlpm._今月初,
        IF(
          OR(AQ58="",AQ58=0),
          "",
          AQ58*AR$107
        ),
        _xlfn.LET(
          _xlpm._参照先,
            "'[在庫状況把握_43期_2025-2026.xlsx]月次報告"
            &amp;TEXT(AR$1,"YYMM")
            &amp;"'!",
          _xlpm._戻り範囲,
            IF(
              _xlpm._対象月初=_xlpm._今月初,
              "$AG$1:$AG$300",
              "$G$1:$G$300"
            ),
          _xlfn.XLOOKUP(
            $C58,
            INDIRECT(_xlpm._参照先&amp;"$C$1:$C$300"),
            INDIRECT(_xlpm._参照先&amp;_xlpm._戻り範囲)
          )
        )
      )
    ),
    ""
  )
)</f>
        <v/>
      </c>
      <c r="AS58" s="223" t="str" cm="1">
        <f t="array" aca="1" ref="AS58" ca="1">IF($C58="","",
  IFERROR(
    _xlfn.LET(
      _xlpm._対象月初,EOMONTH(AS$1,-1)+1,
      _xlpm._今月初,EOMONTH(基準データ!$C$5,-1)+1,
      IF(
        _xlpm._対象月初&gt;_xlpm._今月初,
        IF(
          OR(AR58="",AR58=0),
          "",
          AR58*AS$107
        ),
        _xlfn.LET(
          _xlpm._参照先,
            "'[在庫状況把握_43期_2025-2026.xlsx]月次報告"
            &amp;TEXT(AS$1,"YYMM")
            &amp;"'!",
          _xlpm._戻り範囲,
            IF(
              _xlpm._対象月初=_xlpm._今月初,
              "$AG$1:$AG$300",
              "$G$1:$G$300"
            ),
          _xlfn.XLOOKUP(
            $C58,
            INDIRECT(_xlpm._参照先&amp;"$C$1:$C$300"),
            INDIRECT(_xlpm._参照先&amp;_xlpm._戻り範囲)
          )
        )
      )
    ),
    ""
  )
)</f>
        <v/>
      </c>
      <c r="AT58" s="223" t="str" cm="1">
        <f t="array" aca="1" ref="AT58" ca="1">IF($C58="","",
  IFERROR(
    _xlfn.LET(
      _xlpm._対象月初,EOMONTH(AT$1,-1)+1,
      _xlpm._今月初,EOMONTH(基準データ!$C$5,-1)+1,
      IF(
        _xlpm._対象月初&gt;_xlpm._今月初,
        IF(
          OR(AS58="",AS58=0),
          "",
          AS58*AT$107
        ),
        _xlfn.LET(
          _xlpm._参照先,
            "'[在庫状況把握_43期_2025-2026.xlsx]月次報告"
            &amp;TEXT(AT$1,"YYMM")
            &amp;"'!",
          _xlpm._戻り範囲,
            IF(
              _xlpm._対象月初=_xlpm._今月初,
              "$AG$1:$AG$300",
              "$G$1:$G$300"
            ),
          _xlfn.XLOOKUP(
            $C58,
            INDIRECT(_xlpm._参照先&amp;"$C$1:$C$300"),
            INDIRECT(_xlpm._参照先&amp;_xlpm._戻り範囲)
          )
        )
      )
    ),
    ""
  )
)</f>
        <v/>
      </c>
      <c r="AU58" s="223" t="str" cm="1">
        <f t="array" aca="1" ref="AU58" ca="1">IF($C58="","",
  IFERROR(
    _xlfn.LET(
      _xlpm._対象月初,EOMONTH(AU$1,-1)+1,
      _xlpm._今月初,EOMONTH(基準データ!$C$5,-1)+1,
      IF(
        _xlpm._対象月初&gt;_xlpm._今月初,
        IF(
          OR(AT58="",AT58=0),
          "",
          AT58*AU$107
        ),
        _xlfn.LET(
          _xlpm._参照先,
            "'[在庫状況把握_43期_2025-2026.xlsx]月次報告"
            &amp;TEXT(AU$1,"YYMM")
            &amp;"'!",
          _xlpm._戻り範囲,
            IF(
              _xlpm._対象月初=_xlpm._今月初,
              "$AG$1:$AG$300",
              "$G$1:$G$300"
            ),
          _xlfn.XLOOKUP(
            $C58,
            INDIRECT(_xlpm._参照先&amp;"$C$1:$C$300"),
            INDIRECT(_xlpm._参照先&amp;_xlpm._戻り範囲)
          )
        )
      )
    ),
    ""
  )
)</f>
        <v/>
      </c>
      <c r="AV58" s="223" t="str" cm="1">
        <f t="array" aca="1" ref="AV58" ca="1">IF($C58="","",
  IFERROR(
    _xlfn.LET(
      _xlpm._対象月初,EOMONTH(AV$1,-1)+1,
      _xlpm._今月初,EOMONTH(基準データ!$C$5,-1)+1,
      IF(
        _xlpm._対象月初&gt;_xlpm._今月初,
        IF(
          OR(AU58="",AU58=0),
          "",
          AU58*AV$107
        ),
        _xlfn.LET(
          _xlpm._参照先,
            "'[在庫状況把握_43期_2025-2026.xlsx]月次報告"
            &amp;TEXT(AV$1,"YYMM")
            &amp;"'!",
          _xlpm._戻り範囲,
            IF(
              _xlpm._対象月初=_xlpm._今月初,
              "$AG$1:$AG$300",
              "$G$1:$G$300"
            ),
          _xlfn.XLOOKUP(
            $C58,
            INDIRECT(_xlpm._参照先&amp;"$C$1:$C$300"),
            INDIRECT(_xlpm._参照先&amp;_xlpm._戻り範囲)
          )
        )
      )
    ),
    ""
  )
)</f>
        <v/>
      </c>
      <c r="AW58" s="223" t="str" cm="1">
        <f t="array" aca="1" ref="AW58" ca="1">IF($C58="","",
  IFERROR(
    _xlfn.LET(
      _xlpm._対象月初,EOMONTH(AW$1,-1)+1,
      _xlpm._今月初,EOMONTH(基準データ!$C$5,-1)+1,
      IF(
        _xlpm._対象月初&gt;_xlpm._今月初,
        IF(
          OR(AV58="",AV58=0),
          "",
          AV58*AW$107
        ),
        _xlfn.LET(
          _xlpm._参照先,
            "'[在庫状況把握_43期_2025-2026.xlsx]月次報告"
            &amp;TEXT(AW$1,"YYMM")
            &amp;"'!",
          _xlpm._戻り範囲,
            IF(
              _xlpm._対象月初=_xlpm._今月初,
              "$AG$1:$AG$300",
              "$G$1:$G$300"
            ),
          _xlfn.XLOOKUP(
            $C58,
            INDIRECT(_xlpm._参照先&amp;"$C$1:$C$300"),
            INDIRECT(_xlpm._参照先&amp;_xlpm._戻り範囲)
          )
        )
      )
    ),
    ""
  )
)</f>
        <v/>
      </c>
      <c r="AX58" s="223" t="str" cm="1">
        <f t="array" aca="1" ref="AX58" ca="1">IF($C58="","",
  IFERROR(
    _xlfn.LET(
      _xlpm._対象月初,EOMONTH(AX$1,-1)+1,
      _xlpm._今月初,EOMONTH(基準データ!$C$5,-1)+1,
      IF(
        _xlpm._対象月初&gt;_xlpm._今月初,
        IF(
          OR(AW58="",AW58=0),
          "",
          AW58*AX$107
        ),
        _xlfn.LET(
          _xlpm._参照先,
            "'[在庫状況把握_43期_2025-2026.xlsx]月次報告"
            &amp;TEXT(AX$1,"YYMM")
            &amp;"'!",
          _xlpm._戻り範囲,
            IF(
              _xlpm._対象月初=_xlpm._今月初,
              "$AG$1:$AG$300",
              "$G$1:$G$300"
            ),
          _xlfn.XLOOKUP(
            $C58,
            INDIRECT(_xlpm._参照先&amp;"$C$1:$C$300"),
            INDIRECT(_xlpm._参照先&amp;_xlpm._戻り範囲)
          )
        )
      )
    ),
    ""
  )
)</f>
        <v/>
      </c>
      <c r="AY58" s="223" t="str" cm="1">
        <f t="array" aca="1" ref="AY58" ca="1">IF($C58="","",
  IFERROR(
    _xlfn.LET(
      _xlpm._対象月初,EOMONTH(AY$1,-1)+1,
      _xlpm._今月初,EOMONTH(基準データ!$C$5,-1)+1,
      IF(
        _xlpm._対象月初&gt;_xlpm._今月初,
        IF(
          OR(AX58="",AX58=0),
          "",
          AX58*AY$107
        ),
        _xlfn.LET(
          _xlpm._参照先,
            "'[在庫状況把握_43期_2025-2026.xlsx]月次報告"
            &amp;TEXT(AY$1,"YYMM")
            &amp;"'!",
          _xlpm._戻り範囲,
            IF(
              _xlpm._対象月初=_xlpm._今月初,
              "$AG$1:$AG$300",
              "$G$1:$G$300"
            ),
          _xlfn.XLOOKUP(
            $C58,
            INDIRECT(_xlpm._参照先&amp;"$C$1:$C$300"),
            INDIRECT(_xlpm._参照先&amp;_xlpm._戻り範囲)
          )
        )
      )
    ),
    ""
  )
)</f>
        <v/>
      </c>
      <c r="AZ58" s="223" t="str" cm="1">
        <f t="array" aca="1" ref="AZ58" ca="1">IF($C58="","",
  IFERROR(
    _xlfn.LET(
      _xlpm._対象月初,EOMONTH(AZ$1,-1)+1,
      _xlpm._今月初,EOMONTH(基準データ!$C$5,-1)+1,
      IF(
        _xlpm._対象月初&gt;_xlpm._今月初,
        IF(
          OR(AY58="",AY58=0),
          "",
          AY58*AZ$107
        ),
        _xlfn.LET(
          _xlpm._参照先,
            "'[在庫状況把握_43期_2025-2026.xlsx]月次報告"
            &amp;TEXT(AZ$1,"YYMM")
            &amp;"'!",
          _xlpm._戻り範囲,
            IF(
              _xlpm._対象月初=_xlpm._今月初,
              "$AG$1:$AG$300",
              "$G$1:$G$300"
            ),
          _xlfn.XLOOKUP(
            $C58,
            INDIRECT(_xlpm._参照先&amp;"$C$1:$C$300"),
            INDIRECT(_xlpm._参照先&amp;_xlpm._戻り範囲)
          )
        )
      )
    ),
    ""
  )
)</f>
        <v/>
      </c>
      <c r="BA58" s="223" t="str" cm="1">
        <f t="array" aca="1" ref="BA58" ca="1">IF($C58="","",
  IFERROR(
    _xlfn.LET(
      _xlpm._対象月初,EOMONTH(BA$1,-1)+1,
      _xlpm._今月初,EOMONTH(基準データ!$C$5,-1)+1,
      IF(
        _xlpm._対象月初&gt;_xlpm._今月初,
        IF(
          OR(AZ58="",AZ58=0),
          "",
          AZ58*BA$107
        ),
        _xlfn.LET(
          _xlpm._参照先,
            "'[在庫状況把握_43期_2025-2026.xlsx]月次報告"
            &amp;TEXT(BA$1,"YYMM")
            &amp;"'!",
          _xlpm._戻り範囲,
            IF(
              _xlpm._対象月初=_xlpm._今月初,
              "$AG$1:$AG$300",
              "$G$1:$G$300"
            ),
          _xlfn.XLOOKUP(
            $C58,
            INDIRECT(_xlpm._参照先&amp;"$C$1:$C$300"),
            INDIRECT(_xlpm._参照先&amp;_xlpm._戻り範囲)
          )
        )
      )
    ),
    ""
  )
)</f>
        <v/>
      </c>
      <c r="BB58" s="223" t="str" cm="1">
        <f t="array" aca="1" ref="BB58" ca="1">IF($C58="","",
  IFERROR(
    _xlfn.LET(
      _xlpm._対象月初,EOMONTH(BB$1,-1)+1,
      _xlpm._今月初,EOMONTH(基準データ!$C$5,-1)+1,
      IF(
        _xlpm._対象月初&gt;_xlpm._今月初,
        IF(
          OR(BA58="",BA58=0),
          "",
          BA58*BB$107
        ),
        _xlfn.LET(
          _xlpm._参照先,
            "'[在庫状況把握_43期_2025-2026.xlsx]月次報告"
            &amp;TEXT(BB$1,"YYMM")
            &amp;"'!",
          _xlpm._戻り範囲,
            IF(
              _xlpm._対象月初=_xlpm._今月初,
              "$AG$1:$AG$300",
              "$G$1:$G$300"
            ),
          _xlfn.XLOOKUP(
            $C58,
            INDIRECT(_xlpm._参照先&amp;"$C$1:$C$300"),
            INDIRECT(_xlpm._参照先&amp;_xlpm._戻り範囲)
          )
        )
      )
    ),
    ""
  )
)</f>
        <v/>
      </c>
      <c r="BC58" s="223" t="str" cm="1">
        <f t="array" aca="1" ref="BC58" ca="1">IF($C58="","",
  IFERROR(
    _xlfn.LET(
      _xlpm._対象月初,EOMONTH(BC$1,-1)+1,
      _xlpm._今月初,EOMONTH(基準データ!$C$5,-1)+1,
      IF(
        _xlpm._対象月初&gt;_xlpm._今月初,
        IF(
          OR(BB58="",BB58=0),
          "",
          BB58*BC$107
        ),
        _xlfn.LET(
          _xlpm._参照先,
            "'[在庫状況把握_43期_2025-2026.xlsx]月次報告"
            &amp;TEXT(BC$1,"YYMM")
            &amp;"'!",
          _xlpm._戻り範囲,
            IF(
              _xlpm._対象月初=_xlpm._今月初,
              "$AG$1:$AG$300",
              "$G$1:$G$300"
            ),
          _xlfn.XLOOKUP(
            $C58,
            INDIRECT(_xlpm._参照先&amp;"$C$1:$C$300"),
            INDIRECT(_xlpm._参照先&amp;_xlpm._戻り範囲)
          )
        )
      )
    ),
    ""
  )
)</f>
        <v/>
      </c>
      <c r="BD58" s="223" t="str" cm="1">
        <f t="array" aca="1" ref="BD58" ca="1">IF($C58="","",
  IFERROR(
    _xlfn.LET(
      _xlpm._対象月初,EOMONTH(BD$1,-1)+1,
      _xlpm._今月初,EOMONTH(基準データ!$C$5,-1)+1,
      IF(
        _xlpm._対象月初&gt;_xlpm._今月初,
        IF(
          OR(BC58="",BC58=0),
          "",
          BC58*BD$107
        ),
        _xlfn.LET(
          _xlpm._参照先,
            "'[在庫状況把握_43期_2025-2026.xlsx]月次報告"
            &amp;TEXT(BD$1,"YYMM")
            &amp;"'!",
          _xlpm._戻り範囲,
            IF(
              _xlpm._対象月初=_xlpm._今月初,
              "$AG$1:$AG$300",
              "$G$1:$G$300"
            ),
          _xlfn.XLOOKUP(
            $C58,
            INDIRECT(_xlpm._参照先&amp;"$C$1:$C$300"),
            INDIRECT(_xlpm._参照先&amp;_xlpm._戻り範囲)
          )
        )
      )
    ),
    ""
  )
)</f>
        <v/>
      </c>
    </row>
    <row r="59" spans="1:56" ht="18.75" customHeight="1">
      <c r="A59" s="1061" t="s">
        <v>1650</v>
      </c>
      <c r="B59" s="28" t="str">
        <v>CLE-L26-228V-UMA-32G-L7 Thirdwave</v>
      </c>
      <c r="C59" s="24" t="s">
        <v>628</v>
      </c>
      <c r="D59" s="24" t="s">
        <v>1422</v>
      </c>
      <c r="E59" s="26" t="s">
        <v>1423</v>
      </c>
      <c r="F59" s="26" t="s">
        <v>1372</v>
      </c>
      <c r="G59" s="355" t="str">
        <v/>
      </c>
      <c r="H59" s="109" t="str" cm="1">
        <f t="array" aca="1" ref="H59" ca="1">_xlfn.LET(_xlpm._来月から4ヶ月計画合計,
  SUM(
    OFFSET($A59,0,
      MATCH(
        EDATE(基準データ!$C$5,3),$A$1:$BF$1,1
      )-3,1,4)),
_xlpm._今月計画数,
INDEX($A$1:$BE$223,
  ROW(),
  MATCH(EOMONTH(基準データ!$C$5,-1)+1,$A$1:$BE$1,0)
),
  IFERROR(IF($B59="","",_xlpm._来月から4ヶ月計画合計+_xlpm._今月計画数/2),""
)
)</f>
        <v/>
      </c>
      <c r="I59" s="38"/>
      <c r="J59" s="38"/>
      <c r="K59" s="38"/>
      <c r="L59" s="38"/>
      <c r="M59" s="38"/>
      <c r="N59" s="38"/>
      <c r="O59" s="38"/>
      <c r="P59" s="38"/>
      <c r="Q59" s="219"/>
      <c r="R59" s="219"/>
      <c r="S59" s="219"/>
      <c r="T59" s="219"/>
      <c r="U59" s="224">
        <v>214</v>
      </c>
      <c r="V59" s="335">
        <v>144</v>
      </c>
      <c r="W59" s="333">
        <v>546</v>
      </c>
      <c r="X59" s="333">
        <v>248</v>
      </c>
      <c r="Y59" s="333">
        <v>152</v>
      </c>
      <c r="Z59" s="219">
        <v>268</v>
      </c>
      <c r="AA59" s="219">
        <v>7</v>
      </c>
      <c r="AB59" s="219">
        <v>26</v>
      </c>
      <c r="AC59" s="224"/>
      <c r="AD59" s="224">
        <v>28</v>
      </c>
      <c r="AE59" s="223">
        <v>17</v>
      </c>
      <c r="AF59" s="223">
        <v>18</v>
      </c>
      <c r="AG59" s="223">
        <v>35</v>
      </c>
      <c r="AH59" s="223">
        <v>29</v>
      </c>
      <c r="AI59" s="223">
        <v>13</v>
      </c>
      <c r="AJ59" s="223">
        <v>0</v>
      </c>
      <c r="AK59" s="223">
        <v>0</v>
      </c>
      <c r="AL59" s="223" t="str" cm="1">
        <f t="array" aca="1" ref="AL59" ca="1">IF($C59="","",
  IFERROR(
    _xlfn.LET(
      _xlpm._対象月初,EOMONTH(AL$1,-1)+1,
      _xlpm._今月初,EOMONTH(基準データ!$C$5,-1)+1,
      IF(
        _xlpm._対象月初&gt;_xlpm._今月初,
        IF(
          OR(AK59="",AK59=0),
          "",
          AK59*AL$107
        ),
        _xlfn.LET(
          _xlpm._参照先,
            "'[在庫状況把握_43期_2025-2026.xlsx]月次報告"
            &amp;TEXT(AL$1,"YYMM")
            &amp;"'!",
          _xlpm._戻り範囲,
            IF(
              _xlpm._対象月初=_xlpm._今月初,
              "$AG$1:$AG$300",
              "$G$1:$G$300"
            ),
          _xlfn.XLOOKUP(
            $C59,
            INDIRECT(_xlpm._参照先&amp;"$C$1:$C$300"),
            INDIRECT(_xlpm._参照先&amp;_xlpm._戻り範囲)
          )
        )
      )
    ),
    ""
  )
)</f>
        <v/>
      </c>
      <c r="AM59" s="223" t="str" cm="1">
        <f t="array" aca="1" ref="AM59" ca="1">IF($C59="","",
  IFERROR(
    _xlfn.LET(
      _xlpm._対象月初,EOMONTH(AM$1,-1)+1,
      _xlpm._今月初,EOMONTH(基準データ!$C$5,-1)+1,
      IF(
        _xlpm._対象月初&gt;_xlpm._今月初,
        IF(
          OR(AL59="",AL59=0),
          "",
          AL59*AM$107
        ),
        _xlfn.LET(
          _xlpm._参照先,
            "'[在庫状況把握_43期_2025-2026.xlsx]月次報告"
            &amp;TEXT(AM$1,"YYMM")
            &amp;"'!",
          _xlpm._戻り範囲,
            IF(
              _xlpm._対象月初=_xlpm._今月初,
              "$AG$1:$AG$300",
              "$G$1:$G$300"
            ),
          _xlfn.XLOOKUP(
            $C59,
            INDIRECT(_xlpm._参照先&amp;"$C$1:$C$300"),
            INDIRECT(_xlpm._参照先&amp;_xlpm._戻り範囲)
          )
        )
      )
    ),
    ""
  )
)</f>
        <v/>
      </c>
      <c r="AN59" s="223" t="str" cm="1">
        <f t="array" aca="1" ref="AN59" ca="1">IF($C59="","",
  IFERROR(
    _xlfn.LET(
      _xlpm._対象月初,EOMONTH(AN$1,-1)+1,
      _xlpm._今月初,EOMONTH(基準データ!$C$5,-1)+1,
      IF(
        _xlpm._対象月初&gt;_xlpm._今月初,
        IF(
          OR(AM59="",AM59=0),
          "",
          AM59*AN$107
        ),
        _xlfn.LET(
          _xlpm._参照先,
            "'[在庫状況把握_43期_2025-2026.xlsx]月次報告"
            &amp;TEXT(AN$1,"YYMM")
            &amp;"'!",
          _xlpm._戻り範囲,
            IF(
              _xlpm._対象月初=_xlpm._今月初,
              "$AG$1:$AG$300",
              "$G$1:$G$300"
            ),
          _xlfn.XLOOKUP(
            $C59,
            INDIRECT(_xlpm._参照先&amp;"$C$1:$C$300"),
            INDIRECT(_xlpm._参照先&amp;_xlpm._戻り範囲)
          )
        )
      )
    ),
    ""
  )
)</f>
        <v/>
      </c>
      <c r="AO59" s="223" t="str" cm="1">
        <f t="array" aca="1" ref="AO59" ca="1">IF($C59="","",
  IFERROR(
    _xlfn.LET(
      _xlpm._対象月初,EOMONTH(AO$1,-1)+1,
      _xlpm._今月初,EOMONTH(基準データ!$C$5,-1)+1,
      IF(
        _xlpm._対象月初&gt;_xlpm._今月初,
        IF(
          OR(AN59="",AN59=0),
          "",
          AN59*AO$107
        ),
        _xlfn.LET(
          _xlpm._参照先,
            "'[在庫状況把握_43期_2025-2026.xlsx]月次報告"
            &amp;TEXT(AO$1,"YYMM")
            &amp;"'!",
          _xlpm._戻り範囲,
            IF(
              _xlpm._対象月初=_xlpm._今月初,
              "$AG$1:$AG$300",
              "$G$1:$G$300"
            ),
          _xlfn.XLOOKUP(
            $C59,
            INDIRECT(_xlpm._参照先&amp;"$C$1:$C$300"),
            INDIRECT(_xlpm._参照先&amp;_xlpm._戻り範囲)
          )
        )
      )
    ),
    ""
  )
)</f>
        <v/>
      </c>
      <c r="AP59" s="223" t="str" cm="1">
        <f t="array" aca="1" ref="AP59" ca="1">IF($C59="","",
  IFERROR(
    _xlfn.LET(
      _xlpm._対象月初,EOMONTH(AP$1,-1)+1,
      _xlpm._今月初,EOMONTH(基準データ!$C$5,-1)+1,
      IF(
        _xlpm._対象月初&gt;_xlpm._今月初,
        IF(
          OR(AO59="",AO59=0),
          "",
          AO59*AP$107
        ),
        _xlfn.LET(
          _xlpm._参照先,
            "'[在庫状況把握_43期_2025-2026.xlsx]月次報告"
            &amp;TEXT(AP$1,"YYMM")
            &amp;"'!",
          _xlpm._戻り範囲,
            IF(
              _xlpm._対象月初=_xlpm._今月初,
              "$AG$1:$AG$300",
              "$G$1:$G$300"
            ),
          _xlfn.XLOOKUP(
            $C59,
            INDIRECT(_xlpm._参照先&amp;"$C$1:$C$300"),
            INDIRECT(_xlpm._参照先&amp;_xlpm._戻り範囲)
          )
        )
      )
    ),
    ""
  )
)</f>
        <v/>
      </c>
      <c r="AQ59" s="223" t="str" cm="1">
        <f t="array" aca="1" ref="AQ59" ca="1">IF($C59="","",
  IFERROR(
    _xlfn.LET(
      _xlpm._対象月初,EOMONTH(AQ$1,-1)+1,
      _xlpm._今月初,EOMONTH(基準データ!$C$5,-1)+1,
      IF(
        _xlpm._対象月初&gt;_xlpm._今月初,
        IF(
          OR(AP59="",AP59=0),
          "",
          AP59*AQ$107
        ),
        _xlfn.LET(
          _xlpm._参照先,
            "'[在庫状況把握_43期_2025-2026.xlsx]月次報告"
            &amp;TEXT(AQ$1,"YYMM")
            &amp;"'!",
          _xlpm._戻り範囲,
            IF(
              _xlpm._対象月初=_xlpm._今月初,
              "$AG$1:$AG$300",
              "$G$1:$G$300"
            ),
          _xlfn.XLOOKUP(
            $C59,
            INDIRECT(_xlpm._参照先&amp;"$C$1:$C$300"),
            INDIRECT(_xlpm._参照先&amp;_xlpm._戻り範囲)
          )
        )
      )
    ),
    ""
  )
)</f>
        <v/>
      </c>
      <c r="AR59" s="223" t="str" cm="1">
        <f t="array" aca="1" ref="AR59" ca="1">IF($C59="","",
  IFERROR(
    _xlfn.LET(
      _xlpm._対象月初,EOMONTH(AR$1,-1)+1,
      _xlpm._今月初,EOMONTH(基準データ!$C$5,-1)+1,
      IF(
        _xlpm._対象月初&gt;_xlpm._今月初,
        IF(
          OR(AQ59="",AQ59=0),
          "",
          AQ59*AR$107
        ),
        _xlfn.LET(
          _xlpm._参照先,
            "'[在庫状況把握_43期_2025-2026.xlsx]月次報告"
            &amp;TEXT(AR$1,"YYMM")
            &amp;"'!",
          _xlpm._戻り範囲,
            IF(
              _xlpm._対象月初=_xlpm._今月初,
              "$AG$1:$AG$300",
              "$G$1:$G$300"
            ),
          _xlfn.XLOOKUP(
            $C59,
            INDIRECT(_xlpm._参照先&amp;"$C$1:$C$300"),
            INDIRECT(_xlpm._参照先&amp;_xlpm._戻り範囲)
          )
        )
      )
    ),
    ""
  )
)</f>
        <v/>
      </c>
      <c r="AS59" s="223" t="str" cm="1">
        <f t="array" aca="1" ref="AS59" ca="1">IF($C59="","",
  IFERROR(
    _xlfn.LET(
      _xlpm._対象月初,EOMONTH(AS$1,-1)+1,
      _xlpm._今月初,EOMONTH(基準データ!$C$5,-1)+1,
      IF(
        _xlpm._対象月初&gt;_xlpm._今月初,
        IF(
          OR(AR59="",AR59=0),
          "",
          AR59*AS$107
        ),
        _xlfn.LET(
          _xlpm._参照先,
            "'[在庫状況把握_43期_2025-2026.xlsx]月次報告"
            &amp;TEXT(AS$1,"YYMM")
            &amp;"'!",
          _xlpm._戻り範囲,
            IF(
              _xlpm._対象月初=_xlpm._今月初,
              "$AG$1:$AG$300",
              "$G$1:$G$300"
            ),
          _xlfn.XLOOKUP(
            $C59,
            INDIRECT(_xlpm._参照先&amp;"$C$1:$C$300"),
            INDIRECT(_xlpm._参照先&amp;_xlpm._戻り範囲)
          )
        )
      )
    ),
    ""
  )
)</f>
        <v/>
      </c>
      <c r="AT59" s="223" t="str" cm="1">
        <f t="array" aca="1" ref="AT59" ca="1">IF($C59="","",
  IFERROR(
    _xlfn.LET(
      _xlpm._対象月初,EOMONTH(AT$1,-1)+1,
      _xlpm._今月初,EOMONTH(基準データ!$C$5,-1)+1,
      IF(
        _xlpm._対象月初&gt;_xlpm._今月初,
        IF(
          OR(AS59="",AS59=0),
          "",
          AS59*AT$107
        ),
        _xlfn.LET(
          _xlpm._参照先,
            "'[在庫状況把握_43期_2025-2026.xlsx]月次報告"
            &amp;TEXT(AT$1,"YYMM")
            &amp;"'!",
          _xlpm._戻り範囲,
            IF(
              _xlpm._対象月初=_xlpm._今月初,
              "$AG$1:$AG$300",
              "$G$1:$G$300"
            ),
          _xlfn.XLOOKUP(
            $C59,
            INDIRECT(_xlpm._参照先&amp;"$C$1:$C$300"),
            INDIRECT(_xlpm._参照先&amp;_xlpm._戻り範囲)
          )
        )
      )
    ),
    ""
  )
)</f>
        <v/>
      </c>
      <c r="AU59" s="223" t="str" cm="1">
        <f t="array" aca="1" ref="AU59" ca="1">IF($C59="","",
  IFERROR(
    _xlfn.LET(
      _xlpm._対象月初,EOMONTH(AU$1,-1)+1,
      _xlpm._今月初,EOMONTH(基準データ!$C$5,-1)+1,
      IF(
        _xlpm._対象月初&gt;_xlpm._今月初,
        IF(
          OR(AT59="",AT59=0),
          "",
          AT59*AU$107
        ),
        _xlfn.LET(
          _xlpm._参照先,
            "'[在庫状況把握_43期_2025-2026.xlsx]月次報告"
            &amp;TEXT(AU$1,"YYMM")
            &amp;"'!",
          _xlpm._戻り範囲,
            IF(
              _xlpm._対象月初=_xlpm._今月初,
              "$AG$1:$AG$300",
              "$G$1:$G$300"
            ),
          _xlfn.XLOOKUP(
            $C59,
            INDIRECT(_xlpm._参照先&amp;"$C$1:$C$300"),
            INDIRECT(_xlpm._参照先&amp;_xlpm._戻り範囲)
          )
        )
      )
    ),
    ""
  )
)</f>
        <v/>
      </c>
      <c r="AV59" s="223" t="str" cm="1">
        <f t="array" aca="1" ref="AV59" ca="1">IF($C59="","",
  IFERROR(
    _xlfn.LET(
      _xlpm._対象月初,EOMONTH(AV$1,-1)+1,
      _xlpm._今月初,EOMONTH(基準データ!$C$5,-1)+1,
      IF(
        _xlpm._対象月初&gt;_xlpm._今月初,
        IF(
          OR(AU59="",AU59=0),
          "",
          AU59*AV$107
        ),
        _xlfn.LET(
          _xlpm._参照先,
            "'[在庫状況把握_43期_2025-2026.xlsx]月次報告"
            &amp;TEXT(AV$1,"YYMM")
            &amp;"'!",
          _xlpm._戻り範囲,
            IF(
              _xlpm._対象月初=_xlpm._今月初,
              "$AG$1:$AG$300",
              "$G$1:$G$300"
            ),
          _xlfn.XLOOKUP(
            $C59,
            INDIRECT(_xlpm._参照先&amp;"$C$1:$C$300"),
            INDIRECT(_xlpm._参照先&amp;_xlpm._戻り範囲)
          )
        )
      )
    ),
    ""
  )
)</f>
        <v/>
      </c>
      <c r="AW59" s="223" t="str" cm="1">
        <f t="array" aca="1" ref="AW59" ca="1">IF($C59="","",
  IFERROR(
    _xlfn.LET(
      _xlpm._対象月初,EOMONTH(AW$1,-1)+1,
      _xlpm._今月初,EOMONTH(基準データ!$C$5,-1)+1,
      IF(
        _xlpm._対象月初&gt;_xlpm._今月初,
        IF(
          OR(AV59="",AV59=0),
          "",
          AV59*AW$107
        ),
        _xlfn.LET(
          _xlpm._参照先,
            "'[在庫状況把握_43期_2025-2026.xlsx]月次報告"
            &amp;TEXT(AW$1,"YYMM")
            &amp;"'!",
          _xlpm._戻り範囲,
            IF(
              _xlpm._対象月初=_xlpm._今月初,
              "$AG$1:$AG$300",
              "$G$1:$G$300"
            ),
          _xlfn.XLOOKUP(
            $C59,
            INDIRECT(_xlpm._参照先&amp;"$C$1:$C$300"),
            INDIRECT(_xlpm._参照先&amp;_xlpm._戻り範囲)
          )
        )
      )
    ),
    ""
  )
)</f>
        <v/>
      </c>
      <c r="AX59" s="223" t="str" cm="1">
        <f t="array" aca="1" ref="AX59" ca="1">IF($C59="","",
  IFERROR(
    _xlfn.LET(
      _xlpm._対象月初,EOMONTH(AX$1,-1)+1,
      _xlpm._今月初,EOMONTH(基準データ!$C$5,-1)+1,
      IF(
        _xlpm._対象月初&gt;_xlpm._今月初,
        IF(
          OR(AW59="",AW59=0),
          "",
          AW59*AX$107
        ),
        _xlfn.LET(
          _xlpm._参照先,
            "'[在庫状況把握_43期_2025-2026.xlsx]月次報告"
            &amp;TEXT(AX$1,"YYMM")
            &amp;"'!",
          _xlpm._戻り範囲,
            IF(
              _xlpm._対象月初=_xlpm._今月初,
              "$AG$1:$AG$300",
              "$G$1:$G$300"
            ),
          _xlfn.XLOOKUP(
            $C59,
            INDIRECT(_xlpm._参照先&amp;"$C$1:$C$300"),
            INDIRECT(_xlpm._参照先&amp;_xlpm._戻り範囲)
          )
        )
      )
    ),
    ""
  )
)</f>
        <v/>
      </c>
      <c r="AY59" s="223" t="str" cm="1">
        <f t="array" aca="1" ref="AY59" ca="1">IF($C59="","",
  IFERROR(
    _xlfn.LET(
      _xlpm._対象月初,EOMONTH(AY$1,-1)+1,
      _xlpm._今月初,EOMONTH(基準データ!$C$5,-1)+1,
      IF(
        _xlpm._対象月初&gt;_xlpm._今月初,
        IF(
          OR(AX59="",AX59=0),
          "",
          AX59*AY$107
        ),
        _xlfn.LET(
          _xlpm._参照先,
            "'[在庫状況把握_43期_2025-2026.xlsx]月次報告"
            &amp;TEXT(AY$1,"YYMM")
            &amp;"'!",
          _xlpm._戻り範囲,
            IF(
              _xlpm._対象月初=_xlpm._今月初,
              "$AG$1:$AG$300",
              "$G$1:$G$300"
            ),
          _xlfn.XLOOKUP(
            $C59,
            INDIRECT(_xlpm._参照先&amp;"$C$1:$C$300"),
            INDIRECT(_xlpm._参照先&amp;_xlpm._戻り範囲)
          )
        )
      )
    ),
    ""
  )
)</f>
        <v/>
      </c>
      <c r="AZ59" s="223" t="str" cm="1">
        <f t="array" aca="1" ref="AZ59" ca="1">IF($C59="","",
  IFERROR(
    _xlfn.LET(
      _xlpm._対象月初,EOMONTH(AZ$1,-1)+1,
      _xlpm._今月初,EOMONTH(基準データ!$C$5,-1)+1,
      IF(
        _xlpm._対象月初&gt;_xlpm._今月初,
        IF(
          OR(AY59="",AY59=0),
          "",
          AY59*AZ$107
        ),
        _xlfn.LET(
          _xlpm._参照先,
            "'[在庫状況把握_43期_2025-2026.xlsx]月次報告"
            &amp;TEXT(AZ$1,"YYMM")
            &amp;"'!",
          _xlpm._戻り範囲,
            IF(
              _xlpm._対象月初=_xlpm._今月初,
              "$AG$1:$AG$300",
              "$G$1:$G$300"
            ),
          _xlfn.XLOOKUP(
            $C59,
            INDIRECT(_xlpm._参照先&amp;"$C$1:$C$300"),
            INDIRECT(_xlpm._参照先&amp;_xlpm._戻り範囲)
          )
        )
      )
    ),
    ""
  )
)</f>
        <v/>
      </c>
      <c r="BA59" s="223" t="str" cm="1">
        <f t="array" aca="1" ref="BA59" ca="1">IF($C59="","",
  IFERROR(
    _xlfn.LET(
      _xlpm._対象月初,EOMONTH(BA$1,-1)+1,
      _xlpm._今月初,EOMONTH(基準データ!$C$5,-1)+1,
      IF(
        _xlpm._対象月初&gt;_xlpm._今月初,
        IF(
          OR(AZ59="",AZ59=0),
          "",
          AZ59*BA$107
        ),
        _xlfn.LET(
          _xlpm._参照先,
            "'[在庫状況把握_43期_2025-2026.xlsx]月次報告"
            &amp;TEXT(BA$1,"YYMM")
            &amp;"'!",
          _xlpm._戻り範囲,
            IF(
              _xlpm._対象月初=_xlpm._今月初,
              "$AG$1:$AG$300",
              "$G$1:$G$300"
            ),
          _xlfn.XLOOKUP(
            $C59,
            INDIRECT(_xlpm._参照先&amp;"$C$1:$C$300"),
            INDIRECT(_xlpm._参照先&amp;_xlpm._戻り範囲)
          )
        )
      )
    ),
    ""
  )
)</f>
        <v/>
      </c>
      <c r="BB59" s="223" t="str" cm="1">
        <f t="array" aca="1" ref="BB59" ca="1">IF($C59="","",
  IFERROR(
    _xlfn.LET(
      _xlpm._対象月初,EOMONTH(BB$1,-1)+1,
      _xlpm._今月初,EOMONTH(基準データ!$C$5,-1)+1,
      IF(
        _xlpm._対象月初&gt;_xlpm._今月初,
        IF(
          OR(BA59="",BA59=0),
          "",
          BA59*BB$107
        ),
        _xlfn.LET(
          _xlpm._参照先,
            "'[在庫状況把握_43期_2025-2026.xlsx]月次報告"
            &amp;TEXT(BB$1,"YYMM")
            &amp;"'!",
          _xlpm._戻り範囲,
            IF(
              _xlpm._対象月初=_xlpm._今月初,
              "$AG$1:$AG$300",
              "$G$1:$G$300"
            ),
          _xlfn.XLOOKUP(
            $C59,
            INDIRECT(_xlpm._参照先&amp;"$C$1:$C$300"),
            INDIRECT(_xlpm._参照先&amp;_xlpm._戻り範囲)
          )
        )
      )
    ),
    ""
  )
)</f>
        <v/>
      </c>
      <c r="BC59" s="223" t="str" cm="1">
        <f t="array" aca="1" ref="BC59" ca="1">IF($C59="","",
  IFERROR(
    _xlfn.LET(
      _xlpm._対象月初,EOMONTH(BC$1,-1)+1,
      _xlpm._今月初,EOMONTH(基準データ!$C$5,-1)+1,
      IF(
        _xlpm._対象月初&gt;_xlpm._今月初,
        IF(
          OR(BB59="",BB59=0),
          "",
          BB59*BC$107
        ),
        _xlfn.LET(
          _xlpm._参照先,
            "'[在庫状況把握_43期_2025-2026.xlsx]月次報告"
            &amp;TEXT(BC$1,"YYMM")
            &amp;"'!",
          _xlpm._戻り範囲,
            IF(
              _xlpm._対象月初=_xlpm._今月初,
              "$AG$1:$AG$300",
              "$G$1:$G$300"
            ),
          _xlfn.XLOOKUP(
            $C59,
            INDIRECT(_xlpm._参照先&amp;"$C$1:$C$300"),
            INDIRECT(_xlpm._参照先&amp;_xlpm._戻り範囲)
          )
        )
      )
    ),
    ""
  )
)</f>
        <v/>
      </c>
      <c r="BD59" s="223" t="str" cm="1">
        <f t="array" aca="1" ref="BD59" ca="1">IF($C59="","",
  IFERROR(
    _xlfn.LET(
      _xlpm._対象月初,EOMONTH(BD$1,-1)+1,
      _xlpm._今月初,EOMONTH(基準データ!$C$5,-1)+1,
      IF(
        _xlpm._対象月初&gt;_xlpm._今月初,
        IF(
          OR(BC59="",BC59=0),
          "",
          BC59*BD$107
        ),
        _xlfn.LET(
          _xlpm._参照先,
            "'[在庫状況把握_43期_2025-2026.xlsx]月次報告"
            &amp;TEXT(BD$1,"YYMM")
            &amp;"'!",
          _xlpm._戻り範囲,
            IF(
              _xlpm._対象月初=_xlpm._今月初,
              "$AG$1:$AG$300",
              "$G$1:$G$300"
            ),
          _xlfn.XLOOKUP(
            $C59,
            INDIRECT(_xlpm._参照先&amp;"$C$1:$C$300"),
            INDIRECT(_xlpm._参照先&amp;_xlpm._戻り範囲)
          )
        )
      )
    ),
    ""
  )
)</f>
        <v/>
      </c>
    </row>
    <row r="60" spans="1:56" ht="18.75" customHeight="1">
      <c r="A60" s="1061" t="s">
        <v>1650</v>
      </c>
      <c r="B60" s="28" t="str">
        <v>CLE-L260-155U-UMA-L6 Thirdwave</v>
      </c>
      <c r="C60" s="24" t="s">
        <v>540</v>
      </c>
      <c r="D60" s="24" t="s">
        <v>1422</v>
      </c>
      <c r="E60" s="26" t="s">
        <v>1423</v>
      </c>
      <c r="F60" s="26" t="s">
        <v>1372</v>
      </c>
      <c r="G60" s="355" t="str">
        <v/>
      </c>
      <c r="H60" s="109" t="str" cm="1">
        <f t="array" aca="1" ref="H60" ca="1">_xlfn.LET(_xlpm._来月から4ヶ月計画合計,
  SUM(
    OFFSET($A60,0,
      MATCH(
        EDATE(基準データ!$C$5,3),$A$1:$BF$1,1
      )-3,1,4)),
_xlpm._今月計画数,
INDEX($A$1:$BE$223,
  ROW(),
  MATCH(EOMONTH(基準データ!$C$5,-1)+1,$A$1:$BE$1,0)
),
  IFERROR(IF($B60="","",_xlpm._来月から4ヶ月計画合計+_xlpm._今月計画数/2),""
)
)</f>
        <v/>
      </c>
      <c r="I60" s="38"/>
      <c r="J60" s="38"/>
      <c r="K60" s="38"/>
      <c r="L60" s="38"/>
      <c r="M60" s="38"/>
      <c r="N60" s="38"/>
      <c r="O60" s="38"/>
      <c r="P60" s="38"/>
      <c r="Q60" s="219"/>
      <c r="R60" s="219"/>
      <c r="S60" s="219"/>
      <c r="T60" s="219"/>
      <c r="U60" s="224">
        <v>214</v>
      </c>
      <c r="V60" s="335">
        <v>144</v>
      </c>
      <c r="W60" s="333">
        <v>546</v>
      </c>
      <c r="X60" s="333">
        <v>248</v>
      </c>
      <c r="Y60" s="333">
        <v>152</v>
      </c>
      <c r="Z60" s="219">
        <v>268</v>
      </c>
      <c r="AA60" s="219">
        <v>7</v>
      </c>
      <c r="AB60" s="219">
        <v>26</v>
      </c>
      <c r="AC60" s="224">
        <v>125</v>
      </c>
      <c r="AD60" s="224">
        <v>96</v>
      </c>
      <c r="AE60" s="223">
        <v>53</v>
      </c>
      <c r="AF60" s="223">
        <v>24</v>
      </c>
      <c r="AG60" s="223">
        <v>22</v>
      </c>
      <c r="AH60" s="223">
        <v>9</v>
      </c>
      <c r="AI60" s="223">
        <v>18</v>
      </c>
      <c r="AJ60" s="223">
        <v>0</v>
      </c>
      <c r="AK60" s="223">
        <v>0</v>
      </c>
      <c r="AL60" s="223" t="str" cm="1">
        <f t="array" aca="1" ref="AL60" ca="1">IF($C60="","",
  IFERROR(
    _xlfn.LET(
      _xlpm._対象月初,EOMONTH(AL$1,-1)+1,
      _xlpm._今月初,EOMONTH(基準データ!$C$5,-1)+1,
      IF(
        _xlpm._対象月初&gt;_xlpm._今月初,
        IF(
          OR(AK60="",AK60=0),
          "",
          AK60*AL$107
        ),
        _xlfn.LET(
          _xlpm._参照先,
            "'[在庫状況把握_43期_2025-2026.xlsx]月次報告"
            &amp;TEXT(AL$1,"YYMM")
            &amp;"'!",
          _xlpm._戻り範囲,
            IF(
              _xlpm._対象月初=_xlpm._今月初,
              "$AG$1:$AG$300",
              "$G$1:$G$300"
            ),
          _xlfn.XLOOKUP(
            $C60,
            INDIRECT(_xlpm._参照先&amp;"$C$1:$C$300"),
            INDIRECT(_xlpm._参照先&amp;_xlpm._戻り範囲)
          )
        )
      )
    ),
    ""
  )
)</f>
        <v/>
      </c>
      <c r="AM60" s="223" t="str" cm="1">
        <f t="array" aca="1" ref="AM60" ca="1">IF($C60="","",
  IFERROR(
    _xlfn.LET(
      _xlpm._対象月初,EOMONTH(AM$1,-1)+1,
      _xlpm._今月初,EOMONTH(基準データ!$C$5,-1)+1,
      IF(
        _xlpm._対象月初&gt;_xlpm._今月初,
        IF(
          OR(AL60="",AL60=0),
          "",
          AL60*AM$107
        ),
        _xlfn.LET(
          _xlpm._参照先,
            "'[在庫状況把握_43期_2025-2026.xlsx]月次報告"
            &amp;TEXT(AM$1,"YYMM")
            &amp;"'!",
          _xlpm._戻り範囲,
            IF(
              _xlpm._対象月初=_xlpm._今月初,
              "$AG$1:$AG$300",
              "$G$1:$G$300"
            ),
          _xlfn.XLOOKUP(
            $C60,
            INDIRECT(_xlpm._参照先&amp;"$C$1:$C$300"),
            INDIRECT(_xlpm._参照先&amp;_xlpm._戻り範囲)
          )
        )
      )
    ),
    ""
  )
)</f>
        <v/>
      </c>
      <c r="AN60" s="223" t="str" cm="1">
        <f t="array" aca="1" ref="AN60" ca="1">IF($C60="","",
  IFERROR(
    _xlfn.LET(
      _xlpm._対象月初,EOMONTH(AN$1,-1)+1,
      _xlpm._今月初,EOMONTH(基準データ!$C$5,-1)+1,
      IF(
        _xlpm._対象月初&gt;_xlpm._今月初,
        IF(
          OR(AM60="",AM60=0),
          "",
          AM60*AN$107
        ),
        _xlfn.LET(
          _xlpm._参照先,
            "'[在庫状況把握_43期_2025-2026.xlsx]月次報告"
            &amp;TEXT(AN$1,"YYMM")
            &amp;"'!",
          _xlpm._戻り範囲,
            IF(
              _xlpm._対象月初=_xlpm._今月初,
              "$AG$1:$AG$300",
              "$G$1:$G$300"
            ),
          _xlfn.XLOOKUP(
            $C60,
            INDIRECT(_xlpm._参照先&amp;"$C$1:$C$300"),
            INDIRECT(_xlpm._参照先&amp;_xlpm._戻り範囲)
          )
        )
      )
    ),
    ""
  )
)</f>
        <v/>
      </c>
      <c r="AO60" s="223" t="str" cm="1">
        <f t="array" aca="1" ref="AO60" ca="1">IF($C60="","",
  IFERROR(
    _xlfn.LET(
      _xlpm._対象月初,EOMONTH(AO$1,-1)+1,
      _xlpm._今月初,EOMONTH(基準データ!$C$5,-1)+1,
      IF(
        _xlpm._対象月初&gt;_xlpm._今月初,
        IF(
          OR(AN60="",AN60=0),
          "",
          AN60*AO$107
        ),
        _xlfn.LET(
          _xlpm._参照先,
            "'[在庫状況把握_43期_2025-2026.xlsx]月次報告"
            &amp;TEXT(AO$1,"YYMM")
            &amp;"'!",
          _xlpm._戻り範囲,
            IF(
              _xlpm._対象月初=_xlpm._今月初,
              "$AG$1:$AG$300",
              "$G$1:$G$300"
            ),
          _xlfn.XLOOKUP(
            $C60,
            INDIRECT(_xlpm._参照先&amp;"$C$1:$C$300"),
            INDIRECT(_xlpm._参照先&amp;_xlpm._戻り範囲)
          )
        )
      )
    ),
    ""
  )
)</f>
        <v/>
      </c>
      <c r="AP60" s="223" t="str" cm="1">
        <f t="array" aca="1" ref="AP60" ca="1">IF($C60="","",
  IFERROR(
    _xlfn.LET(
      _xlpm._対象月初,EOMONTH(AP$1,-1)+1,
      _xlpm._今月初,EOMONTH(基準データ!$C$5,-1)+1,
      IF(
        _xlpm._対象月初&gt;_xlpm._今月初,
        IF(
          OR(AO60="",AO60=0),
          "",
          AO60*AP$107
        ),
        _xlfn.LET(
          _xlpm._参照先,
            "'[在庫状況把握_43期_2025-2026.xlsx]月次報告"
            &amp;TEXT(AP$1,"YYMM")
            &amp;"'!",
          _xlpm._戻り範囲,
            IF(
              _xlpm._対象月初=_xlpm._今月初,
              "$AG$1:$AG$300",
              "$G$1:$G$300"
            ),
          _xlfn.XLOOKUP(
            $C60,
            INDIRECT(_xlpm._参照先&amp;"$C$1:$C$300"),
            INDIRECT(_xlpm._参照先&amp;_xlpm._戻り範囲)
          )
        )
      )
    ),
    ""
  )
)</f>
        <v/>
      </c>
      <c r="AQ60" s="223" t="str" cm="1">
        <f t="array" aca="1" ref="AQ60" ca="1">IF($C60="","",
  IFERROR(
    _xlfn.LET(
      _xlpm._対象月初,EOMONTH(AQ$1,-1)+1,
      _xlpm._今月初,EOMONTH(基準データ!$C$5,-1)+1,
      IF(
        _xlpm._対象月初&gt;_xlpm._今月初,
        IF(
          OR(AP60="",AP60=0),
          "",
          AP60*AQ$107
        ),
        _xlfn.LET(
          _xlpm._参照先,
            "'[在庫状況把握_43期_2025-2026.xlsx]月次報告"
            &amp;TEXT(AQ$1,"YYMM")
            &amp;"'!",
          _xlpm._戻り範囲,
            IF(
              _xlpm._対象月初=_xlpm._今月初,
              "$AG$1:$AG$300",
              "$G$1:$G$300"
            ),
          _xlfn.XLOOKUP(
            $C60,
            INDIRECT(_xlpm._参照先&amp;"$C$1:$C$300"),
            INDIRECT(_xlpm._参照先&amp;_xlpm._戻り範囲)
          )
        )
      )
    ),
    ""
  )
)</f>
        <v/>
      </c>
      <c r="AR60" s="223" t="str" cm="1">
        <f t="array" aca="1" ref="AR60" ca="1">IF($C60="","",
  IFERROR(
    _xlfn.LET(
      _xlpm._対象月初,EOMONTH(AR$1,-1)+1,
      _xlpm._今月初,EOMONTH(基準データ!$C$5,-1)+1,
      IF(
        _xlpm._対象月初&gt;_xlpm._今月初,
        IF(
          OR(AQ60="",AQ60=0),
          "",
          AQ60*AR$107
        ),
        _xlfn.LET(
          _xlpm._参照先,
            "'[在庫状況把握_43期_2025-2026.xlsx]月次報告"
            &amp;TEXT(AR$1,"YYMM")
            &amp;"'!",
          _xlpm._戻り範囲,
            IF(
              _xlpm._対象月初=_xlpm._今月初,
              "$AG$1:$AG$300",
              "$G$1:$G$300"
            ),
          _xlfn.XLOOKUP(
            $C60,
            INDIRECT(_xlpm._参照先&amp;"$C$1:$C$300"),
            INDIRECT(_xlpm._参照先&amp;_xlpm._戻り範囲)
          )
        )
      )
    ),
    ""
  )
)</f>
        <v/>
      </c>
      <c r="AS60" s="223" t="str" cm="1">
        <f t="array" aca="1" ref="AS60" ca="1">IF($C60="","",
  IFERROR(
    _xlfn.LET(
      _xlpm._対象月初,EOMONTH(AS$1,-1)+1,
      _xlpm._今月初,EOMONTH(基準データ!$C$5,-1)+1,
      IF(
        _xlpm._対象月初&gt;_xlpm._今月初,
        IF(
          OR(AR60="",AR60=0),
          "",
          AR60*AS$107
        ),
        _xlfn.LET(
          _xlpm._参照先,
            "'[在庫状況把握_43期_2025-2026.xlsx]月次報告"
            &amp;TEXT(AS$1,"YYMM")
            &amp;"'!",
          _xlpm._戻り範囲,
            IF(
              _xlpm._対象月初=_xlpm._今月初,
              "$AG$1:$AG$300",
              "$G$1:$G$300"
            ),
          _xlfn.XLOOKUP(
            $C60,
            INDIRECT(_xlpm._参照先&amp;"$C$1:$C$300"),
            INDIRECT(_xlpm._参照先&amp;_xlpm._戻り範囲)
          )
        )
      )
    ),
    ""
  )
)</f>
        <v/>
      </c>
      <c r="AT60" s="223" t="str" cm="1">
        <f t="array" aca="1" ref="AT60" ca="1">IF($C60="","",
  IFERROR(
    _xlfn.LET(
      _xlpm._対象月初,EOMONTH(AT$1,-1)+1,
      _xlpm._今月初,EOMONTH(基準データ!$C$5,-1)+1,
      IF(
        _xlpm._対象月初&gt;_xlpm._今月初,
        IF(
          OR(AS60="",AS60=0),
          "",
          AS60*AT$107
        ),
        _xlfn.LET(
          _xlpm._参照先,
            "'[在庫状況把握_43期_2025-2026.xlsx]月次報告"
            &amp;TEXT(AT$1,"YYMM")
            &amp;"'!",
          _xlpm._戻り範囲,
            IF(
              _xlpm._対象月初=_xlpm._今月初,
              "$AG$1:$AG$300",
              "$G$1:$G$300"
            ),
          _xlfn.XLOOKUP(
            $C60,
            INDIRECT(_xlpm._参照先&amp;"$C$1:$C$300"),
            INDIRECT(_xlpm._参照先&amp;_xlpm._戻り範囲)
          )
        )
      )
    ),
    ""
  )
)</f>
        <v/>
      </c>
      <c r="AU60" s="223" t="str" cm="1">
        <f t="array" aca="1" ref="AU60" ca="1">IF($C60="","",
  IFERROR(
    _xlfn.LET(
      _xlpm._対象月初,EOMONTH(AU$1,-1)+1,
      _xlpm._今月初,EOMONTH(基準データ!$C$5,-1)+1,
      IF(
        _xlpm._対象月初&gt;_xlpm._今月初,
        IF(
          OR(AT60="",AT60=0),
          "",
          AT60*AU$107
        ),
        _xlfn.LET(
          _xlpm._参照先,
            "'[在庫状況把握_43期_2025-2026.xlsx]月次報告"
            &amp;TEXT(AU$1,"YYMM")
            &amp;"'!",
          _xlpm._戻り範囲,
            IF(
              _xlpm._対象月初=_xlpm._今月初,
              "$AG$1:$AG$300",
              "$G$1:$G$300"
            ),
          _xlfn.XLOOKUP(
            $C60,
            INDIRECT(_xlpm._参照先&amp;"$C$1:$C$300"),
            INDIRECT(_xlpm._参照先&amp;_xlpm._戻り範囲)
          )
        )
      )
    ),
    ""
  )
)</f>
        <v/>
      </c>
      <c r="AV60" s="223" t="str" cm="1">
        <f t="array" aca="1" ref="AV60" ca="1">IF($C60="","",
  IFERROR(
    _xlfn.LET(
      _xlpm._対象月初,EOMONTH(AV$1,-1)+1,
      _xlpm._今月初,EOMONTH(基準データ!$C$5,-1)+1,
      IF(
        _xlpm._対象月初&gt;_xlpm._今月初,
        IF(
          OR(AU60="",AU60=0),
          "",
          AU60*AV$107
        ),
        _xlfn.LET(
          _xlpm._参照先,
            "'[在庫状況把握_43期_2025-2026.xlsx]月次報告"
            &amp;TEXT(AV$1,"YYMM")
            &amp;"'!",
          _xlpm._戻り範囲,
            IF(
              _xlpm._対象月初=_xlpm._今月初,
              "$AG$1:$AG$300",
              "$G$1:$G$300"
            ),
          _xlfn.XLOOKUP(
            $C60,
            INDIRECT(_xlpm._参照先&amp;"$C$1:$C$300"),
            INDIRECT(_xlpm._参照先&amp;_xlpm._戻り範囲)
          )
        )
      )
    ),
    ""
  )
)</f>
        <v/>
      </c>
      <c r="AW60" s="223" t="str" cm="1">
        <f t="array" aca="1" ref="AW60" ca="1">IF($C60="","",
  IFERROR(
    _xlfn.LET(
      _xlpm._対象月初,EOMONTH(AW$1,-1)+1,
      _xlpm._今月初,EOMONTH(基準データ!$C$5,-1)+1,
      IF(
        _xlpm._対象月初&gt;_xlpm._今月初,
        IF(
          OR(AV60="",AV60=0),
          "",
          AV60*AW$107
        ),
        _xlfn.LET(
          _xlpm._参照先,
            "'[在庫状況把握_43期_2025-2026.xlsx]月次報告"
            &amp;TEXT(AW$1,"YYMM")
            &amp;"'!",
          _xlpm._戻り範囲,
            IF(
              _xlpm._対象月初=_xlpm._今月初,
              "$AG$1:$AG$300",
              "$G$1:$G$300"
            ),
          _xlfn.XLOOKUP(
            $C60,
            INDIRECT(_xlpm._参照先&amp;"$C$1:$C$300"),
            INDIRECT(_xlpm._参照先&amp;_xlpm._戻り範囲)
          )
        )
      )
    ),
    ""
  )
)</f>
        <v/>
      </c>
      <c r="AX60" s="223" t="str" cm="1">
        <f t="array" aca="1" ref="AX60" ca="1">IF($C60="","",
  IFERROR(
    _xlfn.LET(
      _xlpm._対象月初,EOMONTH(AX$1,-1)+1,
      _xlpm._今月初,EOMONTH(基準データ!$C$5,-1)+1,
      IF(
        _xlpm._対象月初&gt;_xlpm._今月初,
        IF(
          OR(AW60="",AW60=0),
          "",
          AW60*AX$107
        ),
        _xlfn.LET(
          _xlpm._参照先,
            "'[在庫状況把握_43期_2025-2026.xlsx]月次報告"
            &amp;TEXT(AX$1,"YYMM")
            &amp;"'!",
          _xlpm._戻り範囲,
            IF(
              _xlpm._対象月初=_xlpm._今月初,
              "$AG$1:$AG$300",
              "$G$1:$G$300"
            ),
          _xlfn.XLOOKUP(
            $C60,
            INDIRECT(_xlpm._参照先&amp;"$C$1:$C$300"),
            INDIRECT(_xlpm._参照先&amp;_xlpm._戻り範囲)
          )
        )
      )
    ),
    ""
  )
)</f>
        <v/>
      </c>
      <c r="AY60" s="223" t="str" cm="1">
        <f t="array" aca="1" ref="AY60" ca="1">IF($C60="","",
  IFERROR(
    _xlfn.LET(
      _xlpm._対象月初,EOMONTH(AY$1,-1)+1,
      _xlpm._今月初,EOMONTH(基準データ!$C$5,-1)+1,
      IF(
        _xlpm._対象月初&gt;_xlpm._今月初,
        IF(
          OR(AX60="",AX60=0),
          "",
          AX60*AY$107
        ),
        _xlfn.LET(
          _xlpm._参照先,
            "'[在庫状況把握_43期_2025-2026.xlsx]月次報告"
            &amp;TEXT(AY$1,"YYMM")
            &amp;"'!",
          _xlpm._戻り範囲,
            IF(
              _xlpm._対象月初=_xlpm._今月初,
              "$AG$1:$AG$300",
              "$G$1:$G$300"
            ),
          _xlfn.XLOOKUP(
            $C60,
            INDIRECT(_xlpm._参照先&amp;"$C$1:$C$300"),
            INDIRECT(_xlpm._参照先&amp;_xlpm._戻り範囲)
          )
        )
      )
    ),
    ""
  )
)</f>
        <v/>
      </c>
      <c r="AZ60" s="223" t="str" cm="1">
        <f t="array" aca="1" ref="AZ60" ca="1">IF($C60="","",
  IFERROR(
    _xlfn.LET(
      _xlpm._対象月初,EOMONTH(AZ$1,-1)+1,
      _xlpm._今月初,EOMONTH(基準データ!$C$5,-1)+1,
      IF(
        _xlpm._対象月初&gt;_xlpm._今月初,
        IF(
          OR(AY60="",AY60=0),
          "",
          AY60*AZ$107
        ),
        _xlfn.LET(
          _xlpm._参照先,
            "'[在庫状況把握_43期_2025-2026.xlsx]月次報告"
            &amp;TEXT(AZ$1,"YYMM")
            &amp;"'!",
          _xlpm._戻り範囲,
            IF(
              _xlpm._対象月初=_xlpm._今月初,
              "$AG$1:$AG$300",
              "$G$1:$G$300"
            ),
          _xlfn.XLOOKUP(
            $C60,
            INDIRECT(_xlpm._参照先&amp;"$C$1:$C$300"),
            INDIRECT(_xlpm._参照先&amp;_xlpm._戻り範囲)
          )
        )
      )
    ),
    ""
  )
)</f>
        <v/>
      </c>
      <c r="BA60" s="223" t="str" cm="1">
        <f t="array" aca="1" ref="BA60" ca="1">IF($C60="","",
  IFERROR(
    _xlfn.LET(
      _xlpm._対象月初,EOMONTH(BA$1,-1)+1,
      _xlpm._今月初,EOMONTH(基準データ!$C$5,-1)+1,
      IF(
        _xlpm._対象月初&gt;_xlpm._今月初,
        IF(
          OR(AZ60="",AZ60=0),
          "",
          AZ60*BA$107
        ),
        _xlfn.LET(
          _xlpm._参照先,
            "'[在庫状況把握_43期_2025-2026.xlsx]月次報告"
            &amp;TEXT(BA$1,"YYMM")
            &amp;"'!",
          _xlpm._戻り範囲,
            IF(
              _xlpm._対象月初=_xlpm._今月初,
              "$AG$1:$AG$300",
              "$G$1:$G$300"
            ),
          _xlfn.XLOOKUP(
            $C60,
            INDIRECT(_xlpm._参照先&amp;"$C$1:$C$300"),
            INDIRECT(_xlpm._参照先&amp;_xlpm._戻り範囲)
          )
        )
      )
    ),
    ""
  )
)</f>
        <v/>
      </c>
      <c r="BB60" s="223" t="str" cm="1">
        <f t="array" aca="1" ref="BB60" ca="1">IF($C60="","",
  IFERROR(
    _xlfn.LET(
      _xlpm._対象月初,EOMONTH(BB$1,-1)+1,
      _xlpm._今月初,EOMONTH(基準データ!$C$5,-1)+1,
      IF(
        _xlpm._対象月初&gt;_xlpm._今月初,
        IF(
          OR(BA60="",BA60=0),
          "",
          BA60*BB$107
        ),
        _xlfn.LET(
          _xlpm._参照先,
            "'[在庫状況把握_43期_2025-2026.xlsx]月次報告"
            &amp;TEXT(BB$1,"YYMM")
            &amp;"'!",
          _xlpm._戻り範囲,
            IF(
              _xlpm._対象月初=_xlpm._今月初,
              "$AG$1:$AG$300",
              "$G$1:$G$300"
            ),
          _xlfn.XLOOKUP(
            $C60,
            INDIRECT(_xlpm._参照先&amp;"$C$1:$C$300"),
            INDIRECT(_xlpm._参照先&amp;_xlpm._戻り範囲)
          )
        )
      )
    ),
    ""
  )
)</f>
        <v/>
      </c>
      <c r="BC60" s="223" t="str" cm="1">
        <f t="array" aca="1" ref="BC60" ca="1">IF($C60="","",
  IFERROR(
    _xlfn.LET(
      _xlpm._対象月初,EOMONTH(BC$1,-1)+1,
      _xlpm._今月初,EOMONTH(基準データ!$C$5,-1)+1,
      IF(
        _xlpm._対象月初&gt;_xlpm._今月初,
        IF(
          OR(BB60="",BB60=0),
          "",
          BB60*BC$107
        ),
        _xlfn.LET(
          _xlpm._参照先,
            "'[在庫状況把握_43期_2025-2026.xlsx]月次報告"
            &amp;TEXT(BC$1,"YYMM")
            &amp;"'!",
          _xlpm._戻り範囲,
            IF(
              _xlpm._対象月初=_xlpm._今月初,
              "$AG$1:$AG$300",
              "$G$1:$G$300"
            ),
          _xlfn.XLOOKUP(
            $C60,
            INDIRECT(_xlpm._参照先&amp;"$C$1:$C$300"),
            INDIRECT(_xlpm._参照先&amp;_xlpm._戻り範囲)
          )
        )
      )
    ),
    ""
  )
)</f>
        <v/>
      </c>
      <c r="BD60" s="223" t="str" cm="1">
        <f t="array" aca="1" ref="BD60" ca="1">IF($C60="","",
  IFERROR(
    _xlfn.LET(
      _xlpm._対象月初,EOMONTH(BD$1,-1)+1,
      _xlpm._今月初,EOMONTH(基準データ!$C$5,-1)+1,
      IF(
        _xlpm._対象月初&gt;_xlpm._今月初,
        IF(
          OR(BC60="",BC60=0),
          "",
          BC60*BD$107
        ),
        _xlfn.LET(
          _xlpm._参照先,
            "'[在庫状況把握_43期_2025-2026.xlsx]月次報告"
            &amp;TEXT(BD$1,"YYMM")
            &amp;"'!",
          _xlpm._戻り範囲,
            IF(
              _xlpm._対象月初=_xlpm._今月初,
              "$AG$1:$AG$300",
              "$G$1:$G$300"
            ),
          _xlfn.XLOOKUP(
            $C60,
            INDIRECT(_xlpm._参照先&amp;"$C$1:$C$300"),
            INDIRECT(_xlpm._参照先&amp;_xlpm._戻り範囲)
          )
        )
      )
    ),
    ""
  )
)</f>
        <v/>
      </c>
    </row>
    <row r="61" spans="1:56" ht="18.75" customHeight="1">
      <c r="A61" s="1061" t="s">
        <v>1650</v>
      </c>
      <c r="B61" s="26" t="str">
        <v>CLE-L26-U7-355-UMA-32G-L7 Thirdwave</v>
      </c>
      <c r="C61" s="24" t="s">
        <v>551</v>
      </c>
      <c r="D61" s="24" t="s">
        <v>1422</v>
      </c>
      <c r="E61" s="26" t="s">
        <v>1423</v>
      </c>
      <c r="F61" s="24" t="s">
        <v>1372</v>
      </c>
      <c r="G61" s="355">
        <v>168</v>
      </c>
      <c r="H61" s="109" cm="1">
        <f t="array" aca="1" ref="H61" ca="1">_xlfn.LET(_xlpm._来月から4ヶ月計画合計,
  SUM(
    OFFSET($A61,0,
      MATCH(
        EDATE(基準データ!$C$5,3),$A$1:$BF$1,1
      )-3,1,4)),
_xlpm._今月計画数,
INDEX($A$1:$BE$223,
  ROW(),
  MATCH(EOMONTH(基準データ!$C$5,-1)+1,$A$1:$BE$1,0)
),
  IFERROR(IF($B61="","",_xlpm._来月から4ヶ月計画合計+_xlpm._今月計画数/2),""
)
)</f>
        <v>96.566490677002264</v>
      </c>
      <c r="I61" s="311"/>
      <c r="J61" s="311"/>
      <c r="K61" s="311"/>
      <c r="L61" s="311"/>
      <c r="M61" s="311"/>
      <c r="N61" s="311"/>
      <c r="O61" s="311"/>
      <c r="P61" s="298"/>
      <c r="Q61" s="298"/>
      <c r="R61" s="298"/>
      <c r="S61" s="298"/>
      <c r="T61" s="298"/>
      <c r="U61" s="224"/>
      <c r="V61" s="335"/>
      <c r="W61" s="333">
        <v>1</v>
      </c>
      <c r="X61" s="333">
        <v>138</v>
      </c>
      <c r="Y61" s="333">
        <v>173</v>
      </c>
      <c r="Z61" s="219">
        <v>126</v>
      </c>
      <c r="AA61" s="219">
        <v>391</v>
      </c>
      <c r="AB61" s="219">
        <v>292</v>
      </c>
      <c r="AC61" s="224">
        <v>339</v>
      </c>
      <c r="AD61" s="224" t="s">
        <v>21</v>
      </c>
      <c r="AE61" s="223" t="s">
        <v>21</v>
      </c>
      <c r="AF61" s="223">
        <v>0</v>
      </c>
      <c r="AG61" s="223">
        <v>0</v>
      </c>
      <c r="AH61" s="223">
        <v>2</v>
      </c>
      <c r="AI61" s="223">
        <v>2</v>
      </c>
      <c r="AJ61" s="223">
        <v>14</v>
      </c>
      <c r="AK61" s="223">
        <v>22</v>
      </c>
      <c r="AL61" s="223" cm="1">
        <f t="array" aca="1" ref="AL61" ca="1">IF($C61="","",
  IFERROR(
    _xlfn.LET(
      _xlpm._対象月初,EOMONTH(AL$1,-1)+1,
      _xlpm._今月初,EOMONTH(基準データ!$C$5,-1)+1,
      IF(
        _xlpm._対象月初&gt;_xlpm._今月初,
        IF(
          OR(AK61="",AK61=0),
          "",
          AK61*AL$107
        ),
        _xlfn.LET(
          _xlpm._参照先,
            "'[在庫状況把握_43期_2025-2026.xlsx]月次報告"
            &amp;TEXT(AL$1,"YYMM")
            &amp;"'!",
          _xlpm._戻り範囲,
            IF(
              _xlpm._対象月初=_xlpm._今月初,
              "$AG$1:$AG$300",
              "$G$1:$G$300"
            ),
          _xlfn.XLOOKUP(
            $C61,
            INDIRECT(_xlpm._参照先&amp;"$C$1:$C$300"),
            INDIRECT(_xlpm._参照先&amp;_xlpm._戻り範囲)
          )
        )
      )
    ),
    ""
  )
)</f>
        <v>23</v>
      </c>
      <c r="AM61" s="223" cm="1">
        <f t="array" aca="1" ref="AM61" ca="1">IF($C61="","",
  IFERROR(
    _xlfn.LET(
      _xlpm._対象月初,EOMONTH(AM$1,-1)+1,
      _xlpm._今月初,EOMONTH(基準データ!$C$5,-1)+1,
      IF(
        _xlpm._対象月初&gt;_xlpm._今月初,
        IF(
          OR(AL61="",AL61=0),
          "",
          AL61*AM$107
        ),
        _xlfn.LET(
          _xlpm._参照先,
            "'[在庫状況把握_43期_2025-2026.xlsx]月次報告"
            &amp;TEXT(AM$1,"YYMM")
            &amp;"'!",
          _xlpm._戻り範囲,
            IF(
              _xlpm._対象月初=_xlpm._今月初,
              "$AG$1:$AG$300",
              "$G$1:$G$300"
            ),
          _xlfn.XLOOKUP(
            $C61,
            INDIRECT(_xlpm._参照先&amp;"$C$1:$C$300"),
            INDIRECT(_xlpm._参照先&amp;_xlpm._戻り範囲)
          )
        )
      )
    ),
    ""
  )
)</f>
        <v>21.035714285714288</v>
      </c>
      <c r="AN61" s="223" cm="1">
        <f t="array" aca="1" ref="AN61" ca="1">IF($C61="","",
  IFERROR(
    _xlfn.LET(
      _xlpm._対象月初,EOMONTH(AN$1,-1)+1,
      _xlpm._今月初,EOMONTH(基準データ!$C$5,-1)+1,
      IF(
        _xlpm._対象月初&gt;_xlpm._今月初,
        IF(
          OR(AM61="",AM61=0),
          "",
          AM61*AN$107
        ),
        _xlfn.LET(
          _xlpm._参照先,
            "'[在庫状況把握_43期_2025-2026.xlsx]月次報告"
            &amp;TEXT(AN$1,"YYMM")
            &amp;"'!",
          _xlpm._戻り範囲,
            IF(
              _xlpm._対象月初=_xlpm._今月初,
              "$AG$1:$AG$300",
              "$G$1:$G$300"
            ),
          _xlfn.XLOOKUP(
            $C61,
            INDIRECT(_xlpm._参照先&amp;"$C$1:$C$300"),
            INDIRECT(_xlpm._参照先&amp;_xlpm._戻り範囲)
          )
        )
      )
    ),
    ""
  )
)</f>
        <v>19.347789808606255</v>
      </c>
      <c r="AO61" s="223" cm="1">
        <f t="array" aca="1" ref="AO61" ca="1">IF($C61="","",
  IFERROR(
    _xlfn.LET(
      _xlpm._対象月初,EOMONTH(AO$1,-1)+1,
      _xlpm._今月初,EOMONTH(基準データ!$C$5,-1)+1,
      IF(
        _xlpm._対象月初&gt;_xlpm._今月初,
        IF(
          OR(AN61="",AN61=0),
          "",
          AN61*AO$107
        ),
        _xlfn.LET(
          _xlpm._参照先,
            "'[在庫状況把握_43期_2025-2026.xlsx]月次報告"
            &amp;TEXT(AO$1,"YYMM")
            &amp;"'!",
          _xlpm._戻り範囲,
            IF(
              _xlpm._対象月初=_xlpm._今月初,
              "$AG$1:$AG$300",
              "$G$1:$G$300"
            ),
          _xlfn.XLOOKUP(
            $C61,
            INDIRECT(_xlpm._参照先&amp;"$C$1:$C$300"),
            INDIRECT(_xlpm._参照先&amp;_xlpm._戻り範囲)
          )
        )
      )
    ),
    ""
  )
)</f>
        <v>20.900039357709566</v>
      </c>
      <c r="AP61" s="223" cm="1">
        <f t="array" aca="1" ref="AP61" ca="1">IF($C61="","",
  IFERROR(
    _xlfn.LET(
      _xlpm._対象月初,EOMONTH(AP$1,-1)+1,
      _xlpm._今月初,EOMONTH(基準データ!$C$5,-1)+1,
      IF(
        _xlpm._対象月初&gt;_xlpm._今月初,
        IF(
          OR(AO61="",AO61=0),
          "",
          AO61*AP$107
        ),
        _xlfn.LET(
          _xlpm._参照先,
            "'[在庫状況把握_43期_2025-2026.xlsx]月次報告"
            &amp;TEXT(AP$1,"YYMM")
            &amp;"'!",
          _xlpm._戻り範囲,
            IF(
              _xlpm._対象月初=_xlpm._今月初,
              "$AG$1:$AG$300",
              "$G$1:$G$300"
            ),
          _xlfn.XLOOKUP(
            $C61,
            INDIRECT(_xlpm._参照先&amp;"$C$1:$C$300"),
            INDIRECT(_xlpm._参照先&amp;_xlpm._戻り範囲)
          )
        )
      )
    ),
    ""
  )
)</f>
        <v>22.507092947954906</v>
      </c>
      <c r="AQ61" s="223" cm="1">
        <f t="array" aca="1" ref="AQ61" ca="1">IF($C61="","",
  IFERROR(
    _xlfn.LET(
      _xlpm._対象月初,EOMONTH(AQ$1,-1)+1,
      _xlpm._今月初,EOMONTH(基準データ!$C$5,-1)+1,
      IF(
        _xlpm._対象月初&gt;_xlpm._今月初,
        IF(
          OR(AP61="",AP61=0),
          "",
          AP61*AQ$107
        ),
        _xlfn.LET(
          _xlpm._参照先,
            "'[在庫状況把握_43期_2025-2026.xlsx]月次報告"
            &amp;TEXT(AQ$1,"YYMM")
            &amp;"'!",
          _xlpm._戻り範囲,
            IF(
              _xlpm._対象月初=_xlpm._今月初,
              "$AG$1:$AG$300",
              "$G$1:$G$300"
            ),
          _xlfn.XLOOKUP(
            $C61,
            INDIRECT(_xlpm._参照先&amp;"$C$1:$C$300"),
            INDIRECT(_xlpm._参照先&amp;_xlpm._戻り範囲)
          )
        )
      )
    ),
    ""
  )
)</f>
        <v>23.293711419874398</v>
      </c>
      <c r="AR61" s="223" cm="1">
        <f t="array" aca="1" ref="AR61" ca="1">IF($C61="","",
  IFERROR(
    _xlfn.LET(
      _xlpm._対象月初,EOMONTH(AR$1,-1)+1,
      _xlpm._今月初,EOMONTH(基準データ!$C$5,-1)+1,
      IF(
        _xlpm._対象月初&gt;_xlpm._今月初,
        IF(
          OR(AQ61="",AQ61=0),
          "",
          AQ61*AR$107
        ),
        _xlfn.LET(
          _xlpm._参照先,
            "'[在庫状況把握_43期_2025-2026.xlsx]月次報告"
            &amp;TEXT(AR$1,"YYMM")
            &amp;"'!",
          _xlpm._戻り範囲,
            IF(
              _xlpm._対象月初=_xlpm._今月初,
              "$AG$1:$AG$300",
              "$G$1:$G$300"
            ),
          _xlfn.XLOOKUP(
            $C61,
            INDIRECT(_xlpm._参照先&amp;"$C$1:$C$300"),
            INDIRECT(_xlpm._参照先&amp;_xlpm._戻り範囲)
          )
        )
      )
    ),
    ""
  )
)</f>
        <v>34.333257521201006</v>
      </c>
      <c r="AS61" s="223" cm="1">
        <f t="array" aca="1" ref="AS61" ca="1">IF($C61="","",
  IFERROR(
    _xlfn.LET(
      _xlpm._対象月初,EOMONTH(AS$1,-1)+1,
      _xlpm._今月初,EOMONTH(基準データ!$C$5,-1)+1,
      IF(
        _xlpm._対象月初&gt;_xlpm._今月初,
        IF(
          OR(AR61="",AR61=0),
          "",
          AR61*AS$107
        ),
        _xlfn.LET(
          _xlpm._参照先,
            "'[在庫状況把握_43期_2025-2026.xlsx]月次報告"
            &amp;TEXT(AS$1,"YYMM")
            &amp;"'!",
          _xlpm._戻り範囲,
            IF(
              _xlpm._対象月初=_xlpm._今月初,
              "$AG$1:$AG$300",
              "$G$1:$G$300"
            ),
          _xlfn.XLOOKUP(
            $C61,
            INDIRECT(_xlpm._参照先&amp;"$C$1:$C$300"),
            INDIRECT(_xlpm._参照先&amp;_xlpm._戻り範囲)
          )
        )
      )
    ),
    ""
  )
)</f>
        <v>29.628520017053919</v>
      </c>
      <c r="AT61" s="223" cm="1">
        <f t="array" aca="1" ref="AT61" ca="1">IF($C61="","",
  IFERROR(
    _xlfn.LET(
      _xlpm._対象月初,EOMONTH(AT$1,-1)+1,
      _xlpm._今月初,EOMONTH(基準データ!$C$5,-1)+1,
      IF(
        _xlpm._対象月初&gt;_xlpm._今月初,
        IF(
          OR(AS61="",AS61=0),
          "",
          AS61*AT$107
        ),
        _xlfn.LET(
          _xlpm._参照先,
            "'[在庫状況把握_43期_2025-2026.xlsx]月次報告"
            &amp;TEXT(AT$1,"YYMM")
            &amp;"'!",
          _xlpm._戻り範囲,
            IF(
              _xlpm._対象月初=_xlpm._今月初,
              "$AG$1:$AG$300",
              "$G$1:$G$300"
            ),
          _xlfn.XLOOKUP(
            $C61,
            INDIRECT(_xlpm._参照先&amp;"$C$1:$C$300"),
            INDIRECT(_xlpm._参照先&amp;_xlpm._戻り範囲)
          )
        )
      )
    ),
    ""
  )
)</f>
        <v>27.93414105127145</v>
      </c>
      <c r="AU61" s="223" cm="1">
        <f t="array" aca="1" ref="AU61" ca="1">IF($C61="","",
  IFERROR(
    _xlfn.LET(
      _xlpm._対象月初,EOMONTH(AU$1,-1)+1,
      _xlpm._今月初,EOMONTH(基準データ!$C$5,-1)+1,
      IF(
        _xlpm._対象月初&gt;_xlpm._今月初,
        IF(
          OR(AT61="",AT61=0),
          "",
          AT61*AU$107
        ),
        _xlfn.LET(
          _xlpm._参照先,
            "'[在庫状況把握_43期_2025-2026.xlsx]月次報告"
            &amp;TEXT(AU$1,"YYMM")
            &amp;"'!",
          _xlpm._戻り範囲,
            IF(
              _xlpm._対象月初=_xlpm._今月初,
              "$AG$1:$AG$300",
              "$G$1:$G$300"
            ),
          _xlfn.XLOOKUP(
            $C61,
            INDIRECT(_xlpm._参照先&amp;"$C$1:$C$300"),
            INDIRECT(_xlpm._参照先&amp;_xlpm._戻り範囲)
          )
        )
      )
    ),
    ""
  )
)</f>
        <v>41.281752760354628</v>
      </c>
      <c r="AV61" s="223" cm="1">
        <f t="array" aca="1" ref="AV61" ca="1">IF($C61="","",
  IFERROR(
    _xlfn.LET(
      _xlpm._対象月初,EOMONTH(AV$1,-1)+1,
      _xlpm._今月初,EOMONTH(基準データ!$C$5,-1)+1,
      IF(
        _xlpm._対象月初&gt;_xlpm._今月初,
        IF(
          OR(AU61="",AU61=0),
          "",
          AU61*AV$107
        ),
        _xlfn.LET(
          _xlpm._参照先,
            "'[在庫状況把握_43期_2025-2026.xlsx]月次報告"
            &amp;TEXT(AV$1,"YYMM")
            &amp;"'!",
          _xlpm._戻り範囲,
            IF(
              _xlpm._対象月初=_xlpm._今月初,
              "$AG$1:$AG$300",
              "$G$1:$G$300"
            ),
          _xlfn.XLOOKUP(
            $C61,
            INDIRECT(_xlpm._参照先&amp;"$C$1:$C$300"),
            INDIRECT(_xlpm._参照先&amp;_xlpm._戻り範囲)
          )
        )
      )
    ),
    ""
  )
)</f>
        <v>25.34832088313318</v>
      </c>
      <c r="AW61" s="223" cm="1">
        <f t="array" aca="1" ref="AW61" ca="1">IF($C61="","",
  IFERROR(
    _xlfn.LET(
      _xlpm._対象月初,EOMONTH(AW$1,-1)+1,
      _xlpm._今月初,EOMONTH(基準データ!$C$5,-1)+1,
      IF(
        _xlpm._対象月初&gt;_xlpm._今月初,
        IF(
          OR(AV61="",AV61=0),
          "",
          AV61*AW$107
        ),
        _xlfn.LET(
          _xlpm._参照先,
            "'[在庫状況把握_43期_2025-2026.xlsx]月次報告"
            &amp;TEXT(AW$1,"YYMM")
            &amp;"'!",
          _xlpm._戻り範囲,
            IF(
              _xlpm._対象月初=_xlpm._今月初,
              "$AG$1:$AG$300",
              "$G$1:$G$300"
            ),
          _xlfn.XLOOKUP(
            $C61,
            INDIRECT(_xlpm._参照先&amp;"$C$1:$C$300"),
            INDIRECT(_xlpm._参照先&amp;_xlpm._戻り範囲)
          )
        )
      )
    ),
    ""
  )
)</f>
        <v>18.38337044718336</v>
      </c>
      <c r="AX61" s="223" cm="1">
        <f t="array" aca="1" ref="AX61" ca="1">IF($C61="","",
  IFERROR(
    _xlfn.LET(
      _xlpm._対象月初,EOMONTH(AX$1,-1)+1,
      _xlpm._今月初,EOMONTH(基準データ!$C$5,-1)+1,
      IF(
        _xlpm._対象月初&gt;_xlpm._今月初,
        IF(
          OR(AW61="",AW61=0),
          "",
          AW61*AX$107
        ),
        _xlfn.LET(
          _xlpm._参照先,
            "'[在庫状況把握_43期_2025-2026.xlsx]月次報告"
            &amp;TEXT(AX$1,"YYMM")
            &amp;"'!",
          _xlpm._戻り範囲,
            IF(
              _xlpm._対象月初=_xlpm._今月初,
              "$AG$1:$AG$300",
              "$G$1:$G$300"
            ),
          _xlfn.XLOOKUP(
            $C61,
            INDIRECT(_xlpm._参照先&amp;"$C$1:$C$300"),
            INDIRECT(_xlpm._参照先&amp;_xlpm._戻り範囲)
          )
        )
      )
    ),
    ""
  )
)</f>
        <v>19.168520227047761</v>
      </c>
      <c r="AY61" s="223" cm="1">
        <f t="array" aca="1" ref="AY61" ca="1">IF($C61="","",
  IFERROR(
    _xlfn.LET(
      _xlpm._対象月初,EOMONTH(AY$1,-1)+1,
      _xlpm._今月初,EOMONTH(基準データ!$C$5,-1)+1,
      IF(
        _xlpm._対象月初&gt;_xlpm._今月初,
        IF(
          OR(AX61="",AX61=0),
          "",
          AX61*AY$107
        ),
        _xlfn.LET(
          _xlpm._参照先,
            "'[在庫状況把握_43期_2025-2026.xlsx]月次報告"
            &amp;TEXT(AY$1,"YYMM")
            &amp;"'!",
          _xlpm._戻り範囲,
            IF(
              _xlpm._対象月初=_xlpm._今月初,
              "$AG$1:$AG$300",
              "$G$1:$G$300"
            ),
          _xlfn.XLOOKUP(
            $C61,
            INDIRECT(_xlpm._参照先&amp;"$C$1:$C$300"),
            INDIRECT(_xlpm._参照先&amp;_xlpm._戻り範囲)
          )
        )
      )
    ),
    ""
  )
)</f>
        <v>21.035714285714292</v>
      </c>
      <c r="AZ61" s="223" cm="1">
        <f t="array" aca="1" ref="AZ61" ca="1">IF($C61="","",
  IFERROR(
    _xlfn.LET(
      _xlpm._対象月初,EOMONTH(AZ$1,-1)+1,
      _xlpm._今月初,EOMONTH(基準データ!$C$5,-1)+1,
      IF(
        _xlpm._対象月初&gt;_xlpm._今月初,
        IF(
          OR(AY61="",AY61=0),
          "",
          AY61*AZ$107
        ),
        _xlfn.LET(
          _xlpm._参照先,
            "'[在庫状況把握_43期_2025-2026.xlsx]月次報告"
            &amp;TEXT(AZ$1,"YYMM")
            &amp;"'!",
          _xlpm._戻り範囲,
            IF(
              _xlpm._対象月初=_xlpm._今月初,
              "$AG$1:$AG$300",
              "$G$1:$G$300"
            ),
          _xlfn.XLOOKUP(
            $C61,
            INDIRECT(_xlpm._参照先&amp;"$C$1:$C$300"),
            INDIRECT(_xlpm._参照先&amp;_xlpm._戻り範囲)
          )
        )
      )
    ),
    ""
  )
)</f>
        <v>19.347789808606258</v>
      </c>
      <c r="BA61" s="223" cm="1">
        <f t="array" aca="1" ref="BA61" ca="1">IF($C61="","",
  IFERROR(
    _xlfn.LET(
      _xlpm._対象月初,EOMONTH(BA$1,-1)+1,
      _xlpm._今月初,EOMONTH(基準データ!$C$5,-1)+1,
      IF(
        _xlpm._対象月初&gt;_xlpm._今月初,
        IF(
          OR(AZ61="",AZ61=0),
          "",
          AZ61*BA$107
        ),
        _xlfn.LET(
          _xlpm._参照先,
            "'[在庫状況把握_43期_2025-2026.xlsx]月次報告"
            &amp;TEXT(BA$1,"YYMM")
            &amp;"'!",
          _xlpm._戻り範囲,
            IF(
              _xlpm._対象月初=_xlpm._今月初,
              "$AG$1:$AG$300",
              "$G$1:$G$300"
            ),
          _xlfn.XLOOKUP(
            $C61,
            INDIRECT(_xlpm._参照先&amp;"$C$1:$C$300"),
            INDIRECT(_xlpm._参照先&amp;_xlpm._戻り範囲)
          )
        )
      )
    ),
    ""
  )
)</f>
        <v>20.90003935770957</v>
      </c>
      <c r="BB61" s="223" cm="1">
        <f t="array" aca="1" ref="BB61" ca="1">IF($C61="","",
  IFERROR(
    _xlfn.LET(
      _xlpm._対象月初,EOMONTH(BB$1,-1)+1,
      _xlpm._今月初,EOMONTH(基準データ!$C$5,-1)+1,
      IF(
        _xlpm._対象月初&gt;_xlpm._今月初,
        IF(
          OR(BA61="",BA61=0),
          "",
          BA61*BB$107
        ),
        _xlfn.LET(
          _xlpm._参照先,
            "'[在庫状況把握_43期_2025-2026.xlsx]月次報告"
            &amp;TEXT(BB$1,"YYMM")
            &amp;"'!",
          _xlpm._戻り範囲,
            IF(
              _xlpm._対象月初=_xlpm._今月初,
              "$AG$1:$AG$300",
              "$G$1:$G$300"
            ),
          _xlfn.XLOOKUP(
            $C61,
            INDIRECT(_xlpm._参照先&amp;"$C$1:$C$300"),
            INDIRECT(_xlpm._参照先&amp;_xlpm._戻り範囲)
          )
        )
      )
    ),
    ""
  )
)</f>
        <v>22.507092947954909</v>
      </c>
      <c r="BC61" s="223" cm="1">
        <f t="array" aca="1" ref="BC61" ca="1">IF($C61="","",
  IFERROR(
    _xlfn.LET(
      _xlpm._対象月初,EOMONTH(BC$1,-1)+1,
      _xlpm._今月初,EOMONTH(基準データ!$C$5,-1)+1,
      IF(
        _xlpm._対象月初&gt;_xlpm._今月初,
        IF(
          OR(BB61="",BB61=0),
          "",
          BB61*BC$107
        ),
        _xlfn.LET(
          _xlpm._参照先,
            "'[在庫状況把握_43期_2025-2026.xlsx]月次報告"
            &amp;TEXT(BC$1,"YYMM")
            &amp;"'!",
          _xlpm._戻り範囲,
            IF(
              _xlpm._対象月初=_xlpm._今月初,
              "$AG$1:$AG$300",
              "$G$1:$G$300"
            ),
          _xlfn.XLOOKUP(
            $C61,
            INDIRECT(_xlpm._参照先&amp;"$C$1:$C$300"),
            INDIRECT(_xlpm._参照先&amp;_xlpm._戻り範囲)
          )
        )
      )
    ),
    ""
  )
)</f>
        <v>23.293711419874402</v>
      </c>
      <c r="BD61" s="223" cm="1">
        <f t="array" aca="1" ref="BD61" ca="1">IF($C61="","",
  IFERROR(
    _xlfn.LET(
      _xlpm._対象月初,EOMONTH(BD$1,-1)+1,
      _xlpm._今月初,EOMONTH(基準データ!$C$5,-1)+1,
      IF(
        _xlpm._対象月初&gt;_xlpm._今月初,
        IF(
          OR(BC61="",BC61=0),
          "",
          BC61*BD$107
        ),
        _xlfn.LET(
          _xlpm._参照先,
            "'[在庫状況把握_43期_2025-2026.xlsx]月次報告"
            &amp;TEXT(BD$1,"YYMM")
            &amp;"'!",
          _xlpm._戻り範囲,
            IF(
              _xlpm._対象月初=_xlpm._今月初,
              "$AG$1:$AG$300",
              "$G$1:$G$300"
            ),
          _xlfn.XLOOKUP(
            $C61,
            INDIRECT(_xlpm._参照先&amp;"$C$1:$C$300"),
            INDIRECT(_xlpm._参照先&amp;_xlpm._戻り範囲)
          )
        )
      )
    ),
    ""
  )
)</f>
        <v>34.333257521201006</v>
      </c>
    </row>
    <row r="62" spans="1:56" ht="18.75" customHeight="1">
      <c r="A62" s="1061"/>
      <c r="B62" s="28" t="str">
        <v/>
      </c>
      <c r="C62" s="24"/>
      <c r="D62" s="34" t="s">
        <v>1426</v>
      </c>
      <c r="E62" s="68"/>
      <c r="F62" s="68"/>
      <c r="G62" s="355" t="str">
        <v/>
      </c>
      <c r="H62" s="109" t="str" cm="1">
        <f t="array" aca="1" ref="H62" ca="1">_xlfn.LET(_xlpm._来月から4ヶ月計画合計,
  SUM(
    OFFSET($A62,0,
      MATCH(
        EDATE(基準データ!$C$5,3),$A$1:$BF$1,1
      )-3,1,4)),
_xlpm._今月計画数,
INDEX($A$1:$BE$223,
  ROW(),
  MATCH(EOMONTH(基準データ!$C$5,-1)+1,$A$1:$BE$1,0)
),
  IFERROR(IF($B62="","",_xlpm._来月から4ヶ月計画合計+_xlpm._今月計画数/2),""
)
)</f>
        <v/>
      </c>
      <c r="I62" s="180"/>
      <c r="J62" s="180"/>
      <c r="K62" s="180"/>
      <c r="L62" s="180"/>
      <c r="M62" s="180"/>
      <c r="N62" s="180"/>
      <c r="O62" s="180"/>
      <c r="P62" s="299"/>
      <c r="Q62" s="299"/>
      <c r="R62" s="299"/>
      <c r="S62" s="299"/>
      <c r="T62" s="299"/>
      <c r="U62" s="224"/>
      <c r="V62" s="335"/>
      <c r="W62" s="333">
        <v>1</v>
      </c>
      <c r="X62" s="333">
        <v>138</v>
      </c>
      <c r="Y62" s="333">
        <v>173</v>
      </c>
      <c r="Z62" s="224">
        <v>126</v>
      </c>
      <c r="AA62" s="219">
        <v>391</v>
      </c>
      <c r="AB62" s="224">
        <v>292</v>
      </c>
      <c r="AC62" s="224"/>
      <c r="AD62" s="224" t="s">
        <v>21</v>
      </c>
      <c r="AE62" s="223" t="s">
        <v>21</v>
      </c>
      <c r="AF62" s="223" t="s">
        <v>21</v>
      </c>
      <c r="AG62" s="223" t="s">
        <v>21</v>
      </c>
      <c r="AH62" s="223" t="s">
        <v>21</v>
      </c>
      <c r="AI62" s="223" t="s">
        <v>21</v>
      </c>
      <c r="AJ62" s="223" t="s">
        <v>21</v>
      </c>
      <c r="AK62" s="223" t="s">
        <v>21</v>
      </c>
      <c r="AL62" s="223" t="str" cm="1">
        <f t="array" aca="1" ref="AL62" ca="1">IF($C62="","",
  IFERROR(
    _xlfn.LET(
      _xlpm._対象月初,EOMONTH(AL$1,-1)+1,
      _xlpm._今月初,EOMONTH(基準データ!$C$5,-1)+1,
      IF(
        _xlpm._対象月初&gt;_xlpm._今月初,
        IF(
          OR(AK62="",AK62=0),
          "",
          AK62*AL$107
        ),
        _xlfn.LET(
          _xlpm._参照先,
            "'[在庫状況把握_43期_2025-2026.xlsx]月次報告"
            &amp;TEXT(AL$1,"YYMM")
            &amp;"'!",
          _xlpm._戻り範囲,
            IF(
              _xlpm._対象月初=_xlpm._今月初,
              "$AG$1:$AG$300",
              "$G$1:$G$300"
            ),
          _xlfn.XLOOKUP(
            $C62,
            INDIRECT(_xlpm._参照先&amp;"$C$1:$C$300"),
            INDIRECT(_xlpm._参照先&amp;_xlpm._戻り範囲)
          )
        )
      )
    ),
    ""
  )
)</f>
        <v/>
      </c>
      <c r="AM62" s="223" t="str" cm="1">
        <f t="array" aca="1" ref="AM62" ca="1">IF($C62="","",
  IFERROR(
    _xlfn.LET(
      _xlpm._対象月初,EOMONTH(AM$1,-1)+1,
      _xlpm._今月初,EOMONTH(基準データ!$C$5,-1)+1,
      IF(
        _xlpm._対象月初&gt;_xlpm._今月初,
        IF(
          OR(AL62="",AL62=0),
          "",
          AL62*AM$107
        ),
        _xlfn.LET(
          _xlpm._参照先,
            "'[在庫状況把握_43期_2025-2026.xlsx]月次報告"
            &amp;TEXT(AM$1,"YYMM")
            &amp;"'!",
          _xlpm._戻り範囲,
            IF(
              _xlpm._対象月初=_xlpm._今月初,
              "$AG$1:$AG$300",
              "$G$1:$G$300"
            ),
          _xlfn.XLOOKUP(
            $C62,
            INDIRECT(_xlpm._参照先&amp;"$C$1:$C$300"),
            INDIRECT(_xlpm._参照先&amp;_xlpm._戻り範囲)
          )
        )
      )
    ),
    ""
  )
)</f>
        <v/>
      </c>
      <c r="AN62" s="223" t="str" cm="1">
        <f t="array" aca="1" ref="AN62" ca="1">IF($C62="","",
  IFERROR(
    _xlfn.LET(
      _xlpm._対象月初,EOMONTH(AN$1,-1)+1,
      _xlpm._今月初,EOMONTH(基準データ!$C$5,-1)+1,
      IF(
        _xlpm._対象月初&gt;_xlpm._今月初,
        IF(
          OR(AM62="",AM62=0),
          "",
          AM62*AN$107
        ),
        _xlfn.LET(
          _xlpm._参照先,
            "'[在庫状況把握_43期_2025-2026.xlsx]月次報告"
            &amp;TEXT(AN$1,"YYMM")
            &amp;"'!",
          _xlpm._戻り範囲,
            IF(
              _xlpm._対象月初=_xlpm._今月初,
              "$AG$1:$AG$300",
              "$G$1:$G$300"
            ),
          _xlfn.XLOOKUP(
            $C62,
            INDIRECT(_xlpm._参照先&amp;"$C$1:$C$300"),
            INDIRECT(_xlpm._参照先&amp;_xlpm._戻り範囲)
          )
        )
      )
    ),
    ""
  )
)</f>
        <v/>
      </c>
      <c r="AO62" s="223" t="str" cm="1">
        <f t="array" aca="1" ref="AO62" ca="1">IF($C62="","",
  IFERROR(
    _xlfn.LET(
      _xlpm._対象月初,EOMONTH(AO$1,-1)+1,
      _xlpm._今月初,EOMONTH(基準データ!$C$5,-1)+1,
      IF(
        _xlpm._対象月初&gt;_xlpm._今月初,
        IF(
          OR(AN62="",AN62=0),
          "",
          AN62*AO$107
        ),
        _xlfn.LET(
          _xlpm._参照先,
            "'[在庫状況把握_43期_2025-2026.xlsx]月次報告"
            &amp;TEXT(AO$1,"YYMM")
            &amp;"'!",
          _xlpm._戻り範囲,
            IF(
              _xlpm._対象月初=_xlpm._今月初,
              "$AG$1:$AG$300",
              "$G$1:$G$300"
            ),
          _xlfn.XLOOKUP(
            $C62,
            INDIRECT(_xlpm._参照先&amp;"$C$1:$C$300"),
            INDIRECT(_xlpm._参照先&amp;_xlpm._戻り範囲)
          )
        )
      )
    ),
    ""
  )
)</f>
        <v/>
      </c>
      <c r="AP62" s="223" t="str" cm="1">
        <f t="array" aca="1" ref="AP62" ca="1">IF($C62="","",
  IFERROR(
    _xlfn.LET(
      _xlpm._対象月初,EOMONTH(AP$1,-1)+1,
      _xlpm._今月初,EOMONTH(基準データ!$C$5,-1)+1,
      IF(
        _xlpm._対象月初&gt;_xlpm._今月初,
        IF(
          OR(AO62="",AO62=0),
          "",
          AO62*AP$107
        ),
        _xlfn.LET(
          _xlpm._参照先,
            "'[在庫状況把握_43期_2025-2026.xlsx]月次報告"
            &amp;TEXT(AP$1,"YYMM")
            &amp;"'!",
          _xlpm._戻り範囲,
            IF(
              _xlpm._対象月初=_xlpm._今月初,
              "$AG$1:$AG$300",
              "$G$1:$G$300"
            ),
          _xlfn.XLOOKUP(
            $C62,
            INDIRECT(_xlpm._参照先&amp;"$C$1:$C$300"),
            INDIRECT(_xlpm._参照先&amp;_xlpm._戻り範囲)
          )
        )
      )
    ),
    ""
  )
)</f>
        <v/>
      </c>
      <c r="AQ62" s="223" t="str" cm="1">
        <f t="array" aca="1" ref="AQ62" ca="1">IF($C62="","",
  IFERROR(
    _xlfn.LET(
      _xlpm._対象月初,EOMONTH(AQ$1,-1)+1,
      _xlpm._今月初,EOMONTH(基準データ!$C$5,-1)+1,
      IF(
        _xlpm._対象月初&gt;_xlpm._今月初,
        IF(
          OR(AP62="",AP62=0),
          "",
          AP62*AQ$107
        ),
        _xlfn.LET(
          _xlpm._参照先,
            "'[在庫状況把握_43期_2025-2026.xlsx]月次報告"
            &amp;TEXT(AQ$1,"YYMM")
            &amp;"'!",
          _xlpm._戻り範囲,
            IF(
              _xlpm._対象月初=_xlpm._今月初,
              "$AG$1:$AG$300",
              "$G$1:$G$300"
            ),
          _xlfn.XLOOKUP(
            $C62,
            INDIRECT(_xlpm._参照先&amp;"$C$1:$C$300"),
            INDIRECT(_xlpm._参照先&amp;_xlpm._戻り範囲)
          )
        )
      )
    ),
    ""
  )
)</f>
        <v/>
      </c>
      <c r="AR62" s="223" t="str" cm="1">
        <f t="array" aca="1" ref="AR62" ca="1">IF($C62="","",
  IFERROR(
    _xlfn.LET(
      _xlpm._対象月初,EOMONTH(AR$1,-1)+1,
      _xlpm._今月初,EOMONTH(基準データ!$C$5,-1)+1,
      IF(
        _xlpm._対象月初&gt;_xlpm._今月初,
        IF(
          OR(AQ62="",AQ62=0),
          "",
          AQ62*AR$107
        ),
        _xlfn.LET(
          _xlpm._参照先,
            "'[在庫状況把握_43期_2025-2026.xlsx]月次報告"
            &amp;TEXT(AR$1,"YYMM")
            &amp;"'!",
          _xlpm._戻り範囲,
            IF(
              _xlpm._対象月初=_xlpm._今月初,
              "$AG$1:$AG$300",
              "$G$1:$G$300"
            ),
          _xlfn.XLOOKUP(
            $C62,
            INDIRECT(_xlpm._参照先&amp;"$C$1:$C$300"),
            INDIRECT(_xlpm._参照先&amp;_xlpm._戻り範囲)
          )
        )
      )
    ),
    ""
  )
)</f>
        <v/>
      </c>
      <c r="AS62" s="223" t="str" cm="1">
        <f t="array" aca="1" ref="AS62" ca="1">IF($C62="","",
  IFERROR(
    _xlfn.LET(
      _xlpm._対象月初,EOMONTH(AS$1,-1)+1,
      _xlpm._今月初,EOMONTH(基準データ!$C$5,-1)+1,
      IF(
        _xlpm._対象月初&gt;_xlpm._今月初,
        IF(
          OR(AR62="",AR62=0),
          "",
          AR62*AS$107
        ),
        _xlfn.LET(
          _xlpm._参照先,
            "'[在庫状況把握_43期_2025-2026.xlsx]月次報告"
            &amp;TEXT(AS$1,"YYMM")
            &amp;"'!",
          _xlpm._戻り範囲,
            IF(
              _xlpm._対象月初=_xlpm._今月初,
              "$AG$1:$AG$300",
              "$G$1:$G$300"
            ),
          _xlfn.XLOOKUP(
            $C62,
            INDIRECT(_xlpm._参照先&amp;"$C$1:$C$300"),
            INDIRECT(_xlpm._参照先&amp;_xlpm._戻り範囲)
          )
        )
      )
    ),
    ""
  )
)</f>
        <v/>
      </c>
      <c r="AT62" s="223" t="str" cm="1">
        <f t="array" aca="1" ref="AT62" ca="1">IF($C62="","",
  IFERROR(
    _xlfn.LET(
      _xlpm._対象月初,EOMONTH(AT$1,-1)+1,
      _xlpm._今月初,EOMONTH(基準データ!$C$5,-1)+1,
      IF(
        _xlpm._対象月初&gt;_xlpm._今月初,
        IF(
          OR(AS62="",AS62=0),
          "",
          AS62*AT$107
        ),
        _xlfn.LET(
          _xlpm._参照先,
            "'[在庫状況把握_43期_2025-2026.xlsx]月次報告"
            &amp;TEXT(AT$1,"YYMM")
            &amp;"'!",
          _xlpm._戻り範囲,
            IF(
              _xlpm._対象月初=_xlpm._今月初,
              "$AG$1:$AG$300",
              "$G$1:$G$300"
            ),
          _xlfn.XLOOKUP(
            $C62,
            INDIRECT(_xlpm._参照先&amp;"$C$1:$C$300"),
            INDIRECT(_xlpm._参照先&amp;_xlpm._戻り範囲)
          )
        )
      )
    ),
    ""
  )
)</f>
        <v/>
      </c>
      <c r="AU62" s="223" t="str" cm="1">
        <f t="array" aca="1" ref="AU62" ca="1">IF($C62="","",
  IFERROR(
    _xlfn.LET(
      _xlpm._対象月初,EOMONTH(AU$1,-1)+1,
      _xlpm._今月初,EOMONTH(基準データ!$C$5,-1)+1,
      IF(
        _xlpm._対象月初&gt;_xlpm._今月初,
        IF(
          OR(AT62="",AT62=0),
          "",
          AT62*AU$107
        ),
        _xlfn.LET(
          _xlpm._参照先,
            "'[在庫状況把握_43期_2025-2026.xlsx]月次報告"
            &amp;TEXT(AU$1,"YYMM")
            &amp;"'!",
          _xlpm._戻り範囲,
            IF(
              _xlpm._対象月初=_xlpm._今月初,
              "$AG$1:$AG$300",
              "$G$1:$G$300"
            ),
          _xlfn.XLOOKUP(
            $C62,
            INDIRECT(_xlpm._参照先&amp;"$C$1:$C$300"),
            INDIRECT(_xlpm._参照先&amp;_xlpm._戻り範囲)
          )
        )
      )
    ),
    ""
  )
)</f>
        <v/>
      </c>
      <c r="AV62" s="223" t="str" cm="1">
        <f t="array" aca="1" ref="AV62" ca="1">IF($C62="","",
  IFERROR(
    _xlfn.LET(
      _xlpm._対象月初,EOMONTH(AV$1,-1)+1,
      _xlpm._今月初,EOMONTH(基準データ!$C$5,-1)+1,
      IF(
        _xlpm._対象月初&gt;_xlpm._今月初,
        IF(
          OR(AU62="",AU62=0),
          "",
          AU62*AV$107
        ),
        _xlfn.LET(
          _xlpm._参照先,
            "'[在庫状況把握_43期_2025-2026.xlsx]月次報告"
            &amp;TEXT(AV$1,"YYMM")
            &amp;"'!",
          _xlpm._戻り範囲,
            IF(
              _xlpm._対象月初=_xlpm._今月初,
              "$AG$1:$AG$300",
              "$G$1:$G$300"
            ),
          _xlfn.XLOOKUP(
            $C62,
            INDIRECT(_xlpm._参照先&amp;"$C$1:$C$300"),
            INDIRECT(_xlpm._参照先&amp;_xlpm._戻り範囲)
          )
        )
      )
    ),
    ""
  )
)</f>
        <v/>
      </c>
      <c r="AW62" s="223" t="str" cm="1">
        <f t="array" aca="1" ref="AW62" ca="1">IF($C62="","",
  IFERROR(
    _xlfn.LET(
      _xlpm._対象月初,EOMONTH(AW$1,-1)+1,
      _xlpm._今月初,EOMONTH(基準データ!$C$5,-1)+1,
      IF(
        _xlpm._対象月初&gt;_xlpm._今月初,
        IF(
          OR(AV62="",AV62=0),
          "",
          AV62*AW$107
        ),
        _xlfn.LET(
          _xlpm._参照先,
            "'[在庫状況把握_43期_2025-2026.xlsx]月次報告"
            &amp;TEXT(AW$1,"YYMM")
            &amp;"'!",
          _xlpm._戻り範囲,
            IF(
              _xlpm._対象月初=_xlpm._今月初,
              "$AG$1:$AG$300",
              "$G$1:$G$300"
            ),
          _xlfn.XLOOKUP(
            $C62,
            INDIRECT(_xlpm._参照先&amp;"$C$1:$C$300"),
            INDIRECT(_xlpm._参照先&amp;_xlpm._戻り範囲)
          )
        )
      )
    ),
    ""
  )
)</f>
        <v/>
      </c>
      <c r="AX62" s="223" t="str" cm="1">
        <f t="array" aca="1" ref="AX62" ca="1">IF($C62="","",
  IFERROR(
    _xlfn.LET(
      _xlpm._対象月初,EOMONTH(AX$1,-1)+1,
      _xlpm._今月初,EOMONTH(基準データ!$C$5,-1)+1,
      IF(
        _xlpm._対象月初&gt;_xlpm._今月初,
        IF(
          OR(AW62="",AW62=0),
          "",
          AW62*AX$107
        ),
        _xlfn.LET(
          _xlpm._参照先,
            "'[在庫状況把握_43期_2025-2026.xlsx]月次報告"
            &amp;TEXT(AX$1,"YYMM")
            &amp;"'!",
          _xlpm._戻り範囲,
            IF(
              _xlpm._対象月初=_xlpm._今月初,
              "$AG$1:$AG$300",
              "$G$1:$G$300"
            ),
          _xlfn.XLOOKUP(
            $C62,
            INDIRECT(_xlpm._参照先&amp;"$C$1:$C$300"),
            INDIRECT(_xlpm._参照先&amp;_xlpm._戻り範囲)
          )
        )
      )
    ),
    ""
  )
)</f>
        <v/>
      </c>
      <c r="AY62" s="223" t="str" cm="1">
        <f t="array" aca="1" ref="AY62" ca="1">IF($C62="","",
  IFERROR(
    _xlfn.LET(
      _xlpm._対象月初,EOMONTH(AY$1,-1)+1,
      _xlpm._今月初,EOMONTH(基準データ!$C$5,-1)+1,
      IF(
        _xlpm._対象月初&gt;_xlpm._今月初,
        IF(
          OR(AX62="",AX62=0),
          "",
          AX62*AY$107
        ),
        _xlfn.LET(
          _xlpm._参照先,
            "'[在庫状況把握_43期_2025-2026.xlsx]月次報告"
            &amp;TEXT(AY$1,"YYMM")
            &amp;"'!",
          _xlpm._戻り範囲,
            IF(
              _xlpm._対象月初=_xlpm._今月初,
              "$AG$1:$AG$300",
              "$G$1:$G$300"
            ),
          _xlfn.XLOOKUP(
            $C62,
            INDIRECT(_xlpm._参照先&amp;"$C$1:$C$300"),
            INDIRECT(_xlpm._参照先&amp;_xlpm._戻り範囲)
          )
        )
      )
    ),
    ""
  )
)</f>
        <v/>
      </c>
      <c r="AZ62" s="223" t="str" cm="1">
        <f t="array" aca="1" ref="AZ62" ca="1">IF($C62="","",
  IFERROR(
    _xlfn.LET(
      _xlpm._対象月初,EOMONTH(AZ$1,-1)+1,
      _xlpm._今月初,EOMONTH(基準データ!$C$5,-1)+1,
      IF(
        _xlpm._対象月初&gt;_xlpm._今月初,
        IF(
          OR(AY62="",AY62=0),
          "",
          AY62*AZ$107
        ),
        _xlfn.LET(
          _xlpm._参照先,
            "'[在庫状況把握_43期_2025-2026.xlsx]月次報告"
            &amp;TEXT(AZ$1,"YYMM")
            &amp;"'!",
          _xlpm._戻り範囲,
            IF(
              _xlpm._対象月初=_xlpm._今月初,
              "$AG$1:$AG$300",
              "$G$1:$G$300"
            ),
          _xlfn.XLOOKUP(
            $C62,
            INDIRECT(_xlpm._参照先&amp;"$C$1:$C$300"),
            INDIRECT(_xlpm._参照先&amp;_xlpm._戻り範囲)
          )
        )
      )
    ),
    ""
  )
)</f>
        <v/>
      </c>
      <c r="BA62" s="223" t="str" cm="1">
        <f t="array" aca="1" ref="BA62" ca="1">IF($C62="","",
  IFERROR(
    _xlfn.LET(
      _xlpm._対象月初,EOMONTH(BA$1,-1)+1,
      _xlpm._今月初,EOMONTH(基準データ!$C$5,-1)+1,
      IF(
        _xlpm._対象月初&gt;_xlpm._今月初,
        IF(
          OR(AZ62="",AZ62=0),
          "",
          AZ62*BA$107
        ),
        _xlfn.LET(
          _xlpm._参照先,
            "'[在庫状況把握_43期_2025-2026.xlsx]月次報告"
            &amp;TEXT(BA$1,"YYMM")
            &amp;"'!",
          _xlpm._戻り範囲,
            IF(
              _xlpm._対象月初=_xlpm._今月初,
              "$AG$1:$AG$300",
              "$G$1:$G$300"
            ),
          _xlfn.XLOOKUP(
            $C62,
            INDIRECT(_xlpm._参照先&amp;"$C$1:$C$300"),
            INDIRECT(_xlpm._参照先&amp;_xlpm._戻り範囲)
          )
        )
      )
    ),
    ""
  )
)</f>
        <v/>
      </c>
      <c r="BB62" s="223" t="str" cm="1">
        <f t="array" aca="1" ref="BB62" ca="1">IF($C62="","",
  IFERROR(
    _xlfn.LET(
      _xlpm._対象月初,EOMONTH(BB$1,-1)+1,
      _xlpm._今月初,EOMONTH(基準データ!$C$5,-1)+1,
      IF(
        _xlpm._対象月初&gt;_xlpm._今月初,
        IF(
          OR(BA62="",BA62=0),
          "",
          BA62*BB$107
        ),
        _xlfn.LET(
          _xlpm._参照先,
            "'[在庫状況把握_43期_2025-2026.xlsx]月次報告"
            &amp;TEXT(BB$1,"YYMM")
            &amp;"'!",
          _xlpm._戻り範囲,
            IF(
              _xlpm._対象月初=_xlpm._今月初,
              "$AG$1:$AG$300",
              "$G$1:$G$300"
            ),
          _xlfn.XLOOKUP(
            $C62,
            INDIRECT(_xlpm._参照先&amp;"$C$1:$C$300"),
            INDIRECT(_xlpm._参照先&amp;_xlpm._戻り範囲)
          )
        )
      )
    ),
    ""
  )
)</f>
        <v/>
      </c>
      <c r="BC62" s="223" t="str" cm="1">
        <f t="array" aca="1" ref="BC62" ca="1">IF($C62="","",
  IFERROR(
    _xlfn.LET(
      _xlpm._対象月初,EOMONTH(BC$1,-1)+1,
      _xlpm._今月初,EOMONTH(基準データ!$C$5,-1)+1,
      IF(
        _xlpm._対象月初&gt;_xlpm._今月初,
        IF(
          OR(BB62="",BB62=0),
          "",
          BB62*BC$107
        ),
        _xlfn.LET(
          _xlpm._参照先,
            "'[在庫状況把握_43期_2025-2026.xlsx]月次報告"
            &amp;TEXT(BC$1,"YYMM")
            &amp;"'!",
          _xlpm._戻り範囲,
            IF(
              _xlpm._対象月初=_xlpm._今月初,
              "$AG$1:$AG$300",
              "$G$1:$G$300"
            ),
          _xlfn.XLOOKUP(
            $C62,
            INDIRECT(_xlpm._参照先&amp;"$C$1:$C$300"),
            INDIRECT(_xlpm._参照先&amp;_xlpm._戻り範囲)
          )
        )
      )
    ),
    ""
  )
)</f>
        <v/>
      </c>
      <c r="BD62" s="223" t="str" cm="1">
        <f t="array" aca="1" ref="BD62" ca="1">IF($C62="","",
  IFERROR(
    _xlfn.LET(
      _xlpm._対象月初,EOMONTH(BD$1,-1)+1,
      _xlpm._今月初,EOMONTH(基準データ!$C$5,-1)+1,
      IF(
        _xlpm._対象月初&gt;_xlpm._今月初,
        IF(
          OR(BC62="",BC62=0),
          "",
          BC62*BD$107
        ),
        _xlfn.LET(
          _xlpm._参照先,
            "'[在庫状況把握_43期_2025-2026.xlsx]月次報告"
            &amp;TEXT(BD$1,"YYMM")
            &amp;"'!",
          _xlpm._戻り範囲,
            IF(
              _xlpm._対象月初=_xlpm._今月初,
              "$AG$1:$AG$300",
              "$G$1:$G$300"
            ),
          _xlfn.XLOOKUP(
            $C62,
            INDIRECT(_xlpm._参照先&amp;"$C$1:$C$300"),
            INDIRECT(_xlpm._参照先&amp;_xlpm._戻り範囲)
          )
        )
      )
    ),
    ""
  )
)</f>
        <v/>
      </c>
    </row>
    <row r="63" spans="1:56" ht="18.75" customHeight="1">
      <c r="A63" s="1061" t="s">
        <v>1651</v>
      </c>
      <c r="B63" s="28" t="str">
        <v>QNT-LGHB-1355U-UMA-L6</v>
      </c>
      <c r="C63" s="24" t="s">
        <v>580</v>
      </c>
      <c r="D63" s="25" t="s">
        <v>1430</v>
      </c>
      <c r="E63" s="26" t="s">
        <v>1423</v>
      </c>
      <c r="F63" s="26" t="s">
        <v>1372</v>
      </c>
      <c r="G63" s="355">
        <v>104</v>
      </c>
      <c r="H63" s="109" cm="1">
        <f t="array" aca="1" ref="H63" ca="1">_xlfn.LET(_xlpm._来月から4ヶ月計画合計,
  SUM(
    OFFSET($A63,0,
      MATCH(
        EDATE(基準データ!$C$5,3),$A$1:$BF$1,1
      )-3,1,4)),
_xlpm._今月計画数,
INDEX($A$1:$BE$223,
  ROW(),
  MATCH(EOMONTH(基準データ!$C$5,-1)+1,$A$1:$BE$1,0)
),
  IFERROR(IF($B63="","",_xlpm._来月から4ヶ月計画合計+_xlpm._今月計画数/2),""
)
)</f>
        <v>0</v>
      </c>
      <c r="I63" s="38"/>
      <c r="J63" s="38"/>
      <c r="K63" s="38"/>
      <c r="L63" s="38"/>
      <c r="M63" s="38"/>
      <c r="N63" s="38"/>
      <c r="O63" s="38"/>
      <c r="P63" s="38"/>
      <c r="Q63" s="219"/>
      <c r="R63" s="219"/>
      <c r="S63" s="219"/>
      <c r="T63" s="219"/>
      <c r="U63" s="224">
        <v>584</v>
      </c>
      <c r="V63" s="335">
        <v>487</v>
      </c>
      <c r="W63" s="333">
        <v>690</v>
      </c>
      <c r="X63" s="333">
        <v>413</v>
      </c>
      <c r="Y63" s="333">
        <v>255</v>
      </c>
      <c r="Z63" s="219">
        <v>379</v>
      </c>
      <c r="AA63" s="219">
        <v>355</v>
      </c>
      <c r="AB63" s="219">
        <v>135</v>
      </c>
      <c r="AC63" s="224">
        <v>15</v>
      </c>
      <c r="AD63" s="224">
        <v>177</v>
      </c>
      <c r="AE63" s="223">
        <v>65</v>
      </c>
      <c r="AF63" s="223">
        <v>83</v>
      </c>
      <c r="AG63" s="223">
        <v>70</v>
      </c>
      <c r="AH63" s="223">
        <v>46</v>
      </c>
      <c r="AI63" s="223">
        <v>458</v>
      </c>
      <c r="AJ63" s="223">
        <v>33</v>
      </c>
      <c r="AK63" s="223">
        <v>0</v>
      </c>
      <c r="AL63" s="223" cm="1">
        <f t="array" aca="1" ref="AL63" ca="1">IF($C63="","",
  IFERROR(
    _xlfn.LET(
      _xlpm._対象月初,EOMONTH(AL$1,-1)+1,
      _xlpm._今月初,EOMONTH(基準データ!$C$5,-1)+1,
      IF(
        _xlpm._対象月初&gt;_xlpm._今月初,
        IF(
          OR(AK63="",AK63=0),
          "",
          AK63*AL$107
        ),
        _xlfn.LET(
          _xlpm._参照先,
            "'[在庫状況把握_43期_2025-2026.xlsx]月次報告"
            &amp;TEXT(AL$1,"YYMM")
            &amp;"'!",
          _xlpm._戻り範囲,
            IF(
              _xlpm._対象月初=_xlpm._今月初,
              "$AG$1:$AG$300",
              "$G$1:$G$300"
            ),
          _xlfn.XLOOKUP(
            $C63,
            INDIRECT(_xlpm._参照先&amp;"$C$1:$C$300"),
            INDIRECT(_xlpm._参照先&amp;_xlpm._戻り範囲)
          )
        )
      )
    ),
    ""
  )
)</f>
        <v>0</v>
      </c>
      <c r="AM63" s="223" cm="1">
        <f t="array" aca="1" ref="AM63" ca="1">IF($C63="","",
  IFERROR(
    _xlfn.LET(
      _xlpm._対象月初,EOMONTH(AM$1,-1)+1,
      _xlpm._今月初,EOMONTH(基準データ!$C$5,-1)+1,
      IF(
        _xlpm._対象月初&gt;_xlpm._今月初,
        IF(
          OR(AL63="",AL63=0),
          "",
          AL63*AM$107
        ),
        _xlfn.LET(
          _xlpm._参照先,
            "'[在庫状況把握_43期_2025-2026.xlsx]月次報告"
            &amp;TEXT(AM$1,"YYMM")
            &amp;"'!",
          _xlpm._戻り範囲,
            IF(
              _xlpm._対象月初=_xlpm._今月初,
              "$AG$1:$AG$300",
              "$G$1:$G$300"
            ),
          _xlfn.XLOOKUP(
            $C63,
            INDIRECT(_xlpm._参照先&amp;"$C$1:$C$300"),
            INDIRECT(_xlpm._参照先&amp;_xlpm._戻り範囲)
          )
        )
      )
    ),
    ""
  )
)</f>
        <v>0</v>
      </c>
      <c r="AN63" s="223" t="str" cm="1">
        <f t="array" aca="1" ref="AN63" ca="1">IF($C63="","",
  IFERROR(
    _xlfn.LET(
      _xlpm._対象月初,EOMONTH(AN$1,-1)+1,
      _xlpm._今月初,EOMONTH(基準データ!$C$5,-1)+1,
      IF(
        _xlpm._対象月初&gt;_xlpm._今月初,
        IF(
          OR(AM63="",AM63=0),
          "",
          AM63*AN$107
        ),
        _xlfn.LET(
          _xlpm._参照先,
            "'[在庫状況把握_43期_2025-2026.xlsx]月次報告"
            &amp;TEXT(AN$1,"YYMM")
            &amp;"'!",
          _xlpm._戻り範囲,
            IF(
              _xlpm._対象月初=_xlpm._今月初,
              "$AG$1:$AG$300",
              "$G$1:$G$300"
            ),
          _xlfn.XLOOKUP(
            $C63,
            INDIRECT(_xlpm._参照先&amp;"$C$1:$C$300"),
            INDIRECT(_xlpm._参照先&amp;_xlpm._戻り範囲)
          )
        )
      )
    ),
    ""
  )
)</f>
        <v/>
      </c>
      <c r="AO63" s="223" t="str" cm="1">
        <f t="array" aca="1" ref="AO63" ca="1">IF($C63="","",
  IFERROR(
    _xlfn.LET(
      _xlpm._対象月初,EOMONTH(AO$1,-1)+1,
      _xlpm._今月初,EOMONTH(基準データ!$C$5,-1)+1,
      IF(
        _xlpm._対象月初&gt;_xlpm._今月初,
        IF(
          OR(AN63="",AN63=0),
          "",
          AN63*AO$107
        ),
        _xlfn.LET(
          _xlpm._参照先,
            "'[在庫状況把握_43期_2025-2026.xlsx]月次報告"
            &amp;TEXT(AO$1,"YYMM")
            &amp;"'!",
          _xlpm._戻り範囲,
            IF(
              _xlpm._対象月初=_xlpm._今月初,
              "$AG$1:$AG$300",
              "$G$1:$G$300"
            ),
          _xlfn.XLOOKUP(
            $C63,
            INDIRECT(_xlpm._参照先&amp;"$C$1:$C$300"),
            INDIRECT(_xlpm._参照先&amp;_xlpm._戻り範囲)
          )
        )
      )
    ),
    ""
  )
)</f>
        <v/>
      </c>
      <c r="AP63" s="223" t="str" cm="1">
        <f t="array" aca="1" ref="AP63" ca="1">IF($C63="","",
  IFERROR(
    _xlfn.LET(
      _xlpm._対象月初,EOMONTH(AP$1,-1)+1,
      _xlpm._今月初,EOMONTH(基準データ!$C$5,-1)+1,
      IF(
        _xlpm._対象月初&gt;_xlpm._今月初,
        IF(
          OR(AO63="",AO63=0),
          "",
          AO63*AP$107
        ),
        _xlfn.LET(
          _xlpm._参照先,
            "'[在庫状況把握_43期_2025-2026.xlsx]月次報告"
            &amp;TEXT(AP$1,"YYMM")
            &amp;"'!",
          _xlpm._戻り範囲,
            IF(
              _xlpm._対象月初=_xlpm._今月初,
              "$AG$1:$AG$300",
              "$G$1:$G$300"
            ),
          _xlfn.XLOOKUP(
            $C63,
            INDIRECT(_xlpm._参照先&amp;"$C$1:$C$300"),
            INDIRECT(_xlpm._参照先&amp;_xlpm._戻り範囲)
          )
        )
      )
    ),
    ""
  )
)</f>
        <v/>
      </c>
      <c r="AQ63" s="223" t="str" cm="1">
        <f t="array" aca="1" ref="AQ63" ca="1">IF($C63="","",
  IFERROR(
    _xlfn.LET(
      _xlpm._対象月初,EOMONTH(AQ$1,-1)+1,
      _xlpm._今月初,EOMONTH(基準データ!$C$5,-1)+1,
      IF(
        _xlpm._対象月初&gt;_xlpm._今月初,
        IF(
          OR(AP63="",AP63=0),
          "",
          AP63*AQ$107
        ),
        _xlfn.LET(
          _xlpm._参照先,
            "'[在庫状況把握_43期_2025-2026.xlsx]月次報告"
            &amp;TEXT(AQ$1,"YYMM")
            &amp;"'!",
          _xlpm._戻り範囲,
            IF(
              _xlpm._対象月初=_xlpm._今月初,
              "$AG$1:$AG$300",
              "$G$1:$G$300"
            ),
          _xlfn.XLOOKUP(
            $C63,
            INDIRECT(_xlpm._参照先&amp;"$C$1:$C$300"),
            INDIRECT(_xlpm._参照先&amp;_xlpm._戻り範囲)
          )
        )
      )
    ),
    ""
  )
)</f>
        <v/>
      </c>
      <c r="AR63" s="223" t="str" cm="1">
        <f t="array" aca="1" ref="AR63" ca="1">IF($C63="","",
  IFERROR(
    _xlfn.LET(
      _xlpm._対象月初,EOMONTH(AR$1,-1)+1,
      _xlpm._今月初,EOMONTH(基準データ!$C$5,-1)+1,
      IF(
        _xlpm._対象月初&gt;_xlpm._今月初,
        IF(
          OR(AQ63="",AQ63=0),
          "",
          AQ63*AR$107
        ),
        _xlfn.LET(
          _xlpm._参照先,
            "'[在庫状況把握_43期_2025-2026.xlsx]月次報告"
            &amp;TEXT(AR$1,"YYMM")
            &amp;"'!",
          _xlpm._戻り範囲,
            IF(
              _xlpm._対象月初=_xlpm._今月初,
              "$AG$1:$AG$300",
              "$G$1:$G$300"
            ),
          _xlfn.XLOOKUP(
            $C63,
            INDIRECT(_xlpm._参照先&amp;"$C$1:$C$300"),
            INDIRECT(_xlpm._参照先&amp;_xlpm._戻り範囲)
          )
        )
      )
    ),
    ""
  )
)</f>
        <v/>
      </c>
      <c r="AS63" s="223" t="str" cm="1">
        <f t="array" aca="1" ref="AS63" ca="1">IF($C63="","",
  IFERROR(
    _xlfn.LET(
      _xlpm._対象月初,EOMONTH(AS$1,-1)+1,
      _xlpm._今月初,EOMONTH(基準データ!$C$5,-1)+1,
      IF(
        _xlpm._対象月初&gt;_xlpm._今月初,
        IF(
          OR(AR63="",AR63=0),
          "",
          AR63*AS$107
        ),
        _xlfn.LET(
          _xlpm._参照先,
            "'[在庫状況把握_43期_2025-2026.xlsx]月次報告"
            &amp;TEXT(AS$1,"YYMM")
            &amp;"'!",
          _xlpm._戻り範囲,
            IF(
              _xlpm._対象月初=_xlpm._今月初,
              "$AG$1:$AG$300",
              "$G$1:$G$300"
            ),
          _xlfn.XLOOKUP(
            $C63,
            INDIRECT(_xlpm._参照先&amp;"$C$1:$C$300"),
            INDIRECT(_xlpm._参照先&amp;_xlpm._戻り範囲)
          )
        )
      )
    ),
    ""
  )
)</f>
        <v/>
      </c>
      <c r="AT63" s="223" t="str" cm="1">
        <f t="array" aca="1" ref="AT63" ca="1">IF($C63="","",
  IFERROR(
    _xlfn.LET(
      _xlpm._対象月初,EOMONTH(AT$1,-1)+1,
      _xlpm._今月初,EOMONTH(基準データ!$C$5,-1)+1,
      IF(
        _xlpm._対象月初&gt;_xlpm._今月初,
        IF(
          OR(AS63="",AS63=0),
          "",
          AS63*AT$107
        ),
        _xlfn.LET(
          _xlpm._参照先,
            "'[在庫状況把握_43期_2025-2026.xlsx]月次報告"
            &amp;TEXT(AT$1,"YYMM")
            &amp;"'!",
          _xlpm._戻り範囲,
            IF(
              _xlpm._対象月初=_xlpm._今月初,
              "$AG$1:$AG$300",
              "$G$1:$G$300"
            ),
          _xlfn.XLOOKUP(
            $C63,
            INDIRECT(_xlpm._参照先&amp;"$C$1:$C$300"),
            INDIRECT(_xlpm._参照先&amp;_xlpm._戻り範囲)
          )
        )
      )
    ),
    ""
  )
)</f>
        <v/>
      </c>
      <c r="AU63" s="223" t="str" cm="1">
        <f t="array" aca="1" ref="AU63" ca="1">IF($C63="","",
  IFERROR(
    _xlfn.LET(
      _xlpm._対象月初,EOMONTH(AU$1,-1)+1,
      _xlpm._今月初,EOMONTH(基準データ!$C$5,-1)+1,
      IF(
        _xlpm._対象月初&gt;_xlpm._今月初,
        IF(
          OR(AT63="",AT63=0),
          "",
          AT63*AU$107
        ),
        _xlfn.LET(
          _xlpm._参照先,
            "'[在庫状況把握_43期_2025-2026.xlsx]月次報告"
            &amp;TEXT(AU$1,"YYMM")
            &amp;"'!",
          _xlpm._戻り範囲,
            IF(
              _xlpm._対象月初=_xlpm._今月初,
              "$AG$1:$AG$300",
              "$G$1:$G$300"
            ),
          _xlfn.XLOOKUP(
            $C63,
            INDIRECT(_xlpm._参照先&amp;"$C$1:$C$300"),
            INDIRECT(_xlpm._参照先&amp;_xlpm._戻り範囲)
          )
        )
      )
    ),
    ""
  )
)</f>
        <v/>
      </c>
      <c r="AV63" s="223" t="str" cm="1">
        <f t="array" aca="1" ref="AV63" ca="1">IF($C63="","",
  IFERROR(
    _xlfn.LET(
      _xlpm._対象月初,EOMONTH(AV$1,-1)+1,
      _xlpm._今月初,EOMONTH(基準データ!$C$5,-1)+1,
      IF(
        _xlpm._対象月初&gt;_xlpm._今月初,
        IF(
          OR(AU63="",AU63=0),
          "",
          AU63*AV$107
        ),
        _xlfn.LET(
          _xlpm._参照先,
            "'[在庫状況把握_43期_2025-2026.xlsx]月次報告"
            &amp;TEXT(AV$1,"YYMM")
            &amp;"'!",
          _xlpm._戻り範囲,
            IF(
              _xlpm._対象月初=_xlpm._今月初,
              "$AG$1:$AG$300",
              "$G$1:$G$300"
            ),
          _xlfn.XLOOKUP(
            $C63,
            INDIRECT(_xlpm._参照先&amp;"$C$1:$C$300"),
            INDIRECT(_xlpm._参照先&amp;_xlpm._戻り範囲)
          )
        )
      )
    ),
    ""
  )
)</f>
        <v/>
      </c>
      <c r="AW63" s="223" t="str" cm="1">
        <f t="array" aca="1" ref="AW63" ca="1">IF($C63="","",
  IFERROR(
    _xlfn.LET(
      _xlpm._対象月初,EOMONTH(AW$1,-1)+1,
      _xlpm._今月初,EOMONTH(基準データ!$C$5,-1)+1,
      IF(
        _xlpm._対象月初&gt;_xlpm._今月初,
        IF(
          OR(AV63="",AV63=0),
          "",
          AV63*AW$107
        ),
        _xlfn.LET(
          _xlpm._参照先,
            "'[在庫状況把握_43期_2025-2026.xlsx]月次報告"
            &amp;TEXT(AW$1,"YYMM")
            &amp;"'!",
          _xlpm._戻り範囲,
            IF(
              _xlpm._対象月初=_xlpm._今月初,
              "$AG$1:$AG$300",
              "$G$1:$G$300"
            ),
          _xlfn.XLOOKUP(
            $C63,
            INDIRECT(_xlpm._参照先&amp;"$C$1:$C$300"),
            INDIRECT(_xlpm._参照先&amp;_xlpm._戻り範囲)
          )
        )
      )
    ),
    ""
  )
)</f>
        <v/>
      </c>
      <c r="AX63" s="223" t="str" cm="1">
        <f t="array" aca="1" ref="AX63" ca="1">IF($C63="","",
  IFERROR(
    _xlfn.LET(
      _xlpm._対象月初,EOMONTH(AX$1,-1)+1,
      _xlpm._今月初,EOMONTH(基準データ!$C$5,-1)+1,
      IF(
        _xlpm._対象月初&gt;_xlpm._今月初,
        IF(
          OR(AW63="",AW63=0),
          "",
          AW63*AX$107
        ),
        _xlfn.LET(
          _xlpm._参照先,
            "'[在庫状況把握_43期_2025-2026.xlsx]月次報告"
            &amp;TEXT(AX$1,"YYMM")
            &amp;"'!",
          _xlpm._戻り範囲,
            IF(
              _xlpm._対象月初=_xlpm._今月初,
              "$AG$1:$AG$300",
              "$G$1:$G$300"
            ),
          _xlfn.XLOOKUP(
            $C63,
            INDIRECT(_xlpm._参照先&amp;"$C$1:$C$300"),
            INDIRECT(_xlpm._参照先&amp;_xlpm._戻り範囲)
          )
        )
      )
    ),
    ""
  )
)</f>
        <v/>
      </c>
      <c r="AY63" s="223" t="str" cm="1">
        <f t="array" aca="1" ref="AY63" ca="1">IF($C63="","",
  IFERROR(
    _xlfn.LET(
      _xlpm._対象月初,EOMONTH(AY$1,-1)+1,
      _xlpm._今月初,EOMONTH(基準データ!$C$5,-1)+1,
      IF(
        _xlpm._対象月初&gt;_xlpm._今月初,
        IF(
          OR(AX63="",AX63=0),
          "",
          AX63*AY$107
        ),
        _xlfn.LET(
          _xlpm._参照先,
            "'[在庫状況把握_43期_2025-2026.xlsx]月次報告"
            &amp;TEXT(AY$1,"YYMM")
            &amp;"'!",
          _xlpm._戻り範囲,
            IF(
              _xlpm._対象月初=_xlpm._今月初,
              "$AG$1:$AG$300",
              "$G$1:$G$300"
            ),
          _xlfn.XLOOKUP(
            $C63,
            INDIRECT(_xlpm._参照先&amp;"$C$1:$C$300"),
            INDIRECT(_xlpm._参照先&amp;_xlpm._戻り範囲)
          )
        )
      )
    ),
    ""
  )
)</f>
        <v/>
      </c>
      <c r="AZ63" s="223" t="str" cm="1">
        <f t="array" aca="1" ref="AZ63" ca="1">IF($C63="","",
  IFERROR(
    _xlfn.LET(
      _xlpm._対象月初,EOMONTH(AZ$1,-1)+1,
      _xlpm._今月初,EOMONTH(基準データ!$C$5,-1)+1,
      IF(
        _xlpm._対象月初&gt;_xlpm._今月初,
        IF(
          OR(AY63="",AY63=0),
          "",
          AY63*AZ$107
        ),
        _xlfn.LET(
          _xlpm._参照先,
            "'[在庫状況把握_43期_2025-2026.xlsx]月次報告"
            &amp;TEXT(AZ$1,"YYMM")
            &amp;"'!",
          _xlpm._戻り範囲,
            IF(
              _xlpm._対象月初=_xlpm._今月初,
              "$AG$1:$AG$300",
              "$G$1:$G$300"
            ),
          _xlfn.XLOOKUP(
            $C63,
            INDIRECT(_xlpm._参照先&amp;"$C$1:$C$300"),
            INDIRECT(_xlpm._参照先&amp;_xlpm._戻り範囲)
          )
        )
      )
    ),
    ""
  )
)</f>
        <v/>
      </c>
      <c r="BA63" s="223" t="str" cm="1">
        <f t="array" aca="1" ref="BA63" ca="1">IF($C63="","",
  IFERROR(
    _xlfn.LET(
      _xlpm._対象月初,EOMONTH(BA$1,-1)+1,
      _xlpm._今月初,EOMONTH(基準データ!$C$5,-1)+1,
      IF(
        _xlpm._対象月初&gt;_xlpm._今月初,
        IF(
          OR(AZ63="",AZ63=0),
          "",
          AZ63*BA$107
        ),
        _xlfn.LET(
          _xlpm._参照先,
            "'[在庫状況把握_43期_2025-2026.xlsx]月次報告"
            &amp;TEXT(BA$1,"YYMM")
            &amp;"'!",
          _xlpm._戻り範囲,
            IF(
              _xlpm._対象月初=_xlpm._今月初,
              "$AG$1:$AG$300",
              "$G$1:$G$300"
            ),
          _xlfn.XLOOKUP(
            $C63,
            INDIRECT(_xlpm._参照先&amp;"$C$1:$C$300"),
            INDIRECT(_xlpm._参照先&amp;_xlpm._戻り範囲)
          )
        )
      )
    ),
    ""
  )
)</f>
        <v/>
      </c>
      <c r="BB63" s="223" t="str" cm="1">
        <f t="array" aca="1" ref="BB63" ca="1">IF($C63="","",
  IFERROR(
    _xlfn.LET(
      _xlpm._対象月初,EOMONTH(BB$1,-1)+1,
      _xlpm._今月初,EOMONTH(基準データ!$C$5,-1)+1,
      IF(
        _xlpm._対象月初&gt;_xlpm._今月初,
        IF(
          OR(BA63="",BA63=0),
          "",
          BA63*BB$107
        ),
        _xlfn.LET(
          _xlpm._参照先,
            "'[在庫状況把握_43期_2025-2026.xlsx]月次報告"
            &amp;TEXT(BB$1,"YYMM")
            &amp;"'!",
          _xlpm._戻り範囲,
            IF(
              _xlpm._対象月初=_xlpm._今月初,
              "$AG$1:$AG$300",
              "$G$1:$G$300"
            ),
          _xlfn.XLOOKUP(
            $C63,
            INDIRECT(_xlpm._参照先&amp;"$C$1:$C$300"),
            INDIRECT(_xlpm._参照先&amp;_xlpm._戻り範囲)
          )
        )
      )
    ),
    ""
  )
)</f>
        <v/>
      </c>
      <c r="BC63" s="223" t="str" cm="1">
        <f t="array" aca="1" ref="BC63" ca="1">IF($C63="","",
  IFERROR(
    _xlfn.LET(
      _xlpm._対象月初,EOMONTH(BC$1,-1)+1,
      _xlpm._今月初,EOMONTH(基準データ!$C$5,-1)+1,
      IF(
        _xlpm._対象月初&gt;_xlpm._今月初,
        IF(
          OR(BB63="",BB63=0),
          "",
          BB63*BC$107
        ),
        _xlfn.LET(
          _xlpm._参照先,
            "'[在庫状況把握_43期_2025-2026.xlsx]月次報告"
            &amp;TEXT(BC$1,"YYMM")
            &amp;"'!",
          _xlpm._戻り範囲,
            IF(
              _xlpm._対象月初=_xlpm._今月初,
              "$AG$1:$AG$300",
              "$G$1:$G$300"
            ),
          _xlfn.XLOOKUP(
            $C63,
            INDIRECT(_xlpm._参照先&amp;"$C$1:$C$300"),
            INDIRECT(_xlpm._参照先&amp;_xlpm._戻り範囲)
          )
        )
      )
    ),
    ""
  )
)</f>
        <v/>
      </c>
      <c r="BD63" s="223" t="str" cm="1">
        <f t="array" aca="1" ref="BD63" ca="1">IF($C63="","",
  IFERROR(
    _xlfn.LET(
      _xlpm._対象月初,EOMONTH(BD$1,-1)+1,
      _xlpm._今月初,EOMONTH(基準データ!$C$5,-1)+1,
      IF(
        _xlpm._対象月初&gt;_xlpm._今月初,
        IF(
          OR(BC63="",BC63=0),
          "",
          BC63*BD$107
        ),
        _xlfn.LET(
          _xlpm._参照先,
            "'[在庫状況把握_43期_2025-2026.xlsx]月次報告"
            &amp;TEXT(BD$1,"YYMM")
            &amp;"'!",
          _xlpm._戻り範囲,
            IF(
              _xlpm._対象月初=_xlpm._今月初,
              "$AG$1:$AG$300",
              "$G$1:$G$300"
            ),
          _xlfn.XLOOKUP(
            $C63,
            INDIRECT(_xlpm._参照先&amp;"$C$1:$C$300"),
            INDIRECT(_xlpm._参照先&amp;_xlpm._戻り範囲)
          )
        )
      )
    ),
    ""
  )
)</f>
        <v/>
      </c>
    </row>
    <row r="64" spans="1:56" ht="18.75" customHeight="1">
      <c r="A64" s="1061" t="s">
        <v>1651</v>
      </c>
      <c r="B64" s="26" t="str">
        <v>WZN-1051-1355U-UMA-L6 Thirdwave</v>
      </c>
      <c r="C64" s="24" t="s">
        <v>567</v>
      </c>
      <c r="D64" s="25" t="s">
        <v>1432</v>
      </c>
      <c r="E64" s="26" t="s">
        <v>1423</v>
      </c>
      <c r="F64" s="24" t="s">
        <v>1372</v>
      </c>
      <c r="G64" s="355">
        <v>69</v>
      </c>
      <c r="H64" s="109" cm="1">
        <f t="array" aca="1" ref="H64" ca="1">_xlfn.LET(_xlpm._来月から4ヶ月計画合計,
  SUM(
    OFFSET($A64,0,
      MATCH(
        EDATE(基準データ!$C$5,3),$A$1:$BF$1,1
      )-3,1,4)),
_xlpm._今月計画数,
INDEX($A$1:$BE$223,
  ROW(),
  MATCH(EOMONTH(基準データ!$C$5,-1)+1,$A$1:$BE$1,0)
),
  IFERROR(IF($B64="","",_xlpm._来月から4ヶ月計画合計+_xlpm._今月計画数/2),""
)
)</f>
        <v>0</v>
      </c>
      <c r="I64" s="311"/>
      <c r="J64" s="311"/>
      <c r="K64" s="311"/>
      <c r="L64" s="311"/>
      <c r="M64" s="311"/>
      <c r="N64" s="311"/>
      <c r="O64" s="311"/>
      <c r="P64" s="298"/>
      <c r="Q64" s="298"/>
      <c r="R64" s="298"/>
      <c r="S64" s="298"/>
      <c r="T64" s="298"/>
      <c r="U64" s="224"/>
      <c r="V64" s="335"/>
      <c r="W64" s="333"/>
      <c r="X64" s="333"/>
      <c r="Y64" s="333">
        <v>137</v>
      </c>
      <c r="Z64" s="219">
        <v>171</v>
      </c>
      <c r="AA64" s="219">
        <v>410</v>
      </c>
      <c r="AB64" s="219">
        <v>389</v>
      </c>
      <c r="AC64" s="224">
        <v>259</v>
      </c>
      <c r="AD64" s="224">
        <v>226</v>
      </c>
      <c r="AE64" s="223">
        <v>281</v>
      </c>
      <c r="AF64" s="223">
        <v>247</v>
      </c>
      <c r="AG64" s="223">
        <v>360</v>
      </c>
      <c r="AH64" s="223">
        <v>72</v>
      </c>
      <c r="AI64" s="223">
        <v>57</v>
      </c>
      <c r="AJ64" s="223">
        <v>0</v>
      </c>
      <c r="AK64" s="223">
        <v>0</v>
      </c>
      <c r="AL64" s="223" cm="1">
        <f t="array" aca="1" ref="AL64" ca="1">IF($C64="","",
  IFERROR(
    _xlfn.LET(
      _xlpm._対象月初,EOMONTH(AL$1,-1)+1,
      _xlpm._今月初,EOMONTH(基準データ!$C$5,-1)+1,
      IF(
        _xlpm._対象月初&gt;_xlpm._今月初,
        IF(
          OR(AK64="",AK64=0),
          "",
          AK64*AL$107
        ),
        _xlfn.LET(
          _xlpm._参照先,
            "'[在庫状況把握_43期_2025-2026.xlsx]月次報告"
            &amp;TEXT(AL$1,"YYMM")
            &amp;"'!",
          _xlpm._戻り範囲,
            IF(
              _xlpm._対象月初=_xlpm._今月初,
              "$AG$1:$AG$300",
              "$G$1:$G$300"
            ),
          _xlfn.XLOOKUP(
            $C64,
            INDIRECT(_xlpm._参照先&amp;"$C$1:$C$300"),
            INDIRECT(_xlpm._参照先&amp;_xlpm._戻り範囲)
          )
        )
      )
    ),
    ""
  )
)</f>
        <v>0</v>
      </c>
      <c r="AM64" s="223" cm="1">
        <f t="array" aca="1" ref="AM64" ca="1">IF($C64="","",
  IFERROR(
    _xlfn.LET(
      _xlpm._対象月初,EOMONTH(AM$1,-1)+1,
      _xlpm._今月初,EOMONTH(基準データ!$C$5,-1)+1,
      IF(
        _xlpm._対象月初&gt;_xlpm._今月初,
        IF(
          OR(AL64="",AL64=0),
          "",
          AL64*AM$107
        ),
        _xlfn.LET(
          _xlpm._参照先,
            "'[在庫状況把握_43期_2025-2026.xlsx]月次報告"
            &amp;TEXT(AM$1,"YYMM")
            &amp;"'!",
          _xlpm._戻り範囲,
            IF(
              _xlpm._対象月初=_xlpm._今月初,
              "$AG$1:$AG$300",
              "$G$1:$G$300"
            ),
          _xlfn.XLOOKUP(
            $C64,
            INDIRECT(_xlpm._参照先&amp;"$C$1:$C$300"),
            INDIRECT(_xlpm._参照先&amp;_xlpm._戻り範囲)
          )
        )
      )
    ),
    ""
  )
)</f>
        <v>0</v>
      </c>
      <c r="AN64" s="223" t="str" cm="1">
        <f t="array" aca="1" ref="AN64" ca="1">IF($C64="","",
  IFERROR(
    _xlfn.LET(
      _xlpm._対象月初,EOMONTH(AN$1,-1)+1,
      _xlpm._今月初,EOMONTH(基準データ!$C$5,-1)+1,
      IF(
        _xlpm._対象月初&gt;_xlpm._今月初,
        IF(
          OR(AM64="",AM64=0),
          "",
          AM64*AN$107
        ),
        _xlfn.LET(
          _xlpm._参照先,
            "'[在庫状況把握_43期_2025-2026.xlsx]月次報告"
            &amp;TEXT(AN$1,"YYMM")
            &amp;"'!",
          _xlpm._戻り範囲,
            IF(
              _xlpm._対象月初=_xlpm._今月初,
              "$AG$1:$AG$300",
              "$G$1:$G$300"
            ),
          _xlfn.XLOOKUP(
            $C64,
            INDIRECT(_xlpm._参照先&amp;"$C$1:$C$300"),
            INDIRECT(_xlpm._参照先&amp;_xlpm._戻り範囲)
          )
        )
      )
    ),
    ""
  )
)</f>
        <v/>
      </c>
      <c r="AO64" s="223" t="str" cm="1">
        <f t="array" aca="1" ref="AO64" ca="1">IF($C64="","",
  IFERROR(
    _xlfn.LET(
      _xlpm._対象月初,EOMONTH(AO$1,-1)+1,
      _xlpm._今月初,EOMONTH(基準データ!$C$5,-1)+1,
      IF(
        _xlpm._対象月初&gt;_xlpm._今月初,
        IF(
          OR(AN64="",AN64=0),
          "",
          AN64*AO$107
        ),
        _xlfn.LET(
          _xlpm._参照先,
            "'[在庫状況把握_43期_2025-2026.xlsx]月次報告"
            &amp;TEXT(AO$1,"YYMM")
            &amp;"'!",
          _xlpm._戻り範囲,
            IF(
              _xlpm._対象月初=_xlpm._今月初,
              "$AG$1:$AG$300",
              "$G$1:$G$300"
            ),
          _xlfn.XLOOKUP(
            $C64,
            INDIRECT(_xlpm._参照先&amp;"$C$1:$C$300"),
            INDIRECT(_xlpm._参照先&amp;_xlpm._戻り範囲)
          )
        )
      )
    ),
    ""
  )
)</f>
        <v/>
      </c>
      <c r="AP64" s="223" t="str" cm="1">
        <f t="array" aca="1" ref="AP64" ca="1">IF($C64="","",
  IFERROR(
    _xlfn.LET(
      _xlpm._対象月初,EOMONTH(AP$1,-1)+1,
      _xlpm._今月初,EOMONTH(基準データ!$C$5,-1)+1,
      IF(
        _xlpm._対象月初&gt;_xlpm._今月初,
        IF(
          OR(AO64="",AO64=0),
          "",
          AO64*AP$107
        ),
        _xlfn.LET(
          _xlpm._参照先,
            "'[在庫状況把握_43期_2025-2026.xlsx]月次報告"
            &amp;TEXT(AP$1,"YYMM")
            &amp;"'!",
          _xlpm._戻り範囲,
            IF(
              _xlpm._対象月初=_xlpm._今月初,
              "$AG$1:$AG$300",
              "$G$1:$G$300"
            ),
          _xlfn.XLOOKUP(
            $C64,
            INDIRECT(_xlpm._参照先&amp;"$C$1:$C$300"),
            INDIRECT(_xlpm._参照先&amp;_xlpm._戻り範囲)
          )
        )
      )
    ),
    ""
  )
)</f>
        <v/>
      </c>
      <c r="AQ64" s="223" t="str" cm="1">
        <f t="array" aca="1" ref="AQ64" ca="1">IF($C64="","",
  IFERROR(
    _xlfn.LET(
      _xlpm._対象月初,EOMONTH(AQ$1,-1)+1,
      _xlpm._今月初,EOMONTH(基準データ!$C$5,-1)+1,
      IF(
        _xlpm._対象月初&gt;_xlpm._今月初,
        IF(
          OR(AP64="",AP64=0),
          "",
          AP64*AQ$107
        ),
        _xlfn.LET(
          _xlpm._参照先,
            "'[在庫状況把握_43期_2025-2026.xlsx]月次報告"
            &amp;TEXT(AQ$1,"YYMM")
            &amp;"'!",
          _xlpm._戻り範囲,
            IF(
              _xlpm._対象月初=_xlpm._今月初,
              "$AG$1:$AG$300",
              "$G$1:$G$300"
            ),
          _xlfn.XLOOKUP(
            $C64,
            INDIRECT(_xlpm._参照先&amp;"$C$1:$C$300"),
            INDIRECT(_xlpm._参照先&amp;_xlpm._戻り範囲)
          )
        )
      )
    ),
    ""
  )
)</f>
        <v/>
      </c>
      <c r="AR64" s="223" t="str" cm="1">
        <f t="array" aca="1" ref="AR64" ca="1">IF($C64="","",
  IFERROR(
    _xlfn.LET(
      _xlpm._対象月初,EOMONTH(AR$1,-1)+1,
      _xlpm._今月初,EOMONTH(基準データ!$C$5,-1)+1,
      IF(
        _xlpm._対象月初&gt;_xlpm._今月初,
        IF(
          OR(AQ64="",AQ64=0),
          "",
          AQ64*AR$107
        ),
        _xlfn.LET(
          _xlpm._参照先,
            "'[在庫状況把握_43期_2025-2026.xlsx]月次報告"
            &amp;TEXT(AR$1,"YYMM")
            &amp;"'!",
          _xlpm._戻り範囲,
            IF(
              _xlpm._対象月初=_xlpm._今月初,
              "$AG$1:$AG$300",
              "$G$1:$G$300"
            ),
          _xlfn.XLOOKUP(
            $C64,
            INDIRECT(_xlpm._参照先&amp;"$C$1:$C$300"),
            INDIRECT(_xlpm._参照先&amp;_xlpm._戻り範囲)
          )
        )
      )
    ),
    ""
  )
)</f>
        <v/>
      </c>
      <c r="AS64" s="223" t="str" cm="1">
        <f t="array" aca="1" ref="AS64" ca="1">IF($C64="","",
  IFERROR(
    _xlfn.LET(
      _xlpm._対象月初,EOMONTH(AS$1,-1)+1,
      _xlpm._今月初,EOMONTH(基準データ!$C$5,-1)+1,
      IF(
        _xlpm._対象月初&gt;_xlpm._今月初,
        IF(
          OR(AR64="",AR64=0),
          "",
          AR64*AS$107
        ),
        _xlfn.LET(
          _xlpm._参照先,
            "'[在庫状況把握_43期_2025-2026.xlsx]月次報告"
            &amp;TEXT(AS$1,"YYMM")
            &amp;"'!",
          _xlpm._戻り範囲,
            IF(
              _xlpm._対象月初=_xlpm._今月初,
              "$AG$1:$AG$300",
              "$G$1:$G$300"
            ),
          _xlfn.XLOOKUP(
            $C64,
            INDIRECT(_xlpm._参照先&amp;"$C$1:$C$300"),
            INDIRECT(_xlpm._参照先&amp;_xlpm._戻り範囲)
          )
        )
      )
    ),
    ""
  )
)</f>
        <v/>
      </c>
      <c r="AT64" s="223" t="str" cm="1">
        <f t="array" aca="1" ref="AT64" ca="1">IF($C64="","",
  IFERROR(
    _xlfn.LET(
      _xlpm._対象月初,EOMONTH(AT$1,-1)+1,
      _xlpm._今月初,EOMONTH(基準データ!$C$5,-1)+1,
      IF(
        _xlpm._対象月初&gt;_xlpm._今月初,
        IF(
          OR(AS64="",AS64=0),
          "",
          AS64*AT$107
        ),
        _xlfn.LET(
          _xlpm._参照先,
            "'[在庫状況把握_43期_2025-2026.xlsx]月次報告"
            &amp;TEXT(AT$1,"YYMM")
            &amp;"'!",
          _xlpm._戻り範囲,
            IF(
              _xlpm._対象月初=_xlpm._今月初,
              "$AG$1:$AG$300",
              "$G$1:$G$300"
            ),
          _xlfn.XLOOKUP(
            $C64,
            INDIRECT(_xlpm._参照先&amp;"$C$1:$C$300"),
            INDIRECT(_xlpm._参照先&amp;_xlpm._戻り範囲)
          )
        )
      )
    ),
    ""
  )
)</f>
        <v/>
      </c>
      <c r="AU64" s="223" t="str" cm="1">
        <f t="array" aca="1" ref="AU64" ca="1">IF($C64="","",
  IFERROR(
    _xlfn.LET(
      _xlpm._対象月初,EOMONTH(AU$1,-1)+1,
      _xlpm._今月初,EOMONTH(基準データ!$C$5,-1)+1,
      IF(
        _xlpm._対象月初&gt;_xlpm._今月初,
        IF(
          OR(AT64="",AT64=0),
          "",
          AT64*AU$107
        ),
        _xlfn.LET(
          _xlpm._参照先,
            "'[在庫状況把握_43期_2025-2026.xlsx]月次報告"
            &amp;TEXT(AU$1,"YYMM")
            &amp;"'!",
          _xlpm._戻り範囲,
            IF(
              _xlpm._対象月初=_xlpm._今月初,
              "$AG$1:$AG$300",
              "$G$1:$G$300"
            ),
          _xlfn.XLOOKUP(
            $C64,
            INDIRECT(_xlpm._参照先&amp;"$C$1:$C$300"),
            INDIRECT(_xlpm._参照先&amp;_xlpm._戻り範囲)
          )
        )
      )
    ),
    ""
  )
)</f>
        <v/>
      </c>
      <c r="AV64" s="223" t="str" cm="1">
        <f t="array" aca="1" ref="AV64" ca="1">IF($C64="","",
  IFERROR(
    _xlfn.LET(
      _xlpm._対象月初,EOMONTH(AV$1,-1)+1,
      _xlpm._今月初,EOMONTH(基準データ!$C$5,-1)+1,
      IF(
        _xlpm._対象月初&gt;_xlpm._今月初,
        IF(
          OR(AU64="",AU64=0),
          "",
          AU64*AV$107
        ),
        _xlfn.LET(
          _xlpm._参照先,
            "'[在庫状況把握_43期_2025-2026.xlsx]月次報告"
            &amp;TEXT(AV$1,"YYMM")
            &amp;"'!",
          _xlpm._戻り範囲,
            IF(
              _xlpm._対象月初=_xlpm._今月初,
              "$AG$1:$AG$300",
              "$G$1:$G$300"
            ),
          _xlfn.XLOOKUP(
            $C64,
            INDIRECT(_xlpm._参照先&amp;"$C$1:$C$300"),
            INDIRECT(_xlpm._参照先&amp;_xlpm._戻り範囲)
          )
        )
      )
    ),
    ""
  )
)</f>
        <v/>
      </c>
      <c r="AW64" s="223" t="str" cm="1">
        <f t="array" aca="1" ref="AW64" ca="1">IF($C64="","",
  IFERROR(
    _xlfn.LET(
      _xlpm._対象月初,EOMONTH(AW$1,-1)+1,
      _xlpm._今月初,EOMONTH(基準データ!$C$5,-1)+1,
      IF(
        _xlpm._対象月初&gt;_xlpm._今月初,
        IF(
          OR(AV64="",AV64=0),
          "",
          AV64*AW$107
        ),
        _xlfn.LET(
          _xlpm._参照先,
            "'[在庫状況把握_43期_2025-2026.xlsx]月次報告"
            &amp;TEXT(AW$1,"YYMM")
            &amp;"'!",
          _xlpm._戻り範囲,
            IF(
              _xlpm._対象月初=_xlpm._今月初,
              "$AG$1:$AG$300",
              "$G$1:$G$300"
            ),
          _xlfn.XLOOKUP(
            $C64,
            INDIRECT(_xlpm._参照先&amp;"$C$1:$C$300"),
            INDIRECT(_xlpm._参照先&amp;_xlpm._戻り範囲)
          )
        )
      )
    ),
    ""
  )
)</f>
        <v/>
      </c>
      <c r="AX64" s="223" t="str" cm="1">
        <f t="array" aca="1" ref="AX64" ca="1">IF($C64="","",
  IFERROR(
    _xlfn.LET(
      _xlpm._対象月初,EOMONTH(AX$1,-1)+1,
      _xlpm._今月初,EOMONTH(基準データ!$C$5,-1)+1,
      IF(
        _xlpm._対象月初&gt;_xlpm._今月初,
        IF(
          OR(AW64="",AW64=0),
          "",
          AW64*AX$107
        ),
        _xlfn.LET(
          _xlpm._参照先,
            "'[在庫状況把握_43期_2025-2026.xlsx]月次報告"
            &amp;TEXT(AX$1,"YYMM")
            &amp;"'!",
          _xlpm._戻り範囲,
            IF(
              _xlpm._対象月初=_xlpm._今月初,
              "$AG$1:$AG$300",
              "$G$1:$G$300"
            ),
          _xlfn.XLOOKUP(
            $C64,
            INDIRECT(_xlpm._参照先&amp;"$C$1:$C$300"),
            INDIRECT(_xlpm._参照先&amp;_xlpm._戻り範囲)
          )
        )
      )
    ),
    ""
  )
)</f>
        <v/>
      </c>
      <c r="AY64" s="223" t="str" cm="1">
        <f t="array" aca="1" ref="AY64" ca="1">IF($C64="","",
  IFERROR(
    _xlfn.LET(
      _xlpm._対象月初,EOMONTH(AY$1,-1)+1,
      _xlpm._今月初,EOMONTH(基準データ!$C$5,-1)+1,
      IF(
        _xlpm._対象月初&gt;_xlpm._今月初,
        IF(
          OR(AX64="",AX64=0),
          "",
          AX64*AY$107
        ),
        _xlfn.LET(
          _xlpm._参照先,
            "'[在庫状況把握_43期_2025-2026.xlsx]月次報告"
            &amp;TEXT(AY$1,"YYMM")
            &amp;"'!",
          _xlpm._戻り範囲,
            IF(
              _xlpm._対象月初=_xlpm._今月初,
              "$AG$1:$AG$300",
              "$G$1:$G$300"
            ),
          _xlfn.XLOOKUP(
            $C64,
            INDIRECT(_xlpm._参照先&amp;"$C$1:$C$300"),
            INDIRECT(_xlpm._参照先&amp;_xlpm._戻り範囲)
          )
        )
      )
    ),
    ""
  )
)</f>
        <v/>
      </c>
      <c r="AZ64" s="223" t="str" cm="1">
        <f t="array" aca="1" ref="AZ64" ca="1">IF($C64="","",
  IFERROR(
    _xlfn.LET(
      _xlpm._対象月初,EOMONTH(AZ$1,-1)+1,
      _xlpm._今月初,EOMONTH(基準データ!$C$5,-1)+1,
      IF(
        _xlpm._対象月初&gt;_xlpm._今月初,
        IF(
          OR(AY64="",AY64=0),
          "",
          AY64*AZ$107
        ),
        _xlfn.LET(
          _xlpm._参照先,
            "'[在庫状況把握_43期_2025-2026.xlsx]月次報告"
            &amp;TEXT(AZ$1,"YYMM")
            &amp;"'!",
          _xlpm._戻り範囲,
            IF(
              _xlpm._対象月初=_xlpm._今月初,
              "$AG$1:$AG$300",
              "$G$1:$G$300"
            ),
          _xlfn.XLOOKUP(
            $C64,
            INDIRECT(_xlpm._参照先&amp;"$C$1:$C$300"),
            INDIRECT(_xlpm._参照先&amp;_xlpm._戻り範囲)
          )
        )
      )
    ),
    ""
  )
)</f>
        <v/>
      </c>
      <c r="BA64" s="223" t="str" cm="1">
        <f t="array" aca="1" ref="BA64" ca="1">IF($C64="","",
  IFERROR(
    _xlfn.LET(
      _xlpm._対象月初,EOMONTH(BA$1,-1)+1,
      _xlpm._今月初,EOMONTH(基準データ!$C$5,-1)+1,
      IF(
        _xlpm._対象月初&gt;_xlpm._今月初,
        IF(
          OR(AZ64="",AZ64=0),
          "",
          AZ64*BA$107
        ),
        _xlfn.LET(
          _xlpm._参照先,
            "'[在庫状況把握_43期_2025-2026.xlsx]月次報告"
            &amp;TEXT(BA$1,"YYMM")
            &amp;"'!",
          _xlpm._戻り範囲,
            IF(
              _xlpm._対象月初=_xlpm._今月初,
              "$AG$1:$AG$300",
              "$G$1:$G$300"
            ),
          _xlfn.XLOOKUP(
            $C64,
            INDIRECT(_xlpm._参照先&amp;"$C$1:$C$300"),
            INDIRECT(_xlpm._参照先&amp;_xlpm._戻り範囲)
          )
        )
      )
    ),
    ""
  )
)</f>
        <v/>
      </c>
      <c r="BB64" s="223" t="str" cm="1">
        <f t="array" aca="1" ref="BB64" ca="1">IF($C64="","",
  IFERROR(
    _xlfn.LET(
      _xlpm._対象月初,EOMONTH(BB$1,-1)+1,
      _xlpm._今月初,EOMONTH(基準データ!$C$5,-1)+1,
      IF(
        _xlpm._対象月初&gt;_xlpm._今月初,
        IF(
          OR(BA64="",BA64=0),
          "",
          BA64*BB$107
        ),
        _xlfn.LET(
          _xlpm._参照先,
            "'[在庫状況把握_43期_2025-2026.xlsx]月次報告"
            &amp;TEXT(BB$1,"YYMM")
            &amp;"'!",
          _xlpm._戻り範囲,
            IF(
              _xlpm._対象月初=_xlpm._今月初,
              "$AG$1:$AG$300",
              "$G$1:$G$300"
            ),
          _xlfn.XLOOKUP(
            $C64,
            INDIRECT(_xlpm._参照先&amp;"$C$1:$C$300"),
            INDIRECT(_xlpm._参照先&amp;_xlpm._戻り範囲)
          )
        )
      )
    ),
    ""
  )
)</f>
        <v/>
      </c>
      <c r="BC64" s="223" t="str" cm="1">
        <f t="array" aca="1" ref="BC64" ca="1">IF($C64="","",
  IFERROR(
    _xlfn.LET(
      _xlpm._対象月初,EOMONTH(BC$1,-1)+1,
      _xlpm._今月初,EOMONTH(基準データ!$C$5,-1)+1,
      IF(
        _xlpm._対象月初&gt;_xlpm._今月初,
        IF(
          OR(BB64="",BB64=0),
          "",
          BB64*BC$107
        ),
        _xlfn.LET(
          _xlpm._参照先,
            "'[在庫状況把握_43期_2025-2026.xlsx]月次報告"
            &amp;TEXT(BC$1,"YYMM")
            &amp;"'!",
          _xlpm._戻り範囲,
            IF(
              _xlpm._対象月初=_xlpm._今月初,
              "$AG$1:$AG$300",
              "$G$1:$G$300"
            ),
          _xlfn.XLOOKUP(
            $C64,
            INDIRECT(_xlpm._参照先&amp;"$C$1:$C$300"),
            INDIRECT(_xlpm._参照先&amp;_xlpm._戻り範囲)
          )
        )
      )
    ),
    ""
  )
)</f>
        <v/>
      </c>
      <c r="BD64" s="223" t="str" cm="1">
        <f t="array" aca="1" ref="BD64" ca="1">IF($C64="","",
  IFERROR(
    _xlfn.LET(
      _xlpm._対象月初,EOMONTH(BD$1,-1)+1,
      _xlpm._今月初,EOMONTH(基準データ!$C$5,-1)+1,
      IF(
        _xlpm._対象月初&gt;_xlpm._今月初,
        IF(
          OR(BC64="",BC64=0),
          "",
          BC64*BD$107
        ),
        _xlfn.LET(
          _xlpm._参照先,
            "'[在庫状況把握_43期_2025-2026.xlsx]月次報告"
            &amp;TEXT(BD$1,"YYMM")
            &amp;"'!",
          _xlpm._戻り範囲,
            IF(
              _xlpm._対象月初=_xlpm._今月初,
              "$AG$1:$AG$300",
              "$G$1:$G$300"
            ),
          _xlfn.XLOOKUP(
            $C64,
            INDIRECT(_xlpm._参照先&amp;"$C$1:$C$300"),
            INDIRECT(_xlpm._参照先&amp;_xlpm._戻り範囲)
          )
        )
      )
    ),
    ""
  )
)</f>
        <v/>
      </c>
    </row>
    <row r="65" spans="1:56" ht="18.75" customHeight="1">
      <c r="A65" s="1061" t="s">
        <v>1651</v>
      </c>
      <c r="B65" s="26" t="str">
        <v>CLE-NL55-1355U-UMA-L6-TPM Thirdwave</v>
      </c>
      <c r="C65" s="24" t="s">
        <v>579</v>
      </c>
      <c r="D65" s="25" t="s">
        <v>1434</v>
      </c>
      <c r="E65" s="26"/>
      <c r="F65" s="24"/>
      <c r="G65" s="355">
        <v>702</v>
      </c>
      <c r="H65" s="109" cm="1">
        <f t="array" aca="1" ref="H65" ca="1">_xlfn.LET(_xlpm._来月から4ヶ月計画合計,
  SUM(
    OFFSET($A65,0,
      MATCH(
        EDATE(基準データ!$C$5,3),$A$1:$BF$1,1
      )-3,1,4)),
_xlpm._今月計画数,
INDEX($A$1:$BE$223,
  ROW(),
  MATCH(EOMONTH(基準データ!$C$5,-1)+1,$A$1:$BE$1,0)
),
  IFERROR(IF($B65="","",_xlpm._来月から4ヶ月計画合計+_xlpm._今月計画数/2),""
)
)</f>
        <v>564.15160342880267</v>
      </c>
      <c r="I65" s="311"/>
      <c r="J65" s="311"/>
      <c r="K65" s="311"/>
      <c r="L65" s="311"/>
      <c r="M65" s="311"/>
      <c r="N65" s="311"/>
      <c r="O65" s="311"/>
      <c r="P65" s="298"/>
      <c r="Q65" s="298"/>
      <c r="R65" s="298"/>
      <c r="S65" s="298"/>
      <c r="T65" s="298"/>
      <c r="U65" s="224"/>
      <c r="V65" s="335"/>
      <c r="W65" s="333"/>
      <c r="X65" s="333"/>
      <c r="Y65" s="333"/>
      <c r="Z65" s="219"/>
      <c r="AA65" s="219"/>
      <c r="AB65" s="219"/>
      <c r="AC65" s="224">
        <v>336</v>
      </c>
      <c r="AD65" s="224" t="s">
        <v>21</v>
      </c>
      <c r="AE65" s="223" t="s">
        <v>21</v>
      </c>
      <c r="AF65" s="223">
        <v>0</v>
      </c>
      <c r="AG65" s="223">
        <v>0</v>
      </c>
      <c r="AH65" s="223">
        <v>4</v>
      </c>
      <c r="AI65" s="223">
        <v>133</v>
      </c>
      <c r="AJ65" s="223">
        <v>39</v>
      </c>
      <c r="AK65" s="223">
        <v>67</v>
      </c>
      <c r="AL65" s="223" cm="1">
        <f t="array" aca="1" ref="AL65" ca="1">IF($C65="","",
  IFERROR(
    _xlfn.LET(
      _xlpm._対象月初,EOMONTH(AL$1,-1)+1,
      _xlpm._今月初,EOMONTH(基準データ!$C$5,-1)+1,
      IF(
        _xlpm._対象月初&gt;_xlpm._今月初,
        IF(
          OR(AK65="",AK65=0),
          "",
          AK65*AL$107
        ),
        _xlfn.LET(
          _xlpm._参照先,
            "'[在庫状況把握_43期_2025-2026.xlsx]月次報告"
            &amp;TEXT(AL$1,"YYMM")
            &amp;"'!",
          _xlpm._戻り範囲,
            IF(
              _xlpm._対象月初=_xlpm._今月初,
              "$AG$1:$AG$300",
              "$G$1:$G$300"
            ),
          _xlfn.XLOOKUP(
            $C65,
            INDIRECT(_xlpm._参照先&amp;"$C$1:$C$300"),
            INDIRECT(_xlpm._参照先&amp;_xlpm._戻り範囲)
          )
        )
      )
    ),
    ""
  )
)</f>
        <v>114</v>
      </c>
      <c r="AM65" s="223" cm="1">
        <f t="array" aca="1" ref="AM65" ca="1">IF($C65="","",
  IFERROR(
    _xlfn.LET(
      _xlpm._対象月初,EOMONTH(AM$1,-1)+1,
      _xlpm._今月初,EOMONTH(基準データ!$C$5,-1)+1,
      IF(
        _xlpm._対象月初&gt;_xlpm._今月初,
        IF(
          OR(AL65="",AL65=0),
          "",
          AL65*AM$107
        ),
        _xlfn.LET(
          _xlpm._参照先,
            "'[在庫状況把握_43期_2025-2026.xlsx]月次報告"
            &amp;TEXT(AM$1,"YYMM")
            &amp;"'!",
          _xlpm._戻り範囲,
            IF(
              _xlpm._対象月初=_xlpm._今月初,
              "$AG$1:$AG$300",
              "$G$1:$G$300"
            ),
          _xlfn.XLOOKUP(
            $C65,
            INDIRECT(_xlpm._参照先&amp;"$C$1:$C$300"),
            INDIRECT(_xlpm._参照先&amp;_xlpm._戻り範囲)
          )
        )
      )
    ),
    ""
  )
)</f>
        <v>122.89285714285715</v>
      </c>
      <c r="AN65" s="223" cm="1">
        <f t="array" aca="1" ref="AN65" ca="1">IF($C65="","",
  IFERROR(
    _xlfn.LET(
      _xlpm._対象月初,EOMONTH(AN$1,-1)+1,
      _xlpm._今月初,EOMONTH(基準データ!$C$5,-1)+1,
      IF(
        _xlpm._対象月初&gt;_xlpm._今月初,
        IF(
          OR(AM65="",AM65=0),
          "",
          AM65*AN$107
        ),
        _xlfn.LET(
          _xlpm._参照先,
            "'[在庫状況把握_43期_2025-2026.xlsx]月次報告"
            &amp;TEXT(AN$1,"YYMM")
            &amp;"'!",
          _xlpm._戻り範囲,
            IF(
              _xlpm._対象月初=_xlpm._今月初,
              "$AG$1:$AG$300",
              "$G$1:$G$300"
            ),
          _xlfn.XLOOKUP(
            $C65,
            INDIRECT(_xlpm._参照先&amp;"$C$1:$C$300"),
            INDIRECT(_xlpm._参照先&amp;_xlpm._戻り範囲)
          )
        )
      )
    ),
    ""
  )
)</f>
        <v>113.03182467133126</v>
      </c>
      <c r="AO65" s="223" cm="1">
        <f t="array" aca="1" ref="AO65" ca="1">IF($C65="","",
  IFERROR(
    _xlfn.LET(
      _xlpm._対象月初,EOMONTH(AO$1,-1)+1,
      _xlpm._今月初,EOMONTH(基準データ!$C$5,-1)+1,
      IF(
        _xlpm._対象月初&gt;_xlpm._今月初,
        IF(
          OR(AN65="",AN65=0),
          "",
          AN65*AO$107
        ),
        _xlfn.LET(
          _xlpm._参照先,
            "'[在庫状況把握_43期_2025-2026.xlsx]月次報告"
            &amp;TEXT(AO$1,"YYMM")
            &amp;"'!",
          _xlpm._戻り範囲,
            IF(
              _xlpm._対象月初=_xlpm._今月初,
              "$AG$1:$AG$300",
              "$G$1:$G$300"
            ),
          _xlfn.XLOOKUP(
            $C65,
            INDIRECT(_xlpm._参照先&amp;"$C$1:$C$300"),
            INDIRECT(_xlpm._参照先&amp;_xlpm._戻り範囲)
          )
        )
      )
    ),
    ""
  )
)</f>
        <v>122.1002299318822</v>
      </c>
      <c r="AP65" s="223" cm="1">
        <f t="array" aca="1" ref="AP65" ca="1">IF($C65="","",
  IFERROR(
    _xlfn.LET(
      _xlpm._対象月初,EOMONTH(AP$1,-1)+1,
      _xlpm._今月初,EOMONTH(基準データ!$C$5,-1)+1,
      IF(
        _xlpm._対象月初&gt;_xlpm._今月初,
        IF(
          OR(AO65="",AO65=0),
          "",
          AO65*AP$107
        ),
        _xlfn.LET(
          _xlpm._参照先,
            "'[在庫状況把握_43期_2025-2026.xlsx]月次報告"
            &amp;TEXT(AP$1,"YYMM")
            &amp;"'!",
          _xlpm._戻り範囲,
            IF(
              _xlpm._対象月初=_xlpm._今月初,
              "$AG$1:$AG$300",
              "$G$1:$G$300"
            ),
          _xlfn.XLOOKUP(
            $C65,
            INDIRECT(_xlpm._参照先&amp;"$C$1:$C$300"),
            INDIRECT(_xlpm._参照先&amp;_xlpm._戻り範囲)
          )
        )
      )
    ),
    ""
  )
)</f>
        <v>131.48880616963129</v>
      </c>
      <c r="AQ65" s="223" cm="1">
        <f t="array" aca="1" ref="AQ65" ca="1">IF($C65="","",
  IFERROR(
    _xlfn.LET(
      _xlpm._対象月初,EOMONTH(AQ$1,-1)+1,
      _xlpm._今月初,EOMONTH(基準データ!$C$5,-1)+1,
      IF(
        _xlpm._対象月初&gt;_xlpm._今月初,
        IF(
          OR(AP65="",AP65=0),
          "",
          AP65*AQ$107
        ),
        _xlfn.LET(
          _xlpm._参照先,
            "'[在庫状況把握_43期_2025-2026.xlsx]月次報告"
            &amp;TEXT(AQ$1,"YYMM")
            &amp;"'!",
          _xlpm._戻り範囲,
            IF(
              _xlpm._対象月初=_xlpm._今月初,
              "$AG$1:$AG$300",
              "$G$1:$G$300"
            ),
          _xlfn.XLOOKUP(
            $C65,
            INDIRECT(_xlpm._参照先&amp;"$C$1:$C$300"),
            INDIRECT(_xlpm._参照先&amp;_xlpm._戻り範囲)
          )
        )
      )
    ),
    ""
  )
)</f>
        <v>136.08431408452938</v>
      </c>
      <c r="AR65" s="223" cm="1">
        <f t="array" aca="1" ref="AR65" ca="1">IF($C65="","",
  IFERROR(
    _xlfn.LET(
      _xlpm._対象月初,EOMONTH(AR$1,-1)+1,
      _xlpm._今月初,EOMONTH(基準データ!$C$5,-1)+1,
      IF(
        _xlpm._対象月初&gt;_xlpm._今月初,
        IF(
          OR(AQ65="",AQ65=0),
          "",
          AQ65*AR$107
        ),
        _xlfn.LET(
          _xlpm._参照先,
            "'[在庫状況把握_43期_2025-2026.xlsx]月次報告"
            &amp;TEXT(AR$1,"YYMM")
            &amp;"'!",
          _xlpm._戻り範囲,
            IF(
              _xlpm._対象月初=_xlpm._今月初,
              "$AG$1:$AG$300",
              "$G$1:$G$300"
            ),
          _xlfn.XLOOKUP(
            $C65,
            INDIRECT(_xlpm._参照先&amp;"$C$1:$C$300"),
            INDIRECT(_xlpm._参照先&amp;_xlpm._戻り範囲)
          )
        )
      )
    ),
    ""
  )
)</f>
        <v>200.57850446596376</v>
      </c>
      <c r="AS65" s="223" cm="1">
        <f t="array" aca="1" ref="AS65" ca="1">IF($C65="","",
  IFERROR(
    _xlfn.LET(
      _xlpm._対象月初,EOMONTH(AS$1,-1)+1,
      _xlpm._今月初,EOMONTH(基準データ!$C$5,-1)+1,
      IF(
        _xlpm._対象月初&gt;_xlpm._今月初,
        IF(
          OR(AR65="",AR65=0),
          "",
          AR65*AS$107
        ),
        _xlfn.LET(
          _xlpm._参照先,
            "'[在庫状況把握_43期_2025-2026.xlsx]月次報告"
            &amp;TEXT(AS$1,"YYMM")
            &amp;"'!",
          _xlpm._戻り範囲,
            IF(
              _xlpm._対象月初=_xlpm._今月初,
              "$AG$1:$AG$300",
              "$G$1:$G$300"
            ),
          _xlfn.XLOOKUP(
            $C65,
            INDIRECT(_xlpm._参照先&amp;"$C$1:$C$300"),
            INDIRECT(_xlpm._参照先&amp;_xlpm._戻り範囲)
          )
        )
      )
    ),
    ""
  )
)</f>
        <v>173.09293273120974</v>
      </c>
      <c r="AT65" s="223" cm="1">
        <f t="array" aca="1" ref="AT65" ca="1">IF($C65="","",
  IFERROR(
    _xlfn.LET(
      _xlpm._対象月初,EOMONTH(AT$1,-1)+1,
      _xlpm._今月初,EOMONTH(基準データ!$C$5,-1)+1,
      IF(
        _xlpm._対象月初&gt;_xlpm._今月初,
        IF(
          OR(AS65="",AS65=0),
          "",
          AS65*AT$107
        ),
        _xlfn.LET(
          _xlpm._参照先,
            "'[在庫状況把握_43期_2025-2026.xlsx]月次報告"
            &amp;TEXT(AT$1,"YYMM")
            &amp;"'!",
          _xlpm._戻り範囲,
            IF(
              _xlpm._対象月初=_xlpm._今月初,
              "$AG$1:$AG$300",
              "$G$1:$G$300"
            ),
          _xlfn.XLOOKUP(
            $C65,
            INDIRECT(_xlpm._参照先&amp;"$C$1:$C$300"),
            INDIRECT(_xlpm._参照先&amp;_xlpm._戻り範囲)
          )
        )
      )
    ),
    ""
  )
)</f>
        <v>163.19419245742793</v>
      </c>
      <c r="AU65" s="223" cm="1">
        <f t="array" aca="1" ref="AU65" ca="1">IF($C65="","",
  IFERROR(
    _xlfn.LET(
      _xlpm._対象月初,EOMONTH(AU$1,-1)+1,
      _xlpm._今月初,EOMONTH(基準データ!$C$5,-1)+1,
      IF(
        _xlpm._対象月初&gt;_xlpm._今月初,
        IF(
          OR(AT65="",AT65=0),
          "",
          AT65*AU$107
        ),
        _xlfn.LET(
          _xlpm._参照先,
            "'[在庫状況把握_43期_2025-2026.xlsx]月次報告"
            &amp;TEXT(AU$1,"YYMM")
            &amp;"'!",
          _xlpm._戻り範囲,
            IF(
              _xlpm._対象月初=_xlpm._今月初,
              "$AG$1:$AG$300",
              "$G$1:$G$300"
            ),
          _xlfn.XLOOKUP(
            $C65,
            INDIRECT(_xlpm._参照先&amp;"$C$1:$C$300"),
            INDIRECT(_xlpm._参照先&amp;_xlpm._戻り範囲)
          )
        )
      )
    ),
    ""
  )
)</f>
        <v>241.17234507365069</v>
      </c>
      <c r="AV65" s="223" cm="1">
        <f t="array" aca="1" ref="AV65" ca="1">IF($C65="","",
  IFERROR(
    _xlfn.LET(
      _xlpm._対象月初,EOMONTH(AV$1,-1)+1,
      _xlpm._今月初,EOMONTH(基準データ!$C$5,-1)+1,
      IF(
        _xlpm._対象月初&gt;_xlpm._今月初,
        IF(
          OR(AU65="",AU65=0),
          "",
          AU65*AV$107
        ),
        _xlfn.LET(
          _xlpm._参照先,
            "'[在庫状況把握_43期_2025-2026.xlsx]月次報告"
            &amp;TEXT(AV$1,"YYMM")
            &amp;"'!",
          _xlpm._戻り範囲,
            IF(
              _xlpm._対象月初=_xlpm._今月初,
              "$AG$1:$AG$300",
              "$G$1:$G$300"
            ),
          _xlfn.XLOOKUP(
            $C65,
            INDIRECT(_xlpm._参照先&amp;"$C$1:$C$300"),
            INDIRECT(_xlpm._参照先&amp;_xlpm._戻り範囲)
          )
        )
      )
    ),
    ""
  )
)</f>
        <v>148.08755884356751</v>
      </c>
      <c r="AW65" s="223" cm="1">
        <f t="array" aca="1" ref="AW65" ca="1">IF($C65="","",
  IFERROR(
    _xlfn.LET(
      _xlpm._対象月初,EOMONTH(AW$1,-1)+1,
      _xlpm._今月初,EOMONTH(基準データ!$C$5,-1)+1,
      IF(
        _xlpm._対象月初&gt;_xlpm._今月初,
        IF(
          OR(AV65="",AV65=0),
          "",
          AV65*AW$107
        ),
        _xlfn.LET(
          _xlpm._参照先,
            "'[在庫状況把握_43期_2025-2026.xlsx]月次報告"
            &amp;TEXT(AW$1,"YYMM")
            &amp;"'!",
          _xlpm._戻り範囲,
            IF(
              _xlpm._対象月初=_xlpm._今月初,
              "$AG$1:$AG$300",
              "$G$1:$G$300"
            ),
          _xlfn.XLOOKUP(
            $C65,
            INDIRECT(_xlpm._参照先&amp;"$C$1:$C$300"),
            INDIRECT(_xlpm._参照先&amp;_xlpm._戻り範囲)
          )
        )
      )
    ),
    ""
  )
)</f>
        <v>107.39758524407121</v>
      </c>
      <c r="AX65" s="223" cm="1">
        <f t="array" aca="1" ref="AX65" ca="1">IF($C65="","",
  IFERROR(
    _xlfn.LET(
      _xlpm._対象月初,EOMONTH(AX$1,-1)+1,
      _xlpm._今月初,EOMONTH(基準データ!$C$5,-1)+1,
      IF(
        _xlpm._対象月初&gt;_xlpm._今月初,
        IF(
          OR(AW65="",AW65=0),
          "",
          AW65*AX$107
        ),
        _xlfn.LET(
          _xlpm._参照先,
            "'[在庫状況把握_43期_2025-2026.xlsx]月次報告"
            &amp;TEXT(AX$1,"YYMM")
            &amp;"'!",
          _xlpm._戻り範囲,
            IF(
              _xlpm._対象月初=_xlpm._今月初,
              "$AG$1:$AG$300",
              "$G$1:$G$300"
            ),
          _xlfn.XLOOKUP(
            $C65,
            INDIRECT(_xlpm._参照先&amp;"$C$1:$C$300"),
            INDIRECT(_xlpm._参照先&amp;_xlpm._戻り範囲)
          )
        )
      )
    ),
    ""
  )
)</f>
        <v>111.98451290538428</v>
      </c>
      <c r="AY65" s="223" cm="1">
        <f t="array" aca="1" ref="AY65" ca="1">IF($C65="","",
  IFERROR(
    _xlfn.LET(
      _xlpm._対象月初,EOMONTH(AY$1,-1)+1,
      _xlpm._今月初,EOMONTH(基準データ!$C$5,-1)+1,
      IF(
        _xlpm._対象月初&gt;_xlpm._今月初,
        IF(
          OR(AX65="",AX65=0),
          "",
          AX65*AY$107
        ),
        _xlfn.LET(
          _xlpm._参照先,
            "'[在庫状況把握_43期_2025-2026.xlsx]月次報告"
            &amp;TEXT(AY$1,"YYMM")
            &amp;"'!",
          _xlpm._戻り範囲,
            IF(
              _xlpm._対象月初=_xlpm._今月初,
              "$AG$1:$AG$300",
              "$G$1:$G$300"
            ),
          _xlfn.XLOOKUP(
            $C65,
            INDIRECT(_xlpm._参照先&amp;"$C$1:$C$300"),
            INDIRECT(_xlpm._参照先&amp;_xlpm._戻り範囲)
          )
        )
      )
    ),
    ""
  )
)</f>
        <v>122.89285714285717</v>
      </c>
      <c r="AZ65" s="223" cm="1">
        <f t="array" aca="1" ref="AZ65" ca="1">IF($C65="","",
  IFERROR(
    _xlfn.LET(
      _xlpm._対象月初,EOMONTH(AZ$1,-1)+1,
      _xlpm._今月初,EOMONTH(基準データ!$C$5,-1)+1,
      IF(
        _xlpm._対象月初&gt;_xlpm._今月初,
        IF(
          OR(AY65="",AY65=0),
          "",
          AY65*AZ$107
        ),
        _xlfn.LET(
          _xlpm._参照先,
            "'[在庫状況把握_43期_2025-2026.xlsx]月次報告"
            &amp;TEXT(AZ$1,"YYMM")
            &amp;"'!",
          _xlpm._戻り範囲,
            IF(
              _xlpm._対象月初=_xlpm._今月初,
              "$AG$1:$AG$300",
              "$G$1:$G$300"
            ),
          _xlfn.XLOOKUP(
            $C65,
            INDIRECT(_xlpm._参照先&amp;"$C$1:$C$300"),
            INDIRECT(_xlpm._参照先&amp;_xlpm._戻り範囲)
          )
        )
      )
    ),
    ""
  )
)</f>
        <v>113.03182467133128</v>
      </c>
      <c r="BA65" s="223" cm="1">
        <f t="array" aca="1" ref="BA65" ca="1">IF($C65="","",
  IFERROR(
    _xlfn.LET(
      _xlpm._対象月初,EOMONTH(BA$1,-1)+1,
      _xlpm._今月初,EOMONTH(基準データ!$C$5,-1)+1,
      IF(
        _xlpm._対象月初&gt;_xlpm._今月初,
        IF(
          OR(AZ65="",AZ65=0),
          "",
          AZ65*BA$107
        ),
        _xlfn.LET(
          _xlpm._参照先,
            "'[在庫状況把握_43期_2025-2026.xlsx]月次報告"
            &amp;TEXT(BA$1,"YYMM")
            &amp;"'!",
          _xlpm._戻り範囲,
            IF(
              _xlpm._対象月初=_xlpm._今月初,
              "$AG$1:$AG$300",
              "$G$1:$G$300"
            ),
          _xlfn.XLOOKUP(
            $C65,
            INDIRECT(_xlpm._参照先&amp;"$C$1:$C$300"),
            INDIRECT(_xlpm._参照先&amp;_xlpm._戻り範囲)
          )
        )
      )
    ),
    ""
  )
)</f>
        <v>122.10022993188221</v>
      </c>
      <c r="BB65" s="223" cm="1">
        <f t="array" aca="1" ref="BB65" ca="1">IF($C65="","",
  IFERROR(
    _xlfn.LET(
      _xlpm._対象月初,EOMONTH(BB$1,-1)+1,
      _xlpm._今月初,EOMONTH(基準データ!$C$5,-1)+1,
      IF(
        _xlpm._対象月初&gt;_xlpm._今月初,
        IF(
          OR(BA65="",BA65=0),
          "",
          BA65*BB$107
        ),
        _xlfn.LET(
          _xlpm._参照先,
            "'[在庫状況把握_43期_2025-2026.xlsx]月次報告"
            &amp;TEXT(BB$1,"YYMM")
            &amp;"'!",
          _xlpm._戻り範囲,
            IF(
              _xlpm._対象月初=_xlpm._今月初,
              "$AG$1:$AG$300",
              "$G$1:$G$300"
            ),
          _xlfn.XLOOKUP(
            $C65,
            INDIRECT(_xlpm._参照先&amp;"$C$1:$C$300"),
            INDIRECT(_xlpm._参照先&amp;_xlpm._戻り範囲)
          )
        )
      )
    ),
    ""
  )
)</f>
        <v>131.48880616963129</v>
      </c>
      <c r="BC65" s="223" cm="1">
        <f t="array" aca="1" ref="BC65" ca="1">IF($C65="","",
  IFERROR(
    _xlfn.LET(
      _xlpm._対象月初,EOMONTH(BC$1,-1)+1,
      _xlpm._今月初,EOMONTH(基準データ!$C$5,-1)+1,
      IF(
        _xlpm._対象月初&gt;_xlpm._今月初,
        IF(
          OR(BB65="",BB65=0),
          "",
          BB65*BC$107
        ),
        _xlfn.LET(
          _xlpm._参照先,
            "'[在庫状況把握_43期_2025-2026.xlsx]月次報告"
            &amp;TEXT(BC$1,"YYMM")
            &amp;"'!",
          _xlpm._戻り範囲,
            IF(
              _xlpm._対象月初=_xlpm._今月初,
              "$AG$1:$AG$300",
              "$G$1:$G$300"
            ),
          _xlfn.XLOOKUP(
            $C65,
            INDIRECT(_xlpm._参照先&amp;"$C$1:$C$300"),
            INDIRECT(_xlpm._参照先&amp;_xlpm._戻り範囲)
          )
        )
      )
    ),
    ""
  )
)</f>
        <v>136.08431408452938</v>
      </c>
      <c r="BD65" s="223" cm="1">
        <f t="array" aca="1" ref="BD65" ca="1">IF($C65="","",
  IFERROR(
    _xlfn.LET(
      _xlpm._対象月初,EOMONTH(BD$1,-1)+1,
      _xlpm._今月初,EOMONTH(基準データ!$C$5,-1)+1,
      IF(
        _xlpm._対象月初&gt;_xlpm._今月初,
        IF(
          OR(BC65="",BC65=0),
          "",
          BC65*BD$107
        ),
        _xlfn.LET(
          _xlpm._参照先,
            "'[在庫状況把握_43期_2025-2026.xlsx]月次報告"
            &amp;TEXT(BD$1,"YYMM")
            &amp;"'!",
          _xlpm._戻り範囲,
            IF(
              _xlpm._対象月初=_xlpm._今月初,
              "$AG$1:$AG$300",
              "$G$1:$G$300"
            ),
          _xlfn.XLOOKUP(
            $C65,
            INDIRECT(_xlpm._参照先&amp;"$C$1:$C$300"),
            INDIRECT(_xlpm._参照先&amp;_xlpm._戻り範囲)
          )
        )
      )
    ),
    ""
  )
)</f>
        <v>200.57850446596376</v>
      </c>
    </row>
    <row r="66" spans="1:56" ht="18.75" customHeight="1">
      <c r="A66" s="1061" t="s">
        <v>1651</v>
      </c>
      <c r="B66" s="26" t="e">
        <v>#N/A</v>
      </c>
      <c r="C66" s="24" t="s">
        <v>1652</v>
      </c>
      <c r="D66" s="25" t="s">
        <v>1653</v>
      </c>
      <c r="E66" s="26"/>
      <c r="F66" s="24"/>
      <c r="G66" s="355" t="str">
        <v/>
      </c>
      <c r="H66" s="109" t="str" cm="1">
        <f t="array" aca="1" ref="H66" ca="1">_xlfn.LET(_xlpm._来月から4ヶ月計画合計,
  SUM(
    OFFSET($A66,0,
      MATCH(
        EDATE(基準データ!$C$5,3),$A$1:$BF$1,1
      )-3,1,4)),
_xlpm._今月計画数,
INDEX($A$1:$BE$223,
  ROW(),
  MATCH(EOMONTH(基準データ!$C$5,-1)+1,$A$1:$BE$1,0)
),
  IFERROR(IF($B66="","",_xlpm._来月から4ヶ月計画合計+_xlpm._今月計画数/2),""
)
)</f>
        <v/>
      </c>
      <c r="I66" s="311"/>
      <c r="J66" s="311"/>
      <c r="K66" s="311"/>
      <c r="L66" s="311"/>
      <c r="M66" s="311"/>
      <c r="N66" s="311"/>
      <c r="O66" s="311"/>
      <c r="P66" s="298"/>
      <c r="Q66" s="298"/>
      <c r="R66" s="298"/>
      <c r="S66" s="298"/>
      <c r="T66" s="298"/>
      <c r="U66" s="224"/>
      <c r="V66" s="335"/>
      <c r="W66" s="333"/>
      <c r="X66" s="333"/>
      <c r="Y66" s="333"/>
      <c r="Z66" s="219"/>
      <c r="AA66" s="219"/>
      <c r="AB66" s="219"/>
      <c r="AC66" s="224"/>
      <c r="AD66" s="224" t="s">
        <v>21</v>
      </c>
      <c r="AE66" s="223" t="s">
        <v>21</v>
      </c>
      <c r="AF66" s="223" t="s">
        <v>21</v>
      </c>
      <c r="AG66" s="223" t="s">
        <v>21</v>
      </c>
      <c r="AH66" s="223" t="s">
        <v>21</v>
      </c>
      <c r="AI66" s="223" t="s">
        <v>21</v>
      </c>
      <c r="AJ66" s="223" t="s">
        <v>21</v>
      </c>
      <c r="AK66" s="223" t="s">
        <v>21</v>
      </c>
      <c r="AL66" s="223" t="str" cm="1">
        <f t="array" aca="1" ref="AL66" ca="1">IF($C66="","",
  IFERROR(
    _xlfn.LET(
      _xlpm._対象月初,EOMONTH(AL$1,-1)+1,
      _xlpm._今月初,EOMONTH(基準データ!$C$5,-1)+1,
      IF(
        _xlpm._対象月初&gt;_xlpm._今月初,
        IF(
          OR(AK66="",AK66=0),
          "",
          AK66*AL$107
        ),
        _xlfn.LET(
          _xlpm._参照先,
            "'[在庫状況把握_43期_2025-2026.xlsx]月次報告"
            &amp;TEXT(AL$1,"YYMM")
            &amp;"'!",
          _xlpm._戻り範囲,
            IF(
              _xlpm._対象月初=_xlpm._今月初,
              "$AG$1:$AG$300",
              "$G$1:$G$300"
            ),
          _xlfn.XLOOKUP(
            $C66,
            INDIRECT(_xlpm._参照先&amp;"$C$1:$C$300"),
            INDIRECT(_xlpm._参照先&amp;_xlpm._戻り範囲)
          )
        )
      )
    ),
    ""
  )
)</f>
        <v/>
      </c>
      <c r="AM66" s="223" t="str" cm="1">
        <f t="array" aca="1" ref="AM66" ca="1">IF($C66="","",
  IFERROR(
    _xlfn.LET(
      _xlpm._対象月初,EOMONTH(AM$1,-1)+1,
      _xlpm._今月初,EOMONTH(基準データ!$C$5,-1)+1,
      IF(
        _xlpm._対象月初&gt;_xlpm._今月初,
        IF(
          OR(AL66="",AL66=0),
          "",
          AL66*AM$107
        ),
        _xlfn.LET(
          _xlpm._参照先,
            "'[在庫状況把握_43期_2025-2026.xlsx]月次報告"
            &amp;TEXT(AM$1,"YYMM")
            &amp;"'!",
          _xlpm._戻り範囲,
            IF(
              _xlpm._対象月初=_xlpm._今月初,
              "$AG$1:$AG$300",
              "$G$1:$G$300"
            ),
          _xlfn.XLOOKUP(
            $C66,
            INDIRECT(_xlpm._参照先&amp;"$C$1:$C$300"),
            INDIRECT(_xlpm._参照先&amp;_xlpm._戻り範囲)
          )
        )
      )
    ),
    ""
  )
)</f>
        <v/>
      </c>
      <c r="AN66" s="223" t="str" cm="1">
        <f t="array" aca="1" ref="AN66" ca="1">IF($C66="","",
  IFERROR(
    _xlfn.LET(
      _xlpm._対象月初,EOMONTH(AN$1,-1)+1,
      _xlpm._今月初,EOMONTH(基準データ!$C$5,-1)+1,
      IF(
        _xlpm._対象月初&gt;_xlpm._今月初,
        IF(
          OR(AM66="",AM66=0),
          "",
          AM66*AN$107
        ),
        _xlfn.LET(
          _xlpm._参照先,
            "'[在庫状況把握_43期_2025-2026.xlsx]月次報告"
            &amp;TEXT(AN$1,"YYMM")
            &amp;"'!",
          _xlpm._戻り範囲,
            IF(
              _xlpm._対象月初=_xlpm._今月初,
              "$AG$1:$AG$300",
              "$G$1:$G$300"
            ),
          _xlfn.XLOOKUP(
            $C66,
            INDIRECT(_xlpm._参照先&amp;"$C$1:$C$300"),
            INDIRECT(_xlpm._参照先&amp;_xlpm._戻り範囲)
          )
        )
      )
    ),
    ""
  )
)</f>
        <v/>
      </c>
      <c r="AO66" s="223" t="str" cm="1">
        <f t="array" aca="1" ref="AO66" ca="1">IF($C66="","",
  IFERROR(
    _xlfn.LET(
      _xlpm._対象月初,EOMONTH(AO$1,-1)+1,
      _xlpm._今月初,EOMONTH(基準データ!$C$5,-1)+1,
      IF(
        _xlpm._対象月初&gt;_xlpm._今月初,
        IF(
          OR(AN66="",AN66=0),
          "",
          AN66*AO$107
        ),
        _xlfn.LET(
          _xlpm._参照先,
            "'[在庫状況把握_43期_2025-2026.xlsx]月次報告"
            &amp;TEXT(AO$1,"YYMM")
            &amp;"'!",
          _xlpm._戻り範囲,
            IF(
              _xlpm._対象月初=_xlpm._今月初,
              "$AG$1:$AG$300",
              "$G$1:$G$300"
            ),
          _xlfn.XLOOKUP(
            $C66,
            INDIRECT(_xlpm._参照先&amp;"$C$1:$C$300"),
            INDIRECT(_xlpm._参照先&amp;_xlpm._戻り範囲)
          )
        )
      )
    ),
    ""
  )
)</f>
        <v/>
      </c>
      <c r="AP66" s="223" t="str" cm="1">
        <f t="array" aca="1" ref="AP66" ca="1">IF($C66="","",
  IFERROR(
    _xlfn.LET(
      _xlpm._対象月初,EOMONTH(AP$1,-1)+1,
      _xlpm._今月初,EOMONTH(基準データ!$C$5,-1)+1,
      IF(
        _xlpm._対象月初&gt;_xlpm._今月初,
        IF(
          OR(AO66="",AO66=0),
          "",
          AO66*AP$107
        ),
        _xlfn.LET(
          _xlpm._参照先,
            "'[在庫状況把握_43期_2025-2026.xlsx]月次報告"
            &amp;TEXT(AP$1,"YYMM")
            &amp;"'!",
          _xlpm._戻り範囲,
            IF(
              _xlpm._対象月初=_xlpm._今月初,
              "$AG$1:$AG$300",
              "$G$1:$G$300"
            ),
          _xlfn.XLOOKUP(
            $C66,
            INDIRECT(_xlpm._参照先&amp;"$C$1:$C$300"),
            INDIRECT(_xlpm._参照先&amp;_xlpm._戻り範囲)
          )
        )
      )
    ),
    ""
  )
)</f>
        <v/>
      </c>
      <c r="AQ66" s="223" t="str" cm="1">
        <f t="array" aca="1" ref="AQ66" ca="1">IF($C66="","",
  IFERROR(
    _xlfn.LET(
      _xlpm._対象月初,EOMONTH(AQ$1,-1)+1,
      _xlpm._今月初,EOMONTH(基準データ!$C$5,-1)+1,
      IF(
        _xlpm._対象月初&gt;_xlpm._今月初,
        IF(
          OR(AP66="",AP66=0),
          "",
          AP66*AQ$107
        ),
        _xlfn.LET(
          _xlpm._参照先,
            "'[在庫状況把握_43期_2025-2026.xlsx]月次報告"
            &amp;TEXT(AQ$1,"YYMM")
            &amp;"'!",
          _xlpm._戻り範囲,
            IF(
              _xlpm._対象月初=_xlpm._今月初,
              "$AG$1:$AG$300",
              "$G$1:$G$300"
            ),
          _xlfn.XLOOKUP(
            $C66,
            INDIRECT(_xlpm._参照先&amp;"$C$1:$C$300"),
            INDIRECT(_xlpm._参照先&amp;_xlpm._戻り範囲)
          )
        )
      )
    ),
    ""
  )
)</f>
        <v/>
      </c>
      <c r="AR66" s="223" t="str" cm="1">
        <f t="array" aca="1" ref="AR66" ca="1">IF($C66="","",
  IFERROR(
    _xlfn.LET(
      _xlpm._対象月初,EOMONTH(AR$1,-1)+1,
      _xlpm._今月初,EOMONTH(基準データ!$C$5,-1)+1,
      IF(
        _xlpm._対象月初&gt;_xlpm._今月初,
        IF(
          OR(AQ66="",AQ66=0),
          "",
          AQ66*AR$107
        ),
        _xlfn.LET(
          _xlpm._参照先,
            "'[在庫状況把握_43期_2025-2026.xlsx]月次報告"
            &amp;TEXT(AR$1,"YYMM")
            &amp;"'!",
          _xlpm._戻り範囲,
            IF(
              _xlpm._対象月初=_xlpm._今月初,
              "$AG$1:$AG$300",
              "$G$1:$G$300"
            ),
          _xlfn.XLOOKUP(
            $C66,
            INDIRECT(_xlpm._参照先&amp;"$C$1:$C$300"),
            INDIRECT(_xlpm._参照先&amp;_xlpm._戻り範囲)
          )
        )
      )
    ),
    ""
  )
)</f>
        <v/>
      </c>
      <c r="AS66" s="223" t="str" cm="1">
        <f t="array" aca="1" ref="AS66" ca="1">IF($C66="","",
  IFERROR(
    _xlfn.LET(
      _xlpm._対象月初,EOMONTH(AS$1,-1)+1,
      _xlpm._今月初,EOMONTH(基準データ!$C$5,-1)+1,
      IF(
        _xlpm._対象月初&gt;_xlpm._今月初,
        IF(
          OR(AR66="",AR66=0),
          "",
          AR66*AS$107
        ),
        _xlfn.LET(
          _xlpm._参照先,
            "'[在庫状況把握_43期_2025-2026.xlsx]月次報告"
            &amp;TEXT(AS$1,"YYMM")
            &amp;"'!",
          _xlpm._戻り範囲,
            IF(
              _xlpm._対象月初=_xlpm._今月初,
              "$AG$1:$AG$300",
              "$G$1:$G$300"
            ),
          _xlfn.XLOOKUP(
            $C66,
            INDIRECT(_xlpm._参照先&amp;"$C$1:$C$300"),
            INDIRECT(_xlpm._参照先&amp;_xlpm._戻り範囲)
          )
        )
      )
    ),
    ""
  )
)</f>
        <v/>
      </c>
      <c r="AT66" s="223" t="str" cm="1">
        <f t="array" aca="1" ref="AT66" ca="1">IF($C66="","",
  IFERROR(
    _xlfn.LET(
      _xlpm._対象月初,EOMONTH(AT$1,-1)+1,
      _xlpm._今月初,EOMONTH(基準データ!$C$5,-1)+1,
      IF(
        _xlpm._対象月初&gt;_xlpm._今月初,
        IF(
          OR(AS66="",AS66=0),
          "",
          AS66*AT$107
        ),
        _xlfn.LET(
          _xlpm._参照先,
            "'[在庫状況把握_43期_2025-2026.xlsx]月次報告"
            &amp;TEXT(AT$1,"YYMM")
            &amp;"'!",
          _xlpm._戻り範囲,
            IF(
              _xlpm._対象月初=_xlpm._今月初,
              "$AG$1:$AG$300",
              "$G$1:$G$300"
            ),
          _xlfn.XLOOKUP(
            $C66,
            INDIRECT(_xlpm._参照先&amp;"$C$1:$C$300"),
            INDIRECT(_xlpm._参照先&amp;_xlpm._戻り範囲)
          )
        )
      )
    ),
    ""
  )
)</f>
        <v/>
      </c>
      <c r="AU66" s="223" t="str" cm="1">
        <f t="array" aca="1" ref="AU66" ca="1">IF($C66="","",
  IFERROR(
    _xlfn.LET(
      _xlpm._対象月初,EOMONTH(AU$1,-1)+1,
      _xlpm._今月初,EOMONTH(基準データ!$C$5,-1)+1,
      IF(
        _xlpm._対象月初&gt;_xlpm._今月初,
        IF(
          OR(AT66="",AT66=0),
          "",
          AT66*AU$107
        ),
        _xlfn.LET(
          _xlpm._参照先,
            "'[在庫状況把握_43期_2025-2026.xlsx]月次報告"
            &amp;TEXT(AU$1,"YYMM")
            &amp;"'!",
          _xlpm._戻り範囲,
            IF(
              _xlpm._対象月初=_xlpm._今月初,
              "$AG$1:$AG$300",
              "$G$1:$G$300"
            ),
          _xlfn.XLOOKUP(
            $C66,
            INDIRECT(_xlpm._参照先&amp;"$C$1:$C$300"),
            INDIRECT(_xlpm._参照先&amp;_xlpm._戻り範囲)
          )
        )
      )
    ),
    ""
  )
)</f>
        <v/>
      </c>
      <c r="AV66" s="223" t="str" cm="1">
        <f t="array" aca="1" ref="AV66" ca="1">IF($C66="","",
  IFERROR(
    _xlfn.LET(
      _xlpm._対象月初,EOMONTH(AV$1,-1)+1,
      _xlpm._今月初,EOMONTH(基準データ!$C$5,-1)+1,
      IF(
        _xlpm._対象月初&gt;_xlpm._今月初,
        IF(
          OR(AU66="",AU66=0),
          "",
          AU66*AV$107
        ),
        _xlfn.LET(
          _xlpm._参照先,
            "'[在庫状況把握_43期_2025-2026.xlsx]月次報告"
            &amp;TEXT(AV$1,"YYMM")
            &amp;"'!",
          _xlpm._戻り範囲,
            IF(
              _xlpm._対象月初=_xlpm._今月初,
              "$AG$1:$AG$300",
              "$G$1:$G$300"
            ),
          _xlfn.XLOOKUP(
            $C66,
            INDIRECT(_xlpm._参照先&amp;"$C$1:$C$300"),
            INDIRECT(_xlpm._参照先&amp;_xlpm._戻り範囲)
          )
        )
      )
    ),
    ""
  )
)</f>
        <v/>
      </c>
      <c r="AW66" s="223" t="str" cm="1">
        <f t="array" aca="1" ref="AW66" ca="1">IF($C66="","",
  IFERROR(
    _xlfn.LET(
      _xlpm._対象月初,EOMONTH(AW$1,-1)+1,
      _xlpm._今月初,EOMONTH(基準データ!$C$5,-1)+1,
      IF(
        _xlpm._対象月初&gt;_xlpm._今月初,
        IF(
          OR(AV66="",AV66=0),
          "",
          AV66*AW$107
        ),
        _xlfn.LET(
          _xlpm._参照先,
            "'[在庫状況把握_43期_2025-2026.xlsx]月次報告"
            &amp;TEXT(AW$1,"YYMM")
            &amp;"'!",
          _xlpm._戻り範囲,
            IF(
              _xlpm._対象月初=_xlpm._今月初,
              "$AG$1:$AG$300",
              "$G$1:$G$300"
            ),
          _xlfn.XLOOKUP(
            $C66,
            INDIRECT(_xlpm._参照先&amp;"$C$1:$C$300"),
            INDIRECT(_xlpm._参照先&amp;_xlpm._戻り範囲)
          )
        )
      )
    ),
    ""
  )
)</f>
        <v/>
      </c>
      <c r="AX66" s="223" t="str" cm="1">
        <f t="array" aca="1" ref="AX66" ca="1">IF($C66="","",
  IFERROR(
    _xlfn.LET(
      _xlpm._対象月初,EOMONTH(AX$1,-1)+1,
      _xlpm._今月初,EOMONTH(基準データ!$C$5,-1)+1,
      IF(
        _xlpm._対象月初&gt;_xlpm._今月初,
        IF(
          OR(AW66="",AW66=0),
          "",
          AW66*AX$107
        ),
        _xlfn.LET(
          _xlpm._参照先,
            "'[在庫状況把握_43期_2025-2026.xlsx]月次報告"
            &amp;TEXT(AX$1,"YYMM")
            &amp;"'!",
          _xlpm._戻り範囲,
            IF(
              _xlpm._対象月初=_xlpm._今月初,
              "$AG$1:$AG$300",
              "$G$1:$G$300"
            ),
          _xlfn.XLOOKUP(
            $C66,
            INDIRECT(_xlpm._参照先&amp;"$C$1:$C$300"),
            INDIRECT(_xlpm._参照先&amp;_xlpm._戻り範囲)
          )
        )
      )
    ),
    ""
  )
)</f>
        <v/>
      </c>
      <c r="AY66" s="223" t="str" cm="1">
        <f t="array" aca="1" ref="AY66" ca="1">IF($C66="","",
  IFERROR(
    _xlfn.LET(
      _xlpm._対象月初,EOMONTH(AY$1,-1)+1,
      _xlpm._今月初,EOMONTH(基準データ!$C$5,-1)+1,
      IF(
        _xlpm._対象月初&gt;_xlpm._今月初,
        IF(
          OR(AX66="",AX66=0),
          "",
          AX66*AY$107
        ),
        _xlfn.LET(
          _xlpm._参照先,
            "'[在庫状況把握_43期_2025-2026.xlsx]月次報告"
            &amp;TEXT(AY$1,"YYMM")
            &amp;"'!",
          _xlpm._戻り範囲,
            IF(
              _xlpm._対象月初=_xlpm._今月初,
              "$AG$1:$AG$300",
              "$G$1:$G$300"
            ),
          _xlfn.XLOOKUP(
            $C66,
            INDIRECT(_xlpm._参照先&amp;"$C$1:$C$300"),
            INDIRECT(_xlpm._参照先&amp;_xlpm._戻り範囲)
          )
        )
      )
    ),
    ""
  )
)</f>
        <v/>
      </c>
      <c r="AZ66" s="223" t="str" cm="1">
        <f t="array" aca="1" ref="AZ66" ca="1">IF($C66="","",
  IFERROR(
    _xlfn.LET(
      _xlpm._対象月初,EOMONTH(AZ$1,-1)+1,
      _xlpm._今月初,EOMONTH(基準データ!$C$5,-1)+1,
      IF(
        _xlpm._対象月初&gt;_xlpm._今月初,
        IF(
          OR(AY66="",AY66=0),
          "",
          AY66*AZ$107
        ),
        _xlfn.LET(
          _xlpm._参照先,
            "'[在庫状況把握_43期_2025-2026.xlsx]月次報告"
            &amp;TEXT(AZ$1,"YYMM")
            &amp;"'!",
          _xlpm._戻り範囲,
            IF(
              _xlpm._対象月初=_xlpm._今月初,
              "$AG$1:$AG$300",
              "$G$1:$G$300"
            ),
          _xlfn.XLOOKUP(
            $C66,
            INDIRECT(_xlpm._参照先&amp;"$C$1:$C$300"),
            INDIRECT(_xlpm._参照先&amp;_xlpm._戻り範囲)
          )
        )
      )
    ),
    ""
  )
)</f>
        <v/>
      </c>
      <c r="BA66" s="223" t="str" cm="1">
        <f t="array" aca="1" ref="BA66" ca="1">IF($C66="","",
  IFERROR(
    _xlfn.LET(
      _xlpm._対象月初,EOMONTH(BA$1,-1)+1,
      _xlpm._今月初,EOMONTH(基準データ!$C$5,-1)+1,
      IF(
        _xlpm._対象月初&gt;_xlpm._今月初,
        IF(
          OR(AZ66="",AZ66=0),
          "",
          AZ66*BA$107
        ),
        _xlfn.LET(
          _xlpm._参照先,
            "'[在庫状況把握_43期_2025-2026.xlsx]月次報告"
            &amp;TEXT(BA$1,"YYMM")
            &amp;"'!",
          _xlpm._戻り範囲,
            IF(
              _xlpm._対象月初=_xlpm._今月初,
              "$AG$1:$AG$300",
              "$G$1:$G$300"
            ),
          _xlfn.XLOOKUP(
            $C66,
            INDIRECT(_xlpm._参照先&amp;"$C$1:$C$300"),
            INDIRECT(_xlpm._参照先&amp;_xlpm._戻り範囲)
          )
        )
      )
    ),
    ""
  )
)</f>
        <v/>
      </c>
      <c r="BB66" s="223" t="str" cm="1">
        <f t="array" aca="1" ref="BB66" ca="1">IF($C66="","",
  IFERROR(
    _xlfn.LET(
      _xlpm._対象月初,EOMONTH(BB$1,-1)+1,
      _xlpm._今月初,EOMONTH(基準データ!$C$5,-1)+1,
      IF(
        _xlpm._対象月初&gt;_xlpm._今月初,
        IF(
          OR(BA66="",BA66=0),
          "",
          BA66*BB$107
        ),
        _xlfn.LET(
          _xlpm._参照先,
            "'[在庫状況把握_43期_2025-2026.xlsx]月次報告"
            &amp;TEXT(BB$1,"YYMM")
            &amp;"'!",
          _xlpm._戻り範囲,
            IF(
              _xlpm._対象月初=_xlpm._今月初,
              "$AG$1:$AG$300",
              "$G$1:$G$300"
            ),
          _xlfn.XLOOKUP(
            $C66,
            INDIRECT(_xlpm._参照先&amp;"$C$1:$C$300"),
            INDIRECT(_xlpm._参照先&amp;_xlpm._戻り範囲)
          )
        )
      )
    ),
    ""
  )
)</f>
        <v/>
      </c>
      <c r="BC66" s="223" t="str" cm="1">
        <f t="array" aca="1" ref="BC66" ca="1">IF($C66="","",
  IFERROR(
    _xlfn.LET(
      _xlpm._対象月初,EOMONTH(BC$1,-1)+1,
      _xlpm._今月初,EOMONTH(基準データ!$C$5,-1)+1,
      IF(
        _xlpm._対象月初&gt;_xlpm._今月初,
        IF(
          OR(BB66="",BB66=0),
          "",
          BB66*BC$107
        ),
        _xlfn.LET(
          _xlpm._参照先,
            "'[在庫状況把握_43期_2025-2026.xlsx]月次報告"
            &amp;TEXT(BC$1,"YYMM")
            &amp;"'!",
          _xlpm._戻り範囲,
            IF(
              _xlpm._対象月初=_xlpm._今月初,
              "$AG$1:$AG$300",
              "$G$1:$G$300"
            ),
          _xlfn.XLOOKUP(
            $C66,
            INDIRECT(_xlpm._参照先&amp;"$C$1:$C$300"),
            INDIRECT(_xlpm._参照先&amp;_xlpm._戻り範囲)
          )
        )
      )
    ),
    ""
  )
)</f>
        <v/>
      </c>
      <c r="BD66" s="223" t="str" cm="1">
        <f t="array" aca="1" ref="BD66" ca="1">IF($C66="","",
  IFERROR(
    _xlfn.LET(
      _xlpm._対象月初,EOMONTH(BD$1,-1)+1,
      _xlpm._今月初,EOMONTH(基準データ!$C$5,-1)+1,
      IF(
        _xlpm._対象月初&gt;_xlpm._今月初,
        IF(
          OR(BC66="",BC66=0),
          "",
          BC66*BD$107
        ),
        _xlfn.LET(
          _xlpm._参照先,
            "'[在庫状況把握_43期_2025-2026.xlsx]月次報告"
            &amp;TEXT(BD$1,"YYMM")
            &amp;"'!",
          _xlpm._戻り範囲,
            IF(
              _xlpm._対象月初=_xlpm._今月初,
              "$AG$1:$AG$300",
              "$G$1:$G$300"
            ),
          _xlfn.XLOOKUP(
            $C66,
            INDIRECT(_xlpm._参照先&amp;"$C$1:$C$300"),
            INDIRECT(_xlpm._参照先&amp;_xlpm._戻り範囲)
          )
        )
      )
    ),
    ""
  )
)</f>
        <v/>
      </c>
    </row>
    <row r="67" spans="1:56" ht="18.75" customHeight="1">
      <c r="A67" s="1061" t="s">
        <v>1651</v>
      </c>
      <c r="B67" s="26" t="str">
        <v>CLE-V75-155H-UMA-L6-TPM-DDR5</v>
      </c>
      <c r="C67" s="1407" t="s">
        <v>1654</v>
      </c>
      <c r="D67" s="25" t="s">
        <v>1655</v>
      </c>
      <c r="E67" s="26"/>
      <c r="F67" s="24"/>
      <c r="G67" s="355">
        <v>2201</v>
      </c>
      <c r="H67" s="109" cm="1">
        <f t="array" aca="1" ref="H67" ca="1">_xlfn.LET(_xlpm._来月から4ヶ月計画合計,
  SUM(
    OFFSET($A67,0,
      MATCH(
        EDATE(基準データ!$C$5,3),$A$1:$BF$1,1
      )-3,1,4)),
_xlpm._今月計画数,
INDEX($A$1:$BE$223,
  ROW(),
  MATCH(EOMONTH(基準データ!$C$5,-1)+1,$A$1:$BE$1,0)
),
  IFERROR(IF($B67="","",_xlpm._来月から4ヶ月計画合計+_xlpm._今月計画数/2),""
)
)</f>
        <v>0</v>
      </c>
      <c r="I67" s="311"/>
      <c r="J67" s="311"/>
      <c r="K67" s="311"/>
      <c r="L67" s="311"/>
      <c r="M67" s="311"/>
      <c r="N67" s="311"/>
      <c r="O67" s="311"/>
      <c r="P67" s="298"/>
      <c r="Q67" s="298"/>
      <c r="R67" s="298"/>
      <c r="S67" s="298"/>
      <c r="T67" s="298"/>
      <c r="U67" s="224"/>
      <c r="V67" s="335"/>
      <c r="W67" s="333"/>
      <c r="X67" s="333"/>
      <c r="Y67" s="333"/>
      <c r="Z67" s="219"/>
      <c r="AA67" s="219"/>
      <c r="AB67" s="219"/>
      <c r="AC67" s="224"/>
      <c r="AD67" s="224" t="s">
        <v>21</v>
      </c>
      <c r="AE67" s="223" t="s">
        <v>21</v>
      </c>
      <c r="AF67" s="223" t="s">
        <v>21</v>
      </c>
      <c r="AG67" s="223" t="s">
        <v>21</v>
      </c>
      <c r="AH67" s="223" t="s">
        <v>21</v>
      </c>
      <c r="AI67" s="223" t="s">
        <v>21</v>
      </c>
      <c r="AJ67" s="223" t="s">
        <v>21</v>
      </c>
      <c r="AK67" s="223" t="s">
        <v>21</v>
      </c>
      <c r="AL67" s="223" cm="1">
        <f t="array" aca="1" ref="AL67" ca="1">IF($C67="","",
  IFERROR(
    _xlfn.LET(
      _xlpm._対象月初,EOMONTH(AL$1,-1)+1,
      _xlpm._今月初,EOMONTH(基準データ!$C$5,-1)+1,
      IF(
        _xlpm._対象月初&gt;_xlpm._今月初,
        IF(
          OR(AK67="",AK67=0),
          "",
          AK67*AL$107
        ),
        _xlfn.LET(
          _xlpm._参照先,
            "'[在庫状況把握_43期_2025-2026.xlsx]月次報告"
            &amp;TEXT(AL$1,"YYMM")
            &amp;"'!",
          _xlpm._戻り範囲,
            IF(
              _xlpm._対象月初=_xlpm._今月初,
              "$AG$1:$AG$300",
              "$G$1:$G$300"
            ),
          _xlfn.XLOOKUP(
            $C67,
            INDIRECT(_xlpm._参照先&amp;"$C$1:$C$300"),
            INDIRECT(_xlpm._参照先&amp;_xlpm._戻り範囲)
          )
        )
      )
    ),
    ""
  )
)</f>
        <v>0</v>
      </c>
      <c r="AM67" s="223" cm="1">
        <f t="array" aca="1" ref="AM67" ca="1">IF($C67="","",
  IFERROR(
    _xlfn.LET(
      _xlpm._対象月初,EOMONTH(AM$1,-1)+1,
      _xlpm._今月初,EOMONTH(基準データ!$C$5,-1)+1,
      IF(
        _xlpm._対象月初&gt;_xlpm._今月初,
        IF(
          OR(AL67="",AL67=0),
          "",
          AL67*AM$107
        ),
        _xlfn.LET(
          _xlpm._参照先,
            "'[在庫状況把握_43期_2025-2026.xlsx]月次報告"
            &amp;TEXT(AM$1,"YYMM")
            &amp;"'!",
          _xlpm._戻り範囲,
            IF(
              _xlpm._対象月初=_xlpm._今月初,
              "$AG$1:$AG$300",
              "$G$1:$G$300"
            ),
          _xlfn.XLOOKUP(
            $C67,
            INDIRECT(_xlpm._参照先&amp;"$C$1:$C$300"),
            INDIRECT(_xlpm._参照先&amp;_xlpm._戻り範囲)
          )
        )
      )
    ),
    ""
  )
)</f>
        <v>0</v>
      </c>
      <c r="AN67" s="223" t="str" cm="1">
        <f t="array" aca="1" ref="AN67" ca="1">IF($C67="","",
  IFERROR(
    _xlfn.LET(
      _xlpm._対象月初,EOMONTH(AN$1,-1)+1,
      _xlpm._今月初,EOMONTH(基準データ!$C$5,-1)+1,
      IF(
        _xlpm._対象月初&gt;_xlpm._今月初,
        IF(
          OR(AM67="",AM67=0),
          "",
          AM67*AN$107
        ),
        _xlfn.LET(
          _xlpm._参照先,
            "'[在庫状況把握_43期_2025-2026.xlsx]月次報告"
            &amp;TEXT(AN$1,"YYMM")
            &amp;"'!",
          _xlpm._戻り範囲,
            IF(
              _xlpm._対象月初=_xlpm._今月初,
              "$AG$1:$AG$300",
              "$G$1:$G$300"
            ),
          _xlfn.XLOOKUP(
            $C67,
            INDIRECT(_xlpm._参照先&amp;"$C$1:$C$300"),
            INDIRECT(_xlpm._参照先&amp;_xlpm._戻り範囲)
          )
        )
      )
    ),
    ""
  )
)</f>
        <v/>
      </c>
      <c r="AO67" s="223" t="str" cm="1">
        <f t="array" aca="1" ref="AO67" ca="1">IF($C67="","",
  IFERROR(
    _xlfn.LET(
      _xlpm._対象月初,EOMONTH(AO$1,-1)+1,
      _xlpm._今月初,EOMONTH(基準データ!$C$5,-1)+1,
      IF(
        _xlpm._対象月初&gt;_xlpm._今月初,
        IF(
          OR(AN67="",AN67=0),
          "",
          AN67*AO$107
        ),
        _xlfn.LET(
          _xlpm._参照先,
            "'[在庫状況把握_43期_2025-2026.xlsx]月次報告"
            &amp;TEXT(AO$1,"YYMM")
            &amp;"'!",
          _xlpm._戻り範囲,
            IF(
              _xlpm._対象月初=_xlpm._今月初,
              "$AG$1:$AG$300",
              "$G$1:$G$300"
            ),
          _xlfn.XLOOKUP(
            $C67,
            INDIRECT(_xlpm._参照先&amp;"$C$1:$C$300"),
            INDIRECT(_xlpm._参照先&amp;_xlpm._戻り範囲)
          )
        )
      )
    ),
    ""
  )
)</f>
        <v/>
      </c>
      <c r="AP67" s="223" t="str" cm="1">
        <f t="array" aca="1" ref="AP67" ca="1">IF($C67="","",
  IFERROR(
    _xlfn.LET(
      _xlpm._対象月初,EOMONTH(AP$1,-1)+1,
      _xlpm._今月初,EOMONTH(基準データ!$C$5,-1)+1,
      IF(
        _xlpm._対象月初&gt;_xlpm._今月初,
        IF(
          OR(AO67="",AO67=0),
          "",
          AO67*AP$107
        ),
        _xlfn.LET(
          _xlpm._参照先,
            "'[在庫状況把握_43期_2025-2026.xlsx]月次報告"
            &amp;TEXT(AP$1,"YYMM")
            &amp;"'!",
          _xlpm._戻り範囲,
            IF(
              _xlpm._対象月初=_xlpm._今月初,
              "$AG$1:$AG$300",
              "$G$1:$G$300"
            ),
          _xlfn.XLOOKUP(
            $C67,
            INDIRECT(_xlpm._参照先&amp;"$C$1:$C$300"),
            INDIRECT(_xlpm._参照先&amp;_xlpm._戻り範囲)
          )
        )
      )
    ),
    ""
  )
)</f>
        <v/>
      </c>
      <c r="AQ67" s="223" t="str" cm="1">
        <f t="array" aca="1" ref="AQ67" ca="1">IF($C67="","",
  IFERROR(
    _xlfn.LET(
      _xlpm._対象月初,EOMONTH(AQ$1,-1)+1,
      _xlpm._今月初,EOMONTH(基準データ!$C$5,-1)+1,
      IF(
        _xlpm._対象月初&gt;_xlpm._今月初,
        IF(
          OR(AP67="",AP67=0),
          "",
          AP67*AQ$107
        ),
        _xlfn.LET(
          _xlpm._参照先,
            "'[在庫状況把握_43期_2025-2026.xlsx]月次報告"
            &amp;TEXT(AQ$1,"YYMM")
            &amp;"'!",
          _xlpm._戻り範囲,
            IF(
              _xlpm._対象月初=_xlpm._今月初,
              "$AG$1:$AG$300",
              "$G$1:$G$300"
            ),
          _xlfn.XLOOKUP(
            $C67,
            INDIRECT(_xlpm._参照先&amp;"$C$1:$C$300"),
            INDIRECT(_xlpm._参照先&amp;_xlpm._戻り範囲)
          )
        )
      )
    ),
    ""
  )
)</f>
        <v/>
      </c>
      <c r="AR67" s="223" t="str" cm="1">
        <f t="array" aca="1" ref="AR67" ca="1">IF($C67="","",
  IFERROR(
    _xlfn.LET(
      _xlpm._対象月初,EOMONTH(AR$1,-1)+1,
      _xlpm._今月初,EOMONTH(基準データ!$C$5,-1)+1,
      IF(
        _xlpm._対象月初&gt;_xlpm._今月初,
        IF(
          OR(AQ67="",AQ67=0),
          "",
          AQ67*AR$107
        ),
        _xlfn.LET(
          _xlpm._参照先,
            "'[在庫状況把握_43期_2025-2026.xlsx]月次報告"
            &amp;TEXT(AR$1,"YYMM")
            &amp;"'!",
          _xlpm._戻り範囲,
            IF(
              _xlpm._対象月初=_xlpm._今月初,
              "$AG$1:$AG$300",
              "$G$1:$G$300"
            ),
          _xlfn.XLOOKUP(
            $C67,
            INDIRECT(_xlpm._参照先&amp;"$C$1:$C$300"),
            INDIRECT(_xlpm._参照先&amp;_xlpm._戻り範囲)
          )
        )
      )
    ),
    ""
  )
)</f>
        <v/>
      </c>
      <c r="AS67" s="223" t="str" cm="1">
        <f t="array" aca="1" ref="AS67" ca="1">IF($C67="","",
  IFERROR(
    _xlfn.LET(
      _xlpm._対象月初,EOMONTH(AS$1,-1)+1,
      _xlpm._今月初,EOMONTH(基準データ!$C$5,-1)+1,
      IF(
        _xlpm._対象月初&gt;_xlpm._今月初,
        IF(
          OR(AR67="",AR67=0),
          "",
          AR67*AS$107
        ),
        _xlfn.LET(
          _xlpm._参照先,
            "'[在庫状況把握_43期_2025-2026.xlsx]月次報告"
            &amp;TEXT(AS$1,"YYMM")
            &amp;"'!",
          _xlpm._戻り範囲,
            IF(
              _xlpm._対象月初=_xlpm._今月初,
              "$AG$1:$AG$300",
              "$G$1:$G$300"
            ),
          _xlfn.XLOOKUP(
            $C67,
            INDIRECT(_xlpm._参照先&amp;"$C$1:$C$300"),
            INDIRECT(_xlpm._参照先&amp;_xlpm._戻り範囲)
          )
        )
      )
    ),
    ""
  )
)</f>
        <v/>
      </c>
      <c r="AT67" s="223" t="str" cm="1">
        <f t="array" aca="1" ref="AT67" ca="1">IF($C67="","",
  IFERROR(
    _xlfn.LET(
      _xlpm._対象月初,EOMONTH(AT$1,-1)+1,
      _xlpm._今月初,EOMONTH(基準データ!$C$5,-1)+1,
      IF(
        _xlpm._対象月初&gt;_xlpm._今月初,
        IF(
          OR(AS67="",AS67=0),
          "",
          AS67*AT$107
        ),
        _xlfn.LET(
          _xlpm._参照先,
            "'[在庫状況把握_43期_2025-2026.xlsx]月次報告"
            &amp;TEXT(AT$1,"YYMM")
            &amp;"'!",
          _xlpm._戻り範囲,
            IF(
              _xlpm._対象月初=_xlpm._今月初,
              "$AG$1:$AG$300",
              "$G$1:$G$300"
            ),
          _xlfn.XLOOKUP(
            $C67,
            INDIRECT(_xlpm._参照先&amp;"$C$1:$C$300"),
            INDIRECT(_xlpm._参照先&amp;_xlpm._戻り範囲)
          )
        )
      )
    ),
    ""
  )
)</f>
        <v/>
      </c>
      <c r="AU67" s="223" t="str" cm="1">
        <f t="array" aca="1" ref="AU67" ca="1">IF($C67="","",
  IFERROR(
    _xlfn.LET(
      _xlpm._対象月初,EOMONTH(AU$1,-1)+1,
      _xlpm._今月初,EOMONTH(基準データ!$C$5,-1)+1,
      IF(
        _xlpm._対象月初&gt;_xlpm._今月初,
        IF(
          OR(AT67="",AT67=0),
          "",
          AT67*AU$107
        ),
        _xlfn.LET(
          _xlpm._参照先,
            "'[在庫状況把握_43期_2025-2026.xlsx]月次報告"
            &amp;TEXT(AU$1,"YYMM")
            &amp;"'!",
          _xlpm._戻り範囲,
            IF(
              _xlpm._対象月初=_xlpm._今月初,
              "$AG$1:$AG$300",
              "$G$1:$G$300"
            ),
          _xlfn.XLOOKUP(
            $C67,
            INDIRECT(_xlpm._参照先&amp;"$C$1:$C$300"),
            INDIRECT(_xlpm._参照先&amp;_xlpm._戻り範囲)
          )
        )
      )
    ),
    ""
  )
)</f>
        <v/>
      </c>
      <c r="AV67" s="223" t="str" cm="1">
        <f t="array" aca="1" ref="AV67" ca="1">IF($C67="","",
  IFERROR(
    _xlfn.LET(
      _xlpm._対象月初,EOMONTH(AV$1,-1)+1,
      _xlpm._今月初,EOMONTH(基準データ!$C$5,-1)+1,
      IF(
        _xlpm._対象月初&gt;_xlpm._今月初,
        IF(
          OR(AU67="",AU67=0),
          "",
          AU67*AV$107
        ),
        _xlfn.LET(
          _xlpm._参照先,
            "'[在庫状況把握_43期_2025-2026.xlsx]月次報告"
            &amp;TEXT(AV$1,"YYMM")
            &amp;"'!",
          _xlpm._戻り範囲,
            IF(
              _xlpm._対象月初=_xlpm._今月初,
              "$AG$1:$AG$300",
              "$G$1:$G$300"
            ),
          _xlfn.XLOOKUP(
            $C67,
            INDIRECT(_xlpm._参照先&amp;"$C$1:$C$300"),
            INDIRECT(_xlpm._参照先&amp;_xlpm._戻り範囲)
          )
        )
      )
    ),
    ""
  )
)</f>
        <v/>
      </c>
      <c r="AW67" s="223" t="str" cm="1">
        <f t="array" aca="1" ref="AW67" ca="1">IF($C67="","",
  IFERROR(
    _xlfn.LET(
      _xlpm._対象月初,EOMONTH(AW$1,-1)+1,
      _xlpm._今月初,EOMONTH(基準データ!$C$5,-1)+1,
      IF(
        _xlpm._対象月初&gt;_xlpm._今月初,
        IF(
          OR(AV67="",AV67=0),
          "",
          AV67*AW$107
        ),
        _xlfn.LET(
          _xlpm._参照先,
            "'[在庫状況把握_43期_2025-2026.xlsx]月次報告"
            &amp;TEXT(AW$1,"YYMM")
            &amp;"'!",
          _xlpm._戻り範囲,
            IF(
              _xlpm._対象月初=_xlpm._今月初,
              "$AG$1:$AG$300",
              "$G$1:$G$300"
            ),
          _xlfn.XLOOKUP(
            $C67,
            INDIRECT(_xlpm._参照先&amp;"$C$1:$C$300"),
            INDIRECT(_xlpm._参照先&amp;_xlpm._戻り範囲)
          )
        )
      )
    ),
    ""
  )
)</f>
        <v/>
      </c>
      <c r="AX67" s="223" t="str" cm="1">
        <f t="array" aca="1" ref="AX67" ca="1">IF($C67="","",
  IFERROR(
    _xlfn.LET(
      _xlpm._対象月初,EOMONTH(AX$1,-1)+1,
      _xlpm._今月初,EOMONTH(基準データ!$C$5,-1)+1,
      IF(
        _xlpm._対象月初&gt;_xlpm._今月初,
        IF(
          OR(AW67="",AW67=0),
          "",
          AW67*AX$107
        ),
        _xlfn.LET(
          _xlpm._参照先,
            "'[在庫状況把握_43期_2025-2026.xlsx]月次報告"
            &amp;TEXT(AX$1,"YYMM")
            &amp;"'!",
          _xlpm._戻り範囲,
            IF(
              _xlpm._対象月初=_xlpm._今月初,
              "$AG$1:$AG$300",
              "$G$1:$G$300"
            ),
          _xlfn.XLOOKUP(
            $C67,
            INDIRECT(_xlpm._参照先&amp;"$C$1:$C$300"),
            INDIRECT(_xlpm._参照先&amp;_xlpm._戻り範囲)
          )
        )
      )
    ),
    ""
  )
)</f>
        <v/>
      </c>
      <c r="AY67" s="223" t="str" cm="1">
        <f t="array" aca="1" ref="AY67" ca="1">IF($C67="","",
  IFERROR(
    _xlfn.LET(
      _xlpm._対象月初,EOMONTH(AY$1,-1)+1,
      _xlpm._今月初,EOMONTH(基準データ!$C$5,-1)+1,
      IF(
        _xlpm._対象月初&gt;_xlpm._今月初,
        IF(
          OR(AX67="",AX67=0),
          "",
          AX67*AY$107
        ),
        _xlfn.LET(
          _xlpm._参照先,
            "'[在庫状況把握_43期_2025-2026.xlsx]月次報告"
            &amp;TEXT(AY$1,"YYMM")
            &amp;"'!",
          _xlpm._戻り範囲,
            IF(
              _xlpm._対象月初=_xlpm._今月初,
              "$AG$1:$AG$300",
              "$G$1:$G$300"
            ),
          _xlfn.XLOOKUP(
            $C67,
            INDIRECT(_xlpm._参照先&amp;"$C$1:$C$300"),
            INDIRECT(_xlpm._参照先&amp;_xlpm._戻り範囲)
          )
        )
      )
    ),
    ""
  )
)</f>
        <v/>
      </c>
      <c r="AZ67" s="223" t="str" cm="1">
        <f t="array" aca="1" ref="AZ67" ca="1">IF($C67="","",
  IFERROR(
    _xlfn.LET(
      _xlpm._対象月初,EOMONTH(AZ$1,-1)+1,
      _xlpm._今月初,EOMONTH(基準データ!$C$5,-1)+1,
      IF(
        _xlpm._対象月初&gt;_xlpm._今月初,
        IF(
          OR(AY67="",AY67=0),
          "",
          AY67*AZ$107
        ),
        _xlfn.LET(
          _xlpm._参照先,
            "'[在庫状況把握_43期_2025-2026.xlsx]月次報告"
            &amp;TEXT(AZ$1,"YYMM")
            &amp;"'!",
          _xlpm._戻り範囲,
            IF(
              _xlpm._対象月初=_xlpm._今月初,
              "$AG$1:$AG$300",
              "$G$1:$G$300"
            ),
          _xlfn.XLOOKUP(
            $C67,
            INDIRECT(_xlpm._参照先&amp;"$C$1:$C$300"),
            INDIRECT(_xlpm._参照先&amp;_xlpm._戻り範囲)
          )
        )
      )
    ),
    ""
  )
)</f>
        <v/>
      </c>
      <c r="BA67" s="223" t="str" cm="1">
        <f t="array" aca="1" ref="BA67" ca="1">IF($C67="","",
  IFERROR(
    _xlfn.LET(
      _xlpm._対象月初,EOMONTH(BA$1,-1)+1,
      _xlpm._今月初,EOMONTH(基準データ!$C$5,-1)+1,
      IF(
        _xlpm._対象月初&gt;_xlpm._今月初,
        IF(
          OR(AZ67="",AZ67=0),
          "",
          AZ67*BA$107
        ),
        _xlfn.LET(
          _xlpm._参照先,
            "'[在庫状況把握_43期_2025-2026.xlsx]月次報告"
            &amp;TEXT(BA$1,"YYMM")
            &amp;"'!",
          _xlpm._戻り範囲,
            IF(
              _xlpm._対象月初=_xlpm._今月初,
              "$AG$1:$AG$300",
              "$G$1:$G$300"
            ),
          _xlfn.XLOOKUP(
            $C67,
            INDIRECT(_xlpm._参照先&amp;"$C$1:$C$300"),
            INDIRECT(_xlpm._参照先&amp;_xlpm._戻り範囲)
          )
        )
      )
    ),
    ""
  )
)</f>
        <v/>
      </c>
      <c r="BB67" s="223" t="str" cm="1">
        <f t="array" aca="1" ref="BB67" ca="1">IF($C67="","",
  IFERROR(
    _xlfn.LET(
      _xlpm._対象月初,EOMONTH(BB$1,-1)+1,
      _xlpm._今月初,EOMONTH(基準データ!$C$5,-1)+1,
      IF(
        _xlpm._対象月初&gt;_xlpm._今月初,
        IF(
          OR(BA67="",BA67=0),
          "",
          BA67*BB$107
        ),
        _xlfn.LET(
          _xlpm._参照先,
            "'[在庫状況把握_43期_2025-2026.xlsx]月次報告"
            &amp;TEXT(BB$1,"YYMM")
            &amp;"'!",
          _xlpm._戻り範囲,
            IF(
              _xlpm._対象月初=_xlpm._今月初,
              "$AG$1:$AG$300",
              "$G$1:$G$300"
            ),
          _xlfn.XLOOKUP(
            $C67,
            INDIRECT(_xlpm._参照先&amp;"$C$1:$C$300"),
            INDIRECT(_xlpm._参照先&amp;_xlpm._戻り範囲)
          )
        )
      )
    ),
    ""
  )
)</f>
        <v/>
      </c>
      <c r="BC67" s="223" t="str" cm="1">
        <f t="array" aca="1" ref="BC67" ca="1">IF($C67="","",
  IFERROR(
    _xlfn.LET(
      _xlpm._対象月初,EOMONTH(BC$1,-1)+1,
      _xlpm._今月初,EOMONTH(基準データ!$C$5,-1)+1,
      IF(
        _xlpm._対象月初&gt;_xlpm._今月初,
        IF(
          OR(BB67="",BB67=0),
          "",
          BB67*BC$107
        ),
        _xlfn.LET(
          _xlpm._参照先,
            "'[在庫状況把握_43期_2025-2026.xlsx]月次報告"
            &amp;TEXT(BC$1,"YYMM")
            &amp;"'!",
          _xlpm._戻り範囲,
            IF(
              _xlpm._対象月初=_xlpm._今月初,
              "$AG$1:$AG$300",
              "$G$1:$G$300"
            ),
          _xlfn.XLOOKUP(
            $C67,
            INDIRECT(_xlpm._参照先&amp;"$C$1:$C$300"),
            INDIRECT(_xlpm._参照先&amp;_xlpm._戻り範囲)
          )
        )
      )
    ),
    ""
  )
)</f>
        <v/>
      </c>
      <c r="BD67" s="223" t="str" cm="1">
        <f t="array" aca="1" ref="BD67" ca="1">IF($C67="","",
  IFERROR(
    _xlfn.LET(
      _xlpm._対象月初,EOMONTH(BD$1,-1)+1,
      _xlpm._今月初,EOMONTH(基準データ!$C$5,-1)+1,
      IF(
        _xlpm._対象月初&gt;_xlpm._今月初,
        IF(
          OR(BC67="",BC67=0),
          "",
          BC67*BD$107
        ),
        _xlfn.LET(
          _xlpm._参照先,
            "'[在庫状況把握_43期_2025-2026.xlsx]月次報告"
            &amp;TEXT(BD$1,"YYMM")
            &amp;"'!",
          _xlpm._戻り範囲,
            IF(
              _xlpm._対象月初=_xlpm._今月初,
              "$AG$1:$AG$300",
              "$G$1:$G$300"
            ),
          _xlfn.XLOOKUP(
            $C67,
            INDIRECT(_xlpm._参照先&amp;"$C$1:$C$300"),
            INDIRECT(_xlpm._参照先&amp;_xlpm._戻り範囲)
          )
        )
      )
    ),
    ""
  )
)</f>
        <v/>
      </c>
    </row>
    <row r="68" spans="1:56" ht="18.75" customHeight="1">
      <c r="A68" s="1061" t="s">
        <v>1651</v>
      </c>
      <c r="B68" s="26" t="str">
        <v>QNT-LGHB-1335U-UMA-L6</v>
      </c>
      <c r="C68" s="24" t="s">
        <v>644</v>
      </c>
      <c r="D68" s="24" t="s">
        <v>1438</v>
      </c>
      <c r="E68" s="24" t="s">
        <v>1423</v>
      </c>
      <c r="F68" s="24" t="s">
        <v>1372</v>
      </c>
      <c r="G68" s="38">
        <v>302</v>
      </c>
      <c r="H68" s="109" cm="1">
        <f t="array" aca="1" ref="H68" ca="1">_xlfn.LET(_xlpm._来月から4ヶ月計画合計,
  SUM(
    OFFSET($A68,0,
      MATCH(
        EDATE(基準データ!$C$5,3),$A$1:$BF$1,1
      )-3,1,4)),
_xlpm._今月計画数,
INDEX($A$1:$BE$223,
  ROW(),
  MATCH(EOMONTH(基準データ!$C$5,-1)+1,$A$1:$BE$1,0)
),
  IFERROR(IF($B68="","",_xlpm._来月から4ヶ月計画合計+_xlpm._今月計画数/2),""
)
)</f>
        <v>1174.0452287572377</v>
      </c>
      <c r="I68" s="38"/>
      <c r="J68" s="38"/>
      <c r="K68" s="38"/>
      <c r="L68" s="38"/>
      <c r="M68" s="38"/>
      <c r="N68" s="38"/>
      <c r="O68" s="38"/>
      <c r="P68" s="38"/>
      <c r="Q68" s="219"/>
      <c r="R68" s="219"/>
      <c r="S68" s="291"/>
      <c r="T68" s="219"/>
      <c r="U68" s="224">
        <v>31</v>
      </c>
      <c r="V68" s="335">
        <v>39</v>
      </c>
      <c r="W68" s="333">
        <v>40</v>
      </c>
      <c r="X68" s="333">
        <v>97</v>
      </c>
      <c r="Y68" s="333">
        <v>46</v>
      </c>
      <c r="Z68" s="219">
        <v>52</v>
      </c>
      <c r="AA68" s="219">
        <v>198</v>
      </c>
      <c r="AB68" s="219">
        <v>174</v>
      </c>
      <c r="AC68" s="224">
        <v>6</v>
      </c>
      <c r="AD68" s="224">
        <v>2</v>
      </c>
      <c r="AE68" s="223">
        <v>16</v>
      </c>
      <c r="AF68" s="223">
        <v>35</v>
      </c>
      <c r="AG68" s="223">
        <v>40</v>
      </c>
      <c r="AH68" s="223">
        <v>27</v>
      </c>
      <c r="AI68" s="223">
        <v>141</v>
      </c>
      <c r="AJ68" s="223">
        <v>45</v>
      </c>
      <c r="AK68" s="223">
        <v>83</v>
      </c>
      <c r="AL68" s="223" cm="1">
        <f t="array" aca="1" ref="AL68" ca="1">IF($C68="","",
  IFERROR(
    _xlfn.LET(
      _xlpm._対象月初,EOMONTH(AL$1,-1)+1,
      _xlpm._今月初,EOMONTH(基準データ!$C$5,-1)+1,
      IF(
        _xlpm._対象月初&gt;_xlpm._今月初,
        IF(
          OR(AK68="",AK68=0),
          "",
          AK68*AL$107
        ),
        _xlfn.LET(
          _xlpm._参照先,
            "'[在庫状況把握_43期_2025-2026.xlsx]月次報告"
            &amp;TEXT(AL$1,"YYMM")
            &amp;"'!",
          _xlpm._戻り範囲,
            IF(
              _xlpm._対象月初=_xlpm._今月初,
              "$AG$1:$AG$300",
              "$G$1:$G$300"
            ),
          _xlfn.XLOOKUP(
            $C68,
            INDIRECT(_xlpm._参照先&amp;"$C$1:$C$300"),
            INDIRECT(_xlpm._参照先&amp;_xlpm._戻り範囲)
          )
        )
      )
    ),
    ""
  )
)</f>
        <v>256</v>
      </c>
      <c r="AM68" s="223" cm="1">
        <f t="array" aca="1" ref="AM68" ca="1">IF($C68="","",
  IFERROR(
    _xlfn.LET(
      _xlpm._対象月初,EOMONTH(AM$1,-1)+1,
      _xlpm._今月初,EOMONTH(基準データ!$C$5,-1)+1,
      IF(
        _xlpm._対象月初&gt;_xlpm._今月初,
        IF(
          OR(AL68="",AL68=0),
          "",
          AL68*AM$107
        ),
        _xlfn.LET(
          _xlpm._参照先,
            "'[在庫状況把握_43期_2025-2026.xlsx]月次報告"
            &amp;TEXT(AM$1,"YYMM")
            &amp;"'!",
          _xlpm._戻り範囲,
            IF(
              _xlpm._対象月初=_xlpm._今月初,
              "$AG$1:$AG$300",
              "$G$1:$G$300"
            ),
          _xlfn.XLOOKUP(
            $C68,
            INDIRECT(_xlpm._参照先&amp;"$C$1:$C$300"),
            INDIRECT(_xlpm._参照先&amp;_xlpm._戻り範囲)
          )
        )
      )
    ),
    ""
  )
)</f>
        <v>255.75</v>
      </c>
      <c r="AN68" s="223" cm="1">
        <f t="array" aca="1" ref="AN68" ca="1">IF($C68="","",
  IFERROR(
    _xlfn.LET(
      _xlpm._対象月初,EOMONTH(AN$1,-1)+1,
      _xlpm._今月初,EOMONTH(基準データ!$C$5,-1)+1,
      IF(
        _xlpm._対象月初&gt;_xlpm._今月初,
        IF(
          OR(AM68="",AM68=0),
          "",
          AM68*AN$107
        ),
        _xlfn.LET(
          _xlpm._参照先,
            "'[在庫状況把握_43期_2025-2026.xlsx]月次報告"
            &amp;TEXT(AN$1,"YYMM")
            &amp;"'!",
          _xlpm._戻り範囲,
            IF(
              _xlpm._対象月初=_xlpm._今月初,
              "$AG$1:$AG$300",
              "$G$1:$G$300"
            ),
          _xlfn.XLOOKUP(
            $C68,
            INDIRECT(_xlpm._参照先&amp;"$C$1:$C$300"),
            INDIRECT(_xlpm._参照先&amp;_xlpm._戻り範囲)
          )
        )
      )
    ),
    ""
  )
)</f>
        <v>235.22839188358125</v>
      </c>
      <c r="AO68" s="223" cm="1">
        <f t="array" aca="1" ref="AO68" ca="1">IF($C68="","",
  IFERROR(
    _xlfn.LET(
      _xlpm._対象月初,EOMONTH(AO$1,-1)+1,
      _xlpm._今月初,EOMONTH(基準データ!$C$5,-1)+1,
      IF(
        _xlpm._対象月初&gt;_xlpm._今月初,
        IF(
          OR(AN68="",AN68=0),
          "",
          AN68*AO$107
        ),
        _xlfn.LET(
          _xlpm._参照先,
            "'[在庫状況把握_43期_2025-2026.xlsx]月次報告"
            &amp;TEXT(AO$1,"YYMM")
            &amp;"'!",
          _xlpm._戻り範囲,
            IF(
              _xlpm._対象月初=_xlpm._今月初,
              "$AG$1:$AG$300",
              "$G$1:$G$300"
            ),
          _xlfn.XLOOKUP(
            $C68,
            INDIRECT(_xlpm._参照先&amp;"$C$1:$C$300"),
            INDIRECT(_xlpm._参照先&amp;_xlpm._戻り範囲)
          )
        )
      )
    ),
    ""
  )
)</f>
        <v>254.10047850688994</v>
      </c>
      <c r="AP68" s="223" cm="1">
        <f t="array" aca="1" ref="AP68" ca="1">IF($C68="","",
  IFERROR(
    _xlfn.LET(
      _xlpm._対象月初,EOMONTH(AP$1,-1)+1,
      _xlpm._今月初,EOMONTH(基準データ!$C$5,-1)+1,
      IF(
        _xlpm._対象月初&gt;_xlpm._今月初,
        IF(
          OR(AO68="",AO68=0),
          "",
          AO68*AP$107
        ),
        _xlfn.LET(
          _xlpm._参照先,
            "'[在庫状況把握_43期_2025-2026.xlsx]月次報告"
            &amp;TEXT(AP$1,"YYMM")
            &amp;"'!",
          _xlpm._戻り範囲,
            IF(
              _xlpm._対象月初=_xlpm._今月初,
              "$AG$1:$AG$300",
              "$G$1:$G$300"
            ),
          _xlfn.XLOOKUP(
            $C68,
            INDIRECT(_xlpm._参照先&amp;"$C$1:$C$300"),
            INDIRECT(_xlpm._参照先&amp;_xlpm._戻り範囲)
          )
        )
      )
    ),
    ""
  )
)</f>
        <v>273.63886689355695</v>
      </c>
      <c r="AQ68" s="223" cm="1">
        <f t="array" aca="1" ref="AQ68" ca="1">IF($C68="","",
  IFERROR(
    _xlfn.LET(
      _xlpm._対象月初,EOMONTH(AQ$1,-1)+1,
      _xlpm._今月初,EOMONTH(基準データ!$C$5,-1)+1,
      IF(
        _xlpm._対象月初&gt;_xlpm._今月初,
        IF(
          OR(AP68="",AP68=0),
          "",
          AP68*AQ$107
        ),
        _xlfn.LET(
          _xlpm._参照先,
            "'[在庫状況把握_43期_2025-2026.xlsx]月次報告"
            &amp;TEXT(AQ$1,"YYMM")
            &amp;"'!",
          _xlpm._戻り範囲,
            IF(
              _xlpm._対象月初=_xlpm._今月初,
              "$AG$1:$AG$300",
              "$G$1:$G$300"
            ),
          _xlfn.XLOOKUP(
            $C68,
            INDIRECT(_xlpm._参照先&amp;"$C$1:$C$300"),
            INDIRECT(_xlpm._参照先&amp;_xlpm._戻り範囲)
          )
        )
      )
    ),
    ""
  )
)</f>
        <v>283.2024914732097</v>
      </c>
      <c r="AR68" s="223" cm="1">
        <f t="array" aca="1" ref="AR68" ca="1">IF($C68="","",
  IFERROR(
    _xlfn.LET(
      _xlpm._対象月初,EOMONTH(AR$1,-1)+1,
      _xlpm._今月初,EOMONTH(基準データ!$C$5,-1)+1,
      IF(
        _xlpm._対象月初&gt;_xlpm._今月初,
        IF(
          OR(AQ68="",AQ68=0),
          "",
          AQ68*AR$107
        ),
        _xlfn.LET(
          _xlpm._参照先,
            "'[在庫状況把握_43期_2025-2026.xlsx]月次報告"
            &amp;TEXT(AR$1,"YYMM")
            &amp;"'!",
          _xlpm._戻り範囲,
            IF(
              _xlpm._対象月初=_xlpm._今月初,
              "$AG$1:$AG$300",
              "$G$1:$G$300"
            ),
          _xlfn.XLOOKUP(
            $C68,
            INDIRECT(_xlpm._参照先&amp;"$C$1:$C$300"),
            INDIRECT(_xlpm._参照先&amp;_xlpm._戻り範囲)
          )
        )
      )
    ),
    ""
  )
)</f>
        <v>417.42013091565417</v>
      </c>
      <c r="AS68" s="223" cm="1">
        <f t="array" aca="1" ref="AS68" ca="1">IF($C68="","",
  IFERROR(
    _xlfn.LET(
      _xlpm._対象月初,EOMONTH(AS$1,-1)+1,
      _xlpm._今月初,EOMONTH(基準データ!$C$5,-1)+1,
      IF(
        _xlpm._対象月初&gt;_xlpm._今月初,
        IF(
          OR(AR68="",AR68=0),
          "",
          AR68*AS$107
        ),
        _xlfn.LET(
          _xlpm._参照先,
            "'[在庫状況把握_43期_2025-2026.xlsx]月次報告"
            &amp;TEXT(AS$1,"YYMM")
            &amp;"'!",
          _xlpm._戻り範囲,
            IF(
              _xlpm._対象月初=_xlpm._今月初,
              "$AG$1:$AG$300",
              "$G$1:$G$300"
            ),
          _xlfn.XLOOKUP(
            $C68,
            INDIRECT(_xlpm._参照先&amp;"$C$1:$C$300"),
            INDIRECT(_xlpm._参照先&amp;_xlpm._戻り範囲)
          )
        )
      )
    ),
    ""
  )
)</f>
        <v>360.22042757576065</v>
      </c>
      <c r="AT68" s="223" cm="1">
        <f t="array" aca="1" ref="AT68" ca="1">IF($C68="","",
  IFERROR(
    _xlfn.LET(
      _xlpm._対象月初,EOMONTH(AT$1,-1)+1,
      _xlpm._今月初,EOMONTH(基準データ!$C$5,-1)+1,
      IF(
        _xlpm._対象月初&gt;_xlpm._今月初,
        IF(
          OR(AS68="",AS68=0),
          "",
          AS68*AT$107
        ),
        _xlfn.LET(
          _xlpm._参照先,
            "'[在庫状況把握_43期_2025-2026.xlsx]月次報告"
            &amp;TEXT(AT$1,"YYMM")
            &amp;"'!",
          _xlpm._戻り範囲,
            IF(
              _xlpm._対象月初=_xlpm._今月初,
              "$AG$1:$AG$300",
              "$G$1:$G$300"
            ),
          _xlfn.XLOOKUP(
            $C68,
            INDIRECT(_xlpm._参照先&amp;"$C$1:$C$300"),
            INDIRECT(_xlpm._参照先&amp;_xlpm._戻り範囲)
          )
        )
      )
    ),
    ""
  )
)</f>
        <v>339.620346465458</v>
      </c>
      <c r="AU68" s="223" cm="1">
        <f t="array" aca="1" ref="AU68" ca="1">IF($C68="","",
  IFERROR(
    _xlfn.LET(
      _xlpm._対象月初,EOMONTH(AU$1,-1)+1,
      _xlpm._今月初,EOMONTH(基準データ!$C$5,-1)+1,
      IF(
        _xlpm._対象月初&gt;_xlpm._今月初,
        IF(
          OR(AT68="",AT68=0),
          "",
          AT68*AU$107
        ),
        _xlfn.LET(
          _xlpm._参照先,
            "'[在庫状況把握_43期_2025-2026.xlsx]月次報告"
            &amp;TEXT(AU$1,"YYMM")
            &amp;"'!",
          _xlpm._戻り範囲,
            IF(
              _xlpm._対象月初=_xlpm._今月初,
              "$AG$1:$AG$300",
              "$G$1:$G$300"
            ),
          _xlfn.XLOOKUP(
            $C68,
            INDIRECT(_xlpm._参照先&amp;"$C$1:$C$300"),
            INDIRECT(_xlpm._参照先&amp;_xlpm._戻り範囲)
          )
        )
      )
    ),
    ""
  )
)</f>
        <v>501.89920461273238</v>
      </c>
      <c r="AV68" s="223" cm="1">
        <f t="array" aca="1" ref="AV68" ca="1">IF($C68="","",
  IFERROR(
    _xlfn.LET(
      _xlpm._対象月初,EOMONTH(AV$1,-1)+1,
      _xlpm._今月初,EOMONTH(基準データ!$C$5,-1)+1,
      IF(
        _xlpm._対象月初&gt;_xlpm._今月初,
        IF(
          OR(AU68="",AU68=0),
          "",
          AU68*AV$107
        ),
        _xlfn.LET(
          _xlpm._参照先,
            "'[在庫状況把握_43期_2025-2026.xlsx]月次報告"
            &amp;TEXT(AV$1,"YYMM")
            &amp;"'!",
          _xlpm._戻り範囲,
            IF(
              _xlpm._対象月初=_xlpm._今月初,
              "$AG$1:$AG$300",
              "$G$1:$G$300"
            ),
          _xlfn.XLOOKUP(
            $C68,
            INDIRECT(_xlpm._参照先&amp;"$C$1:$C$300"),
            INDIRECT(_xlpm._参照先&amp;_xlpm._戻り範囲)
          )
        )
      )
    ),
    ""
  )
)</f>
        <v>308.18221705282957</v>
      </c>
      <c r="AW68" s="223" cm="1">
        <f t="array" aca="1" ref="AW68" ca="1">IF($C68="","",
  IFERROR(
    _xlfn.LET(
      _xlpm._対象月初,EOMONTH(AW$1,-1)+1,
      _xlpm._今月初,EOMONTH(基準データ!$C$5,-1)+1,
      IF(
        _xlpm._対象月初&gt;_xlpm._今月初,
        IF(
          OR(AV68="",AV68=0),
          "",
          AV68*AW$107
        ),
        _xlfn.LET(
          _xlpm._参照先,
            "'[在庫状況把握_43期_2025-2026.xlsx]月次報告"
            &amp;TEXT(AW$1,"YYMM")
            &amp;"'!",
          _xlpm._戻り範囲,
            IF(
              _xlpm._対象月初=_xlpm._今月初,
              "$AG$1:$AG$300",
              "$G$1:$G$300"
            ),
          _xlfn.XLOOKUP(
            $C68,
            INDIRECT(_xlpm._参照先&amp;"$C$1:$C$300"),
            INDIRECT(_xlpm._参照先&amp;_xlpm._戻り範囲)
          )
        )
      )
    ),
    ""
  )
)</f>
        <v>223.50308280522918</v>
      </c>
      <c r="AX68" s="223" cm="1">
        <f t="array" aca="1" ref="AX68" ca="1">IF($C68="","",
  IFERROR(
    _xlfn.LET(
      _xlpm._対象月初,EOMONTH(AX$1,-1)+1,
      _xlpm._今月初,EOMONTH(基準データ!$C$5,-1)+1,
      IF(
        _xlpm._対象月初&gt;_xlpm._今月初,
        IF(
          OR(AW68="",AW68=0),
          "",
          AW68*AX$107
        ),
        _xlfn.LET(
          _xlpm._参照先,
            "'[在庫状況把握_43期_2025-2026.xlsx]月次報告"
            &amp;TEXT(AX$1,"YYMM")
            &amp;"'!",
          _xlpm._戻り範囲,
            IF(
              _xlpm._対象月初=_xlpm._今月初,
              "$AG$1:$AG$300",
              "$G$1:$G$300"
            ),
          _xlfn.XLOOKUP(
            $C68,
            INDIRECT(_xlpm._参照先&amp;"$C$1:$C$300"),
            INDIRECT(_xlpm._参照先&amp;_xlpm._戻り範囲)
          )
        )
      )
    ),
    ""
  )
)</f>
        <v>233.0488511814753</v>
      </c>
      <c r="AY68" s="223" cm="1">
        <f t="array" aca="1" ref="AY68" ca="1">IF($C68="","",
  IFERROR(
    _xlfn.LET(
      _xlpm._対象月初,EOMONTH(AY$1,-1)+1,
      _xlpm._今月初,EOMONTH(基準データ!$C$5,-1)+1,
      IF(
        _xlpm._対象月初&gt;_xlpm._今月初,
        IF(
          OR(AX68="",AX68=0),
          "",
          AX68*AY$107
        ),
        _xlfn.LET(
          _xlpm._参照先,
            "'[在庫状況把握_43期_2025-2026.xlsx]月次報告"
            &amp;TEXT(AY$1,"YYMM")
            &amp;"'!",
          _xlpm._戻り範囲,
            IF(
              _xlpm._対象月初=_xlpm._今月初,
              "$AG$1:$AG$300",
              "$G$1:$G$300"
            ),
          _xlfn.XLOOKUP(
            $C68,
            INDIRECT(_xlpm._参照先&amp;"$C$1:$C$300"),
            INDIRECT(_xlpm._参照先&amp;_xlpm._戻り範囲)
          )
        )
      )
    ),
    ""
  )
)</f>
        <v>255.74999999999994</v>
      </c>
      <c r="AZ68" s="223" cm="1">
        <f t="array" aca="1" ref="AZ68" ca="1">IF($C68="","",
  IFERROR(
    _xlfn.LET(
      _xlpm._対象月初,EOMONTH(AZ$1,-1)+1,
      _xlpm._今月初,EOMONTH(基準データ!$C$5,-1)+1,
      IF(
        _xlpm._対象月初&gt;_xlpm._今月初,
        IF(
          OR(AY68="",AY68=0),
          "",
          AY68*AZ$107
        ),
        _xlfn.LET(
          _xlpm._参照先,
            "'[在庫状況把握_43期_2025-2026.xlsx]月次報告"
            &amp;TEXT(AZ$1,"YYMM")
            &amp;"'!",
          _xlpm._戻り範囲,
            IF(
              _xlpm._対象月初=_xlpm._今月初,
              "$AG$1:$AG$300",
              "$G$1:$G$300"
            ),
          _xlfn.XLOOKUP(
            $C68,
            INDIRECT(_xlpm._参照先&amp;"$C$1:$C$300"),
            INDIRECT(_xlpm._参照先&amp;_xlpm._戻り範囲)
          )
        )
      )
    ),
    ""
  )
)</f>
        <v>235.2283918835812</v>
      </c>
      <c r="BA68" s="223" cm="1">
        <f t="array" aca="1" ref="BA68" ca="1">IF($C68="","",
  IFERROR(
    _xlfn.LET(
      _xlpm._対象月初,EOMONTH(BA$1,-1)+1,
      _xlpm._今月初,EOMONTH(基準データ!$C$5,-1)+1,
      IF(
        _xlpm._対象月初&gt;_xlpm._今月初,
        IF(
          OR(AZ68="",AZ68=0),
          "",
          AZ68*BA$107
        ),
        _xlfn.LET(
          _xlpm._参照先,
            "'[在庫状況把握_43期_2025-2026.xlsx]月次報告"
            &amp;TEXT(BA$1,"YYMM")
            &amp;"'!",
          _xlpm._戻り範囲,
            IF(
              _xlpm._対象月初=_xlpm._今月初,
              "$AG$1:$AG$300",
              "$G$1:$G$300"
            ),
          _xlfn.XLOOKUP(
            $C68,
            INDIRECT(_xlpm._参照先&amp;"$C$1:$C$300"),
            INDIRECT(_xlpm._参照先&amp;_xlpm._戻り範囲)
          )
        )
      )
    ),
    ""
  )
)</f>
        <v>254.10047850688989</v>
      </c>
      <c r="BB68" s="223" cm="1">
        <f t="array" aca="1" ref="BB68" ca="1">IF($C68="","",
  IFERROR(
    _xlfn.LET(
      _xlpm._対象月初,EOMONTH(BB$1,-1)+1,
      _xlpm._今月初,EOMONTH(基準データ!$C$5,-1)+1,
      IF(
        _xlpm._対象月初&gt;_xlpm._今月初,
        IF(
          OR(BA68="",BA68=0),
          "",
          BA68*BB$107
        ),
        _xlfn.LET(
          _xlpm._参照先,
            "'[在庫状況把握_43期_2025-2026.xlsx]月次報告"
            &amp;TEXT(BB$1,"YYMM")
            &amp;"'!",
          _xlpm._戻り範囲,
            IF(
              _xlpm._対象月初=_xlpm._今月初,
              "$AG$1:$AG$300",
              "$G$1:$G$300"
            ),
          _xlfn.XLOOKUP(
            $C68,
            INDIRECT(_xlpm._参照先&amp;"$C$1:$C$300"),
            INDIRECT(_xlpm._参照先&amp;_xlpm._戻り範囲)
          )
        )
      )
    ),
    ""
  )
)</f>
        <v>273.63886689355689</v>
      </c>
      <c r="BC68" s="223" cm="1">
        <f t="array" aca="1" ref="BC68" ca="1">IF($C68="","",
  IFERROR(
    _xlfn.LET(
      _xlpm._対象月初,EOMONTH(BC$1,-1)+1,
      _xlpm._今月初,EOMONTH(基準データ!$C$5,-1)+1,
      IF(
        _xlpm._対象月初&gt;_xlpm._今月初,
        IF(
          OR(BB68="",BB68=0),
          "",
          BB68*BC$107
        ),
        _xlfn.LET(
          _xlpm._参照先,
            "'[在庫状況把握_43期_2025-2026.xlsx]月次報告"
            &amp;TEXT(BC$1,"YYMM")
            &amp;"'!",
          _xlpm._戻り範囲,
            IF(
              _xlpm._対象月初=_xlpm._今月初,
              "$AG$1:$AG$300",
              "$G$1:$G$300"
            ),
          _xlfn.XLOOKUP(
            $C68,
            INDIRECT(_xlpm._参照先&amp;"$C$1:$C$300"),
            INDIRECT(_xlpm._参照先&amp;_xlpm._戻り範囲)
          )
        )
      )
    ),
    ""
  )
)</f>
        <v>283.20249147320965</v>
      </c>
      <c r="BD68" s="223" cm="1">
        <f t="array" aca="1" ref="BD68" ca="1">IF($C68="","",
  IFERROR(
    _xlfn.LET(
      _xlpm._対象月初,EOMONTH(BD$1,-1)+1,
      _xlpm._今月初,EOMONTH(基準データ!$C$5,-1)+1,
      IF(
        _xlpm._対象月初&gt;_xlpm._今月初,
        IF(
          OR(BC68="",BC68=0),
          "",
          BC68*BD$107
        ),
        _xlfn.LET(
          _xlpm._参照先,
            "'[在庫状況把握_43期_2025-2026.xlsx]月次報告"
            &amp;TEXT(BD$1,"YYMM")
            &amp;"'!",
          _xlpm._戻り範囲,
            IF(
              _xlpm._対象月初=_xlpm._今月初,
              "$AG$1:$AG$300",
              "$G$1:$G$300"
            ),
          _xlfn.XLOOKUP(
            $C68,
            INDIRECT(_xlpm._参照先&amp;"$C$1:$C$300"),
            INDIRECT(_xlpm._参照先&amp;_xlpm._戻り範囲)
          )
        )
      )
    ),
    ""
  )
)</f>
        <v>417.42013091565411</v>
      </c>
    </row>
    <row r="69" spans="1:56" ht="18.75" customHeight="1">
      <c r="A69" s="1061" t="s">
        <v>1651</v>
      </c>
      <c r="B69" s="26" t="str">
        <v>WZN-1051-1335U-UMA-L6 Thirdwave</v>
      </c>
      <c r="C69" s="24" t="s">
        <v>638</v>
      </c>
      <c r="D69" s="25" t="s">
        <v>1656</v>
      </c>
      <c r="E69" s="24"/>
      <c r="F69" s="24"/>
      <c r="G69" s="38">
        <v>1</v>
      </c>
      <c r="H69" s="109" cm="1">
        <f t="array" aca="1" ref="H69" ca="1">_xlfn.LET(_xlpm._来月から4ヶ月計画合計,
  SUM(
    OFFSET($A69,0,
      MATCH(
        EDATE(基準データ!$C$5,3),$A$1:$BF$1,1
      )-3,1,4)),
_xlpm._今月計画数,
INDEX($A$1:$BE$223,
  ROW(),
  MATCH(EOMONTH(基準データ!$C$5,-1)+1,$A$1:$BE$1,0)
),
  IFERROR(IF($B69="","",_xlpm._来月から4ヶ月計画合計+_xlpm._今月計画数/2),""
)
)</f>
        <v>0</v>
      </c>
      <c r="I69" s="38"/>
      <c r="J69" s="38"/>
      <c r="K69" s="38"/>
      <c r="L69" s="38"/>
      <c r="M69" s="38"/>
      <c r="N69" s="38"/>
      <c r="O69" s="38"/>
      <c r="P69" s="38"/>
      <c r="Q69" s="219"/>
      <c r="R69" s="219"/>
      <c r="S69" s="291"/>
      <c r="T69" s="219"/>
      <c r="U69" s="224"/>
      <c r="V69" s="349"/>
      <c r="W69" s="532"/>
      <c r="X69" s="333"/>
      <c r="Y69" s="333"/>
      <c r="Z69" s="219"/>
      <c r="AA69" s="219"/>
      <c r="AB69" s="219"/>
      <c r="AC69" s="224"/>
      <c r="AD69" s="224">
        <v>2</v>
      </c>
      <c r="AE69" s="223">
        <v>-10</v>
      </c>
      <c r="AF69" s="223">
        <v>-21</v>
      </c>
      <c r="AG69" s="223">
        <v>20</v>
      </c>
      <c r="AH69" s="223">
        <v>0</v>
      </c>
      <c r="AI69" s="223">
        <v>0</v>
      </c>
      <c r="AJ69" s="223">
        <v>0</v>
      </c>
      <c r="AK69" s="223">
        <v>0</v>
      </c>
      <c r="AL69" s="223" cm="1">
        <f t="array" aca="1" ref="AL69" ca="1">IF($C69="","",
  IFERROR(
    _xlfn.LET(
      _xlpm._対象月初,EOMONTH(AL$1,-1)+1,
      _xlpm._今月初,EOMONTH(基準データ!$C$5,-1)+1,
      IF(
        _xlpm._対象月初&gt;_xlpm._今月初,
        IF(
          OR(AK69="",AK69=0),
          "",
          AK69*AL$107
        ),
        _xlfn.LET(
          _xlpm._参照先,
            "'[在庫状況把握_43期_2025-2026.xlsx]月次報告"
            &amp;TEXT(AL$1,"YYMM")
            &amp;"'!",
          _xlpm._戻り範囲,
            IF(
              _xlpm._対象月初=_xlpm._今月初,
              "$AG$1:$AG$300",
              "$G$1:$G$300"
            ),
          _xlfn.XLOOKUP(
            $C69,
            INDIRECT(_xlpm._参照先&amp;"$C$1:$C$300"),
            INDIRECT(_xlpm._参照先&amp;_xlpm._戻り範囲)
          )
        )
      )
    ),
    ""
  )
)</f>
        <v>0</v>
      </c>
      <c r="AM69" s="223" cm="1">
        <f t="array" aca="1" ref="AM69" ca="1">IF($C69="","",
  IFERROR(
    _xlfn.LET(
      _xlpm._対象月初,EOMONTH(AM$1,-1)+1,
      _xlpm._今月初,EOMONTH(基準データ!$C$5,-1)+1,
      IF(
        _xlpm._対象月初&gt;_xlpm._今月初,
        IF(
          OR(AL69="",AL69=0),
          "",
          AL69*AM$107
        ),
        _xlfn.LET(
          _xlpm._参照先,
            "'[在庫状況把握_43期_2025-2026.xlsx]月次報告"
            &amp;TEXT(AM$1,"YYMM")
            &amp;"'!",
          _xlpm._戻り範囲,
            IF(
              _xlpm._対象月初=_xlpm._今月初,
              "$AG$1:$AG$300",
              "$G$1:$G$300"
            ),
          _xlfn.XLOOKUP(
            $C69,
            INDIRECT(_xlpm._参照先&amp;"$C$1:$C$300"),
            INDIRECT(_xlpm._参照先&amp;_xlpm._戻り範囲)
          )
        )
      )
    ),
    ""
  )
)</f>
        <v>0</v>
      </c>
      <c r="AN69" s="223" t="str" cm="1">
        <f t="array" aca="1" ref="AN69" ca="1">IF($C69="","",
  IFERROR(
    _xlfn.LET(
      _xlpm._対象月初,EOMONTH(AN$1,-1)+1,
      _xlpm._今月初,EOMONTH(基準データ!$C$5,-1)+1,
      IF(
        _xlpm._対象月初&gt;_xlpm._今月初,
        IF(
          OR(AM69="",AM69=0),
          "",
          AM69*AN$107
        ),
        _xlfn.LET(
          _xlpm._参照先,
            "'[在庫状況把握_43期_2025-2026.xlsx]月次報告"
            &amp;TEXT(AN$1,"YYMM")
            &amp;"'!",
          _xlpm._戻り範囲,
            IF(
              _xlpm._対象月初=_xlpm._今月初,
              "$AG$1:$AG$300",
              "$G$1:$G$300"
            ),
          _xlfn.XLOOKUP(
            $C69,
            INDIRECT(_xlpm._参照先&amp;"$C$1:$C$300"),
            INDIRECT(_xlpm._参照先&amp;_xlpm._戻り範囲)
          )
        )
      )
    ),
    ""
  )
)</f>
        <v/>
      </c>
      <c r="AO69" s="223" t="str" cm="1">
        <f t="array" aca="1" ref="AO69" ca="1">IF($C69="","",
  IFERROR(
    _xlfn.LET(
      _xlpm._対象月初,EOMONTH(AO$1,-1)+1,
      _xlpm._今月初,EOMONTH(基準データ!$C$5,-1)+1,
      IF(
        _xlpm._対象月初&gt;_xlpm._今月初,
        IF(
          OR(AN69="",AN69=0),
          "",
          AN69*AO$107
        ),
        _xlfn.LET(
          _xlpm._参照先,
            "'[在庫状況把握_43期_2025-2026.xlsx]月次報告"
            &amp;TEXT(AO$1,"YYMM")
            &amp;"'!",
          _xlpm._戻り範囲,
            IF(
              _xlpm._対象月初=_xlpm._今月初,
              "$AG$1:$AG$300",
              "$G$1:$G$300"
            ),
          _xlfn.XLOOKUP(
            $C69,
            INDIRECT(_xlpm._参照先&amp;"$C$1:$C$300"),
            INDIRECT(_xlpm._参照先&amp;_xlpm._戻り範囲)
          )
        )
      )
    ),
    ""
  )
)</f>
        <v/>
      </c>
      <c r="AP69" s="223" t="str" cm="1">
        <f t="array" aca="1" ref="AP69" ca="1">IF($C69="","",
  IFERROR(
    _xlfn.LET(
      _xlpm._対象月初,EOMONTH(AP$1,-1)+1,
      _xlpm._今月初,EOMONTH(基準データ!$C$5,-1)+1,
      IF(
        _xlpm._対象月初&gt;_xlpm._今月初,
        IF(
          OR(AO69="",AO69=0),
          "",
          AO69*AP$107
        ),
        _xlfn.LET(
          _xlpm._参照先,
            "'[在庫状況把握_43期_2025-2026.xlsx]月次報告"
            &amp;TEXT(AP$1,"YYMM")
            &amp;"'!",
          _xlpm._戻り範囲,
            IF(
              _xlpm._対象月初=_xlpm._今月初,
              "$AG$1:$AG$300",
              "$G$1:$G$300"
            ),
          _xlfn.XLOOKUP(
            $C69,
            INDIRECT(_xlpm._参照先&amp;"$C$1:$C$300"),
            INDIRECT(_xlpm._参照先&amp;_xlpm._戻り範囲)
          )
        )
      )
    ),
    ""
  )
)</f>
        <v/>
      </c>
      <c r="AQ69" s="223" t="str" cm="1">
        <f t="array" aca="1" ref="AQ69" ca="1">IF($C69="","",
  IFERROR(
    _xlfn.LET(
      _xlpm._対象月初,EOMONTH(AQ$1,-1)+1,
      _xlpm._今月初,EOMONTH(基準データ!$C$5,-1)+1,
      IF(
        _xlpm._対象月初&gt;_xlpm._今月初,
        IF(
          OR(AP69="",AP69=0),
          "",
          AP69*AQ$107
        ),
        _xlfn.LET(
          _xlpm._参照先,
            "'[在庫状況把握_43期_2025-2026.xlsx]月次報告"
            &amp;TEXT(AQ$1,"YYMM")
            &amp;"'!",
          _xlpm._戻り範囲,
            IF(
              _xlpm._対象月初=_xlpm._今月初,
              "$AG$1:$AG$300",
              "$G$1:$G$300"
            ),
          _xlfn.XLOOKUP(
            $C69,
            INDIRECT(_xlpm._参照先&amp;"$C$1:$C$300"),
            INDIRECT(_xlpm._参照先&amp;_xlpm._戻り範囲)
          )
        )
      )
    ),
    ""
  )
)</f>
        <v/>
      </c>
      <c r="AR69" s="223" t="str" cm="1">
        <f t="array" aca="1" ref="AR69" ca="1">IF($C69="","",
  IFERROR(
    _xlfn.LET(
      _xlpm._対象月初,EOMONTH(AR$1,-1)+1,
      _xlpm._今月初,EOMONTH(基準データ!$C$5,-1)+1,
      IF(
        _xlpm._対象月初&gt;_xlpm._今月初,
        IF(
          OR(AQ69="",AQ69=0),
          "",
          AQ69*AR$107
        ),
        _xlfn.LET(
          _xlpm._参照先,
            "'[在庫状況把握_43期_2025-2026.xlsx]月次報告"
            &amp;TEXT(AR$1,"YYMM")
            &amp;"'!",
          _xlpm._戻り範囲,
            IF(
              _xlpm._対象月初=_xlpm._今月初,
              "$AG$1:$AG$300",
              "$G$1:$G$300"
            ),
          _xlfn.XLOOKUP(
            $C69,
            INDIRECT(_xlpm._参照先&amp;"$C$1:$C$300"),
            INDIRECT(_xlpm._参照先&amp;_xlpm._戻り範囲)
          )
        )
      )
    ),
    ""
  )
)</f>
        <v/>
      </c>
      <c r="AS69" s="223" t="str" cm="1">
        <f t="array" aca="1" ref="AS69" ca="1">IF($C69="","",
  IFERROR(
    _xlfn.LET(
      _xlpm._対象月初,EOMONTH(AS$1,-1)+1,
      _xlpm._今月初,EOMONTH(基準データ!$C$5,-1)+1,
      IF(
        _xlpm._対象月初&gt;_xlpm._今月初,
        IF(
          OR(AR69="",AR69=0),
          "",
          AR69*AS$107
        ),
        _xlfn.LET(
          _xlpm._参照先,
            "'[在庫状況把握_43期_2025-2026.xlsx]月次報告"
            &amp;TEXT(AS$1,"YYMM")
            &amp;"'!",
          _xlpm._戻り範囲,
            IF(
              _xlpm._対象月初=_xlpm._今月初,
              "$AG$1:$AG$300",
              "$G$1:$G$300"
            ),
          _xlfn.XLOOKUP(
            $C69,
            INDIRECT(_xlpm._参照先&amp;"$C$1:$C$300"),
            INDIRECT(_xlpm._参照先&amp;_xlpm._戻り範囲)
          )
        )
      )
    ),
    ""
  )
)</f>
        <v/>
      </c>
      <c r="AT69" s="223" t="str" cm="1">
        <f t="array" aca="1" ref="AT69" ca="1">IF($C69="","",
  IFERROR(
    _xlfn.LET(
      _xlpm._対象月初,EOMONTH(AT$1,-1)+1,
      _xlpm._今月初,EOMONTH(基準データ!$C$5,-1)+1,
      IF(
        _xlpm._対象月初&gt;_xlpm._今月初,
        IF(
          OR(AS69="",AS69=0),
          "",
          AS69*AT$107
        ),
        _xlfn.LET(
          _xlpm._参照先,
            "'[在庫状況把握_43期_2025-2026.xlsx]月次報告"
            &amp;TEXT(AT$1,"YYMM")
            &amp;"'!",
          _xlpm._戻り範囲,
            IF(
              _xlpm._対象月初=_xlpm._今月初,
              "$AG$1:$AG$300",
              "$G$1:$G$300"
            ),
          _xlfn.XLOOKUP(
            $C69,
            INDIRECT(_xlpm._参照先&amp;"$C$1:$C$300"),
            INDIRECT(_xlpm._参照先&amp;_xlpm._戻り範囲)
          )
        )
      )
    ),
    ""
  )
)</f>
        <v/>
      </c>
      <c r="AU69" s="223" t="str" cm="1">
        <f t="array" aca="1" ref="AU69" ca="1">IF($C69="","",
  IFERROR(
    _xlfn.LET(
      _xlpm._対象月初,EOMONTH(AU$1,-1)+1,
      _xlpm._今月初,EOMONTH(基準データ!$C$5,-1)+1,
      IF(
        _xlpm._対象月初&gt;_xlpm._今月初,
        IF(
          OR(AT69="",AT69=0),
          "",
          AT69*AU$107
        ),
        _xlfn.LET(
          _xlpm._参照先,
            "'[在庫状況把握_43期_2025-2026.xlsx]月次報告"
            &amp;TEXT(AU$1,"YYMM")
            &amp;"'!",
          _xlpm._戻り範囲,
            IF(
              _xlpm._対象月初=_xlpm._今月初,
              "$AG$1:$AG$300",
              "$G$1:$G$300"
            ),
          _xlfn.XLOOKUP(
            $C69,
            INDIRECT(_xlpm._参照先&amp;"$C$1:$C$300"),
            INDIRECT(_xlpm._参照先&amp;_xlpm._戻り範囲)
          )
        )
      )
    ),
    ""
  )
)</f>
        <v/>
      </c>
      <c r="AV69" s="223" t="str" cm="1">
        <f t="array" aca="1" ref="AV69" ca="1">IF($C69="","",
  IFERROR(
    _xlfn.LET(
      _xlpm._対象月初,EOMONTH(AV$1,-1)+1,
      _xlpm._今月初,EOMONTH(基準データ!$C$5,-1)+1,
      IF(
        _xlpm._対象月初&gt;_xlpm._今月初,
        IF(
          OR(AU69="",AU69=0),
          "",
          AU69*AV$107
        ),
        _xlfn.LET(
          _xlpm._参照先,
            "'[在庫状況把握_43期_2025-2026.xlsx]月次報告"
            &amp;TEXT(AV$1,"YYMM")
            &amp;"'!",
          _xlpm._戻り範囲,
            IF(
              _xlpm._対象月初=_xlpm._今月初,
              "$AG$1:$AG$300",
              "$G$1:$G$300"
            ),
          _xlfn.XLOOKUP(
            $C69,
            INDIRECT(_xlpm._参照先&amp;"$C$1:$C$300"),
            INDIRECT(_xlpm._参照先&amp;_xlpm._戻り範囲)
          )
        )
      )
    ),
    ""
  )
)</f>
        <v/>
      </c>
      <c r="AW69" s="223" t="str" cm="1">
        <f t="array" aca="1" ref="AW69" ca="1">IF($C69="","",
  IFERROR(
    _xlfn.LET(
      _xlpm._対象月初,EOMONTH(AW$1,-1)+1,
      _xlpm._今月初,EOMONTH(基準データ!$C$5,-1)+1,
      IF(
        _xlpm._対象月初&gt;_xlpm._今月初,
        IF(
          OR(AV69="",AV69=0),
          "",
          AV69*AW$107
        ),
        _xlfn.LET(
          _xlpm._参照先,
            "'[在庫状況把握_43期_2025-2026.xlsx]月次報告"
            &amp;TEXT(AW$1,"YYMM")
            &amp;"'!",
          _xlpm._戻り範囲,
            IF(
              _xlpm._対象月初=_xlpm._今月初,
              "$AG$1:$AG$300",
              "$G$1:$G$300"
            ),
          _xlfn.XLOOKUP(
            $C69,
            INDIRECT(_xlpm._参照先&amp;"$C$1:$C$300"),
            INDIRECT(_xlpm._参照先&amp;_xlpm._戻り範囲)
          )
        )
      )
    ),
    ""
  )
)</f>
        <v/>
      </c>
      <c r="AX69" s="223" t="str" cm="1">
        <f t="array" aca="1" ref="AX69" ca="1">IF($C69="","",
  IFERROR(
    _xlfn.LET(
      _xlpm._対象月初,EOMONTH(AX$1,-1)+1,
      _xlpm._今月初,EOMONTH(基準データ!$C$5,-1)+1,
      IF(
        _xlpm._対象月初&gt;_xlpm._今月初,
        IF(
          OR(AW69="",AW69=0),
          "",
          AW69*AX$107
        ),
        _xlfn.LET(
          _xlpm._参照先,
            "'[在庫状況把握_43期_2025-2026.xlsx]月次報告"
            &amp;TEXT(AX$1,"YYMM")
            &amp;"'!",
          _xlpm._戻り範囲,
            IF(
              _xlpm._対象月初=_xlpm._今月初,
              "$AG$1:$AG$300",
              "$G$1:$G$300"
            ),
          _xlfn.XLOOKUP(
            $C69,
            INDIRECT(_xlpm._参照先&amp;"$C$1:$C$300"),
            INDIRECT(_xlpm._参照先&amp;_xlpm._戻り範囲)
          )
        )
      )
    ),
    ""
  )
)</f>
        <v/>
      </c>
      <c r="AY69" s="223" t="str" cm="1">
        <f t="array" aca="1" ref="AY69" ca="1">IF($C69="","",
  IFERROR(
    _xlfn.LET(
      _xlpm._対象月初,EOMONTH(AY$1,-1)+1,
      _xlpm._今月初,EOMONTH(基準データ!$C$5,-1)+1,
      IF(
        _xlpm._対象月初&gt;_xlpm._今月初,
        IF(
          OR(AX69="",AX69=0),
          "",
          AX69*AY$107
        ),
        _xlfn.LET(
          _xlpm._参照先,
            "'[在庫状況把握_43期_2025-2026.xlsx]月次報告"
            &amp;TEXT(AY$1,"YYMM")
            &amp;"'!",
          _xlpm._戻り範囲,
            IF(
              _xlpm._対象月初=_xlpm._今月初,
              "$AG$1:$AG$300",
              "$G$1:$G$300"
            ),
          _xlfn.XLOOKUP(
            $C69,
            INDIRECT(_xlpm._参照先&amp;"$C$1:$C$300"),
            INDIRECT(_xlpm._参照先&amp;_xlpm._戻り範囲)
          )
        )
      )
    ),
    ""
  )
)</f>
        <v/>
      </c>
      <c r="AZ69" s="223" t="str" cm="1">
        <f t="array" aca="1" ref="AZ69" ca="1">IF($C69="","",
  IFERROR(
    _xlfn.LET(
      _xlpm._対象月初,EOMONTH(AZ$1,-1)+1,
      _xlpm._今月初,EOMONTH(基準データ!$C$5,-1)+1,
      IF(
        _xlpm._対象月初&gt;_xlpm._今月初,
        IF(
          OR(AY69="",AY69=0),
          "",
          AY69*AZ$107
        ),
        _xlfn.LET(
          _xlpm._参照先,
            "'[在庫状況把握_43期_2025-2026.xlsx]月次報告"
            &amp;TEXT(AZ$1,"YYMM")
            &amp;"'!",
          _xlpm._戻り範囲,
            IF(
              _xlpm._対象月初=_xlpm._今月初,
              "$AG$1:$AG$300",
              "$G$1:$G$300"
            ),
          _xlfn.XLOOKUP(
            $C69,
            INDIRECT(_xlpm._参照先&amp;"$C$1:$C$300"),
            INDIRECT(_xlpm._参照先&amp;_xlpm._戻り範囲)
          )
        )
      )
    ),
    ""
  )
)</f>
        <v/>
      </c>
      <c r="BA69" s="223" t="str" cm="1">
        <f t="array" aca="1" ref="BA69" ca="1">IF($C69="","",
  IFERROR(
    _xlfn.LET(
      _xlpm._対象月初,EOMONTH(BA$1,-1)+1,
      _xlpm._今月初,EOMONTH(基準データ!$C$5,-1)+1,
      IF(
        _xlpm._対象月初&gt;_xlpm._今月初,
        IF(
          OR(AZ69="",AZ69=0),
          "",
          AZ69*BA$107
        ),
        _xlfn.LET(
          _xlpm._参照先,
            "'[在庫状況把握_43期_2025-2026.xlsx]月次報告"
            &amp;TEXT(BA$1,"YYMM")
            &amp;"'!",
          _xlpm._戻り範囲,
            IF(
              _xlpm._対象月初=_xlpm._今月初,
              "$AG$1:$AG$300",
              "$G$1:$G$300"
            ),
          _xlfn.XLOOKUP(
            $C69,
            INDIRECT(_xlpm._参照先&amp;"$C$1:$C$300"),
            INDIRECT(_xlpm._参照先&amp;_xlpm._戻り範囲)
          )
        )
      )
    ),
    ""
  )
)</f>
        <v/>
      </c>
      <c r="BB69" s="223" t="str" cm="1">
        <f t="array" aca="1" ref="BB69" ca="1">IF($C69="","",
  IFERROR(
    _xlfn.LET(
      _xlpm._対象月初,EOMONTH(BB$1,-1)+1,
      _xlpm._今月初,EOMONTH(基準データ!$C$5,-1)+1,
      IF(
        _xlpm._対象月初&gt;_xlpm._今月初,
        IF(
          OR(BA69="",BA69=0),
          "",
          BA69*BB$107
        ),
        _xlfn.LET(
          _xlpm._参照先,
            "'[在庫状況把握_43期_2025-2026.xlsx]月次報告"
            &amp;TEXT(BB$1,"YYMM")
            &amp;"'!",
          _xlpm._戻り範囲,
            IF(
              _xlpm._対象月初=_xlpm._今月初,
              "$AG$1:$AG$300",
              "$G$1:$G$300"
            ),
          _xlfn.XLOOKUP(
            $C69,
            INDIRECT(_xlpm._参照先&amp;"$C$1:$C$300"),
            INDIRECT(_xlpm._参照先&amp;_xlpm._戻り範囲)
          )
        )
      )
    ),
    ""
  )
)</f>
        <v/>
      </c>
      <c r="BC69" s="223" t="str" cm="1">
        <f t="array" aca="1" ref="BC69" ca="1">IF($C69="","",
  IFERROR(
    _xlfn.LET(
      _xlpm._対象月初,EOMONTH(BC$1,-1)+1,
      _xlpm._今月初,EOMONTH(基準データ!$C$5,-1)+1,
      IF(
        _xlpm._対象月初&gt;_xlpm._今月初,
        IF(
          OR(BB69="",BB69=0),
          "",
          BB69*BC$107
        ),
        _xlfn.LET(
          _xlpm._参照先,
            "'[在庫状況把握_43期_2025-2026.xlsx]月次報告"
            &amp;TEXT(BC$1,"YYMM")
            &amp;"'!",
          _xlpm._戻り範囲,
            IF(
              _xlpm._対象月初=_xlpm._今月初,
              "$AG$1:$AG$300",
              "$G$1:$G$300"
            ),
          _xlfn.XLOOKUP(
            $C69,
            INDIRECT(_xlpm._参照先&amp;"$C$1:$C$300"),
            INDIRECT(_xlpm._参照先&amp;_xlpm._戻り範囲)
          )
        )
      )
    ),
    ""
  )
)</f>
        <v/>
      </c>
      <c r="BD69" s="223" t="str" cm="1">
        <f t="array" aca="1" ref="BD69" ca="1">IF($C69="","",
  IFERROR(
    _xlfn.LET(
      _xlpm._対象月初,EOMONTH(BD$1,-1)+1,
      _xlpm._今月初,EOMONTH(基準データ!$C$5,-1)+1,
      IF(
        _xlpm._対象月初&gt;_xlpm._今月初,
        IF(
          OR(BC69="",BC69=0),
          "",
          BC69*BD$107
        ),
        _xlfn.LET(
          _xlpm._参照先,
            "'[在庫状況把握_43期_2025-2026.xlsx]月次報告"
            &amp;TEXT(BD$1,"YYMM")
            &amp;"'!",
          _xlpm._戻り範囲,
            IF(
              _xlpm._対象月初=_xlpm._今月初,
              "$AG$1:$AG$300",
              "$G$1:$G$300"
            ),
          _xlfn.XLOOKUP(
            $C69,
            INDIRECT(_xlpm._参照先&amp;"$C$1:$C$300"),
            INDIRECT(_xlpm._参照先&amp;_xlpm._戻り範囲)
          )
        )
      )
    ),
    ""
  )
)</f>
        <v/>
      </c>
    </row>
    <row r="70" spans="1:56" ht="18.75" customHeight="1">
      <c r="A70" s="1082" t="s">
        <v>1651</v>
      </c>
      <c r="B70" s="26" t="str">
        <v>WZN-1051-1334U-UMA-L6 Thirdwave</v>
      </c>
      <c r="C70" s="24" t="s">
        <v>632</v>
      </c>
      <c r="D70" s="27" t="s">
        <v>1657</v>
      </c>
      <c r="E70" s="27"/>
      <c r="F70" s="27"/>
      <c r="G70" s="38">
        <v>244</v>
      </c>
      <c r="H70" s="109" cm="1">
        <f t="array" aca="1" ref="H70" ca="1">_xlfn.LET(_xlpm._来月から4ヶ月計画合計,
  SUM(
    OFFSET($A70,0,
      MATCH(
        EDATE(基準データ!$C$5,3),$A$1:$BF$1,1
      )-3,1,4)),
_xlpm._今月計画数,
INDEX($A$1:$BE$223,
  ROW(),
  MATCH(EOMONTH(基準データ!$C$5,-1)+1,$A$1:$BE$1,0)
),
  IFERROR(IF($B70="","",_xlpm._来月から4ヶ月計画合計+_xlpm._今月計画数/2),""
)
)</f>
        <v>66.071809410580485</v>
      </c>
      <c r="I70" s="39"/>
      <c r="J70" s="39"/>
      <c r="K70" s="39"/>
      <c r="L70" s="39"/>
      <c r="M70" s="39"/>
      <c r="N70" s="39"/>
      <c r="O70" s="39"/>
      <c r="P70" s="39"/>
      <c r="Q70" s="232"/>
      <c r="R70" s="232"/>
      <c r="S70" s="232"/>
      <c r="T70" s="232"/>
      <c r="U70" s="233"/>
      <c r="V70" s="233"/>
      <c r="W70" s="219"/>
      <c r="X70" s="333"/>
      <c r="Y70" s="333" t="str">
        <f>IF(X70*$Y$107=0,"",X70*$Y$107)</f>
        <v/>
      </c>
      <c r="Z70" s="238"/>
      <c r="AA70" s="219"/>
      <c r="AB70" s="238"/>
      <c r="AC70" s="239" t="str">
        <f t="shared" ref="AC70:AC71" si="8">IF(AB70*$AC$46=0,"",AB70*$AC$46)</f>
        <v/>
      </c>
      <c r="AD70" s="239">
        <v>512</v>
      </c>
      <c r="AE70" s="223">
        <v>530</v>
      </c>
      <c r="AF70" s="223">
        <v>511</v>
      </c>
      <c r="AG70" s="223">
        <v>411</v>
      </c>
      <c r="AH70" s="223">
        <v>256</v>
      </c>
      <c r="AI70" s="223">
        <v>570</v>
      </c>
      <c r="AJ70" s="223">
        <v>50</v>
      </c>
      <c r="AK70" s="223">
        <v>315</v>
      </c>
      <c r="AL70" s="223" cm="1">
        <f t="array" aca="1" ref="AL70" ca="1">IF($C70="","",
  IFERROR(
    _xlfn.LET(
      _xlpm._対象月初,EOMONTH(AL$1,-1)+1,
      _xlpm._今月初,EOMONTH(基準データ!$C$5,-1)+1,
      IF(
        _xlpm._対象月初&gt;_xlpm._今月初,
        IF(
          OR(AK70="",AK70=0),
          "",
          AK70*AL$107
        ),
        _xlfn.LET(
          _xlpm._参照先,
            "'[在庫状況把握_43期_2025-2026.xlsx]月次報告"
            &amp;TEXT(AL$1,"YYMM")
            &amp;"'!",
          _xlpm._戻り範囲,
            IF(
              _xlpm._対象月初=_xlpm._今月初,
              "$AG$1:$AG$300",
              "$G$1:$G$300"
            ),
          _xlfn.XLOOKUP(
            $C70,
            INDIRECT(_xlpm._参照先&amp;"$C$1:$C$300"),
            INDIRECT(_xlpm._参照先&amp;_xlpm._戻り範囲)
          )
        )
      )
    ),
    ""
  )
)</f>
        <v>15</v>
      </c>
      <c r="AM70" s="223" cm="1">
        <f t="array" aca="1" ref="AM70" ca="1">IF($C70="","",
  IFERROR(
    _xlfn.LET(
      _xlpm._対象月初,EOMONTH(AM$1,-1)+1,
      _xlpm._今月初,EOMONTH(基準データ!$C$5,-1)+1,
      IF(
        _xlpm._対象月初&gt;_xlpm._今月初,
        IF(
          OR(AL70="",AL70=0),
          "",
          AL70*AM$107
        ),
        _xlfn.LET(
          _xlpm._参照先,
            "'[在庫状況把握_43期_2025-2026.xlsx]月次報告"
            &amp;TEXT(AM$1,"YYMM")
            &amp;"'!",
          _xlpm._戻り範囲,
            IF(
              _xlpm._対象月初=_xlpm._今月初,
              "$AG$1:$AG$300",
              "$G$1:$G$300"
            ),
          _xlfn.XLOOKUP(
            $C70,
            INDIRECT(_xlpm._参照先&amp;"$C$1:$C$300"),
            INDIRECT(_xlpm._参照先&amp;_xlpm._戻り範囲)
          )
        )
      )
    ),
    ""
  )
)</f>
        <v>14.392857142857144</v>
      </c>
      <c r="AN70" s="223" cm="1">
        <f t="array" aca="1" ref="AN70" ca="1">IF($C70="","",
  IFERROR(
    _xlfn.LET(
      _xlpm._対象月初,EOMONTH(AN$1,-1)+1,
      _xlpm._今月初,EOMONTH(基準データ!$C$5,-1)+1,
      IF(
        _xlpm._対象月初&gt;_xlpm._今月初,
        IF(
          OR(AM70="",AM70=0),
          "",
          AM70*AN$107
        ),
        _xlfn.LET(
          _xlpm._参照先,
            "'[在庫状況把握_43期_2025-2026.xlsx]月次報告"
            &amp;TEXT(AN$1,"YYMM")
            &amp;"'!",
          _xlpm._戻り範囲,
            IF(
              _xlpm._対象月初=_xlpm._今月初,
              "$AG$1:$AG$300",
              "$G$1:$G$300"
            ),
          _xlfn.XLOOKUP(
            $C70,
            INDIRECT(_xlpm._参照先&amp;"$C$1:$C$300"),
            INDIRECT(_xlpm._参照先&amp;_xlpm._戻り範囲)
          )
        )
      )
    ),
    ""
  )
)</f>
        <v>13.237961447993751</v>
      </c>
      <c r="AO70" s="223" cm="1">
        <f t="array" aca="1" ref="AO70" ca="1">IF($C70="","",
  IFERROR(
    _xlfn.LET(
      _xlpm._対象月初,EOMONTH(AO$1,-1)+1,
      _xlpm._今月初,EOMONTH(基準データ!$C$5,-1)+1,
      IF(
        _xlpm._対象月初&gt;_xlpm._今月初,
        IF(
          OR(AN70="",AN70=0),
          "",
          AN70*AO$107
        ),
        _xlfn.LET(
          _xlpm._参照先,
            "'[在庫状況把握_43期_2025-2026.xlsx]月次報告"
            &amp;TEXT(AO$1,"YYMM")
            &amp;"'!",
          _xlpm._戻り範囲,
            IF(
              _xlpm._対象月初=_xlpm._今月初,
              "$AG$1:$AG$300",
              "$G$1:$G$300"
            ),
          _xlfn.XLOOKUP(
            $C70,
            INDIRECT(_xlpm._参照先&amp;"$C$1:$C$300"),
            INDIRECT(_xlpm._参照先&amp;_xlpm._戻り範囲)
          )
        )
      )
    ),
    ""
  )
)</f>
        <v>14.300026928959175</v>
      </c>
      <c r="AP70" s="223" cm="1">
        <f t="array" aca="1" ref="AP70" ca="1">IF($C70="","",
  IFERROR(
    _xlfn.LET(
      _xlpm._対象月初,EOMONTH(AP$1,-1)+1,
      _xlpm._今月初,EOMONTH(基準データ!$C$5,-1)+1,
      IF(
        _xlpm._対象月初&gt;_xlpm._今月初,
        IF(
          OR(AO70="",AO70=0),
          "",
          AO70*AP$107
        ),
        _xlfn.LET(
          _xlpm._参照先,
            "'[在庫状況把握_43期_2025-2026.xlsx]月次報告"
            &amp;TEXT(AP$1,"YYMM")
            &amp;"'!",
          _xlpm._戻り範囲,
            IF(
              _xlpm._対象月初=_xlpm._今月初,
              "$AG$1:$AG$300",
              "$G$1:$G$300"
            ),
          _xlfn.XLOOKUP(
            $C70,
            INDIRECT(_xlpm._参照先&amp;"$C$1:$C$300"),
            INDIRECT(_xlpm._参照先&amp;_xlpm._戻り範囲)
          )
        )
      )
    ),
    ""
  )
)</f>
        <v>15.399589911758618</v>
      </c>
      <c r="AQ70" s="223" cm="1">
        <f t="array" aca="1" ref="AQ70" ca="1">IF($C70="","",
  IFERROR(
    _xlfn.LET(
      _xlpm._対象月初,EOMONTH(AQ$1,-1)+1,
      _xlpm._今月初,EOMONTH(基準データ!$C$5,-1)+1,
      IF(
        _xlpm._対象月初&gt;_xlpm._今月初,
        IF(
          OR(AP70="",AP70=0),
          "",
          AP70*AQ$107
        ),
        _xlfn.LET(
          _xlpm._参照先,
            "'[在庫状況把握_43期_2025-2026.xlsx]月次報告"
            &amp;TEXT(AQ$1,"YYMM")
            &amp;"'!",
          _xlpm._戻り範囲,
            IF(
              _xlpm._対象月初=_xlpm._今月初,
              "$AG$1:$AG$300",
              "$G$1:$G$300"
            ),
          _xlfn.XLOOKUP(
            $C70,
            INDIRECT(_xlpm._参照先&amp;"$C$1:$C$300"),
            INDIRECT(_xlpm._参照先&amp;_xlpm._戻り範囲)
          )
        )
      )
    ),
    ""
  )
)</f>
        <v>15.937802550440376</v>
      </c>
      <c r="AR70" s="223" cm="1">
        <f t="array" aca="1" ref="AR70" ca="1">IF($C70="","",
  IFERROR(
    _xlfn.LET(
      _xlpm._対象月初,EOMONTH(AR$1,-1)+1,
      _xlpm._今月初,EOMONTH(基準データ!$C$5,-1)+1,
      IF(
        _xlpm._対象月初&gt;_xlpm._今月初,
        IF(
          OR(AQ70="",AQ70=0),
          "",
          AQ70*AR$107
        ),
        _xlfn.LET(
          _xlpm._参照先,
            "'[在庫状況把握_43期_2025-2026.xlsx]月次報告"
            &amp;TEXT(AR$1,"YYMM")
            &amp;"'!",
          _xlpm._戻り範囲,
            IF(
              _xlpm._対象月初=_xlpm._今月初,
              "$AG$1:$AG$300",
              "$G$1:$G$300"
            ),
          _xlfn.XLOOKUP(
            $C70,
            INDIRECT(_xlpm._参照先&amp;"$C$1:$C$300"),
            INDIRECT(_xlpm._参照先&amp;_xlpm._戻り範囲)
          )
        )
      )
    ),
    ""
  )
)</f>
        <v>23.491176198716474</v>
      </c>
      <c r="AS70" s="223" cm="1">
        <f t="array" aca="1" ref="AS70" ca="1">IF($C70="","",
  IFERROR(
    _xlfn.LET(
      _xlpm._対象月初,EOMONTH(AS$1,-1)+1,
      _xlpm._今月初,EOMONTH(基準データ!$C$5,-1)+1,
      IF(
        _xlpm._対象月初&gt;_xlpm._今月初,
        IF(
          OR(AR70="",AR70=0),
          "",
          AR70*AS$107
        ),
        _xlfn.LET(
          _xlpm._参照先,
            "'[在庫状況把握_43期_2025-2026.xlsx]月次報告"
            &amp;TEXT(AS$1,"YYMM")
            &amp;"'!",
          _xlpm._戻り範囲,
            IF(
              _xlpm._対象月初=_xlpm._今月初,
              "$AG$1:$AG$300",
              "$G$1:$G$300"
            ),
          _xlfn.XLOOKUP(
            $C70,
            INDIRECT(_xlpm._参照先&amp;"$C$1:$C$300"),
            INDIRECT(_xlpm._参照先&amp;_xlpm._戻り範囲)
          )
        )
      )
    ),
    ""
  )
)</f>
        <v>20.272145274826364</v>
      </c>
      <c r="AT70" s="223" cm="1">
        <f t="array" aca="1" ref="AT70" ca="1">IF($C70="","",
  IFERROR(
    _xlfn.LET(
      _xlpm._対象月初,EOMONTH(AT$1,-1)+1,
      _xlpm._今月初,EOMONTH(基準データ!$C$5,-1)+1,
      IF(
        _xlpm._対象月初&gt;_xlpm._今月初,
        IF(
          OR(AS70="",AS70=0),
          "",
          AS70*AT$107
        ),
        _xlfn.LET(
          _xlpm._参照先,
            "'[在庫状況把握_43期_2025-2026.xlsx]月次報告"
            &amp;TEXT(AT$1,"YYMM")
            &amp;"'!",
          _xlpm._戻り範囲,
            IF(
              _xlpm._対象月初=_xlpm._今月初,
              "$AG$1:$AG$300",
              "$G$1:$G$300"
            ),
          _xlfn.XLOOKUP(
            $C70,
            INDIRECT(_xlpm._参照先&amp;"$C$1:$C$300"),
            INDIRECT(_xlpm._参照先&amp;_xlpm._戻り範囲)
          )
        )
      )
    ),
    ""
  )
)</f>
        <v>19.112833350869938</v>
      </c>
      <c r="AU70" s="223" cm="1">
        <f t="array" aca="1" ref="AU70" ca="1">IF($C70="","",
  IFERROR(
    _xlfn.LET(
      _xlpm._対象月初,EOMONTH(AU$1,-1)+1,
      _xlpm._今月初,EOMONTH(基準データ!$C$5,-1)+1,
      IF(
        _xlpm._対象月初&gt;_xlpm._今月初,
        IF(
          OR(AT70="",AT70=0),
          "",
          AT70*AU$107
        ),
        _xlfn.LET(
          _xlpm._参照先,
            "'[在庫状況把握_43期_2025-2026.xlsx]月次報告"
            &amp;TEXT(AU$1,"YYMM")
            &amp;"'!",
          _xlpm._戻り範囲,
            IF(
              _xlpm._対象月初=_xlpm._今月初,
              "$AG$1:$AG$300",
              "$G$1:$G$300"
            ),
          _xlfn.XLOOKUP(
            $C70,
            INDIRECT(_xlpm._参照先&amp;"$C$1:$C$300"),
            INDIRECT(_xlpm._参照先&amp;_xlpm._戻り範囲)
          )
        )
      )
    ),
    ""
  )
)</f>
        <v>28.245409783400532</v>
      </c>
      <c r="AV70" s="223" cm="1">
        <f t="array" aca="1" ref="AV70" ca="1">IF($C70="","",
  IFERROR(
    _xlfn.LET(
      _xlpm._対象月初,EOMONTH(AV$1,-1)+1,
      _xlpm._今月初,EOMONTH(基準データ!$C$5,-1)+1,
      IF(
        _xlpm._対象月初&gt;_xlpm._今月初,
        IF(
          OR(AU70="",AU70=0),
          "",
          AU70*AV$107
        ),
        _xlfn.LET(
          _xlpm._参照先,
            "'[在庫状況把握_43期_2025-2026.xlsx]月次報告"
            &amp;TEXT(AV$1,"YYMM")
            &amp;"'!",
          _xlpm._戻り範囲,
            IF(
              _xlpm._対象月初=_xlpm._今月初,
              "$AG$1:$AG$300",
              "$G$1:$G$300"
            ),
          _xlfn.XLOOKUP(
            $C70,
            INDIRECT(_xlpm._参照先&amp;"$C$1:$C$300"),
            INDIRECT(_xlpm._参照先&amp;_xlpm._戻り範囲)
          )
        )
      )
    ),
    ""
  )
)</f>
        <v>17.343587972670068</v>
      </c>
      <c r="AW70" s="223" cm="1">
        <f t="array" aca="1" ref="AW70" ca="1">IF($C70="","",
  IFERROR(
    _xlfn.LET(
      _xlpm._対象月初,EOMONTH(AW$1,-1)+1,
      _xlpm._今月初,EOMONTH(基準データ!$C$5,-1)+1,
      IF(
        _xlpm._対象月初&gt;_xlpm._今月初,
        IF(
          OR(AV70="",AV70=0),
          "",
          AV70*AW$107
        ),
        _xlfn.LET(
          _xlpm._参照先,
            "'[在庫状況把握_43期_2025-2026.xlsx]月次報告"
            &amp;TEXT(AW$1,"YYMM")
            &amp;"'!",
          _xlpm._戻り範囲,
            IF(
              _xlpm._対象月初=_xlpm._今月初,
              "$AG$1:$AG$300",
              "$G$1:$G$300"
            ),
          _xlfn.XLOOKUP(
            $C70,
            INDIRECT(_xlpm._参照先&amp;"$C$1:$C$300"),
            INDIRECT(_xlpm._参照先&amp;_xlpm._戻り範囲)
          )
        )
      )
    ),
    ""
  )
)</f>
        <v>12.578095569125455</v>
      </c>
      <c r="AX70" s="223" cm="1">
        <f t="array" aca="1" ref="AX70" ca="1">IF($C70="","",
  IFERROR(
    _xlfn.LET(
      _xlpm._対象月初,EOMONTH(AX$1,-1)+1,
      _xlpm._今月初,EOMONTH(基準データ!$C$5,-1)+1,
      IF(
        _xlpm._対象月初&gt;_xlpm._今月初,
        IF(
          OR(AW70="",AW70=0),
          "",
          AW70*AX$107
        ),
        _xlfn.LET(
          _xlpm._参照先,
            "'[在庫状況把握_43期_2025-2026.xlsx]月次報告"
            &amp;TEXT(AX$1,"YYMM")
            &amp;"'!",
          _xlpm._戻り範囲,
            IF(
              _xlpm._対象月初=_xlpm._今月初,
              "$AG$1:$AG$300",
              "$G$1:$G$300"
            ),
          _xlfn.XLOOKUP(
            $C70,
            INDIRECT(_xlpm._参照先&amp;"$C$1:$C$300"),
            INDIRECT(_xlpm._参照先&amp;_xlpm._戻り範囲)
          )
        )
      )
    ),
    ""
  )
)</f>
        <v>13.115303313243203</v>
      </c>
      <c r="AY70" s="223" cm="1">
        <f t="array" aca="1" ref="AY70" ca="1">IF($C70="","",
  IFERROR(
    _xlfn.LET(
      _xlpm._対象月初,EOMONTH(AY$1,-1)+1,
      _xlpm._今月初,EOMONTH(基準データ!$C$5,-1)+1,
      IF(
        _xlpm._対象月初&gt;_xlpm._今月初,
        IF(
          OR(AX70="",AX70=0),
          "",
          AX70*AY$107
        ),
        _xlfn.LET(
          _xlpm._参照先,
            "'[在庫状況把握_43期_2025-2026.xlsx]月次報告"
            &amp;TEXT(AY$1,"YYMM")
            &amp;"'!",
          _xlpm._戻り範囲,
            IF(
              _xlpm._対象月初=_xlpm._今月初,
              "$AG$1:$AG$300",
              "$G$1:$G$300"
            ),
          _xlfn.XLOOKUP(
            $C70,
            INDIRECT(_xlpm._参照先&amp;"$C$1:$C$300"),
            INDIRECT(_xlpm._参照先&amp;_xlpm._戻り範囲)
          )
        )
      )
    ),
    ""
  )
)</f>
        <v>14.392857142857144</v>
      </c>
      <c r="AZ70" s="223" cm="1">
        <f t="array" aca="1" ref="AZ70" ca="1">IF($C70="","",
  IFERROR(
    _xlfn.LET(
      _xlpm._対象月初,EOMONTH(AZ$1,-1)+1,
      _xlpm._今月初,EOMONTH(基準データ!$C$5,-1)+1,
      IF(
        _xlpm._対象月初&gt;_xlpm._今月初,
        IF(
          OR(AY70="",AY70=0),
          "",
          AY70*AZ$107
        ),
        _xlfn.LET(
          _xlpm._参照先,
            "'[在庫状況把握_43期_2025-2026.xlsx]月次報告"
            &amp;TEXT(AZ$1,"YYMM")
            &amp;"'!",
          _xlpm._戻り範囲,
            IF(
              _xlpm._対象月初=_xlpm._今月初,
              "$AG$1:$AG$300",
              "$G$1:$G$300"
            ),
          _xlfn.XLOOKUP(
            $C70,
            INDIRECT(_xlpm._参照先&amp;"$C$1:$C$300"),
            INDIRECT(_xlpm._参照先&amp;_xlpm._戻り範囲)
          )
        )
      )
    ),
    ""
  )
)</f>
        <v>13.237961447993751</v>
      </c>
      <c r="BA70" s="223" cm="1">
        <f t="array" aca="1" ref="BA70" ca="1">IF($C70="","",
  IFERROR(
    _xlfn.LET(
      _xlpm._対象月初,EOMONTH(BA$1,-1)+1,
      _xlpm._今月初,EOMONTH(基準データ!$C$5,-1)+1,
      IF(
        _xlpm._対象月初&gt;_xlpm._今月初,
        IF(
          OR(AZ70="",AZ70=0),
          "",
          AZ70*BA$107
        ),
        _xlfn.LET(
          _xlpm._参照先,
            "'[在庫状況把握_43期_2025-2026.xlsx]月次報告"
            &amp;TEXT(BA$1,"YYMM")
            &amp;"'!",
          _xlpm._戻り範囲,
            IF(
              _xlpm._対象月初=_xlpm._今月初,
              "$AG$1:$AG$300",
              "$G$1:$G$300"
            ),
          _xlfn.XLOOKUP(
            $C70,
            INDIRECT(_xlpm._参照先&amp;"$C$1:$C$300"),
            INDIRECT(_xlpm._参照先&amp;_xlpm._戻り範囲)
          )
        )
      )
    ),
    ""
  )
)</f>
        <v>14.300026928959175</v>
      </c>
      <c r="BB70" s="223" cm="1">
        <f t="array" aca="1" ref="BB70" ca="1">IF($C70="","",
  IFERROR(
    _xlfn.LET(
      _xlpm._対象月初,EOMONTH(BB$1,-1)+1,
      _xlpm._今月初,EOMONTH(基準データ!$C$5,-1)+1,
      IF(
        _xlpm._対象月初&gt;_xlpm._今月初,
        IF(
          OR(BA70="",BA70=0),
          "",
          BA70*BB$107
        ),
        _xlfn.LET(
          _xlpm._参照先,
            "'[在庫状況把握_43期_2025-2026.xlsx]月次報告"
            &amp;TEXT(BB$1,"YYMM")
            &amp;"'!",
          _xlpm._戻り範囲,
            IF(
              _xlpm._対象月初=_xlpm._今月初,
              "$AG$1:$AG$300",
              "$G$1:$G$300"
            ),
          _xlfn.XLOOKUP(
            $C70,
            INDIRECT(_xlpm._参照先&amp;"$C$1:$C$300"),
            INDIRECT(_xlpm._参照先&amp;_xlpm._戻り範囲)
          )
        )
      )
    ),
    ""
  )
)</f>
        <v>15.399589911758618</v>
      </c>
      <c r="BC70" s="223" cm="1">
        <f t="array" aca="1" ref="BC70" ca="1">IF($C70="","",
  IFERROR(
    _xlfn.LET(
      _xlpm._対象月初,EOMONTH(BC$1,-1)+1,
      _xlpm._今月初,EOMONTH(基準データ!$C$5,-1)+1,
      IF(
        _xlpm._対象月初&gt;_xlpm._今月初,
        IF(
          OR(BB70="",BB70=0),
          "",
          BB70*BC$107
        ),
        _xlfn.LET(
          _xlpm._参照先,
            "'[在庫状況把握_43期_2025-2026.xlsx]月次報告"
            &amp;TEXT(BC$1,"YYMM")
            &amp;"'!",
          _xlpm._戻り範囲,
            IF(
              _xlpm._対象月初=_xlpm._今月初,
              "$AG$1:$AG$300",
              "$G$1:$G$300"
            ),
          _xlfn.XLOOKUP(
            $C70,
            INDIRECT(_xlpm._参照先&amp;"$C$1:$C$300"),
            INDIRECT(_xlpm._参照先&amp;_xlpm._戻り範囲)
          )
        )
      )
    ),
    ""
  )
)</f>
        <v>15.937802550440376</v>
      </c>
      <c r="BD70" s="223" cm="1">
        <f t="array" aca="1" ref="BD70" ca="1">IF($C70="","",
  IFERROR(
    _xlfn.LET(
      _xlpm._対象月初,EOMONTH(BD$1,-1)+1,
      _xlpm._今月初,EOMONTH(基準データ!$C$5,-1)+1,
      IF(
        _xlpm._対象月初&gt;_xlpm._今月初,
        IF(
          OR(BC70="",BC70=0),
          "",
          BC70*BD$107
        ),
        _xlfn.LET(
          _xlpm._参照先,
            "'[在庫状況把握_43期_2025-2026.xlsx]月次報告"
            &amp;TEXT(BD$1,"YYMM")
            &amp;"'!",
          _xlpm._戻り範囲,
            IF(
              _xlpm._対象月初=_xlpm._今月初,
              "$AG$1:$AG$300",
              "$G$1:$G$300"
            ),
          _xlfn.XLOOKUP(
            $C70,
            INDIRECT(_xlpm._参照先&amp;"$C$1:$C$300"),
            INDIRECT(_xlpm._参照先&amp;_xlpm._戻り範囲)
          )
        )
      )
    ),
    ""
  )
)</f>
        <v>23.491176198716474</v>
      </c>
    </row>
    <row r="71" spans="1:56" ht="18.75" customHeight="1">
      <c r="A71" s="1059" t="s">
        <v>1651</v>
      </c>
      <c r="B71" s="26" t="str">
        <v>CLE-NL55-1334U-UMA-L6-TPM Thirdwave</v>
      </c>
      <c r="C71" s="24" t="s">
        <v>637</v>
      </c>
      <c r="D71" s="25"/>
      <c r="E71" s="24"/>
      <c r="F71" s="24"/>
      <c r="G71" s="38">
        <v>471</v>
      </c>
      <c r="H71" s="109" cm="1">
        <f t="array" aca="1" ref="H71" ca="1">_xlfn.LET(_xlpm._来月から4ヶ月計画合計,
  SUM(
    OFFSET($A71,0,
      MATCH(
        EDATE(基準データ!$C$5,3),$A$1:$BF$1,1
      )-3,1,4)),
_xlpm._今月計画数,
INDEX($A$1:$BE$223,
  ROW(),
  MATCH(EOMONTH(基準データ!$C$5,-1)+1,$A$1:$BE$1,0)
),
  IFERROR(IF($B71="","",_xlpm._来月から4ヶ月計画合計+_xlpm._今月計画数/2),""
)
)</f>
        <v>2688.6143983228526</v>
      </c>
      <c r="I71" s="38"/>
      <c r="J71" s="38"/>
      <c r="K71" s="38"/>
      <c r="L71" s="38"/>
      <c r="M71" s="38"/>
      <c r="N71" s="38"/>
      <c r="O71" s="38"/>
      <c r="P71" s="38"/>
      <c r="Q71" s="219"/>
      <c r="R71" s="219"/>
      <c r="S71" s="219"/>
      <c r="T71" s="219"/>
      <c r="U71" s="224"/>
      <c r="V71" s="224"/>
      <c r="W71" s="219"/>
      <c r="X71" s="333"/>
      <c r="Y71" s="333" t="str">
        <f>IF(X71*$Y$107=0,"",X71*$Y$107)</f>
        <v/>
      </c>
      <c r="Z71" s="238"/>
      <c r="AA71" s="219"/>
      <c r="AB71" s="238"/>
      <c r="AC71" s="239" t="str">
        <f t="shared" si="8"/>
        <v/>
      </c>
      <c r="AD71" s="239" t="s">
        <v>21</v>
      </c>
      <c r="AE71" s="223" t="s">
        <v>21</v>
      </c>
      <c r="AF71" s="223">
        <v>0</v>
      </c>
      <c r="AG71" s="223">
        <v>0</v>
      </c>
      <c r="AH71" s="223">
        <v>2</v>
      </c>
      <c r="AI71" s="223">
        <v>12</v>
      </c>
      <c r="AJ71" s="223">
        <v>88</v>
      </c>
      <c r="AK71" s="223">
        <v>117</v>
      </c>
      <c r="AL71" s="223" cm="1">
        <f t="array" aca="1" ref="AL71" ca="1">IF($C71="","",
  IFERROR(
    _xlfn.LET(
      _xlpm._対象月初,EOMONTH(AL$1,-1)+1,
      _xlpm._今月初,EOMONTH(基準データ!$C$5,-1)+1,
      IF(
        _xlpm._対象月初&gt;_xlpm._今月初,
        IF(
          OR(AK71="",AK71=0),
          "",
          AK71*AL$107
        ),
        _xlfn.LET(
          _xlpm._参照先,
            "'[在庫状況把握_43期_2025-2026.xlsx]月次報告"
            &amp;TEXT(AL$1,"YYMM")
            &amp;"'!",
          _xlpm._戻り範囲,
            IF(
              _xlpm._対象月初=_xlpm._今月初,
              "$AG$1:$AG$300",
              "$G$1:$G$300"
            ),
          _xlfn.XLOOKUP(
            $C71,
            INDIRECT(_xlpm._参照先&amp;"$C$1:$C$300"),
            INDIRECT(_xlpm._参照先&amp;_xlpm._戻り範囲)
          )
        )
      )
    ),
    ""
  )
)</f>
        <v>529</v>
      </c>
      <c r="AM71" s="223" cm="1">
        <f t="array" aca="1" ref="AM71" ca="1">IF($C71="","",
  IFERROR(
    _xlfn.LET(
      _xlpm._対象月初,EOMONTH(AM$1,-1)+1,
      _xlpm._今月初,EOMONTH(基準データ!$C$5,-1)+1,
      IF(
        _xlpm._対象月初&gt;_xlpm._今月初,
        IF(
          OR(AL71="",AL71=0),
          "",
          AL71*AM$107
        ),
        _xlfn.LET(
          _xlpm._参照先,
            "'[在庫状況把握_43期_2025-2026.xlsx]月次報告"
            &amp;TEXT(AM$1,"YYMM")
            &amp;"'!",
          _xlpm._戻り範囲,
            IF(
              _xlpm._対象月初=_xlpm._今月初,
              "$AG$1:$AG$300",
              "$G$1:$G$300"
            ),
          _xlfn.XLOOKUP(
            $C71,
            INDIRECT(_xlpm._参照先&amp;"$C$1:$C$300"),
            INDIRECT(_xlpm._参照先&amp;_xlpm._戻り範囲)
          )
        )
      )
    ),
    ""
  )
)</f>
        <v>585.67857142857144</v>
      </c>
      <c r="AN71" s="223" cm="1">
        <f t="array" aca="1" ref="AN71" ca="1">IF($C71="","",
  IFERROR(
    _xlfn.LET(
      _xlpm._対象月初,EOMONTH(AN$1,-1)+1,
      _xlpm._今月初,EOMONTH(基準データ!$C$5,-1)+1,
      IF(
        _xlpm._対象月初&gt;_xlpm._今月初,
        IF(
          OR(AM71="",AM71=0),
          "",
          AM71*AN$107
        ),
        _xlfn.LET(
          _xlpm._参照先,
            "'[在庫状況把握_43期_2025-2026.xlsx]月次報告"
            &amp;TEXT(AN$1,"YYMM")
            &amp;"'!",
          _xlpm._戻り範囲,
            IF(
              _xlpm._対象月初=_xlpm._今月初,
              "$AG$1:$AG$300",
              "$G$1:$G$300"
            ),
          _xlfn.XLOOKUP(
            $C71,
            INDIRECT(_xlpm._参照先&amp;"$C$1:$C$300"),
            INDIRECT(_xlpm._参照先&amp;_xlpm._戻り範囲)
          )
        )
      )
    ),
    ""
  )
)</f>
        <v>538.68320046066879</v>
      </c>
      <c r="AO71" s="223" cm="1">
        <f t="array" aca="1" ref="AO71" ca="1">IF($C71="","",
  IFERROR(
    _xlfn.LET(
      _xlpm._対象月初,EOMONTH(AO$1,-1)+1,
      _xlpm._今月初,EOMONTH(基準データ!$C$5,-1)+1,
      IF(
        _xlpm._対象月初&gt;_xlpm._今月初,
        IF(
          OR(AN71="",AN71=0),
          "",
          AN71*AO$107
        ),
        _xlfn.LET(
          _xlpm._参照先,
            "'[在庫状況把握_43期_2025-2026.xlsx]月次報告"
            &amp;TEXT(AO$1,"YYMM")
            &amp;"'!",
          _xlpm._戻り範囲,
            IF(
              _xlpm._対象月初=_xlpm._今月初,
              "$AG$1:$AG$300",
              "$G$1:$G$300"
            ),
          _xlfn.XLOOKUP(
            $C71,
            INDIRECT(_xlpm._参照先&amp;"$C$1:$C$300"),
            INDIRECT(_xlpm._参照先&amp;_xlpm._戻り範囲)
          )
        )
      )
    ),
    ""
  )
)</f>
        <v>581.9010958014926</v>
      </c>
      <c r="AP71" s="223" cm="1">
        <f t="array" aca="1" ref="AP71" ca="1">IF($C71="","",
  IFERROR(
    _xlfn.LET(
      _xlpm._対象月初,EOMONTH(AP$1,-1)+1,
      _xlpm._今月初,EOMONTH(基準データ!$C$5,-1)+1,
      IF(
        _xlpm._対象月初&gt;_xlpm._今月初,
        IF(
          OR(AO71="",AO71=0),
          "",
          AO71*AP$107
        ),
        _xlfn.LET(
          _xlpm._参照先,
            "'[在庫状況把握_43期_2025-2026.xlsx]月次報告"
            &amp;TEXT(AP$1,"YYMM")
            &amp;"'!",
          _xlpm._戻り範囲,
            IF(
              _xlpm._対象月初=_xlpm._今月初,
              "$AG$1:$AG$300",
              "$G$1:$G$300"
            ),
          _xlfn.XLOOKUP(
            $C71,
            INDIRECT(_xlpm._参照先&amp;"$C$1:$C$300"),
            INDIRECT(_xlpm._参照先&amp;_xlpm._戻り範囲)
          )
        )
      )
    ),
    ""
  )
)</f>
        <v>626.64485102463914</v>
      </c>
      <c r="AQ71" s="223" cm="1">
        <f t="array" aca="1" ref="AQ71" ca="1">IF($C71="","",
  IFERROR(
    _xlfn.LET(
      _xlpm._対象月初,EOMONTH(AQ$1,-1)+1,
      _xlpm._今月初,EOMONTH(基準データ!$C$5,-1)+1,
      IF(
        _xlpm._対象月初&gt;_xlpm._今月初,
        IF(
          OR(AP71="",AP71=0),
          "",
          AP71*AQ$107
        ),
        _xlfn.LET(
          _xlpm._参照先,
            "'[在庫状況把握_43期_2025-2026.xlsx]月次報告"
            &amp;TEXT(AQ$1,"YYMM")
            &amp;"'!",
          _xlpm._戻り範囲,
            IF(
              _xlpm._対象月初=_xlpm._今月初,
              "$AG$1:$AG$300",
              "$G$1:$G$300"
            ),
          _xlfn.XLOOKUP(
            $C71,
            INDIRECT(_xlpm._参照先&amp;"$C$1:$C$300"),
            INDIRECT(_xlpm._参照先&amp;_xlpm._戻り範囲)
          )
        )
      )
    ),
    ""
  )
)</f>
        <v>648.54596532176606</v>
      </c>
      <c r="AR71" s="223" cm="1">
        <f t="array" aca="1" ref="AR71" ca="1">IF($C71="","",
  IFERROR(
    _xlfn.LET(
      _xlpm._対象月初,EOMONTH(AR$1,-1)+1,
      _xlpm._今月初,EOMONTH(基準データ!$C$5,-1)+1,
      IF(
        _xlpm._対象月初&gt;_xlpm._今月初,
        IF(
          OR(AQ71="",AQ71=0),
          "",
          AQ71*AR$107
        ),
        _xlfn.LET(
          _xlpm._参照先,
            "'[在庫状況把握_43期_2025-2026.xlsx]月次報告"
            &amp;TEXT(AR$1,"YYMM")
            &amp;"'!",
          _xlpm._戻り範囲,
            IF(
              _xlpm._対象月初=_xlpm._今月初,
              "$AG$1:$AG$300",
              "$G$1:$G$300"
            ),
          _xlfn.XLOOKUP(
            $C71,
            INDIRECT(_xlpm._参照先&amp;"$C$1:$C$300"),
            INDIRECT(_xlpm._参照先&amp;_xlpm._戻り範囲)
          )
        )
      )
    ),
    ""
  )
)</f>
        <v>955.91016993238577</v>
      </c>
      <c r="AS71" s="223" cm="1">
        <f t="array" aca="1" ref="AS71" ca="1">IF($C71="","",
  IFERROR(
    _xlfn.LET(
      _xlpm._対象月初,EOMONTH(AS$1,-1)+1,
      _xlpm._今月初,EOMONTH(基準データ!$C$5,-1)+1,
      IF(
        _xlpm._対象月初&gt;_xlpm._今月初,
        IF(
          OR(AR71="",AR71=0),
          "",
          AR71*AS$107
        ),
        _xlfn.LET(
          _xlpm._参照先,
            "'[在庫状況把握_43期_2025-2026.xlsx]月次報告"
            &amp;TEXT(AS$1,"YYMM")
            &amp;"'!",
          _xlpm._戻り範囲,
            IF(
              _xlpm._対象月初=_xlpm._今月初,
              "$AG$1:$AG$300",
              "$G$1:$G$300"
            ),
          _xlfn.XLOOKUP(
            $C71,
            INDIRECT(_xlpm._参照先&amp;"$C$1:$C$300"),
            INDIRECT(_xlpm._参照先&amp;_xlpm._戻り範囲)
          )
        )
      )
    ),
    ""
  )
)</f>
        <v>824.92037310639591</v>
      </c>
      <c r="AT71" s="223" cm="1">
        <f t="array" aca="1" ref="AT71" ca="1">IF($C71="","",
  IFERROR(
    _xlfn.LET(
      _xlpm._対象月初,EOMONTH(AT$1,-1)+1,
      _xlpm._今月初,EOMONTH(基準データ!$C$5,-1)+1,
      IF(
        _xlpm._対象月初&gt;_xlpm._今月初,
        IF(
          OR(AS71="",AS71=0),
          "",
          AS71*AT$107
        ),
        _xlfn.LET(
          _xlpm._参照先,
            "'[在庫状況把握_43期_2025-2026.xlsx]月次報告"
            &amp;TEXT(AT$1,"YYMM")
            &amp;"'!",
          _xlpm._戻り範囲,
            IF(
              _xlpm._対象月初=_xlpm._今月初,
              "$AG$1:$AG$300",
              "$G$1:$G$300"
            ),
          _xlfn.XLOOKUP(
            $C71,
            INDIRECT(_xlpm._参照先&amp;"$C$1:$C$300"),
            INDIRECT(_xlpm._参照先&amp;_xlpm._戻り範囲)
          )
        )
      )
    ),
    ""
  )
)</f>
        <v>777.74529558539973</v>
      </c>
      <c r="AU71" s="223" cm="1">
        <f t="array" aca="1" ref="AU71" ca="1">IF($C71="","",
  IFERROR(
    _xlfn.LET(
      _xlpm._対象月初,EOMONTH(AU$1,-1)+1,
      _xlpm._今月初,EOMONTH(基準データ!$C$5,-1)+1,
      IF(
        _xlpm._対象月初&gt;_xlpm._今月初,
        IF(
          OR(AT71="",AT71=0),
          "",
          AT71*AU$107
        ),
        _xlfn.LET(
          _xlpm._参照先,
            "'[在庫状況把握_43期_2025-2026.xlsx]月次報告"
            &amp;TEXT(AU$1,"YYMM")
            &amp;"'!",
          _xlpm._戻り範囲,
            IF(
              _xlpm._対象月初=_xlpm._今月初,
              "$AG$1:$AG$300",
              "$G$1:$G$300"
            ),
          _xlfn.XLOOKUP(
            $C71,
            INDIRECT(_xlpm._参照先&amp;"$C$1:$C$300"),
            INDIRECT(_xlpm._参照先&amp;_xlpm._戻り範囲)
          )
        )
      )
    ),
    ""
  )
)</f>
        <v>1149.3709058014524</v>
      </c>
      <c r="AV71" s="223" cm="1">
        <f t="array" aca="1" ref="AV71" ca="1">IF($C71="","",
  IFERROR(
    _xlfn.LET(
      _xlpm._対象月初,EOMONTH(AV$1,-1)+1,
      _xlpm._今月初,EOMONTH(基準データ!$C$5,-1)+1,
      IF(
        _xlpm._対象月初&gt;_xlpm._今月初,
        IF(
          OR(AU71="",AU71=0),
          "",
          AU71*AV$107
        ),
        _xlfn.LET(
          _xlpm._参照先,
            "'[在庫状況把握_43期_2025-2026.xlsx]月次報告"
            &amp;TEXT(AV$1,"YYMM")
            &amp;"'!",
          _xlpm._戻り範囲,
            IF(
              _xlpm._対象月初=_xlpm._今月初,
              "$AG$1:$AG$300",
              "$G$1:$G$300"
            ),
          _xlfn.XLOOKUP(
            $C71,
            INDIRECT(_xlpm._参照先&amp;"$C$1:$C$300"),
            INDIRECT(_xlpm._参照先&amp;_xlpm._戻り範囲)
          )
        )
      )
    ),
    ""
  )
)</f>
        <v>705.75061827249738</v>
      </c>
      <c r="AW71" s="223" cm="1">
        <f t="array" aca="1" ref="AW71" ca="1">IF($C71="","",
  IFERROR(
    _xlfn.LET(
      _xlpm._対象月初,EOMONTH(AW$1,-1)+1,
      _xlpm._今月初,EOMONTH(基準データ!$C$5,-1)+1,
      IF(
        _xlpm._対象月初&gt;_xlpm._今月初,
        IF(
          OR(AV71="",AV71=0),
          "",
          AV71*AW$107
        ),
        _xlfn.LET(
          _xlpm._参照先,
            "'[在庫状況把握_43期_2025-2026.xlsx]月次報告"
            &amp;TEXT(AW$1,"YYMM")
            &amp;"'!",
          _xlpm._戻り範囲,
            IF(
              _xlpm._対象月初=_xlpm._今月初,
              "$AG$1:$AG$300",
              "$G$1:$G$300"
            ),
          _xlfn.XLOOKUP(
            $C71,
            INDIRECT(_xlpm._参照先&amp;"$C$1:$C$300"),
            INDIRECT(_xlpm._参照先&amp;_xlpm._戻り範囲)
          )
        )
      )
    ),
    ""
  )
)</f>
        <v>511.83173508210507</v>
      </c>
      <c r="AX71" s="223" cm="1">
        <f t="array" aca="1" ref="AX71" ca="1">IF($C71="","",
  IFERROR(
    _xlfn.LET(
      _xlpm._対象月初,EOMONTH(AX$1,-1)+1,
      _xlpm._今月初,EOMONTH(基準データ!$C$5,-1)+1,
      IF(
        _xlpm._対象月初&gt;_xlpm._今月初,
        IF(
          OR(AW71="",AW71=0),
          "",
          AW71*AX$107
        ),
        _xlfn.LET(
          _xlpm._参照先,
            "'[在庫状況把握_43期_2025-2026.xlsx]月次報告"
            &amp;TEXT(AX$1,"YYMM")
            &amp;"'!",
          _xlpm._戻り範囲,
            IF(
              _xlpm._対象月初=_xlpm._今月初,
              "$AG$1:$AG$300",
              "$G$1:$G$300"
            ),
          _xlfn.XLOOKUP(
            $C71,
            INDIRECT(_xlpm._参照先&amp;"$C$1:$C$300"),
            INDIRECT(_xlpm._参照先&amp;_xlpm._戻り範囲)
          )
        )
      )
    ),
    ""
  )
)</f>
        <v>533.69195790043489</v>
      </c>
      <c r="AY71" s="223" cm="1">
        <f t="array" aca="1" ref="AY71" ca="1">IF($C71="","",
  IFERROR(
    _xlfn.LET(
      _xlpm._対象月初,EOMONTH(AY$1,-1)+1,
      _xlpm._今月初,EOMONTH(基準データ!$C$5,-1)+1,
      IF(
        _xlpm._対象月初&gt;_xlpm._今月初,
        IF(
          OR(AX71="",AX71=0),
          "",
          AX71*AY$107
        ),
        _xlfn.LET(
          _xlpm._参照先,
            "'[在庫状況把握_43期_2025-2026.xlsx]月次報告"
            &amp;TEXT(AY$1,"YYMM")
            &amp;"'!",
          _xlpm._戻り範囲,
            IF(
              _xlpm._対象月初=_xlpm._今月初,
              "$AG$1:$AG$300",
              "$G$1:$G$300"
            ),
          _xlfn.XLOOKUP(
            $C71,
            INDIRECT(_xlpm._参照先&amp;"$C$1:$C$300"),
            INDIRECT(_xlpm._参照先&amp;_xlpm._戻り範囲)
          )
        )
      )
    ),
    ""
  )
)</f>
        <v>585.67857142857144</v>
      </c>
      <c r="AZ71" s="223" cm="1">
        <f t="array" aca="1" ref="AZ71" ca="1">IF($C71="","",
  IFERROR(
    _xlfn.LET(
      _xlpm._対象月初,EOMONTH(AZ$1,-1)+1,
      _xlpm._今月初,EOMONTH(基準データ!$C$5,-1)+1,
      IF(
        _xlpm._対象月初&gt;_xlpm._今月初,
        IF(
          OR(AY71="",AY71=0),
          "",
          AY71*AZ$107
        ),
        _xlfn.LET(
          _xlpm._参照先,
            "'[在庫状況把握_43期_2025-2026.xlsx]月次報告"
            &amp;TEXT(AZ$1,"YYMM")
            &amp;"'!",
          _xlpm._戻り範囲,
            IF(
              _xlpm._対象月初=_xlpm._今月初,
              "$AG$1:$AG$300",
              "$G$1:$G$300"
            ),
          _xlfn.XLOOKUP(
            $C71,
            INDIRECT(_xlpm._参照先&amp;"$C$1:$C$300"),
            INDIRECT(_xlpm._参照先&amp;_xlpm._戻り範囲)
          )
        )
      )
    ),
    ""
  )
)</f>
        <v>538.68320046066879</v>
      </c>
      <c r="BA71" s="223" cm="1">
        <f t="array" aca="1" ref="BA71" ca="1">IF($C71="","",
  IFERROR(
    _xlfn.LET(
      _xlpm._対象月初,EOMONTH(BA$1,-1)+1,
      _xlpm._今月初,EOMONTH(基準データ!$C$5,-1)+1,
      IF(
        _xlpm._対象月初&gt;_xlpm._今月初,
        IF(
          OR(AZ71="",AZ71=0),
          "",
          AZ71*BA$107
        ),
        _xlfn.LET(
          _xlpm._参照先,
            "'[在庫状況把握_43期_2025-2026.xlsx]月次報告"
            &amp;TEXT(BA$1,"YYMM")
            &amp;"'!",
          _xlpm._戻り範囲,
            IF(
              _xlpm._対象月初=_xlpm._今月初,
              "$AG$1:$AG$300",
              "$G$1:$G$300"
            ),
          _xlfn.XLOOKUP(
            $C71,
            INDIRECT(_xlpm._参照先&amp;"$C$1:$C$300"),
            INDIRECT(_xlpm._参照先&amp;_xlpm._戻り範囲)
          )
        )
      )
    ),
    ""
  )
)</f>
        <v>581.9010958014926</v>
      </c>
      <c r="BB71" s="223" cm="1">
        <f t="array" aca="1" ref="BB71" ca="1">IF($C71="","",
  IFERROR(
    _xlfn.LET(
      _xlpm._対象月初,EOMONTH(BB$1,-1)+1,
      _xlpm._今月初,EOMONTH(基準データ!$C$5,-1)+1,
      IF(
        _xlpm._対象月初&gt;_xlpm._今月初,
        IF(
          OR(BA71="",BA71=0),
          "",
          BA71*BB$107
        ),
        _xlfn.LET(
          _xlpm._参照先,
            "'[在庫状況把握_43期_2025-2026.xlsx]月次報告"
            &amp;TEXT(BB$1,"YYMM")
            &amp;"'!",
          _xlpm._戻り範囲,
            IF(
              _xlpm._対象月初=_xlpm._今月初,
              "$AG$1:$AG$300",
              "$G$1:$G$300"
            ),
          _xlfn.XLOOKUP(
            $C71,
            INDIRECT(_xlpm._参照先&amp;"$C$1:$C$300"),
            INDIRECT(_xlpm._参照先&amp;_xlpm._戻り範囲)
          )
        )
      )
    ),
    ""
  )
)</f>
        <v>626.64485102463914</v>
      </c>
      <c r="BC71" s="223" cm="1">
        <f t="array" aca="1" ref="BC71" ca="1">IF($C71="","",
  IFERROR(
    _xlfn.LET(
      _xlpm._対象月初,EOMONTH(BC$1,-1)+1,
      _xlpm._今月初,EOMONTH(基準データ!$C$5,-1)+1,
      IF(
        _xlpm._対象月初&gt;_xlpm._今月初,
        IF(
          OR(BB71="",BB71=0),
          "",
          BB71*BC$107
        ),
        _xlfn.LET(
          _xlpm._参照先,
            "'[在庫状況把握_43期_2025-2026.xlsx]月次報告"
            &amp;TEXT(BC$1,"YYMM")
            &amp;"'!",
          _xlpm._戻り範囲,
            IF(
              _xlpm._対象月初=_xlpm._今月初,
              "$AG$1:$AG$300",
              "$G$1:$G$300"
            ),
          _xlfn.XLOOKUP(
            $C71,
            INDIRECT(_xlpm._参照先&amp;"$C$1:$C$300"),
            INDIRECT(_xlpm._参照先&amp;_xlpm._戻り範囲)
          )
        )
      )
    ),
    ""
  )
)</f>
        <v>648.54596532176606</v>
      </c>
      <c r="BD71" s="223" cm="1">
        <f t="array" aca="1" ref="BD71" ca="1">IF($C71="","",
  IFERROR(
    _xlfn.LET(
      _xlpm._対象月初,EOMONTH(BD$1,-1)+1,
      _xlpm._今月初,EOMONTH(基準データ!$C$5,-1)+1,
      IF(
        _xlpm._対象月初&gt;_xlpm._今月初,
        IF(
          OR(BC71="",BC71=0),
          "",
          BC71*BD$107
        ),
        _xlfn.LET(
          _xlpm._参照先,
            "'[在庫状況把握_43期_2025-2026.xlsx]月次報告"
            &amp;TEXT(BD$1,"YYMM")
            &amp;"'!",
          _xlpm._戻り範囲,
            IF(
              _xlpm._対象月初=_xlpm._今月初,
              "$AG$1:$AG$300",
              "$G$1:$G$300"
            ),
          _xlfn.XLOOKUP(
            $C71,
            INDIRECT(_xlpm._参照先&amp;"$C$1:$C$300"),
            INDIRECT(_xlpm._参照先&amp;_xlpm._戻り範囲)
          )
        )
      )
    ),
    ""
  )
)</f>
        <v>955.91016993238577</v>
      </c>
    </row>
    <row r="72" spans="1:56" ht="18.75" customHeight="1">
      <c r="A72" s="1070" t="s">
        <v>1651</v>
      </c>
      <c r="B72" s="300" t="str">
        <v>CLE-NL55-1335U-UMA-L6-TPM DDR5 TW</v>
      </c>
      <c r="C72" s="194" t="s">
        <v>653</v>
      </c>
      <c r="D72" s="194" t="s">
        <v>1409</v>
      </c>
      <c r="E72" s="68" t="s">
        <v>1410</v>
      </c>
      <c r="F72" s="195"/>
      <c r="G72" s="38">
        <v>833</v>
      </c>
      <c r="H72" s="109" cm="1">
        <f t="array" aca="1" ref="H72" ca="1">_xlfn.LET(_xlpm._来月から4ヶ月計画合計,
  SUM(
    OFFSET($A72,0,
      MATCH(
        EDATE(基準データ!$C$5,3),$A$1:$BF$1,1
      )-3,1,4)),
_xlpm._今月計画数,
INDEX($A$1:$BE$223,
  ROW(),
  MATCH(EOMONTH(基準データ!$C$5,-1)+1,$A$1:$BE$1,0)
),
  IFERROR(IF($B72="","",_xlpm._来月から4ヶ月計画合計+_xlpm._今月計画数/2),""
)
)</f>
        <v>243.95745013137412</v>
      </c>
      <c r="I72" s="319"/>
      <c r="J72" s="319"/>
      <c r="K72" s="319"/>
      <c r="L72" s="320"/>
      <c r="M72" s="311"/>
      <c r="N72" s="311"/>
      <c r="O72" s="311"/>
      <c r="P72" s="311"/>
      <c r="Q72" s="298"/>
      <c r="R72" s="219"/>
      <c r="S72" s="219"/>
      <c r="T72" s="219"/>
      <c r="U72" s="219">
        <v>60</v>
      </c>
      <c r="V72" s="219">
        <v>48</v>
      </c>
      <c r="W72" s="333">
        <v>95</v>
      </c>
      <c r="X72" s="333">
        <v>75</v>
      </c>
      <c r="Y72" s="333">
        <v>30</v>
      </c>
      <c r="Z72" s="219">
        <v>57</v>
      </c>
      <c r="AA72" s="219">
        <v>120</v>
      </c>
      <c r="AB72" s="219">
        <v>113</v>
      </c>
      <c r="AC72" s="224">
        <v>43</v>
      </c>
      <c r="AD72" s="224" t="s">
        <v>21</v>
      </c>
      <c r="AE72" s="223" t="s">
        <v>21</v>
      </c>
      <c r="AF72" s="223" t="s">
        <v>21</v>
      </c>
      <c r="AG72" s="223">
        <v>0</v>
      </c>
      <c r="AH72" s="223">
        <v>0</v>
      </c>
      <c r="AI72" s="223">
        <v>0</v>
      </c>
      <c r="AJ72" s="223">
        <v>0</v>
      </c>
      <c r="AK72" s="223">
        <v>0</v>
      </c>
      <c r="AL72" s="223" cm="1">
        <f t="array" aca="1" ref="AL72" ca="1">IF($C72="","",
  IFERROR(
    _xlfn.LET(
      _xlpm._対象月初,EOMONTH(AL$1,-1)+1,
      _xlpm._今月初,EOMONTH(基準データ!$C$5,-1)+1,
      IF(
        _xlpm._対象月初&gt;_xlpm._今月初,
        IF(
          OR(AK72="",AK72=0),
          "",
          AK72*AL$107
        ),
        _xlfn.LET(
          _xlpm._参照先,
            "'[在庫状況把握_43期_2025-2026.xlsx]月次報告"
            &amp;TEXT(AL$1,"YYMM")
            &amp;"'!",
          _xlpm._戻り範囲,
            IF(
              _xlpm._対象月初=_xlpm._今月初,
              "$AG$1:$AG$300",
              "$G$1:$G$300"
            ),
          _xlfn.XLOOKUP(
            $C72,
            INDIRECT(_xlpm._参照先&amp;"$C$1:$C$300"),
            INDIRECT(_xlpm._参照先&amp;_xlpm._戻り範囲)
          )
        )
      )
    ),
    ""
  )
)</f>
        <v>59</v>
      </c>
      <c r="AM72" s="223" cm="1">
        <f t="array" aca="1" ref="AM72" ca="1">IF($C72="","",
  IFERROR(
    _xlfn.LET(
      _xlpm._対象月初,EOMONTH(AM$1,-1)+1,
      _xlpm._今月初,EOMONTH(基準データ!$C$5,-1)+1,
      IF(
        _xlpm._対象月初&gt;_xlpm._今月初,
        IF(
          OR(AL72="",AL72=0),
          "",
          AL72*AM$107
        ),
        _xlfn.LET(
          _xlpm._参照先,
            "'[在庫状況把握_43期_2025-2026.xlsx]月次報告"
            &amp;TEXT(AM$1,"YYMM")
            &amp;"'!",
          _xlpm._戻り範囲,
            IF(
              _xlpm._対象月初=_xlpm._今月初,
              "$AG$1:$AG$300",
              "$G$1:$G$300"
            ),
          _xlfn.XLOOKUP(
            $C72,
            INDIRECT(_xlpm._参照先&amp;"$C$1:$C$300"),
            INDIRECT(_xlpm._参照先&amp;_xlpm._戻り範囲)
          )
        )
      )
    ),
    ""
  )
)</f>
        <v>53.142857142857139</v>
      </c>
      <c r="AN72" s="223" cm="1">
        <f t="array" aca="1" ref="AN72" ca="1">IF($C72="","",
  IFERROR(
    _xlfn.LET(
      _xlpm._対象月初,EOMONTH(AN$1,-1)+1,
      _xlpm._今月初,EOMONTH(基準データ!$C$5,-1)+1,
      IF(
        _xlpm._対象月初&gt;_xlpm._今月初,
        IF(
          OR(AM72="",AM72=0),
          "",
          AM72*AN$107
        ),
        _xlfn.LET(
          _xlpm._参照先,
            "'[在庫状況把握_43期_2025-2026.xlsx]月次報告"
            &amp;TEXT(AN$1,"YYMM")
            &amp;"'!",
          _xlpm._戻り範囲,
            IF(
              _xlpm._対象月初=_xlpm._今月初,
              "$AG$1:$AG$300",
              "$G$1:$G$300"
            ),
          _xlfn.XLOOKUP(
            $C72,
            INDIRECT(_xlpm._参照先&amp;"$C$1:$C$300"),
            INDIRECT(_xlpm._参照先&amp;_xlpm._戻り範囲)
          )
        )
      )
    ),
    ""
  )
)</f>
        <v>48.878626884900001</v>
      </c>
      <c r="AO72" s="223" cm="1">
        <f t="array" aca="1" ref="AO72" ca="1">IF($C72="","",
  IFERROR(
    _xlfn.LET(
      _xlpm._対象月初,EOMONTH(AO$1,-1)+1,
      _xlpm._今月初,EOMONTH(基準データ!$C$5,-1)+1,
      IF(
        _xlpm._対象月初&gt;_xlpm._今月初,
        IF(
          OR(AN72="",AN72=0),
          "",
          AN72*AO$107
        ),
        _xlfn.LET(
          _xlpm._参照先,
            "'[在庫状況把握_43期_2025-2026.xlsx]月次報告"
            &amp;TEXT(AO$1,"YYMM")
            &amp;"'!",
          _xlpm._戻り範囲,
            IF(
              _xlpm._対象月初=_xlpm._今月初,
              "$AG$1:$AG$300",
              "$G$1:$G$300"
            ),
          _xlfn.XLOOKUP(
            $C72,
            INDIRECT(_xlpm._参照先&amp;"$C$1:$C$300"),
            INDIRECT(_xlpm._参照先&amp;_xlpm._戻り範囲)
          )
        )
      )
    ),
    ""
  )
)</f>
        <v>52.800099430003108</v>
      </c>
      <c r="AP72" s="223" cm="1">
        <f t="array" aca="1" ref="AP72" ca="1">IF($C72="","",
  IFERROR(
    _xlfn.LET(
      _xlpm._対象月初,EOMONTH(AP$1,-1)+1,
      _xlpm._今月初,EOMONTH(基準データ!$C$5,-1)+1,
      IF(
        _xlpm._対象月初&gt;_xlpm._今月初,
        IF(
          OR(AO72="",AO72=0),
          "",
          AO72*AP$107
        ),
        _xlfn.LET(
          _xlpm._参照先,
            "'[在庫状況把握_43期_2025-2026.xlsx]月次報告"
            &amp;TEXT(AP$1,"YYMM")
            &amp;"'!",
          _xlpm._戻り範囲,
            IF(
              _xlpm._対象月初=_xlpm._今月初,
              "$AG$1:$AG$300",
              "$G$1:$G$300"
            ),
          _xlfn.XLOOKUP(
            $C72,
            INDIRECT(_xlpm._参照先&amp;"$C$1:$C$300"),
            INDIRECT(_xlpm._参照先&amp;_xlpm._戻り範囲)
          )
        )
      )
    ),
    ""
  )
)</f>
        <v>56.860024289570276</v>
      </c>
      <c r="AQ72" s="223" cm="1">
        <f t="array" aca="1" ref="AQ72" ca="1">IF($C72="","",
  IFERROR(
    _xlfn.LET(
      _xlpm._対象月初,EOMONTH(AQ$1,-1)+1,
      _xlpm._今月初,EOMONTH(基準データ!$C$5,-1)+1,
      IF(
        _xlpm._対象月初&gt;_xlpm._今月初,
        IF(
          OR(AP72="",AP72=0),
          "",
          AP72*AQ$107
        ),
        _xlfn.LET(
          _xlpm._参照先,
            "'[在庫状況把握_43期_2025-2026.xlsx]月次報告"
            &amp;TEXT(AQ$1,"YYMM")
            &amp;"'!",
          _xlpm._戻り範囲,
            IF(
              _xlpm._対象月初=_xlpm._今月初,
              "$AG$1:$AG$300",
              "$G$1:$G$300"
            ),
          _xlfn.XLOOKUP(
            $C72,
            INDIRECT(_xlpm._参照先&amp;"$C$1:$C$300"),
            INDIRECT(_xlpm._参照先&amp;_xlpm._戻り範囲)
          )
        )
      )
    ),
    ""
  )
)</f>
        <v>58.847270955472148</v>
      </c>
      <c r="AR72" s="223" cm="1">
        <f t="array" aca="1" ref="AR72" ca="1">IF($C72="","",
  IFERROR(
    _xlfn.LET(
      _xlpm._対象月初,EOMONTH(AR$1,-1)+1,
      _xlpm._今月初,EOMONTH(基準データ!$C$5,-1)+1,
      IF(
        _xlpm._対象月初&gt;_xlpm._今月初,
        IF(
          OR(AQ72="",AQ72=0),
          "",
          AQ72*AR$107
        ),
        _xlfn.LET(
          _xlpm._参照先,
            "'[在庫状況把握_43期_2025-2026.xlsx]月次報告"
            &amp;TEXT(AR$1,"YYMM")
            &amp;"'!",
          _xlpm._戻り範囲,
            IF(
              _xlpm._対象月初=_xlpm._今月初,
              "$AG$1:$AG$300",
              "$G$1:$G$300"
            ),
          _xlfn.XLOOKUP(
            $C72,
            INDIRECT(_xlpm._参照先&amp;"$C$1:$C$300"),
            INDIRECT(_xlpm._参照先&amp;_xlpm._戻り範囲)
          )
        )
      )
    ),
    ""
  )
)</f>
        <v>86.736650579876198</v>
      </c>
      <c r="AS72" s="223" cm="1">
        <f t="array" aca="1" ref="AS72" ca="1">IF($C72="","",
  IFERROR(
    _xlfn.LET(
      _xlpm._対象月初,EOMONTH(AS$1,-1)+1,
      _xlpm._今月初,EOMONTH(基準データ!$C$5,-1)+1,
      IF(
        _xlpm._対象月初&gt;_xlpm._今月初,
        IF(
          OR(AR72="",AR72=0),
          "",
          AR72*AS$107
        ),
        _xlfn.LET(
          _xlpm._参照先,
            "'[在庫状況把握_43期_2025-2026.xlsx]月次報告"
            &amp;TEXT(AS$1,"YYMM")
            &amp;"'!",
          _xlpm._戻り範囲,
            IF(
              _xlpm._対象月初=_xlpm._今月初,
              "$AG$1:$AG$300",
              "$G$1:$G$300"
            ),
          _xlfn.XLOOKUP(
            $C72,
            INDIRECT(_xlpm._参照先&amp;"$C$1:$C$300"),
            INDIRECT(_xlpm._参照先&amp;_xlpm._戻り範囲)
          )
        )
      )
    ),
    ""
  )
)</f>
        <v>74.850997937820409</v>
      </c>
      <c r="AT72" s="223" cm="1">
        <f t="array" aca="1" ref="AT72" ca="1">IF($C72="","",
  IFERROR(
    _xlfn.LET(
      _xlpm._対象月初,EOMONTH(AT$1,-1)+1,
      _xlpm._今月初,EOMONTH(基準データ!$C$5,-1)+1,
      IF(
        _xlpm._対象月初&gt;_xlpm._今月初,
        IF(
          OR(AS72="",AS72=0),
          "",
          AS72*AT$107
        ),
        _xlfn.LET(
          _xlpm._参照先,
            "'[在庫状況把握_43期_2025-2026.xlsx]月次報告"
            &amp;TEXT(AT$1,"YYMM")
            &amp;"'!",
          _xlpm._戻り範囲,
            IF(
              _xlpm._対象月初=_xlpm._今月初,
              "$AG$1:$AG$300",
              "$G$1:$G$300"
            ),
          _xlfn.XLOOKUP(
            $C72,
            INDIRECT(_xlpm._参照先&amp;"$C$1:$C$300"),
            INDIRECT(_xlpm._参照先&amp;_xlpm._戻り範囲)
          )
        )
      )
    ),
    ""
  )
)</f>
        <v>70.570461603212067</v>
      </c>
      <c r="AU72" s="223" cm="1">
        <f t="array" aca="1" ref="AU72" ca="1">IF($C72="","",
  IFERROR(
    _xlfn.LET(
      _xlpm._対象月初,EOMONTH(AU$1,-1)+1,
      _xlpm._今月初,EOMONTH(基準データ!$C$5,-1)+1,
      IF(
        _xlpm._対象月初&gt;_xlpm._今月初,
        IF(
          OR(AT72="",AT72=0),
          "",
          AT72*AU$107
        ),
        _xlfn.LET(
          _xlpm._参照先,
            "'[在庫状況把握_43期_2025-2026.xlsx]月次報告"
            &amp;TEXT(AU$1,"YYMM")
            &amp;"'!",
          _xlpm._戻り範囲,
            IF(
              _xlpm._対象月初=_xlpm._今月初,
              "$AG$1:$AG$300",
              "$G$1:$G$300"
            ),
          _xlfn.XLOOKUP(
            $C72,
            INDIRECT(_xlpm._参照先&amp;"$C$1:$C$300"),
            INDIRECT(_xlpm._参照先&amp;_xlpm._戻り範囲)
          )
        )
      )
    ),
    ""
  )
)</f>
        <v>104.29074381563272</v>
      </c>
      <c r="AV72" s="223" cm="1">
        <f t="array" aca="1" ref="AV72" ca="1">IF($C72="","",
  IFERROR(
    _xlfn.LET(
      _xlpm._対象月初,EOMONTH(AV$1,-1)+1,
      _xlpm._今月初,EOMONTH(基準データ!$C$5,-1)+1,
      IF(
        _xlpm._対象月初&gt;_xlpm._今月初,
        IF(
          OR(AU72="",AU72=0),
          "",
          AU72*AV$107
        ),
        _xlfn.LET(
          _xlpm._参照先,
            "'[在庫状況把握_43期_2025-2026.xlsx]月次報告"
            &amp;TEXT(AV$1,"YYMM")
            &amp;"'!",
          _xlpm._戻り範囲,
            IF(
              _xlpm._対象月初=_xlpm._今月初,
              "$AG$1:$AG$300",
              "$G$1:$G$300"
            ),
          _xlfn.XLOOKUP(
            $C72,
            INDIRECT(_xlpm._参照先&amp;"$C$1:$C$300"),
            INDIRECT(_xlpm._参照先&amp;_xlpm._戻り範囲)
          )
        )
      )
    ),
    ""
  )
)</f>
        <v>64.037863283704866</v>
      </c>
      <c r="AW72" s="223" cm="1">
        <f t="array" aca="1" ref="AW72" ca="1">IF($C72="","",
  IFERROR(
    _xlfn.LET(
      _xlpm._対象月初,EOMONTH(AW$1,-1)+1,
      _xlpm._今月初,EOMONTH(基準データ!$C$5,-1)+1,
      IF(
        _xlpm._対象月初&gt;_xlpm._今月初,
        IF(
          OR(AV72="",AV72=0),
          "",
          AV72*AW$107
        ),
        _xlfn.LET(
          _xlpm._参照先,
            "'[在庫状況把握_43期_2025-2026.xlsx]月次報告"
            &amp;TEXT(AW$1,"YYMM")
            &amp;"'!",
          _xlpm._戻り範囲,
            IF(
              _xlpm._対象月初=_xlpm._今月初,
              "$AG$1:$AG$300",
              "$G$1:$G$300"
            ),
          _xlfn.XLOOKUP(
            $C72,
            INDIRECT(_xlpm._参照先&amp;"$C$1:$C$300"),
            INDIRECT(_xlpm._参照先&amp;_xlpm._戻り範囲)
          )
        )
      )
    ),
    ""
  )
)</f>
        <v>46.442199024463221</v>
      </c>
      <c r="AX72" s="223" cm="1">
        <f t="array" aca="1" ref="AX72" ca="1">IF($C72="","",
  IFERROR(
    _xlfn.LET(
      _xlpm._対象月初,EOMONTH(AX$1,-1)+1,
      _xlpm._今月初,EOMONTH(基準データ!$C$5,-1)+1,
      IF(
        _xlpm._対象月初&gt;_xlpm._今月初,
        IF(
          OR(AW72="",AW72=0),
          "",
          AW72*AX$107
        ),
        _xlfn.LET(
          _xlpm._参照先,
            "'[在庫状況把握_43期_2025-2026.xlsx]月次報告"
            &amp;TEXT(AX$1,"YYMM")
            &amp;"'!",
          _xlpm._戻り範囲,
            IF(
              _xlpm._対象月初=_xlpm._今月初,
              "$AG$1:$AG$300",
              "$G$1:$G$300"
            ),
          _xlfn.XLOOKUP(
            $C72,
            INDIRECT(_xlpm._参照先&amp;"$C$1:$C$300"),
            INDIRECT(_xlpm._参照先&amp;_xlpm._戻り範囲)
          )
        )
      )
    ),
    ""
  )
)</f>
        <v>48.425735310436444</v>
      </c>
      <c r="AY72" s="223" cm="1">
        <f t="array" aca="1" ref="AY72" ca="1">IF($C72="","",
  IFERROR(
    _xlfn.LET(
      _xlpm._対象月初,EOMONTH(AY$1,-1)+1,
      _xlpm._今月初,EOMONTH(基準データ!$C$5,-1)+1,
      IF(
        _xlpm._対象月初&gt;_xlpm._今月初,
        IF(
          OR(AX72="",AX72=0),
          "",
          AX72*AY$107
        ),
        _xlfn.LET(
          _xlpm._参照先,
            "'[在庫状況把握_43期_2025-2026.xlsx]月次報告"
            &amp;TEXT(AY$1,"YYMM")
            &amp;"'!",
          _xlpm._戻り範囲,
            IF(
              _xlpm._対象月初=_xlpm._今月初,
              "$AG$1:$AG$300",
              "$G$1:$G$300"
            ),
          _xlfn.XLOOKUP(
            $C72,
            INDIRECT(_xlpm._参照先&amp;"$C$1:$C$300"),
            INDIRECT(_xlpm._参照先&amp;_xlpm._戻り範囲)
          )
        )
      )
    ),
    ""
  )
)</f>
        <v>53.142857142857153</v>
      </c>
      <c r="AZ72" s="223" cm="1">
        <f t="array" aca="1" ref="AZ72" ca="1">IF($C72="","",
  IFERROR(
    _xlfn.LET(
      _xlpm._対象月初,EOMONTH(AZ$1,-1)+1,
      _xlpm._今月初,EOMONTH(基準データ!$C$5,-1)+1,
      IF(
        _xlpm._対象月初&gt;_xlpm._今月初,
        IF(
          OR(AY72="",AY72=0),
          "",
          AY72*AZ$107
        ),
        _xlfn.LET(
          _xlpm._参照先,
            "'[在庫状況把握_43期_2025-2026.xlsx]月次報告"
            &amp;TEXT(AZ$1,"YYMM")
            &amp;"'!",
          _xlpm._戻り範囲,
            IF(
              _xlpm._対象月初=_xlpm._今月初,
              "$AG$1:$AG$300",
              "$G$1:$G$300"
            ),
          _xlfn.XLOOKUP(
            $C72,
            INDIRECT(_xlpm._参照先&amp;"$C$1:$C$300"),
            INDIRECT(_xlpm._参照先&amp;_xlpm._戻り範囲)
          )
        )
      )
    ),
    ""
  )
)</f>
        <v>48.878626884900008</v>
      </c>
      <c r="BA72" s="223" cm="1">
        <f t="array" aca="1" ref="BA72" ca="1">IF($C72="","",
  IFERROR(
    _xlfn.LET(
      _xlpm._対象月初,EOMONTH(BA$1,-1)+1,
      _xlpm._今月初,EOMONTH(基準データ!$C$5,-1)+1,
      IF(
        _xlpm._対象月初&gt;_xlpm._今月初,
        IF(
          OR(AZ72="",AZ72=0),
          "",
          AZ72*BA$107
        ),
        _xlfn.LET(
          _xlpm._参照先,
            "'[在庫状況把握_43期_2025-2026.xlsx]月次報告"
            &amp;TEXT(BA$1,"YYMM")
            &amp;"'!",
          _xlpm._戻り範囲,
            IF(
              _xlpm._対象月初=_xlpm._今月初,
              "$AG$1:$AG$300",
              "$G$1:$G$300"
            ),
          _xlfn.XLOOKUP(
            $C72,
            INDIRECT(_xlpm._参照先&amp;"$C$1:$C$300"),
            INDIRECT(_xlpm._参照先&amp;_xlpm._戻り範囲)
          )
        )
      )
    ),
    ""
  )
)</f>
        <v>52.800099430003115</v>
      </c>
      <c r="BB72" s="223" cm="1">
        <f t="array" aca="1" ref="BB72" ca="1">IF($C72="","",
  IFERROR(
    _xlfn.LET(
      _xlpm._対象月初,EOMONTH(BB$1,-1)+1,
      _xlpm._今月初,EOMONTH(基準データ!$C$5,-1)+1,
      IF(
        _xlpm._対象月初&gt;_xlpm._今月初,
        IF(
          OR(BA72="",BA72=0),
          "",
          BA72*BB$107
        ),
        _xlfn.LET(
          _xlpm._参照先,
            "'[在庫状況把握_43期_2025-2026.xlsx]月次報告"
            &amp;TEXT(BB$1,"YYMM")
            &amp;"'!",
          _xlpm._戻り範囲,
            IF(
              _xlpm._対象月初=_xlpm._今月初,
              "$AG$1:$AG$300",
              "$G$1:$G$300"
            ),
          _xlfn.XLOOKUP(
            $C72,
            INDIRECT(_xlpm._参照先&amp;"$C$1:$C$300"),
            INDIRECT(_xlpm._参照先&amp;_xlpm._戻り範囲)
          )
        )
      )
    ),
    ""
  )
)</f>
        <v>56.860024289570283</v>
      </c>
      <c r="BC72" s="223" cm="1">
        <f t="array" aca="1" ref="BC72" ca="1">IF($C72="","",
  IFERROR(
    _xlfn.LET(
      _xlpm._対象月初,EOMONTH(BC$1,-1)+1,
      _xlpm._今月初,EOMONTH(基準データ!$C$5,-1)+1,
      IF(
        _xlpm._対象月初&gt;_xlpm._今月初,
        IF(
          OR(BB72="",BB72=0),
          "",
          BB72*BC$107
        ),
        _xlfn.LET(
          _xlpm._参照先,
            "'[在庫状況把握_43期_2025-2026.xlsx]月次報告"
            &amp;TEXT(BC$1,"YYMM")
            &amp;"'!",
          _xlpm._戻り範囲,
            IF(
              _xlpm._対象月初=_xlpm._今月初,
              "$AG$1:$AG$300",
              "$G$1:$G$300"
            ),
          _xlfn.XLOOKUP(
            $C72,
            INDIRECT(_xlpm._参照先&amp;"$C$1:$C$300"),
            INDIRECT(_xlpm._参照先&amp;_xlpm._戻り範囲)
          )
        )
      )
    ),
    ""
  )
)</f>
        <v>58.847270955472155</v>
      </c>
      <c r="BD72" s="223" cm="1">
        <f t="array" aca="1" ref="BD72" ca="1">IF($C72="","",
  IFERROR(
    _xlfn.LET(
      _xlpm._対象月初,EOMONTH(BD$1,-1)+1,
      _xlpm._今月初,EOMONTH(基準データ!$C$5,-1)+1,
      IF(
        _xlpm._対象月初&gt;_xlpm._今月初,
        IF(
          OR(BC72="",BC72=0),
          "",
          BC72*BD$107
        ),
        _xlfn.LET(
          _xlpm._参照先,
            "'[在庫状況把握_43期_2025-2026.xlsx]月次報告"
            &amp;TEXT(BD$1,"YYMM")
            &amp;"'!",
          _xlpm._戻り範囲,
            IF(
              _xlpm._対象月初=_xlpm._今月初,
              "$AG$1:$AG$300",
              "$G$1:$G$300"
            ),
          _xlfn.XLOOKUP(
            $C72,
            INDIRECT(_xlpm._参照先&amp;"$C$1:$C$300"),
            INDIRECT(_xlpm._参照先&amp;_xlpm._戻り範囲)
          )
        )
      )
    ),
    ""
  )
)</f>
        <v>86.736650579876212</v>
      </c>
    </row>
    <row r="73" spans="1:56" ht="18.75" customHeight="1">
      <c r="A73" s="1070" t="s">
        <v>1651</v>
      </c>
      <c r="B73" s="300" t="str">
        <v>CLE-NL55-1335U-UMA-L6-TPM DDR4 TW</v>
      </c>
      <c r="C73" s="194" t="s">
        <v>1658</v>
      </c>
      <c r="D73" s="194" t="s">
        <v>1409</v>
      </c>
      <c r="E73" s="68" t="s">
        <v>1410</v>
      </c>
      <c r="F73" s="195"/>
      <c r="G73" s="38">
        <v>1331</v>
      </c>
      <c r="H73" s="109" cm="1">
        <f t="array" aca="1" ref="H73" ca="1">_xlfn.LET(_xlpm._来月から4ヶ月計画合計,
  SUM(
    OFFSET($A73,0,
      MATCH(
        EDATE(基準データ!$C$5,3),$A$1:$BF$1,1
      )-3,1,4)),
_xlpm._今月計画数,
INDEX($A$1:$BE$223,
  ROW(),
  MATCH(EOMONTH(基準データ!$C$5,-1)+1,$A$1:$BE$1,0)
),
  IFERROR(IF($B73="","",_xlpm._来月から4ヶ月計画合計+_xlpm._今月計画数/2),""
)
)</f>
        <v>548.90426279559176</v>
      </c>
      <c r="I73" s="319"/>
      <c r="J73" s="319"/>
      <c r="K73" s="319"/>
      <c r="L73" s="320"/>
      <c r="M73" s="311"/>
      <c r="N73" s="311"/>
      <c r="O73" s="311"/>
      <c r="P73" s="311"/>
      <c r="Q73" s="298"/>
      <c r="R73" s="219"/>
      <c r="S73" s="219"/>
      <c r="T73" s="219"/>
      <c r="U73" s="219">
        <v>60</v>
      </c>
      <c r="V73" s="219">
        <v>48</v>
      </c>
      <c r="W73" s="333">
        <v>95</v>
      </c>
      <c r="X73" s="333">
        <v>75</v>
      </c>
      <c r="Y73" s="333">
        <v>30</v>
      </c>
      <c r="Z73" s="219">
        <v>57</v>
      </c>
      <c r="AA73" s="219">
        <v>120</v>
      </c>
      <c r="AB73" s="219">
        <v>113</v>
      </c>
      <c r="AC73" s="224">
        <v>43</v>
      </c>
      <c r="AD73" s="224" t="s">
        <v>21</v>
      </c>
      <c r="AE73" s="223" t="s">
        <v>21</v>
      </c>
      <c r="AF73" s="223" t="s">
        <v>21</v>
      </c>
      <c r="AG73" s="223">
        <v>0</v>
      </c>
      <c r="AH73" s="223">
        <v>0</v>
      </c>
      <c r="AI73" s="223">
        <v>0</v>
      </c>
      <c r="AJ73" s="223">
        <v>0</v>
      </c>
      <c r="AK73" s="223">
        <v>0</v>
      </c>
      <c r="AL73" s="223" cm="1">
        <f t="array" aca="1" ref="AL73" ca="1">IF($C73="","",
  IFERROR(
    _xlfn.LET(
      _xlpm._対象月初,EOMONTH(AL$1,-1)+1,
      _xlpm._今月初,EOMONTH(基準データ!$C$5,-1)+1,
      IF(
        _xlpm._対象月初&gt;_xlpm._今月初,
        IF(
          OR(AK73="",AK73=0),
          "",
          AK73*AL$107
        ),
        _xlfn.LET(
          _xlpm._参照先,
            "'[在庫状況把握_43期_2025-2026.xlsx]月次報告"
            &amp;TEXT(AL$1,"YYMM")
            &amp;"'!",
          _xlpm._戻り範囲,
            IF(
              _xlpm._対象月初=_xlpm._今月初,
              "$AG$1:$AG$300",
              "$G$1:$G$300"
            ),
          _xlfn.XLOOKUP(
            $C73,
            INDIRECT(_xlpm._参照先&amp;"$C$1:$C$300"),
            INDIRECT(_xlpm._参照先&amp;_xlpm._戻り範囲)
          )
        )
      )
    ),
    ""
  )
)</f>
        <v>108</v>
      </c>
      <c r="AM73" s="223" cm="1">
        <f t="array" aca="1" ref="AM73" ca="1">IF($C73="","",
  IFERROR(
    _xlfn.LET(
      _xlpm._対象月初,EOMONTH(AM$1,-1)+1,
      _xlpm._今月初,EOMONTH(基準データ!$C$5,-1)+1,
      IF(
        _xlpm._対象月初&gt;_xlpm._今月初,
        IF(
          OR(AL73="",AL73=0),
          "",
          AL73*AM$107
        ),
        _xlfn.LET(
          _xlpm._参照先,
            "'[在庫状況把握_43期_2025-2026.xlsx]月次報告"
            &amp;TEXT(AM$1,"YYMM")
            &amp;"'!",
          _xlpm._戻り範囲,
            IF(
              _xlpm._対象月初=_xlpm._今月初,
              "$AG$1:$AG$300",
              "$G$1:$G$300"
            ),
          _xlfn.XLOOKUP(
            $C73,
            INDIRECT(_xlpm._参照先&amp;"$C$1:$C$300"),
            INDIRECT(_xlpm._参照先&amp;_xlpm._戻り範囲)
          )
        )
      )
    ),
    ""
  )
)</f>
        <v>119.57142857142857</v>
      </c>
      <c r="AN73" s="223" cm="1">
        <f t="array" aca="1" ref="AN73" ca="1">IF($C73="","",
  IFERROR(
    _xlfn.LET(
      _xlpm._対象月初,EOMONTH(AN$1,-1)+1,
      _xlpm._今月初,EOMONTH(基準データ!$C$5,-1)+1,
      IF(
        _xlpm._対象月初&gt;_xlpm._今月初,
        IF(
          OR(AM73="",AM73=0),
          "",
          AM73*AN$107
        ),
        _xlfn.LET(
          _xlpm._参照先,
            "'[在庫状況把握_43期_2025-2026.xlsx]月次報告"
            &amp;TEXT(AN$1,"YYMM")
            &amp;"'!",
          _xlpm._戻り範囲,
            IF(
              _xlpm._対象月初=_xlpm._今月初,
              "$AG$1:$AG$300",
              "$G$1:$G$300"
            ),
          _xlfn.XLOOKUP(
            $C73,
            INDIRECT(_xlpm._参照先&amp;"$C$1:$C$300"),
            INDIRECT(_xlpm._参照先&amp;_xlpm._戻り範囲)
          )
        )
      )
    ),
    ""
  )
)</f>
        <v>109.97691049102501</v>
      </c>
      <c r="AO73" s="223" cm="1">
        <f t="array" aca="1" ref="AO73" ca="1">IF($C73="","",
  IFERROR(
    _xlfn.LET(
      _xlpm._対象月初,EOMONTH(AO$1,-1)+1,
      _xlpm._今月初,EOMONTH(基準データ!$C$5,-1)+1,
      IF(
        _xlpm._対象月初&gt;_xlpm._今月初,
        IF(
          OR(AN73="",AN73=0),
          "",
          AN73*AO$107
        ),
        _xlfn.LET(
          _xlpm._参照先,
            "'[在庫状況把握_43期_2025-2026.xlsx]月次報告"
            &amp;TEXT(AO$1,"YYMM")
            &amp;"'!",
          _xlpm._戻り範囲,
            IF(
              _xlpm._対象月初=_xlpm._今月初,
              "$AG$1:$AG$300",
              "$G$1:$G$300"
            ),
          _xlfn.XLOOKUP(
            $C73,
            INDIRECT(_xlpm._参照先&amp;"$C$1:$C$300"),
            INDIRECT(_xlpm._参照先&amp;_xlpm._戻り範囲)
          )
        )
      )
    ),
    ""
  )
)</f>
        <v>118.800223717507</v>
      </c>
      <c r="AP73" s="223" cm="1">
        <f t="array" aca="1" ref="AP73" ca="1">IF($C73="","",
  IFERROR(
    _xlfn.LET(
      _xlpm._対象月初,EOMONTH(AP$1,-1)+1,
      _xlpm._今月初,EOMONTH(基準データ!$C$5,-1)+1,
      IF(
        _xlpm._対象月初&gt;_xlpm._今月初,
        IF(
          OR(AO73="",AO73=0),
          "",
          AO73*AP$107
        ),
        _xlfn.LET(
          _xlpm._参照先,
            "'[在庫状況把握_43期_2025-2026.xlsx]月次報告"
            &amp;TEXT(AP$1,"YYMM")
            &amp;"'!",
          _xlpm._戻り範囲,
            IF(
              _xlpm._対象月初=_xlpm._今月初,
              "$AG$1:$AG$300",
              "$G$1:$G$300"
            ),
          _xlfn.XLOOKUP(
            $C73,
            INDIRECT(_xlpm._参照先&amp;"$C$1:$C$300"),
            INDIRECT(_xlpm._参照先&amp;_xlpm._戻り範囲)
          )
        )
      )
    ),
    ""
  )
)</f>
        <v>127.93505465153312</v>
      </c>
      <c r="AQ73" s="223" cm="1">
        <f t="array" aca="1" ref="AQ73" ca="1">IF($C73="","",
  IFERROR(
    _xlfn.LET(
      _xlpm._対象月初,EOMONTH(AQ$1,-1)+1,
      _xlpm._今月初,EOMONTH(基準データ!$C$5,-1)+1,
      IF(
        _xlpm._対象月初&gt;_xlpm._今月初,
        IF(
          OR(AP73="",AP73=0),
          "",
          AP73*AQ$107
        ),
        _xlfn.LET(
          _xlpm._参照先,
            "'[在庫状況把握_43期_2025-2026.xlsx]月次報告"
            &amp;TEXT(AQ$1,"YYMM")
            &amp;"'!",
          _xlpm._戻り範囲,
            IF(
              _xlpm._対象月初=_xlpm._今月初,
              "$AG$1:$AG$300",
              "$G$1:$G$300"
            ),
          _xlfn.XLOOKUP(
            $C73,
            INDIRECT(_xlpm._参照先&amp;"$C$1:$C$300"),
            INDIRECT(_xlpm._参照先&amp;_xlpm._戻り範囲)
          )
        )
      )
    ),
    ""
  )
)</f>
        <v>132.40635964981234</v>
      </c>
      <c r="AR73" s="223" cm="1">
        <f t="array" aca="1" ref="AR73" ca="1">IF($C73="","",
  IFERROR(
    _xlfn.LET(
      _xlpm._対象月初,EOMONTH(AR$1,-1)+1,
      _xlpm._今月初,EOMONTH(基準データ!$C$5,-1)+1,
      IF(
        _xlpm._対象月初&gt;_xlpm._今月初,
        IF(
          OR(AQ73="",AQ73=0),
          "",
          AQ73*AR$107
        ),
        _xlfn.LET(
          _xlpm._参照先,
            "'[在庫状況把握_43期_2025-2026.xlsx]月次報告"
            &amp;TEXT(AR$1,"YYMM")
            &amp;"'!",
          _xlpm._戻り範囲,
            IF(
              _xlpm._対象月初=_xlpm._今月初,
              "$AG$1:$AG$300",
              "$G$1:$G$300"
            ),
          _xlfn.XLOOKUP(
            $C73,
            INDIRECT(_xlpm._参照先&amp;"$C$1:$C$300"),
            INDIRECT(_xlpm._参照先&amp;_xlpm._戻り範囲)
          )
        )
      )
    ),
    ""
  )
)</f>
        <v>195.15746380472146</v>
      </c>
      <c r="AS73" s="223" cm="1">
        <f t="array" aca="1" ref="AS73" ca="1">IF($C73="","",
  IFERROR(
    _xlfn.LET(
      _xlpm._対象月初,EOMONTH(AS$1,-1)+1,
      _xlpm._今月初,EOMONTH(基準データ!$C$5,-1)+1,
      IF(
        _xlpm._対象月初&gt;_xlpm._今月初,
        IF(
          OR(AR73="",AR73=0),
          "",
          AR73*AS$107
        ),
        _xlfn.LET(
          _xlpm._参照先,
            "'[在庫状況把握_43期_2025-2026.xlsx]月次報告"
            &amp;TEXT(AS$1,"YYMM")
            &amp;"'!",
          _xlpm._戻り範囲,
            IF(
              _xlpm._対象月初=_xlpm._今月初,
              "$AG$1:$AG$300",
              "$G$1:$G$300"
            ),
          _xlfn.XLOOKUP(
            $C73,
            INDIRECT(_xlpm._参照先&amp;"$C$1:$C$300"),
            INDIRECT(_xlpm._参照先&amp;_xlpm._戻り範囲)
          )
        )
      )
    ),
    ""
  )
)</f>
        <v>168.41474536009594</v>
      </c>
      <c r="AT73" s="223" cm="1">
        <f t="array" aca="1" ref="AT73" ca="1">IF($C73="","",
  IFERROR(
    _xlfn.LET(
      _xlpm._対象月初,EOMONTH(AT$1,-1)+1,
      _xlpm._今月初,EOMONTH(基準データ!$C$5,-1)+1,
      IF(
        _xlpm._対象月初&gt;_xlpm._今月初,
        IF(
          OR(AS73="",AS73=0),
          "",
          AS73*AT$107
        ),
        _xlfn.LET(
          _xlpm._参照先,
            "'[在庫状況把握_43期_2025-2026.xlsx]月次報告"
            &amp;TEXT(AT$1,"YYMM")
            &amp;"'!",
          _xlpm._戻り範囲,
            IF(
              _xlpm._対象月初=_xlpm._今月初,
              "$AG$1:$AG$300",
              "$G$1:$G$300"
            ),
          _xlfn.XLOOKUP(
            $C73,
            INDIRECT(_xlpm._参照先&amp;"$C$1:$C$300"),
            INDIRECT(_xlpm._参照先&amp;_xlpm._戻り範囲)
          )
        )
      )
    ),
    ""
  )
)</f>
        <v>158.78353860722714</v>
      </c>
      <c r="AU73" s="223" cm="1">
        <f t="array" aca="1" ref="AU73" ca="1">IF($C73="","",
  IFERROR(
    _xlfn.LET(
      _xlpm._対象月初,EOMONTH(AU$1,-1)+1,
      _xlpm._今月初,EOMONTH(基準データ!$C$5,-1)+1,
      IF(
        _xlpm._対象月初&gt;_xlpm._今月初,
        IF(
          OR(AT73="",AT73=0),
          "",
          AT73*AU$107
        ),
        _xlfn.LET(
          _xlpm._参照先,
            "'[在庫状況把握_43期_2025-2026.xlsx]月次報告"
            &amp;TEXT(AU$1,"YYMM")
            &amp;"'!",
          _xlpm._戻り範囲,
            IF(
              _xlpm._対象月初=_xlpm._今月初,
              "$AG$1:$AG$300",
              "$G$1:$G$300"
            ),
          _xlfn.XLOOKUP(
            $C73,
            INDIRECT(_xlpm._参照先&amp;"$C$1:$C$300"),
            INDIRECT(_xlpm._参照先&amp;_xlpm._戻り範囲)
          )
        )
      )
    ),
    ""
  )
)</f>
        <v>234.6541735851736</v>
      </c>
      <c r="AV73" s="223" cm="1">
        <f t="array" aca="1" ref="AV73" ca="1">IF($C73="","",
  IFERROR(
    _xlfn.LET(
      _xlpm._対象月初,EOMONTH(AV$1,-1)+1,
      _xlpm._今月初,EOMONTH(基準データ!$C$5,-1)+1,
      IF(
        _xlpm._対象月初&gt;_xlpm._今月初,
        IF(
          OR(AU73="",AU73=0),
          "",
          AU73*AV$107
        ),
        _xlfn.LET(
          _xlpm._参照先,
            "'[在庫状況把握_43期_2025-2026.xlsx]月次報告"
            &amp;TEXT(AV$1,"YYMM")
            &amp;"'!",
          _xlpm._戻り範囲,
            IF(
              _xlpm._対象月初=_xlpm._今月初,
              "$AG$1:$AG$300",
              "$G$1:$G$300"
            ),
          _xlfn.XLOOKUP(
            $C73,
            INDIRECT(_xlpm._参照先&amp;"$C$1:$C$300"),
            INDIRECT(_xlpm._参照先&amp;_xlpm._戻り範囲)
          )
        )
      )
    ),
    ""
  )
)</f>
        <v>144.08519238833591</v>
      </c>
      <c r="AW73" s="223" cm="1">
        <f t="array" aca="1" ref="AW73" ca="1">IF($C73="","",
  IFERROR(
    _xlfn.LET(
      _xlpm._対象月初,EOMONTH(AW$1,-1)+1,
      _xlpm._今月初,EOMONTH(基準データ!$C$5,-1)+1,
      IF(
        _xlpm._対象月初&gt;_xlpm._今月初,
        IF(
          OR(AV73="",AV73=0),
          "",
          AV73*AW$107
        ),
        _xlfn.LET(
          _xlpm._参照先,
            "'[在庫状況把握_43期_2025-2026.xlsx]月次報告"
            &amp;TEXT(AW$1,"YYMM")
            &amp;"'!",
          _xlpm._戻り範囲,
            IF(
              _xlpm._対象月初=_xlpm._今月初,
              "$AG$1:$AG$300",
              "$G$1:$G$300"
            ),
          _xlfn.XLOOKUP(
            $C73,
            INDIRECT(_xlpm._参照先&amp;"$C$1:$C$300"),
            INDIRECT(_xlpm._参照先&amp;_xlpm._戻り範囲)
          )
        )
      )
    ),
    ""
  )
)</f>
        <v>104.49494780504222</v>
      </c>
      <c r="AX73" s="223" cm="1">
        <f t="array" aca="1" ref="AX73" ca="1">IF($C73="","",
  IFERROR(
    _xlfn.LET(
      _xlpm._対象月初,EOMONTH(AX$1,-1)+1,
      _xlpm._今月初,EOMONTH(基準データ!$C$5,-1)+1,
      IF(
        _xlpm._対象月初&gt;_xlpm._今月初,
        IF(
          OR(AW73="",AW73=0),
          "",
          AW73*AX$107
        ),
        _xlfn.LET(
          _xlpm._参照先,
            "'[在庫状況把握_43期_2025-2026.xlsx]月次報告"
            &amp;TEXT(AX$1,"YYMM")
            &amp;"'!",
          _xlpm._戻り範囲,
            IF(
              _xlpm._対象月初=_xlpm._今月初,
              "$AG$1:$AG$300",
              "$G$1:$G$300"
            ),
          _xlfn.XLOOKUP(
            $C73,
            INDIRECT(_xlpm._参照先&amp;"$C$1:$C$300"),
            INDIRECT(_xlpm._参照先&amp;_xlpm._戻り範囲)
          )
        )
      )
    ),
    ""
  )
)</f>
        <v>108.95790444848195</v>
      </c>
      <c r="AY73" s="223" cm="1">
        <f t="array" aca="1" ref="AY73" ca="1">IF($C73="","",
  IFERROR(
    _xlfn.LET(
      _xlpm._対象月初,EOMONTH(AY$1,-1)+1,
      _xlpm._今月初,EOMONTH(基準データ!$C$5,-1)+1,
      IF(
        _xlpm._対象月初&gt;_xlpm._今月初,
        IF(
          OR(AX73="",AX73=0),
          "",
          AX73*AY$107
        ),
        _xlfn.LET(
          _xlpm._参照先,
            "'[在庫状況把握_43期_2025-2026.xlsx]月次報告"
            &amp;TEXT(AY$1,"YYMM")
            &amp;"'!",
          _xlpm._戻り範囲,
            IF(
              _xlpm._対象月初=_xlpm._今月初,
              "$AG$1:$AG$300",
              "$G$1:$G$300"
            ),
          _xlfn.XLOOKUP(
            $C73,
            INDIRECT(_xlpm._参照先&amp;"$C$1:$C$300"),
            INDIRECT(_xlpm._参照先&amp;_xlpm._戻り範囲)
          )
        )
      )
    ),
    ""
  )
)</f>
        <v>119.57142857142854</v>
      </c>
      <c r="AZ73" s="223" cm="1">
        <f t="array" aca="1" ref="AZ73" ca="1">IF($C73="","",
  IFERROR(
    _xlfn.LET(
      _xlpm._対象月初,EOMONTH(AZ$1,-1)+1,
      _xlpm._今月初,EOMONTH(基準データ!$C$5,-1)+1,
      IF(
        _xlpm._対象月初&gt;_xlpm._今月初,
        IF(
          OR(AY73="",AY73=0),
          "",
          AY73*AZ$107
        ),
        _xlfn.LET(
          _xlpm._参照先,
            "'[在庫状況把握_43期_2025-2026.xlsx]月次報告"
            &amp;TEXT(AZ$1,"YYMM")
            &amp;"'!",
          _xlpm._戻り範囲,
            IF(
              _xlpm._対象月初=_xlpm._今月初,
              "$AG$1:$AG$300",
              "$G$1:$G$300"
            ),
          _xlfn.XLOOKUP(
            $C73,
            INDIRECT(_xlpm._参照先&amp;"$C$1:$C$300"),
            INDIRECT(_xlpm._参照先&amp;_xlpm._戻り範囲)
          )
        )
      )
    ),
    ""
  )
)</f>
        <v>109.97691049102498</v>
      </c>
      <c r="BA73" s="223" cm="1">
        <f t="array" aca="1" ref="BA73" ca="1">IF($C73="","",
  IFERROR(
    _xlfn.LET(
      _xlpm._対象月初,EOMONTH(BA$1,-1)+1,
      _xlpm._今月初,EOMONTH(基準データ!$C$5,-1)+1,
      IF(
        _xlpm._対象月初&gt;_xlpm._今月初,
        IF(
          OR(AZ73="",AZ73=0),
          "",
          AZ73*BA$107
        ),
        _xlfn.LET(
          _xlpm._参照先,
            "'[在庫状況把握_43期_2025-2026.xlsx]月次報告"
            &amp;TEXT(BA$1,"YYMM")
            &amp;"'!",
          _xlpm._戻り範囲,
            IF(
              _xlpm._対象月初=_xlpm._今月初,
              "$AG$1:$AG$300",
              "$G$1:$G$300"
            ),
          _xlfn.XLOOKUP(
            $C73,
            INDIRECT(_xlpm._参照先&amp;"$C$1:$C$300"),
            INDIRECT(_xlpm._参照先&amp;_xlpm._戻り範囲)
          )
        )
      )
    ),
    ""
  )
)</f>
        <v>118.80022371750697</v>
      </c>
      <c r="BB73" s="223" cm="1">
        <f t="array" aca="1" ref="BB73" ca="1">IF($C73="","",
  IFERROR(
    _xlfn.LET(
      _xlpm._対象月初,EOMONTH(BB$1,-1)+1,
      _xlpm._今月初,EOMONTH(基準データ!$C$5,-1)+1,
      IF(
        _xlpm._対象月初&gt;_xlpm._今月初,
        IF(
          OR(BA73="",BA73=0),
          "",
          BA73*BB$107
        ),
        _xlfn.LET(
          _xlpm._参照先,
            "'[在庫状況把握_43期_2025-2026.xlsx]月次報告"
            &amp;TEXT(BB$1,"YYMM")
            &amp;"'!",
          _xlpm._戻り範囲,
            IF(
              _xlpm._対象月初=_xlpm._今月初,
              "$AG$1:$AG$300",
              "$G$1:$G$300"
            ),
          _xlfn.XLOOKUP(
            $C73,
            INDIRECT(_xlpm._参照先&amp;"$C$1:$C$300"),
            INDIRECT(_xlpm._参照先&amp;_xlpm._戻り範囲)
          )
        )
      )
    ),
    ""
  )
)</f>
        <v>127.93505465153309</v>
      </c>
      <c r="BC73" s="223" cm="1">
        <f t="array" aca="1" ref="BC73" ca="1">IF($C73="","",
  IFERROR(
    _xlfn.LET(
      _xlpm._対象月初,EOMONTH(BC$1,-1)+1,
      _xlpm._今月初,EOMONTH(基準データ!$C$5,-1)+1,
      IF(
        _xlpm._対象月初&gt;_xlpm._今月初,
        IF(
          OR(BB73="",BB73=0),
          "",
          BB73*BC$107
        ),
        _xlfn.LET(
          _xlpm._参照先,
            "'[在庫状況把握_43期_2025-2026.xlsx]月次報告"
            &amp;TEXT(BC$1,"YYMM")
            &amp;"'!",
          _xlpm._戻り範囲,
            IF(
              _xlpm._対象月初=_xlpm._今月初,
              "$AG$1:$AG$300",
              "$G$1:$G$300"
            ),
          _xlfn.XLOOKUP(
            $C73,
            INDIRECT(_xlpm._参照先&amp;"$C$1:$C$300"),
            INDIRECT(_xlpm._参照先&amp;_xlpm._戻り範囲)
          )
        )
      )
    ),
    ""
  )
)</f>
        <v>132.40635964981232</v>
      </c>
      <c r="BD73" s="223" cm="1">
        <f t="array" aca="1" ref="BD73" ca="1">IF($C73="","",
  IFERROR(
    _xlfn.LET(
      _xlpm._対象月初,EOMONTH(BD$1,-1)+1,
      _xlpm._今月初,EOMONTH(基準データ!$C$5,-1)+1,
      IF(
        _xlpm._対象月初&gt;_xlpm._今月初,
        IF(
          OR(BC73="",BC73=0),
          "",
          BC73*BD$107
        ),
        _xlfn.LET(
          _xlpm._参照先,
            "'[在庫状況把握_43期_2025-2026.xlsx]月次報告"
            &amp;TEXT(BD$1,"YYMM")
            &amp;"'!",
          _xlpm._戻り範囲,
            IF(
              _xlpm._対象月初=_xlpm._今月初,
              "$AG$1:$AG$300",
              "$G$1:$G$300"
            ),
          _xlfn.XLOOKUP(
            $C73,
            INDIRECT(_xlpm._参照先&amp;"$C$1:$C$300"),
            INDIRECT(_xlpm._参照先&amp;_xlpm._戻り範囲)
          )
        )
      )
    ),
    ""
  )
)</f>
        <v>195.1574638047214</v>
      </c>
    </row>
    <row r="74" spans="1:56" ht="18.75" customHeight="1">
      <c r="A74" s="1070" t="s">
        <v>1651</v>
      </c>
      <c r="B74" s="300" t="str">
        <v>CLE-V75-125U-UMA-L6-TPM-DDR5</v>
      </c>
      <c r="C74" s="194" t="s">
        <v>1659</v>
      </c>
      <c r="D74" s="194" t="s">
        <v>1660</v>
      </c>
      <c r="E74" s="68" t="s">
        <v>1410</v>
      </c>
      <c r="F74" s="195"/>
      <c r="G74" s="38">
        <v>0</v>
      </c>
      <c r="H74" s="109" cm="1">
        <f t="array" aca="1" ref="H74" ca="1">_xlfn.LET(_xlpm._来月から4ヶ月計画合計,
  SUM(
    OFFSET($A74,0,
      MATCH(
        EDATE(基準データ!$C$5,3),$A$1:$BF$1,1
      )-3,1,4)),
_xlpm._今月計画数,
INDEX($A$1:$BE$223,
  ROW(),
  MATCH(EOMONTH(基準データ!$C$5,-1)+1,$A$1:$BE$1,0)
),
  IFERROR(IF($B74="","",_xlpm._来月から4ヶ月計画合計+_xlpm._今月計画数/2),""
)
)</f>
        <v>0</v>
      </c>
      <c r="I74" s="319"/>
      <c r="J74" s="319"/>
      <c r="K74" s="319"/>
      <c r="L74" s="320"/>
      <c r="M74" s="311"/>
      <c r="N74" s="311"/>
      <c r="O74" s="311"/>
      <c r="P74" s="311"/>
      <c r="Q74" s="298"/>
      <c r="R74" s="219"/>
      <c r="S74" s="219"/>
      <c r="T74" s="219"/>
      <c r="U74" s="219">
        <v>60</v>
      </c>
      <c r="V74" s="219">
        <v>48</v>
      </c>
      <c r="W74" s="333">
        <v>95</v>
      </c>
      <c r="X74" s="333">
        <v>75</v>
      </c>
      <c r="Y74" s="333">
        <v>30</v>
      </c>
      <c r="Z74" s="219">
        <v>57</v>
      </c>
      <c r="AA74" s="219">
        <v>120</v>
      </c>
      <c r="AB74" s="219">
        <v>113</v>
      </c>
      <c r="AC74" s="224">
        <v>43</v>
      </c>
      <c r="AD74" s="224" t="s">
        <v>21</v>
      </c>
      <c r="AE74" s="223" t="s">
        <v>21</v>
      </c>
      <c r="AF74" s="223" t="s">
        <v>21</v>
      </c>
      <c r="AG74" s="223" t="s">
        <v>21</v>
      </c>
      <c r="AH74" s="223" t="s">
        <v>21</v>
      </c>
      <c r="AI74" s="223" t="s">
        <v>21</v>
      </c>
      <c r="AJ74" s="223" t="s">
        <v>21</v>
      </c>
      <c r="AK74" s="223" t="s">
        <v>21</v>
      </c>
      <c r="AL74" s="223" cm="1">
        <f t="array" aca="1" ref="AL74" ca="1">IF($C74="","",
  IFERROR(
    _xlfn.LET(
      _xlpm._対象月初,EOMONTH(AL$1,-1)+1,
      _xlpm._今月初,EOMONTH(基準データ!$C$5,-1)+1,
      IF(
        _xlpm._対象月初&gt;_xlpm._今月初,
        IF(
          OR(AK74="",AK74=0),
          "",
          AK74*AL$107
        ),
        _xlfn.LET(
          _xlpm._参照先,
            "'[在庫状況把握_43期_2025-2026.xlsx]月次報告"
            &amp;TEXT(AL$1,"YYMM")
            &amp;"'!",
          _xlpm._戻り範囲,
            IF(
              _xlpm._対象月初=_xlpm._今月初,
              "$AG$1:$AG$300",
              "$G$1:$G$300"
            ),
          _xlfn.XLOOKUP(
            $C74,
            INDIRECT(_xlpm._参照先&amp;"$C$1:$C$300"),
            INDIRECT(_xlpm._参照先&amp;_xlpm._戻り範囲)
          )
        )
      )
    ),
    ""
  )
)</f>
        <v>0</v>
      </c>
      <c r="AM74" s="223" cm="1">
        <f t="array" aca="1" ref="AM74" ca="1">IF($C74="","",
  IFERROR(
    _xlfn.LET(
      _xlpm._対象月初,EOMONTH(AM$1,-1)+1,
      _xlpm._今月初,EOMONTH(基準データ!$C$5,-1)+1,
      IF(
        _xlpm._対象月初&gt;_xlpm._今月初,
        IF(
          OR(AL74="",AL74=0),
          "",
          AL74*AM$107
        ),
        _xlfn.LET(
          _xlpm._参照先,
            "'[在庫状況把握_43期_2025-2026.xlsx]月次報告"
            &amp;TEXT(AM$1,"YYMM")
            &amp;"'!",
          _xlpm._戻り範囲,
            IF(
              _xlpm._対象月初=_xlpm._今月初,
              "$AG$1:$AG$300",
              "$G$1:$G$300"
            ),
          _xlfn.XLOOKUP(
            $C74,
            INDIRECT(_xlpm._参照先&amp;"$C$1:$C$300"),
            INDIRECT(_xlpm._参照先&amp;_xlpm._戻り範囲)
          )
        )
      )
    ),
    ""
  )
)</f>
        <v>0</v>
      </c>
      <c r="AN74" s="223" t="str" cm="1">
        <f t="array" aca="1" ref="AN74" ca="1">IF($C74="","",
  IFERROR(
    _xlfn.LET(
      _xlpm._対象月初,EOMONTH(AN$1,-1)+1,
      _xlpm._今月初,EOMONTH(基準データ!$C$5,-1)+1,
      IF(
        _xlpm._対象月初&gt;_xlpm._今月初,
        IF(
          OR(AM74="",AM74=0),
          "",
          AM74*AN$107
        ),
        _xlfn.LET(
          _xlpm._参照先,
            "'[在庫状況把握_43期_2025-2026.xlsx]月次報告"
            &amp;TEXT(AN$1,"YYMM")
            &amp;"'!",
          _xlpm._戻り範囲,
            IF(
              _xlpm._対象月初=_xlpm._今月初,
              "$AG$1:$AG$300",
              "$G$1:$G$300"
            ),
          _xlfn.XLOOKUP(
            $C74,
            INDIRECT(_xlpm._参照先&amp;"$C$1:$C$300"),
            INDIRECT(_xlpm._参照先&amp;_xlpm._戻り範囲)
          )
        )
      )
    ),
    ""
  )
)</f>
        <v/>
      </c>
      <c r="AO74" s="223" t="str" cm="1">
        <f t="array" aca="1" ref="AO74" ca="1">IF($C74="","",
  IFERROR(
    _xlfn.LET(
      _xlpm._対象月初,EOMONTH(AO$1,-1)+1,
      _xlpm._今月初,EOMONTH(基準データ!$C$5,-1)+1,
      IF(
        _xlpm._対象月初&gt;_xlpm._今月初,
        IF(
          OR(AN74="",AN74=0),
          "",
          AN74*AO$107
        ),
        _xlfn.LET(
          _xlpm._参照先,
            "'[在庫状況把握_43期_2025-2026.xlsx]月次報告"
            &amp;TEXT(AO$1,"YYMM")
            &amp;"'!",
          _xlpm._戻り範囲,
            IF(
              _xlpm._対象月初=_xlpm._今月初,
              "$AG$1:$AG$300",
              "$G$1:$G$300"
            ),
          _xlfn.XLOOKUP(
            $C74,
            INDIRECT(_xlpm._参照先&amp;"$C$1:$C$300"),
            INDIRECT(_xlpm._参照先&amp;_xlpm._戻り範囲)
          )
        )
      )
    ),
    ""
  )
)</f>
        <v/>
      </c>
      <c r="AP74" s="223" t="str" cm="1">
        <f t="array" aca="1" ref="AP74" ca="1">IF($C74="","",
  IFERROR(
    _xlfn.LET(
      _xlpm._対象月初,EOMONTH(AP$1,-1)+1,
      _xlpm._今月初,EOMONTH(基準データ!$C$5,-1)+1,
      IF(
        _xlpm._対象月初&gt;_xlpm._今月初,
        IF(
          OR(AO74="",AO74=0),
          "",
          AO74*AP$107
        ),
        _xlfn.LET(
          _xlpm._参照先,
            "'[在庫状況把握_43期_2025-2026.xlsx]月次報告"
            &amp;TEXT(AP$1,"YYMM")
            &amp;"'!",
          _xlpm._戻り範囲,
            IF(
              _xlpm._対象月初=_xlpm._今月初,
              "$AG$1:$AG$300",
              "$G$1:$G$300"
            ),
          _xlfn.XLOOKUP(
            $C74,
            INDIRECT(_xlpm._参照先&amp;"$C$1:$C$300"),
            INDIRECT(_xlpm._参照先&amp;_xlpm._戻り範囲)
          )
        )
      )
    ),
    ""
  )
)</f>
        <v/>
      </c>
      <c r="AQ74" s="223" t="str" cm="1">
        <f t="array" aca="1" ref="AQ74" ca="1">IF($C74="","",
  IFERROR(
    _xlfn.LET(
      _xlpm._対象月初,EOMONTH(AQ$1,-1)+1,
      _xlpm._今月初,EOMONTH(基準データ!$C$5,-1)+1,
      IF(
        _xlpm._対象月初&gt;_xlpm._今月初,
        IF(
          OR(AP74="",AP74=0),
          "",
          AP74*AQ$107
        ),
        _xlfn.LET(
          _xlpm._参照先,
            "'[在庫状況把握_43期_2025-2026.xlsx]月次報告"
            &amp;TEXT(AQ$1,"YYMM")
            &amp;"'!",
          _xlpm._戻り範囲,
            IF(
              _xlpm._対象月初=_xlpm._今月初,
              "$AG$1:$AG$300",
              "$G$1:$G$300"
            ),
          _xlfn.XLOOKUP(
            $C74,
            INDIRECT(_xlpm._参照先&amp;"$C$1:$C$300"),
            INDIRECT(_xlpm._参照先&amp;_xlpm._戻り範囲)
          )
        )
      )
    ),
    ""
  )
)</f>
        <v/>
      </c>
      <c r="AR74" s="223" t="str" cm="1">
        <f t="array" aca="1" ref="AR74" ca="1">IF($C74="","",
  IFERROR(
    _xlfn.LET(
      _xlpm._対象月初,EOMONTH(AR$1,-1)+1,
      _xlpm._今月初,EOMONTH(基準データ!$C$5,-1)+1,
      IF(
        _xlpm._対象月初&gt;_xlpm._今月初,
        IF(
          OR(AQ74="",AQ74=0),
          "",
          AQ74*AR$107
        ),
        _xlfn.LET(
          _xlpm._参照先,
            "'[在庫状況把握_43期_2025-2026.xlsx]月次報告"
            &amp;TEXT(AR$1,"YYMM")
            &amp;"'!",
          _xlpm._戻り範囲,
            IF(
              _xlpm._対象月初=_xlpm._今月初,
              "$AG$1:$AG$300",
              "$G$1:$G$300"
            ),
          _xlfn.XLOOKUP(
            $C74,
            INDIRECT(_xlpm._参照先&amp;"$C$1:$C$300"),
            INDIRECT(_xlpm._参照先&amp;_xlpm._戻り範囲)
          )
        )
      )
    ),
    ""
  )
)</f>
        <v/>
      </c>
      <c r="AS74" s="223" t="str" cm="1">
        <f t="array" aca="1" ref="AS74" ca="1">IF($C74="","",
  IFERROR(
    _xlfn.LET(
      _xlpm._対象月初,EOMONTH(AS$1,-1)+1,
      _xlpm._今月初,EOMONTH(基準データ!$C$5,-1)+1,
      IF(
        _xlpm._対象月初&gt;_xlpm._今月初,
        IF(
          OR(AR74="",AR74=0),
          "",
          AR74*AS$107
        ),
        _xlfn.LET(
          _xlpm._参照先,
            "'[在庫状況把握_43期_2025-2026.xlsx]月次報告"
            &amp;TEXT(AS$1,"YYMM")
            &amp;"'!",
          _xlpm._戻り範囲,
            IF(
              _xlpm._対象月初=_xlpm._今月初,
              "$AG$1:$AG$300",
              "$G$1:$G$300"
            ),
          _xlfn.XLOOKUP(
            $C74,
            INDIRECT(_xlpm._参照先&amp;"$C$1:$C$300"),
            INDIRECT(_xlpm._参照先&amp;_xlpm._戻り範囲)
          )
        )
      )
    ),
    ""
  )
)</f>
        <v/>
      </c>
      <c r="AT74" s="223" t="str" cm="1">
        <f t="array" aca="1" ref="AT74" ca="1">IF($C74="","",
  IFERROR(
    _xlfn.LET(
      _xlpm._対象月初,EOMONTH(AT$1,-1)+1,
      _xlpm._今月初,EOMONTH(基準データ!$C$5,-1)+1,
      IF(
        _xlpm._対象月初&gt;_xlpm._今月初,
        IF(
          OR(AS74="",AS74=0),
          "",
          AS74*AT$107
        ),
        _xlfn.LET(
          _xlpm._参照先,
            "'[在庫状況把握_43期_2025-2026.xlsx]月次報告"
            &amp;TEXT(AT$1,"YYMM")
            &amp;"'!",
          _xlpm._戻り範囲,
            IF(
              _xlpm._対象月初=_xlpm._今月初,
              "$AG$1:$AG$300",
              "$G$1:$G$300"
            ),
          _xlfn.XLOOKUP(
            $C74,
            INDIRECT(_xlpm._参照先&amp;"$C$1:$C$300"),
            INDIRECT(_xlpm._参照先&amp;_xlpm._戻り範囲)
          )
        )
      )
    ),
    ""
  )
)</f>
        <v/>
      </c>
      <c r="AU74" s="223" t="str" cm="1">
        <f t="array" aca="1" ref="AU74" ca="1">IF($C74="","",
  IFERROR(
    _xlfn.LET(
      _xlpm._対象月初,EOMONTH(AU$1,-1)+1,
      _xlpm._今月初,EOMONTH(基準データ!$C$5,-1)+1,
      IF(
        _xlpm._対象月初&gt;_xlpm._今月初,
        IF(
          OR(AT74="",AT74=0),
          "",
          AT74*AU$107
        ),
        _xlfn.LET(
          _xlpm._参照先,
            "'[在庫状況把握_43期_2025-2026.xlsx]月次報告"
            &amp;TEXT(AU$1,"YYMM")
            &amp;"'!",
          _xlpm._戻り範囲,
            IF(
              _xlpm._対象月初=_xlpm._今月初,
              "$AG$1:$AG$300",
              "$G$1:$G$300"
            ),
          _xlfn.XLOOKUP(
            $C74,
            INDIRECT(_xlpm._参照先&amp;"$C$1:$C$300"),
            INDIRECT(_xlpm._参照先&amp;_xlpm._戻り範囲)
          )
        )
      )
    ),
    ""
  )
)</f>
        <v/>
      </c>
      <c r="AV74" s="223" t="str" cm="1">
        <f t="array" aca="1" ref="AV74" ca="1">IF($C74="","",
  IFERROR(
    _xlfn.LET(
      _xlpm._対象月初,EOMONTH(AV$1,-1)+1,
      _xlpm._今月初,EOMONTH(基準データ!$C$5,-1)+1,
      IF(
        _xlpm._対象月初&gt;_xlpm._今月初,
        IF(
          OR(AU74="",AU74=0),
          "",
          AU74*AV$107
        ),
        _xlfn.LET(
          _xlpm._参照先,
            "'[在庫状況把握_43期_2025-2026.xlsx]月次報告"
            &amp;TEXT(AV$1,"YYMM")
            &amp;"'!",
          _xlpm._戻り範囲,
            IF(
              _xlpm._対象月初=_xlpm._今月初,
              "$AG$1:$AG$300",
              "$G$1:$G$300"
            ),
          _xlfn.XLOOKUP(
            $C74,
            INDIRECT(_xlpm._参照先&amp;"$C$1:$C$300"),
            INDIRECT(_xlpm._参照先&amp;_xlpm._戻り範囲)
          )
        )
      )
    ),
    ""
  )
)</f>
        <v/>
      </c>
      <c r="AW74" s="223" t="str" cm="1">
        <f t="array" aca="1" ref="AW74" ca="1">IF($C74="","",
  IFERROR(
    _xlfn.LET(
      _xlpm._対象月初,EOMONTH(AW$1,-1)+1,
      _xlpm._今月初,EOMONTH(基準データ!$C$5,-1)+1,
      IF(
        _xlpm._対象月初&gt;_xlpm._今月初,
        IF(
          OR(AV74="",AV74=0),
          "",
          AV74*AW$107
        ),
        _xlfn.LET(
          _xlpm._参照先,
            "'[在庫状況把握_43期_2025-2026.xlsx]月次報告"
            &amp;TEXT(AW$1,"YYMM")
            &amp;"'!",
          _xlpm._戻り範囲,
            IF(
              _xlpm._対象月初=_xlpm._今月初,
              "$AG$1:$AG$300",
              "$G$1:$G$300"
            ),
          _xlfn.XLOOKUP(
            $C74,
            INDIRECT(_xlpm._参照先&amp;"$C$1:$C$300"),
            INDIRECT(_xlpm._参照先&amp;_xlpm._戻り範囲)
          )
        )
      )
    ),
    ""
  )
)</f>
        <v/>
      </c>
      <c r="AX74" s="223" t="str" cm="1">
        <f t="array" aca="1" ref="AX74" ca="1">IF($C74="","",
  IFERROR(
    _xlfn.LET(
      _xlpm._対象月初,EOMONTH(AX$1,-1)+1,
      _xlpm._今月初,EOMONTH(基準データ!$C$5,-1)+1,
      IF(
        _xlpm._対象月初&gt;_xlpm._今月初,
        IF(
          OR(AW74="",AW74=0),
          "",
          AW74*AX$107
        ),
        _xlfn.LET(
          _xlpm._参照先,
            "'[在庫状況把握_43期_2025-2026.xlsx]月次報告"
            &amp;TEXT(AX$1,"YYMM")
            &amp;"'!",
          _xlpm._戻り範囲,
            IF(
              _xlpm._対象月初=_xlpm._今月初,
              "$AG$1:$AG$300",
              "$G$1:$G$300"
            ),
          _xlfn.XLOOKUP(
            $C74,
            INDIRECT(_xlpm._参照先&amp;"$C$1:$C$300"),
            INDIRECT(_xlpm._参照先&amp;_xlpm._戻り範囲)
          )
        )
      )
    ),
    ""
  )
)</f>
        <v/>
      </c>
      <c r="AY74" s="223" t="str" cm="1">
        <f t="array" aca="1" ref="AY74" ca="1">IF($C74="","",
  IFERROR(
    _xlfn.LET(
      _xlpm._対象月初,EOMONTH(AY$1,-1)+1,
      _xlpm._今月初,EOMONTH(基準データ!$C$5,-1)+1,
      IF(
        _xlpm._対象月初&gt;_xlpm._今月初,
        IF(
          OR(AX74="",AX74=0),
          "",
          AX74*AY$107
        ),
        _xlfn.LET(
          _xlpm._参照先,
            "'[在庫状況把握_43期_2025-2026.xlsx]月次報告"
            &amp;TEXT(AY$1,"YYMM")
            &amp;"'!",
          _xlpm._戻り範囲,
            IF(
              _xlpm._対象月初=_xlpm._今月初,
              "$AG$1:$AG$300",
              "$G$1:$G$300"
            ),
          _xlfn.XLOOKUP(
            $C74,
            INDIRECT(_xlpm._参照先&amp;"$C$1:$C$300"),
            INDIRECT(_xlpm._参照先&amp;_xlpm._戻り範囲)
          )
        )
      )
    ),
    ""
  )
)</f>
        <v/>
      </c>
      <c r="AZ74" s="223" t="str" cm="1">
        <f t="array" aca="1" ref="AZ74" ca="1">IF($C74="","",
  IFERROR(
    _xlfn.LET(
      _xlpm._対象月初,EOMONTH(AZ$1,-1)+1,
      _xlpm._今月初,EOMONTH(基準データ!$C$5,-1)+1,
      IF(
        _xlpm._対象月初&gt;_xlpm._今月初,
        IF(
          OR(AY74="",AY74=0),
          "",
          AY74*AZ$107
        ),
        _xlfn.LET(
          _xlpm._参照先,
            "'[在庫状況把握_43期_2025-2026.xlsx]月次報告"
            &amp;TEXT(AZ$1,"YYMM")
            &amp;"'!",
          _xlpm._戻り範囲,
            IF(
              _xlpm._対象月初=_xlpm._今月初,
              "$AG$1:$AG$300",
              "$G$1:$G$300"
            ),
          _xlfn.XLOOKUP(
            $C74,
            INDIRECT(_xlpm._参照先&amp;"$C$1:$C$300"),
            INDIRECT(_xlpm._参照先&amp;_xlpm._戻り範囲)
          )
        )
      )
    ),
    ""
  )
)</f>
        <v/>
      </c>
      <c r="BA74" s="223" t="str" cm="1">
        <f t="array" aca="1" ref="BA74" ca="1">IF($C74="","",
  IFERROR(
    _xlfn.LET(
      _xlpm._対象月初,EOMONTH(BA$1,-1)+1,
      _xlpm._今月初,EOMONTH(基準データ!$C$5,-1)+1,
      IF(
        _xlpm._対象月初&gt;_xlpm._今月初,
        IF(
          OR(AZ74="",AZ74=0),
          "",
          AZ74*BA$107
        ),
        _xlfn.LET(
          _xlpm._参照先,
            "'[在庫状況把握_43期_2025-2026.xlsx]月次報告"
            &amp;TEXT(BA$1,"YYMM")
            &amp;"'!",
          _xlpm._戻り範囲,
            IF(
              _xlpm._対象月初=_xlpm._今月初,
              "$AG$1:$AG$300",
              "$G$1:$G$300"
            ),
          _xlfn.XLOOKUP(
            $C74,
            INDIRECT(_xlpm._参照先&amp;"$C$1:$C$300"),
            INDIRECT(_xlpm._参照先&amp;_xlpm._戻り範囲)
          )
        )
      )
    ),
    ""
  )
)</f>
        <v/>
      </c>
      <c r="BB74" s="223" t="str" cm="1">
        <f t="array" aca="1" ref="BB74" ca="1">IF($C74="","",
  IFERROR(
    _xlfn.LET(
      _xlpm._対象月初,EOMONTH(BB$1,-1)+1,
      _xlpm._今月初,EOMONTH(基準データ!$C$5,-1)+1,
      IF(
        _xlpm._対象月初&gt;_xlpm._今月初,
        IF(
          OR(BA74="",BA74=0),
          "",
          BA74*BB$107
        ),
        _xlfn.LET(
          _xlpm._参照先,
            "'[在庫状況把握_43期_2025-2026.xlsx]月次報告"
            &amp;TEXT(BB$1,"YYMM")
            &amp;"'!",
          _xlpm._戻り範囲,
            IF(
              _xlpm._対象月初=_xlpm._今月初,
              "$AG$1:$AG$300",
              "$G$1:$G$300"
            ),
          _xlfn.XLOOKUP(
            $C74,
            INDIRECT(_xlpm._参照先&amp;"$C$1:$C$300"),
            INDIRECT(_xlpm._参照先&amp;_xlpm._戻り範囲)
          )
        )
      )
    ),
    ""
  )
)</f>
        <v/>
      </c>
      <c r="BC74" s="223" t="str" cm="1">
        <f t="array" aca="1" ref="BC74" ca="1">IF($C74="","",
  IFERROR(
    _xlfn.LET(
      _xlpm._対象月初,EOMONTH(BC$1,-1)+1,
      _xlpm._今月初,EOMONTH(基準データ!$C$5,-1)+1,
      IF(
        _xlpm._対象月初&gt;_xlpm._今月初,
        IF(
          OR(BB74="",BB74=0),
          "",
          BB74*BC$107
        ),
        _xlfn.LET(
          _xlpm._参照先,
            "'[在庫状況把握_43期_2025-2026.xlsx]月次報告"
            &amp;TEXT(BC$1,"YYMM")
            &amp;"'!",
          _xlpm._戻り範囲,
            IF(
              _xlpm._対象月初=_xlpm._今月初,
              "$AG$1:$AG$300",
              "$G$1:$G$300"
            ),
          _xlfn.XLOOKUP(
            $C74,
            INDIRECT(_xlpm._参照先&amp;"$C$1:$C$300"),
            INDIRECT(_xlpm._参照先&amp;_xlpm._戻り範囲)
          )
        )
      )
    ),
    ""
  )
)</f>
        <v/>
      </c>
      <c r="BD74" s="223" t="str" cm="1">
        <f t="array" aca="1" ref="BD74" ca="1">IF($C74="","",
  IFERROR(
    _xlfn.LET(
      _xlpm._対象月初,EOMONTH(BD$1,-1)+1,
      _xlpm._今月初,EOMONTH(基準データ!$C$5,-1)+1,
      IF(
        _xlpm._対象月初&gt;_xlpm._今月初,
        IF(
          OR(BC74="",BC74=0),
          "",
          BC74*BD$107
        ),
        _xlfn.LET(
          _xlpm._参照先,
            "'[在庫状況把握_43期_2025-2026.xlsx]月次報告"
            &amp;TEXT(BD$1,"YYMM")
            &amp;"'!",
          _xlpm._戻り範囲,
            IF(
              _xlpm._対象月初=_xlpm._今月初,
              "$AG$1:$AG$300",
              "$G$1:$G$300"
            ),
          _xlfn.XLOOKUP(
            $C74,
            INDIRECT(_xlpm._参照先&amp;"$C$1:$C$300"),
            INDIRECT(_xlpm._参照先&amp;_xlpm._戻り範囲)
          )
        )
      )
    ),
    ""
  )
)</f>
        <v/>
      </c>
    </row>
    <row r="75" spans="1:56" ht="18.75" customHeight="1">
      <c r="A75" s="1070" t="s">
        <v>1651</v>
      </c>
      <c r="B75" s="300" t="str">
        <v>WZN-1051-1315U-UMA-L6 Thirdwave</v>
      </c>
      <c r="C75" s="194" t="s">
        <v>668</v>
      </c>
      <c r="D75" s="194" t="s">
        <v>1412</v>
      </c>
      <c r="E75" s="68" t="s">
        <v>1410</v>
      </c>
      <c r="F75" s="195"/>
      <c r="G75" s="38">
        <v>45</v>
      </c>
      <c r="H75" s="109" cm="1">
        <f t="array" aca="1" ref="H75" ca="1">_xlfn.LET(_xlpm._来月から4ヶ月計画合計,
  SUM(
    OFFSET($A75,0,
      MATCH(
        EDATE(基準データ!$C$5,3),$A$1:$BF$1,1
      )-3,1,4)),
_xlpm._今月計画数,
INDEX($A$1:$BE$223,
  ROW(),
  MATCH(EOMONTH(基準データ!$C$5,-1)+1,$A$1:$BE$1,0)
),
  IFERROR(IF($B75="","",_xlpm._来月から4ヶ月計画合計+_xlpm._今月計画数/2),""
)
)</f>
        <v>15.247340633210882</v>
      </c>
      <c r="I75" s="319"/>
      <c r="J75" s="319"/>
      <c r="K75" s="319"/>
      <c r="L75" s="320"/>
      <c r="M75" s="311"/>
      <c r="N75" s="311"/>
      <c r="O75" s="311"/>
      <c r="P75" s="311"/>
      <c r="Q75" s="298"/>
      <c r="R75" s="298"/>
      <c r="S75" s="298"/>
      <c r="T75" s="219"/>
      <c r="U75" s="219">
        <v>11</v>
      </c>
      <c r="V75" s="219">
        <v>7</v>
      </c>
      <c r="W75" s="333">
        <v>189</v>
      </c>
      <c r="X75" s="333">
        <v>101</v>
      </c>
      <c r="Y75" s="333">
        <v>23</v>
      </c>
      <c r="Z75" s="219">
        <v>24</v>
      </c>
      <c r="AA75" s="219">
        <v>25</v>
      </c>
      <c r="AB75" s="219">
        <v>22</v>
      </c>
      <c r="AC75" s="224">
        <v>39</v>
      </c>
      <c r="AD75" s="224" t="s">
        <v>21</v>
      </c>
      <c r="AE75" s="223" t="s">
        <v>21</v>
      </c>
      <c r="AF75" s="223">
        <v>34</v>
      </c>
      <c r="AG75" s="223">
        <v>68</v>
      </c>
      <c r="AH75" s="223">
        <v>49</v>
      </c>
      <c r="AI75" s="223">
        <v>116</v>
      </c>
      <c r="AJ75" s="223">
        <v>275</v>
      </c>
      <c r="AK75" s="223">
        <v>365</v>
      </c>
      <c r="AL75" s="223" cm="1">
        <f t="array" aca="1" ref="AL75" ca="1">IF($C75="","",
  IFERROR(
    _xlfn.LET(
      _xlpm._対象月初,EOMONTH(AL$1,-1)+1,
      _xlpm._今月初,EOMONTH(基準データ!$C$5,-1)+1,
      IF(
        _xlpm._対象月初&gt;_xlpm._今月初,
        IF(
          OR(AK75="",AK75=0),
          "",
          AK75*AL$107
        ),
        _xlfn.LET(
          _xlpm._参照先,
            "'[在庫状況把握_43期_2025-2026.xlsx]月次報告"
            &amp;TEXT(AL$1,"YYMM")
            &amp;"'!",
          _xlpm._戻り範囲,
            IF(
              _xlpm._対象月初=_xlpm._今月初,
              "$AG$1:$AG$300",
              "$G$1:$G$300"
            ),
          _xlfn.XLOOKUP(
            $C75,
            INDIRECT(_xlpm._参照先&amp;"$C$1:$C$300"),
            INDIRECT(_xlpm._参照先&amp;_xlpm._戻り範囲)
          )
        )
      )
    ),
    ""
  )
)</f>
        <v>3</v>
      </c>
      <c r="AM75" s="223" cm="1">
        <f t="array" aca="1" ref="AM75" ca="1">IF($C75="","",
  IFERROR(
    _xlfn.LET(
      _xlpm._対象月初,EOMONTH(AM$1,-1)+1,
      _xlpm._今月初,EOMONTH(基準データ!$C$5,-1)+1,
      IF(
        _xlpm._対象月初&gt;_xlpm._今月初,
        IF(
          OR(AL75="",AL75=0),
          "",
          AL75*AM$107
        ),
        _xlfn.LET(
          _xlpm._参照先,
            "'[在庫状況把握_43期_2025-2026.xlsx]月次報告"
            &amp;TEXT(AM$1,"YYMM")
            &amp;"'!",
          _xlpm._戻り範囲,
            IF(
              _xlpm._対象月初=_xlpm._今月初,
              "$AG$1:$AG$300",
              "$G$1:$G$300"
            ),
          _xlfn.XLOOKUP(
            $C75,
            INDIRECT(_xlpm._参照先&amp;"$C$1:$C$300"),
            INDIRECT(_xlpm._参照先&amp;_xlpm._戻り範囲)
          )
        )
      )
    ),
    ""
  )
)</f>
        <v>3.3214285714285712</v>
      </c>
      <c r="AN75" s="223" cm="1">
        <f t="array" aca="1" ref="AN75" ca="1">IF($C75="","",
  IFERROR(
    _xlfn.LET(
      _xlpm._対象月初,EOMONTH(AN$1,-1)+1,
      _xlpm._今月初,EOMONTH(基準データ!$C$5,-1)+1,
      IF(
        _xlpm._対象月初&gt;_xlpm._今月初,
        IF(
          OR(AM75="",AM75=0),
          "",
          AM75*AN$107
        ),
        _xlfn.LET(
          _xlpm._参照先,
            "'[在庫状況把握_43期_2025-2026.xlsx]月次報告"
            &amp;TEXT(AN$1,"YYMM")
            &amp;"'!",
          _xlpm._戻り範囲,
            IF(
              _xlpm._対象月初=_xlpm._今月初,
              "$AG$1:$AG$300",
              "$G$1:$G$300"
            ),
          _xlfn.XLOOKUP(
            $C75,
            INDIRECT(_xlpm._参照先&amp;"$C$1:$C$300"),
            INDIRECT(_xlpm._参照先&amp;_xlpm._戻り範囲)
          )
        )
      )
    ),
    ""
  )
)</f>
        <v>3.0549141803062501</v>
      </c>
      <c r="AO75" s="223" cm="1">
        <f t="array" aca="1" ref="AO75" ca="1">IF($C75="","",
  IFERROR(
    _xlfn.LET(
      _xlpm._対象月初,EOMONTH(AO$1,-1)+1,
      _xlpm._今月初,EOMONTH(基準データ!$C$5,-1)+1,
      IF(
        _xlpm._対象月初&gt;_xlpm._今月初,
        IF(
          OR(AN75="",AN75=0),
          "",
          AN75*AO$107
        ),
        _xlfn.LET(
          _xlpm._参照先,
            "'[在庫状況把握_43期_2025-2026.xlsx]月次報告"
            &amp;TEXT(AO$1,"YYMM")
            &amp;"'!",
          _xlpm._戻り範囲,
            IF(
              _xlpm._対象月初=_xlpm._今月初,
              "$AG$1:$AG$300",
              "$G$1:$G$300"
            ),
          _xlfn.XLOOKUP(
            $C75,
            INDIRECT(_xlpm._参照先&amp;"$C$1:$C$300"),
            INDIRECT(_xlpm._参照先&amp;_xlpm._戻り範囲)
          )
        )
      )
    ),
    ""
  )
)</f>
        <v>3.3000062143751943</v>
      </c>
      <c r="AP75" s="223" cm="1">
        <f t="array" aca="1" ref="AP75" ca="1">IF($C75="","",
  IFERROR(
    _xlfn.LET(
      _xlpm._対象月初,EOMONTH(AP$1,-1)+1,
      _xlpm._今月初,EOMONTH(基準データ!$C$5,-1)+1,
      IF(
        _xlpm._対象月初&gt;_xlpm._今月初,
        IF(
          OR(AO75="",AO75=0),
          "",
          AO75*AP$107
        ),
        _xlfn.LET(
          _xlpm._参照先,
            "'[在庫状況把握_43期_2025-2026.xlsx]月次報告"
            &amp;TEXT(AP$1,"YYMM")
            &amp;"'!",
          _xlpm._戻り範囲,
            IF(
              _xlpm._対象月初=_xlpm._今月初,
              "$AG$1:$AG$300",
              "$G$1:$G$300"
            ),
          _xlfn.XLOOKUP(
            $C75,
            INDIRECT(_xlpm._参照先&amp;"$C$1:$C$300"),
            INDIRECT(_xlpm._参照先&amp;_xlpm._戻り範囲)
          )
        )
      )
    ),
    ""
  )
)</f>
        <v>3.5537515180981423</v>
      </c>
      <c r="AQ75" s="223" cm="1">
        <f t="array" aca="1" ref="AQ75" ca="1">IF($C75="","",
  IFERROR(
    _xlfn.LET(
      _xlpm._対象月初,EOMONTH(AQ$1,-1)+1,
      _xlpm._今月初,EOMONTH(基準データ!$C$5,-1)+1,
      IF(
        _xlpm._対象月初&gt;_xlpm._今月初,
        IF(
          OR(AP75="",AP75=0),
          "",
          AP75*AQ$107
        ),
        _xlfn.LET(
          _xlpm._参照先,
            "'[在庫状況把握_43期_2025-2026.xlsx]月次報告"
            &amp;TEXT(AQ$1,"YYMM")
            &amp;"'!",
          _xlpm._戻り範囲,
            IF(
              _xlpm._対象月初=_xlpm._今月初,
              "$AG$1:$AG$300",
              "$G$1:$G$300"
            ),
          _xlfn.XLOOKUP(
            $C75,
            INDIRECT(_xlpm._参照先&amp;"$C$1:$C$300"),
            INDIRECT(_xlpm._参照先&amp;_xlpm._戻り範囲)
          )
        )
      )
    ),
    ""
  )
)</f>
        <v>3.6779544347170092</v>
      </c>
      <c r="AR75" s="223" cm="1">
        <f t="array" aca="1" ref="AR75" ca="1">IF($C75="","",
  IFERROR(
    _xlfn.LET(
      _xlpm._対象月初,EOMONTH(AR$1,-1)+1,
      _xlpm._今月初,EOMONTH(基準データ!$C$5,-1)+1,
      IF(
        _xlpm._対象月初&gt;_xlpm._今月初,
        IF(
          OR(AQ75="",AQ75=0),
          "",
          AQ75*AR$107
        ),
        _xlfn.LET(
          _xlpm._参照先,
            "'[在庫状況把握_43期_2025-2026.xlsx]月次報告"
            &amp;TEXT(AR$1,"YYMM")
            &amp;"'!",
          _xlpm._戻り範囲,
            IF(
              _xlpm._対象月初=_xlpm._今月初,
              "$AG$1:$AG$300",
              "$G$1:$G$300"
            ),
          _xlfn.XLOOKUP(
            $C75,
            INDIRECT(_xlpm._参照先&amp;"$C$1:$C$300"),
            INDIRECT(_xlpm._参照先&amp;_xlpm._戻り範囲)
          )
        )
      )
    ),
    ""
  )
)</f>
        <v>5.4210406612422624</v>
      </c>
      <c r="AS75" s="223" cm="1">
        <f t="array" aca="1" ref="AS75" ca="1">IF($C75="","",
  IFERROR(
    _xlfn.LET(
      _xlpm._対象月初,EOMONTH(AS$1,-1)+1,
      _xlpm._今月初,EOMONTH(基準データ!$C$5,-1)+1,
      IF(
        _xlpm._対象月初&gt;_xlpm._今月初,
        IF(
          OR(AR75="",AR75=0),
          "",
          AR75*AS$107
        ),
        _xlfn.LET(
          _xlpm._参照先,
            "'[在庫状況把握_43期_2025-2026.xlsx]月次報告"
            &amp;TEXT(AS$1,"YYMM")
            &amp;"'!",
          _xlpm._戻り範囲,
            IF(
              _xlpm._対象月初=_xlpm._今月初,
              "$AG$1:$AG$300",
              "$G$1:$G$300"
            ),
          _xlfn.XLOOKUP(
            $C75,
            INDIRECT(_xlpm._参照先&amp;"$C$1:$C$300"),
            INDIRECT(_xlpm._参照先&amp;_xlpm._戻り範囲)
          )
        )
      )
    ),
    ""
  )
)</f>
        <v>4.6781873711137756</v>
      </c>
      <c r="AT75" s="223" cm="1">
        <f t="array" aca="1" ref="AT75" ca="1">IF($C75="","",
  IFERROR(
    _xlfn.LET(
      _xlpm._対象月初,EOMONTH(AT$1,-1)+1,
      _xlpm._今月初,EOMONTH(基準データ!$C$5,-1)+1,
      IF(
        _xlpm._対象月初&gt;_xlpm._今月初,
        IF(
          OR(AS75="",AS75=0),
          "",
          AS75*AT$107
        ),
        _xlfn.LET(
          _xlpm._参照先,
            "'[在庫状況把握_43期_2025-2026.xlsx]月次報告"
            &amp;TEXT(AT$1,"YYMM")
            &amp;"'!",
          _xlpm._戻り範囲,
            IF(
              _xlpm._対象月初=_xlpm._今月初,
              "$AG$1:$AG$300",
              "$G$1:$G$300"
            ),
          _xlfn.XLOOKUP(
            $C75,
            INDIRECT(_xlpm._参照先&amp;"$C$1:$C$300"),
            INDIRECT(_xlpm._参照先&amp;_xlpm._戻り範囲)
          )
        )
      )
    ),
    ""
  )
)</f>
        <v>4.4106538502007542</v>
      </c>
      <c r="AU75" s="223" cm="1">
        <f t="array" aca="1" ref="AU75" ca="1">IF($C75="","",
  IFERROR(
    _xlfn.LET(
      _xlpm._対象月初,EOMONTH(AU$1,-1)+1,
      _xlpm._今月初,EOMONTH(基準データ!$C$5,-1)+1,
      IF(
        _xlpm._対象月初&gt;_xlpm._今月初,
        IF(
          OR(AT75="",AT75=0),
          "",
          AT75*AU$107
        ),
        _xlfn.LET(
          _xlpm._参照先,
            "'[在庫状況把握_43期_2025-2026.xlsx]月次報告"
            &amp;TEXT(AU$1,"YYMM")
            &amp;"'!",
          _xlpm._戻り範囲,
            IF(
              _xlpm._対象月初=_xlpm._今月初,
              "$AG$1:$AG$300",
              "$G$1:$G$300"
            ),
          _xlfn.XLOOKUP(
            $C75,
            INDIRECT(_xlpm._参照先&amp;"$C$1:$C$300"),
            INDIRECT(_xlpm._参照先&amp;_xlpm._戻り範囲)
          )
        )
      )
    ),
    ""
  )
)</f>
        <v>6.5181714884770452</v>
      </c>
      <c r="AV75" s="223" cm="1">
        <f t="array" aca="1" ref="AV75" ca="1">IF($C75="","",
  IFERROR(
    _xlfn.LET(
      _xlpm._対象月初,EOMONTH(AV$1,-1)+1,
      _xlpm._今月初,EOMONTH(基準データ!$C$5,-1)+1,
      IF(
        _xlpm._対象月初&gt;_xlpm._今月初,
        IF(
          OR(AU75="",AU75=0),
          "",
          AU75*AV$107
        ),
        _xlfn.LET(
          _xlpm._参照先,
            "'[在庫状況把握_43期_2025-2026.xlsx]月次報告"
            &amp;TEXT(AV$1,"YYMM")
            &amp;"'!",
          _xlpm._戻り範囲,
            IF(
              _xlpm._対象月初=_xlpm._今月初,
              "$AG$1:$AG$300",
              "$G$1:$G$300"
            ),
          _xlfn.XLOOKUP(
            $C75,
            INDIRECT(_xlpm._参照先&amp;"$C$1:$C$300"),
            INDIRECT(_xlpm._参照先&amp;_xlpm._戻り範囲)
          )
        )
      )
    ),
    ""
  )
)</f>
        <v>4.0023664552315541</v>
      </c>
      <c r="AW75" s="223" cm="1">
        <f t="array" aca="1" ref="AW75" ca="1">IF($C75="","",
  IFERROR(
    _xlfn.LET(
      _xlpm._対象月初,EOMONTH(AW$1,-1)+1,
      _xlpm._今月初,EOMONTH(基準データ!$C$5,-1)+1,
      IF(
        _xlpm._対象月初&gt;_xlpm._今月初,
        IF(
          OR(AV75="",AV75=0),
          "",
          AV75*AW$107
        ),
        _xlfn.LET(
          _xlpm._参照先,
            "'[在庫状況把握_43期_2025-2026.xlsx]月次報告"
            &amp;TEXT(AW$1,"YYMM")
            &amp;"'!",
          _xlpm._戻り範囲,
            IF(
              _xlpm._対象月初=_xlpm._今月初,
              "$AG$1:$AG$300",
              "$G$1:$G$300"
            ),
          _xlfn.XLOOKUP(
            $C75,
            INDIRECT(_xlpm._参照先&amp;"$C$1:$C$300"),
            INDIRECT(_xlpm._参照先&amp;_xlpm._戻り範囲)
          )
        )
      )
    ),
    ""
  )
)</f>
        <v>2.9026374390289513</v>
      </c>
      <c r="AX75" s="223" cm="1">
        <f t="array" aca="1" ref="AX75" ca="1">IF($C75="","",
  IFERROR(
    _xlfn.LET(
      _xlpm._対象月初,EOMONTH(AX$1,-1)+1,
      _xlpm._今月初,EOMONTH(基準データ!$C$5,-1)+1,
      IF(
        _xlpm._対象月初&gt;_xlpm._今月初,
        IF(
          OR(AW75="",AW75=0),
          "",
          AW75*AX$107
        ),
        _xlfn.LET(
          _xlpm._参照先,
            "'[在庫状況把握_43期_2025-2026.xlsx]月次報告"
            &amp;TEXT(AX$1,"YYMM")
            &amp;"'!",
          _xlpm._戻り範囲,
            IF(
              _xlpm._対象月初=_xlpm._今月初,
              "$AG$1:$AG$300",
              "$G$1:$G$300"
            ),
          _xlfn.XLOOKUP(
            $C75,
            INDIRECT(_xlpm._参照先&amp;"$C$1:$C$300"),
            INDIRECT(_xlpm._参照先&amp;_xlpm._戻り範囲)
          )
        )
      )
    ),
    ""
  )
)</f>
        <v>3.0266084569022778</v>
      </c>
      <c r="AY75" s="223" cm="1">
        <f t="array" aca="1" ref="AY75" ca="1">IF($C75="","",
  IFERROR(
    _xlfn.LET(
      _xlpm._対象月初,EOMONTH(AY$1,-1)+1,
      _xlpm._今月初,EOMONTH(基準データ!$C$5,-1)+1,
      IF(
        _xlpm._対象月初&gt;_xlpm._今月初,
        IF(
          OR(AX75="",AX75=0),
          "",
          AX75*AY$107
        ),
        _xlfn.LET(
          _xlpm._参照先,
            "'[在庫状況把握_43期_2025-2026.xlsx]月次報告"
            &amp;TEXT(AY$1,"YYMM")
            &amp;"'!",
          _xlpm._戻り範囲,
            IF(
              _xlpm._対象月初=_xlpm._今月初,
              "$AG$1:$AG$300",
              "$G$1:$G$300"
            ),
          _xlfn.XLOOKUP(
            $C75,
            INDIRECT(_xlpm._参照先&amp;"$C$1:$C$300"),
            INDIRECT(_xlpm._参照先&amp;_xlpm._戻り範囲)
          )
        )
      )
    ),
    ""
  )
)</f>
        <v>3.3214285714285721</v>
      </c>
      <c r="AZ75" s="223" cm="1">
        <f t="array" aca="1" ref="AZ75" ca="1">IF($C75="","",
  IFERROR(
    _xlfn.LET(
      _xlpm._対象月初,EOMONTH(AZ$1,-1)+1,
      _xlpm._今月初,EOMONTH(基準データ!$C$5,-1)+1,
      IF(
        _xlpm._対象月初&gt;_xlpm._今月初,
        IF(
          OR(AY75="",AY75=0),
          "",
          AY75*AZ$107
        ),
        _xlfn.LET(
          _xlpm._参照先,
            "'[在庫状況把握_43期_2025-2026.xlsx]月次報告"
            &amp;TEXT(AZ$1,"YYMM")
            &amp;"'!",
          _xlpm._戻り範囲,
            IF(
              _xlpm._対象月初=_xlpm._今月初,
              "$AG$1:$AG$300",
              "$G$1:$G$300"
            ),
          _xlfn.XLOOKUP(
            $C75,
            INDIRECT(_xlpm._参照先&amp;"$C$1:$C$300"),
            INDIRECT(_xlpm._参照先&amp;_xlpm._戻り範囲)
          )
        )
      )
    ),
    ""
  )
)</f>
        <v>3.0549141803062505</v>
      </c>
      <c r="BA75" s="223" cm="1">
        <f t="array" aca="1" ref="BA75" ca="1">IF($C75="","",
  IFERROR(
    _xlfn.LET(
      _xlpm._対象月初,EOMONTH(BA$1,-1)+1,
      _xlpm._今月初,EOMONTH(基準データ!$C$5,-1)+1,
      IF(
        _xlpm._対象月初&gt;_xlpm._今月初,
        IF(
          OR(AZ75="",AZ75=0),
          "",
          AZ75*BA$107
        ),
        _xlfn.LET(
          _xlpm._参照先,
            "'[在庫状況把握_43期_2025-2026.xlsx]月次報告"
            &amp;TEXT(BA$1,"YYMM")
            &amp;"'!",
          _xlpm._戻り範囲,
            IF(
              _xlpm._対象月初=_xlpm._今月初,
              "$AG$1:$AG$300",
              "$G$1:$G$300"
            ),
          _xlfn.XLOOKUP(
            $C75,
            INDIRECT(_xlpm._参照先&amp;"$C$1:$C$300"),
            INDIRECT(_xlpm._参照先&amp;_xlpm._戻り範囲)
          )
        )
      )
    ),
    ""
  )
)</f>
        <v>3.3000062143751947</v>
      </c>
      <c r="BB75" s="223" cm="1">
        <f t="array" aca="1" ref="BB75" ca="1">IF($C75="","",
  IFERROR(
    _xlfn.LET(
      _xlpm._対象月初,EOMONTH(BB$1,-1)+1,
      _xlpm._今月初,EOMONTH(基準データ!$C$5,-1)+1,
      IF(
        _xlpm._対象月初&gt;_xlpm._今月初,
        IF(
          OR(BA75="",BA75=0),
          "",
          BA75*BB$107
        ),
        _xlfn.LET(
          _xlpm._参照先,
            "'[在庫状況把握_43期_2025-2026.xlsx]月次報告"
            &amp;TEXT(BB$1,"YYMM")
            &amp;"'!",
          _xlpm._戻り範囲,
            IF(
              _xlpm._対象月初=_xlpm._今月初,
              "$AG$1:$AG$300",
              "$G$1:$G$300"
            ),
          _xlfn.XLOOKUP(
            $C75,
            INDIRECT(_xlpm._参照先&amp;"$C$1:$C$300"),
            INDIRECT(_xlpm._参照先&amp;_xlpm._戻り範囲)
          )
        )
      )
    ),
    ""
  )
)</f>
        <v>3.5537515180981427</v>
      </c>
      <c r="BC75" s="223" cm="1">
        <f t="array" aca="1" ref="BC75" ca="1">IF($C75="","",
  IFERROR(
    _xlfn.LET(
      _xlpm._対象月初,EOMONTH(BC$1,-1)+1,
      _xlpm._今月初,EOMONTH(基準データ!$C$5,-1)+1,
      IF(
        _xlpm._対象月初&gt;_xlpm._今月初,
        IF(
          OR(BB75="",BB75=0),
          "",
          BB75*BC$107
        ),
        _xlfn.LET(
          _xlpm._参照先,
            "'[在庫状況把握_43期_2025-2026.xlsx]月次報告"
            &amp;TEXT(BC$1,"YYMM")
            &amp;"'!",
          _xlpm._戻り範囲,
            IF(
              _xlpm._対象月初=_xlpm._今月初,
              "$AG$1:$AG$300",
              "$G$1:$G$300"
            ),
          _xlfn.XLOOKUP(
            $C75,
            INDIRECT(_xlpm._参照先&amp;"$C$1:$C$300"),
            INDIRECT(_xlpm._参照先&amp;_xlpm._戻り範囲)
          )
        )
      )
    ),
    ""
  )
)</f>
        <v>3.6779544347170097</v>
      </c>
      <c r="BD75" s="223" cm="1">
        <f t="array" aca="1" ref="BD75" ca="1">IF($C75="","",
  IFERROR(
    _xlfn.LET(
      _xlpm._対象月初,EOMONTH(BD$1,-1)+1,
      _xlpm._今月初,EOMONTH(基準データ!$C$5,-1)+1,
      IF(
        _xlpm._対象月初&gt;_xlpm._今月初,
        IF(
          OR(BC75="",BC75=0),
          "",
          BC75*BD$107
        ),
        _xlfn.LET(
          _xlpm._参照先,
            "'[在庫状況把握_43期_2025-2026.xlsx]月次報告"
            &amp;TEXT(BD$1,"YYMM")
            &amp;"'!",
          _xlpm._戻り範囲,
            IF(
              _xlpm._対象月初=_xlpm._今月初,
              "$AG$1:$AG$300",
              "$G$1:$G$300"
            ),
          _xlfn.XLOOKUP(
            $C75,
            INDIRECT(_xlpm._参照先&amp;"$C$1:$C$300"),
            INDIRECT(_xlpm._参照先&amp;_xlpm._戻り範囲)
          )
        )
      )
    ),
    ""
  )
)</f>
        <v>5.4210406612422632</v>
      </c>
    </row>
    <row r="76" spans="1:56" ht="18.75" customHeight="1">
      <c r="A76" s="1070" t="s">
        <v>1651</v>
      </c>
      <c r="B76" s="300" t="str">
        <v>CLE-NL55-1315U-UMA-L6-TPM Thirdwave</v>
      </c>
      <c r="C76" s="194" t="s">
        <v>678</v>
      </c>
      <c r="D76" s="194" t="s">
        <v>1446</v>
      </c>
      <c r="E76" s="68" t="s">
        <v>1410</v>
      </c>
      <c r="F76" s="195"/>
      <c r="G76" s="38">
        <v>442</v>
      </c>
      <c r="H76" s="109" cm="1">
        <f t="array" aca="1" ref="H76" ca="1">_xlfn.LET(_xlpm._来月から4ヶ月計画合計,
  SUM(
    OFFSET($A76,0,
      MATCH(
        EDATE(基準データ!$C$5,3),$A$1:$BF$1,1
      )-3,1,4)),
_xlpm._今月計画数,
INDEX($A$1:$BE$223,
  ROW(),
  MATCH(EOMONTH(基準データ!$C$5,-1)+1,$A$1:$BE$1,0)
),
  IFERROR(IF($B76="","",_xlpm._来月から4ヶ月計画合計+_xlpm._今月計画数/2),""
)
)</f>
        <v>35.577128144158728</v>
      </c>
      <c r="I76" s="319"/>
      <c r="J76" s="319"/>
      <c r="K76" s="319"/>
      <c r="L76" s="320"/>
      <c r="M76" s="311"/>
      <c r="N76" s="311"/>
      <c r="O76" s="311"/>
      <c r="P76" s="311"/>
      <c r="Q76" s="298"/>
      <c r="R76" s="219"/>
      <c r="S76" s="219"/>
      <c r="T76" s="219"/>
      <c r="U76" s="219">
        <v>19</v>
      </c>
      <c r="V76" s="219">
        <v>76</v>
      </c>
      <c r="W76" s="333">
        <v>158</v>
      </c>
      <c r="X76" s="333">
        <v>19</v>
      </c>
      <c r="Y76" s="333">
        <v>52</v>
      </c>
      <c r="Z76" s="219">
        <v>169</v>
      </c>
      <c r="AA76" s="219">
        <v>282</v>
      </c>
      <c r="AB76" s="219">
        <v>37</v>
      </c>
      <c r="AC76" s="224">
        <v>13</v>
      </c>
      <c r="AD76" s="224" t="s">
        <v>21</v>
      </c>
      <c r="AE76" s="223" t="s">
        <v>21</v>
      </c>
      <c r="AF76" s="223">
        <v>0</v>
      </c>
      <c r="AG76" s="223">
        <v>0</v>
      </c>
      <c r="AH76" s="223">
        <v>0</v>
      </c>
      <c r="AI76" s="223">
        <v>1</v>
      </c>
      <c r="AJ76" s="223">
        <v>3</v>
      </c>
      <c r="AK76" s="223">
        <v>0</v>
      </c>
      <c r="AL76" s="223" cm="1">
        <f t="array" aca="1" ref="AL76" ca="1">IF($C76="","",
  IFERROR(
    _xlfn.LET(
      _xlpm._対象月初,EOMONTH(AL$1,-1)+1,
      _xlpm._今月初,EOMONTH(基準データ!$C$5,-1)+1,
      IF(
        _xlpm._対象月初&gt;_xlpm._今月初,
        IF(
          OR(AK76="",AK76=0),
          "",
          AK76*AL$107
        ),
        _xlfn.LET(
          _xlpm._参照先,
            "'[在庫状況把握_43期_2025-2026.xlsx]月次報告"
            &amp;TEXT(AL$1,"YYMM")
            &amp;"'!",
          _xlpm._戻り範囲,
            IF(
              _xlpm._対象月初=_xlpm._今月初,
              "$AG$1:$AG$300",
              "$G$1:$G$300"
            ),
          _xlfn.XLOOKUP(
            $C76,
            INDIRECT(_xlpm._参照先&amp;"$C$1:$C$300"),
            INDIRECT(_xlpm._参照先&amp;_xlpm._戻り範囲)
          )
        )
      )
    ),
    ""
  )
)</f>
        <v>7</v>
      </c>
      <c r="AM76" s="223" cm="1">
        <f t="array" aca="1" ref="AM76" ca="1">IF($C76="","",
  IFERROR(
    _xlfn.LET(
      _xlpm._対象月初,EOMONTH(AM$1,-1)+1,
      _xlpm._今月初,EOMONTH(基準データ!$C$5,-1)+1,
      IF(
        _xlpm._対象月初&gt;_xlpm._今月初,
        IF(
          OR(AL76="",AL76=0),
          "",
          AL76*AM$107
        ),
        _xlfn.LET(
          _xlpm._参照先,
            "'[在庫状況把握_43期_2025-2026.xlsx]月次報告"
            &amp;TEXT(AM$1,"YYMM")
            &amp;"'!",
          _xlpm._戻り範囲,
            IF(
              _xlpm._対象月初=_xlpm._今月初,
              "$AG$1:$AG$300",
              "$G$1:$G$300"
            ),
          _xlfn.XLOOKUP(
            $C76,
            INDIRECT(_xlpm._参照先&amp;"$C$1:$C$300"),
            INDIRECT(_xlpm._参照先&amp;_xlpm._戻り範囲)
          )
        )
      )
    ),
    ""
  )
)</f>
        <v>7.75</v>
      </c>
      <c r="AN76" s="223" cm="1">
        <f t="array" aca="1" ref="AN76" ca="1">IF($C76="","",
  IFERROR(
    _xlfn.LET(
      _xlpm._対象月初,EOMONTH(AN$1,-1)+1,
      _xlpm._今月初,EOMONTH(基準データ!$C$5,-1)+1,
      IF(
        _xlpm._対象月初&gt;_xlpm._今月初,
        IF(
          OR(AM76="",AM76=0),
          "",
          AM76*AN$107
        ),
        _xlfn.LET(
          _xlpm._参照先,
            "'[在庫状況把握_43期_2025-2026.xlsx]月次報告"
            &amp;TEXT(AN$1,"YYMM")
            &amp;"'!",
          _xlpm._戻り範囲,
            IF(
              _xlpm._対象月初=_xlpm._今月初,
              "$AG$1:$AG$300",
              "$G$1:$G$300"
            ),
          _xlfn.XLOOKUP(
            $C76,
            INDIRECT(_xlpm._参照先&amp;"$C$1:$C$300"),
            INDIRECT(_xlpm._参照先&amp;_xlpm._戻り範囲)
          )
        )
      )
    ),
    ""
  )
)</f>
        <v>7.1281330873812507</v>
      </c>
      <c r="AO76" s="223" cm="1">
        <f t="array" aca="1" ref="AO76" ca="1">IF($C76="","",
  IFERROR(
    _xlfn.LET(
      _xlpm._対象月初,EOMONTH(AO$1,-1)+1,
      _xlpm._今月初,EOMONTH(基準データ!$C$5,-1)+1,
      IF(
        _xlpm._対象月初&gt;_xlpm._今月初,
        IF(
          OR(AN76="",AN76=0),
          "",
          AN76*AO$107
        ),
        _xlfn.LET(
          _xlpm._参照先,
            "'[在庫状況把握_43期_2025-2026.xlsx]月次報告"
            &amp;TEXT(AO$1,"YYMM")
            &amp;"'!",
          _xlpm._戻り範囲,
            IF(
              _xlpm._対象月初=_xlpm._今月初,
              "$AG$1:$AG$300",
              "$G$1:$G$300"
            ),
          _xlfn.XLOOKUP(
            $C76,
            INDIRECT(_xlpm._参照先&amp;"$C$1:$C$300"),
            INDIRECT(_xlpm._参照先&amp;_xlpm._戻り範囲)
          )
        )
      )
    ),
    ""
  )
)</f>
        <v>7.7000145002087867</v>
      </c>
      <c r="AP76" s="223" cm="1">
        <f t="array" aca="1" ref="AP76" ca="1">IF($C76="","",
  IFERROR(
    _xlfn.LET(
      _xlpm._対象月初,EOMONTH(AP$1,-1)+1,
      _xlpm._今月初,EOMONTH(基準データ!$C$5,-1)+1,
      IF(
        _xlpm._対象月初&gt;_xlpm._今月初,
        IF(
          OR(AO76="",AO76=0),
          "",
          AO76*AP$107
        ),
        _xlfn.LET(
          _xlpm._参照先,
            "'[在庫状況把握_43期_2025-2026.xlsx]月次報告"
            &amp;TEXT(AP$1,"YYMM")
            &amp;"'!",
          _xlpm._戻り範囲,
            IF(
              _xlpm._対象月初=_xlpm._今月初,
              "$AG$1:$AG$300",
              "$G$1:$G$300"
            ),
          _xlfn.XLOOKUP(
            $C76,
            INDIRECT(_xlpm._参照先&amp;"$C$1:$C$300"),
            INDIRECT(_xlpm._参照先&amp;_xlpm._戻り範囲)
          )
        )
      )
    ),
    ""
  )
)</f>
        <v>8.2920868755623331</v>
      </c>
      <c r="AQ76" s="223" cm="1">
        <f t="array" aca="1" ref="AQ76" ca="1">IF($C76="","",
  IFERROR(
    _xlfn.LET(
      _xlpm._対象月初,EOMONTH(AQ$1,-1)+1,
      _xlpm._今月初,EOMONTH(基準データ!$C$5,-1)+1,
      IF(
        _xlpm._対象月初&gt;_xlpm._今月初,
        IF(
          OR(AP76="",AP76=0),
          "",
          AP76*AQ$107
        ),
        _xlfn.LET(
          _xlpm._参照先,
            "'[在庫状況把握_43期_2025-2026.xlsx]月次報告"
            &amp;TEXT(AQ$1,"YYMM")
            &amp;"'!",
          _xlpm._戻り範囲,
            IF(
              _xlpm._対象月初=_xlpm._今月初,
              "$AG$1:$AG$300",
              "$G$1:$G$300"
            ),
          _xlfn.XLOOKUP(
            $C76,
            INDIRECT(_xlpm._参照先&amp;"$C$1:$C$300"),
            INDIRECT(_xlpm._参照先&amp;_xlpm._戻り範囲)
          )
        )
      )
    ),
    ""
  )
)</f>
        <v>8.5818936810063562</v>
      </c>
      <c r="AR76" s="223" cm="1">
        <f t="array" aca="1" ref="AR76" ca="1">IF($C76="","",
  IFERROR(
    _xlfn.LET(
      _xlpm._対象月初,EOMONTH(AR$1,-1)+1,
      _xlpm._今月初,EOMONTH(基準データ!$C$5,-1)+1,
      IF(
        _xlpm._対象月初&gt;_xlpm._今月初,
        IF(
          OR(AQ76="",AQ76=0),
          "",
          AQ76*AR$107
        ),
        _xlfn.LET(
          _xlpm._参照先,
            "'[在庫状況把握_43期_2025-2026.xlsx]月次報告"
            &amp;TEXT(AR$1,"YYMM")
            &amp;"'!",
          _xlpm._戻り範囲,
            IF(
              _xlpm._対象月初=_xlpm._今月初,
              "$AG$1:$AG$300",
              "$G$1:$G$300"
            ),
          _xlfn.XLOOKUP(
            $C76,
            INDIRECT(_xlpm._参照先&amp;"$C$1:$C$300"),
            INDIRECT(_xlpm._参照先&amp;_xlpm._戻り範囲)
          )
        )
      )
    ),
    ""
  )
)</f>
        <v>12.649094876231947</v>
      </c>
      <c r="AS76" s="223" cm="1">
        <f t="array" aca="1" ref="AS76" ca="1">IF($C76="","",
  IFERROR(
    _xlfn.LET(
      _xlpm._対象月初,EOMONTH(AS$1,-1)+1,
      _xlpm._今月初,EOMONTH(基準データ!$C$5,-1)+1,
      IF(
        _xlpm._対象月初&gt;_xlpm._今月初,
        IF(
          OR(AR76="",AR76=0),
          "",
          AR76*AS$107
        ),
        _xlfn.LET(
          _xlpm._参照先,
            "'[在庫状況把握_43期_2025-2026.xlsx]月次報告"
            &amp;TEXT(AS$1,"YYMM")
            &amp;"'!",
          _xlpm._戻り範囲,
            IF(
              _xlpm._対象月初=_xlpm._今月初,
              "$AG$1:$AG$300",
              "$G$1:$G$300"
            ),
          _xlfn.XLOOKUP(
            $C76,
            INDIRECT(_xlpm._参照先&amp;"$C$1:$C$300"),
            INDIRECT(_xlpm._参照先&amp;_xlpm._戻り範囲)
          )
        )
      )
    ),
    ""
  )
)</f>
        <v>10.91577053259881</v>
      </c>
      <c r="AT76" s="223" cm="1">
        <f t="array" aca="1" ref="AT76" ca="1">IF($C76="","",
  IFERROR(
    _xlfn.LET(
      _xlpm._対象月初,EOMONTH(AT$1,-1)+1,
      _xlpm._今月初,EOMONTH(基準データ!$C$5,-1)+1,
      IF(
        _xlpm._対象月初&gt;_xlpm._今月初,
        IF(
          OR(AS76="",AS76=0),
          "",
          AS76*AT$107
        ),
        _xlfn.LET(
          _xlpm._参照先,
            "'[在庫状況把握_43期_2025-2026.xlsx]月次報告"
            &amp;TEXT(AT$1,"YYMM")
            &amp;"'!",
          _xlpm._戻り範囲,
            IF(
              _xlpm._対象月初=_xlpm._今月初,
              "$AG$1:$AG$300",
              "$G$1:$G$300"
            ),
          _xlfn.XLOOKUP(
            $C76,
            INDIRECT(_xlpm._参照先&amp;"$C$1:$C$300"),
            INDIRECT(_xlpm._参照先&amp;_xlpm._戻り範囲)
          )
        )
      )
    ),
    ""
  )
)</f>
        <v>10.291525650468426</v>
      </c>
      <c r="AU76" s="223" cm="1">
        <f t="array" aca="1" ref="AU76" ca="1">IF($C76="","",
  IFERROR(
    _xlfn.LET(
      _xlpm._対象月初,EOMONTH(AU$1,-1)+1,
      _xlpm._今月初,EOMONTH(基準データ!$C$5,-1)+1,
      IF(
        _xlpm._対象月初&gt;_xlpm._今月初,
        IF(
          OR(AT76="",AT76=0),
          "",
          AT76*AU$107
        ),
        _xlfn.LET(
          _xlpm._参照先,
            "'[在庫状況把握_43期_2025-2026.xlsx]月次報告"
            &amp;TEXT(AU$1,"YYMM")
            &amp;"'!",
          _xlpm._戻り範囲,
            IF(
              _xlpm._対象月初=_xlpm._今月初,
              "$AG$1:$AG$300",
              "$G$1:$G$300"
            ),
          _xlfn.XLOOKUP(
            $C76,
            INDIRECT(_xlpm._参照先&amp;"$C$1:$C$300"),
            INDIRECT(_xlpm._参照先&amp;_xlpm._戻り範囲)
          )
        )
      )
    ),
    ""
  )
)</f>
        <v>15.209066806446437</v>
      </c>
      <c r="AV76" s="223" cm="1">
        <f t="array" aca="1" ref="AV76" ca="1">IF($C76="","",
  IFERROR(
    _xlfn.LET(
      _xlpm._対象月初,EOMONTH(AV$1,-1)+1,
      _xlpm._今月初,EOMONTH(基準データ!$C$5,-1)+1,
      IF(
        _xlpm._対象月初&gt;_xlpm._今月初,
        IF(
          OR(AU76="",AU76=0),
          "",
          AU76*AV$107
        ),
        _xlfn.LET(
          _xlpm._参照先,
            "'[在庫状況把握_43期_2025-2026.xlsx]月次報告"
            &amp;TEXT(AV$1,"YYMM")
            &amp;"'!",
          _xlpm._戻り範囲,
            IF(
              _xlpm._対象月初=_xlpm._今月初,
              "$AG$1:$AG$300",
              "$G$1:$G$300"
            ),
          _xlfn.XLOOKUP(
            $C76,
            INDIRECT(_xlpm._参照先&amp;"$C$1:$C$300"),
            INDIRECT(_xlpm._参照先&amp;_xlpm._戻り範囲)
          )
        )
      )
    ),
    ""
  )
)</f>
        <v>9.3388550622069584</v>
      </c>
      <c r="AW76" s="223" cm="1">
        <f t="array" aca="1" ref="AW76" ca="1">IF($C76="","",
  IFERROR(
    _xlfn.LET(
      _xlpm._対象月初,EOMONTH(AW$1,-1)+1,
      _xlpm._今月初,EOMONTH(基準データ!$C$5,-1)+1,
      IF(
        _xlpm._対象月初&gt;_xlpm._今月初,
        IF(
          OR(AV76="",AV76=0),
          "",
          AV76*AW$107
        ),
        _xlfn.LET(
          _xlpm._参照先,
            "'[在庫状況把握_43期_2025-2026.xlsx]月次報告"
            &amp;TEXT(AW$1,"YYMM")
            &amp;"'!",
          _xlpm._戻り範囲,
            IF(
              _xlpm._対象月初=_xlpm._今月初,
              "$AG$1:$AG$300",
              "$G$1:$G$300"
            ),
          _xlfn.XLOOKUP(
            $C76,
            INDIRECT(_xlpm._参照先&amp;"$C$1:$C$300"),
            INDIRECT(_xlpm._参照先&amp;_xlpm._戻り範囲)
          )
        )
      )
    ),
    ""
  )
)</f>
        <v>6.7728206910675519</v>
      </c>
      <c r="AX76" s="223" cm="1">
        <f t="array" aca="1" ref="AX76" ca="1">IF($C76="","",
  IFERROR(
    _xlfn.LET(
      _xlpm._対象月初,EOMONTH(AX$1,-1)+1,
      _xlpm._今月初,EOMONTH(基準データ!$C$5,-1)+1,
      IF(
        _xlpm._対象月初&gt;_xlpm._今月初,
        IF(
          OR(AW76="",AW76=0),
          "",
          AW76*AX$107
        ),
        _xlfn.LET(
          _xlpm._参照先,
            "'[在庫状況把握_43期_2025-2026.xlsx]月次報告"
            &amp;TEXT(AX$1,"YYMM")
            &amp;"'!",
          _xlpm._戻り範囲,
            IF(
              _xlpm._対象月初=_xlpm._今月初,
              "$AG$1:$AG$300",
              "$G$1:$G$300"
            ),
          _xlfn.XLOOKUP(
            $C76,
            INDIRECT(_xlpm._参照先&amp;"$C$1:$C$300"),
            INDIRECT(_xlpm._参照先&amp;_xlpm._戻り範囲)
          )
        )
      )
    ),
    ""
  )
)</f>
        <v>7.0620863994386465</v>
      </c>
      <c r="AY76" s="223" cm="1">
        <f t="array" aca="1" ref="AY76" ca="1">IF($C76="","",
  IFERROR(
    _xlfn.LET(
      _xlpm._対象月初,EOMONTH(AY$1,-1)+1,
      _xlpm._今月初,EOMONTH(基準データ!$C$5,-1)+1,
      IF(
        _xlpm._対象月初&gt;_xlpm._今月初,
        IF(
          OR(AX76="",AX76=0),
          "",
          AX76*AY$107
        ),
        _xlfn.LET(
          _xlpm._参照先,
            "'[在庫状況把握_43期_2025-2026.xlsx]月次報告"
            &amp;TEXT(AY$1,"YYMM")
            &amp;"'!",
          _xlpm._戻り範囲,
            IF(
              _xlpm._対象月初=_xlpm._今月初,
              "$AG$1:$AG$300",
              "$G$1:$G$300"
            ),
          _xlfn.XLOOKUP(
            $C76,
            INDIRECT(_xlpm._参照先&amp;"$C$1:$C$300"),
            INDIRECT(_xlpm._参照先&amp;_xlpm._戻り範囲)
          )
        )
      )
    ),
    ""
  )
)</f>
        <v>7.7499999999999991</v>
      </c>
      <c r="AZ76" s="223" cm="1">
        <f t="array" aca="1" ref="AZ76" ca="1">IF($C76="","",
  IFERROR(
    _xlfn.LET(
      _xlpm._対象月初,EOMONTH(AZ$1,-1)+1,
      _xlpm._今月初,EOMONTH(基準データ!$C$5,-1)+1,
      IF(
        _xlpm._対象月初&gt;_xlpm._今月初,
        IF(
          OR(AY76="",AY76=0),
          "",
          AY76*AZ$107
        ),
        _xlfn.LET(
          _xlpm._参照先,
            "'[在庫状況把握_43期_2025-2026.xlsx]月次報告"
            &amp;TEXT(AZ$1,"YYMM")
            &amp;"'!",
          _xlpm._戻り範囲,
            IF(
              _xlpm._対象月初=_xlpm._今月初,
              "$AG$1:$AG$300",
              "$G$1:$G$300"
            ),
          _xlfn.XLOOKUP(
            $C76,
            INDIRECT(_xlpm._参照先&amp;"$C$1:$C$300"),
            INDIRECT(_xlpm._参照先&amp;_xlpm._戻り範囲)
          )
        )
      )
    ),
    ""
  )
)</f>
        <v>7.1281330873812498</v>
      </c>
      <c r="BA76" s="223" cm="1">
        <f t="array" aca="1" ref="BA76" ca="1">IF($C76="","",
  IFERROR(
    _xlfn.LET(
      _xlpm._対象月初,EOMONTH(BA$1,-1)+1,
      _xlpm._今月初,EOMONTH(基準データ!$C$5,-1)+1,
      IF(
        _xlpm._対象月初&gt;_xlpm._今月初,
        IF(
          OR(AZ76="",AZ76=0),
          "",
          AZ76*BA$107
        ),
        _xlfn.LET(
          _xlpm._参照先,
            "'[在庫状況把握_43期_2025-2026.xlsx]月次報告"
            &amp;TEXT(BA$1,"YYMM")
            &amp;"'!",
          _xlpm._戻り範囲,
            IF(
              _xlpm._対象月初=_xlpm._今月初,
              "$AG$1:$AG$300",
              "$G$1:$G$300"
            ),
          _xlfn.XLOOKUP(
            $C76,
            INDIRECT(_xlpm._参照先&amp;"$C$1:$C$300"),
            INDIRECT(_xlpm._参照先&amp;_xlpm._戻り範囲)
          )
        )
      )
    ),
    ""
  )
)</f>
        <v>7.7000145002087859</v>
      </c>
      <c r="BB76" s="223" cm="1">
        <f t="array" aca="1" ref="BB76" ca="1">IF($C76="","",
  IFERROR(
    _xlfn.LET(
      _xlpm._対象月初,EOMONTH(BB$1,-1)+1,
      _xlpm._今月初,EOMONTH(基準データ!$C$5,-1)+1,
      IF(
        _xlpm._対象月初&gt;_xlpm._今月初,
        IF(
          OR(BA76="",BA76=0),
          "",
          BA76*BB$107
        ),
        _xlfn.LET(
          _xlpm._参照先,
            "'[在庫状況把握_43期_2025-2026.xlsx]月次報告"
            &amp;TEXT(BB$1,"YYMM")
            &amp;"'!",
          _xlpm._戻り範囲,
            IF(
              _xlpm._対象月初=_xlpm._今月初,
              "$AG$1:$AG$300",
              "$G$1:$G$300"
            ),
          _xlfn.XLOOKUP(
            $C76,
            INDIRECT(_xlpm._参照先&amp;"$C$1:$C$300"),
            INDIRECT(_xlpm._参照先&amp;_xlpm._戻り範囲)
          )
        )
      )
    ),
    ""
  )
)</f>
        <v>8.2920868755623314</v>
      </c>
      <c r="BC76" s="223" cm="1">
        <f t="array" aca="1" ref="BC76" ca="1">IF($C76="","",
  IFERROR(
    _xlfn.LET(
      _xlpm._対象月初,EOMONTH(BC$1,-1)+1,
      _xlpm._今月初,EOMONTH(基準データ!$C$5,-1)+1,
      IF(
        _xlpm._対象月初&gt;_xlpm._今月初,
        IF(
          OR(BB76="",BB76=0),
          "",
          BB76*BC$107
        ),
        _xlfn.LET(
          _xlpm._参照先,
            "'[在庫状況把握_43期_2025-2026.xlsx]月次報告"
            &amp;TEXT(BC$1,"YYMM")
            &amp;"'!",
          _xlpm._戻り範囲,
            IF(
              _xlpm._対象月初=_xlpm._今月初,
              "$AG$1:$AG$300",
              "$G$1:$G$300"
            ),
          _xlfn.XLOOKUP(
            $C76,
            INDIRECT(_xlpm._参照先&amp;"$C$1:$C$300"),
            INDIRECT(_xlpm._参照先&amp;_xlpm._戻り範囲)
          )
        )
      )
    ),
    ""
  )
)</f>
        <v>8.5818936810063544</v>
      </c>
      <c r="BD76" s="223" cm="1">
        <f t="array" aca="1" ref="BD76" ca="1">IF($C76="","",
  IFERROR(
    _xlfn.LET(
      _xlpm._対象月初,EOMONTH(BD$1,-1)+1,
      _xlpm._今月初,EOMONTH(基準データ!$C$5,-1)+1,
      IF(
        _xlpm._対象月初&gt;_xlpm._今月初,
        IF(
          OR(BC76="",BC76=0),
          "",
          BC76*BD$107
        ),
        _xlfn.LET(
          _xlpm._参照先,
            "'[在庫状況把握_43期_2025-2026.xlsx]月次報告"
            &amp;TEXT(BD$1,"YYMM")
            &amp;"'!",
          _xlpm._戻り範囲,
            IF(
              _xlpm._対象月初=_xlpm._今月初,
              "$AG$1:$AG$300",
              "$G$1:$G$300"
            ),
          _xlfn.XLOOKUP(
            $C76,
            INDIRECT(_xlpm._参照先&amp;"$C$1:$C$300"),
            INDIRECT(_xlpm._参照先&amp;_xlpm._戻り範囲)
          )
        )
      )
    ),
    ""
  )
)</f>
        <v>12.649094876231944</v>
      </c>
    </row>
    <row r="77" spans="1:56" ht="18.75" customHeight="1">
      <c r="A77" s="1070"/>
      <c r="B77" s="304" t="str">
        <v/>
      </c>
      <c r="C77" s="305"/>
      <c r="D77" s="305"/>
      <c r="E77" s="108"/>
      <c r="F77" s="306"/>
      <c r="G77" s="74" t="str">
        <v/>
      </c>
      <c r="H77" s="109" t="str" cm="1">
        <f t="array" aca="1" ref="H77" ca="1">_xlfn.LET(_xlpm._来月から4ヶ月計画合計,
  SUM(
    OFFSET($A77,0,
      MATCH(
        EDATE(基準データ!$C$5,3),$A$1:$BF$1,1
      )-3,1,4)),
_xlpm._今月計画数,
INDEX($A$1:$BE$223,
  ROW(),
  MATCH(EOMONTH(基準データ!$C$5,-1)+1,$A$1:$BE$1,0)
),
  IFERROR(IF($B77="","",_xlpm._来月から4ヶ月計画合計+_xlpm._今月計画数/2),""
)
)</f>
        <v/>
      </c>
      <c r="I77" s="268"/>
      <c r="J77" s="268"/>
      <c r="K77" s="268"/>
      <c r="L77" s="269"/>
      <c r="M77" s="180"/>
      <c r="N77" s="180"/>
      <c r="O77" s="180"/>
      <c r="P77" s="180"/>
      <c r="Q77" s="299"/>
      <c r="R77" s="224"/>
      <c r="S77" s="224"/>
      <c r="T77" s="224"/>
      <c r="U77" s="224"/>
      <c r="V77" s="224"/>
      <c r="W77" s="335"/>
      <c r="X77" s="335"/>
      <c r="Y77" s="335"/>
      <c r="Z77" s="224"/>
      <c r="AA77" s="224"/>
      <c r="AB77" s="224"/>
      <c r="AC77" s="224"/>
      <c r="AD77" s="224" t="s">
        <v>21</v>
      </c>
      <c r="AE77" s="223" t="s">
        <v>21</v>
      </c>
      <c r="AF77" s="223" t="s">
        <v>21</v>
      </c>
      <c r="AG77" s="223" t="s">
        <v>21</v>
      </c>
      <c r="AH77" s="223" t="s">
        <v>21</v>
      </c>
      <c r="AI77" s="223" t="s">
        <v>21</v>
      </c>
      <c r="AJ77" s="223" t="s">
        <v>21</v>
      </c>
      <c r="AK77" s="223" t="s">
        <v>21</v>
      </c>
      <c r="AL77" s="223" t="str" cm="1">
        <f t="array" aca="1" ref="AL77" ca="1">IF($C77="","",
  IFERROR(
    _xlfn.LET(
      _xlpm._対象月初,EOMONTH(AL$1,-1)+1,
      _xlpm._今月初,EOMONTH(基準データ!$C$5,-1)+1,
      IF(
        _xlpm._対象月初&gt;_xlpm._今月初,
        IF(
          OR(AK77="",AK77=0),
          "",
          AK77*AL$107
        ),
        _xlfn.LET(
          _xlpm._参照先,
            "'[在庫状況把握_43期_2025-2026.xlsx]月次報告"
            &amp;TEXT(AL$1,"YYMM")
            &amp;"'!",
          _xlpm._戻り範囲,
            IF(
              _xlpm._対象月初=_xlpm._今月初,
              "$AG$1:$AG$300",
              "$G$1:$G$300"
            ),
          _xlfn.XLOOKUP(
            $C77,
            INDIRECT(_xlpm._参照先&amp;"$C$1:$C$300"),
            INDIRECT(_xlpm._参照先&amp;_xlpm._戻り範囲)
          )
        )
      )
    ),
    ""
  )
)</f>
        <v/>
      </c>
      <c r="AM77" s="223" t="str" cm="1">
        <f t="array" aca="1" ref="AM77" ca="1">IF($C77="","",
  IFERROR(
    _xlfn.LET(
      _xlpm._対象月初,EOMONTH(AM$1,-1)+1,
      _xlpm._今月初,EOMONTH(基準データ!$C$5,-1)+1,
      IF(
        _xlpm._対象月初&gt;_xlpm._今月初,
        IF(
          OR(AL77="",AL77=0),
          "",
          AL77*AM$107
        ),
        _xlfn.LET(
          _xlpm._参照先,
            "'[在庫状況把握_43期_2025-2026.xlsx]月次報告"
            &amp;TEXT(AM$1,"YYMM")
            &amp;"'!",
          _xlpm._戻り範囲,
            IF(
              _xlpm._対象月初=_xlpm._今月初,
              "$AG$1:$AG$300",
              "$G$1:$G$300"
            ),
          _xlfn.XLOOKUP(
            $C77,
            INDIRECT(_xlpm._参照先&amp;"$C$1:$C$300"),
            INDIRECT(_xlpm._参照先&amp;_xlpm._戻り範囲)
          )
        )
      )
    ),
    ""
  )
)</f>
        <v/>
      </c>
      <c r="AN77" s="223" t="str" cm="1">
        <f t="array" aca="1" ref="AN77" ca="1">IF($C77="","",
  IFERROR(
    _xlfn.LET(
      _xlpm._対象月初,EOMONTH(AN$1,-1)+1,
      _xlpm._今月初,EOMONTH(基準データ!$C$5,-1)+1,
      IF(
        _xlpm._対象月初&gt;_xlpm._今月初,
        IF(
          OR(AM77="",AM77=0),
          "",
          AM77*AN$107
        ),
        _xlfn.LET(
          _xlpm._参照先,
            "'[在庫状況把握_43期_2025-2026.xlsx]月次報告"
            &amp;TEXT(AN$1,"YYMM")
            &amp;"'!",
          _xlpm._戻り範囲,
            IF(
              _xlpm._対象月初=_xlpm._今月初,
              "$AG$1:$AG$300",
              "$G$1:$G$300"
            ),
          _xlfn.XLOOKUP(
            $C77,
            INDIRECT(_xlpm._参照先&amp;"$C$1:$C$300"),
            INDIRECT(_xlpm._参照先&amp;_xlpm._戻り範囲)
          )
        )
      )
    ),
    ""
  )
)</f>
        <v/>
      </c>
      <c r="AO77" s="223" t="str" cm="1">
        <f t="array" aca="1" ref="AO77" ca="1">IF($C77="","",
  IFERROR(
    _xlfn.LET(
      _xlpm._対象月初,EOMONTH(AO$1,-1)+1,
      _xlpm._今月初,EOMONTH(基準データ!$C$5,-1)+1,
      IF(
        _xlpm._対象月初&gt;_xlpm._今月初,
        IF(
          OR(AN77="",AN77=0),
          "",
          AN77*AO$107
        ),
        _xlfn.LET(
          _xlpm._参照先,
            "'[在庫状況把握_43期_2025-2026.xlsx]月次報告"
            &amp;TEXT(AO$1,"YYMM")
            &amp;"'!",
          _xlpm._戻り範囲,
            IF(
              _xlpm._対象月初=_xlpm._今月初,
              "$AG$1:$AG$300",
              "$G$1:$G$300"
            ),
          _xlfn.XLOOKUP(
            $C77,
            INDIRECT(_xlpm._参照先&amp;"$C$1:$C$300"),
            INDIRECT(_xlpm._参照先&amp;_xlpm._戻り範囲)
          )
        )
      )
    ),
    ""
  )
)</f>
        <v/>
      </c>
      <c r="AP77" s="223" t="str" cm="1">
        <f t="array" aca="1" ref="AP77" ca="1">IF($C77="","",
  IFERROR(
    _xlfn.LET(
      _xlpm._対象月初,EOMONTH(AP$1,-1)+1,
      _xlpm._今月初,EOMONTH(基準データ!$C$5,-1)+1,
      IF(
        _xlpm._対象月初&gt;_xlpm._今月初,
        IF(
          OR(AO77="",AO77=0),
          "",
          AO77*AP$107
        ),
        _xlfn.LET(
          _xlpm._参照先,
            "'[在庫状況把握_43期_2025-2026.xlsx]月次報告"
            &amp;TEXT(AP$1,"YYMM")
            &amp;"'!",
          _xlpm._戻り範囲,
            IF(
              _xlpm._対象月初=_xlpm._今月初,
              "$AG$1:$AG$300",
              "$G$1:$G$300"
            ),
          _xlfn.XLOOKUP(
            $C77,
            INDIRECT(_xlpm._参照先&amp;"$C$1:$C$300"),
            INDIRECT(_xlpm._参照先&amp;_xlpm._戻り範囲)
          )
        )
      )
    ),
    ""
  )
)</f>
        <v/>
      </c>
      <c r="AQ77" s="223" t="str" cm="1">
        <f t="array" aca="1" ref="AQ77" ca="1">IF($C77="","",
  IFERROR(
    _xlfn.LET(
      _xlpm._対象月初,EOMONTH(AQ$1,-1)+1,
      _xlpm._今月初,EOMONTH(基準データ!$C$5,-1)+1,
      IF(
        _xlpm._対象月初&gt;_xlpm._今月初,
        IF(
          OR(AP77="",AP77=0),
          "",
          AP77*AQ$107
        ),
        _xlfn.LET(
          _xlpm._参照先,
            "'[在庫状況把握_43期_2025-2026.xlsx]月次報告"
            &amp;TEXT(AQ$1,"YYMM")
            &amp;"'!",
          _xlpm._戻り範囲,
            IF(
              _xlpm._対象月初=_xlpm._今月初,
              "$AG$1:$AG$300",
              "$G$1:$G$300"
            ),
          _xlfn.XLOOKUP(
            $C77,
            INDIRECT(_xlpm._参照先&amp;"$C$1:$C$300"),
            INDIRECT(_xlpm._参照先&amp;_xlpm._戻り範囲)
          )
        )
      )
    ),
    ""
  )
)</f>
        <v/>
      </c>
      <c r="AR77" s="223" t="str" cm="1">
        <f t="array" aca="1" ref="AR77" ca="1">IF($C77="","",
  IFERROR(
    _xlfn.LET(
      _xlpm._対象月初,EOMONTH(AR$1,-1)+1,
      _xlpm._今月初,EOMONTH(基準データ!$C$5,-1)+1,
      IF(
        _xlpm._対象月初&gt;_xlpm._今月初,
        IF(
          OR(AQ77="",AQ77=0),
          "",
          AQ77*AR$107
        ),
        _xlfn.LET(
          _xlpm._参照先,
            "'[在庫状況把握_43期_2025-2026.xlsx]月次報告"
            &amp;TEXT(AR$1,"YYMM")
            &amp;"'!",
          _xlpm._戻り範囲,
            IF(
              _xlpm._対象月初=_xlpm._今月初,
              "$AG$1:$AG$300",
              "$G$1:$G$300"
            ),
          _xlfn.XLOOKUP(
            $C77,
            INDIRECT(_xlpm._参照先&amp;"$C$1:$C$300"),
            INDIRECT(_xlpm._参照先&amp;_xlpm._戻り範囲)
          )
        )
      )
    ),
    ""
  )
)</f>
        <v/>
      </c>
      <c r="AS77" s="223" t="str" cm="1">
        <f t="array" aca="1" ref="AS77" ca="1">IF($C77="","",
  IFERROR(
    _xlfn.LET(
      _xlpm._対象月初,EOMONTH(AS$1,-1)+1,
      _xlpm._今月初,EOMONTH(基準データ!$C$5,-1)+1,
      IF(
        _xlpm._対象月初&gt;_xlpm._今月初,
        IF(
          OR(AR77="",AR77=0),
          "",
          AR77*AS$107
        ),
        _xlfn.LET(
          _xlpm._参照先,
            "'[在庫状況把握_43期_2025-2026.xlsx]月次報告"
            &amp;TEXT(AS$1,"YYMM")
            &amp;"'!",
          _xlpm._戻り範囲,
            IF(
              _xlpm._対象月初=_xlpm._今月初,
              "$AG$1:$AG$300",
              "$G$1:$G$300"
            ),
          _xlfn.XLOOKUP(
            $C77,
            INDIRECT(_xlpm._参照先&amp;"$C$1:$C$300"),
            INDIRECT(_xlpm._参照先&amp;_xlpm._戻り範囲)
          )
        )
      )
    ),
    ""
  )
)</f>
        <v/>
      </c>
      <c r="AT77" s="223" t="str" cm="1">
        <f t="array" aca="1" ref="AT77" ca="1">IF($C77="","",
  IFERROR(
    _xlfn.LET(
      _xlpm._対象月初,EOMONTH(AT$1,-1)+1,
      _xlpm._今月初,EOMONTH(基準データ!$C$5,-1)+1,
      IF(
        _xlpm._対象月初&gt;_xlpm._今月初,
        IF(
          OR(AS77="",AS77=0),
          "",
          AS77*AT$107
        ),
        _xlfn.LET(
          _xlpm._参照先,
            "'[在庫状況把握_43期_2025-2026.xlsx]月次報告"
            &amp;TEXT(AT$1,"YYMM")
            &amp;"'!",
          _xlpm._戻り範囲,
            IF(
              _xlpm._対象月初=_xlpm._今月初,
              "$AG$1:$AG$300",
              "$G$1:$G$300"
            ),
          _xlfn.XLOOKUP(
            $C77,
            INDIRECT(_xlpm._参照先&amp;"$C$1:$C$300"),
            INDIRECT(_xlpm._参照先&amp;_xlpm._戻り範囲)
          )
        )
      )
    ),
    ""
  )
)</f>
        <v/>
      </c>
      <c r="AU77" s="223" t="str" cm="1">
        <f t="array" aca="1" ref="AU77" ca="1">IF($C77="","",
  IFERROR(
    _xlfn.LET(
      _xlpm._対象月初,EOMONTH(AU$1,-1)+1,
      _xlpm._今月初,EOMONTH(基準データ!$C$5,-1)+1,
      IF(
        _xlpm._対象月初&gt;_xlpm._今月初,
        IF(
          OR(AT77="",AT77=0),
          "",
          AT77*AU$107
        ),
        _xlfn.LET(
          _xlpm._参照先,
            "'[在庫状況把握_43期_2025-2026.xlsx]月次報告"
            &amp;TEXT(AU$1,"YYMM")
            &amp;"'!",
          _xlpm._戻り範囲,
            IF(
              _xlpm._対象月初=_xlpm._今月初,
              "$AG$1:$AG$300",
              "$G$1:$G$300"
            ),
          _xlfn.XLOOKUP(
            $C77,
            INDIRECT(_xlpm._参照先&amp;"$C$1:$C$300"),
            INDIRECT(_xlpm._参照先&amp;_xlpm._戻り範囲)
          )
        )
      )
    ),
    ""
  )
)</f>
        <v/>
      </c>
      <c r="AV77" s="223" t="str" cm="1">
        <f t="array" aca="1" ref="AV77" ca="1">IF($C77="","",
  IFERROR(
    _xlfn.LET(
      _xlpm._対象月初,EOMONTH(AV$1,-1)+1,
      _xlpm._今月初,EOMONTH(基準データ!$C$5,-1)+1,
      IF(
        _xlpm._対象月初&gt;_xlpm._今月初,
        IF(
          OR(AU77="",AU77=0),
          "",
          AU77*AV$107
        ),
        _xlfn.LET(
          _xlpm._参照先,
            "'[在庫状況把握_43期_2025-2026.xlsx]月次報告"
            &amp;TEXT(AV$1,"YYMM")
            &amp;"'!",
          _xlpm._戻り範囲,
            IF(
              _xlpm._対象月初=_xlpm._今月初,
              "$AG$1:$AG$300",
              "$G$1:$G$300"
            ),
          _xlfn.XLOOKUP(
            $C77,
            INDIRECT(_xlpm._参照先&amp;"$C$1:$C$300"),
            INDIRECT(_xlpm._参照先&amp;_xlpm._戻り範囲)
          )
        )
      )
    ),
    ""
  )
)</f>
        <v/>
      </c>
      <c r="AW77" s="223" t="str" cm="1">
        <f t="array" aca="1" ref="AW77" ca="1">IF($C77="","",
  IFERROR(
    _xlfn.LET(
      _xlpm._対象月初,EOMONTH(AW$1,-1)+1,
      _xlpm._今月初,EOMONTH(基準データ!$C$5,-1)+1,
      IF(
        _xlpm._対象月初&gt;_xlpm._今月初,
        IF(
          OR(AV77="",AV77=0),
          "",
          AV77*AW$107
        ),
        _xlfn.LET(
          _xlpm._参照先,
            "'[在庫状況把握_43期_2025-2026.xlsx]月次報告"
            &amp;TEXT(AW$1,"YYMM")
            &amp;"'!",
          _xlpm._戻り範囲,
            IF(
              _xlpm._対象月初=_xlpm._今月初,
              "$AG$1:$AG$300",
              "$G$1:$G$300"
            ),
          _xlfn.XLOOKUP(
            $C77,
            INDIRECT(_xlpm._参照先&amp;"$C$1:$C$300"),
            INDIRECT(_xlpm._参照先&amp;_xlpm._戻り範囲)
          )
        )
      )
    ),
    ""
  )
)</f>
        <v/>
      </c>
      <c r="AX77" s="223" t="str" cm="1">
        <f t="array" aca="1" ref="AX77" ca="1">IF($C77="","",
  IFERROR(
    _xlfn.LET(
      _xlpm._対象月初,EOMONTH(AX$1,-1)+1,
      _xlpm._今月初,EOMONTH(基準データ!$C$5,-1)+1,
      IF(
        _xlpm._対象月初&gt;_xlpm._今月初,
        IF(
          OR(AW77="",AW77=0),
          "",
          AW77*AX$107
        ),
        _xlfn.LET(
          _xlpm._参照先,
            "'[在庫状況把握_43期_2025-2026.xlsx]月次報告"
            &amp;TEXT(AX$1,"YYMM")
            &amp;"'!",
          _xlpm._戻り範囲,
            IF(
              _xlpm._対象月初=_xlpm._今月初,
              "$AG$1:$AG$300",
              "$G$1:$G$300"
            ),
          _xlfn.XLOOKUP(
            $C77,
            INDIRECT(_xlpm._参照先&amp;"$C$1:$C$300"),
            INDIRECT(_xlpm._参照先&amp;_xlpm._戻り範囲)
          )
        )
      )
    ),
    ""
  )
)</f>
        <v/>
      </c>
      <c r="AY77" s="223" t="str" cm="1">
        <f t="array" aca="1" ref="AY77" ca="1">IF($C77="","",
  IFERROR(
    _xlfn.LET(
      _xlpm._対象月初,EOMONTH(AY$1,-1)+1,
      _xlpm._今月初,EOMONTH(基準データ!$C$5,-1)+1,
      IF(
        _xlpm._対象月初&gt;_xlpm._今月初,
        IF(
          OR(AX77="",AX77=0),
          "",
          AX77*AY$107
        ),
        _xlfn.LET(
          _xlpm._参照先,
            "'[在庫状況把握_43期_2025-2026.xlsx]月次報告"
            &amp;TEXT(AY$1,"YYMM")
            &amp;"'!",
          _xlpm._戻り範囲,
            IF(
              _xlpm._対象月初=_xlpm._今月初,
              "$AG$1:$AG$300",
              "$G$1:$G$300"
            ),
          _xlfn.XLOOKUP(
            $C77,
            INDIRECT(_xlpm._参照先&amp;"$C$1:$C$300"),
            INDIRECT(_xlpm._参照先&amp;_xlpm._戻り範囲)
          )
        )
      )
    ),
    ""
  )
)</f>
        <v/>
      </c>
      <c r="AZ77" s="223" t="str" cm="1">
        <f t="array" aca="1" ref="AZ77" ca="1">IF($C77="","",
  IFERROR(
    _xlfn.LET(
      _xlpm._対象月初,EOMONTH(AZ$1,-1)+1,
      _xlpm._今月初,EOMONTH(基準データ!$C$5,-1)+1,
      IF(
        _xlpm._対象月初&gt;_xlpm._今月初,
        IF(
          OR(AY77="",AY77=0),
          "",
          AY77*AZ$107
        ),
        _xlfn.LET(
          _xlpm._参照先,
            "'[在庫状況把握_43期_2025-2026.xlsx]月次報告"
            &amp;TEXT(AZ$1,"YYMM")
            &amp;"'!",
          _xlpm._戻り範囲,
            IF(
              _xlpm._対象月初=_xlpm._今月初,
              "$AG$1:$AG$300",
              "$G$1:$G$300"
            ),
          _xlfn.XLOOKUP(
            $C77,
            INDIRECT(_xlpm._参照先&amp;"$C$1:$C$300"),
            INDIRECT(_xlpm._参照先&amp;_xlpm._戻り範囲)
          )
        )
      )
    ),
    ""
  )
)</f>
        <v/>
      </c>
      <c r="BA77" s="223" t="str" cm="1">
        <f t="array" aca="1" ref="BA77" ca="1">IF($C77="","",
  IFERROR(
    _xlfn.LET(
      _xlpm._対象月初,EOMONTH(BA$1,-1)+1,
      _xlpm._今月初,EOMONTH(基準データ!$C$5,-1)+1,
      IF(
        _xlpm._対象月初&gt;_xlpm._今月初,
        IF(
          OR(AZ77="",AZ77=0),
          "",
          AZ77*BA$107
        ),
        _xlfn.LET(
          _xlpm._参照先,
            "'[在庫状況把握_43期_2025-2026.xlsx]月次報告"
            &amp;TEXT(BA$1,"YYMM")
            &amp;"'!",
          _xlpm._戻り範囲,
            IF(
              _xlpm._対象月初=_xlpm._今月初,
              "$AG$1:$AG$300",
              "$G$1:$G$300"
            ),
          _xlfn.XLOOKUP(
            $C77,
            INDIRECT(_xlpm._参照先&amp;"$C$1:$C$300"),
            INDIRECT(_xlpm._参照先&amp;_xlpm._戻り範囲)
          )
        )
      )
    ),
    ""
  )
)</f>
        <v/>
      </c>
      <c r="BB77" s="223" t="str" cm="1">
        <f t="array" aca="1" ref="BB77" ca="1">IF($C77="","",
  IFERROR(
    _xlfn.LET(
      _xlpm._対象月初,EOMONTH(BB$1,-1)+1,
      _xlpm._今月初,EOMONTH(基準データ!$C$5,-1)+1,
      IF(
        _xlpm._対象月初&gt;_xlpm._今月初,
        IF(
          OR(BA77="",BA77=0),
          "",
          BA77*BB$107
        ),
        _xlfn.LET(
          _xlpm._参照先,
            "'[在庫状況把握_43期_2025-2026.xlsx]月次報告"
            &amp;TEXT(BB$1,"YYMM")
            &amp;"'!",
          _xlpm._戻り範囲,
            IF(
              _xlpm._対象月初=_xlpm._今月初,
              "$AG$1:$AG$300",
              "$G$1:$G$300"
            ),
          _xlfn.XLOOKUP(
            $C77,
            INDIRECT(_xlpm._参照先&amp;"$C$1:$C$300"),
            INDIRECT(_xlpm._参照先&amp;_xlpm._戻り範囲)
          )
        )
      )
    ),
    ""
  )
)</f>
        <v/>
      </c>
      <c r="BC77" s="223" t="str" cm="1">
        <f t="array" aca="1" ref="BC77" ca="1">IF($C77="","",
  IFERROR(
    _xlfn.LET(
      _xlpm._対象月初,EOMONTH(BC$1,-1)+1,
      _xlpm._今月初,EOMONTH(基準データ!$C$5,-1)+1,
      IF(
        _xlpm._対象月初&gt;_xlpm._今月初,
        IF(
          OR(BB77="",BB77=0),
          "",
          BB77*BC$107
        ),
        _xlfn.LET(
          _xlpm._参照先,
            "'[在庫状況把握_43期_2025-2026.xlsx]月次報告"
            &amp;TEXT(BC$1,"YYMM")
            &amp;"'!",
          _xlpm._戻り範囲,
            IF(
              _xlpm._対象月初=_xlpm._今月初,
              "$AG$1:$AG$300",
              "$G$1:$G$300"
            ),
          _xlfn.XLOOKUP(
            $C77,
            INDIRECT(_xlpm._参照先&amp;"$C$1:$C$300"),
            INDIRECT(_xlpm._参照先&amp;_xlpm._戻り範囲)
          )
        )
      )
    ),
    ""
  )
)</f>
        <v/>
      </c>
      <c r="BD77" s="223" t="str" cm="1">
        <f t="array" aca="1" ref="BD77" ca="1">IF($C77="","",
  IFERROR(
    _xlfn.LET(
      _xlpm._対象月初,EOMONTH(BD$1,-1)+1,
      _xlpm._今月初,EOMONTH(基準データ!$C$5,-1)+1,
      IF(
        _xlpm._対象月初&gt;_xlpm._今月初,
        IF(
          OR(BC77="",BC77=0),
          "",
          BC77*BD$107
        ),
        _xlfn.LET(
          _xlpm._参照先,
            "'[在庫状況把握_43期_2025-2026.xlsx]月次報告"
            &amp;TEXT(BD$1,"YYMM")
            &amp;"'!",
          _xlpm._戻り範囲,
            IF(
              _xlpm._対象月初=_xlpm._今月初,
              "$AG$1:$AG$300",
              "$G$1:$G$300"
            ),
          _xlfn.XLOOKUP(
            $C77,
            INDIRECT(_xlpm._参照先&amp;"$C$1:$C$300"),
            INDIRECT(_xlpm._参照先&amp;_xlpm._戻り範囲)
          )
        )
      )
    ),
    ""
  )
)</f>
        <v/>
      </c>
    </row>
    <row r="78" spans="1:56" ht="18.75" customHeight="1">
      <c r="A78" s="1070" t="s">
        <v>1473</v>
      </c>
      <c r="B78" s="304" t="str">
        <v>CLE-L24-258V-UMA-32G-L7 Thirdwave</v>
      </c>
      <c r="C78" s="305" t="s">
        <v>724</v>
      </c>
      <c r="D78" s="305"/>
      <c r="E78" s="108" t="s">
        <v>1416</v>
      </c>
      <c r="F78" s="306"/>
      <c r="G78" s="74">
        <v>62</v>
      </c>
      <c r="H78" s="109" cm="1">
        <f t="array" aca="1" ref="H78" ca="1">_xlfn.LET(_xlpm._来月から4ヶ月計画合計,
  SUM(
    OFFSET($A78,0,
      MATCH(
        EDATE(基準データ!$C$5,3),$A$1:$BF$1,1
      )-3,1,4)),
_xlpm._今月計画数,
INDEX($A$1:$BE$223,
  ROW(),
  MATCH(EOMONTH(基準データ!$C$5,-1)+1,$A$1:$BE$1,0)
),
  IFERROR(IF($B78="","",_xlpm._来月から4ヶ月計画合計+_xlpm._今月計画数/2),""
)
)</f>
        <v>1321.4361882116095</v>
      </c>
      <c r="I78" s="268"/>
      <c r="J78" s="268"/>
      <c r="K78" s="268"/>
      <c r="L78" s="269"/>
      <c r="M78" s="180"/>
      <c r="N78" s="180"/>
      <c r="O78" s="180"/>
      <c r="P78" s="180"/>
      <c r="Q78" s="299"/>
      <c r="R78" s="299"/>
      <c r="S78" s="299"/>
      <c r="T78" s="224"/>
      <c r="U78" s="224"/>
      <c r="V78" s="224"/>
      <c r="W78" s="335"/>
      <c r="X78" s="335"/>
      <c r="Y78" s="335"/>
      <c r="Z78" s="224"/>
      <c r="AA78" s="224"/>
      <c r="AB78" s="224"/>
      <c r="AC78" s="224"/>
      <c r="AD78" s="224">
        <v>52</v>
      </c>
      <c r="AE78" s="223">
        <v>14</v>
      </c>
      <c r="AF78" s="223">
        <v>46</v>
      </c>
      <c r="AG78" s="223">
        <v>168</v>
      </c>
      <c r="AH78" s="223">
        <v>224</v>
      </c>
      <c r="AI78" s="223">
        <v>39</v>
      </c>
      <c r="AJ78" s="223">
        <v>42</v>
      </c>
      <c r="AK78" s="223">
        <v>91</v>
      </c>
      <c r="AL78" s="223" cm="1">
        <f t="array" aca="1" ref="AL78" ca="1">IF($C78="","",
  IFERROR(
    _xlfn.LET(
      _xlpm._対象月初,EOMONTH(AL$1,-1)+1,
      _xlpm._今月初,EOMONTH(基準データ!$C$5,-1)+1,
      IF(
        _xlpm._対象月初&gt;_xlpm._今月初,
        IF(
          OR(AK78="",AK78=0),
          "",
          AK78*AL$107
        ),
        _xlfn.LET(
          _xlpm._参照先,
            "'[在庫状況把握_43期_2025-2026.xlsx]月次報告"
            &amp;TEXT(AL$1,"YYMM")
            &amp;"'!",
          _xlpm._戻り範囲,
            IF(
              _xlpm._対象月初=_xlpm._今月初,
              "$AG$1:$AG$300",
              "$G$1:$G$300"
            ),
          _xlfn.XLOOKUP(
            $C78,
            INDIRECT(_xlpm._参照先&amp;"$C$1:$C$300"),
            INDIRECT(_xlpm._参照先&amp;_xlpm._戻り範囲)
          )
        )
      )
    ),
    ""
  )
)</f>
        <v>260</v>
      </c>
      <c r="AM78" s="223" cm="1">
        <f t="array" aca="1" ref="AM78" ca="1">IF($C78="","",
  IFERROR(
    _xlfn.LET(
      _xlpm._対象月初,EOMONTH(AM$1,-1)+1,
      _xlpm._今月初,EOMONTH(基準データ!$C$5,-1)+1,
      IF(
        _xlpm._対象月初&gt;_xlpm._今月初,
        IF(
          OR(AL78="",AL78=0),
          "",
          AL78*AM$107
        ),
        _xlfn.LET(
          _xlpm._参照先,
            "'[在庫状況把握_43期_2025-2026.xlsx]月次報告"
            &amp;TEXT(AM$1,"YYMM")
            &amp;"'!",
          _xlpm._戻り範囲,
            IF(
              _xlpm._対象月初=_xlpm._今月初,
              "$AG$1:$AG$300",
              "$G$1:$G$300"
            ),
          _xlfn.XLOOKUP(
            $C78,
            INDIRECT(_xlpm._参照先&amp;"$C$1:$C$300"),
            INDIRECT(_xlpm._参照先&amp;_xlpm._戻り範囲)
          )
        )
      )
    ),
    ""
  )
)</f>
        <v>287.85714285714289</v>
      </c>
      <c r="AN78" s="223" cm="1">
        <f t="array" aca="1" ref="AN78" ca="1">IF($C78="","",
  IFERROR(
    _xlfn.LET(
      _xlpm._対象月初,EOMONTH(AN$1,-1)+1,
      _xlpm._今月初,EOMONTH(基準データ!$C$5,-1)+1,
      IF(
        _xlpm._対象月初&gt;_xlpm._今月初,
        IF(
          OR(AM78="",AM78=0),
          "",
          AM78*AN$107
        ),
        _xlfn.LET(
          _xlpm._参照先,
            "'[在庫状況把握_43期_2025-2026.xlsx]月次報告"
            &amp;TEXT(AN$1,"YYMM")
            &amp;"'!",
          _xlpm._戻り範囲,
            IF(
              _xlpm._対象月初=_xlpm._今月初,
              "$AG$1:$AG$300",
              "$G$1:$G$300"
            ),
          _xlfn.XLOOKUP(
            $C78,
            INDIRECT(_xlpm._参照先&amp;"$C$1:$C$300"),
            INDIRECT(_xlpm._参照先&amp;_xlpm._戻り範囲)
          )
        )
      )
    ),
    ""
  )
)</f>
        <v>264.75922895987503</v>
      </c>
      <c r="AO78" s="223" cm="1">
        <f t="array" aca="1" ref="AO78" ca="1">IF($C78="","",
  IFERROR(
    _xlfn.LET(
      _xlpm._対象月初,EOMONTH(AO$1,-1)+1,
      _xlpm._今月初,EOMONTH(基準データ!$C$5,-1)+1,
      IF(
        _xlpm._対象月初&gt;_xlpm._今月初,
        IF(
          OR(AN78="",AN78=0),
          "",
          AN78*AO$107
        ),
        _xlfn.LET(
          _xlpm._参照先,
            "'[在庫状況把握_43期_2025-2026.xlsx]月次報告"
            &amp;TEXT(AO$1,"YYMM")
            &amp;"'!",
          _xlpm._戻り範囲,
            IF(
              _xlpm._対象月初=_xlpm._今月初,
              "$AG$1:$AG$300",
              "$G$1:$G$300"
            ),
          _xlfn.XLOOKUP(
            $C78,
            INDIRECT(_xlpm._参照先&amp;"$C$1:$C$300"),
            INDIRECT(_xlpm._参照先&amp;_xlpm._戻り範囲)
          )
        )
      )
    ),
    ""
  )
)</f>
        <v>286.00053857918351</v>
      </c>
      <c r="AP78" s="223" cm="1">
        <f t="array" aca="1" ref="AP78" ca="1">IF($C78="","",
  IFERROR(
    _xlfn.LET(
      _xlpm._対象月初,EOMONTH(AP$1,-1)+1,
      _xlpm._今月初,EOMONTH(基準データ!$C$5,-1)+1,
      IF(
        _xlpm._対象月初&gt;_xlpm._今月初,
        IF(
          OR(AO78="",AO78=0),
          "",
          AO78*AP$107
        ),
        _xlfn.LET(
          _xlpm._参照先,
            "'[在庫状況把握_43期_2025-2026.xlsx]月次報告"
            &amp;TEXT(AP$1,"YYMM")
            &amp;"'!",
          _xlpm._戻り範囲,
            IF(
              _xlpm._対象月初=_xlpm._今月初,
              "$AG$1:$AG$300",
              "$G$1:$G$300"
            ),
          _xlfn.XLOOKUP(
            $C78,
            INDIRECT(_xlpm._参照先&amp;"$C$1:$C$300"),
            INDIRECT(_xlpm._参照先&amp;_xlpm._戻り範囲)
          )
        )
      )
    ),
    ""
  )
)</f>
        <v>307.99179823517233</v>
      </c>
      <c r="AQ78" s="223" cm="1">
        <f t="array" aca="1" ref="AQ78" ca="1">IF($C78="","",
  IFERROR(
    _xlfn.LET(
      _xlpm._対象月初,EOMONTH(AQ$1,-1)+1,
      _xlpm._今月初,EOMONTH(基準データ!$C$5,-1)+1,
      IF(
        _xlpm._対象月初&gt;_xlpm._今月初,
        IF(
          OR(AP78="",AP78=0),
          "",
          AP78*AQ$107
        ),
        _xlfn.LET(
          _xlpm._参照先,
            "'[在庫状況把握_43期_2025-2026.xlsx]月次報告"
            &amp;TEXT(AQ$1,"YYMM")
            &amp;"'!",
          _xlpm._戻り範囲,
            IF(
              _xlpm._対象月初=_xlpm._今月初,
              "$AG$1:$AG$300",
              "$G$1:$G$300"
            ),
          _xlfn.XLOOKUP(
            $C78,
            INDIRECT(_xlpm._参照先&amp;"$C$1:$C$300"),
            INDIRECT(_xlpm._参照先&amp;_xlpm._戻り範囲)
          )
        )
      )
    ),
    ""
  )
)</f>
        <v>318.75605100880745</v>
      </c>
      <c r="AR78" s="223" cm="1">
        <f t="array" aca="1" ref="AR78" ca="1">IF($C78="","",
  IFERROR(
    _xlfn.LET(
      _xlpm._対象月初,EOMONTH(AR$1,-1)+1,
      _xlpm._今月初,EOMONTH(基準データ!$C$5,-1)+1,
      IF(
        _xlpm._対象月初&gt;_xlpm._今月初,
        IF(
          OR(AQ78="",AQ78=0),
          "",
          AQ78*AR$107
        ),
        _xlfn.LET(
          _xlpm._参照先,
            "'[在庫状況把握_43期_2025-2026.xlsx]月次報告"
            &amp;TEXT(AR$1,"YYMM")
            &amp;"'!",
          _xlpm._戻り範囲,
            IF(
              _xlpm._対象月初=_xlpm._今月初,
              "$AG$1:$AG$300",
              "$G$1:$G$300"
            ),
          _xlfn.XLOOKUP(
            $C78,
            INDIRECT(_xlpm._参照先&amp;"$C$1:$C$300"),
            INDIRECT(_xlpm._参照先&amp;_xlpm._戻り範囲)
          )
        )
      )
    ),
    ""
  )
)</f>
        <v>469.82352397432936</v>
      </c>
      <c r="AS78" s="223" cm="1">
        <f t="array" aca="1" ref="AS78" ca="1">IF($C78="","",
  IFERROR(
    _xlfn.LET(
      _xlpm._対象月初,EOMONTH(AS$1,-1)+1,
      _xlpm._今月初,EOMONTH(基準データ!$C$5,-1)+1,
      IF(
        _xlpm._対象月初&gt;_xlpm._今月初,
        IF(
          OR(AR78="",AR78=0),
          "",
          AR78*AS$107
        ),
        _xlfn.LET(
          _xlpm._参照先,
            "'[在庫状況把握_43期_2025-2026.xlsx]月次報告"
            &amp;TEXT(AS$1,"YYMM")
            &amp;"'!",
          _xlpm._戻り範囲,
            IF(
              _xlpm._対象月初=_xlpm._今月初,
              "$AG$1:$AG$300",
              "$G$1:$G$300"
            ),
          _xlfn.XLOOKUP(
            $C78,
            INDIRECT(_xlpm._参照先&amp;"$C$1:$C$300"),
            INDIRECT(_xlpm._参照先&amp;_xlpm._戻り範囲)
          )
        )
      )
    ),
    ""
  )
)</f>
        <v>405.44290549652715</v>
      </c>
      <c r="AT78" s="223" cm="1">
        <f t="array" aca="1" ref="AT78" ca="1">IF($C78="","",
  IFERROR(
    _xlfn.LET(
      _xlpm._対象月初,EOMONTH(AT$1,-1)+1,
      _xlpm._今月初,EOMONTH(基準データ!$C$5,-1)+1,
      IF(
        _xlpm._対象月初&gt;_xlpm._今月初,
        IF(
          OR(AS78="",AS78=0),
          "",
          AS78*AT$107
        ),
        _xlfn.LET(
          _xlpm._参照先,
            "'[在庫状況把握_43期_2025-2026.xlsx]月次報告"
            &amp;TEXT(AT$1,"YYMM")
            &amp;"'!",
          _xlpm._戻り範囲,
            IF(
              _xlpm._対象月初=_xlpm._今月初,
              "$AG$1:$AG$300",
              "$G$1:$G$300"
            ),
          _xlfn.XLOOKUP(
            $C78,
            INDIRECT(_xlpm._参照先&amp;"$C$1:$C$300"),
            INDIRECT(_xlpm._参照先&amp;_xlpm._戻り範囲)
          )
        )
      )
    ),
    ""
  )
)</f>
        <v>382.25666701739863</v>
      </c>
      <c r="AU78" s="223" cm="1">
        <f t="array" aca="1" ref="AU78" ca="1">IF($C78="","",
  IFERROR(
    _xlfn.LET(
      _xlpm._対象月初,EOMONTH(AU$1,-1)+1,
      _xlpm._今月初,EOMONTH(基準データ!$C$5,-1)+1,
      IF(
        _xlpm._対象月初&gt;_xlpm._今月初,
        IF(
          OR(AT78="",AT78=0),
          "",
          AT78*AU$107
        ),
        _xlfn.LET(
          _xlpm._参照先,
            "'[在庫状況把握_43期_2025-2026.xlsx]月次報告"
            &amp;TEXT(AU$1,"YYMM")
            &amp;"'!",
          _xlpm._戻り範囲,
            IF(
              _xlpm._対象月初=_xlpm._今月初,
              "$AG$1:$AG$300",
              "$G$1:$G$300"
            ),
          _xlfn.XLOOKUP(
            $C78,
            INDIRECT(_xlpm._参照先&amp;"$C$1:$C$300"),
            INDIRECT(_xlpm._参照先&amp;_xlpm._戻り範囲)
          )
        )
      )
    ),
    ""
  )
)</f>
        <v>564.90819566801042</v>
      </c>
      <c r="AV78" s="223" cm="1">
        <f t="array" aca="1" ref="AV78" ca="1">IF($C78="","",
  IFERROR(
    _xlfn.LET(
      _xlpm._対象月初,EOMONTH(AV$1,-1)+1,
      _xlpm._今月初,EOMONTH(基準データ!$C$5,-1)+1,
      IF(
        _xlpm._対象月初&gt;_xlpm._今月初,
        IF(
          OR(AU78="",AU78=0),
          "",
          AU78*AV$107
        ),
        _xlfn.LET(
          _xlpm._参照先,
            "'[在庫状況把握_43期_2025-2026.xlsx]月次報告"
            &amp;TEXT(AV$1,"YYMM")
            &amp;"'!",
          _xlpm._戻り範囲,
            IF(
              _xlpm._対象月初=_xlpm._今月初,
              "$AG$1:$AG$300",
              "$G$1:$G$300"
            ),
          _xlfn.XLOOKUP(
            $C78,
            INDIRECT(_xlpm._参照先&amp;"$C$1:$C$300"),
            INDIRECT(_xlpm._参照先&amp;_xlpm._戻り範囲)
          )
        )
      )
    ),
    ""
  )
)</f>
        <v>346.87175945340124</v>
      </c>
      <c r="AW78" s="223" cm="1">
        <f t="array" aca="1" ref="AW78" ca="1">IF($C78="","",
  IFERROR(
    _xlfn.LET(
      _xlpm._対象月初,EOMONTH(AW$1,-1)+1,
      _xlpm._今月初,EOMONTH(基準データ!$C$5,-1)+1,
      IF(
        _xlpm._対象月初&gt;_xlpm._今月初,
        IF(
          OR(AV78="",AV78=0),
          "",
          AV78*AW$107
        ),
        _xlfn.LET(
          _xlpm._参照先,
            "'[在庫状況把握_43期_2025-2026.xlsx]月次報告"
            &amp;TEXT(AW$1,"YYMM")
            &amp;"'!",
          _xlpm._戻り範囲,
            IF(
              _xlpm._対象月初=_xlpm._今月初,
              "$AG$1:$AG$300",
              "$G$1:$G$300"
            ),
          _xlfn.XLOOKUP(
            $C78,
            INDIRECT(_xlpm._参照先&amp;"$C$1:$C$300"),
            INDIRECT(_xlpm._参照先&amp;_xlpm._戻り範囲)
          )
        )
      )
    ),
    ""
  )
)</f>
        <v>251.56191138250904</v>
      </c>
      <c r="AX78" s="223" cm="1">
        <f t="array" aca="1" ref="AX78" ca="1">IF($C78="","",
  IFERROR(
    _xlfn.LET(
      _xlpm._対象月初,EOMONTH(AX$1,-1)+1,
      _xlpm._今月初,EOMONTH(基準データ!$C$5,-1)+1,
      IF(
        _xlpm._対象月初&gt;_xlpm._今月初,
        IF(
          OR(AW78="",AW78=0),
          "",
          AW78*AX$107
        ),
        _xlfn.LET(
          _xlpm._参照先,
            "'[在庫状況把握_43期_2025-2026.xlsx]月次報告"
            &amp;TEXT(AX$1,"YYMM")
            &amp;"'!",
          _xlpm._戻り範囲,
            IF(
              _xlpm._対象月初=_xlpm._今月初,
              "$AG$1:$AG$300",
              "$G$1:$G$300"
            ),
          _xlfn.XLOOKUP(
            $C78,
            INDIRECT(_xlpm._参照先&amp;"$C$1:$C$300"),
            INDIRECT(_xlpm._参照先&amp;_xlpm._戻り範囲)
          )
        )
      )
    ),
    ""
  )
)</f>
        <v>262.306066264864</v>
      </c>
      <c r="AY78" s="223" cm="1">
        <f t="array" aca="1" ref="AY78" ca="1">IF($C78="","",
  IFERROR(
    _xlfn.LET(
      _xlpm._対象月初,EOMONTH(AY$1,-1)+1,
      _xlpm._今月初,EOMONTH(基準データ!$C$5,-1)+1,
      IF(
        _xlpm._対象月初&gt;_xlpm._今月初,
        IF(
          OR(AX78="",AX78=0),
          "",
          AX78*AY$107
        ),
        _xlfn.LET(
          _xlpm._参照先,
            "'[在庫状況把握_43期_2025-2026.xlsx]月次報告"
            &amp;TEXT(AY$1,"YYMM")
            &amp;"'!",
          _xlpm._戻り範囲,
            IF(
              _xlpm._対象月初=_xlpm._今月初,
              "$AG$1:$AG$300",
              "$G$1:$G$300"
            ),
          _xlfn.XLOOKUP(
            $C78,
            INDIRECT(_xlpm._参照先&amp;"$C$1:$C$300"),
            INDIRECT(_xlpm._参照先&amp;_xlpm._戻り範囲)
          )
        )
      )
    ),
    ""
  )
)</f>
        <v>287.85714285714283</v>
      </c>
      <c r="AZ78" s="223" cm="1">
        <f t="array" aca="1" ref="AZ78" ca="1">IF($C78="","",
  IFERROR(
    _xlfn.LET(
      _xlpm._対象月初,EOMONTH(AZ$1,-1)+1,
      _xlpm._今月初,EOMONTH(基準データ!$C$5,-1)+1,
      IF(
        _xlpm._対象月初&gt;_xlpm._今月初,
        IF(
          OR(AY78="",AY78=0),
          "",
          AY78*AZ$107
        ),
        _xlfn.LET(
          _xlpm._参照先,
            "'[在庫状況把握_43期_2025-2026.xlsx]月次報告"
            &amp;TEXT(AZ$1,"YYMM")
            &amp;"'!",
          _xlpm._戻り範囲,
            IF(
              _xlpm._対象月初=_xlpm._今月初,
              "$AG$1:$AG$300",
              "$G$1:$G$300"
            ),
          _xlfn.XLOOKUP(
            $C78,
            INDIRECT(_xlpm._参照先&amp;"$C$1:$C$300"),
            INDIRECT(_xlpm._参照先&amp;_xlpm._戻り範囲)
          )
        )
      )
    ),
    ""
  )
)</f>
        <v>264.75922895987497</v>
      </c>
      <c r="BA78" s="223" cm="1">
        <f t="array" aca="1" ref="BA78" ca="1">IF($C78="","",
  IFERROR(
    _xlfn.LET(
      _xlpm._対象月初,EOMONTH(BA$1,-1)+1,
      _xlpm._今月初,EOMONTH(基準データ!$C$5,-1)+1,
      IF(
        _xlpm._対象月初&gt;_xlpm._今月初,
        IF(
          OR(AZ78="",AZ78=0),
          "",
          AZ78*BA$107
        ),
        _xlfn.LET(
          _xlpm._参照先,
            "'[在庫状況把握_43期_2025-2026.xlsx]月次報告"
            &amp;TEXT(BA$1,"YYMM")
            &amp;"'!",
          _xlpm._戻り範囲,
            IF(
              _xlpm._対象月初=_xlpm._今月初,
              "$AG$1:$AG$300",
              "$G$1:$G$300"
            ),
          _xlfn.XLOOKUP(
            $C78,
            INDIRECT(_xlpm._参照先&amp;"$C$1:$C$300"),
            INDIRECT(_xlpm._参照先&amp;_xlpm._戻り範囲)
          )
        )
      )
    ),
    ""
  )
)</f>
        <v>286.00053857918346</v>
      </c>
      <c r="BB78" s="223" cm="1">
        <f t="array" aca="1" ref="BB78" ca="1">IF($C78="","",
  IFERROR(
    _xlfn.LET(
      _xlpm._対象月初,EOMONTH(BB$1,-1)+1,
      _xlpm._今月初,EOMONTH(基準データ!$C$5,-1)+1,
      IF(
        _xlpm._対象月初&gt;_xlpm._今月初,
        IF(
          OR(BA78="",BA78=0),
          "",
          BA78*BB$107
        ),
        _xlfn.LET(
          _xlpm._参照先,
            "'[在庫状況把握_43期_2025-2026.xlsx]月次報告"
            &amp;TEXT(BB$1,"YYMM")
            &amp;"'!",
          _xlpm._戻り範囲,
            IF(
              _xlpm._対象月初=_xlpm._今月初,
              "$AG$1:$AG$300",
              "$G$1:$G$300"
            ),
          _xlfn.XLOOKUP(
            $C78,
            INDIRECT(_xlpm._参照先&amp;"$C$1:$C$300"),
            INDIRECT(_xlpm._参照先&amp;_xlpm._戻り範囲)
          )
        )
      )
    ),
    ""
  )
)</f>
        <v>307.99179823517227</v>
      </c>
      <c r="BC78" s="223" cm="1">
        <f t="array" aca="1" ref="BC78" ca="1">IF($C78="","",
  IFERROR(
    _xlfn.LET(
      _xlpm._対象月初,EOMONTH(BC$1,-1)+1,
      _xlpm._今月初,EOMONTH(基準データ!$C$5,-1)+1,
      IF(
        _xlpm._対象月初&gt;_xlpm._今月初,
        IF(
          OR(BB78="",BB78=0),
          "",
          BB78*BC$107
        ),
        _xlfn.LET(
          _xlpm._参照先,
            "'[在庫状況把握_43期_2025-2026.xlsx]月次報告"
            &amp;TEXT(BC$1,"YYMM")
            &amp;"'!",
          _xlpm._戻り範囲,
            IF(
              _xlpm._対象月初=_xlpm._今月初,
              "$AG$1:$AG$300",
              "$G$1:$G$300"
            ),
          _xlfn.XLOOKUP(
            $C78,
            INDIRECT(_xlpm._参照先&amp;"$C$1:$C$300"),
            INDIRECT(_xlpm._参照先&amp;_xlpm._戻り範囲)
          )
        )
      )
    ),
    ""
  )
)</f>
        <v>318.75605100880739</v>
      </c>
      <c r="BD78" s="223" cm="1">
        <f t="array" aca="1" ref="BD78" ca="1">IF($C78="","",
  IFERROR(
    _xlfn.LET(
      _xlpm._対象月初,EOMONTH(BD$1,-1)+1,
      _xlpm._今月初,EOMONTH(基準データ!$C$5,-1)+1,
      IF(
        _xlpm._対象月初&gt;_xlpm._今月初,
        IF(
          OR(BC78="",BC78=0),
          "",
          BC78*BD$107
        ),
        _xlfn.LET(
          _xlpm._参照先,
            "'[在庫状況把握_43期_2025-2026.xlsx]月次報告"
            &amp;TEXT(BD$1,"YYMM")
            &amp;"'!",
          _xlpm._戻り範囲,
            IF(
              _xlpm._対象月初=_xlpm._今月初,
              "$AG$1:$AG$300",
              "$G$1:$G$300"
            ),
          _xlfn.XLOOKUP(
            $C78,
            INDIRECT(_xlpm._参照先&amp;"$C$1:$C$300"),
            INDIRECT(_xlpm._参照先&amp;_xlpm._戻り範囲)
          )
        )
      )
    ),
    ""
  )
)</f>
        <v>469.82352397432931</v>
      </c>
    </row>
    <row r="79" spans="1:56" ht="18.75" customHeight="1">
      <c r="A79" s="1097" t="s">
        <v>1473</v>
      </c>
      <c r="B79" s="304" t="str">
        <v>CLE-L24-228V-UMA-32G-L7 Thirdwave</v>
      </c>
      <c r="C79" s="305" t="s">
        <v>777</v>
      </c>
      <c r="D79" s="305"/>
      <c r="E79" s="108" t="s">
        <v>1416</v>
      </c>
      <c r="F79" s="306"/>
      <c r="G79" s="74">
        <v>0</v>
      </c>
      <c r="H79" s="109" t="str" cm="1">
        <f t="array" aca="1" ref="H79" ca="1">_xlfn.LET(_xlpm._来月から4ヶ月計画合計,
  SUM(
    OFFSET($A79,0,
      MATCH(
        EDATE(基準データ!$C$5,3),$A$1:$BF$1,1
      )-3,1,4)),
_xlpm._今月計画数,
INDEX($A$1:$BE$223,
  ROW(),
  MATCH(EOMONTH(基準データ!$C$5,-1)+1,$A$1:$BE$1,0)
),
  IFERROR(IF($B79="","",_xlpm._来月から4ヶ月計画合計+_xlpm._今月計画数/2),""
)
)</f>
        <v/>
      </c>
      <c r="I79" s="268"/>
      <c r="J79" s="268"/>
      <c r="K79" s="268"/>
      <c r="L79" s="269"/>
      <c r="M79" s="180"/>
      <c r="N79" s="180"/>
      <c r="O79" s="180"/>
      <c r="P79" s="180"/>
      <c r="Q79" s="299"/>
      <c r="R79" s="224"/>
      <c r="S79" s="224"/>
      <c r="T79" s="224"/>
      <c r="U79" s="224"/>
      <c r="V79" s="224"/>
      <c r="W79" s="335"/>
      <c r="X79" s="335"/>
      <c r="Y79" s="335"/>
      <c r="Z79" s="224"/>
      <c r="AA79" s="224"/>
      <c r="AB79" s="224"/>
      <c r="AC79" s="224"/>
      <c r="AD79" s="224">
        <v>62</v>
      </c>
      <c r="AE79" s="223">
        <v>22</v>
      </c>
      <c r="AF79" s="223">
        <v>31</v>
      </c>
      <c r="AG79" s="223">
        <v>2</v>
      </c>
      <c r="AH79" s="223">
        <v>0</v>
      </c>
      <c r="AI79" s="223" t="s">
        <v>21</v>
      </c>
      <c r="AJ79" s="223" t="s">
        <v>21</v>
      </c>
      <c r="AK79" s="223" t="s">
        <v>21</v>
      </c>
      <c r="AL79" s="223" t="str" cm="1">
        <f t="array" aca="1" ref="AL79" ca="1">IF($C79="","",
  IFERROR(
    _xlfn.LET(
      _xlpm._対象月初,EOMONTH(AL$1,-1)+1,
      _xlpm._今月初,EOMONTH(基準データ!$C$5,-1)+1,
      IF(
        _xlpm._対象月初&gt;_xlpm._今月初,
        IF(
          OR(AK79="",AK79=0),
          "",
          AK79*AL$107
        ),
        _xlfn.LET(
          _xlpm._参照先,
            "'[在庫状況把握_43期_2025-2026.xlsx]月次報告"
            &amp;TEXT(AL$1,"YYMM")
            &amp;"'!",
          _xlpm._戻り範囲,
            IF(
              _xlpm._対象月初=_xlpm._今月初,
              "$AG$1:$AG$300",
              "$G$1:$G$300"
            ),
          _xlfn.XLOOKUP(
            $C79,
            INDIRECT(_xlpm._参照先&amp;"$C$1:$C$300"),
            INDIRECT(_xlpm._参照先&amp;_xlpm._戻り範囲)
          )
        )
      )
    ),
    ""
  )
)</f>
        <v/>
      </c>
      <c r="AM79" s="223" t="str" cm="1">
        <f t="array" aca="1" ref="AM79" ca="1">IF($C79="","",
  IFERROR(
    _xlfn.LET(
      _xlpm._対象月初,EOMONTH(AM$1,-1)+1,
      _xlpm._今月初,EOMONTH(基準データ!$C$5,-1)+1,
      IF(
        _xlpm._対象月初&gt;_xlpm._今月初,
        IF(
          OR(AL79="",AL79=0),
          "",
          AL79*AM$107
        ),
        _xlfn.LET(
          _xlpm._参照先,
            "'[在庫状況把握_43期_2025-2026.xlsx]月次報告"
            &amp;TEXT(AM$1,"YYMM")
            &amp;"'!",
          _xlpm._戻り範囲,
            IF(
              _xlpm._対象月初=_xlpm._今月初,
              "$AG$1:$AG$300",
              "$G$1:$G$300"
            ),
          _xlfn.XLOOKUP(
            $C79,
            INDIRECT(_xlpm._参照先&amp;"$C$1:$C$300"),
            INDIRECT(_xlpm._参照先&amp;_xlpm._戻り範囲)
          )
        )
      )
    ),
    ""
  )
)</f>
        <v/>
      </c>
      <c r="AN79" s="223" t="str" cm="1">
        <f t="array" aca="1" ref="AN79" ca="1">IF($C79="","",
  IFERROR(
    _xlfn.LET(
      _xlpm._対象月初,EOMONTH(AN$1,-1)+1,
      _xlpm._今月初,EOMONTH(基準データ!$C$5,-1)+1,
      IF(
        _xlpm._対象月初&gt;_xlpm._今月初,
        IF(
          OR(AM79="",AM79=0),
          "",
          AM79*AN$107
        ),
        _xlfn.LET(
          _xlpm._参照先,
            "'[在庫状況把握_43期_2025-2026.xlsx]月次報告"
            &amp;TEXT(AN$1,"YYMM")
            &amp;"'!",
          _xlpm._戻り範囲,
            IF(
              _xlpm._対象月初=_xlpm._今月初,
              "$AG$1:$AG$300",
              "$G$1:$G$300"
            ),
          _xlfn.XLOOKUP(
            $C79,
            INDIRECT(_xlpm._参照先&amp;"$C$1:$C$300"),
            INDIRECT(_xlpm._参照先&amp;_xlpm._戻り範囲)
          )
        )
      )
    ),
    ""
  )
)</f>
        <v/>
      </c>
      <c r="AO79" s="223" t="str" cm="1">
        <f t="array" aca="1" ref="AO79" ca="1">IF($C79="","",
  IFERROR(
    _xlfn.LET(
      _xlpm._対象月初,EOMONTH(AO$1,-1)+1,
      _xlpm._今月初,EOMONTH(基準データ!$C$5,-1)+1,
      IF(
        _xlpm._対象月初&gt;_xlpm._今月初,
        IF(
          OR(AN79="",AN79=0),
          "",
          AN79*AO$107
        ),
        _xlfn.LET(
          _xlpm._参照先,
            "'[在庫状況把握_43期_2025-2026.xlsx]月次報告"
            &amp;TEXT(AO$1,"YYMM")
            &amp;"'!",
          _xlpm._戻り範囲,
            IF(
              _xlpm._対象月初=_xlpm._今月初,
              "$AG$1:$AG$300",
              "$G$1:$G$300"
            ),
          _xlfn.XLOOKUP(
            $C79,
            INDIRECT(_xlpm._参照先&amp;"$C$1:$C$300"),
            INDIRECT(_xlpm._参照先&amp;_xlpm._戻り範囲)
          )
        )
      )
    ),
    ""
  )
)</f>
        <v/>
      </c>
      <c r="AP79" s="223" t="str" cm="1">
        <f t="array" aca="1" ref="AP79" ca="1">IF($C79="","",
  IFERROR(
    _xlfn.LET(
      _xlpm._対象月初,EOMONTH(AP$1,-1)+1,
      _xlpm._今月初,EOMONTH(基準データ!$C$5,-1)+1,
      IF(
        _xlpm._対象月初&gt;_xlpm._今月初,
        IF(
          OR(AO79="",AO79=0),
          "",
          AO79*AP$107
        ),
        _xlfn.LET(
          _xlpm._参照先,
            "'[在庫状況把握_43期_2025-2026.xlsx]月次報告"
            &amp;TEXT(AP$1,"YYMM")
            &amp;"'!",
          _xlpm._戻り範囲,
            IF(
              _xlpm._対象月初=_xlpm._今月初,
              "$AG$1:$AG$300",
              "$G$1:$G$300"
            ),
          _xlfn.XLOOKUP(
            $C79,
            INDIRECT(_xlpm._参照先&amp;"$C$1:$C$300"),
            INDIRECT(_xlpm._参照先&amp;_xlpm._戻り範囲)
          )
        )
      )
    ),
    ""
  )
)</f>
        <v/>
      </c>
      <c r="AQ79" s="223" t="str" cm="1">
        <f t="array" aca="1" ref="AQ79" ca="1">IF($C79="","",
  IFERROR(
    _xlfn.LET(
      _xlpm._対象月初,EOMONTH(AQ$1,-1)+1,
      _xlpm._今月初,EOMONTH(基準データ!$C$5,-1)+1,
      IF(
        _xlpm._対象月初&gt;_xlpm._今月初,
        IF(
          OR(AP79="",AP79=0),
          "",
          AP79*AQ$107
        ),
        _xlfn.LET(
          _xlpm._参照先,
            "'[在庫状況把握_43期_2025-2026.xlsx]月次報告"
            &amp;TEXT(AQ$1,"YYMM")
            &amp;"'!",
          _xlpm._戻り範囲,
            IF(
              _xlpm._対象月初=_xlpm._今月初,
              "$AG$1:$AG$300",
              "$G$1:$G$300"
            ),
          _xlfn.XLOOKUP(
            $C79,
            INDIRECT(_xlpm._参照先&amp;"$C$1:$C$300"),
            INDIRECT(_xlpm._参照先&amp;_xlpm._戻り範囲)
          )
        )
      )
    ),
    ""
  )
)</f>
        <v/>
      </c>
      <c r="AR79" s="223" t="str" cm="1">
        <f t="array" aca="1" ref="AR79" ca="1">IF($C79="","",
  IFERROR(
    _xlfn.LET(
      _xlpm._対象月初,EOMONTH(AR$1,-1)+1,
      _xlpm._今月初,EOMONTH(基準データ!$C$5,-1)+1,
      IF(
        _xlpm._対象月初&gt;_xlpm._今月初,
        IF(
          OR(AQ79="",AQ79=0),
          "",
          AQ79*AR$107
        ),
        _xlfn.LET(
          _xlpm._参照先,
            "'[在庫状況把握_43期_2025-2026.xlsx]月次報告"
            &amp;TEXT(AR$1,"YYMM")
            &amp;"'!",
          _xlpm._戻り範囲,
            IF(
              _xlpm._対象月初=_xlpm._今月初,
              "$AG$1:$AG$300",
              "$G$1:$G$300"
            ),
          _xlfn.XLOOKUP(
            $C79,
            INDIRECT(_xlpm._参照先&amp;"$C$1:$C$300"),
            INDIRECT(_xlpm._参照先&amp;_xlpm._戻り範囲)
          )
        )
      )
    ),
    ""
  )
)</f>
        <v/>
      </c>
      <c r="AS79" s="223" t="str" cm="1">
        <f t="array" aca="1" ref="AS79" ca="1">IF($C79="","",
  IFERROR(
    _xlfn.LET(
      _xlpm._対象月初,EOMONTH(AS$1,-1)+1,
      _xlpm._今月初,EOMONTH(基準データ!$C$5,-1)+1,
      IF(
        _xlpm._対象月初&gt;_xlpm._今月初,
        IF(
          OR(AR79="",AR79=0),
          "",
          AR79*AS$107
        ),
        _xlfn.LET(
          _xlpm._参照先,
            "'[在庫状況把握_43期_2025-2026.xlsx]月次報告"
            &amp;TEXT(AS$1,"YYMM")
            &amp;"'!",
          _xlpm._戻り範囲,
            IF(
              _xlpm._対象月初=_xlpm._今月初,
              "$AG$1:$AG$300",
              "$G$1:$G$300"
            ),
          _xlfn.XLOOKUP(
            $C79,
            INDIRECT(_xlpm._参照先&amp;"$C$1:$C$300"),
            INDIRECT(_xlpm._参照先&amp;_xlpm._戻り範囲)
          )
        )
      )
    ),
    ""
  )
)</f>
        <v/>
      </c>
      <c r="AT79" s="223" t="str" cm="1">
        <f t="array" aca="1" ref="AT79" ca="1">IF($C79="","",
  IFERROR(
    _xlfn.LET(
      _xlpm._対象月初,EOMONTH(AT$1,-1)+1,
      _xlpm._今月初,EOMONTH(基準データ!$C$5,-1)+1,
      IF(
        _xlpm._対象月初&gt;_xlpm._今月初,
        IF(
          OR(AS79="",AS79=0),
          "",
          AS79*AT$107
        ),
        _xlfn.LET(
          _xlpm._参照先,
            "'[在庫状況把握_43期_2025-2026.xlsx]月次報告"
            &amp;TEXT(AT$1,"YYMM")
            &amp;"'!",
          _xlpm._戻り範囲,
            IF(
              _xlpm._対象月初=_xlpm._今月初,
              "$AG$1:$AG$300",
              "$G$1:$G$300"
            ),
          _xlfn.XLOOKUP(
            $C79,
            INDIRECT(_xlpm._参照先&amp;"$C$1:$C$300"),
            INDIRECT(_xlpm._参照先&amp;_xlpm._戻り範囲)
          )
        )
      )
    ),
    ""
  )
)</f>
        <v/>
      </c>
      <c r="AU79" s="223" t="str" cm="1">
        <f t="array" aca="1" ref="AU79" ca="1">IF($C79="","",
  IFERROR(
    _xlfn.LET(
      _xlpm._対象月初,EOMONTH(AU$1,-1)+1,
      _xlpm._今月初,EOMONTH(基準データ!$C$5,-1)+1,
      IF(
        _xlpm._対象月初&gt;_xlpm._今月初,
        IF(
          OR(AT79="",AT79=0),
          "",
          AT79*AU$107
        ),
        _xlfn.LET(
          _xlpm._参照先,
            "'[在庫状況把握_43期_2025-2026.xlsx]月次報告"
            &amp;TEXT(AU$1,"YYMM")
            &amp;"'!",
          _xlpm._戻り範囲,
            IF(
              _xlpm._対象月初=_xlpm._今月初,
              "$AG$1:$AG$300",
              "$G$1:$G$300"
            ),
          _xlfn.XLOOKUP(
            $C79,
            INDIRECT(_xlpm._参照先&amp;"$C$1:$C$300"),
            INDIRECT(_xlpm._参照先&amp;_xlpm._戻り範囲)
          )
        )
      )
    ),
    ""
  )
)</f>
        <v/>
      </c>
      <c r="AV79" s="223" t="str" cm="1">
        <f t="array" aca="1" ref="AV79" ca="1">IF($C79="","",
  IFERROR(
    _xlfn.LET(
      _xlpm._対象月初,EOMONTH(AV$1,-1)+1,
      _xlpm._今月初,EOMONTH(基準データ!$C$5,-1)+1,
      IF(
        _xlpm._対象月初&gt;_xlpm._今月初,
        IF(
          OR(AU79="",AU79=0),
          "",
          AU79*AV$107
        ),
        _xlfn.LET(
          _xlpm._参照先,
            "'[在庫状況把握_43期_2025-2026.xlsx]月次報告"
            &amp;TEXT(AV$1,"YYMM")
            &amp;"'!",
          _xlpm._戻り範囲,
            IF(
              _xlpm._対象月初=_xlpm._今月初,
              "$AG$1:$AG$300",
              "$G$1:$G$300"
            ),
          _xlfn.XLOOKUP(
            $C79,
            INDIRECT(_xlpm._参照先&amp;"$C$1:$C$300"),
            INDIRECT(_xlpm._参照先&amp;_xlpm._戻り範囲)
          )
        )
      )
    ),
    ""
  )
)</f>
        <v/>
      </c>
      <c r="AW79" s="223" t="str" cm="1">
        <f t="array" aca="1" ref="AW79" ca="1">IF($C79="","",
  IFERROR(
    _xlfn.LET(
      _xlpm._対象月初,EOMONTH(AW$1,-1)+1,
      _xlpm._今月初,EOMONTH(基準データ!$C$5,-1)+1,
      IF(
        _xlpm._対象月初&gt;_xlpm._今月初,
        IF(
          OR(AV79="",AV79=0),
          "",
          AV79*AW$107
        ),
        _xlfn.LET(
          _xlpm._参照先,
            "'[在庫状況把握_43期_2025-2026.xlsx]月次報告"
            &amp;TEXT(AW$1,"YYMM")
            &amp;"'!",
          _xlpm._戻り範囲,
            IF(
              _xlpm._対象月初=_xlpm._今月初,
              "$AG$1:$AG$300",
              "$G$1:$G$300"
            ),
          _xlfn.XLOOKUP(
            $C79,
            INDIRECT(_xlpm._参照先&amp;"$C$1:$C$300"),
            INDIRECT(_xlpm._参照先&amp;_xlpm._戻り範囲)
          )
        )
      )
    ),
    ""
  )
)</f>
        <v/>
      </c>
      <c r="AX79" s="223" t="str" cm="1">
        <f t="array" aca="1" ref="AX79" ca="1">IF($C79="","",
  IFERROR(
    _xlfn.LET(
      _xlpm._対象月初,EOMONTH(AX$1,-1)+1,
      _xlpm._今月初,EOMONTH(基準データ!$C$5,-1)+1,
      IF(
        _xlpm._対象月初&gt;_xlpm._今月初,
        IF(
          OR(AW79="",AW79=0),
          "",
          AW79*AX$107
        ),
        _xlfn.LET(
          _xlpm._参照先,
            "'[在庫状況把握_43期_2025-2026.xlsx]月次報告"
            &amp;TEXT(AX$1,"YYMM")
            &amp;"'!",
          _xlpm._戻り範囲,
            IF(
              _xlpm._対象月初=_xlpm._今月初,
              "$AG$1:$AG$300",
              "$G$1:$G$300"
            ),
          _xlfn.XLOOKUP(
            $C79,
            INDIRECT(_xlpm._参照先&amp;"$C$1:$C$300"),
            INDIRECT(_xlpm._参照先&amp;_xlpm._戻り範囲)
          )
        )
      )
    ),
    ""
  )
)</f>
        <v/>
      </c>
      <c r="AY79" s="223" t="str" cm="1">
        <f t="array" aca="1" ref="AY79" ca="1">IF($C79="","",
  IFERROR(
    _xlfn.LET(
      _xlpm._対象月初,EOMONTH(AY$1,-1)+1,
      _xlpm._今月初,EOMONTH(基準データ!$C$5,-1)+1,
      IF(
        _xlpm._対象月初&gt;_xlpm._今月初,
        IF(
          OR(AX79="",AX79=0),
          "",
          AX79*AY$107
        ),
        _xlfn.LET(
          _xlpm._参照先,
            "'[在庫状況把握_43期_2025-2026.xlsx]月次報告"
            &amp;TEXT(AY$1,"YYMM")
            &amp;"'!",
          _xlpm._戻り範囲,
            IF(
              _xlpm._対象月初=_xlpm._今月初,
              "$AG$1:$AG$300",
              "$G$1:$G$300"
            ),
          _xlfn.XLOOKUP(
            $C79,
            INDIRECT(_xlpm._参照先&amp;"$C$1:$C$300"),
            INDIRECT(_xlpm._参照先&amp;_xlpm._戻り範囲)
          )
        )
      )
    ),
    ""
  )
)</f>
        <v/>
      </c>
      <c r="AZ79" s="223" t="str" cm="1">
        <f t="array" aca="1" ref="AZ79" ca="1">IF($C79="","",
  IFERROR(
    _xlfn.LET(
      _xlpm._対象月初,EOMONTH(AZ$1,-1)+1,
      _xlpm._今月初,EOMONTH(基準データ!$C$5,-1)+1,
      IF(
        _xlpm._対象月初&gt;_xlpm._今月初,
        IF(
          OR(AY79="",AY79=0),
          "",
          AY79*AZ$107
        ),
        _xlfn.LET(
          _xlpm._参照先,
            "'[在庫状況把握_43期_2025-2026.xlsx]月次報告"
            &amp;TEXT(AZ$1,"YYMM")
            &amp;"'!",
          _xlpm._戻り範囲,
            IF(
              _xlpm._対象月初=_xlpm._今月初,
              "$AG$1:$AG$300",
              "$G$1:$G$300"
            ),
          _xlfn.XLOOKUP(
            $C79,
            INDIRECT(_xlpm._参照先&amp;"$C$1:$C$300"),
            INDIRECT(_xlpm._参照先&amp;_xlpm._戻り範囲)
          )
        )
      )
    ),
    ""
  )
)</f>
        <v/>
      </c>
      <c r="BA79" s="223" t="str" cm="1">
        <f t="array" aca="1" ref="BA79" ca="1">IF($C79="","",
  IFERROR(
    _xlfn.LET(
      _xlpm._対象月初,EOMONTH(BA$1,-1)+1,
      _xlpm._今月初,EOMONTH(基準データ!$C$5,-1)+1,
      IF(
        _xlpm._対象月初&gt;_xlpm._今月初,
        IF(
          OR(AZ79="",AZ79=0),
          "",
          AZ79*BA$107
        ),
        _xlfn.LET(
          _xlpm._参照先,
            "'[在庫状況把握_43期_2025-2026.xlsx]月次報告"
            &amp;TEXT(BA$1,"YYMM")
            &amp;"'!",
          _xlpm._戻り範囲,
            IF(
              _xlpm._対象月初=_xlpm._今月初,
              "$AG$1:$AG$300",
              "$G$1:$G$300"
            ),
          _xlfn.XLOOKUP(
            $C79,
            INDIRECT(_xlpm._参照先&amp;"$C$1:$C$300"),
            INDIRECT(_xlpm._参照先&amp;_xlpm._戻り範囲)
          )
        )
      )
    ),
    ""
  )
)</f>
        <v/>
      </c>
      <c r="BB79" s="223" t="str" cm="1">
        <f t="array" aca="1" ref="BB79" ca="1">IF($C79="","",
  IFERROR(
    _xlfn.LET(
      _xlpm._対象月初,EOMONTH(BB$1,-1)+1,
      _xlpm._今月初,EOMONTH(基準データ!$C$5,-1)+1,
      IF(
        _xlpm._対象月初&gt;_xlpm._今月初,
        IF(
          OR(BA79="",BA79=0),
          "",
          BA79*BB$107
        ),
        _xlfn.LET(
          _xlpm._参照先,
            "'[在庫状況把握_43期_2025-2026.xlsx]月次報告"
            &amp;TEXT(BB$1,"YYMM")
            &amp;"'!",
          _xlpm._戻り範囲,
            IF(
              _xlpm._対象月初=_xlpm._今月初,
              "$AG$1:$AG$300",
              "$G$1:$G$300"
            ),
          _xlfn.XLOOKUP(
            $C79,
            INDIRECT(_xlpm._参照先&amp;"$C$1:$C$300"),
            INDIRECT(_xlpm._参照先&amp;_xlpm._戻り範囲)
          )
        )
      )
    ),
    ""
  )
)</f>
        <v/>
      </c>
      <c r="BC79" s="223" t="str" cm="1">
        <f t="array" aca="1" ref="BC79" ca="1">IF($C79="","",
  IFERROR(
    _xlfn.LET(
      _xlpm._対象月初,EOMONTH(BC$1,-1)+1,
      _xlpm._今月初,EOMONTH(基準データ!$C$5,-1)+1,
      IF(
        _xlpm._対象月初&gt;_xlpm._今月初,
        IF(
          OR(BB79="",BB79=0),
          "",
          BB79*BC$107
        ),
        _xlfn.LET(
          _xlpm._参照先,
            "'[在庫状況把握_43期_2025-2026.xlsx]月次報告"
            &amp;TEXT(BC$1,"YYMM")
            &amp;"'!",
          _xlpm._戻り範囲,
            IF(
              _xlpm._対象月初=_xlpm._今月初,
              "$AG$1:$AG$300",
              "$G$1:$G$300"
            ),
          _xlfn.XLOOKUP(
            $C79,
            INDIRECT(_xlpm._参照先&amp;"$C$1:$C$300"),
            INDIRECT(_xlpm._参照先&amp;_xlpm._戻り範囲)
          )
        )
      )
    ),
    ""
  )
)</f>
        <v/>
      </c>
      <c r="BD79" s="223" t="str" cm="1">
        <f t="array" aca="1" ref="BD79" ca="1">IF($C79="","",
  IFERROR(
    _xlfn.LET(
      _xlpm._対象月初,EOMONTH(BD$1,-1)+1,
      _xlpm._今月初,EOMONTH(基準データ!$C$5,-1)+1,
      IF(
        _xlpm._対象月初&gt;_xlpm._今月初,
        IF(
          OR(BC79="",BC79=0),
          "",
          BC79*BD$107
        ),
        _xlfn.LET(
          _xlpm._参照先,
            "'[在庫状況把握_43期_2025-2026.xlsx]月次報告"
            &amp;TEXT(BD$1,"YYMM")
            &amp;"'!",
          _xlpm._戻り範囲,
            IF(
              _xlpm._対象月初=_xlpm._今月初,
              "$AG$1:$AG$300",
              "$G$1:$G$300"
            ),
          _xlfn.XLOOKUP(
            $C79,
            INDIRECT(_xlpm._参照先&amp;"$C$1:$C$300"),
            INDIRECT(_xlpm._参照先&amp;_xlpm._戻り範囲)
          )
        )
      )
    ),
    ""
  )
)</f>
        <v/>
      </c>
    </row>
    <row r="80" spans="1:56" ht="18.75" customHeight="1">
      <c r="A80" s="1061" t="s">
        <v>1473</v>
      </c>
      <c r="B80" s="26" t="str">
        <v>CLE-L24-226V-UMA-16G-L7 Thirdwave</v>
      </c>
      <c r="C80" s="24" t="s">
        <v>781</v>
      </c>
      <c r="D80" s="72" t="s">
        <v>1457</v>
      </c>
      <c r="E80" s="68" t="s">
        <v>1416</v>
      </c>
      <c r="F80" s="68" t="s">
        <v>1347</v>
      </c>
      <c r="G80" s="355">
        <v>625</v>
      </c>
      <c r="H80" s="109" cm="1">
        <f t="array" aca="1" ref="H80" ca="1">_xlfn.LET(_xlpm._来月から4ヶ月計画合計,
  SUM(
    OFFSET($A80,0,
      MATCH(
        EDATE(基準データ!$C$5,3),$A$1:$BF$1,1
      )-3,1,4)),
_xlpm._今月計画数,
INDEX($A$1:$BE$223,
  ROW(),
  MATCH(EOMONTH(基準データ!$C$5,-1)+1,$A$1:$BE$1,0)
),
  IFERROR(IF($B80="","",_xlpm._来月から4ヶ月計画合計+_xlpm._今月計画数/2),""
)
)</f>
        <v>45.742021899632661</v>
      </c>
      <c r="I80" s="311"/>
      <c r="J80" s="311"/>
      <c r="K80" s="311"/>
      <c r="L80" s="311"/>
      <c r="M80" s="38"/>
      <c r="N80" s="38"/>
      <c r="O80" s="38"/>
      <c r="P80" s="38"/>
      <c r="Q80" s="219"/>
      <c r="R80" s="219"/>
      <c r="S80" s="219"/>
      <c r="T80" s="219"/>
      <c r="U80" s="224">
        <v>128</v>
      </c>
      <c r="V80" s="237">
        <v>37</v>
      </c>
      <c r="W80" s="333">
        <v>32</v>
      </c>
      <c r="X80" s="333">
        <v>46</v>
      </c>
      <c r="Y80" s="333">
        <v>9</v>
      </c>
      <c r="Z80" s="219">
        <v>9</v>
      </c>
      <c r="AA80" s="219">
        <v>17</v>
      </c>
      <c r="AB80" s="529">
        <v>14</v>
      </c>
      <c r="AC80" s="648">
        <v>12</v>
      </c>
      <c r="AD80" s="648">
        <v>31</v>
      </c>
      <c r="AE80" s="223">
        <v>31</v>
      </c>
      <c r="AF80" s="223">
        <v>102</v>
      </c>
      <c r="AG80" s="223">
        <v>86</v>
      </c>
      <c r="AH80" s="223">
        <v>53</v>
      </c>
      <c r="AI80" s="223">
        <v>140</v>
      </c>
      <c r="AJ80" s="223">
        <v>255</v>
      </c>
      <c r="AK80" s="223">
        <v>46</v>
      </c>
      <c r="AL80" s="223" cm="1">
        <f t="array" aca="1" ref="AL80" ca="1">IF($C80="","",
  IFERROR(
    _xlfn.LET(
      _xlpm._対象月初,EOMONTH(AL$1,-1)+1,
      _xlpm._今月初,EOMONTH(基準データ!$C$5,-1)+1,
      IF(
        _xlpm._対象月初&gt;_xlpm._今月初,
        IF(
          OR(AK80="",AK80=0),
          "",
          AK80*AL$107
        ),
        _xlfn.LET(
          _xlpm._参照先,
            "'[在庫状況把握_43期_2025-2026.xlsx]月次報告"
            &amp;TEXT(AL$1,"YYMM")
            &amp;"'!",
          _xlpm._戻り範囲,
            IF(
              _xlpm._対象月初=_xlpm._今月初,
              "$AG$1:$AG$300",
              "$G$1:$G$300"
            ),
          _xlfn.XLOOKUP(
            $C80,
            INDIRECT(_xlpm._参照先&amp;"$C$1:$C$300"),
            INDIRECT(_xlpm._参照先&amp;_xlpm._戻り範囲)
          )
        )
      )
    ),
    ""
  )
)</f>
        <v>9</v>
      </c>
      <c r="AM80" s="223" cm="1">
        <f t="array" aca="1" ref="AM80" ca="1">IF($C80="","",
  IFERROR(
    _xlfn.LET(
      _xlpm._対象月初,EOMONTH(AM$1,-1)+1,
      _xlpm._今月初,EOMONTH(基準データ!$C$5,-1)+1,
      IF(
        _xlpm._対象月初&gt;_xlpm._今月初,
        IF(
          OR(AL80="",AL80=0),
          "",
          AL80*AM$107
        ),
        _xlfn.LET(
          _xlpm._参照先,
            "'[在庫状況把握_43期_2025-2026.xlsx]月次報告"
            &amp;TEXT(AM$1,"YYMM")
            &amp;"'!",
          _xlpm._戻り範囲,
            IF(
              _xlpm._対象月初=_xlpm._今月初,
              "$AG$1:$AG$300",
              "$G$1:$G$300"
            ),
          _xlfn.XLOOKUP(
            $C80,
            INDIRECT(_xlpm._参照先&amp;"$C$1:$C$300"),
            INDIRECT(_xlpm._参照先&amp;_xlpm._戻り範囲)
          )
        )
      )
    ),
    ""
  )
)</f>
        <v>9.9642857142857153</v>
      </c>
      <c r="AN80" s="223" cm="1">
        <f t="array" aca="1" ref="AN80" ca="1">IF($C80="","",
  IFERROR(
    _xlfn.LET(
      _xlpm._対象月初,EOMONTH(AN$1,-1)+1,
      _xlpm._今月初,EOMONTH(基準データ!$C$5,-1)+1,
      IF(
        _xlpm._対象月初&gt;_xlpm._今月初,
        IF(
          OR(AM80="",AM80=0),
          "",
          AM80*AN$107
        ),
        _xlfn.LET(
          _xlpm._参照先,
            "'[在庫状況把握_43期_2025-2026.xlsx]月次報告"
            &amp;TEXT(AN$1,"YYMM")
            &amp;"'!",
          _xlpm._戻り範囲,
            IF(
              _xlpm._対象月初=_xlpm._今月初,
              "$AG$1:$AG$300",
              "$G$1:$G$300"
            ),
          _xlfn.XLOOKUP(
            $C80,
            INDIRECT(_xlpm._参照先&amp;"$C$1:$C$300"),
            INDIRECT(_xlpm._参照先&amp;_xlpm._戻り範囲)
          )
        )
      )
    ),
    ""
  )
)</f>
        <v>9.164742540918752</v>
      </c>
      <c r="AO80" s="223" cm="1">
        <f t="array" aca="1" ref="AO80" ca="1">IF($C80="","",
  IFERROR(
    _xlfn.LET(
      _xlpm._対象月初,EOMONTH(AO$1,-1)+1,
      _xlpm._今月初,EOMONTH(基準データ!$C$5,-1)+1,
      IF(
        _xlpm._対象月初&gt;_xlpm._今月初,
        IF(
          OR(AN80="",AN80=0),
          "",
          AN80*AO$107
        ),
        _xlfn.LET(
          _xlpm._参照先,
            "'[在庫状況把握_43期_2025-2026.xlsx]月次報告"
            &amp;TEXT(AO$1,"YYMM")
            &amp;"'!",
          _xlpm._戻り範囲,
            IF(
              _xlpm._対象月初=_xlpm._今月初,
              "$AG$1:$AG$300",
              "$G$1:$G$300"
            ),
          _xlfn.XLOOKUP(
            $C80,
            INDIRECT(_xlpm._参照先&amp;"$C$1:$C$300"),
            INDIRECT(_xlpm._参照先&amp;_xlpm._戻り範囲)
          )
        )
      )
    ),
    ""
  )
)</f>
        <v>9.9000186431255841</v>
      </c>
      <c r="AP80" s="223" cm="1">
        <f t="array" aca="1" ref="AP80" ca="1">IF($C80="","",
  IFERROR(
    _xlfn.LET(
      _xlpm._対象月初,EOMONTH(AP$1,-1)+1,
      _xlpm._今月初,EOMONTH(基準データ!$C$5,-1)+1,
      IF(
        _xlpm._対象月初&gt;_xlpm._今月初,
        IF(
          OR(AO80="",AO80=0),
          "",
          AO80*AP$107
        ),
        _xlfn.LET(
          _xlpm._参照先,
            "'[在庫状況把握_43期_2025-2026.xlsx]月次報告"
            &amp;TEXT(AP$1,"YYMM")
            &amp;"'!",
          _xlpm._戻り範囲,
            IF(
              _xlpm._対象月初=_xlpm._今月初,
              "$AG$1:$AG$300",
              "$G$1:$G$300"
            ),
          _xlfn.XLOOKUP(
            $C80,
            INDIRECT(_xlpm._参照先&amp;"$C$1:$C$300"),
            INDIRECT(_xlpm._参照先&amp;_xlpm._戻り範囲)
          )
        )
      )
    ),
    ""
  )
)</f>
        <v>10.661254554294429</v>
      </c>
      <c r="AQ80" s="223" cm="1">
        <f t="array" aca="1" ref="AQ80" ca="1">IF($C80="","",
  IFERROR(
    _xlfn.LET(
      _xlpm._対象月初,EOMONTH(AQ$1,-1)+1,
      _xlpm._今月初,EOMONTH(基準データ!$C$5,-1)+1,
      IF(
        _xlpm._対象月初&gt;_xlpm._今月初,
        IF(
          OR(AP80="",AP80=0),
          "",
          AP80*AQ$107
        ),
        _xlfn.LET(
          _xlpm._参照先,
            "'[在庫状況把握_43期_2025-2026.xlsx]月次報告"
            &amp;TEXT(AQ$1,"YYMM")
            &amp;"'!",
          _xlpm._戻り範囲,
            IF(
              _xlpm._対象月初=_xlpm._今月初,
              "$AG$1:$AG$300",
              "$G$1:$G$300"
            ),
          _xlfn.XLOOKUP(
            $C80,
            INDIRECT(_xlpm._参照先&amp;"$C$1:$C$300"),
            INDIRECT(_xlpm._参照先&amp;_xlpm._戻り範囲)
          )
        )
      )
    ),
    ""
  )
)</f>
        <v>11.03386330415103</v>
      </c>
      <c r="AR80" s="223" cm="1">
        <f t="array" aca="1" ref="AR80" ca="1">IF($C80="","",
  IFERROR(
    _xlfn.LET(
      _xlpm._対象月初,EOMONTH(AR$1,-1)+1,
      _xlpm._今月初,EOMONTH(基準データ!$C$5,-1)+1,
      IF(
        _xlpm._対象月初&gt;_xlpm._今月初,
        IF(
          OR(AQ80="",AQ80=0),
          "",
          AQ80*AR$107
        ),
        _xlfn.LET(
          _xlpm._参照先,
            "'[在庫状況把握_43期_2025-2026.xlsx]月次報告"
            &amp;TEXT(AR$1,"YYMM")
            &amp;"'!",
          _xlpm._戻り範囲,
            IF(
              _xlpm._対象月初=_xlpm._今月初,
              "$AG$1:$AG$300",
              "$G$1:$G$300"
            ),
          _xlfn.XLOOKUP(
            $C80,
            INDIRECT(_xlpm._参照先&amp;"$C$1:$C$300"),
            INDIRECT(_xlpm._参照先&amp;_xlpm._戻り範囲)
          )
        )
      )
    ),
    ""
  )
)</f>
        <v>16.263121983726791</v>
      </c>
      <c r="AS80" s="223" cm="1">
        <f t="array" aca="1" ref="AS80" ca="1">IF($C80="","",
  IFERROR(
    _xlfn.LET(
      _xlpm._対象月初,EOMONTH(AS$1,-1)+1,
      _xlpm._今月初,EOMONTH(基準データ!$C$5,-1)+1,
      IF(
        _xlpm._対象月初&gt;_xlpm._今月初,
        IF(
          OR(AR80="",AR80=0),
          "",
          AR80*AS$107
        ),
        _xlfn.LET(
          _xlpm._参照先,
            "'[在庫状況把握_43期_2025-2026.xlsx]月次報告"
            &amp;TEXT(AS$1,"YYMM")
            &amp;"'!",
          _xlpm._戻り範囲,
            IF(
              _xlpm._対象月初=_xlpm._今月初,
              "$AG$1:$AG$300",
              "$G$1:$G$300"
            ),
          _xlfn.XLOOKUP(
            $C80,
            INDIRECT(_xlpm._参照先&amp;"$C$1:$C$300"),
            INDIRECT(_xlpm._参照先&amp;_xlpm._戻り範囲)
          )
        )
      )
    ),
    ""
  )
)</f>
        <v>14.034562113341329</v>
      </c>
      <c r="AT80" s="223" cm="1">
        <f t="array" aca="1" ref="AT80" ca="1">IF($C80="","",
  IFERROR(
    _xlfn.LET(
      _xlpm._対象月初,EOMONTH(AT$1,-1)+1,
      _xlpm._今月初,EOMONTH(基準データ!$C$5,-1)+1,
      IF(
        _xlpm._対象月初&gt;_xlpm._今月初,
        IF(
          OR(AS80="",AS80=0),
          "",
          AS80*AT$107
        ),
        _xlfn.LET(
          _xlpm._参照先,
            "'[在庫状況把握_43期_2025-2026.xlsx]月次報告"
            &amp;TEXT(AT$1,"YYMM")
            &amp;"'!",
          _xlpm._戻り範囲,
            IF(
              _xlpm._対象月初=_xlpm._今月初,
              "$AG$1:$AG$300",
              "$G$1:$G$300"
            ),
          _xlfn.XLOOKUP(
            $C80,
            INDIRECT(_xlpm._参照先&amp;"$C$1:$C$300"),
            INDIRECT(_xlpm._参照先&amp;_xlpm._戻り範囲)
          )
        )
      )
    ),
    ""
  )
)</f>
        <v>13.231961550602264</v>
      </c>
      <c r="AU80" s="223" cm="1">
        <f t="array" aca="1" ref="AU80" ca="1">IF($C80="","",
  IFERROR(
    _xlfn.LET(
      _xlpm._対象月初,EOMONTH(AU$1,-1)+1,
      _xlpm._今月初,EOMONTH(基準データ!$C$5,-1)+1,
      IF(
        _xlpm._対象月初&gt;_xlpm._今月初,
        IF(
          OR(AT80="",AT80=0),
          "",
          AT80*AU$107
        ),
        _xlfn.LET(
          _xlpm._参照先,
            "'[在庫状況把握_43期_2025-2026.xlsx]月次報告"
            &amp;TEXT(AU$1,"YYMM")
            &amp;"'!",
          _xlpm._戻り範囲,
            IF(
              _xlpm._対象月初=_xlpm._今月初,
              "$AG$1:$AG$300",
              "$G$1:$G$300"
            ),
          _xlfn.XLOOKUP(
            $C80,
            INDIRECT(_xlpm._参照先&amp;"$C$1:$C$300"),
            INDIRECT(_xlpm._参照先&amp;_xlpm._戻り範囲)
          )
        )
      )
    ),
    ""
  )
)</f>
        <v>19.554514465431136</v>
      </c>
      <c r="AV80" s="223" cm="1">
        <f t="array" aca="1" ref="AV80" ca="1">IF($C80="","",
  IFERROR(
    _xlfn.LET(
      _xlpm._対象月初,EOMONTH(AV$1,-1)+1,
      _xlpm._今月初,EOMONTH(基準データ!$C$5,-1)+1,
      IF(
        _xlpm._対象月初&gt;_xlpm._今月初,
        IF(
          OR(AU80="",AU80=0),
          "",
          AU80*AV$107
        ),
        _xlfn.LET(
          _xlpm._参照先,
            "'[在庫状況把握_43期_2025-2026.xlsx]月次報告"
            &amp;TEXT(AV$1,"YYMM")
            &amp;"'!",
          _xlpm._戻り範囲,
            IF(
              _xlpm._対象月初=_xlpm._今月初,
              "$AG$1:$AG$300",
              "$G$1:$G$300"
            ),
          _xlfn.XLOOKUP(
            $C80,
            INDIRECT(_xlpm._参照先&amp;"$C$1:$C$300"),
            INDIRECT(_xlpm._参照先&amp;_xlpm._戻り範囲)
          )
        )
      )
    ),
    ""
  )
)</f>
        <v>12.007099365694662</v>
      </c>
      <c r="AW80" s="223" cm="1">
        <f t="array" aca="1" ref="AW80" ca="1">IF($C80="","",
  IFERROR(
    _xlfn.LET(
      _xlpm._対象月初,EOMONTH(AW$1,-1)+1,
      _xlpm._今月初,EOMONTH(基準データ!$C$5,-1)+1,
      IF(
        _xlpm._対象月初&gt;_xlpm._今月初,
        IF(
          OR(AV80="",AV80=0),
          "",
          AV80*AW$107
        ),
        _xlfn.LET(
          _xlpm._参照先,
            "'[在庫状況把握_43期_2025-2026.xlsx]月次報告"
            &amp;TEXT(AW$1,"YYMM")
            &amp;"'!",
          _xlpm._戻り範囲,
            IF(
              _xlpm._対象月初=_xlpm._今月初,
              "$AG$1:$AG$300",
              "$G$1:$G$300"
            ),
          _xlfn.XLOOKUP(
            $C80,
            INDIRECT(_xlpm._参照先&amp;"$C$1:$C$300"),
            INDIRECT(_xlpm._参照先&amp;_xlpm._戻り範囲)
          )
        )
      )
    ),
    ""
  )
)</f>
        <v>8.7079123170868549</v>
      </c>
      <c r="AX80" s="223" cm="1">
        <f t="array" aca="1" ref="AX80" ca="1">IF($C80="","",
  IFERROR(
    _xlfn.LET(
      _xlpm._対象月初,EOMONTH(AX$1,-1)+1,
      _xlpm._今月初,EOMONTH(基準データ!$C$5,-1)+1,
      IF(
        _xlpm._対象月初&gt;_xlpm._今月初,
        IF(
          OR(AW80="",AW80=0),
          "",
          AW80*AX$107
        ),
        _xlfn.LET(
          _xlpm._参照先,
            "'[在庫状況把握_43期_2025-2026.xlsx]月次報告"
            &amp;TEXT(AX$1,"YYMM")
            &amp;"'!",
          _xlpm._戻り範囲,
            IF(
              _xlpm._対象月初=_xlpm._今月初,
              "$AG$1:$AG$300",
              "$G$1:$G$300"
            ),
          _xlfn.XLOOKUP(
            $C80,
            INDIRECT(_xlpm._参照先&amp;"$C$1:$C$300"),
            INDIRECT(_xlpm._参照先&amp;_xlpm._戻り範囲)
          )
        )
      )
    ),
    ""
  )
)</f>
        <v>9.0798253707068337</v>
      </c>
      <c r="AY80" s="223" cm="1">
        <f t="array" aca="1" ref="AY80" ca="1">IF($C80="","",
  IFERROR(
    _xlfn.LET(
      _xlpm._対象月初,EOMONTH(AY$1,-1)+1,
      _xlpm._今月初,EOMONTH(基準データ!$C$5,-1)+1,
      IF(
        _xlpm._対象月初&gt;_xlpm._今月初,
        IF(
          OR(AX80="",AX80=0),
          "",
          AX80*AY$107
        ),
        _xlfn.LET(
          _xlpm._参照先,
            "'[在庫状況把握_43期_2025-2026.xlsx]月次報告"
            &amp;TEXT(AY$1,"YYMM")
            &amp;"'!",
          _xlpm._戻り範囲,
            IF(
              _xlpm._対象月初=_xlpm._今月初,
              "$AG$1:$AG$300",
              "$G$1:$G$300"
            ),
          _xlfn.XLOOKUP(
            $C80,
            INDIRECT(_xlpm._参照先&amp;"$C$1:$C$300"),
            INDIRECT(_xlpm._参照先&amp;_xlpm._戻り範囲)
          )
        )
      )
    ),
    ""
  )
)</f>
        <v>9.9642857142857171</v>
      </c>
      <c r="AZ80" s="223" cm="1">
        <f t="array" aca="1" ref="AZ80" ca="1">IF($C80="","",
  IFERROR(
    _xlfn.LET(
      _xlpm._対象月初,EOMONTH(AZ$1,-1)+1,
      _xlpm._今月初,EOMONTH(基準データ!$C$5,-1)+1,
      IF(
        _xlpm._対象月初&gt;_xlpm._今月初,
        IF(
          OR(AY80="",AY80=0),
          "",
          AY80*AZ$107
        ),
        _xlfn.LET(
          _xlpm._参照先,
            "'[在庫状況把握_43期_2025-2026.xlsx]月次報告"
            &amp;TEXT(AZ$1,"YYMM")
            &amp;"'!",
          _xlpm._戻り範囲,
            IF(
              _xlpm._対象月初=_xlpm._今月初,
              "$AG$1:$AG$300",
              "$G$1:$G$300"
            ),
          _xlfn.XLOOKUP(
            $C80,
            INDIRECT(_xlpm._参照先&amp;"$C$1:$C$300"),
            INDIRECT(_xlpm._参照先&amp;_xlpm._戻り範囲)
          )
        )
      )
    ),
    ""
  )
)</f>
        <v>9.1647425409187537</v>
      </c>
      <c r="BA80" s="223" cm="1">
        <f t="array" aca="1" ref="BA80" ca="1">IF($C80="","",
  IFERROR(
    _xlfn.LET(
      _xlpm._対象月初,EOMONTH(BA$1,-1)+1,
      _xlpm._今月初,EOMONTH(基準データ!$C$5,-1)+1,
      IF(
        _xlpm._対象月初&gt;_xlpm._今月初,
        IF(
          OR(AZ80="",AZ80=0),
          "",
          AZ80*BA$107
        ),
        _xlfn.LET(
          _xlpm._参照先,
            "'[在庫状況把握_43期_2025-2026.xlsx]月次報告"
            &amp;TEXT(BA$1,"YYMM")
            &amp;"'!",
          _xlpm._戻り範囲,
            IF(
              _xlpm._対象月初=_xlpm._今月初,
              "$AG$1:$AG$300",
              "$G$1:$G$300"
            ),
          _xlfn.XLOOKUP(
            $C80,
            INDIRECT(_xlpm._参照先&amp;"$C$1:$C$300"),
            INDIRECT(_xlpm._参照先&amp;_xlpm._戻り範囲)
          )
        )
      )
    ),
    ""
  )
)</f>
        <v>9.9000186431255859</v>
      </c>
      <c r="BB80" s="223" cm="1">
        <f t="array" aca="1" ref="BB80" ca="1">IF($C80="","",
  IFERROR(
    _xlfn.LET(
      _xlpm._対象月初,EOMONTH(BB$1,-1)+1,
      _xlpm._今月初,EOMONTH(基準データ!$C$5,-1)+1,
      IF(
        _xlpm._対象月初&gt;_xlpm._今月初,
        IF(
          OR(BA80="",BA80=0),
          "",
          BA80*BB$107
        ),
        _xlfn.LET(
          _xlpm._参照先,
            "'[在庫状況把握_43期_2025-2026.xlsx]月次報告"
            &amp;TEXT(BB$1,"YYMM")
            &amp;"'!",
          _xlpm._戻り範囲,
            IF(
              _xlpm._対象月初=_xlpm._今月初,
              "$AG$1:$AG$300",
              "$G$1:$G$300"
            ),
          _xlfn.XLOOKUP(
            $C80,
            INDIRECT(_xlpm._参照先&amp;"$C$1:$C$300"),
            INDIRECT(_xlpm._参照先&amp;_xlpm._戻り範囲)
          )
        )
      )
    ),
    ""
  )
)</f>
        <v>10.66125455429443</v>
      </c>
      <c r="BC80" s="223" cm="1">
        <f t="array" aca="1" ref="BC80" ca="1">IF($C80="","",
  IFERROR(
    _xlfn.LET(
      _xlpm._対象月初,EOMONTH(BC$1,-1)+1,
      _xlpm._今月初,EOMONTH(基準データ!$C$5,-1)+1,
      IF(
        _xlpm._対象月初&gt;_xlpm._今月初,
        IF(
          OR(BB80="",BB80=0),
          "",
          BB80*BC$107
        ),
        _xlfn.LET(
          _xlpm._参照先,
            "'[在庫状況把握_43期_2025-2026.xlsx]月次報告"
            &amp;TEXT(BC$1,"YYMM")
            &amp;"'!",
          _xlpm._戻り範囲,
            IF(
              _xlpm._対象月初=_xlpm._今月初,
              "$AG$1:$AG$300",
              "$G$1:$G$300"
            ),
          _xlfn.XLOOKUP(
            $C80,
            INDIRECT(_xlpm._参照先&amp;"$C$1:$C$300"),
            INDIRECT(_xlpm._参照先&amp;_xlpm._戻り範囲)
          )
        )
      )
    ),
    ""
  )
)</f>
        <v>11.033863304151032</v>
      </c>
      <c r="BD80" s="223" cm="1">
        <f t="array" aca="1" ref="BD80" ca="1">IF($C80="","",
  IFERROR(
    _xlfn.LET(
      _xlpm._対象月初,EOMONTH(BD$1,-1)+1,
      _xlpm._今月初,EOMONTH(基準データ!$C$5,-1)+1,
      IF(
        _xlpm._対象月初&gt;_xlpm._今月初,
        IF(
          OR(BC80="",BC80=0),
          "",
          BC80*BD$107
        ),
        _xlfn.LET(
          _xlpm._参照先,
            "'[在庫状況把握_43期_2025-2026.xlsx]月次報告"
            &amp;TEXT(BD$1,"YYMM")
            &amp;"'!",
          _xlpm._戻り範囲,
            IF(
              _xlpm._対象月初=_xlpm._今月初,
              "$AG$1:$AG$300",
              "$G$1:$G$300"
            ),
          _xlfn.XLOOKUP(
            $C80,
            INDIRECT(_xlpm._参照先&amp;"$C$1:$C$300"),
            INDIRECT(_xlpm._参照先&amp;_xlpm._戻り範囲)
          )
        )
      )
    ),
    ""
  )
)</f>
        <v>16.263121983726794</v>
      </c>
    </row>
    <row r="81" spans="1:56" ht="18.75" customHeight="1">
      <c r="A81" s="1061" t="s">
        <v>1473</v>
      </c>
      <c r="B81" s="26" t="str">
        <v>CLE-L24-U7-355-UMA-32G-L7 Thirdwave</v>
      </c>
      <c r="C81" s="86" t="s">
        <v>718</v>
      </c>
      <c r="D81" s="72" t="s">
        <v>1459</v>
      </c>
      <c r="E81" s="68"/>
      <c r="F81" s="68"/>
      <c r="G81" s="355">
        <v>1001</v>
      </c>
      <c r="H81" s="109" cm="1">
        <f t="array" aca="1" ref="H81" ca="1">_xlfn.LET(_xlpm._来月から4ヶ月計画合計,
  SUM(
    OFFSET($A81,0,
      MATCH(
        EDATE(基準データ!$C$5,3),$A$1:$BF$1,1
      )-3,1,4)),
_xlpm._今月計画数,
INDEX($A$1:$BE$223,
  ROW(),
  MATCH(EOMONTH(基準データ!$C$5,-1)+1,$A$1:$BE$1,0)
),
  IFERROR(IF($B81="","",_xlpm._来月から4ヶ月計画合計+_xlpm._今月計画数/2),""
)
)</f>
        <v>269.36968452005891</v>
      </c>
      <c r="I81" s="311"/>
      <c r="J81" s="311"/>
      <c r="K81" s="311"/>
      <c r="L81" s="311"/>
      <c r="M81" s="38"/>
      <c r="N81" s="38"/>
      <c r="O81" s="38"/>
      <c r="P81" s="38"/>
      <c r="Q81" s="219"/>
      <c r="R81" s="219"/>
      <c r="S81" s="219"/>
      <c r="T81" s="219"/>
      <c r="U81" s="224"/>
      <c r="V81" s="237"/>
      <c r="W81" s="333"/>
      <c r="X81" s="333"/>
      <c r="Y81" s="333"/>
      <c r="Z81" s="219"/>
      <c r="AA81" s="219"/>
      <c r="AB81" s="529"/>
      <c r="AC81" s="648"/>
      <c r="AD81" s="648" t="s">
        <v>21</v>
      </c>
      <c r="AE81" s="223" t="s">
        <v>21</v>
      </c>
      <c r="AF81" s="223">
        <v>0</v>
      </c>
      <c r="AG81" s="223">
        <v>0</v>
      </c>
      <c r="AH81" s="223">
        <v>0</v>
      </c>
      <c r="AI81" s="223">
        <v>9</v>
      </c>
      <c r="AJ81" s="223">
        <v>64</v>
      </c>
      <c r="AK81" s="223">
        <v>12</v>
      </c>
      <c r="AL81" s="223" cm="1">
        <f t="array" aca="1" ref="AL81" ca="1">IF($C81="","",
  IFERROR(
    _xlfn.LET(
      _xlpm._対象月初,EOMONTH(AL$1,-1)+1,
      _xlpm._今月初,EOMONTH(基準データ!$C$5,-1)+1,
      IF(
        _xlpm._対象月初&gt;_xlpm._今月初,
        IF(
          OR(AK81="",AK81=0),
          "",
          AK81*AL$107
        ),
        _xlfn.LET(
          _xlpm._参照先,
            "'[在庫状況把握_43期_2025-2026.xlsx]月次報告"
            &amp;TEXT(AL$1,"YYMM")
            &amp;"'!",
          _xlpm._戻り範囲,
            IF(
              _xlpm._対象月初=_xlpm._今月初,
              "$AG$1:$AG$300",
              "$G$1:$G$300"
            ),
          _xlfn.XLOOKUP(
            $C81,
            INDIRECT(_xlpm._参照先&amp;"$C$1:$C$300"),
            INDIRECT(_xlpm._参照先&amp;_xlpm._戻り範囲)
          )
        )
      )
    ),
    ""
  )
)</f>
        <v>53</v>
      </c>
      <c r="AM81" s="223" cm="1">
        <f t="array" aca="1" ref="AM81" ca="1">IF($C81="","",
  IFERROR(
    _xlfn.LET(
      _xlpm._対象月初,EOMONTH(AM$1,-1)+1,
      _xlpm._今月初,EOMONTH(基準データ!$C$5,-1)+1,
      IF(
        _xlpm._対象月初&gt;_xlpm._今月初,
        IF(
          OR(AL81="",AL81=0),
          "",
          AL81*AM$107
        ),
        _xlfn.LET(
          _xlpm._参照先,
            "'[在庫状況把握_43期_2025-2026.xlsx]月次報告"
            &amp;TEXT(AM$1,"YYMM")
            &amp;"'!",
          _xlpm._戻り範囲,
            IF(
              _xlpm._対象月初=_xlpm._今月初,
              "$AG$1:$AG$300",
              "$G$1:$G$300"
            ),
          _xlfn.XLOOKUP(
            $C81,
            INDIRECT(_xlpm._参照先&amp;"$C$1:$C$300"),
            INDIRECT(_xlpm._参照先&amp;_xlpm._戻り範囲)
          )
        )
      )
    ),
    ""
  )
)</f>
        <v>58.678571428571423</v>
      </c>
      <c r="AN81" s="223" cm="1">
        <f t="array" aca="1" ref="AN81" ca="1">IF($C81="","",
  IFERROR(
    _xlfn.LET(
      _xlpm._対象月初,EOMONTH(AN$1,-1)+1,
      _xlpm._今月初,EOMONTH(基準データ!$C$5,-1)+1,
      IF(
        _xlpm._対象月初&gt;_xlpm._今月初,
        IF(
          OR(AM81="",AM81=0),
          "",
          AM81*AN$107
        ),
        _xlfn.LET(
          _xlpm._参照先,
            "'[在庫状況把握_43期_2025-2026.xlsx]月次報告"
            &amp;TEXT(AN$1,"YYMM")
            &amp;"'!",
          _xlpm._戻り範囲,
            IF(
              _xlpm._対象月初=_xlpm._今月初,
              "$AG$1:$AG$300",
              "$G$1:$G$300"
            ),
          _xlfn.XLOOKUP(
            $C81,
            INDIRECT(_xlpm._参照先&amp;"$C$1:$C$300"),
            INDIRECT(_xlpm._参照先&amp;_xlpm._戻り範囲)
          )
        )
      )
    ),
    ""
  )
)</f>
        <v>53.97015051874375</v>
      </c>
      <c r="AO81" s="223" cm="1">
        <f t="array" aca="1" ref="AO81" ca="1">IF($C81="","",
  IFERROR(
    _xlfn.LET(
      _xlpm._対象月初,EOMONTH(AO$1,-1)+1,
      _xlpm._今月初,EOMONTH(基準データ!$C$5,-1)+1,
      IF(
        _xlpm._対象月初&gt;_xlpm._今月初,
        IF(
          OR(AN81="",AN81=0),
          "",
          AN81*AO$107
        ),
        _xlfn.LET(
          _xlpm._参照先,
            "'[在庫状況把握_43期_2025-2026.xlsx]月次報告"
            &amp;TEXT(AO$1,"YYMM")
            &amp;"'!",
          _xlpm._戻り範囲,
            IF(
              _xlpm._対象月初=_xlpm._今月初,
              "$AG$1:$AG$300",
              "$G$1:$G$300"
            ),
          _xlfn.XLOOKUP(
            $C81,
            INDIRECT(_xlpm._参照先&amp;"$C$1:$C$300"),
            INDIRECT(_xlpm._参照先&amp;_xlpm._戻り範囲)
          )
        )
      )
    ),
    ""
  )
)</f>
        <v>58.300109787295099</v>
      </c>
      <c r="AP81" s="223" cm="1">
        <f t="array" aca="1" ref="AP81" ca="1">IF($C81="","",
  IFERROR(
    _xlfn.LET(
      _xlpm._対象月初,EOMONTH(AP$1,-1)+1,
      _xlpm._今月初,EOMONTH(基準データ!$C$5,-1)+1,
      IF(
        _xlpm._対象月初&gt;_xlpm._今月初,
        IF(
          OR(AO81="",AO81=0),
          "",
          AO81*AP$107
        ),
        _xlfn.LET(
          _xlpm._参照先,
            "'[在庫状況把握_43期_2025-2026.xlsx]月次報告"
            &amp;TEXT(AP$1,"YYMM")
            &amp;"'!",
          _xlpm._戻り範囲,
            IF(
              _xlpm._対象月初=_xlpm._今月初,
              "$AG$1:$AG$300",
              "$G$1:$G$300"
            ),
          _xlfn.XLOOKUP(
            $C81,
            INDIRECT(_xlpm._参照先&amp;"$C$1:$C$300"),
            INDIRECT(_xlpm._参照先&amp;_xlpm._戻り範囲)
          )
        )
      )
    ),
    ""
  )
)</f>
        <v>62.782943486400519</v>
      </c>
      <c r="AQ81" s="223" cm="1">
        <f t="array" aca="1" ref="AQ81" ca="1">IF($C81="","",
  IFERROR(
    _xlfn.LET(
      _xlpm._対象月初,EOMONTH(AQ$1,-1)+1,
      _xlpm._今月初,EOMONTH(基準データ!$C$5,-1)+1,
      IF(
        _xlpm._対象月初&gt;_xlpm._今月初,
        IF(
          OR(AP81="",AP81=0),
          "",
          AP81*AQ$107
        ),
        _xlfn.LET(
          _xlpm._参照先,
            "'[在庫状況把握_43期_2025-2026.xlsx]月次報告"
            &amp;TEXT(AQ$1,"YYMM")
            &amp;"'!",
          _xlpm._戻り範囲,
            IF(
              _xlpm._対象月初=_xlpm._今月初,
              "$AG$1:$AG$300",
              "$G$1:$G$300"
            ),
          _xlfn.XLOOKUP(
            $C81,
            INDIRECT(_xlpm._参照先&amp;"$C$1:$C$300"),
            INDIRECT(_xlpm._参照先&amp;_xlpm._戻り範囲)
          )
        )
      )
    ),
    ""
  )
)</f>
        <v>64.977195013333841</v>
      </c>
      <c r="AR81" s="223" cm="1">
        <f t="array" aca="1" ref="AR81" ca="1">IF($C81="","",
  IFERROR(
    _xlfn.LET(
      _xlpm._対象月初,EOMONTH(AR$1,-1)+1,
      _xlpm._今月初,EOMONTH(基準データ!$C$5,-1)+1,
      IF(
        _xlpm._対象月初&gt;_xlpm._今月初,
        IF(
          OR(AQ81="",AQ81=0),
          "",
          AQ81*AR$107
        ),
        _xlfn.LET(
          _xlpm._参照先,
            "'[在庫状況把握_43期_2025-2026.xlsx]月次報告"
            &amp;TEXT(AR$1,"YYMM")
            &amp;"'!",
          _xlpm._戻り範囲,
            IF(
              _xlpm._対象月初=_xlpm._今月初,
              "$AG$1:$AG$300",
              "$G$1:$G$300"
            ),
          _xlfn.XLOOKUP(
            $C81,
            INDIRECT(_xlpm._参照先&amp;"$C$1:$C$300"),
            INDIRECT(_xlpm._参照先&amp;_xlpm._戻り範囲)
          )
        )
      )
    ),
    ""
  )
)</f>
        <v>95.771718348613319</v>
      </c>
      <c r="AS81" s="223" cm="1">
        <f t="array" aca="1" ref="AS81" ca="1">IF($C81="","",
  IFERROR(
    _xlfn.LET(
      _xlpm._対象月初,EOMONTH(AS$1,-1)+1,
      _xlpm._今月初,EOMONTH(基準データ!$C$5,-1)+1,
      IF(
        _xlpm._対象月初&gt;_xlpm._今月初,
        IF(
          OR(AR81="",AR81=0),
          "",
          AR81*AS$107
        ),
        _xlfn.LET(
          _xlpm._参照先,
            "'[在庫状況把握_43期_2025-2026.xlsx]月次報告"
            &amp;TEXT(AS$1,"YYMM")
            &amp;"'!",
          _xlpm._戻り範囲,
            IF(
              _xlpm._対象月初=_xlpm._今月初,
              "$AG$1:$AG$300",
              "$G$1:$G$300"
            ),
          _xlfn.XLOOKUP(
            $C81,
            INDIRECT(_xlpm._参照先&amp;"$C$1:$C$300"),
            INDIRECT(_xlpm._参照先&amp;_xlpm._戻り範囲)
          )
        )
      )
    ),
    ""
  )
)</f>
        <v>82.647976889676713</v>
      </c>
      <c r="AT81" s="223" cm="1">
        <f t="array" aca="1" ref="AT81" ca="1">IF($C81="","",
  IFERROR(
    _xlfn.LET(
      _xlpm._対象月初,EOMONTH(AT$1,-1)+1,
      _xlpm._今月初,EOMONTH(基準データ!$C$5,-1)+1,
      IF(
        _xlpm._対象月初&gt;_xlpm._今月初,
        IF(
          OR(AS81="",AS81=0),
          "",
          AS81*AT$107
        ),
        _xlfn.LET(
          _xlpm._参照先,
            "'[在庫状況把握_43期_2025-2026.xlsx]月次報告"
            &amp;TEXT(AT$1,"YYMM")
            &amp;"'!",
          _xlpm._戻り範囲,
            IF(
              _xlpm._対象月初=_xlpm._今月初,
              "$AG$1:$AG$300",
              "$G$1:$G$300"
            ),
          _xlfn.XLOOKUP(
            $C81,
            INDIRECT(_xlpm._参照先&amp;"$C$1:$C$300"),
            INDIRECT(_xlpm._参照先&amp;_xlpm._戻り範囲)
          )
        )
      )
    ),
    ""
  )
)</f>
        <v>77.921551353546661</v>
      </c>
      <c r="AU81" s="223" cm="1">
        <f t="array" aca="1" ref="AU81" ca="1">IF($C81="","",
  IFERROR(
    _xlfn.LET(
      _xlpm._対象月初,EOMONTH(AU$1,-1)+1,
      _xlpm._今月初,EOMONTH(基準データ!$C$5,-1)+1,
      IF(
        _xlpm._対象月初&gt;_xlpm._今月初,
        IF(
          OR(AT81="",AT81=0),
          "",
          AT81*AU$107
        ),
        _xlfn.LET(
          _xlpm._参照先,
            "'[在庫状況把握_43期_2025-2026.xlsx]月次報告"
            &amp;TEXT(AU$1,"YYMM")
            &amp;"'!",
          _xlpm._戻り範囲,
            IF(
              _xlpm._対象月初=_xlpm._今月初,
              "$AG$1:$AG$300",
              "$G$1:$G$300"
            ),
          _xlfn.XLOOKUP(
            $C81,
            INDIRECT(_xlpm._参照先&amp;"$C$1:$C$300"),
            INDIRECT(_xlpm._参照先&amp;_xlpm._戻り範囲)
          )
        )
      )
    ),
    ""
  )
)</f>
        <v>115.15436296309447</v>
      </c>
      <c r="AV81" s="223" cm="1">
        <f t="array" aca="1" ref="AV81" ca="1">IF($C81="","",
  IFERROR(
    _xlfn.LET(
      _xlpm._対象月初,EOMONTH(AV$1,-1)+1,
      _xlpm._今月初,EOMONTH(基準データ!$C$5,-1)+1,
      IF(
        _xlpm._対象月初&gt;_xlpm._今月初,
        IF(
          OR(AU81="",AU81=0),
          "",
          AU81*AV$107
        ),
        _xlfn.LET(
          _xlpm._参照先,
            "'[在庫状況把握_43期_2025-2026.xlsx]月次報告"
            &amp;TEXT(AV$1,"YYMM")
            &amp;"'!",
          _xlpm._戻り範囲,
            IF(
              _xlpm._対象月初=_xlpm._今月初,
              "$AG$1:$AG$300",
              "$G$1:$G$300"
            ),
          _xlfn.XLOOKUP(
            $C81,
            INDIRECT(_xlpm._参照先&amp;"$C$1:$C$300"),
            INDIRECT(_xlpm._参照先&amp;_xlpm._戻り範囲)
          )
        )
      )
    ),
    ""
  )
)</f>
        <v>70.708474042424129</v>
      </c>
      <c r="AW81" s="223" cm="1">
        <f t="array" aca="1" ref="AW81" ca="1">IF($C81="","",
  IFERROR(
    _xlfn.LET(
      _xlpm._対象月初,EOMONTH(AW$1,-1)+1,
      _xlpm._今月初,EOMONTH(基準データ!$C$5,-1)+1,
      IF(
        _xlpm._対象月初&gt;_xlpm._今月初,
        IF(
          OR(AV81="",AV81=0),
          "",
          AV81*AW$107
        ),
        _xlfn.LET(
          _xlpm._参照先,
            "'[在庫状況把握_43期_2025-2026.xlsx]月次報告"
            &amp;TEXT(AW$1,"YYMM")
            &amp;"'!",
          _xlpm._戻り範囲,
            IF(
              _xlpm._対象月初=_xlpm._今月初,
              "$AG$1:$AG$300",
              "$G$1:$G$300"
            ),
          _xlfn.XLOOKUP(
            $C81,
            INDIRECT(_xlpm._参照先&amp;"$C$1:$C$300"),
            INDIRECT(_xlpm._参照先&amp;_xlpm._戻り範囲)
          )
        )
      )
    ),
    ""
  )
)</f>
        <v>51.279928089511479</v>
      </c>
      <c r="AX81" s="223" cm="1">
        <f t="array" aca="1" ref="AX81" ca="1">IF($C81="","",
  IFERROR(
    _xlfn.LET(
      _xlpm._対象月初,EOMONTH(AX$1,-1)+1,
      _xlpm._今月初,EOMONTH(基準データ!$C$5,-1)+1,
      IF(
        _xlpm._対象月初&gt;_xlpm._今月初,
        IF(
          OR(AW81="",AW81=0),
          "",
          AW81*AX$107
        ),
        _xlfn.LET(
          _xlpm._参照先,
            "'[在庫状況把握_43期_2025-2026.xlsx]月次報告"
            &amp;TEXT(AX$1,"YYMM")
            &amp;"'!",
          _xlpm._戻り範囲,
            IF(
              _xlpm._対象月初=_xlpm._今月初,
              "$AG$1:$AG$300",
              "$G$1:$G$300"
            ),
          _xlfn.XLOOKUP(
            $C81,
            INDIRECT(_xlpm._参照先&amp;"$C$1:$C$300"),
            INDIRECT(_xlpm._参照先&amp;_xlpm._戻り範囲)
          )
        )
      )
    ),
    ""
  )
)</f>
        <v>53.470082738606912</v>
      </c>
      <c r="AY81" s="223" cm="1">
        <f t="array" aca="1" ref="AY81" ca="1">IF($C81="","",
  IFERROR(
    _xlfn.LET(
      _xlpm._対象月初,EOMONTH(AY$1,-1)+1,
      _xlpm._今月初,EOMONTH(基準データ!$C$5,-1)+1,
      IF(
        _xlpm._対象月初&gt;_xlpm._今月初,
        IF(
          OR(AX81="",AX81=0),
          "",
          AX81*AY$107
        ),
        _xlfn.LET(
          _xlpm._参照先,
            "'[在庫状況把握_43期_2025-2026.xlsx]月次報告"
            &amp;TEXT(AY$1,"YYMM")
            &amp;"'!",
          _xlpm._戻り範囲,
            IF(
              _xlpm._対象月初=_xlpm._今月初,
              "$AG$1:$AG$300",
              "$G$1:$G$300"
            ),
          _xlfn.XLOOKUP(
            $C81,
            INDIRECT(_xlpm._参照先&amp;"$C$1:$C$300"),
            INDIRECT(_xlpm._参照先&amp;_xlpm._戻り範囲)
          )
        )
      )
    ),
    ""
  )
)</f>
        <v>58.678571428571445</v>
      </c>
      <c r="AZ81" s="223" cm="1">
        <f t="array" aca="1" ref="AZ81" ca="1">IF($C81="","",
  IFERROR(
    _xlfn.LET(
      _xlpm._対象月初,EOMONTH(AZ$1,-1)+1,
      _xlpm._今月初,EOMONTH(基準データ!$C$5,-1)+1,
      IF(
        _xlpm._対象月初&gt;_xlpm._今月初,
        IF(
          OR(AY81="",AY81=0),
          "",
          AY81*AZ$107
        ),
        _xlfn.LET(
          _xlpm._参照先,
            "'[在庫状況把握_43期_2025-2026.xlsx]月次報告"
            &amp;TEXT(AZ$1,"YYMM")
            &amp;"'!",
          _xlpm._戻り範囲,
            IF(
              _xlpm._対象月初=_xlpm._今月初,
              "$AG$1:$AG$300",
              "$G$1:$G$300"
            ),
          _xlfn.XLOOKUP(
            $C81,
            INDIRECT(_xlpm._参照先&amp;"$C$1:$C$300"),
            INDIRECT(_xlpm._参照先&amp;_xlpm._戻り範囲)
          )
        )
      )
    ),
    ""
  )
)</f>
        <v>53.970150518743765</v>
      </c>
      <c r="BA81" s="223" cm="1">
        <f t="array" aca="1" ref="BA81" ca="1">IF($C81="","",
  IFERROR(
    _xlfn.LET(
      _xlpm._対象月初,EOMONTH(BA$1,-1)+1,
      _xlpm._今月初,EOMONTH(基準データ!$C$5,-1)+1,
      IF(
        _xlpm._対象月初&gt;_xlpm._今月初,
        IF(
          OR(AZ81="",AZ81=0),
          "",
          AZ81*BA$107
        ),
        _xlfn.LET(
          _xlpm._参照先,
            "'[在庫状況把握_43期_2025-2026.xlsx]月次報告"
            &amp;TEXT(BA$1,"YYMM")
            &amp;"'!",
          _xlpm._戻り範囲,
            IF(
              _xlpm._対象月初=_xlpm._今月初,
              "$AG$1:$AG$300",
              "$G$1:$G$300"
            ),
          _xlfn.XLOOKUP(
            $C81,
            INDIRECT(_xlpm._参照先&amp;"$C$1:$C$300"),
            INDIRECT(_xlpm._参照先&amp;_xlpm._戻り範囲)
          )
        )
      )
    ),
    ""
  )
)</f>
        <v>58.300109787295114</v>
      </c>
      <c r="BB81" s="223" cm="1">
        <f t="array" aca="1" ref="BB81" ca="1">IF($C81="","",
  IFERROR(
    _xlfn.LET(
      _xlpm._対象月初,EOMONTH(BB$1,-1)+1,
      _xlpm._今月初,EOMONTH(基準データ!$C$5,-1)+1,
      IF(
        _xlpm._対象月初&gt;_xlpm._今月初,
        IF(
          OR(BA81="",BA81=0),
          "",
          BA81*BB$107
        ),
        _xlfn.LET(
          _xlpm._参照先,
            "'[在庫状況把握_43期_2025-2026.xlsx]月次報告"
            &amp;TEXT(BB$1,"YYMM")
            &amp;"'!",
          _xlpm._戻り範囲,
            IF(
              _xlpm._対象月初=_xlpm._今月初,
              "$AG$1:$AG$300",
              "$G$1:$G$300"
            ),
          _xlfn.XLOOKUP(
            $C81,
            INDIRECT(_xlpm._参照先&amp;"$C$1:$C$300"),
            INDIRECT(_xlpm._参照先&amp;_xlpm._戻り範囲)
          )
        )
      )
    ),
    ""
  )
)</f>
        <v>62.782943486400534</v>
      </c>
      <c r="BC81" s="223" cm="1">
        <f t="array" aca="1" ref="BC81" ca="1">IF($C81="","",
  IFERROR(
    _xlfn.LET(
      _xlpm._対象月初,EOMONTH(BC$1,-1)+1,
      _xlpm._今月初,EOMONTH(基準データ!$C$5,-1)+1,
      IF(
        _xlpm._対象月初&gt;_xlpm._今月初,
        IF(
          OR(BB81="",BB81=0),
          "",
          BB81*BC$107
        ),
        _xlfn.LET(
          _xlpm._参照先,
            "'[在庫状況把握_43期_2025-2026.xlsx]月次報告"
            &amp;TEXT(BC$1,"YYMM")
            &amp;"'!",
          _xlpm._戻り範囲,
            IF(
              _xlpm._対象月初=_xlpm._今月初,
              "$AG$1:$AG$300",
              "$G$1:$G$300"
            ),
          _xlfn.XLOOKUP(
            $C81,
            INDIRECT(_xlpm._参照先&amp;"$C$1:$C$300"),
            INDIRECT(_xlpm._参照先&amp;_xlpm._戻り範囲)
          )
        )
      )
    ),
    ""
  )
)</f>
        <v>64.977195013333855</v>
      </c>
      <c r="BD81" s="223" cm="1">
        <f t="array" aca="1" ref="BD81" ca="1">IF($C81="","",
  IFERROR(
    _xlfn.LET(
      _xlpm._対象月初,EOMONTH(BD$1,-1)+1,
      _xlpm._今月初,EOMONTH(基準データ!$C$5,-1)+1,
      IF(
        _xlpm._対象月初&gt;_xlpm._今月初,
        IF(
          OR(BC81="",BC81=0),
          "",
          BC81*BD$107
        ),
        _xlfn.LET(
          _xlpm._参照先,
            "'[在庫状況把握_43期_2025-2026.xlsx]月次報告"
            &amp;TEXT(BD$1,"YYMM")
            &amp;"'!",
          _xlpm._戻り範囲,
            IF(
              _xlpm._対象月初=_xlpm._今月初,
              "$AG$1:$AG$300",
              "$G$1:$G$300"
            ),
          _xlfn.XLOOKUP(
            $C81,
            INDIRECT(_xlpm._参照先&amp;"$C$1:$C$300"),
            INDIRECT(_xlpm._参照先&amp;_xlpm._戻り範囲)
          )
        )
      )
    ),
    ""
  )
)</f>
        <v>95.771718348613334</v>
      </c>
    </row>
    <row r="82" spans="1:56" ht="18.75" customHeight="1">
      <c r="A82" s="1061" t="s">
        <v>1473</v>
      </c>
      <c r="B82" s="26" t="str">
        <v>CLE-L24-U5-325-UMA-16G-L7 Thirdwave</v>
      </c>
      <c r="C82" s="86" t="s">
        <v>771</v>
      </c>
      <c r="D82" s="72" t="s">
        <v>1460</v>
      </c>
      <c r="E82" s="68"/>
      <c r="F82" s="68"/>
      <c r="G82" s="355">
        <v>1247</v>
      </c>
      <c r="H82" s="109" cm="1">
        <f t="array" aca="1" ref="H82" ca="1">_xlfn.LET(_xlpm._来月から4ヶ月計画合計,
  SUM(
    OFFSET($A82,0,
      MATCH(
        EDATE(基準データ!$C$5,3),$A$1:$BF$1,1
      )-3,1,4)),
_xlpm._今月計画数,
INDEX($A$1:$BE$223,
  ROW(),
  MATCH(EOMONTH(基準データ!$C$5,-1)+1,$A$1:$BE$1,0)
),
  IFERROR(IF($B82="","",_xlpm._来月から4ヶ月計画合計+_xlpm._今月計画数/2),""
)
)</f>
        <v>752.20213790507023</v>
      </c>
      <c r="I82" s="311"/>
      <c r="J82" s="311"/>
      <c r="K82" s="311"/>
      <c r="L82" s="311"/>
      <c r="M82" s="38"/>
      <c r="N82" s="38"/>
      <c r="O82" s="38"/>
      <c r="P82" s="38"/>
      <c r="Q82" s="219"/>
      <c r="R82" s="219"/>
      <c r="S82" s="219"/>
      <c r="T82" s="219"/>
      <c r="U82" s="224"/>
      <c r="V82" s="237"/>
      <c r="W82" s="333"/>
      <c r="X82" s="333"/>
      <c r="Y82" s="333"/>
      <c r="Z82" s="219"/>
      <c r="AA82" s="219"/>
      <c r="AB82" s="529"/>
      <c r="AC82" s="648"/>
      <c r="AD82" s="648" t="s">
        <v>21</v>
      </c>
      <c r="AE82" s="223" t="s">
        <v>21</v>
      </c>
      <c r="AF82" s="223">
        <v>0</v>
      </c>
      <c r="AG82" s="223">
        <v>0</v>
      </c>
      <c r="AH82" s="223">
        <v>0</v>
      </c>
      <c r="AI82" s="223">
        <v>7</v>
      </c>
      <c r="AJ82" s="223">
        <v>13</v>
      </c>
      <c r="AK82" s="223">
        <v>4</v>
      </c>
      <c r="AL82" s="223" cm="1">
        <f t="array" aca="1" ref="AL82" ca="1">IF($C82="","",
  IFERROR(
    _xlfn.LET(
      _xlpm._対象月初,EOMONTH(AL$1,-1)+1,
      _xlpm._今月初,EOMONTH(基準データ!$C$5,-1)+1,
      IF(
        _xlpm._対象月初&gt;_xlpm._今月初,
        IF(
          OR(AK82="",AK82=0),
          "",
          AK82*AL$107
        ),
        _xlfn.LET(
          _xlpm._参照先,
            "'[在庫状況把握_43期_2025-2026.xlsx]月次報告"
            &amp;TEXT(AL$1,"YYMM")
            &amp;"'!",
          _xlpm._戻り範囲,
            IF(
              _xlpm._対象月初=_xlpm._今月初,
              "$AG$1:$AG$300",
              "$G$1:$G$300"
            ),
          _xlfn.XLOOKUP(
            $C82,
            INDIRECT(_xlpm._参照先&amp;"$C$1:$C$300"),
            INDIRECT(_xlpm._参照先&amp;_xlpm._戻り範囲)
          )
        )
      )
    ),
    ""
  )
)</f>
        <v>148</v>
      </c>
      <c r="AM82" s="223" cm="1">
        <f t="array" aca="1" ref="AM82" ca="1">IF($C82="","",
  IFERROR(
    _xlfn.LET(
      _xlpm._対象月初,EOMONTH(AM$1,-1)+1,
      _xlpm._今月初,EOMONTH(基準データ!$C$5,-1)+1,
      IF(
        _xlpm._対象月初&gt;_xlpm._今月初,
        IF(
          OR(AL82="",AL82=0),
          "",
          AL82*AM$107
        ),
        _xlfn.LET(
          _xlpm._参照先,
            "'[在庫状況把握_43期_2025-2026.xlsx]月次報告"
            &amp;TEXT(AM$1,"YYMM")
            &amp;"'!",
          _xlpm._戻り範囲,
            IF(
              _xlpm._対象月初=_xlpm._今月初,
              "$AG$1:$AG$300",
              "$G$1:$G$300"
            ),
          _xlfn.XLOOKUP(
            $C82,
            INDIRECT(_xlpm._参照先&amp;"$C$1:$C$300"),
            INDIRECT(_xlpm._参照先&amp;_xlpm._戻り範囲)
          )
        )
      )
    ),
    ""
  )
)</f>
        <v>163.85714285714286</v>
      </c>
      <c r="AN82" s="223" cm="1">
        <f t="array" aca="1" ref="AN82" ca="1">IF($C82="","",
  IFERROR(
    _xlfn.LET(
      _xlpm._対象月初,EOMONTH(AN$1,-1)+1,
      _xlpm._今月初,EOMONTH(基準データ!$C$5,-1)+1,
      IF(
        _xlpm._対象月初&gt;_xlpm._今月初,
        IF(
          OR(AM82="",AM82=0),
          "",
          AM82*AN$107
        ),
        _xlfn.LET(
          _xlpm._参照先,
            "'[在庫状況把握_43期_2025-2026.xlsx]月次報告"
            &amp;TEXT(AN$1,"YYMM")
            &amp;"'!",
          _xlpm._戻り範囲,
            IF(
              _xlpm._対象月初=_xlpm._今月初,
              "$AG$1:$AG$300",
              "$G$1:$G$300"
            ),
          _xlfn.XLOOKUP(
            $C82,
            INDIRECT(_xlpm._参照先&amp;"$C$1:$C$300"),
            INDIRECT(_xlpm._参照先&amp;_xlpm._戻り範囲)
          )
        )
      )
    ),
    ""
  )
)</f>
        <v>150.70909956177502</v>
      </c>
      <c r="AO82" s="223" cm="1">
        <f t="array" aca="1" ref="AO82" ca="1">IF($C82="","",
  IFERROR(
    _xlfn.LET(
      _xlpm._対象月初,EOMONTH(AO$1,-1)+1,
      _xlpm._今月初,EOMONTH(基準データ!$C$5,-1)+1,
      IF(
        _xlpm._対象月初&gt;_xlpm._今月初,
        IF(
          OR(AN82="",AN82=0),
          "",
          AN82*AO$107
        ),
        _xlfn.LET(
          _xlpm._参照先,
            "'[在庫状況把握_43期_2025-2026.xlsx]月次報告"
            &amp;TEXT(AO$1,"YYMM")
            &amp;"'!",
          _xlpm._戻り範囲,
            IF(
              _xlpm._対象月初=_xlpm._今月初,
              "$AG$1:$AG$300",
              "$G$1:$G$300"
            ),
          _xlfn.XLOOKUP(
            $C82,
            INDIRECT(_xlpm._参照先&amp;"$C$1:$C$300"),
            INDIRECT(_xlpm._参照先&amp;_xlpm._戻り範囲)
          )
        )
      )
    ),
    ""
  )
)</f>
        <v>162.80030657584294</v>
      </c>
      <c r="AP82" s="223" cm="1">
        <f t="array" aca="1" ref="AP82" ca="1">IF($C82="","",
  IFERROR(
    _xlfn.LET(
      _xlpm._対象月初,EOMONTH(AP$1,-1)+1,
      _xlpm._今月初,EOMONTH(基準データ!$C$5,-1)+1,
      IF(
        _xlpm._対象月初&gt;_xlpm._今月初,
        IF(
          OR(AO82="",AO82=0),
          "",
          AO82*AP$107
        ),
        _xlfn.LET(
          _xlpm._参照先,
            "'[在庫状況把握_43期_2025-2026.xlsx]月次報告"
            &amp;TEXT(AP$1,"YYMM")
            &amp;"'!",
          _xlpm._戻り範囲,
            IF(
              _xlpm._対象月初=_xlpm._今月初,
              "$AG$1:$AG$300",
              "$G$1:$G$300"
            ),
          _xlfn.XLOOKUP(
            $C82,
            INDIRECT(_xlpm._参照先&amp;"$C$1:$C$300"),
            INDIRECT(_xlpm._参照先&amp;_xlpm._戻り範囲)
          )
        )
      )
    ),
    ""
  )
)</f>
        <v>175.31840822617505</v>
      </c>
      <c r="AQ82" s="223" cm="1">
        <f t="array" aca="1" ref="AQ82" ca="1">IF($C82="","",
  IFERROR(
    _xlfn.LET(
      _xlpm._対象月初,EOMONTH(AQ$1,-1)+1,
      _xlpm._今月初,EOMONTH(基準データ!$C$5,-1)+1,
      IF(
        _xlpm._対象月初&gt;_xlpm._今月初,
        IF(
          OR(AP82="",AP82=0),
          "",
          AP82*AQ$107
        ),
        _xlfn.LET(
          _xlpm._参照先,
            "'[在庫状況把握_43期_2025-2026.xlsx]月次報告"
            &amp;TEXT(AQ$1,"YYMM")
            &amp;"'!",
          _xlpm._戻り範囲,
            IF(
              _xlpm._対象月初=_xlpm._今月初,
              "$AG$1:$AG$300",
              "$G$1:$G$300"
            ),
          _xlfn.XLOOKUP(
            $C82,
            INDIRECT(_xlpm._参照先&amp;"$C$1:$C$300"),
            INDIRECT(_xlpm._参照先&amp;_xlpm._戻り範囲)
          )
        )
      )
    ),
    ""
  )
)</f>
        <v>181.44575211270583</v>
      </c>
      <c r="AR82" s="223" cm="1">
        <f t="array" aca="1" ref="AR82" ca="1">IF($C82="","",
  IFERROR(
    _xlfn.LET(
      _xlpm._対象月初,EOMONTH(AR$1,-1)+1,
      _xlpm._今月初,EOMONTH(基準データ!$C$5,-1)+1,
      IF(
        _xlpm._対象月初&gt;_xlpm._今月初,
        IF(
          OR(AQ82="",AQ82=0),
          "",
          AQ82*AR$107
        ),
        _xlfn.LET(
          _xlpm._参照先,
            "'[在庫状況把握_43期_2025-2026.xlsx]月次報告"
            &amp;TEXT(AR$1,"YYMM")
            &amp;"'!",
          _xlpm._戻り範囲,
            IF(
              _xlpm._対象月初=_xlpm._今月初,
              "$AG$1:$AG$300",
              "$G$1:$G$300"
            ),
          _xlfn.XLOOKUP(
            $C82,
            INDIRECT(_xlpm._参照先&amp;"$C$1:$C$300"),
            INDIRECT(_xlpm._参照先&amp;_xlpm._戻り範囲)
          )
        )
      )
    ),
    ""
  )
)</f>
        <v>267.43800595461835</v>
      </c>
      <c r="AS82" s="223" cm="1">
        <f t="array" aca="1" ref="AS82" ca="1">IF($C82="","",
  IFERROR(
    _xlfn.LET(
      _xlpm._対象月初,EOMONTH(AS$1,-1)+1,
      _xlpm._今月初,EOMONTH(基準データ!$C$5,-1)+1,
      IF(
        _xlpm._対象月初&gt;_xlpm._今月初,
        IF(
          OR(AR82="",AR82=0),
          "",
          AR82*AS$107
        ),
        _xlfn.LET(
          _xlpm._参照先,
            "'[在庫状況把握_43期_2025-2026.xlsx]月次報告"
            &amp;TEXT(AS$1,"YYMM")
            &amp;"'!",
          _xlpm._戻り範囲,
            IF(
              _xlpm._対象月初=_xlpm._今月初,
              "$AG$1:$AG$300",
              "$G$1:$G$300"
            ),
          _xlfn.XLOOKUP(
            $C82,
            INDIRECT(_xlpm._参照先&amp;"$C$1:$C$300"),
            INDIRECT(_xlpm._参照先&amp;_xlpm._戻り範囲)
          )
        )
      )
    ),
    ""
  )
)</f>
        <v>230.7905769749463</v>
      </c>
      <c r="AT82" s="223" cm="1">
        <f t="array" aca="1" ref="AT82" ca="1">IF($C82="","",
  IFERROR(
    _xlfn.LET(
      _xlpm._対象月初,EOMONTH(AT$1,-1)+1,
      _xlpm._今月初,EOMONTH(基準データ!$C$5,-1)+1,
      IF(
        _xlpm._対象月初&gt;_xlpm._今月初,
        IF(
          OR(AS82="",AS82=0),
          "",
          AS82*AT$107
        ),
        _xlfn.LET(
          _xlpm._参照先,
            "'[在庫状況把握_43期_2025-2026.xlsx]月次報告"
            &amp;TEXT(AT$1,"YYMM")
            &amp;"'!",
          _xlpm._戻り範囲,
            IF(
              _xlpm._対象月初=_xlpm._今月初,
              "$AG$1:$AG$300",
              "$G$1:$G$300"
            ),
          _xlfn.XLOOKUP(
            $C82,
            INDIRECT(_xlpm._参照先&amp;"$C$1:$C$300"),
            INDIRECT(_xlpm._参照先&amp;_xlpm._戻り範囲)
          )
        )
      )
    ),
    ""
  )
)</f>
        <v>217.5922566099039</v>
      </c>
      <c r="AU82" s="223" cm="1">
        <f t="array" aca="1" ref="AU82" ca="1">IF($C82="","",
  IFERROR(
    _xlfn.LET(
      _xlpm._対象月初,EOMONTH(AU$1,-1)+1,
      _xlpm._今月初,EOMONTH(基準データ!$C$5,-1)+1,
      IF(
        _xlpm._対象月初&gt;_xlpm._今月初,
        IF(
          OR(AT82="",AT82=0),
          "",
          AT82*AU$107
        ),
        _xlfn.LET(
          _xlpm._参照先,
            "'[在庫状況把握_43期_2025-2026.xlsx]月次報告"
            &amp;TEXT(AU$1,"YYMM")
            &amp;"'!",
          _xlpm._戻り範囲,
            IF(
              _xlpm._対象月初=_xlpm._今月初,
              "$AG$1:$AG$300",
              "$G$1:$G$300"
            ),
          _xlfn.XLOOKUP(
            $C82,
            INDIRECT(_xlpm._参照先&amp;"$C$1:$C$300"),
            INDIRECT(_xlpm._参照先&amp;_xlpm._戻り範囲)
          )
        )
      )
    ),
    ""
  )
)</f>
        <v>321.5631267648676</v>
      </c>
      <c r="AV82" s="223" cm="1">
        <f t="array" aca="1" ref="AV82" ca="1">IF($C82="","",
  IFERROR(
    _xlfn.LET(
      _xlpm._対象月初,EOMONTH(AV$1,-1)+1,
      _xlpm._今月初,EOMONTH(基準データ!$C$5,-1)+1,
      IF(
        _xlpm._対象月初&gt;_xlpm._今月初,
        IF(
          OR(AU82="",AU82=0),
          "",
          AU82*AV$107
        ),
        _xlfn.LET(
          _xlpm._参照先,
            "'[在庫状況把握_43期_2025-2026.xlsx]月次報告"
            &amp;TEXT(AV$1,"YYMM")
            &amp;"'!",
          _xlpm._戻り範囲,
            IF(
              _xlpm._対象月初=_xlpm._今月初,
              "$AG$1:$AG$300",
              "$G$1:$G$300"
            ),
          _xlfn.XLOOKUP(
            $C82,
            INDIRECT(_xlpm._参照先&amp;"$C$1:$C$300"),
            INDIRECT(_xlpm._参照先&amp;_xlpm._戻り範囲)
          )
        )
      )
    ),
    ""
  )
)</f>
        <v>197.45007845809002</v>
      </c>
      <c r="AW82" s="223" cm="1">
        <f t="array" aca="1" ref="AW82" ca="1">IF($C82="","",
  IFERROR(
    _xlfn.LET(
      _xlpm._対象月初,EOMONTH(AW$1,-1)+1,
      _xlpm._今月初,EOMONTH(基準データ!$C$5,-1)+1,
      IF(
        _xlpm._対象月初&gt;_xlpm._今月初,
        IF(
          OR(AV82="",AV82=0),
          "",
          AV82*AW$107
        ),
        _xlfn.LET(
          _xlpm._参照先,
            "'[在庫状況把握_43期_2025-2026.xlsx]月次報告"
            &amp;TEXT(AW$1,"YYMM")
            &amp;"'!",
          _xlpm._戻り範囲,
            IF(
              _xlpm._対象月初=_xlpm._今月初,
              "$AG$1:$AG$300",
              "$G$1:$G$300"
            ),
          _xlfn.XLOOKUP(
            $C82,
            INDIRECT(_xlpm._参照先&amp;"$C$1:$C$300"),
            INDIRECT(_xlpm._参照先&amp;_xlpm._戻り範囲)
          )
        )
      )
    ),
    ""
  )
)</f>
        <v>143.19678032542828</v>
      </c>
      <c r="AX82" s="223" cm="1">
        <f t="array" aca="1" ref="AX82" ca="1">IF($C82="","",
  IFERROR(
    _xlfn.LET(
      _xlpm._対象月初,EOMONTH(AX$1,-1)+1,
      _xlpm._今月初,EOMONTH(基準データ!$C$5,-1)+1,
      IF(
        _xlpm._対象月初&gt;_xlpm._今月初,
        IF(
          OR(AW82="",AW82=0),
          "",
          AW82*AX$107
        ),
        _xlfn.LET(
          _xlpm._参照先,
            "'[在庫状況把握_43期_2025-2026.xlsx]月次報告"
            &amp;TEXT(AX$1,"YYMM")
            &amp;"'!",
          _xlpm._戻り範囲,
            IF(
              _xlpm._対象月初=_xlpm._今月初,
              "$AG$1:$AG$300",
              "$G$1:$G$300"
            ),
          _xlfn.XLOOKUP(
            $C82,
            INDIRECT(_xlpm._参照先&amp;"$C$1:$C$300"),
            INDIRECT(_xlpm._参照先&amp;_xlpm._戻り範囲)
          )
        )
      )
    ),
    ""
  )
)</f>
        <v>149.31268387384571</v>
      </c>
      <c r="AY82" s="223" cm="1">
        <f t="array" aca="1" ref="AY82" ca="1">IF($C82="","",
  IFERROR(
    _xlfn.LET(
      _xlpm._対象月初,EOMONTH(AY$1,-1)+1,
      _xlpm._今月初,EOMONTH(基準データ!$C$5,-1)+1,
      IF(
        _xlpm._対象月初&gt;_xlpm._今月初,
        IF(
          OR(AX82="",AX82=0),
          "",
          AX82*AY$107
        ),
        _xlfn.LET(
          _xlpm._参照先,
            "'[在庫状況把握_43期_2025-2026.xlsx]月次報告"
            &amp;TEXT(AY$1,"YYMM")
            &amp;"'!",
          _xlpm._戻り範囲,
            IF(
              _xlpm._対象月初=_xlpm._今月初,
              "$AG$1:$AG$300",
              "$G$1:$G$300"
            ),
          _xlfn.XLOOKUP(
            $C82,
            INDIRECT(_xlpm._参照先&amp;"$C$1:$C$300"),
            INDIRECT(_xlpm._参照先&amp;_xlpm._戻り範囲)
          )
        )
      )
    ),
    ""
  )
)</f>
        <v>163.85714285714289</v>
      </c>
      <c r="AZ82" s="223" cm="1">
        <f t="array" aca="1" ref="AZ82" ca="1">IF($C82="","",
  IFERROR(
    _xlfn.LET(
      _xlpm._対象月初,EOMONTH(AZ$1,-1)+1,
      _xlpm._今月初,EOMONTH(基準データ!$C$5,-1)+1,
      IF(
        _xlpm._対象月初&gt;_xlpm._今月初,
        IF(
          OR(AY82="",AY82=0),
          "",
          AY82*AZ$107
        ),
        _xlfn.LET(
          _xlpm._参照先,
            "'[在庫状況把握_43期_2025-2026.xlsx]月次報告"
            &amp;TEXT(AZ$1,"YYMM")
            &amp;"'!",
          _xlpm._戻り範囲,
            IF(
              _xlpm._対象月初=_xlpm._今月初,
              "$AG$1:$AG$300",
              "$G$1:$G$300"
            ),
          _xlfn.XLOOKUP(
            $C82,
            INDIRECT(_xlpm._参照先&amp;"$C$1:$C$300"),
            INDIRECT(_xlpm._参照先&amp;_xlpm._戻り範囲)
          )
        )
      )
    ),
    ""
  )
)</f>
        <v>150.70909956177505</v>
      </c>
      <c r="BA82" s="223" cm="1">
        <f t="array" aca="1" ref="BA82" ca="1">IF($C82="","",
  IFERROR(
    _xlfn.LET(
      _xlpm._対象月初,EOMONTH(BA$1,-1)+1,
      _xlpm._今月初,EOMONTH(基準データ!$C$5,-1)+1,
      IF(
        _xlpm._対象月初&gt;_xlpm._今月初,
        IF(
          OR(AZ82="",AZ82=0),
          "",
          AZ82*BA$107
        ),
        _xlfn.LET(
          _xlpm._参照先,
            "'[在庫状況把握_43期_2025-2026.xlsx]月次報告"
            &amp;TEXT(BA$1,"YYMM")
            &amp;"'!",
          _xlpm._戻り範囲,
            IF(
              _xlpm._対象月初=_xlpm._今月初,
              "$AG$1:$AG$300",
              "$G$1:$G$300"
            ),
          _xlfn.XLOOKUP(
            $C82,
            INDIRECT(_xlpm._参照先&amp;"$C$1:$C$300"),
            INDIRECT(_xlpm._参照先&amp;_xlpm._戻り範囲)
          )
        )
      )
    ),
    ""
  )
)</f>
        <v>162.80030657584297</v>
      </c>
      <c r="BB82" s="223" cm="1">
        <f t="array" aca="1" ref="BB82" ca="1">IF($C82="","",
  IFERROR(
    _xlfn.LET(
      _xlpm._対象月初,EOMONTH(BB$1,-1)+1,
      _xlpm._今月初,EOMONTH(基準データ!$C$5,-1)+1,
      IF(
        _xlpm._対象月初&gt;_xlpm._今月初,
        IF(
          OR(BA82="",BA82=0),
          "",
          BA82*BB$107
        ),
        _xlfn.LET(
          _xlpm._参照先,
            "'[在庫状況把握_43期_2025-2026.xlsx]月次報告"
            &amp;TEXT(BB$1,"YYMM")
            &amp;"'!",
          _xlpm._戻り範囲,
            IF(
              _xlpm._対象月初=_xlpm._今月初,
              "$AG$1:$AG$300",
              "$G$1:$G$300"
            ),
          _xlfn.XLOOKUP(
            $C82,
            INDIRECT(_xlpm._参照先&amp;"$C$1:$C$300"),
            INDIRECT(_xlpm._参照先&amp;_xlpm._戻り範囲)
          )
        )
      )
    ),
    ""
  )
)</f>
        <v>175.31840822617508</v>
      </c>
      <c r="BC82" s="223" cm="1">
        <f t="array" aca="1" ref="BC82" ca="1">IF($C82="","",
  IFERROR(
    _xlfn.LET(
      _xlpm._対象月初,EOMONTH(BC$1,-1)+1,
      _xlpm._今月初,EOMONTH(基準データ!$C$5,-1)+1,
      IF(
        _xlpm._対象月初&gt;_xlpm._今月初,
        IF(
          OR(BB82="",BB82=0),
          "",
          BB82*BC$107
        ),
        _xlfn.LET(
          _xlpm._参照先,
            "'[在庫状況把握_43期_2025-2026.xlsx]月次報告"
            &amp;TEXT(BC$1,"YYMM")
            &amp;"'!",
          _xlpm._戻り範囲,
            IF(
              _xlpm._対象月初=_xlpm._今月初,
              "$AG$1:$AG$300",
              "$G$1:$G$300"
            ),
          _xlfn.XLOOKUP(
            $C82,
            INDIRECT(_xlpm._参照先&amp;"$C$1:$C$300"),
            INDIRECT(_xlpm._参照先&amp;_xlpm._戻り範囲)
          )
        )
      )
    ),
    ""
  )
)</f>
        <v>181.44575211270586</v>
      </c>
      <c r="BD82" s="223" cm="1">
        <f t="array" aca="1" ref="BD82" ca="1">IF($C82="","",
  IFERROR(
    _xlfn.LET(
      _xlpm._対象月初,EOMONTH(BD$1,-1)+1,
      _xlpm._今月初,EOMONTH(基準データ!$C$5,-1)+1,
      IF(
        _xlpm._対象月初&gt;_xlpm._今月初,
        IF(
          OR(BC82="",BC82=0),
          "",
          BC82*BD$107
        ),
        _xlfn.LET(
          _xlpm._参照先,
            "'[在庫状況把握_43期_2025-2026.xlsx]月次報告"
            &amp;TEXT(BD$1,"YYMM")
            &amp;"'!",
          _xlpm._戻り範囲,
            IF(
              _xlpm._対象月初=_xlpm._今月初,
              "$AG$1:$AG$300",
              "$G$1:$G$300"
            ),
          _xlfn.XLOOKUP(
            $C82,
            INDIRECT(_xlpm._参照先&amp;"$C$1:$C$300"),
            INDIRECT(_xlpm._参照先&amp;_xlpm._戻り範囲)
          )
        )
      )
    ),
    ""
  )
)</f>
        <v>267.4380059546184</v>
      </c>
    </row>
    <row r="83" spans="1:56" ht="18.75" customHeight="1">
      <c r="A83" s="1061"/>
      <c r="B83" s="26" t="str">
        <v/>
      </c>
      <c r="C83" s="56"/>
      <c r="D83" s="72" t="s">
        <v>1466</v>
      </c>
      <c r="E83" s="68"/>
      <c r="F83" s="68" t="s">
        <v>1347</v>
      </c>
      <c r="G83" s="355" t="str">
        <v/>
      </c>
      <c r="H83" s="109" t="str" cm="1">
        <f t="array" aca="1" ref="H83" ca="1">_xlfn.LET(_xlpm._来月から4ヶ月計画合計,
  SUM(
    OFFSET($A83,0,
      MATCH(
        EDATE(基準データ!$C$5,3),$A$1:$BF$1,1
      )-3,1,4)),
_xlpm._今月計画数,
INDEX($A$1:$BE$223,
  ROW(),
  MATCH(EOMONTH(基準データ!$C$5,-1)+1,$A$1:$BE$1,0)
),
  IFERROR(IF($B83="","",_xlpm._来月から4ヶ月計画合計+_xlpm._今月計画数/2),""
)
)</f>
        <v/>
      </c>
      <c r="I83" s="311"/>
      <c r="J83" s="311"/>
      <c r="K83" s="311"/>
      <c r="L83" s="311"/>
      <c r="M83" s="38"/>
      <c r="N83" s="38"/>
      <c r="O83" s="38"/>
      <c r="P83" s="38"/>
      <c r="Q83" s="219"/>
      <c r="R83" s="219"/>
      <c r="S83" s="219"/>
      <c r="T83" s="219"/>
      <c r="U83" s="224"/>
      <c r="V83" s="237"/>
      <c r="W83" s="333"/>
      <c r="X83" s="333"/>
      <c r="Y83" s="333"/>
      <c r="Z83" s="219"/>
      <c r="AA83" s="219"/>
      <c r="AB83" s="529"/>
      <c r="AC83" s="648"/>
      <c r="AD83" s="648" t="s">
        <v>21</v>
      </c>
      <c r="AE83" s="223" t="s">
        <v>21</v>
      </c>
      <c r="AF83" s="223" t="s">
        <v>21</v>
      </c>
      <c r="AG83" s="223" t="s">
        <v>21</v>
      </c>
      <c r="AH83" s="223" t="s">
        <v>21</v>
      </c>
      <c r="AI83" s="223" t="s">
        <v>21</v>
      </c>
      <c r="AJ83" s="223" t="s">
        <v>21</v>
      </c>
      <c r="AK83" s="223" t="s">
        <v>21</v>
      </c>
      <c r="AL83" s="223" t="str" cm="1">
        <f t="array" aca="1" ref="AL83" ca="1">IF($C83="","",
  IFERROR(
    _xlfn.LET(
      _xlpm._対象月初,EOMONTH(AL$1,-1)+1,
      _xlpm._今月初,EOMONTH(基準データ!$C$5,-1)+1,
      IF(
        _xlpm._対象月初&gt;_xlpm._今月初,
        IF(
          OR(AK83="",AK83=0),
          "",
          AK83*AL$107
        ),
        _xlfn.LET(
          _xlpm._参照先,
            "'[在庫状況把握_43期_2025-2026.xlsx]月次報告"
            &amp;TEXT(AL$1,"YYMM")
            &amp;"'!",
          _xlpm._戻り範囲,
            IF(
              _xlpm._対象月初=_xlpm._今月初,
              "$AG$1:$AG$300",
              "$G$1:$G$300"
            ),
          _xlfn.XLOOKUP(
            $C83,
            INDIRECT(_xlpm._参照先&amp;"$C$1:$C$300"),
            INDIRECT(_xlpm._参照先&amp;_xlpm._戻り範囲)
          )
        )
      )
    ),
    ""
  )
)</f>
        <v/>
      </c>
      <c r="AM83" s="223" t="str" cm="1">
        <f t="array" aca="1" ref="AM83" ca="1">IF($C83="","",
  IFERROR(
    _xlfn.LET(
      _xlpm._対象月初,EOMONTH(AM$1,-1)+1,
      _xlpm._今月初,EOMONTH(基準データ!$C$5,-1)+1,
      IF(
        _xlpm._対象月初&gt;_xlpm._今月初,
        IF(
          OR(AL83="",AL83=0),
          "",
          AL83*AM$107
        ),
        _xlfn.LET(
          _xlpm._参照先,
            "'[在庫状況把握_43期_2025-2026.xlsx]月次報告"
            &amp;TEXT(AM$1,"YYMM")
            &amp;"'!",
          _xlpm._戻り範囲,
            IF(
              _xlpm._対象月初=_xlpm._今月初,
              "$AG$1:$AG$300",
              "$G$1:$G$300"
            ),
          _xlfn.XLOOKUP(
            $C83,
            INDIRECT(_xlpm._参照先&amp;"$C$1:$C$300"),
            INDIRECT(_xlpm._参照先&amp;_xlpm._戻り範囲)
          )
        )
      )
    ),
    ""
  )
)</f>
        <v/>
      </c>
      <c r="AN83" s="223" t="str" cm="1">
        <f t="array" aca="1" ref="AN83" ca="1">IF($C83="","",
  IFERROR(
    _xlfn.LET(
      _xlpm._対象月初,EOMONTH(AN$1,-1)+1,
      _xlpm._今月初,EOMONTH(基準データ!$C$5,-1)+1,
      IF(
        _xlpm._対象月初&gt;_xlpm._今月初,
        IF(
          OR(AM83="",AM83=0),
          "",
          AM83*AN$107
        ),
        _xlfn.LET(
          _xlpm._参照先,
            "'[在庫状況把握_43期_2025-2026.xlsx]月次報告"
            &amp;TEXT(AN$1,"YYMM")
            &amp;"'!",
          _xlpm._戻り範囲,
            IF(
              _xlpm._対象月初=_xlpm._今月初,
              "$AG$1:$AG$300",
              "$G$1:$G$300"
            ),
          _xlfn.XLOOKUP(
            $C83,
            INDIRECT(_xlpm._参照先&amp;"$C$1:$C$300"),
            INDIRECT(_xlpm._参照先&amp;_xlpm._戻り範囲)
          )
        )
      )
    ),
    ""
  )
)</f>
        <v/>
      </c>
      <c r="AO83" s="223" t="str" cm="1">
        <f t="array" aca="1" ref="AO83" ca="1">IF($C83="","",
  IFERROR(
    _xlfn.LET(
      _xlpm._対象月初,EOMONTH(AO$1,-1)+1,
      _xlpm._今月初,EOMONTH(基準データ!$C$5,-1)+1,
      IF(
        _xlpm._対象月初&gt;_xlpm._今月初,
        IF(
          OR(AN83="",AN83=0),
          "",
          AN83*AO$107
        ),
        _xlfn.LET(
          _xlpm._参照先,
            "'[在庫状況把握_43期_2025-2026.xlsx]月次報告"
            &amp;TEXT(AO$1,"YYMM")
            &amp;"'!",
          _xlpm._戻り範囲,
            IF(
              _xlpm._対象月初=_xlpm._今月初,
              "$AG$1:$AG$300",
              "$G$1:$G$300"
            ),
          _xlfn.XLOOKUP(
            $C83,
            INDIRECT(_xlpm._参照先&amp;"$C$1:$C$300"),
            INDIRECT(_xlpm._参照先&amp;_xlpm._戻り範囲)
          )
        )
      )
    ),
    ""
  )
)</f>
        <v/>
      </c>
      <c r="AP83" s="223" t="str" cm="1">
        <f t="array" aca="1" ref="AP83" ca="1">IF($C83="","",
  IFERROR(
    _xlfn.LET(
      _xlpm._対象月初,EOMONTH(AP$1,-1)+1,
      _xlpm._今月初,EOMONTH(基準データ!$C$5,-1)+1,
      IF(
        _xlpm._対象月初&gt;_xlpm._今月初,
        IF(
          OR(AO83="",AO83=0),
          "",
          AO83*AP$107
        ),
        _xlfn.LET(
          _xlpm._参照先,
            "'[在庫状況把握_43期_2025-2026.xlsx]月次報告"
            &amp;TEXT(AP$1,"YYMM")
            &amp;"'!",
          _xlpm._戻り範囲,
            IF(
              _xlpm._対象月初=_xlpm._今月初,
              "$AG$1:$AG$300",
              "$G$1:$G$300"
            ),
          _xlfn.XLOOKUP(
            $C83,
            INDIRECT(_xlpm._参照先&amp;"$C$1:$C$300"),
            INDIRECT(_xlpm._参照先&amp;_xlpm._戻り範囲)
          )
        )
      )
    ),
    ""
  )
)</f>
        <v/>
      </c>
      <c r="AQ83" s="223" t="str" cm="1">
        <f t="array" aca="1" ref="AQ83" ca="1">IF($C83="","",
  IFERROR(
    _xlfn.LET(
      _xlpm._対象月初,EOMONTH(AQ$1,-1)+1,
      _xlpm._今月初,EOMONTH(基準データ!$C$5,-1)+1,
      IF(
        _xlpm._対象月初&gt;_xlpm._今月初,
        IF(
          OR(AP83="",AP83=0),
          "",
          AP83*AQ$107
        ),
        _xlfn.LET(
          _xlpm._参照先,
            "'[在庫状況把握_43期_2025-2026.xlsx]月次報告"
            &amp;TEXT(AQ$1,"YYMM")
            &amp;"'!",
          _xlpm._戻り範囲,
            IF(
              _xlpm._対象月初=_xlpm._今月初,
              "$AG$1:$AG$300",
              "$G$1:$G$300"
            ),
          _xlfn.XLOOKUP(
            $C83,
            INDIRECT(_xlpm._参照先&amp;"$C$1:$C$300"),
            INDIRECT(_xlpm._参照先&amp;_xlpm._戻り範囲)
          )
        )
      )
    ),
    ""
  )
)</f>
        <v/>
      </c>
      <c r="AR83" s="223" t="str" cm="1">
        <f t="array" aca="1" ref="AR83" ca="1">IF($C83="","",
  IFERROR(
    _xlfn.LET(
      _xlpm._対象月初,EOMONTH(AR$1,-1)+1,
      _xlpm._今月初,EOMONTH(基準データ!$C$5,-1)+1,
      IF(
        _xlpm._対象月初&gt;_xlpm._今月初,
        IF(
          OR(AQ83="",AQ83=0),
          "",
          AQ83*AR$107
        ),
        _xlfn.LET(
          _xlpm._参照先,
            "'[在庫状況把握_43期_2025-2026.xlsx]月次報告"
            &amp;TEXT(AR$1,"YYMM")
            &amp;"'!",
          _xlpm._戻り範囲,
            IF(
              _xlpm._対象月初=_xlpm._今月初,
              "$AG$1:$AG$300",
              "$G$1:$G$300"
            ),
          _xlfn.XLOOKUP(
            $C83,
            INDIRECT(_xlpm._参照先&amp;"$C$1:$C$300"),
            INDIRECT(_xlpm._参照先&amp;_xlpm._戻り範囲)
          )
        )
      )
    ),
    ""
  )
)</f>
        <v/>
      </c>
      <c r="AS83" s="223" t="str" cm="1">
        <f t="array" aca="1" ref="AS83" ca="1">IF($C83="","",
  IFERROR(
    _xlfn.LET(
      _xlpm._対象月初,EOMONTH(AS$1,-1)+1,
      _xlpm._今月初,EOMONTH(基準データ!$C$5,-1)+1,
      IF(
        _xlpm._対象月初&gt;_xlpm._今月初,
        IF(
          OR(AR83="",AR83=0),
          "",
          AR83*AS$107
        ),
        _xlfn.LET(
          _xlpm._参照先,
            "'[在庫状況把握_43期_2025-2026.xlsx]月次報告"
            &amp;TEXT(AS$1,"YYMM")
            &amp;"'!",
          _xlpm._戻り範囲,
            IF(
              _xlpm._対象月初=_xlpm._今月初,
              "$AG$1:$AG$300",
              "$G$1:$G$300"
            ),
          _xlfn.XLOOKUP(
            $C83,
            INDIRECT(_xlpm._参照先&amp;"$C$1:$C$300"),
            INDIRECT(_xlpm._参照先&amp;_xlpm._戻り範囲)
          )
        )
      )
    ),
    ""
  )
)</f>
        <v/>
      </c>
      <c r="AT83" s="223" t="str" cm="1">
        <f t="array" aca="1" ref="AT83" ca="1">IF($C83="","",
  IFERROR(
    _xlfn.LET(
      _xlpm._対象月初,EOMONTH(AT$1,-1)+1,
      _xlpm._今月初,EOMONTH(基準データ!$C$5,-1)+1,
      IF(
        _xlpm._対象月初&gt;_xlpm._今月初,
        IF(
          OR(AS83="",AS83=0),
          "",
          AS83*AT$107
        ),
        _xlfn.LET(
          _xlpm._参照先,
            "'[在庫状況把握_43期_2025-2026.xlsx]月次報告"
            &amp;TEXT(AT$1,"YYMM")
            &amp;"'!",
          _xlpm._戻り範囲,
            IF(
              _xlpm._対象月初=_xlpm._今月初,
              "$AG$1:$AG$300",
              "$G$1:$G$300"
            ),
          _xlfn.XLOOKUP(
            $C83,
            INDIRECT(_xlpm._参照先&amp;"$C$1:$C$300"),
            INDIRECT(_xlpm._参照先&amp;_xlpm._戻り範囲)
          )
        )
      )
    ),
    ""
  )
)</f>
        <v/>
      </c>
      <c r="AU83" s="223" t="str" cm="1">
        <f t="array" aca="1" ref="AU83" ca="1">IF($C83="","",
  IFERROR(
    _xlfn.LET(
      _xlpm._対象月初,EOMONTH(AU$1,-1)+1,
      _xlpm._今月初,EOMONTH(基準データ!$C$5,-1)+1,
      IF(
        _xlpm._対象月初&gt;_xlpm._今月初,
        IF(
          OR(AT83="",AT83=0),
          "",
          AT83*AU$107
        ),
        _xlfn.LET(
          _xlpm._参照先,
            "'[在庫状況把握_43期_2025-2026.xlsx]月次報告"
            &amp;TEXT(AU$1,"YYMM")
            &amp;"'!",
          _xlpm._戻り範囲,
            IF(
              _xlpm._対象月初=_xlpm._今月初,
              "$AG$1:$AG$300",
              "$G$1:$G$300"
            ),
          _xlfn.XLOOKUP(
            $C83,
            INDIRECT(_xlpm._参照先&amp;"$C$1:$C$300"),
            INDIRECT(_xlpm._参照先&amp;_xlpm._戻り範囲)
          )
        )
      )
    ),
    ""
  )
)</f>
        <v/>
      </c>
      <c r="AV83" s="223" t="str" cm="1">
        <f t="array" aca="1" ref="AV83" ca="1">IF($C83="","",
  IFERROR(
    _xlfn.LET(
      _xlpm._対象月初,EOMONTH(AV$1,-1)+1,
      _xlpm._今月初,EOMONTH(基準データ!$C$5,-1)+1,
      IF(
        _xlpm._対象月初&gt;_xlpm._今月初,
        IF(
          OR(AU83="",AU83=0),
          "",
          AU83*AV$107
        ),
        _xlfn.LET(
          _xlpm._参照先,
            "'[在庫状況把握_43期_2025-2026.xlsx]月次報告"
            &amp;TEXT(AV$1,"YYMM")
            &amp;"'!",
          _xlpm._戻り範囲,
            IF(
              _xlpm._対象月初=_xlpm._今月初,
              "$AG$1:$AG$300",
              "$G$1:$G$300"
            ),
          _xlfn.XLOOKUP(
            $C83,
            INDIRECT(_xlpm._参照先&amp;"$C$1:$C$300"),
            INDIRECT(_xlpm._参照先&amp;_xlpm._戻り範囲)
          )
        )
      )
    ),
    ""
  )
)</f>
        <v/>
      </c>
      <c r="AW83" s="223" t="str" cm="1">
        <f t="array" aca="1" ref="AW83" ca="1">IF($C83="","",
  IFERROR(
    _xlfn.LET(
      _xlpm._対象月初,EOMONTH(AW$1,-1)+1,
      _xlpm._今月初,EOMONTH(基準データ!$C$5,-1)+1,
      IF(
        _xlpm._対象月初&gt;_xlpm._今月初,
        IF(
          OR(AV83="",AV83=0),
          "",
          AV83*AW$107
        ),
        _xlfn.LET(
          _xlpm._参照先,
            "'[在庫状況把握_43期_2025-2026.xlsx]月次報告"
            &amp;TEXT(AW$1,"YYMM")
            &amp;"'!",
          _xlpm._戻り範囲,
            IF(
              _xlpm._対象月初=_xlpm._今月初,
              "$AG$1:$AG$300",
              "$G$1:$G$300"
            ),
          _xlfn.XLOOKUP(
            $C83,
            INDIRECT(_xlpm._参照先&amp;"$C$1:$C$300"),
            INDIRECT(_xlpm._参照先&amp;_xlpm._戻り範囲)
          )
        )
      )
    ),
    ""
  )
)</f>
        <v/>
      </c>
      <c r="AX83" s="223" t="str" cm="1">
        <f t="array" aca="1" ref="AX83" ca="1">IF($C83="","",
  IFERROR(
    _xlfn.LET(
      _xlpm._対象月初,EOMONTH(AX$1,-1)+1,
      _xlpm._今月初,EOMONTH(基準データ!$C$5,-1)+1,
      IF(
        _xlpm._対象月初&gt;_xlpm._今月初,
        IF(
          OR(AW83="",AW83=0),
          "",
          AW83*AX$107
        ),
        _xlfn.LET(
          _xlpm._参照先,
            "'[在庫状況把握_43期_2025-2026.xlsx]月次報告"
            &amp;TEXT(AX$1,"YYMM")
            &amp;"'!",
          _xlpm._戻り範囲,
            IF(
              _xlpm._対象月初=_xlpm._今月初,
              "$AG$1:$AG$300",
              "$G$1:$G$300"
            ),
          _xlfn.XLOOKUP(
            $C83,
            INDIRECT(_xlpm._参照先&amp;"$C$1:$C$300"),
            INDIRECT(_xlpm._参照先&amp;_xlpm._戻り範囲)
          )
        )
      )
    ),
    ""
  )
)</f>
        <v/>
      </c>
      <c r="AY83" s="223" t="str" cm="1">
        <f t="array" aca="1" ref="AY83" ca="1">IF($C83="","",
  IFERROR(
    _xlfn.LET(
      _xlpm._対象月初,EOMONTH(AY$1,-1)+1,
      _xlpm._今月初,EOMONTH(基準データ!$C$5,-1)+1,
      IF(
        _xlpm._対象月初&gt;_xlpm._今月初,
        IF(
          OR(AX83="",AX83=0),
          "",
          AX83*AY$107
        ),
        _xlfn.LET(
          _xlpm._参照先,
            "'[在庫状況把握_43期_2025-2026.xlsx]月次報告"
            &amp;TEXT(AY$1,"YYMM")
            &amp;"'!",
          _xlpm._戻り範囲,
            IF(
              _xlpm._対象月初=_xlpm._今月初,
              "$AG$1:$AG$300",
              "$G$1:$G$300"
            ),
          _xlfn.XLOOKUP(
            $C83,
            INDIRECT(_xlpm._参照先&amp;"$C$1:$C$300"),
            INDIRECT(_xlpm._参照先&amp;_xlpm._戻り範囲)
          )
        )
      )
    ),
    ""
  )
)</f>
        <v/>
      </c>
      <c r="AZ83" s="223" t="str" cm="1">
        <f t="array" aca="1" ref="AZ83" ca="1">IF($C83="","",
  IFERROR(
    _xlfn.LET(
      _xlpm._対象月初,EOMONTH(AZ$1,-1)+1,
      _xlpm._今月初,EOMONTH(基準データ!$C$5,-1)+1,
      IF(
        _xlpm._対象月初&gt;_xlpm._今月初,
        IF(
          OR(AY83="",AY83=0),
          "",
          AY83*AZ$107
        ),
        _xlfn.LET(
          _xlpm._参照先,
            "'[在庫状況把握_43期_2025-2026.xlsx]月次報告"
            &amp;TEXT(AZ$1,"YYMM")
            &amp;"'!",
          _xlpm._戻り範囲,
            IF(
              _xlpm._対象月初=_xlpm._今月初,
              "$AG$1:$AG$300",
              "$G$1:$G$300"
            ),
          _xlfn.XLOOKUP(
            $C83,
            INDIRECT(_xlpm._参照先&amp;"$C$1:$C$300"),
            INDIRECT(_xlpm._参照先&amp;_xlpm._戻り範囲)
          )
        )
      )
    ),
    ""
  )
)</f>
        <v/>
      </c>
      <c r="BA83" s="223" t="str" cm="1">
        <f t="array" aca="1" ref="BA83" ca="1">IF($C83="","",
  IFERROR(
    _xlfn.LET(
      _xlpm._対象月初,EOMONTH(BA$1,-1)+1,
      _xlpm._今月初,EOMONTH(基準データ!$C$5,-1)+1,
      IF(
        _xlpm._対象月初&gt;_xlpm._今月初,
        IF(
          OR(AZ83="",AZ83=0),
          "",
          AZ83*BA$107
        ),
        _xlfn.LET(
          _xlpm._参照先,
            "'[在庫状況把握_43期_2025-2026.xlsx]月次報告"
            &amp;TEXT(BA$1,"YYMM")
            &amp;"'!",
          _xlpm._戻り範囲,
            IF(
              _xlpm._対象月初=_xlpm._今月初,
              "$AG$1:$AG$300",
              "$G$1:$G$300"
            ),
          _xlfn.XLOOKUP(
            $C83,
            INDIRECT(_xlpm._参照先&amp;"$C$1:$C$300"),
            INDIRECT(_xlpm._参照先&amp;_xlpm._戻り範囲)
          )
        )
      )
    ),
    ""
  )
)</f>
        <v/>
      </c>
      <c r="BB83" s="223" t="str" cm="1">
        <f t="array" aca="1" ref="BB83" ca="1">IF($C83="","",
  IFERROR(
    _xlfn.LET(
      _xlpm._対象月初,EOMONTH(BB$1,-1)+1,
      _xlpm._今月初,EOMONTH(基準データ!$C$5,-1)+1,
      IF(
        _xlpm._対象月初&gt;_xlpm._今月初,
        IF(
          OR(BA83="",BA83=0),
          "",
          BA83*BB$107
        ),
        _xlfn.LET(
          _xlpm._参照先,
            "'[在庫状況把握_43期_2025-2026.xlsx]月次報告"
            &amp;TEXT(BB$1,"YYMM")
            &amp;"'!",
          _xlpm._戻り範囲,
            IF(
              _xlpm._対象月初=_xlpm._今月初,
              "$AG$1:$AG$300",
              "$G$1:$G$300"
            ),
          _xlfn.XLOOKUP(
            $C83,
            INDIRECT(_xlpm._参照先&amp;"$C$1:$C$300"),
            INDIRECT(_xlpm._参照先&amp;_xlpm._戻り範囲)
          )
        )
      )
    ),
    ""
  )
)</f>
        <v/>
      </c>
      <c r="BC83" s="223" t="str" cm="1">
        <f t="array" aca="1" ref="BC83" ca="1">IF($C83="","",
  IFERROR(
    _xlfn.LET(
      _xlpm._対象月初,EOMONTH(BC$1,-1)+1,
      _xlpm._今月初,EOMONTH(基準データ!$C$5,-1)+1,
      IF(
        _xlpm._対象月初&gt;_xlpm._今月初,
        IF(
          OR(BB83="",BB83=0),
          "",
          BB83*BC$107
        ),
        _xlfn.LET(
          _xlpm._参照先,
            "'[在庫状況把握_43期_2025-2026.xlsx]月次報告"
            &amp;TEXT(BC$1,"YYMM")
            &amp;"'!",
          _xlpm._戻り範囲,
            IF(
              _xlpm._対象月初=_xlpm._今月初,
              "$AG$1:$AG$300",
              "$G$1:$G$300"
            ),
          _xlfn.XLOOKUP(
            $C83,
            INDIRECT(_xlpm._参照先&amp;"$C$1:$C$300"),
            INDIRECT(_xlpm._参照先&amp;_xlpm._戻り範囲)
          )
        )
      )
    ),
    ""
  )
)</f>
        <v/>
      </c>
      <c r="BD83" s="223" t="str" cm="1">
        <f t="array" aca="1" ref="BD83" ca="1">IF($C83="","",
  IFERROR(
    _xlfn.LET(
      _xlpm._対象月初,EOMONTH(BD$1,-1)+1,
      _xlpm._今月初,EOMONTH(基準データ!$C$5,-1)+1,
      IF(
        _xlpm._対象月初&gt;_xlpm._今月初,
        IF(
          OR(BC83="",BC83=0),
          "",
          BC83*BD$107
        ),
        _xlfn.LET(
          _xlpm._参照先,
            "'[在庫状況把握_43期_2025-2026.xlsx]月次報告"
            &amp;TEXT(BD$1,"YYMM")
            &amp;"'!",
          _xlpm._戻り範囲,
            IF(
              _xlpm._対象月初=_xlpm._今月初,
              "$AG$1:$AG$300",
              "$G$1:$G$300"
            ),
          _xlfn.XLOOKUP(
            $C83,
            INDIRECT(_xlpm._参照先&amp;"$C$1:$C$300"),
            INDIRECT(_xlpm._参照先&amp;_xlpm._戻り範囲)
          )
        )
      )
    ),
    ""
  )
)</f>
        <v/>
      </c>
    </row>
    <row r="84" spans="1:56" ht="18.75" customHeight="1">
      <c r="A84" s="1061" t="s">
        <v>1473</v>
      </c>
      <c r="B84" s="26" t="str">
        <v>CLE-L240-125U-UMA-L6 Thirdwave</v>
      </c>
      <c r="C84" s="56" t="s">
        <v>860</v>
      </c>
      <c r="D84" s="72" t="s">
        <v>1472</v>
      </c>
      <c r="E84" s="68"/>
      <c r="F84" s="68" t="s">
        <v>1347</v>
      </c>
      <c r="G84" s="355">
        <v>0</v>
      </c>
      <c r="H84" s="109" cm="1">
        <f t="array" aca="1" ref="H84" ca="1">_xlfn.LET(_xlpm._来月から4ヶ月計画合計,
  SUM(
    OFFSET($A84,0,
      MATCH(
        EDATE(基準データ!$C$5,3),$A$1:$BF$1,1
      )-3,1,4)),
_xlpm._今月計画数,
INDEX($A$1:$BE$223,
  ROW(),
  MATCH(EOMONTH(基準データ!$C$5,-1)+1,$A$1:$BE$1,0)
),
  IFERROR(IF($B84="","",_xlpm._来月から4ヶ月計画合計+_xlpm._今月計画数/2),""
)
)</f>
        <v>0</v>
      </c>
      <c r="I84" s="311"/>
      <c r="J84" s="311"/>
      <c r="K84" s="311"/>
      <c r="L84" s="311"/>
      <c r="M84" s="38"/>
      <c r="N84" s="38"/>
      <c r="O84" s="38"/>
      <c r="P84" s="38"/>
      <c r="Q84" s="219"/>
      <c r="R84" s="219"/>
      <c r="S84" s="219"/>
      <c r="T84" s="219"/>
      <c r="U84" s="224"/>
      <c r="V84" s="237"/>
      <c r="W84" s="333"/>
      <c r="X84" s="333"/>
      <c r="Y84" s="333"/>
      <c r="Z84" s="219"/>
      <c r="AA84" s="219"/>
      <c r="AB84" s="529"/>
      <c r="AC84" s="648"/>
      <c r="AD84" s="648">
        <v>12</v>
      </c>
      <c r="AE84" s="223">
        <v>0</v>
      </c>
      <c r="AF84" s="223">
        <v>0</v>
      </c>
      <c r="AG84" s="223">
        <v>0</v>
      </c>
      <c r="AH84" s="223">
        <v>0</v>
      </c>
      <c r="AI84" s="223">
        <v>5</v>
      </c>
      <c r="AJ84" s="223">
        <v>10</v>
      </c>
      <c r="AK84" s="223">
        <v>3</v>
      </c>
      <c r="AL84" s="223" cm="1">
        <f t="array" aca="1" ref="AL84" ca="1">IF($C84="","",
  IFERROR(
    _xlfn.LET(
      _xlpm._対象月初,EOMONTH(AL$1,-1)+1,
      _xlpm._今月初,EOMONTH(基準データ!$C$5,-1)+1,
      IF(
        _xlpm._対象月初&gt;_xlpm._今月初,
        IF(
          OR(AK84="",AK84=0),
          "",
          AK84*AL$107
        ),
        _xlfn.LET(
          _xlpm._参照先,
            "'[在庫状況把握_43期_2025-2026.xlsx]月次報告"
            &amp;TEXT(AL$1,"YYMM")
            &amp;"'!",
          _xlpm._戻り範囲,
            IF(
              _xlpm._対象月初=_xlpm._今月初,
              "$AG$1:$AG$300",
              "$G$1:$G$300"
            ),
          _xlfn.XLOOKUP(
            $C84,
            INDIRECT(_xlpm._参照先&amp;"$C$1:$C$300"),
            INDIRECT(_xlpm._参照先&amp;_xlpm._戻り範囲)
          )
        )
      )
    ),
    ""
  )
)</f>
        <v>0</v>
      </c>
      <c r="AM84" s="223" cm="1">
        <f t="array" aca="1" ref="AM84" ca="1">IF($C84="","",
  IFERROR(
    _xlfn.LET(
      _xlpm._対象月初,EOMONTH(AM$1,-1)+1,
      _xlpm._今月初,EOMONTH(基準データ!$C$5,-1)+1,
      IF(
        _xlpm._対象月初&gt;_xlpm._今月初,
        IF(
          OR(AL84="",AL84=0),
          "",
          AL84*AM$107
        ),
        _xlfn.LET(
          _xlpm._参照先,
            "'[在庫状況把握_43期_2025-2026.xlsx]月次報告"
            &amp;TEXT(AM$1,"YYMM")
            &amp;"'!",
          _xlpm._戻り範囲,
            IF(
              _xlpm._対象月初=_xlpm._今月初,
              "$AG$1:$AG$300",
              "$G$1:$G$300"
            ),
          _xlfn.XLOOKUP(
            $C84,
            INDIRECT(_xlpm._参照先&amp;"$C$1:$C$300"),
            INDIRECT(_xlpm._参照先&amp;_xlpm._戻り範囲)
          )
        )
      )
    ),
    ""
  )
)</f>
        <v>0</v>
      </c>
      <c r="AN84" s="223" t="str" cm="1">
        <f t="array" aca="1" ref="AN84" ca="1">IF($C84="","",
  IFERROR(
    _xlfn.LET(
      _xlpm._対象月初,EOMONTH(AN$1,-1)+1,
      _xlpm._今月初,EOMONTH(基準データ!$C$5,-1)+1,
      IF(
        _xlpm._対象月初&gt;_xlpm._今月初,
        IF(
          OR(AM84="",AM84=0),
          "",
          AM84*AN$107
        ),
        _xlfn.LET(
          _xlpm._参照先,
            "'[在庫状況把握_43期_2025-2026.xlsx]月次報告"
            &amp;TEXT(AN$1,"YYMM")
            &amp;"'!",
          _xlpm._戻り範囲,
            IF(
              _xlpm._対象月初=_xlpm._今月初,
              "$AG$1:$AG$300",
              "$G$1:$G$300"
            ),
          _xlfn.XLOOKUP(
            $C84,
            INDIRECT(_xlpm._参照先&amp;"$C$1:$C$300"),
            INDIRECT(_xlpm._参照先&amp;_xlpm._戻り範囲)
          )
        )
      )
    ),
    ""
  )
)</f>
        <v/>
      </c>
      <c r="AO84" s="223" t="str" cm="1">
        <f t="array" aca="1" ref="AO84" ca="1">IF($C84="","",
  IFERROR(
    _xlfn.LET(
      _xlpm._対象月初,EOMONTH(AO$1,-1)+1,
      _xlpm._今月初,EOMONTH(基準データ!$C$5,-1)+1,
      IF(
        _xlpm._対象月初&gt;_xlpm._今月初,
        IF(
          OR(AN84="",AN84=0),
          "",
          AN84*AO$107
        ),
        _xlfn.LET(
          _xlpm._参照先,
            "'[在庫状況把握_43期_2025-2026.xlsx]月次報告"
            &amp;TEXT(AO$1,"YYMM")
            &amp;"'!",
          _xlpm._戻り範囲,
            IF(
              _xlpm._対象月初=_xlpm._今月初,
              "$AG$1:$AG$300",
              "$G$1:$G$300"
            ),
          _xlfn.XLOOKUP(
            $C84,
            INDIRECT(_xlpm._参照先&amp;"$C$1:$C$300"),
            INDIRECT(_xlpm._参照先&amp;_xlpm._戻り範囲)
          )
        )
      )
    ),
    ""
  )
)</f>
        <v/>
      </c>
      <c r="AP84" s="223" t="str" cm="1">
        <f t="array" aca="1" ref="AP84" ca="1">IF($C84="","",
  IFERROR(
    _xlfn.LET(
      _xlpm._対象月初,EOMONTH(AP$1,-1)+1,
      _xlpm._今月初,EOMONTH(基準データ!$C$5,-1)+1,
      IF(
        _xlpm._対象月初&gt;_xlpm._今月初,
        IF(
          OR(AO84="",AO84=0),
          "",
          AO84*AP$107
        ),
        _xlfn.LET(
          _xlpm._参照先,
            "'[在庫状況把握_43期_2025-2026.xlsx]月次報告"
            &amp;TEXT(AP$1,"YYMM")
            &amp;"'!",
          _xlpm._戻り範囲,
            IF(
              _xlpm._対象月初=_xlpm._今月初,
              "$AG$1:$AG$300",
              "$G$1:$G$300"
            ),
          _xlfn.XLOOKUP(
            $C84,
            INDIRECT(_xlpm._参照先&amp;"$C$1:$C$300"),
            INDIRECT(_xlpm._参照先&amp;_xlpm._戻り範囲)
          )
        )
      )
    ),
    ""
  )
)</f>
        <v/>
      </c>
      <c r="AQ84" s="223" t="str" cm="1">
        <f t="array" aca="1" ref="AQ84" ca="1">IF($C84="","",
  IFERROR(
    _xlfn.LET(
      _xlpm._対象月初,EOMONTH(AQ$1,-1)+1,
      _xlpm._今月初,EOMONTH(基準データ!$C$5,-1)+1,
      IF(
        _xlpm._対象月初&gt;_xlpm._今月初,
        IF(
          OR(AP84="",AP84=0),
          "",
          AP84*AQ$107
        ),
        _xlfn.LET(
          _xlpm._参照先,
            "'[在庫状況把握_43期_2025-2026.xlsx]月次報告"
            &amp;TEXT(AQ$1,"YYMM")
            &amp;"'!",
          _xlpm._戻り範囲,
            IF(
              _xlpm._対象月初=_xlpm._今月初,
              "$AG$1:$AG$300",
              "$G$1:$G$300"
            ),
          _xlfn.XLOOKUP(
            $C84,
            INDIRECT(_xlpm._参照先&amp;"$C$1:$C$300"),
            INDIRECT(_xlpm._参照先&amp;_xlpm._戻り範囲)
          )
        )
      )
    ),
    ""
  )
)</f>
        <v/>
      </c>
      <c r="AR84" s="223" t="str" cm="1">
        <f t="array" aca="1" ref="AR84" ca="1">IF($C84="","",
  IFERROR(
    _xlfn.LET(
      _xlpm._対象月初,EOMONTH(AR$1,-1)+1,
      _xlpm._今月初,EOMONTH(基準データ!$C$5,-1)+1,
      IF(
        _xlpm._対象月初&gt;_xlpm._今月初,
        IF(
          OR(AQ84="",AQ84=0),
          "",
          AQ84*AR$107
        ),
        _xlfn.LET(
          _xlpm._参照先,
            "'[在庫状況把握_43期_2025-2026.xlsx]月次報告"
            &amp;TEXT(AR$1,"YYMM")
            &amp;"'!",
          _xlpm._戻り範囲,
            IF(
              _xlpm._対象月初=_xlpm._今月初,
              "$AG$1:$AG$300",
              "$G$1:$G$300"
            ),
          _xlfn.XLOOKUP(
            $C84,
            INDIRECT(_xlpm._参照先&amp;"$C$1:$C$300"),
            INDIRECT(_xlpm._参照先&amp;_xlpm._戻り範囲)
          )
        )
      )
    ),
    ""
  )
)</f>
        <v/>
      </c>
      <c r="AS84" s="223" t="str" cm="1">
        <f t="array" aca="1" ref="AS84" ca="1">IF($C84="","",
  IFERROR(
    _xlfn.LET(
      _xlpm._対象月初,EOMONTH(AS$1,-1)+1,
      _xlpm._今月初,EOMONTH(基準データ!$C$5,-1)+1,
      IF(
        _xlpm._対象月初&gt;_xlpm._今月初,
        IF(
          OR(AR84="",AR84=0),
          "",
          AR84*AS$107
        ),
        _xlfn.LET(
          _xlpm._参照先,
            "'[在庫状況把握_43期_2025-2026.xlsx]月次報告"
            &amp;TEXT(AS$1,"YYMM")
            &amp;"'!",
          _xlpm._戻り範囲,
            IF(
              _xlpm._対象月初=_xlpm._今月初,
              "$AG$1:$AG$300",
              "$G$1:$G$300"
            ),
          _xlfn.XLOOKUP(
            $C84,
            INDIRECT(_xlpm._参照先&amp;"$C$1:$C$300"),
            INDIRECT(_xlpm._参照先&amp;_xlpm._戻り範囲)
          )
        )
      )
    ),
    ""
  )
)</f>
        <v/>
      </c>
      <c r="AT84" s="223" t="str" cm="1">
        <f t="array" aca="1" ref="AT84" ca="1">IF($C84="","",
  IFERROR(
    _xlfn.LET(
      _xlpm._対象月初,EOMONTH(AT$1,-1)+1,
      _xlpm._今月初,EOMONTH(基準データ!$C$5,-1)+1,
      IF(
        _xlpm._対象月初&gt;_xlpm._今月初,
        IF(
          OR(AS84="",AS84=0),
          "",
          AS84*AT$107
        ),
        _xlfn.LET(
          _xlpm._参照先,
            "'[在庫状況把握_43期_2025-2026.xlsx]月次報告"
            &amp;TEXT(AT$1,"YYMM")
            &amp;"'!",
          _xlpm._戻り範囲,
            IF(
              _xlpm._対象月初=_xlpm._今月初,
              "$AG$1:$AG$300",
              "$G$1:$G$300"
            ),
          _xlfn.XLOOKUP(
            $C84,
            INDIRECT(_xlpm._参照先&amp;"$C$1:$C$300"),
            INDIRECT(_xlpm._参照先&amp;_xlpm._戻り範囲)
          )
        )
      )
    ),
    ""
  )
)</f>
        <v/>
      </c>
      <c r="AU84" s="223" t="str" cm="1">
        <f t="array" aca="1" ref="AU84" ca="1">IF($C84="","",
  IFERROR(
    _xlfn.LET(
      _xlpm._対象月初,EOMONTH(AU$1,-1)+1,
      _xlpm._今月初,EOMONTH(基準データ!$C$5,-1)+1,
      IF(
        _xlpm._対象月初&gt;_xlpm._今月初,
        IF(
          OR(AT84="",AT84=0),
          "",
          AT84*AU$107
        ),
        _xlfn.LET(
          _xlpm._参照先,
            "'[在庫状況把握_43期_2025-2026.xlsx]月次報告"
            &amp;TEXT(AU$1,"YYMM")
            &amp;"'!",
          _xlpm._戻り範囲,
            IF(
              _xlpm._対象月初=_xlpm._今月初,
              "$AG$1:$AG$300",
              "$G$1:$G$300"
            ),
          _xlfn.XLOOKUP(
            $C84,
            INDIRECT(_xlpm._参照先&amp;"$C$1:$C$300"),
            INDIRECT(_xlpm._参照先&amp;_xlpm._戻り範囲)
          )
        )
      )
    ),
    ""
  )
)</f>
        <v/>
      </c>
      <c r="AV84" s="223" t="str" cm="1">
        <f t="array" aca="1" ref="AV84" ca="1">IF($C84="","",
  IFERROR(
    _xlfn.LET(
      _xlpm._対象月初,EOMONTH(AV$1,-1)+1,
      _xlpm._今月初,EOMONTH(基準データ!$C$5,-1)+1,
      IF(
        _xlpm._対象月初&gt;_xlpm._今月初,
        IF(
          OR(AU84="",AU84=0),
          "",
          AU84*AV$107
        ),
        _xlfn.LET(
          _xlpm._参照先,
            "'[在庫状況把握_43期_2025-2026.xlsx]月次報告"
            &amp;TEXT(AV$1,"YYMM")
            &amp;"'!",
          _xlpm._戻り範囲,
            IF(
              _xlpm._対象月初=_xlpm._今月初,
              "$AG$1:$AG$300",
              "$G$1:$G$300"
            ),
          _xlfn.XLOOKUP(
            $C84,
            INDIRECT(_xlpm._参照先&amp;"$C$1:$C$300"),
            INDIRECT(_xlpm._参照先&amp;_xlpm._戻り範囲)
          )
        )
      )
    ),
    ""
  )
)</f>
        <v/>
      </c>
      <c r="AW84" s="223" t="str" cm="1">
        <f t="array" aca="1" ref="AW84" ca="1">IF($C84="","",
  IFERROR(
    _xlfn.LET(
      _xlpm._対象月初,EOMONTH(AW$1,-1)+1,
      _xlpm._今月初,EOMONTH(基準データ!$C$5,-1)+1,
      IF(
        _xlpm._対象月初&gt;_xlpm._今月初,
        IF(
          OR(AV84="",AV84=0),
          "",
          AV84*AW$107
        ),
        _xlfn.LET(
          _xlpm._参照先,
            "'[在庫状況把握_43期_2025-2026.xlsx]月次報告"
            &amp;TEXT(AW$1,"YYMM")
            &amp;"'!",
          _xlpm._戻り範囲,
            IF(
              _xlpm._対象月初=_xlpm._今月初,
              "$AG$1:$AG$300",
              "$G$1:$G$300"
            ),
          _xlfn.XLOOKUP(
            $C84,
            INDIRECT(_xlpm._参照先&amp;"$C$1:$C$300"),
            INDIRECT(_xlpm._参照先&amp;_xlpm._戻り範囲)
          )
        )
      )
    ),
    ""
  )
)</f>
        <v/>
      </c>
      <c r="AX84" s="223" t="str" cm="1">
        <f t="array" aca="1" ref="AX84" ca="1">IF($C84="","",
  IFERROR(
    _xlfn.LET(
      _xlpm._対象月初,EOMONTH(AX$1,-1)+1,
      _xlpm._今月初,EOMONTH(基準データ!$C$5,-1)+1,
      IF(
        _xlpm._対象月初&gt;_xlpm._今月初,
        IF(
          OR(AW84="",AW84=0),
          "",
          AW84*AX$107
        ),
        _xlfn.LET(
          _xlpm._参照先,
            "'[在庫状況把握_43期_2025-2026.xlsx]月次報告"
            &amp;TEXT(AX$1,"YYMM")
            &amp;"'!",
          _xlpm._戻り範囲,
            IF(
              _xlpm._対象月初=_xlpm._今月初,
              "$AG$1:$AG$300",
              "$G$1:$G$300"
            ),
          _xlfn.XLOOKUP(
            $C84,
            INDIRECT(_xlpm._参照先&amp;"$C$1:$C$300"),
            INDIRECT(_xlpm._参照先&amp;_xlpm._戻り範囲)
          )
        )
      )
    ),
    ""
  )
)</f>
        <v/>
      </c>
      <c r="AY84" s="223" t="str" cm="1">
        <f t="array" aca="1" ref="AY84" ca="1">IF($C84="","",
  IFERROR(
    _xlfn.LET(
      _xlpm._対象月初,EOMONTH(AY$1,-1)+1,
      _xlpm._今月初,EOMONTH(基準データ!$C$5,-1)+1,
      IF(
        _xlpm._対象月初&gt;_xlpm._今月初,
        IF(
          OR(AX84="",AX84=0),
          "",
          AX84*AY$107
        ),
        _xlfn.LET(
          _xlpm._参照先,
            "'[在庫状況把握_43期_2025-2026.xlsx]月次報告"
            &amp;TEXT(AY$1,"YYMM")
            &amp;"'!",
          _xlpm._戻り範囲,
            IF(
              _xlpm._対象月初=_xlpm._今月初,
              "$AG$1:$AG$300",
              "$G$1:$G$300"
            ),
          _xlfn.XLOOKUP(
            $C84,
            INDIRECT(_xlpm._参照先&amp;"$C$1:$C$300"),
            INDIRECT(_xlpm._参照先&amp;_xlpm._戻り範囲)
          )
        )
      )
    ),
    ""
  )
)</f>
        <v/>
      </c>
      <c r="AZ84" s="223" t="str" cm="1">
        <f t="array" aca="1" ref="AZ84" ca="1">IF($C84="","",
  IFERROR(
    _xlfn.LET(
      _xlpm._対象月初,EOMONTH(AZ$1,-1)+1,
      _xlpm._今月初,EOMONTH(基準データ!$C$5,-1)+1,
      IF(
        _xlpm._対象月初&gt;_xlpm._今月初,
        IF(
          OR(AY84="",AY84=0),
          "",
          AY84*AZ$107
        ),
        _xlfn.LET(
          _xlpm._参照先,
            "'[在庫状況把握_43期_2025-2026.xlsx]月次報告"
            &amp;TEXT(AZ$1,"YYMM")
            &amp;"'!",
          _xlpm._戻り範囲,
            IF(
              _xlpm._対象月初=_xlpm._今月初,
              "$AG$1:$AG$300",
              "$G$1:$G$300"
            ),
          _xlfn.XLOOKUP(
            $C84,
            INDIRECT(_xlpm._参照先&amp;"$C$1:$C$300"),
            INDIRECT(_xlpm._参照先&amp;_xlpm._戻り範囲)
          )
        )
      )
    ),
    ""
  )
)</f>
        <v/>
      </c>
      <c r="BA84" s="223" t="str" cm="1">
        <f t="array" aca="1" ref="BA84" ca="1">IF($C84="","",
  IFERROR(
    _xlfn.LET(
      _xlpm._対象月初,EOMONTH(BA$1,-1)+1,
      _xlpm._今月初,EOMONTH(基準データ!$C$5,-1)+1,
      IF(
        _xlpm._対象月初&gt;_xlpm._今月初,
        IF(
          OR(AZ84="",AZ84=0),
          "",
          AZ84*BA$107
        ),
        _xlfn.LET(
          _xlpm._参照先,
            "'[在庫状況把握_43期_2025-2026.xlsx]月次報告"
            &amp;TEXT(BA$1,"YYMM")
            &amp;"'!",
          _xlpm._戻り範囲,
            IF(
              _xlpm._対象月初=_xlpm._今月初,
              "$AG$1:$AG$300",
              "$G$1:$G$300"
            ),
          _xlfn.XLOOKUP(
            $C84,
            INDIRECT(_xlpm._参照先&amp;"$C$1:$C$300"),
            INDIRECT(_xlpm._参照先&amp;_xlpm._戻り範囲)
          )
        )
      )
    ),
    ""
  )
)</f>
        <v/>
      </c>
      <c r="BB84" s="223" t="str" cm="1">
        <f t="array" aca="1" ref="BB84" ca="1">IF($C84="","",
  IFERROR(
    _xlfn.LET(
      _xlpm._対象月初,EOMONTH(BB$1,-1)+1,
      _xlpm._今月初,EOMONTH(基準データ!$C$5,-1)+1,
      IF(
        _xlpm._対象月初&gt;_xlpm._今月初,
        IF(
          OR(BA84="",BA84=0),
          "",
          BA84*BB$107
        ),
        _xlfn.LET(
          _xlpm._参照先,
            "'[在庫状況把握_43期_2025-2026.xlsx]月次報告"
            &amp;TEXT(BB$1,"YYMM")
            &amp;"'!",
          _xlpm._戻り範囲,
            IF(
              _xlpm._対象月初=_xlpm._今月初,
              "$AG$1:$AG$300",
              "$G$1:$G$300"
            ),
          _xlfn.XLOOKUP(
            $C84,
            INDIRECT(_xlpm._参照先&amp;"$C$1:$C$300"),
            INDIRECT(_xlpm._参照先&amp;_xlpm._戻り範囲)
          )
        )
      )
    ),
    ""
  )
)</f>
        <v/>
      </c>
      <c r="BC84" s="223" t="str" cm="1">
        <f t="array" aca="1" ref="BC84" ca="1">IF($C84="","",
  IFERROR(
    _xlfn.LET(
      _xlpm._対象月初,EOMONTH(BC$1,-1)+1,
      _xlpm._今月初,EOMONTH(基準データ!$C$5,-1)+1,
      IF(
        _xlpm._対象月初&gt;_xlpm._今月初,
        IF(
          OR(BB84="",BB84=0),
          "",
          BB84*BC$107
        ),
        _xlfn.LET(
          _xlpm._参照先,
            "'[在庫状況把握_43期_2025-2026.xlsx]月次報告"
            &amp;TEXT(BC$1,"YYMM")
            &amp;"'!",
          _xlpm._戻り範囲,
            IF(
              _xlpm._対象月初=_xlpm._今月初,
              "$AG$1:$AG$300",
              "$G$1:$G$300"
            ),
          _xlfn.XLOOKUP(
            $C84,
            INDIRECT(_xlpm._参照先&amp;"$C$1:$C$300"),
            INDIRECT(_xlpm._参照先&amp;_xlpm._戻り範囲)
          )
        )
      )
    ),
    ""
  )
)</f>
        <v/>
      </c>
      <c r="BD84" s="223" t="str" cm="1">
        <f t="array" aca="1" ref="BD84" ca="1">IF($C84="","",
  IFERROR(
    _xlfn.LET(
      _xlpm._対象月初,EOMONTH(BD$1,-1)+1,
      _xlpm._今月初,EOMONTH(基準データ!$C$5,-1)+1,
      IF(
        _xlpm._対象月初&gt;_xlpm._今月初,
        IF(
          OR(BC84="",BC84=0),
          "",
          BC84*BD$107
        ),
        _xlfn.LET(
          _xlpm._参照先,
            "'[在庫状況把握_43期_2025-2026.xlsx]月次報告"
            &amp;TEXT(BD$1,"YYMM")
            &amp;"'!",
          _xlpm._戻り範囲,
            IF(
              _xlpm._対象月初=_xlpm._今月初,
              "$AG$1:$AG$300",
              "$G$1:$G$300"
            ),
          _xlfn.XLOOKUP(
            $C84,
            INDIRECT(_xlpm._参照先&amp;"$C$1:$C$300"),
            INDIRECT(_xlpm._参照先&amp;_xlpm._戻り範囲)
          )
        )
      )
    ),
    ""
  )
)</f>
        <v/>
      </c>
    </row>
    <row r="85" spans="1:56" ht="18.75" customHeight="1">
      <c r="A85" s="1061" t="s">
        <v>1473</v>
      </c>
      <c r="B85" s="26" t="str">
        <v>CLE-NL45-150U-UMA-L6-TPM Thirdwave</v>
      </c>
      <c r="C85" s="56" t="s">
        <v>707</v>
      </c>
      <c r="D85" s="24" t="s">
        <v>1422</v>
      </c>
      <c r="E85" s="26" t="s">
        <v>1423</v>
      </c>
      <c r="F85" s="26" t="s">
        <v>1372</v>
      </c>
      <c r="G85" s="43">
        <v>63</v>
      </c>
      <c r="H85" s="109" cm="1">
        <f t="array" aca="1" ref="H85" ca="1">_xlfn.LET(_xlpm._来月から4ヶ月計画合計,
  SUM(
    OFFSET($A85,0,
      MATCH(
        EDATE(基準データ!$C$5,3),$A$1:$BF$1,1
      )-3,1,4)),
_xlpm._今月計画数,
INDEX($A$1:$BE$223,
  ROW(),
  MATCH(EOMONTH(基準データ!$C$5,-1)+1,$A$1:$BE$1,0)
),
  IFERROR(IF($B85="","",_xlpm._来月から4ヶ月計画合計+_xlpm._今月計画数/2),""
)
)</f>
        <v>91.484043799265322</v>
      </c>
      <c r="I85" s="311"/>
      <c r="J85" s="311"/>
      <c r="K85" s="311"/>
      <c r="L85" s="311"/>
      <c r="M85" s="311"/>
      <c r="N85" s="180"/>
      <c r="O85" s="311"/>
      <c r="P85" s="311"/>
      <c r="Q85" s="298"/>
      <c r="R85" s="298"/>
      <c r="S85" s="298"/>
      <c r="T85" s="298"/>
      <c r="U85" s="224"/>
      <c r="V85" s="237"/>
      <c r="W85" s="333">
        <v>69</v>
      </c>
      <c r="X85" s="333">
        <v>155</v>
      </c>
      <c r="Y85" s="333">
        <v>118</v>
      </c>
      <c r="Z85" s="219">
        <v>119</v>
      </c>
      <c r="AA85" s="219">
        <v>160</v>
      </c>
      <c r="AB85" s="219">
        <v>141</v>
      </c>
      <c r="AC85" s="224">
        <v>129</v>
      </c>
      <c r="AD85" s="224" t="s">
        <v>21</v>
      </c>
      <c r="AE85" s="223" t="s">
        <v>21</v>
      </c>
      <c r="AF85" s="223">
        <v>3</v>
      </c>
      <c r="AG85" s="223">
        <v>7</v>
      </c>
      <c r="AH85" s="223">
        <v>18</v>
      </c>
      <c r="AI85" s="223">
        <v>158</v>
      </c>
      <c r="AJ85" s="223">
        <v>6</v>
      </c>
      <c r="AK85" s="223">
        <v>11</v>
      </c>
      <c r="AL85" s="223" cm="1">
        <f t="array" aca="1" ref="AL85" ca="1">IF($C85="","",
  IFERROR(
    _xlfn.LET(
      _xlpm._対象月初,EOMONTH(AL$1,-1)+1,
      _xlpm._今月初,EOMONTH(基準データ!$C$5,-1)+1,
      IF(
        _xlpm._対象月初&gt;_xlpm._今月初,
        IF(
          OR(AK85="",AK85=0),
          "",
          AK85*AL$107
        ),
        _xlfn.LET(
          _xlpm._参照先,
            "'[在庫状況把握_43期_2025-2026.xlsx]月次報告"
            &amp;TEXT(AL$1,"YYMM")
            &amp;"'!",
          _xlpm._戻り範囲,
            IF(
              _xlpm._対象月初=_xlpm._今月初,
              "$AG$1:$AG$300",
              "$G$1:$G$300"
            ),
          _xlfn.XLOOKUP(
            $C85,
            INDIRECT(_xlpm._参照先&amp;"$C$1:$C$300"),
            INDIRECT(_xlpm._参照先&amp;_xlpm._戻り範囲)
          )
        )
      )
    ),
    ""
  )
)</f>
        <v>21</v>
      </c>
      <c r="AM85" s="223" cm="1">
        <f t="array" aca="1" ref="AM85" ca="1">IF($C85="","",
  IFERROR(
    _xlfn.LET(
      _xlpm._対象月初,EOMONTH(AM$1,-1)+1,
      _xlpm._今月初,EOMONTH(基準データ!$C$5,-1)+1,
      IF(
        _xlpm._対象月初&gt;_xlpm._今月初,
        IF(
          OR(AL85="",AL85=0),
          "",
          AL85*AM$107
        ),
        _xlfn.LET(
          _xlpm._参照先,
            "'[在庫状況把握_43期_2025-2026.xlsx]月次報告"
            &amp;TEXT(AM$1,"YYMM")
            &amp;"'!",
          _xlpm._戻り範囲,
            IF(
              _xlpm._対象月初=_xlpm._今月初,
              "$AG$1:$AG$300",
              "$G$1:$G$300"
            ),
          _xlfn.XLOOKUP(
            $C85,
            INDIRECT(_xlpm._参照先&amp;"$C$1:$C$300"),
            INDIRECT(_xlpm._参照先&amp;_xlpm._戻り範囲)
          )
        )
      )
    ),
    ""
  )
)</f>
        <v>19.928571428571431</v>
      </c>
      <c r="AN85" s="223" cm="1">
        <f t="array" aca="1" ref="AN85" ca="1">IF($C85="","",
  IFERROR(
    _xlfn.LET(
      _xlpm._対象月初,EOMONTH(AN$1,-1)+1,
      _xlpm._今月初,EOMONTH(基準データ!$C$5,-1)+1,
      IF(
        _xlpm._対象月初&gt;_xlpm._今月初,
        IF(
          OR(AM85="",AM85=0),
          "",
          AM85*AN$107
        ),
        _xlfn.LET(
          _xlpm._参照先,
            "'[在庫状況把握_43期_2025-2026.xlsx]月次報告"
            &amp;TEXT(AN$1,"YYMM")
            &amp;"'!",
          _xlpm._戻り範囲,
            IF(
              _xlpm._対象月初=_xlpm._今月初,
              "$AG$1:$AG$300",
              "$G$1:$G$300"
            ),
          _xlfn.XLOOKUP(
            $C85,
            INDIRECT(_xlpm._参照先&amp;"$C$1:$C$300"),
            INDIRECT(_xlpm._参照先&amp;_xlpm._戻り範囲)
          )
        )
      )
    ),
    ""
  )
)</f>
        <v>18.329485081837504</v>
      </c>
      <c r="AO85" s="223" cm="1">
        <f t="array" aca="1" ref="AO85" ca="1">IF($C85="","",
  IFERROR(
    _xlfn.LET(
      _xlpm._対象月初,EOMONTH(AO$1,-1)+1,
      _xlpm._今月初,EOMONTH(基準データ!$C$5,-1)+1,
      IF(
        _xlpm._対象月初&gt;_xlpm._今月初,
        IF(
          OR(AN85="",AN85=0),
          "",
          AN85*AO$107
        ),
        _xlfn.LET(
          _xlpm._参照先,
            "'[在庫状況把握_43期_2025-2026.xlsx]月次報告"
            &amp;TEXT(AO$1,"YYMM")
            &amp;"'!",
          _xlpm._戻り範囲,
            IF(
              _xlpm._対象月初=_xlpm._今月初,
              "$AG$1:$AG$300",
              "$G$1:$G$300"
            ),
          _xlfn.XLOOKUP(
            $C85,
            INDIRECT(_xlpm._参照先&amp;"$C$1:$C$300"),
            INDIRECT(_xlpm._参照先&amp;_xlpm._戻り範囲)
          )
        )
      )
    ),
    ""
  )
)</f>
        <v>19.800037286251168</v>
      </c>
      <c r="AP85" s="223" cm="1">
        <f t="array" aca="1" ref="AP85" ca="1">IF($C85="","",
  IFERROR(
    _xlfn.LET(
      _xlpm._対象月初,EOMONTH(AP$1,-1)+1,
      _xlpm._今月初,EOMONTH(基準データ!$C$5,-1)+1,
      IF(
        _xlpm._対象月初&gt;_xlpm._今月初,
        IF(
          OR(AO85="",AO85=0),
          "",
          AO85*AP$107
        ),
        _xlfn.LET(
          _xlpm._参照先,
            "'[在庫状況把握_43期_2025-2026.xlsx]月次報告"
            &amp;TEXT(AP$1,"YYMM")
            &amp;"'!",
          _xlpm._戻り範囲,
            IF(
              _xlpm._対象月初=_xlpm._今月初,
              "$AG$1:$AG$300",
              "$G$1:$G$300"
            ),
          _xlfn.XLOOKUP(
            $C85,
            INDIRECT(_xlpm._参照先&amp;"$C$1:$C$300"),
            INDIRECT(_xlpm._参照先&amp;_xlpm._戻り範囲)
          )
        )
      )
    ),
    ""
  )
)</f>
        <v>21.322509108588857</v>
      </c>
      <c r="AQ85" s="223" cm="1">
        <f t="array" aca="1" ref="AQ85" ca="1">IF($C85="","",
  IFERROR(
    _xlfn.LET(
      _xlpm._対象月初,EOMONTH(AQ$1,-1)+1,
      _xlpm._今月初,EOMONTH(基準データ!$C$5,-1)+1,
      IF(
        _xlpm._対象月初&gt;_xlpm._今月初,
        IF(
          OR(AP85="",AP85=0),
          "",
          AP85*AQ$107
        ),
        _xlfn.LET(
          _xlpm._参照先,
            "'[在庫状況把握_43期_2025-2026.xlsx]月次報告"
            &amp;TEXT(AQ$1,"YYMM")
            &amp;"'!",
          _xlpm._戻り範囲,
            IF(
              _xlpm._対象月初=_xlpm._今月初,
              "$AG$1:$AG$300",
              "$G$1:$G$300"
            ),
          _xlfn.XLOOKUP(
            $C85,
            INDIRECT(_xlpm._参照先&amp;"$C$1:$C$300"),
            INDIRECT(_xlpm._参照先&amp;_xlpm._戻り範囲)
          )
        )
      )
    ),
    ""
  )
)</f>
        <v>22.06772660830206</v>
      </c>
      <c r="AR85" s="223" cm="1">
        <f t="array" aca="1" ref="AR85" ca="1">IF($C85="","",
  IFERROR(
    _xlfn.LET(
      _xlpm._対象月初,EOMONTH(AR$1,-1)+1,
      _xlpm._今月初,EOMONTH(基準データ!$C$5,-1)+1,
      IF(
        _xlpm._対象月初&gt;_xlpm._今月初,
        IF(
          OR(AQ85="",AQ85=0),
          "",
          AQ85*AR$107
        ),
        _xlfn.LET(
          _xlpm._参照先,
            "'[在庫状況把握_43期_2025-2026.xlsx]月次報告"
            &amp;TEXT(AR$1,"YYMM")
            &amp;"'!",
          _xlpm._戻り範囲,
            IF(
              _xlpm._対象月初=_xlpm._今月初,
              "$AG$1:$AG$300",
              "$G$1:$G$300"
            ),
          _xlfn.XLOOKUP(
            $C85,
            INDIRECT(_xlpm._参照先&amp;"$C$1:$C$300"),
            INDIRECT(_xlpm._参照先&amp;_xlpm._戻り範囲)
          )
        )
      )
    ),
    ""
  )
)</f>
        <v>32.526243967453581</v>
      </c>
      <c r="AS85" s="223" cm="1">
        <f t="array" aca="1" ref="AS85" ca="1">IF($C85="","",
  IFERROR(
    _xlfn.LET(
      _xlpm._対象月初,EOMONTH(AS$1,-1)+1,
      _xlpm._今月初,EOMONTH(基準データ!$C$5,-1)+1,
      IF(
        _xlpm._対象月初&gt;_xlpm._今月初,
        IF(
          OR(AR85="",AR85=0),
          "",
          AR85*AS$107
        ),
        _xlfn.LET(
          _xlpm._参照先,
            "'[在庫状況把握_43期_2025-2026.xlsx]月次報告"
            &amp;TEXT(AS$1,"YYMM")
            &amp;"'!",
          _xlpm._戻り範囲,
            IF(
              _xlpm._対象月初=_xlpm._今月初,
              "$AG$1:$AG$300",
              "$G$1:$G$300"
            ),
          _xlfn.XLOOKUP(
            $C85,
            INDIRECT(_xlpm._参照先&amp;"$C$1:$C$300"),
            INDIRECT(_xlpm._参照先&amp;_xlpm._戻り範囲)
          )
        )
      )
    ),
    ""
  )
)</f>
        <v>28.069124226682657</v>
      </c>
      <c r="AT85" s="223" cm="1">
        <f t="array" aca="1" ref="AT85" ca="1">IF($C85="","",
  IFERROR(
    _xlfn.LET(
      _xlpm._対象月初,EOMONTH(AT$1,-1)+1,
      _xlpm._今月初,EOMONTH(基準データ!$C$5,-1)+1,
      IF(
        _xlpm._対象月初&gt;_xlpm._今月初,
        IF(
          OR(AS85="",AS85=0),
          "",
          AS85*AT$107
        ),
        _xlfn.LET(
          _xlpm._参照先,
            "'[在庫状況把握_43期_2025-2026.xlsx]月次報告"
            &amp;TEXT(AT$1,"YYMM")
            &amp;"'!",
          _xlpm._戻り範囲,
            IF(
              _xlpm._対象月初=_xlpm._今月初,
              "$AG$1:$AG$300",
              "$G$1:$G$300"
            ),
          _xlfn.XLOOKUP(
            $C85,
            INDIRECT(_xlpm._参照先&amp;"$C$1:$C$300"),
            INDIRECT(_xlpm._参照先&amp;_xlpm._戻り範囲)
          )
        )
      )
    ),
    ""
  )
)</f>
        <v>26.463923101204529</v>
      </c>
      <c r="AU85" s="223" cm="1">
        <f t="array" aca="1" ref="AU85" ca="1">IF($C85="","",
  IFERROR(
    _xlfn.LET(
      _xlpm._対象月初,EOMONTH(AU$1,-1)+1,
      _xlpm._今月初,EOMONTH(基準データ!$C$5,-1)+1,
      IF(
        _xlpm._対象月初&gt;_xlpm._今月初,
        IF(
          OR(AT85="",AT85=0),
          "",
          AT85*AU$107
        ),
        _xlfn.LET(
          _xlpm._参照先,
            "'[在庫状況把握_43期_2025-2026.xlsx]月次報告"
            &amp;TEXT(AU$1,"YYMM")
            &amp;"'!",
          _xlpm._戻り範囲,
            IF(
              _xlpm._対象月初=_xlpm._今月初,
              "$AG$1:$AG$300",
              "$G$1:$G$300"
            ),
          _xlfn.XLOOKUP(
            $C85,
            INDIRECT(_xlpm._参照先&amp;"$C$1:$C$300"),
            INDIRECT(_xlpm._参照先&amp;_xlpm._戻り範囲)
          )
        )
      )
    ),
    ""
  )
)</f>
        <v>39.109028930862273</v>
      </c>
      <c r="AV85" s="223" cm="1">
        <f t="array" aca="1" ref="AV85" ca="1">IF($C85="","",
  IFERROR(
    _xlfn.LET(
      _xlpm._対象月初,EOMONTH(AV$1,-1)+1,
      _xlpm._今月初,EOMONTH(基準データ!$C$5,-1)+1,
      IF(
        _xlpm._対象月初&gt;_xlpm._今月初,
        IF(
          OR(AU85="",AU85=0),
          "",
          AU85*AV$107
        ),
        _xlfn.LET(
          _xlpm._参照先,
            "'[在庫状況把握_43期_2025-2026.xlsx]月次報告"
            &amp;TEXT(AV$1,"YYMM")
            &amp;"'!",
          _xlpm._戻り範囲,
            IF(
              _xlpm._対象月初=_xlpm._今月初,
              "$AG$1:$AG$300",
              "$G$1:$G$300"
            ),
          _xlfn.XLOOKUP(
            $C85,
            INDIRECT(_xlpm._参照先&amp;"$C$1:$C$300"),
            INDIRECT(_xlpm._参照先&amp;_xlpm._戻り範囲)
          )
        )
      )
    ),
    ""
  )
)</f>
        <v>24.014198731389325</v>
      </c>
      <c r="AW85" s="223" cm="1">
        <f t="array" aca="1" ref="AW85" ca="1">IF($C85="","",
  IFERROR(
    _xlfn.LET(
      _xlpm._対象月初,EOMONTH(AW$1,-1)+1,
      _xlpm._今月初,EOMONTH(基準データ!$C$5,-1)+1,
      IF(
        _xlpm._対象月初&gt;_xlpm._今月初,
        IF(
          OR(AV85="",AV85=0),
          "",
          AV85*AW$107
        ),
        _xlfn.LET(
          _xlpm._参照先,
            "'[在庫状況把握_43期_2025-2026.xlsx]月次報告"
            &amp;TEXT(AW$1,"YYMM")
            &amp;"'!",
          _xlpm._戻り範囲,
            IF(
              _xlpm._対象月初=_xlpm._今月初,
              "$AG$1:$AG$300",
              "$G$1:$G$300"
            ),
          _xlfn.XLOOKUP(
            $C85,
            INDIRECT(_xlpm._参照先&amp;"$C$1:$C$300"),
            INDIRECT(_xlpm._参照先&amp;_xlpm._戻り範囲)
          )
        )
      )
    ),
    ""
  )
)</f>
        <v>17.41582463417371</v>
      </c>
      <c r="AX85" s="223" cm="1">
        <f t="array" aca="1" ref="AX85" ca="1">IF($C85="","",
  IFERROR(
    _xlfn.LET(
      _xlpm._対象月初,EOMONTH(AX$1,-1)+1,
      _xlpm._今月初,EOMONTH(基準データ!$C$5,-1)+1,
      IF(
        _xlpm._対象月初&gt;_xlpm._今月初,
        IF(
          OR(AW85="",AW85=0),
          "",
          AW85*AX$107
        ),
        _xlfn.LET(
          _xlpm._参照先,
            "'[在庫状況把握_43期_2025-2026.xlsx]月次報告"
            &amp;TEXT(AX$1,"YYMM")
            &amp;"'!",
          _xlpm._戻り範囲,
            IF(
              _xlpm._対象月初=_xlpm._今月初,
              "$AG$1:$AG$300",
              "$G$1:$G$300"
            ),
          _xlfn.XLOOKUP(
            $C85,
            INDIRECT(_xlpm._参照先&amp;"$C$1:$C$300"),
            INDIRECT(_xlpm._参照先&amp;_xlpm._戻り範囲)
          )
        )
      )
    ),
    ""
  )
)</f>
        <v>18.159650741413667</v>
      </c>
      <c r="AY85" s="223" cm="1">
        <f t="array" aca="1" ref="AY85" ca="1">IF($C85="","",
  IFERROR(
    _xlfn.LET(
      _xlpm._対象月初,EOMONTH(AY$1,-1)+1,
      _xlpm._今月初,EOMONTH(基準データ!$C$5,-1)+1,
      IF(
        _xlpm._対象月初&gt;_xlpm._今月初,
        IF(
          OR(AX85="",AX85=0),
          "",
          AX85*AY$107
        ),
        _xlfn.LET(
          _xlpm._参照先,
            "'[在庫状況把握_43期_2025-2026.xlsx]月次報告"
            &amp;TEXT(AY$1,"YYMM")
            &amp;"'!",
          _xlpm._戻り範囲,
            IF(
              _xlpm._対象月初=_xlpm._今月初,
              "$AG$1:$AG$300",
              "$G$1:$G$300"
            ),
          _xlfn.XLOOKUP(
            $C85,
            INDIRECT(_xlpm._参照先&amp;"$C$1:$C$300"),
            INDIRECT(_xlpm._参照先&amp;_xlpm._戻り範囲)
          )
        )
      )
    ),
    ""
  )
)</f>
        <v>19.928571428571434</v>
      </c>
      <c r="AZ85" s="223" cm="1">
        <f t="array" aca="1" ref="AZ85" ca="1">IF($C85="","",
  IFERROR(
    _xlfn.LET(
      _xlpm._対象月初,EOMONTH(AZ$1,-1)+1,
      _xlpm._今月初,EOMONTH(基準データ!$C$5,-1)+1,
      IF(
        _xlpm._対象月初&gt;_xlpm._今月初,
        IF(
          OR(AY85="",AY85=0),
          "",
          AY85*AZ$107
        ),
        _xlfn.LET(
          _xlpm._参照先,
            "'[在庫状況把握_43期_2025-2026.xlsx]月次報告"
            &amp;TEXT(AZ$1,"YYMM")
            &amp;"'!",
          _xlpm._戻り範囲,
            IF(
              _xlpm._対象月初=_xlpm._今月初,
              "$AG$1:$AG$300",
              "$G$1:$G$300"
            ),
          _xlfn.XLOOKUP(
            $C85,
            INDIRECT(_xlpm._参照先&amp;"$C$1:$C$300"),
            INDIRECT(_xlpm._参照先&amp;_xlpm._戻り範囲)
          )
        )
      )
    ),
    ""
  )
)</f>
        <v>18.329485081837507</v>
      </c>
      <c r="BA85" s="223" cm="1">
        <f t="array" aca="1" ref="BA85" ca="1">IF($C85="","",
  IFERROR(
    _xlfn.LET(
      _xlpm._対象月初,EOMONTH(BA$1,-1)+1,
      _xlpm._今月初,EOMONTH(基準データ!$C$5,-1)+1,
      IF(
        _xlpm._対象月初&gt;_xlpm._今月初,
        IF(
          OR(AZ85="",AZ85=0),
          "",
          AZ85*BA$107
        ),
        _xlfn.LET(
          _xlpm._参照先,
            "'[在庫状況把握_43期_2025-2026.xlsx]月次報告"
            &amp;TEXT(BA$1,"YYMM")
            &amp;"'!",
          _xlpm._戻り範囲,
            IF(
              _xlpm._対象月初=_xlpm._今月初,
              "$AG$1:$AG$300",
              "$G$1:$G$300"
            ),
          _xlfn.XLOOKUP(
            $C85,
            INDIRECT(_xlpm._参照先&amp;"$C$1:$C$300"),
            INDIRECT(_xlpm._参照先&amp;_xlpm._戻り範囲)
          )
        )
      )
    ),
    ""
  )
)</f>
        <v>19.800037286251172</v>
      </c>
      <c r="BB85" s="223" cm="1">
        <f t="array" aca="1" ref="BB85" ca="1">IF($C85="","",
  IFERROR(
    _xlfn.LET(
      _xlpm._対象月初,EOMONTH(BB$1,-1)+1,
      _xlpm._今月初,EOMONTH(基準データ!$C$5,-1)+1,
      IF(
        _xlpm._対象月初&gt;_xlpm._今月初,
        IF(
          OR(BA85="",BA85=0),
          "",
          BA85*BB$107
        ),
        _xlfn.LET(
          _xlpm._参照先,
            "'[在庫状況把握_43期_2025-2026.xlsx]月次報告"
            &amp;TEXT(BB$1,"YYMM")
            &amp;"'!",
          _xlpm._戻り範囲,
            IF(
              _xlpm._対象月初=_xlpm._今月初,
              "$AG$1:$AG$300",
              "$G$1:$G$300"
            ),
          _xlfn.XLOOKUP(
            $C85,
            INDIRECT(_xlpm._参照先&amp;"$C$1:$C$300"),
            INDIRECT(_xlpm._参照先&amp;_xlpm._戻り範囲)
          )
        )
      )
    ),
    ""
  )
)</f>
        <v>21.322509108588861</v>
      </c>
      <c r="BC85" s="223" cm="1">
        <f t="array" aca="1" ref="BC85" ca="1">IF($C85="","",
  IFERROR(
    _xlfn.LET(
      _xlpm._対象月初,EOMONTH(BC$1,-1)+1,
      _xlpm._今月初,EOMONTH(基準データ!$C$5,-1)+1,
      IF(
        _xlpm._対象月初&gt;_xlpm._今月初,
        IF(
          OR(BB85="",BB85=0),
          "",
          BB85*BC$107
        ),
        _xlfn.LET(
          _xlpm._参照先,
            "'[在庫状況把握_43期_2025-2026.xlsx]月次報告"
            &amp;TEXT(BC$1,"YYMM")
            &amp;"'!",
          _xlpm._戻り範囲,
            IF(
              _xlpm._対象月初=_xlpm._今月初,
              "$AG$1:$AG$300",
              "$G$1:$G$300"
            ),
          _xlfn.XLOOKUP(
            $C85,
            INDIRECT(_xlpm._参照先&amp;"$C$1:$C$300"),
            INDIRECT(_xlpm._参照先&amp;_xlpm._戻り範囲)
          )
        )
      )
    ),
    ""
  )
)</f>
        <v>22.067726608302063</v>
      </c>
      <c r="BD85" s="223" cm="1">
        <f t="array" aca="1" ref="BD85" ca="1">IF($C85="","",
  IFERROR(
    _xlfn.LET(
      _xlpm._対象月初,EOMONTH(BD$1,-1)+1,
      _xlpm._今月初,EOMONTH(基準データ!$C$5,-1)+1,
      IF(
        _xlpm._対象月初&gt;_xlpm._今月初,
        IF(
          OR(BC85="",BC85=0),
          "",
          BC85*BD$107
        ),
        _xlfn.LET(
          _xlpm._参照先,
            "'[在庫状況把握_43期_2025-2026.xlsx]月次報告"
            &amp;TEXT(BD$1,"YYMM")
            &amp;"'!",
          _xlpm._戻り範囲,
            IF(
              _xlpm._対象月初=_xlpm._今月初,
              "$AG$1:$AG$300",
              "$G$1:$G$300"
            ),
          _xlfn.XLOOKUP(
            $C85,
            INDIRECT(_xlpm._参照先&amp;"$C$1:$C$300"),
            INDIRECT(_xlpm._参照先&amp;_xlpm._戻り範囲)
          )
        )
      )
    ),
    ""
  )
)</f>
        <v>32.526243967453588</v>
      </c>
    </row>
    <row r="86" spans="1:56" ht="18.75" customHeight="1">
      <c r="A86" s="1061" t="s">
        <v>1473</v>
      </c>
      <c r="B86" s="55" t="str">
        <v>CLE-NL45-120U-UMA-L6-TPM Thirdwave</v>
      </c>
      <c r="C86" s="56" t="s">
        <v>763</v>
      </c>
      <c r="D86" s="57" t="s">
        <v>1434</v>
      </c>
      <c r="E86" s="58" t="s">
        <v>438</v>
      </c>
      <c r="F86" s="26" t="s">
        <v>1372</v>
      </c>
      <c r="G86" s="43">
        <v>362</v>
      </c>
      <c r="H86" s="109" cm="1">
        <f t="array" aca="1" ref="H86" ca="1">_xlfn.LET(_xlpm._来月から4ヶ月計画合計,
  SUM(
    OFFSET($A86,0,
      MATCH(
        EDATE(基準データ!$C$5,3),$A$1:$BF$1,1
      )-3,1,4)),
_xlpm._今月計画数,
INDEX($A$1:$BE$223,
  ROW(),
  MATCH(EOMONTH(基準データ!$C$5,-1)+1,$A$1:$BE$1,0)
),
  IFERROR(IF($B86="","",_xlpm._来月から4ヶ月計画合計+_xlpm._今月計画数/2),""
)
)</f>
        <v>96.566490677002264</v>
      </c>
      <c r="I86" s="311"/>
      <c r="J86" s="311"/>
      <c r="K86" s="311"/>
      <c r="L86" s="311"/>
      <c r="M86" s="311"/>
      <c r="N86" s="180"/>
      <c r="O86" s="311"/>
      <c r="P86" s="311"/>
      <c r="Q86" s="298"/>
      <c r="R86" s="298"/>
      <c r="S86" s="298"/>
      <c r="T86" s="219"/>
      <c r="U86" s="224"/>
      <c r="V86" s="237">
        <v>162</v>
      </c>
      <c r="W86" s="333">
        <v>912</v>
      </c>
      <c r="X86" s="333">
        <v>581</v>
      </c>
      <c r="Y86" s="333">
        <v>267</v>
      </c>
      <c r="Z86" s="219">
        <v>368</v>
      </c>
      <c r="AA86" s="219">
        <v>438</v>
      </c>
      <c r="AB86" s="219">
        <v>265</v>
      </c>
      <c r="AC86" s="224">
        <v>374</v>
      </c>
      <c r="AD86" s="224" t="s">
        <v>21</v>
      </c>
      <c r="AE86" s="223" t="s">
        <v>21</v>
      </c>
      <c r="AF86" s="223">
        <v>2</v>
      </c>
      <c r="AG86" s="223">
        <v>58</v>
      </c>
      <c r="AH86" s="223">
        <v>111</v>
      </c>
      <c r="AI86" s="223">
        <v>30</v>
      </c>
      <c r="AJ86" s="223">
        <v>9</v>
      </c>
      <c r="AK86" s="223">
        <v>13</v>
      </c>
      <c r="AL86" s="223" cm="1">
        <f t="array" aca="1" ref="AL86" ca="1">IF($C86="","",
  IFERROR(
    _xlfn.LET(
      _xlpm._対象月初,EOMONTH(AL$1,-1)+1,
      _xlpm._今月初,EOMONTH(基準データ!$C$5,-1)+1,
      IF(
        _xlpm._対象月初&gt;_xlpm._今月初,
        IF(
          OR(AK86="",AK86=0),
          "",
          AK86*AL$107
        ),
        _xlfn.LET(
          _xlpm._参照先,
            "'[在庫状況把握_43期_2025-2026.xlsx]月次報告"
            &amp;TEXT(AL$1,"YYMM")
            &amp;"'!",
          _xlpm._戻り範囲,
            IF(
              _xlpm._対象月初=_xlpm._今月初,
              "$AG$1:$AG$300",
              "$G$1:$G$300"
            ),
          _xlfn.XLOOKUP(
            $C86,
            INDIRECT(_xlpm._参照先&amp;"$C$1:$C$300"),
            INDIRECT(_xlpm._参照先&amp;_xlpm._戻り範囲)
          )
        )
      )
    ),
    ""
  )
)</f>
        <v>19</v>
      </c>
      <c r="AM86" s="223" cm="1">
        <f t="array" aca="1" ref="AM86" ca="1">IF($C86="","",
  IFERROR(
    _xlfn.LET(
      _xlpm._対象月初,EOMONTH(AM$1,-1)+1,
      _xlpm._今月初,EOMONTH(基準データ!$C$5,-1)+1,
      IF(
        _xlpm._対象月初&gt;_xlpm._今月初,
        IF(
          OR(AL86="",AL86=0),
          "",
          AL86*AM$107
        ),
        _xlfn.LET(
          _xlpm._参照先,
            "'[在庫状況把握_43期_2025-2026.xlsx]月次報告"
            &amp;TEXT(AM$1,"YYMM")
            &amp;"'!",
          _xlpm._戻り範囲,
            IF(
              _xlpm._対象月初=_xlpm._今月初,
              "$AG$1:$AG$300",
              "$G$1:$G$300"
            ),
          _xlfn.XLOOKUP(
            $C86,
            INDIRECT(_xlpm._参照先&amp;"$C$1:$C$300"),
            INDIRECT(_xlpm._参照先&amp;_xlpm._戻り範囲)
          )
        )
      )
    ),
    ""
  )
)</f>
        <v>21.035714285714288</v>
      </c>
      <c r="AN86" s="223" cm="1">
        <f t="array" aca="1" ref="AN86" ca="1">IF($C86="","",
  IFERROR(
    _xlfn.LET(
      _xlpm._対象月初,EOMONTH(AN$1,-1)+1,
      _xlpm._今月初,EOMONTH(基準データ!$C$5,-1)+1,
      IF(
        _xlpm._対象月初&gt;_xlpm._今月初,
        IF(
          OR(AM86="",AM86=0),
          "",
          AM86*AN$107
        ),
        _xlfn.LET(
          _xlpm._参照先,
            "'[在庫状況把握_43期_2025-2026.xlsx]月次報告"
            &amp;TEXT(AN$1,"YYMM")
            &amp;"'!",
          _xlpm._戻り範囲,
            IF(
              _xlpm._対象月初=_xlpm._今月初,
              "$AG$1:$AG$300",
              "$G$1:$G$300"
            ),
          _xlfn.XLOOKUP(
            $C86,
            INDIRECT(_xlpm._参照先&amp;"$C$1:$C$300"),
            INDIRECT(_xlpm._参照先&amp;_xlpm._戻り範囲)
          )
        )
      )
    ),
    ""
  )
)</f>
        <v>19.347789808606255</v>
      </c>
      <c r="AO86" s="223" cm="1">
        <f t="array" aca="1" ref="AO86" ca="1">IF($C86="","",
  IFERROR(
    _xlfn.LET(
      _xlpm._対象月初,EOMONTH(AO$1,-1)+1,
      _xlpm._今月初,EOMONTH(基準データ!$C$5,-1)+1,
      IF(
        _xlpm._対象月初&gt;_xlpm._今月初,
        IF(
          OR(AN86="",AN86=0),
          "",
          AN86*AO$107
        ),
        _xlfn.LET(
          _xlpm._参照先,
            "'[在庫状況把握_43期_2025-2026.xlsx]月次報告"
            &amp;TEXT(AO$1,"YYMM")
            &amp;"'!",
          _xlpm._戻り範囲,
            IF(
              _xlpm._対象月初=_xlpm._今月初,
              "$AG$1:$AG$300",
              "$G$1:$G$300"
            ),
          _xlfn.XLOOKUP(
            $C86,
            INDIRECT(_xlpm._参照先&amp;"$C$1:$C$300"),
            INDIRECT(_xlpm._参照先&amp;_xlpm._戻り範囲)
          )
        )
      )
    ),
    ""
  )
)</f>
        <v>20.900039357709566</v>
      </c>
      <c r="AP86" s="223" cm="1">
        <f t="array" aca="1" ref="AP86" ca="1">IF($C86="","",
  IFERROR(
    _xlfn.LET(
      _xlpm._対象月初,EOMONTH(AP$1,-1)+1,
      _xlpm._今月初,EOMONTH(基準データ!$C$5,-1)+1,
      IF(
        _xlpm._対象月初&gt;_xlpm._今月初,
        IF(
          OR(AO86="",AO86=0),
          "",
          AO86*AP$107
        ),
        _xlfn.LET(
          _xlpm._参照先,
            "'[在庫状況把握_43期_2025-2026.xlsx]月次報告"
            &amp;TEXT(AP$1,"YYMM")
            &amp;"'!",
          _xlpm._戻り範囲,
            IF(
              _xlpm._対象月初=_xlpm._今月初,
              "$AG$1:$AG$300",
              "$G$1:$G$300"
            ),
          _xlfn.XLOOKUP(
            $C86,
            INDIRECT(_xlpm._参照先&amp;"$C$1:$C$300"),
            INDIRECT(_xlpm._参照先&amp;_xlpm._戻り範囲)
          )
        )
      )
    ),
    ""
  )
)</f>
        <v>22.507092947954906</v>
      </c>
      <c r="AQ86" s="223" cm="1">
        <f t="array" aca="1" ref="AQ86" ca="1">IF($C86="","",
  IFERROR(
    _xlfn.LET(
      _xlpm._対象月初,EOMONTH(AQ$1,-1)+1,
      _xlpm._今月初,EOMONTH(基準データ!$C$5,-1)+1,
      IF(
        _xlpm._対象月初&gt;_xlpm._今月初,
        IF(
          OR(AP86="",AP86=0),
          "",
          AP86*AQ$107
        ),
        _xlfn.LET(
          _xlpm._参照先,
            "'[在庫状況把握_43期_2025-2026.xlsx]月次報告"
            &amp;TEXT(AQ$1,"YYMM")
            &amp;"'!",
          _xlpm._戻り範囲,
            IF(
              _xlpm._対象月初=_xlpm._今月初,
              "$AG$1:$AG$300",
              "$G$1:$G$300"
            ),
          _xlfn.XLOOKUP(
            $C86,
            INDIRECT(_xlpm._参照先&amp;"$C$1:$C$300"),
            INDIRECT(_xlpm._参照先&amp;_xlpm._戻り範囲)
          )
        )
      )
    ),
    ""
  )
)</f>
        <v>23.293711419874398</v>
      </c>
      <c r="AR86" s="223" cm="1">
        <f t="array" aca="1" ref="AR86" ca="1">IF($C86="","",
  IFERROR(
    _xlfn.LET(
      _xlpm._対象月初,EOMONTH(AR$1,-1)+1,
      _xlpm._今月初,EOMONTH(基準データ!$C$5,-1)+1,
      IF(
        _xlpm._対象月初&gt;_xlpm._今月初,
        IF(
          OR(AQ86="",AQ86=0),
          "",
          AQ86*AR$107
        ),
        _xlfn.LET(
          _xlpm._参照先,
            "'[在庫状況把握_43期_2025-2026.xlsx]月次報告"
            &amp;TEXT(AR$1,"YYMM")
            &amp;"'!",
          _xlpm._戻り範囲,
            IF(
              _xlpm._対象月初=_xlpm._今月初,
              "$AG$1:$AG$300",
              "$G$1:$G$300"
            ),
          _xlfn.XLOOKUP(
            $C86,
            INDIRECT(_xlpm._参照先&amp;"$C$1:$C$300"),
            INDIRECT(_xlpm._参照先&amp;_xlpm._戻り範囲)
          )
        )
      )
    ),
    ""
  )
)</f>
        <v>34.333257521201006</v>
      </c>
      <c r="AS86" s="223" cm="1">
        <f t="array" aca="1" ref="AS86" ca="1">IF($C86="","",
  IFERROR(
    _xlfn.LET(
      _xlpm._対象月初,EOMONTH(AS$1,-1)+1,
      _xlpm._今月初,EOMONTH(基準データ!$C$5,-1)+1,
      IF(
        _xlpm._対象月初&gt;_xlpm._今月初,
        IF(
          OR(AR86="",AR86=0),
          "",
          AR86*AS$107
        ),
        _xlfn.LET(
          _xlpm._参照先,
            "'[在庫状況把握_43期_2025-2026.xlsx]月次報告"
            &amp;TEXT(AS$1,"YYMM")
            &amp;"'!",
          _xlpm._戻り範囲,
            IF(
              _xlpm._対象月初=_xlpm._今月初,
              "$AG$1:$AG$300",
              "$G$1:$G$300"
            ),
          _xlfn.XLOOKUP(
            $C86,
            INDIRECT(_xlpm._参照先&amp;"$C$1:$C$300"),
            INDIRECT(_xlpm._参照先&amp;_xlpm._戻り範囲)
          )
        )
      )
    ),
    ""
  )
)</f>
        <v>29.628520017053919</v>
      </c>
      <c r="AT86" s="223" cm="1">
        <f t="array" aca="1" ref="AT86" ca="1">IF($C86="","",
  IFERROR(
    _xlfn.LET(
      _xlpm._対象月初,EOMONTH(AT$1,-1)+1,
      _xlpm._今月初,EOMONTH(基準データ!$C$5,-1)+1,
      IF(
        _xlpm._対象月初&gt;_xlpm._今月初,
        IF(
          OR(AS86="",AS86=0),
          "",
          AS86*AT$107
        ),
        _xlfn.LET(
          _xlpm._参照先,
            "'[在庫状況把握_43期_2025-2026.xlsx]月次報告"
            &amp;TEXT(AT$1,"YYMM")
            &amp;"'!",
          _xlpm._戻り範囲,
            IF(
              _xlpm._対象月初=_xlpm._今月初,
              "$AG$1:$AG$300",
              "$G$1:$G$300"
            ),
          _xlfn.XLOOKUP(
            $C86,
            INDIRECT(_xlpm._参照先&amp;"$C$1:$C$300"),
            INDIRECT(_xlpm._参照先&amp;_xlpm._戻り範囲)
          )
        )
      )
    ),
    ""
  )
)</f>
        <v>27.93414105127145</v>
      </c>
      <c r="AU86" s="223" cm="1">
        <f t="array" aca="1" ref="AU86" ca="1">IF($C86="","",
  IFERROR(
    _xlfn.LET(
      _xlpm._対象月初,EOMONTH(AU$1,-1)+1,
      _xlpm._今月初,EOMONTH(基準データ!$C$5,-1)+1,
      IF(
        _xlpm._対象月初&gt;_xlpm._今月初,
        IF(
          OR(AT86="",AT86=0),
          "",
          AT86*AU$107
        ),
        _xlfn.LET(
          _xlpm._参照先,
            "'[在庫状況把握_43期_2025-2026.xlsx]月次報告"
            &amp;TEXT(AU$1,"YYMM")
            &amp;"'!",
          _xlpm._戻り範囲,
            IF(
              _xlpm._対象月初=_xlpm._今月初,
              "$AG$1:$AG$300",
              "$G$1:$G$300"
            ),
          _xlfn.XLOOKUP(
            $C86,
            INDIRECT(_xlpm._参照先&amp;"$C$1:$C$300"),
            INDIRECT(_xlpm._参照先&amp;_xlpm._戻り範囲)
          )
        )
      )
    ),
    ""
  )
)</f>
        <v>41.281752760354628</v>
      </c>
      <c r="AV86" s="223" cm="1">
        <f t="array" aca="1" ref="AV86" ca="1">IF($C86="","",
  IFERROR(
    _xlfn.LET(
      _xlpm._対象月初,EOMONTH(AV$1,-1)+1,
      _xlpm._今月初,EOMONTH(基準データ!$C$5,-1)+1,
      IF(
        _xlpm._対象月初&gt;_xlpm._今月初,
        IF(
          OR(AU86="",AU86=0),
          "",
          AU86*AV$107
        ),
        _xlfn.LET(
          _xlpm._参照先,
            "'[在庫状況把握_43期_2025-2026.xlsx]月次報告"
            &amp;TEXT(AV$1,"YYMM")
            &amp;"'!",
          _xlpm._戻り範囲,
            IF(
              _xlpm._対象月初=_xlpm._今月初,
              "$AG$1:$AG$300",
              "$G$1:$G$300"
            ),
          _xlfn.XLOOKUP(
            $C86,
            INDIRECT(_xlpm._参照先&amp;"$C$1:$C$300"),
            INDIRECT(_xlpm._参照先&amp;_xlpm._戻り範囲)
          )
        )
      )
    ),
    ""
  )
)</f>
        <v>25.34832088313318</v>
      </c>
      <c r="AW86" s="223" cm="1">
        <f t="array" aca="1" ref="AW86" ca="1">IF($C86="","",
  IFERROR(
    _xlfn.LET(
      _xlpm._対象月初,EOMONTH(AW$1,-1)+1,
      _xlpm._今月初,EOMONTH(基準データ!$C$5,-1)+1,
      IF(
        _xlpm._対象月初&gt;_xlpm._今月初,
        IF(
          OR(AV86="",AV86=0),
          "",
          AV86*AW$107
        ),
        _xlfn.LET(
          _xlpm._参照先,
            "'[在庫状況把握_43期_2025-2026.xlsx]月次報告"
            &amp;TEXT(AW$1,"YYMM")
            &amp;"'!",
          _xlpm._戻り範囲,
            IF(
              _xlpm._対象月初=_xlpm._今月初,
              "$AG$1:$AG$300",
              "$G$1:$G$300"
            ),
          _xlfn.XLOOKUP(
            $C86,
            INDIRECT(_xlpm._参照先&amp;"$C$1:$C$300"),
            INDIRECT(_xlpm._参照先&amp;_xlpm._戻り範囲)
          )
        )
      )
    ),
    ""
  )
)</f>
        <v>18.38337044718336</v>
      </c>
      <c r="AX86" s="223" cm="1">
        <f t="array" aca="1" ref="AX86" ca="1">IF($C86="","",
  IFERROR(
    _xlfn.LET(
      _xlpm._対象月初,EOMONTH(AX$1,-1)+1,
      _xlpm._今月初,EOMONTH(基準データ!$C$5,-1)+1,
      IF(
        _xlpm._対象月初&gt;_xlpm._今月初,
        IF(
          OR(AW86="",AW86=0),
          "",
          AW86*AX$107
        ),
        _xlfn.LET(
          _xlpm._参照先,
            "'[在庫状況把握_43期_2025-2026.xlsx]月次報告"
            &amp;TEXT(AX$1,"YYMM")
            &amp;"'!",
          _xlpm._戻り範囲,
            IF(
              _xlpm._対象月初=_xlpm._今月初,
              "$AG$1:$AG$300",
              "$G$1:$G$300"
            ),
          _xlfn.XLOOKUP(
            $C86,
            INDIRECT(_xlpm._参照先&amp;"$C$1:$C$300"),
            INDIRECT(_xlpm._参照先&amp;_xlpm._戻り範囲)
          )
        )
      )
    ),
    ""
  )
)</f>
        <v>19.168520227047761</v>
      </c>
      <c r="AY86" s="223" cm="1">
        <f t="array" aca="1" ref="AY86" ca="1">IF($C86="","",
  IFERROR(
    _xlfn.LET(
      _xlpm._対象月初,EOMONTH(AY$1,-1)+1,
      _xlpm._今月初,EOMONTH(基準データ!$C$5,-1)+1,
      IF(
        _xlpm._対象月初&gt;_xlpm._今月初,
        IF(
          OR(AX86="",AX86=0),
          "",
          AX86*AY$107
        ),
        _xlfn.LET(
          _xlpm._参照先,
            "'[在庫状況把握_43期_2025-2026.xlsx]月次報告"
            &amp;TEXT(AY$1,"YYMM")
            &amp;"'!",
          _xlpm._戻り範囲,
            IF(
              _xlpm._対象月初=_xlpm._今月初,
              "$AG$1:$AG$300",
              "$G$1:$G$300"
            ),
          _xlfn.XLOOKUP(
            $C86,
            INDIRECT(_xlpm._参照先&amp;"$C$1:$C$300"),
            INDIRECT(_xlpm._参照先&amp;_xlpm._戻り範囲)
          )
        )
      )
    ),
    ""
  )
)</f>
        <v>21.035714285714292</v>
      </c>
      <c r="AZ86" s="223" cm="1">
        <f t="array" aca="1" ref="AZ86" ca="1">IF($C86="","",
  IFERROR(
    _xlfn.LET(
      _xlpm._対象月初,EOMONTH(AZ$1,-1)+1,
      _xlpm._今月初,EOMONTH(基準データ!$C$5,-1)+1,
      IF(
        _xlpm._対象月初&gt;_xlpm._今月初,
        IF(
          OR(AY86="",AY86=0),
          "",
          AY86*AZ$107
        ),
        _xlfn.LET(
          _xlpm._参照先,
            "'[在庫状況把握_43期_2025-2026.xlsx]月次報告"
            &amp;TEXT(AZ$1,"YYMM")
            &amp;"'!",
          _xlpm._戻り範囲,
            IF(
              _xlpm._対象月初=_xlpm._今月初,
              "$AG$1:$AG$300",
              "$G$1:$G$300"
            ),
          _xlfn.XLOOKUP(
            $C86,
            INDIRECT(_xlpm._参照先&amp;"$C$1:$C$300"),
            INDIRECT(_xlpm._参照先&amp;_xlpm._戻り範囲)
          )
        )
      )
    ),
    ""
  )
)</f>
        <v>19.347789808606258</v>
      </c>
      <c r="BA86" s="223" cm="1">
        <f t="array" aca="1" ref="BA86" ca="1">IF($C86="","",
  IFERROR(
    _xlfn.LET(
      _xlpm._対象月初,EOMONTH(BA$1,-1)+1,
      _xlpm._今月初,EOMONTH(基準データ!$C$5,-1)+1,
      IF(
        _xlpm._対象月初&gt;_xlpm._今月初,
        IF(
          OR(AZ86="",AZ86=0),
          "",
          AZ86*BA$107
        ),
        _xlfn.LET(
          _xlpm._参照先,
            "'[在庫状況把握_43期_2025-2026.xlsx]月次報告"
            &amp;TEXT(BA$1,"YYMM")
            &amp;"'!",
          _xlpm._戻り範囲,
            IF(
              _xlpm._対象月初=_xlpm._今月初,
              "$AG$1:$AG$300",
              "$G$1:$G$300"
            ),
          _xlfn.XLOOKUP(
            $C86,
            INDIRECT(_xlpm._参照先&amp;"$C$1:$C$300"),
            INDIRECT(_xlpm._参照先&amp;_xlpm._戻り範囲)
          )
        )
      )
    ),
    ""
  )
)</f>
        <v>20.90003935770957</v>
      </c>
      <c r="BB86" s="223" cm="1">
        <f t="array" aca="1" ref="BB86" ca="1">IF($C86="","",
  IFERROR(
    _xlfn.LET(
      _xlpm._対象月初,EOMONTH(BB$1,-1)+1,
      _xlpm._今月初,EOMONTH(基準データ!$C$5,-1)+1,
      IF(
        _xlpm._対象月初&gt;_xlpm._今月初,
        IF(
          OR(BA86="",BA86=0),
          "",
          BA86*BB$107
        ),
        _xlfn.LET(
          _xlpm._参照先,
            "'[在庫状況把握_43期_2025-2026.xlsx]月次報告"
            &amp;TEXT(BB$1,"YYMM")
            &amp;"'!",
          _xlpm._戻り範囲,
            IF(
              _xlpm._対象月初=_xlpm._今月初,
              "$AG$1:$AG$300",
              "$G$1:$G$300"
            ),
          _xlfn.XLOOKUP(
            $C86,
            INDIRECT(_xlpm._参照先&amp;"$C$1:$C$300"),
            INDIRECT(_xlpm._参照先&amp;_xlpm._戻り範囲)
          )
        )
      )
    ),
    ""
  )
)</f>
        <v>22.507092947954909</v>
      </c>
      <c r="BC86" s="223" cm="1">
        <f t="array" aca="1" ref="BC86" ca="1">IF($C86="","",
  IFERROR(
    _xlfn.LET(
      _xlpm._対象月初,EOMONTH(BC$1,-1)+1,
      _xlpm._今月初,EOMONTH(基準データ!$C$5,-1)+1,
      IF(
        _xlpm._対象月初&gt;_xlpm._今月初,
        IF(
          OR(BB86="",BB86=0),
          "",
          BB86*BC$107
        ),
        _xlfn.LET(
          _xlpm._参照先,
            "'[在庫状況把握_43期_2025-2026.xlsx]月次報告"
            &amp;TEXT(BC$1,"YYMM")
            &amp;"'!",
          _xlpm._戻り範囲,
            IF(
              _xlpm._対象月初=_xlpm._今月初,
              "$AG$1:$AG$300",
              "$G$1:$G$300"
            ),
          _xlfn.XLOOKUP(
            $C86,
            INDIRECT(_xlpm._参照先&amp;"$C$1:$C$300"),
            INDIRECT(_xlpm._参照先&amp;_xlpm._戻り範囲)
          )
        )
      )
    ),
    ""
  )
)</f>
        <v>23.293711419874402</v>
      </c>
      <c r="BD86" s="223" cm="1">
        <f t="array" aca="1" ref="BD86" ca="1">IF($C86="","",
  IFERROR(
    _xlfn.LET(
      _xlpm._対象月初,EOMONTH(BD$1,-1)+1,
      _xlpm._今月初,EOMONTH(基準データ!$C$5,-1)+1,
      IF(
        _xlpm._対象月初&gt;_xlpm._今月初,
        IF(
          OR(BC86="",BC86=0),
          "",
          BC86*BD$107
        ),
        _xlfn.LET(
          _xlpm._参照先,
            "'[在庫状況把握_43期_2025-2026.xlsx]月次報告"
            &amp;TEXT(BD$1,"YYMM")
            &amp;"'!",
          _xlpm._戻り範囲,
            IF(
              _xlpm._対象月初=_xlpm._今月初,
              "$AG$1:$AG$300",
              "$G$1:$G$300"
            ),
          _xlfn.XLOOKUP(
            $C86,
            INDIRECT(_xlpm._参照先&amp;"$C$1:$C$300"),
            INDIRECT(_xlpm._参照先&amp;_xlpm._戻り範囲)
          )
        )
      )
    ),
    ""
  )
)</f>
        <v>34.333257521201006</v>
      </c>
    </row>
    <row r="87" spans="1:56" ht="18.75" customHeight="1">
      <c r="A87" s="1061" t="s">
        <v>1473</v>
      </c>
      <c r="B87" s="26" t="str">
        <v>CLE-NL45-150U-UMA-L6-TPM DDR5 Thirdwave</v>
      </c>
      <c r="C87" s="86" t="s">
        <v>700</v>
      </c>
      <c r="D87" s="62" t="s">
        <v>1430</v>
      </c>
      <c r="E87" s="26" t="s">
        <v>1423</v>
      </c>
      <c r="F87" s="26" t="s">
        <v>1372</v>
      </c>
      <c r="G87" s="43">
        <v>648</v>
      </c>
      <c r="H87" s="109" cm="1">
        <f t="array" aca="1" ref="H87" ca="1">_xlfn.LET(_xlpm._来月から4ヶ月計画合計,
  SUM(
    OFFSET($A87,0,
      MATCH(
        EDATE(基準データ!$C$5,3),$A$1:$BF$1,1
      )-3,1,4)),
_xlpm._今月計画数,
INDEX($A$1:$BE$223,
  ROW(),
  MATCH(EOMONTH(基準データ!$C$5,-1)+1,$A$1:$BE$1,0)
),
  IFERROR(IF($B87="","",_xlpm._来月から4ヶ月計画合計+_xlpm._今月計画数/2),""
)
)</f>
        <v>5.0824468777369614</v>
      </c>
      <c r="I87" s="311"/>
      <c r="J87" s="311"/>
      <c r="K87" s="311"/>
      <c r="L87" s="311"/>
      <c r="M87" s="311"/>
      <c r="N87" s="180"/>
      <c r="O87" s="311"/>
      <c r="P87" s="311"/>
      <c r="Q87" s="298"/>
      <c r="R87" s="298"/>
      <c r="S87" s="298"/>
      <c r="T87" s="298"/>
      <c r="U87" s="224"/>
      <c r="V87" s="237"/>
      <c r="W87" s="333"/>
      <c r="X87" s="333"/>
      <c r="Y87" s="333" t="str">
        <f>IF(X87*$Y$107=0,"",X87*$Y$107)</f>
        <v/>
      </c>
      <c r="Z87" s="480"/>
      <c r="AA87" s="219" t="str">
        <f>IF(Z87*$AA$107=0,"",Z87*$AA$107)</f>
        <v/>
      </c>
      <c r="AB87" s="557"/>
      <c r="AC87" s="649"/>
      <c r="AD87" s="649" t="s">
        <v>21</v>
      </c>
      <c r="AE87" s="223" t="s">
        <v>21</v>
      </c>
      <c r="AF87" s="223">
        <v>0</v>
      </c>
      <c r="AG87" s="223">
        <v>0</v>
      </c>
      <c r="AH87" s="223">
        <v>7</v>
      </c>
      <c r="AI87" s="223">
        <v>15</v>
      </c>
      <c r="AJ87" s="223">
        <v>11</v>
      </c>
      <c r="AK87" s="223">
        <v>4</v>
      </c>
      <c r="AL87" s="223" cm="1">
        <f t="array" aca="1" ref="AL87" ca="1">IF($C87="","",
  IFERROR(
    _xlfn.LET(
      _xlpm._対象月初,EOMONTH(AL$1,-1)+1,
      _xlpm._今月初,EOMONTH(基準データ!$C$5,-1)+1,
      IF(
        _xlpm._対象月初&gt;_xlpm._今月初,
        IF(
          OR(AK87="",AK87=0),
          "",
          AK87*AL$107
        ),
        _xlfn.LET(
          _xlpm._参照先,
            "'[在庫状況把握_43期_2025-2026.xlsx]月次報告"
            &amp;TEXT(AL$1,"YYMM")
            &amp;"'!",
          _xlpm._戻り範囲,
            IF(
              _xlpm._対象月初=_xlpm._今月初,
              "$AG$1:$AG$300",
              "$G$1:$G$300"
            ),
          _xlfn.XLOOKUP(
            $C87,
            INDIRECT(_xlpm._参照先&amp;"$C$1:$C$300"),
            INDIRECT(_xlpm._参照先&amp;_xlpm._戻り範囲)
          )
        )
      )
    ),
    ""
  )
)</f>
        <v>1</v>
      </c>
      <c r="AM87" s="223" cm="1">
        <f t="array" aca="1" ref="AM87" ca="1">IF($C87="","",
  IFERROR(
    _xlfn.LET(
      _xlpm._対象月初,EOMONTH(AM$1,-1)+1,
      _xlpm._今月初,EOMONTH(基準データ!$C$5,-1)+1,
      IF(
        _xlpm._対象月初&gt;_xlpm._今月初,
        IF(
          OR(AL87="",AL87=0),
          "",
          AL87*AM$107
        ),
        _xlfn.LET(
          _xlpm._参照先,
            "'[在庫状況把握_43期_2025-2026.xlsx]月次報告"
            &amp;TEXT(AM$1,"YYMM")
            &amp;"'!",
          _xlpm._戻り範囲,
            IF(
              _xlpm._対象月初=_xlpm._今月初,
              "$AG$1:$AG$300",
              "$G$1:$G$300"
            ),
          _xlfn.XLOOKUP(
            $C87,
            INDIRECT(_xlpm._参照先&amp;"$C$1:$C$300"),
            INDIRECT(_xlpm._参照先&amp;_xlpm._戻り範囲)
          )
        )
      )
    ),
    ""
  )
)</f>
        <v>1.107142857142857</v>
      </c>
      <c r="AN87" s="223" cm="1">
        <f t="array" aca="1" ref="AN87" ca="1">IF($C87="","",
  IFERROR(
    _xlfn.LET(
      _xlpm._対象月初,EOMONTH(AN$1,-1)+1,
      _xlpm._今月初,EOMONTH(基準データ!$C$5,-1)+1,
      IF(
        _xlpm._対象月初&gt;_xlpm._今月初,
        IF(
          OR(AM87="",AM87=0),
          "",
          AM87*AN$107
        ),
        _xlfn.LET(
          _xlpm._参照先,
            "'[在庫状況把握_43期_2025-2026.xlsx]月次報告"
            &amp;TEXT(AN$1,"YYMM")
            &amp;"'!",
          _xlpm._戻り範囲,
            IF(
              _xlpm._対象月初=_xlpm._今月初,
              "$AG$1:$AG$300",
              "$G$1:$G$300"
            ),
          _xlfn.XLOOKUP(
            $C87,
            INDIRECT(_xlpm._参照先&amp;"$C$1:$C$300"),
            INDIRECT(_xlpm._参照先&amp;_xlpm._戻り範囲)
          )
        )
      )
    ),
    ""
  )
)</f>
        <v>1.0183047267687499</v>
      </c>
      <c r="AO87" s="223" cm="1">
        <f t="array" aca="1" ref="AO87" ca="1">IF($C87="","",
  IFERROR(
    _xlfn.LET(
      _xlpm._対象月初,EOMONTH(AO$1,-1)+1,
      _xlpm._今月初,EOMONTH(基準データ!$C$5,-1)+1,
      IF(
        _xlpm._対象月初&gt;_xlpm._今月初,
        IF(
          OR(AN87="",AN87=0),
          "",
          AN87*AO$107
        ),
        _xlfn.LET(
          _xlpm._参照先,
            "'[在庫状況把握_43期_2025-2026.xlsx]月次報告"
            &amp;TEXT(AO$1,"YYMM")
            &amp;"'!",
          _xlpm._戻り範囲,
            IF(
              _xlpm._対象月初=_xlpm._今月初,
              "$AG$1:$AG$300",
              "$G$1:$G$300"
            ),
          _xlfn.XLOOKUP(
            $C87,
            INDIRECT(_xlpm._参照先&amp;"$C$1:$C$300"),
            INDIRECT(_xlpm._参照先&amp;_xlpm._戻り範囲)
          )
        )
      )
    ),
    ""
  )
)</f>
        <v>1.100002071458398</v>
      </c>
      <c r="AP87" s="223" cm="1">
        <f t="array" aca="1" ref="AP87" ca="1">IF($C87="","",
  IFERROR(
    _xlfn.LET(
      _xlpm._対象月初,EOMONTH(AP$1,-1)+1,
      _xlpm._今月初,EOMONTH(基準データ!$C$5,-1)+1,
      IF(
        _xlpm._対象月初&gt;_xlpm._今月初,
        IF(
          OR(AO87="",AO87=0),
          "",
          AO87*AP$107
        ),
        _xlfn.LET(
          _xlpm._参照先,
            "'[在庫状況把握_43期_2025-2026.xlsx]月次報告"
            &amp;TEXT(AP$1,"YYMM")
            &amp;"'!",
          _xlpm._戻り範囲,
            IF(
              _xlpm._対象月初=_xlpm._今月初,
              "$AG$1:$AG$300",
              "$G$1:$G$300"
            ),
          _xlfn.XLOOKUP(
            $C87,
            INDIRECT(_xlpm._参照先&amp;"$C$1:$C$300"),
            INDIRECT(_xlpm._参照先&amp;_xlpm._戻り範囲)
          )
        )
      )
    ),
    ""
  )
)</f>
        <v>1.1845838393660475</v>
      </c>
      <c r="AQ87" s="223" cm="1">
        <f t="array" aca="1" ref="AQ87" ca="1">IF($C87="","",
  IFERROR(
    _xlfn.LET(
      _xlpm._対象月初,EOMONTH(AQ$1,-1)+1,
      _xlpm._今月初,EOMONTH(基準データ!$C$5,-1)+1,
      IF(
        _xlpm._対象月初&gt;_xlpm._今月初,
        IF(
          OR(AP87="",AP87=0),
          "",
          AP87*AQ$107
        ),
        _xlfn.LET(
          _xlpm._参照先,
            "'[在庫状況把握_43期_2025-2026.xlsx]月次報告"
            &amp;TEXT(AQ$1,"YYMM")
            &amp;"'!",
          _xlpm._戻り範囲,
            IF(
              _xlpm._対象月初=_xlpm._今月初,
              "$AG$1:$AG$300",
              "$G$1:$G$300"
            ),
          _xlfn.XLOOKUP(
            $C87,
            INDIRECT(_xlpm._参照先&amp;"$C$1:$C$300"),
            INDIRECT(_xlpm._参照先&amp;_xlpm._戻り範囲)
          )
        )
      )
    ),
    ""
  )
)</f>
        <v>1.2259848115723366</v>
      </c>
      <c r="AR87" s="223" cm="1">
        <f t="array" aca="1" ref="AR87" ca="1">IF($C87="","",
  IFERROR(
    _xlfn.LET(
      _xlpm._対象月初,EOMONTH(AR$1,-1)+1,
      _xlpm._今月初,EOMONTH(基準データ!$C$5,-1)+1,
      IF(
        _xlpm._対象月初&gt;_xlpm._今月初,
        IF(
          OR(AQ87="",AQ87=0),
          "",
          AQ87*AR$107
        ),
        _xlfn.LET(
          _xlpm._参照先,
            "'[在庫状況把握_43期_2025-2026.xlsx]月次報告"
            &amp;TEXT(AR$1,"YYMM")
            &amp;"'!",
          _xlpm._戻り範囲,
            IF(
              _xlpm._対象月初=_xlpm._今月初,
              "$AG$1:$AG$300",
              "$G$1:$G$300"
            ),
          _xlfn.XLOOKUP(
            $C87,
            INDIRECT(_xlpm._参照先&amp;"$C$1:$C$300"),
            INDIRECT(_xlpm._参照先&amp;_xlpm._戻り範囲)
          )
        )
      )
    ),
    ""
  )
)</f>
        <v>1.807013553747421</v>
      </c>
      <c r="AS87" s="223" cm="1">
        <f t="array" aca="1" ref="AS87" ca="1">IF($C87="","",
  IFERROR(
    _xlfn.LET(
      _xlpm._対象月初,EOMONTH(AS$1,-1)+1,
      _xlpm._今月初,EOMONTH(基準データ!$C$5,-1)+1,
      IF(
        _xlpm._対象月初&gt;_xlpm._今月初,
        IF(
          OR(AR87="",AR87=0),
          "",
          AR87*AS$107
        ),
        _xlfn.LET(
          _xlpm._参照先,
            "'[在庫状況把握_43期_2025-2026.xlsx]月次報告"
            &amp;TEXT(AS$1,"YYMM")
            &amp;"'!",
          _xlpm._戻り範囲,
            IF(
              _xlpm._対象月初=_xlpm._今月初,
              "$AG$1:$AG$300",
              "$G$1:$G$300"
            ),
          _xlfn.XLOOKUP(
            $C87,
            INDIRECT(_xlpm._参照先&amp;"$C$1:$C$300"),
            INDIRECT(_xlpm._参照先&amp;_xlpm._戻り範囲)
          )
        )
      )
    ),
    ""
  )
)</f>
        <v>1.5593957903712585</v>
      </c>
      <c r="AT87" s="223" cm="1">
        <f t="array" aca="1" ref="AT87" ca="1">IF($C87="","",
  IFERROR(
    _xlfn.LET(
      _xlpm._対象月初,EOMONTH(AT$1,-1)+1,
      _xlpm._今月初,EOMONTH(基準データ!$C$5,-1)+1,
      IF(
        _xlpm._対象月初&gt;_xlpm._今月初,
        IF(
          OR(AS87="",AS87=0),
          "",
          AS87*AT$107
        ),
        _xlfn.LET(
          _xlpm._参照先,
            "'[在庫状況把握_43期_2025-2026.xlsx]月次報告"
            &amp;TEXT(AT$1,"YYMM")
            &amp;"'!",
          _xlpm._戻り範囲,
            IF(
              _xlpm._対象月初=_xlpm._今月初,
              "$AG$1:$AG$300",
              "$G$1:$G$300"
            ),
          _xlfn.XLOOKUP(
            $C87,
            INDIRECT(_xlpm._参照先&amp;"$C$1:$C$300"),
            INDIRECT(_xlpm._参照先&amp;_xlpm._戻り範囲)
          )
        )
      )
    ),
    ""
  )
)</f>
        <v>1.4702179500669179</v>
      </c>
      <c r="AU87" s="223" cm="1">
        <f t="array" aca="1" ref="AU87" ca="1">IF($C87="","",
  IFERROR(
    _xlfn.LET(
      _xlpm._対象月初,EOMONTH(AU$1,-1)+1,
      _xlpm._今月初,EOMONTH(基準データ!$C$5,-1)+1,
      IF(
        _xlpm._対象月初&gt;_xlpm._今月初,
        IF(
          OR(AT87="",AT87=0),
          "",
          AT87*AU$107
        ),
        _xlfn.LET(
          _xlpm._参照先,
            "'[在庫状況把握_43期_2025-2026.xlsx]月次報告"
            &amp;TEXT(AU$1,"YYMM")
            &amp;"'!",
          _xlpm._戻り範囲,
            IF(
              _xlpm._対象月初=_xlpm._今月初,
              "$AG$1:$AG$300",
              "$G$1:$G$300"
            ),
          _xlfn.XLOOKUP(
            $C87,
            INDIRECT(_xlpm._参照先&amp;"$C$1:$C$300"),
            INDIRECT(_xlpm._参照先&amp;_xlpm._戻り範囲)
          )
        )
      )
    ),
    ""
  )
)</f>
        <v>2.1727238294923481</v>
      </c>
      <c r="AV87" s="223" cm="1">
        <f t="array" aca="1" ref="AV87" ca="1">IF($C87="","",
  IFERROR(
    _xlfn.LET(
      _xlpm._対象月初,EOMONTH(AV$1,-1)+1,
      _xlpm._今月初,EOMONTH(基準データ!$C$5,-1)+1,
      IF(
        _xlpm._対象月初&gt;_xlpm._今月初,
        IF(
          OR(AU87="",AU87=0),
          "",
          AU87*AV$107
        ),
        _xlfn.LET(
          _xlpm._参照先,
            "'[在庫状況把握_43期_2025-2026.xlsx]月次報告"
            &amp;TEXT(AV$1,"YYMM")
            &amp;"'!",
          _xlpm._戻り範囲,
            IF(
              _xlpm._対象月初=_xlpm._今月初,
              "$AG$1:$AG$300",
              "$G$1:$G$300"
            ),
          _xlfn.XLOOKUP(
            $C87,
            INDIRECT(_xlpm._参照先&amp;"$C$1:$C$300"),
            INDIRECT(_xlpm._参照先&amp;_xlpm._戻り範囲)
          )
        )
      )
    ),
    ""
  )
)</f>
        <v>1.3341221517438511</v>
      </c>
      <c r="AW87" s="223" cm="1">
        <f t="array" aca="1" ref="AW87" ca="1">IF($C87="","",
  IFERROR(
    _xlfn.LET(
      _xlpm._対象月初,EOMONTH(AW$1,-1)+1,
      _xlpm._今月初,EOMONTH(基準データ!$C$5,-1)+1,
      IF(
        _xlpm._対象月初&gt;_xlpm._今月初,
        IF(
          OR(AV87="",AV87=0),
          "",
          AV87*AW$107
        ),
        _xlfn.LET(
          _xlpm._参照先,
            "'[在庫状況把握_43期_2025-2026.xlsx]月次報告"
            &amp;TEXT(AW$1,"YYMM")
            &amp;"'!",
          _xlpm._戻り範囲,
            IF(
              _xlpm._対象月初=_xlpm._今月初,
              "$AG$1:$AG$300",
              "$G$1:$G$300"
            ),
          _xlfn.XLOOKUP(
            $C87,
            INDIRECT(_xlpm._参照先&amp;"$C$1:$C$300"),
            INDIRECT(_xlpm._参照先&amp;_xlpm._戻り範囲)
          )
        )
      )
    ),
    ""
  )
)</f>
        <v>0.96754581300965026</v>
      </c>
      <c r="AX87" s="223" cm="1">
        <f t="array" aca="1" ref="AX87" ca="1">IF($C87="","",
  IFERROR(
    _xlfn.LET(
      _xlpm._対象月初,EOMONTH(AX$1,-1)+1,
      _xlpm._今月初,EOMONTH(基準データ!$C$5,-1)+1,
      IF(
        _xlpm._対象月初&gt;_xlpm._今月初,
        IF(
          OR(AW87="",AW87=0),
          "",
          AW87*AX$107
        ),
        _xlfn.LET(
          _xlpm._参照先,
            "'[在庫状況把握_43期_2025-2026.xlsx]月次報告"
            &amp;TEXT(AX$1,"YYMM")
            &amp;"'!",
          _xlpm._戻り範囲,
            IF(
              _xlpm._対象月初=_xlpm._今月初,
              "$AG$1:$AG$300",
              "$G$1:$G$300"
            ),
          _xlfn.XLOOKUP(
            $C87,
            INDIRECT(_xlpm._参照先&amp;"$C$1:$C$300"),
            INDIRECT(_xlpm._参照先&amp;_xlpm._戻り範囲)
          )
        )
      )
    ),
    ""
  )
)</f>
        <v>1.0088694856340923</v>
      </c>
      <c r="AY87" s="223" cm="1">
        <f t="array" aca="1" ref="AY87" ca="1">IF($C87="","",
  IFERROR(
    _xlfn.LET(
      _xlpm._対象月初,EOMONTH(AY$1,-1)+1,
      _xlpm._今月初,EOMONTH(基準データ!$C$5,-1)+1,
      IF(
        _xlpm._対象月初&gt;_xlpm._今月初,
        IF(
          OR(AX87="",AX87=0),
          "",
          AX87*AY$107
        ),
        _xlfn.LET(
          _xlpm._参照先,
            "'[在庫状況把握_43期_2025-2026.xlsx]月次報告"
            &amp;TEXT(AY$1,"YYMM")
            &amp;"'!",
          _xlpm._戻り範囲,
            IF(
              _xlpm._対象月初=_xlpm._今月初,
              "$AG$1:$AG$300",
              "$G$1:$G$300"
            ),
          _xlfn.XLOOKUP(
            $C87,
            INDIRECT(_xlpm._参照先&amp;"$C$1:$C$300"),
            INDIRECT(_xlpm._参照先&amp;_xlpm._戻り範囲)
          )
        )
      )
    ),
    ""
  )
)</f>
        <v>1.107142857142857</v>
      </c>
      <c r="AZ87" s="223" cm="1">
        <f t="array" aca="1" ref="AZ87" ca="1">IF($C87="","",
  IFERROR(
    _xlfn.LET(
      _xlpm._対象月初,EOMONTH(AZ$1,-1)+1,
      _xlpm._今月初,EOMONTH(基準データ!$C$5,-1)+1,
      IF(
        _xlpm._対象月初&gt;_xlpm._今月初,
        IF(
          OR(AY87="",AY87=0),
          "",
          AY87*AZ$107
        ),
        _xlfn.LET(
          _xlpm._参照先,
            "'[在庫状況把握_43期_2025-2026.xlsx]月次報告"
            &amp;TEXT(AZ$1,"YYMM")
            &amp;"'!",
          _xlpm._戻り範囲,
            IF(
              _xlpm._対象月初=_xlpm._今月初,
              "$AG$1:$AG$300",
              "$G$1:$G$300"
            ),
          _xlfn.XLOOKUP(
            $C87,
            INDIRECT(_xlpm._参照先&amp;"$C$1:$C$300"),
            INDIRECT(_xlpm._参照先&amp;_xlpm._戻り範囲)
          )
        )
      )
    ),
    ""
  )
)</f>
        <v>1.0183047267687499</v>
      </c>
      <c r="BA87" s="223" cm="1">
        <f t="array" aca="1" ref="BA87" ca="1">IF($C87="","",
  IFERROR(
    _xlfn.LET(
      _xlpm._対象月初,EOMONTH(BA$1,-1)+1,
      _xlpm._今月初,EOMONTH(基準データ!$C$5,-1)+1,
      IF(
        _xlpm._対象月初&gt;_xlpm._今月初,
        IF(
          OR(AZ87="",AZ87=0),
          "",
          AZ87*BA$107
        ),
        _xlfn.LET(
          _xlpm._参照先,
            "'[在庫状況把握_43期_2025-2026.xlsx]月次報告"
            &amp;TEXT(BA$1,"YYMM")
            &amp;"'!",
          _xlpm._戻り範囲,
            IF(
              _xlpm._対象月初=_xlpm._今月初,
              "$AG$1:$AG$300",
              "$G$1:$G$300"
            ),
          _xlfn.XLOOKUP(
            $C87,
            INDIRECT(_xlpm._参照先&amp;"$C$1:$C$300"),
            INDIRECT(_xlpm._参照先&amp;_xlpm._戻り範囲)
          )
        )
      )
    ),
    ""
  )
)</f>
        <v>1.100002071458398</v>
      </c>
      <c r="BB87" s="223" cm="1">
        <f t="array" aca="1" ref="BB87" ca="1">IF($C87="","",
  IFERROR(
    _xlfn.LET(
      _xlpm._対象月初,EOMONTH(BB$1,-1)+1,
      _xlpm._今月初,EOMONTH(基準データ!$C$5,-1)+1,
      IF(
        _xlpm._対象月初&gt;_xlpm._今月初,
        IF(
          OR(BA87="",BA87=0),
          "",
          BA87*BB$107
        ),
        _xlfn.LET(
          _xlpm._参照先,
            "'[在庫状況把握_43期_2025-2026.xlsx]月次報告"
            &amp;TEXT(BB$1,"YYMM")
            &amp;"'!",
          _xlpm._戻り範囲,
            IF(
              _xlpm._対象月初=_xlpm._今月初,
              "$AG$1:$AG$300",
              "$G$1:$G$300"
            ),
          _xlfn.XLOOKUP(
            $C87,
            INDIRECT(_xlpm._参照先&amp;"$C$1:$C$300"),
            INDIRECT(_xlpm._参照先&amp;_xlpm._戻り範囲)
          )
        )
      )
    ),
    ""
  )
)</f>
        <v>1.1845838393660475</v>
      </c>
      <c r="BC87" s="223" cm="1">
        <f t="array" aca="1" ref="BC87" ca="1">IF($C87="","",
  IFERROR(
    _xlfn.LET(
      _xlpm._対象月初,EOMONTH(BC$1,-1)+1,
      _xlpm._今月初,EOMONTH(基準データ!$C$5,-1)+1,
      IF(
        _xlpm._対象月初&gt;_xlpm._今月初,
        IF(
          OR(BB87="",BB87=0),
          "",
          BB87*BC$107
        ),
        _xlfn.LET(
          _xlpm._参照先,
            "'[在庫状況把握_43期_2025-2026.xlsx]月次報告"
            &amp;TEXT(BC$1,"YYMM")
            &amp;"'!",
          _xlpm._戻り範囲,
            IF(
              _xlpm._対象月初=_xlpm._今月初,
              "$AG$1:$AG$300",
              "$G$1:$G$300"
            ),
          _xlfn.XLOOKUP(
            $C87,
            INDIRECT(_xlpm._参照先&amp;"$C$1:$C$300"),
            INDIRECT(_xlpm._参照先&amp;_xlpm._戻り範囲)
          )
        )
      )
    ),
    ""
  )
)</f>
        <v>1.2259848115723366</v>
      </c>
      <c r="BD87" s="223" cm="1">
        <f t="array" aca="1" ref="BD87" ca="1">IF($C87="","",
  IFERROR(
    _xlfn.LET(
      _xlpm._対象月初,EOMONTH(BD$1,-1)+1,
      _xlpm._今月初,EOMONTH(基準データ!$C$5,-1)+1,
      IF(
        _xlpm._対象月初&gt;_xlpm._今月初,
        IF(
          OR(BC87="",BC87=0),
          "",
          BC87*BD$107
        ),
        _xlfn.LET(
          _xlpm._参照先,
            "'[在庫状況把握_43期_2025-2026.xlsx]月次報告"
            &amp;TEXT(BD$1,"YYMM")
            &amp;"'!",
          _xlpm._戻り範囲,
            IF(
              _xlpm._対象月初=_xlpm._今月初,
              "$AG$1:$AG$300",
              "$G$1:$G$300"
            ),
          _xlfn.XLOOKUP(
            $C87,
            INDIRECT(_xlpm._参照先&amp;"$C$1:$C$300"),
            INDIRECT(_xlpm._参照先&amp;_xlpm._戻り範囲)
          )
        )
      )
    ),
    ""
  )
)</f>
        <v>1.807013553747421</v>
      </c>
    </row>
    <row r="88" spans="1:56" ht="18.75" customHeight="1">
      <c r="A88" s="1061" t="s">
        <v>1473</v>
      </c>
      <c r="B88" s="26" t="str">
        <v>CLE-NL45-120U-UMA-L6-TPM DDR5 Thirdwave</v>
      </c>
      <c r="C88" s="86" t="s">
        <v>756</v>
      </c>
      <c r="D88" s="72" t="s">
        <v>1460</v>
      </c>
      <c r="E88" s="68"/>
      <c r="F88" s="68"/>
      <c r="G88" s="355">
        <v>1460</v>
      </c>
      <c r="H88" s="109" cm="1">
        <f t="array" aca="1" ref="H88" ca="1">_xlfn.LET(_xlpm._来月から4ヶ月計画合計,
  SUM(
    OFFSET($A88,0,
      MATCH(
        EDATE(基準データ!$C$5,3),$A$1:$BF$1,1
      )-3,1,4)),
_xlpm._今月計画数,
INDEX($A$1:$BE$223,
  ROW(),
  MATCH(EOMONTH(基準データ!$C$5,-1)+1,$A$1:$BE$1,0)
),
  IFERROR(IF($B88="","",_xlpm._来月から4ヶ月計画合計+_xlpm._今月計画数/2),""
)
)</f>
        <v>386.26596270800906</v>
      </c>
      <c r="I88" s="311"/>
      <c r="J88" s="311"/>
      <c r="K88" s="311"/>
      <c r="L88" s="311"/>
      <c r="M88" s="38"/>
      <c r="N88" s="38"/>
      <c r="O88" s="38"/>
      <c r="P88" s="38"/>
      <c r="Q88" s="219"/>
      <c r="R88" s="219"/>
      <c r="S88" s="219"/>
      <c r="T88" s="219"/>
      <c r="U88" s="224"/>
      <c r="V88" s="237"/>
      <c r="W88" s="333"/>
      <c r="X88" s="333"/>
      <c r="Y88" s="333"/>
      <c r="Z88" s="219"/>
      <c r="AA88" s="219"/>
      <c r="AB88" s="529"/>
      <c r="AC88" s="648"/>
      <c r="AD88" s="648" t="s">
        <v>21</v>
      </c>
      <c r="AE88" s="223" t="s">
        <v>21</v>
      </c>
      <c r="AF88" s="223">
        <v>0</v>
      </c>
      <c r="AG88" s="223">
        <v>0</v>
      </c>
      <c r="AH88" s="223">
        <v>34</v>
      </c>
      <c r="AI88" s="223">
        <v>154</v>
      </c>
      <c r="AJ88" s="223">
        <v>495</v>
      </c>
      <c r="AK88" s="223">
        <v>46</v>
      </c>
      <c r="AL88" s="223" cm="1">
        <f t="array" aca="1" ref="AL88" ca="1">IF($C88="","",
  IFERROR(
    _xlfn.LET(
      _xlpm._対象月初,EOMONTH(AL$1,-1)+1,
      _xlpm._今月初,EOMONTH(基準データ!$C$5,-1)+1,
      IF(
        _xlpm._対象月初&gt;_xlpm._今月初,
        IF(
          OR(AK88="",AK88=0),
          "",
          AK88*AL$107
        ),
        _xlfn.LET(
          _xlpm._参照先,
            "'[在庫状況把握_43期_2025-2026.xlsx]月次報告"
            &amp;TEXT(AL$1,"YYMM")
            &amp;"'!",
          _xlpm._戻り範囲,
            IF(
              _xlpm._対象月初=_xlpm._今月初,
              "$AG$1:$AG$300",
              "$G$1:$G$300"
            ),
          _xlfn.XLOOKUP(
            $C88,
            INDIRECT(_xlpm._参照先&amp;"$C$1:$C$300"),
            INDIRECT(_xlpm._参照先&amp;_xlpm._戻り範囲)
          )
        )
      )
    ),
    ""
  )
)</f>
        <v>76</v>
      </c>
      <c r="AM88" s="223" cm="1">
        <f t="array" aca="1" ref="AM88" ca="1">IF($C88="","",
  IFERROR(
    _xlfn.LET(
      _xlpm._対象月初,EOMONTH(AM$1,-1)+1,
      _xlpm._今月初,EOMONTH(基準データ!$C$5,-1)+1,
      IF(
        _xlpm._対象月初&gt;_xlpm._今月初,
        IF(
          OR(AL88="",AL88=0),
          "",
          AL88*AM$107
        ),
        _xlfn.LET(
          _xlpm._参照先,
            "'[在庫状況把握_43期_2025-2026.xlsx]月次報告"
            &amp;TEXT(AM$1,"YYMM")
            &amp;"'!",
          _xlpm._戻り範囲,
            IF(
              _xlpm._対象月初=_xlpm._今月初,
              "$AG$1:$AG$300",
              "$G$1:$G$300"
            ),
          _xlfn.XLOOKUP(
            $C88,
            INDIRECT(_xlpm._参照先&amp;"$C$1:$C$300"),
            INDIRECT(_xlpm._参照先&amp;_xlpm._戻り範囲)
          )
        )
      )
    ),
    ""
  )
)</f>
        <v>84.142857142857153</v>
      </c>
      <c r="AN88" s="223" cm="1">
        <f t="array" aca="1" ref="AN88" ca="1">IF($C88="","",
  IFERROR(
    _xlfn.LET(
      _xlpm._対象月初,EOMONTH(AN$1,-1)+1,
      _xlpm._今月初,EOMONTH(基準データ!$C$5,-1)+1,
      IF(
        _xlpm._対象月初&gt;_xlpm._今月初,
        IF(
          OR(AM88="",AM88=0),
          "",
          AM88*AN$107
        ),
        _xlfn.LET(
          _xlpm._参照先,
            "'[在庫状況把握_43期_2025-2026.xlsx]月次報告"
            &amp;TEXT(AN$1,"YYMM")
            &amp;"'!",
          _xlpm._戻り範囲,
            IF(
              _xlpm._対象月初=_xlpm._今月初,
              "$AG$1:$AG$300",
              "$G$1:$G$300"
            ),
          _xlfn.XLOOKUP(
            $C88,
            INDIRECT(_xlpm._参照先&amp;"$C$1:$C$300"),
            INDIRECT(_xlpm._参照先&amp;_xlpm._戻り範囲)
          )
        )
      )
    ),
    ""
  )
)</f>
        <v>77.391159234425018</v>
      </c>
      <c r="AO88" s="223" cm="1">
        <f t="array" aca="1" ref="AO88" ca="1">IF($C88="","",
  IFERROR(
    _xlfn.LET(
      _xlpm._対象月初,EOMONTH(AO$1,-1)+1,
      _xlpm._今月初,EOMONTH(基準データ!$C$5,-1)+1,
      IF(
        _xlpm._対象月初&gt;_xlpm._今月初,
        IF(
          OR(AN88="",AN88=0),
          "",
          AN88*AO$107
        ),
        _xlfn.LET(
          _xlpm._参照先,
            "'[在庫状況把握_43期_2025-2026.xlsx]月次報告"
            &amp;TEXT(AO$1,"YYMM")
            &amp;"'!",
          _xlpm._戻り範囲,
            IF(
              _xlpm._対象月初=_xlpm._今月初,
              "$AG$1:$AG$300",
              "$G$1:$G$300"
            ),
          _xlfn.XLOOKUP(
            $C88,
            INDIRECT(_xlpm._参照先&amp;"$C$1:$C$300"),
            INDIRECT(_xlpm._参照先&amp;_xlpm._戻り範囲)
          )
        )
      )
    ),
    ""
  )
)</f>
        <v>83.600157430838266</v>
      </c>
      <c r="AP88" s="223" cm="1">
        <f t="array" aca="1" ref="AP88" ca="1">IF($C88="","",
  IFERROR(
    _xlfn.LET(
      _xlpm._対象月初,EOMONTH(AP$1,-1)+1,
      _xlpm._今月初,EOMONTH(基準データ!$C$5,-1)+1,
      IF(
        _xlpm._対象月初&gt;_xlpm._今月初,
        IF(
          OR(AO88="",AO88=0),
          "",
          AO88*AP$107
        ),
        _xlfn.LET(
          _xlpm._参照先,
            "'[在庫状況把握_43期_2025-2026.xlsx]月次報告"
            &amp;TEXT(AP$1,"YYMM")
            &amp;"'!",
          _xlpm._戻り範囲,
            IF(
              _xlpm._対象月初=_xlpm._今月初,
              "$AG$1:$AG$300",
              "$G$1:$G$300"
            ),
          _xlfn.XLOOKUP(
            $C88,
            INDIRECT(_xlpm._参照先&amp;"$C$1:$C$300"),
            INDIRECT(_xlpm._参照先&amp;_xlpm._戻り範囲)
          )
        )
      )
    ),
    ""
  )
)</f>
        <v>90.028371791819623</v>
      </c>
      <c r="AQ88" s="223" cm="1">
        <f t="array" aca="1" ref="AQ88" ca="1">IF($C88="","",
  IFERROR(
    _xlfn.LET(
      _xlpm._対象月初,EOMONTH(AQ$1,-1)+1,
      _xlpm._今月初,EOMONTH(基準データ!$C$5,-1)+1,
      IF(
        _xlpm._対象月初&gt;_xlpm._今月初,
        IF(
          OR(AP88="",AP88=0),
          "",
          AP88*AQ$107
        ),
        _xlfn.LET(
          _xlpm._参照先,
            "'[在庫状況把握_43期_2025-2026.xlsx]月次報告"
            &amp;TEXT(AQ$1,"YYMM")
            &amp;"'!",
          _xlpm._戻り範囲,
            IF(
              _xlpm._対象月初=_xlpm._今月初,
              "$AG$1:$AG$300",
              "$G$1:$G$300"
            ),
          _xlfn.XLOOKUP(
            $C88,
            INDIRECT(_xlpm._参照先&amp;"$C$1:$C$300"),
            INDIRECT(_xlpm._参照先&amp;_xlpm._戻り範囲)
          )
        )
      )
    ),
    ""
  )
)</f>
        <v>93.174845679497594</v>
      </c>
      <c r="AR88" s="223" cm="1">
        <f t="array" aca="1" ref="AR88" ca="1">IF($C88="","",
  IFERROR(
    _xlfn.LET(
      _xlpm._対象月初,EOMONTH(AR$1,-1)+1,
      _xlpm._今月初,EOMONTH(基準データ!$C$5,-1)+1,
      IF(
        _xlpm._対象月初&gt;_xlpm._今月初,
        IF(
          OR(AQ88="",AQ88=0),
          "",
          AQ88*AR$107
        ),
        _xlfn.LET(
          _xlpm._参照先,
            "'[在庫状況把握_43期_2025-2026.xlsx]月次報告"
            &amp;TEXT(AR$1,"YYMM")
            &amp;"'!",
          _xlpm._戻り範囲,
            IF(
              _xlpm._対象月初=_xlpm._今月初,
              "$AG$1:$AG$300",
              "$G$1:$G$300"
            ),
          _xlfn.XLOOKUP(
            $C88,
            INDIRECT(_xlpm._参照先&amp;"$C$1:$C$300"),
            INDIRECT(_xlpm._参照先&amp;_xlpm._戻り範囲)
          )
        )
      )
    ),
    ""
  )
)</f>
        <v>137.33303008480402</v>
      </c>
      <c r="AS88" s="223" cm="1">
        <f t="array" aca="1" ref="AS88" ca="1">IF($C88="","",
  IFERROR(
    _xlfn.LET(
      _xlpm._対象月初,EOMONTH(AS$1,-1)+1,
      _xlpm._今月初,EOMONTH(基準データ!$C$5,-1)+1,
      IF(
        _xlpm._対象月初&gt;_xlpm._今月初,
        IF(
          OR(AR88="",AR88=0),
          "",
          AR88*AS$107
        ),
        _xlfn.LET(
          _xlpm._参照先,
            "'[在庫状況把握_43期_2025-2026.xlsx]月次報告"
            &amp;TEXT(AS$1,"YYMM")
            &amp;"'!",
          _xlpm._戻り範囲,
            IF(
              _xlpm._対象月初=_xlpm._今月初,
              "$AG$1:$AG$300",
              "$G$1:$G$300"
            ),
          _xlfn.XLOOKUP(
            $C88,
            INDIRECT(_xlpm._参照先&amp;"$C$1:$C$300"),
            INDIRECT(_xlpm._参照先&amp;_xlpm._戻り範囲)
          )
        )
      )
    ),
    ""
  )
)</f>
        <v>118.51408006821568</v>
      </c>
      <c r="AT88" s="223" cm="1">
        <f t="array" aca="1" ref="AT88" ca="1">IF($C88="","",
  IFERROR(
    _xlfn.LET(
      _xlpm._対象月初,EOMONTH(AT$1,-1)+1,
      _xlpm._今月初,EOMONTH(基準データ!$C$5,-1)+1,
      IF(
        _xlpm._対象月初&gt;_xlpm._今月初,
        IF(
          OR(AS88="",AS88=0),
          "",
          AS88*AT$107
        ),
        _xlfn.LET(
          _xlpm._参照先,
            "'[在庫状況把握_43期_2025-2026.xlsx]月次報告"
            &amp;TEXT(AT$1,"YYMM")
            &amp;"'!",
          _xlpm._戻り範囲,
            IF(
              _xlpm._対象月初=_xlpm._今月初,
              "$AG$1:$AG$300",
              "$G$1:$G$300"
            ),
          _xlfn.XLOOKUP(
            $C88,
            INDIRECT(_xlpm._参照先&amp;"$C$1:$C$300"),
            INDIRECT(_xlpm._参照先&amp;_xlpm._戻り範囲)
          )
        )
      )
    ),
    ""
  )
)</f>
        <v>111.7365642050858</v>
      </c>
      <c r="AU88" s="223" cm="1">
        <f t="array" aca="1" ref="AU88" ca="1">IF($C88="","",
  IFERROR(
    _xlfn.LET(
      _xlpm._対象月初,EOMONTH(AU$1,-1)+1,
      _xlpm._今月初,EOMONTH(基準データ!$C$5,-1)+1,
      IF(
        _xlpm._対象月初&gt;_xlpm._今月初,
        IF(
          OR(AT88="",AT88=0),
          "",
          AT88*AU$107
        ),
        _xlfn.LET(
          _xlpm._参照先,
            "'[在庫状況把握_43期_2025-2026.xlsx]月次報告"
            &amp;TEXT(AU$1,"YYMM")
            &amp;"'!",
          _xlpm._戻り範囲,
            IF(
              _xlpm._対象月初=_xlpm._今月初,
              "$AG$1:$AG$300",
              "$G$1:$G$300"
            ),
          _xlfn.XLOOKUP(
            $C88,
            INDIRECT(_xlpm._参照先&amp;"$C$1:$C$300"),
            INDIRECT(_xlpm._参照先&amp;_xlpm._戻り範囲)
          )
        )
      )
    ),
    ""
  )
)</f>
        <v>165.12701104141851</v>
      </c>
      <c r="AV88" s="223" cm="1">
        <f t="array" aca="1" ref="AV88" ca="1">IF($C88="","",
  IFERROR(
    _xlfn.LET(
      _xlpm._対象月初,EOMONTH(AV$1,-1)+1,
      _xlpm._今月初,EOMONTH(基準データ!$C$5,-1)+1,
      IF(
        _xlpm._対象月初&gt;_xlpm._今月初,
        IF(
          OR(AU88="",AU88=0),
          "",
          AU88*AV$107
        ),
        _xlfn.LET(
          _xlpm._参照先,
            "'[在庫状況把握_43期_2025-2026.xlsx]月次報告"
            &amp;TEXT(AV$1,"YYMM")
            &amp;"'!",
          _xlpm._戻り範囲,
            IF(
              _xlpm._対象月初=_xlpm._今月初,
              "$AG$1:$AG$300",
              "$G$1:$G$300"
            ),
          _xlfn.XLOOKUP(
            $C88,
            INDIRECT(_xlpm._参照先&amp;"$C$1:$C$300"),
            INDIRECT(_xlpm._参照先&amp;_xlpm._戻り範囲)
          )
        )
      )
    ),
    ""
  )
)</f>
        <v>101.39328353253272</v>
      </c>
      <c r="AW88" s="223" cm="1">
        <f t="array" aca="1" ref="AW88" ca="1">IF($C88="","",
  IFERROR(
    _xlfn.LET(
      _xlpm._対象月初,EOMONTH(AW$1,-1)+1,
      _xlpm._今月初,EOMONTH(基準データ!$C$5,-1)+1,
      IF(
        _xlpm._対象月初&gt;_xlpm._今月初,
        IF(
          OR(AV88="",AV88=0),
          "",
          AV88*AW$107
        ),
        _xlfn.LET(
          _xlpm._参照先,
            "'[在庫状況把握_43期_2025-2026.xlsx]月次報告"
            &amp;TEXT(AW$1,"YYMM")
            &amp;"'!",
          _xlpm._戻り範囲,
            IF(
              _xlpm._対象月初=_xlpm._今月初,
              "$AG$1:$AG$300",
              "$G$1:$G$300"
            ),
          _xlfn.XLOOKUP(
            $C88,
            INDIRECT(_xlpm._参照先&amp;"$C$1:$C$300"),
            INDIRECT(_xlpm._参照先&amp;_xlpm._戻り範囲)
          )
        )
      )
    ),
    ""
  )
)</f>
        <v>73.53348178873344</v>
      </c>
      <c r="AX88" s="223" cm="1">
        <f t="array" aca="1" ref="AX88" ca="1">IF($C88="","",
  IFERROR(
    _xlfn.LET(
      _xlpm._対象月初,EOMONTH(AX$1,-1)+1,
      _xlpm._今月初,EOMONTH(基準データ!$C$5,-1)+1,
      IF(
        _xlpm._対象月初&gt;_xlpm._今月初,
        IF(
          OR(AW88="",AW88=0),
          "",
          AW88*AX$107
        ),
        _xlfn.LET(
          _xlpm._参照先,
            "'[在庫状況把握_43期_2025-2026.xlsx]月次報告"
            &amp;TEXT(AX$1,"YYMM")
            &amp;"'!",
          _xlpm._戻り範囲,
            IF(
              _xlpm._対象月初=_xlpm._今月初,
              "$AG$1:$AG$300",
              "$G$1:$G$300"
            ),
          _xlfn.XLOOKUP(
            $C88,
            INDIRECT(_xlpm._参照先&amp;"$C$1:$C$300"),
            INDIRECT(_xlpm._参照先&amp;_xlpm._戻り範囲)
          )
        )
      )
    ),
    ""
  )
)</f>
        <v>76.674080908191044</v>
      </c>
      <c r="AY88" s="223" cm="1">
        <f t="array" aca="1" ref="AY88" ca="1">IF($C88="","",
  IFERROR(
    _xlfn.LET(
      _xlpm._対象月初,EOMONTH(AY$1,-1)+1,
      _xlpm._今月初,EOMONTH(基準データ!$C$5,-1)+1,
      IF(
        _xlpm._対象月初&gt;_xlpm._今月初,
        IF(
          OR(AX88="",AX88=0),
          "",
          AX88*AY$107
        ),
        _xlfn.LET(
          _xlpm._参照先,
            "'[在庫状況把握_43期_2025-2026.xlsx]月次報告"
            &amp;TEXT(AY$1,"YYMM")
            &amp;"'!",
          _xlpm._戻り範囲,
            IF(
              _xlpm._対象月初=_xlpm._今月初,
              "$AG$1:$AG$300",
              "$G$1:$G$300"
            ),
          _xlfn.XLOOKUP(
            $C88,
            INDIRECT(_xlpm._参照先&amp;"$C$1:$C$300"),
            INDIRECT(_xlpm._参照先&amp;_xlpm._戻り範囲)
          )
        )
      )
    ),
    ""
  )
)</f>
        <v>84.142857142857167</v>
      </c>
      <c r="AZ88" s="223" cm="1">
        <f t="array" aca="1" ref="AZ88" ca="1">IF($C88="","",
  IFERROR(
    _xlfn.LET(
      _xlpm._対象月初,EOMONTH(AZ$1,-1)+1,
      _xlpm._今月初,EOMONTH(基準データ!$C$5,-1)+1,
      IF(
        _xlpm._対象月初&gt;_xlpm._今月初,
        IF(
          OR(AY88="",AY88=0),
          "",
          AY88*AZ$107
        ),
        _xlfn.LET(
          _xlpm._参照先,
            "'[在庫状況把握_43期_2025-2026.xlsx]月次報告"
            &amp;TEXT(AZ$1,"YYMM")
            &amp;"'!",
          _xlpm._戻り範囲,
            IF(
              _xlpm._対象月初=_xlpm._今月初,
              "$AG$1:$AG$300",
              "$G$1:$G$300"
            ),
          _xlfn.XLOOKUP(
            $C88,
            INDIRECT(_xlpm._参照先&amp;"$C$1:$C$300"),
            INDIRECT(_xlpm._参照先&amp;_xlpm._戻り範囲)
          )
        )
      )
    ),
    ""
  )
)</f>
        <v>77.391159234425032</v>
      </c>
      <c r="BA88" s="223" cm="1">
        <f t="array" aca="1" ref="BA88" ca="1">IF($C88="","",
  IFERROR(
    _xlfn.LET(
      _xlpm._対象月初,EOMONTH(BA$1,-1)+1,
      _xlpm._今月初,EOMONTH(基準データ!$C$5,-1)+1,
      IF(
        _xlpm._対象月初&gt;_xlpm._今月初,
        IF(
          OR(AZ88="",AZ88=0),
          "",
          AZ88*BA$107
        ),
        _xlfn.LET(
          _xlpm._参照先,
            "'[在庫状況把握_43期_2025-2026.xlsx]月次報告"
            &amp;TEXT(BA$1,"YYMM")
            &amp;"'!",
          _xlpm._戻り範囲,
            IF(
              _xlpm._対象月初=_xlpm._今月初,
              "$AG$1:$AG$300",
              "$G$1:$G$300"
            ),
          _xlfn.XLOOKUP(
            $C88,
            INDIRECT(_xlpm._参照先&amp;"$C$1:$C$300"),
            INDIRECT(_xlpm._参照先&amp;_xlpm._戻り範囲)
          )
        )
      )
    ),
    ""
  )
)</f>
        <v>83.60015743083828</v>
      </c>
      <c r="BB88" s="223" cm="1">
        <f t="array" aca="1" ref="BB88" ca="1">IF($C88="","",
  IFERROR(
    _xlfn.LET(
      _xlpm._対象月初,EOMONTH(BB$1,-1)+1,
      _xlpm._今月初,EOMONTH(基準データ!$C$5,-1)+1,
      IF(
        _xlpm._対象月初&gt;_xlpm._今月初,
        IF(
          OR(BA88="",BA88=0),
          "",
          BA88*BB$107
        ),
        _xlfn.LET(
          _xlpm._参照先,
            "'[在庫状況把握_43期_2025-2026.xlsx]月次報告"
            &amp;TEXT(BB$1,"YYMM")
            &amp;"'!",
          _xlpm._戻り範囲,
            IF(
              _xlpm._対象月初=_xlpm._今月初,
              "$AG$1:$AG$300",
              "$G$1:$G$300"
            ),
          _xlfn.XLOOKUP(
            $C88,
            INDIRECT(_xlpm._参照先&amp;"$C$1:$C$300"),
            INDIRECT(_xlpm._参照先&amp;_xlpm._戻り範囲)
          )
        )
      )
    ),
    ""
  )
)</f>
        <v>90.028371791819637</v>
      </c>
      <c r="BC88" s="223" cm="1">
        <f t="array" aca="1" ref="BC88" ca="1">IF($C88="","",
  IFERROR(
    _xlfn.LET(
      _xlpm._対象月初,EOMONTH(BC$1,-1)+1,
      _xlpm._今月初,EOMONTH(基準データ!$C$5,-1)+1,
      IF(
        _xlpm._対象月初&gt;_xlpm._今月初,
        IF(
          OR(BB88="",BB88=0),
          "",
          BB88*BC$107
        ),
        _xlfn.LET(
          _xlpm._参照先,
            "'[在庫状況把握_43期_2025-2026.xlsx]月次報告"
            &amp;TEXT(BC$1,"YYMM")
            &amp;"'!",
          _xlpm._戻り範囲,
            IF(
              _xlpm._対象月初=_xlpm._今月初,
              "$AG$1:$AG$300",
              "$G$1:$G$300"
            ),
          _xlfn.XLOOKUP(
            $C88,
            INDIRECT(_xlpm._参照先&amp;"$C$1:$C$300"),
            INDIRECT(_xlpm._参照先&amp;_xlpm._戻り範囲)
          )
        )
      )
    ),
    ""
  )
)</f>
        <v>93.174845679497608</v>
      </c>
      <c r="BD88" s="223" cm="1">
        <f t="array" aca="1" ref="BD88" ca="1">IF($C88="","",
  IFERROR(
    _xlfn.LET(
      _xlpm._対象月初,EOMONTH(BD$1,-1)+1,
      _xlpm._今月初,EOMONTH(基準データ!$C$5,-1)+1,
      IF(
        _xlpm._対象月初&gt;_xlpm._今月初,
        IF(
          OR(BC88="",BC88=0),
          "",
          BC88*BD$107
        ),
        _xlfn.LET(
          _xlpm._参照先,
            "'[在庫状況把握_43期_2025-2026.xlsx]月次報告"
            &amp;TEXT(BD$1,"YYMM")
            &amp;"'!",
          _xlpm._戻り範囲,
            IF(
              _xlpm._対象月初=_xlpm._今月初,
              "$AG$1:$AG$300",
              "$G$1:$G$300"
            ),
          _xlfn.XLOOKUP(
            $C88,
            INDIRECT(_xlpm._参照先&amp;"$C$1:$C$300"),
            INDIRECT(_xlpm._参照先&amp;_xlpm._戻り範囲)
          )
        )
      )
    ),
    ""
  )
)</f>
        <v>137.33303008480402</v>
      </c>
    </row>
    <row r="89" spans="1:56" ht="18.75" customHeight="1">
      <c r="A89" s="1061" t="s">
        <v>1473</v>
      </c>
      <c r="B89" s="26" t="str">
        <v>CLE-NL45-1355U-UMA-L6-TPM Thirdwave</v>
      </c>
      <c r="C89" s="56" t="s">
        <v>691</v>
      </c>
      <c r="D89" s="72" t="s">
        <v>1459</v>
      </c>
      <c r="E89" s="68"/>
      <c r="F89" s="68" t="s">
        <v>1347</v>
      </c>
      <c r="G89" s="355">
        <v>1</v>
      </c>
      <c r="H89" s="109" cm="1">
        <f t="array" aca="1" ref="H89" ca="1">_xlfn.LET(_xlpm._来月から4ヶ月計画合計,
  SUM(
    OFFSET($A89,0,
      MATCH(
        EDATE(基準データ!$C$5,3),$A$1:$BF$1,1
      )-3,1,4)),
_xlpm._今月計画数,
INDEX($A$1:$BE$223,
  ROW(),
  MATCH(EOMONTH(基準データ!$C$5,-1)+1,$A$1:$BE$1,0)
),
  IFERROR(IF($B89="","",_xlpm._来月から4ヶ月計画合計+_xlpm._今月計画数/2),""
)
)</f>
        <v>0</v>
      </c>
      <c r="I89" s="311"/>
      <c r="J89" s="311"/>
      <c r="K89" s="311"/>
      <c r="L89" s="311"/>
      <c r="M89" s="38"/>
      <c r="N89" s="38"/>
      <c r="O89" s="38"/>
      <c r="P89" s="38"/>
      <c r="Q89" s="219"/>
      <c r="R89" s="219"/>
      <c r="S89" s="219"/>
      <c r="T89" s="219"/>
      <c r="U89" s="224"/>
      <c r="V89" s="237"/>
      <c r="W89" s="333"/>
      <c r="X89" s="333"/>
      <c r="Y89" s="333"/>
      <c r="Z89" s="219"/>
      <c r="AA89" s="219"/>
      <c r="AB89" s="529"/>
      <c r="AC89" s="648"/>
      <c r="AD89" s="648">
        <v>131</v>
      </c>
      <c r="AE89" s="223">
        <v>116</v>
      </c>
      <c r="AF89" s="223">
        <v>74</v>
      </c>
      <c r="AG89" s="223">
        <v>94</v>
      </c>
      <c r="AH89" s="223">
        <v>108</v>
      </c>
      <c r="AI89" s="223">
        <v>117</v>
      </c>
      <c r="AJ89" s="223">
        <v>11</v>
      </c>
      <c r="AK89" s="223">
        <v>0</v>
      </c>
      <c r="AL89" s="223" cm="1">
        <f t="array" aca="1" ref="AL89" ca="1">IF($C89="","",
  IFERROR(
    _xlfn.LET(
      _xlpm._対象月初,EOMONTH(AL$1,-1)+1,
      _xlpm._今月初,EOMONTH(基準データ!$C$5,-1)+1,
      IF(
        _xlpm._対象月初&gt;_xlpm._今月初,
        IF(
          OR(AK89="",AK89=0),
          "",
          AK89*AL$107
        ),
        _xlfn.LET(
          _xlpm._参照先,
            "'[在庫状況把握_43期_2025-2026.xlsx]月次報告"
            &amp;TEXT(AL$1,"YYMM")
            &amp;"'!",
          _xlpm._戻り範囲,
            IF(
              _xlpm._対象月初=_xlpm._今月初,
              "$AG$1:$AG$300",
              "$G$1:$G$300"
            ),
          _xlfn.XLOOKUP(
            $C89,
            INDIRECT(_xlpm._参照先&amp;"$C$1:$C$300"),
            INDIRECT(_xlpm._参照先&amp;_xlpm._戻り範囲)
          )
        )
      )
    ),
    ""
  )
)</f>
        <v>0</v>
      </c>
      <c r="AM89" s="223" cm="1">
        <f t="array" aca="1" ref="AM89" ca="1">IF($C89="","",
  IFERROR(
    _xlfn.LET(
      _xlpm._対象月初,EOMONTH(AM$1,-1)+1,
      _xlpm._今月初,EOMONTH(基準データ!$C$5,-1)+1,
      IF(
        _xlpm._対象月初&gt;_xlpm._今月初,
        IF(
          OR(AL89="",AL89=0),
          "",
          AL89*AM$107
        ),
        _xlfn.LET(
          _xlpm._参照先,
            "'[在庫状況把握_43期_2025-2026.xlsx]月次報告"
            &amp;TEXT(AM$1,"YYMM")
            &amp;"'!",
          _xlpm._戻り範囲,
            IF(
              _xlpm._対象月初=_xlpm._今月初,
              "$AG$1:$AG$300",
              "$G$1:$G$300"
            ),
          _xlfn.XLOOKUP(
            $C89,
            INDIRECT(_xlpm._参照先&amp;"$C$1:$C$300"),
            INDIRECT(_xlpm._参照先&amp;_xlpm._戻り範囲)
          )
        )
      )
    ),
    ""
  )
)</f>
        <v>0</v>
      </c>
      <c r="AN89" s="223" t="str" cm="1">
        <f t="array" aca="1" ref="AN89" ca="1">IF($C89="","",
  IFERROR(
    _xlfn.LET(
      _xlpm._対象月初,EOMONTH(AN$1,-1)+1,
      _xlpm._今月初,EOMONTH(基準データ!$C$5,-1)+1,
      IF(
        _xlpm._対象月初&gt;_xlpm._今月初,
        IF(
          OR(AM89="",AM89=0),
          "",
          AM89*AN$107
        ),
        _xlfn.LET(
          _xlpm._参照先,
            "'[在庫状況把握_43期_2025-2026.xlsx]月次報告"
            &amp;TEXT(AN$1,"YYMM")
            &amp;"'!",
          _xlpm._戻り範囲,
            IF(
              _xlpm._対象月初=_xlpm._今月初,
              "$AG$1:$AG$300",
              "$G$1:$G$300"
            ),
          _xlfn.XLOOKUP(
            $C89,
            INDIRECT(_xlpm._参照先&amp;"$C$1:$C$300"),
            INDIRECT(_xlpm._参照先&amp;_xlpm._戻り範囲)
          )
        )
      )
    ),
    ""
  )
)</f>
        <v/>
      </c>
      <c r="AO89" s="223" t="str" cm="1">
        <f t="array" aca="1" ref="AO89" ca="1">IF($C89="","",
  IFERROR(
    _xlfn.LET(
      _xlpm._対象月初,EOMONTH(AO$1,-1)+1,
      _xlpm._今月初,EOMONTH(基準データ!$C$5,-1)+1,
      IF(
        _xlpm._対象月初&gt;_xlpm._今月初,
        IF(
          OR(AN89="",AN89=0),
          "",
          AN89*AO$107
        ),
        _xlfn.LET(
          _xlpm._参照先,
            "'[在庫状況把握_43期_2025-2026.xlsx]月次報告"
            &amp;TEXT(AO$1,"YYMM")
            &amp;"'!",
          _xlpm._戻り範囲,
            IF(
              _xlpm._対象月初=_xlpm._今月初,
              "$AG$1:$AG$300",
              "$G$1:$G$300"
            ),
          _xlfn.XLOOKUP(
            $C89,
            INDIRECT(_xlpm._参照先&amp;"$C$1:$C$300"),
            INDIRECT(_xlpm._参照先&amp;_xlpm._戻り範囲)
          )
        )
      )
    ),
    ""
  )
)</f>
        <v/>
      </c>
      <c r="AP89" s="223" t="str" cm="1">
        <f t="array" aca="1" ref="AP89" ca="1">IF($C89="","",
  IFERROR(
    _xlfn.LET(
      _xlpm._対象月初,EOMONTH(AP$1,-1)+1,
      _xlpm._今月初,EOMONTH(基準データ!$C$5,-1)+1,
      IF(
        _xlpm._対象月初&gt;_xlpm._今月初,
        IF(
          OR(AO89="",AO89=0),
          "",
          AO89*AP$107
        ),
        _xlfn.LET(
          _xlpm._参照先,
            "'[在庫状況把握_43期_2025-2026.xlsx]月次報告"
            &amp;TEXT(AP$1,"YYMM")
            &amp;"'!",
          _xlpm._戻り範囲,
            IF(
              _xlpm._対象月初=_xlpm._今月初,
              "$AG$1:$AG$300",
              "$G$1:$G$300"
            ),
          _xlfn.XLOOKUP(
            $C89,
            INDIRECT(_xlpm._参照先&amp;"$C$1:$C$300"),
            INDIRECT(_xlpm._参照先&amp;_xlpm._戻り範囲)
          )
        )
      )
    ),
    ""
  )
)</f>
        <v/>
      </c>
      <c r="AQ89" s="223" t="str" cm="1">
        <f t="array" aca="1" ref="AQ89" ca="1">IF($C89="","",
  IFERROR(
    _xlfn.LET(
      _xlpm._対象月初,EOMONTH(AQ$1,-1)+1,
      _xlpm._今月初,EOMONTH(基準データ!$C$5,-1)+1,
      IF(
        _xlpm._対象月初&gt;_xlpm._今月初,
        IF(
          OR(AP89="",AP89=0),
          "",
          AP89*AQ$107
        ),
        _xlfn.LET(
          _xlpm._参照先,
            "'[在庫状況把握_43期_2025-2026.xlsx]月次報告"
            &amp;TEXT(AQ$1,"YYMM")
            &amp;"'!",
          _xlpm._戻り範囲,
            IF(
              _xlpm._対象月初=_xlpm._今月初,
              "$AG$1:$AG$300",
              "$G$1:$G$300"
            ),
          _xlfn.XLOOKUP(
            $C89,
            INDIRECT(_xlpm._参照先&amp;"$C$1:$C$300"),
            INDIRECT(_xlpm._参照先&amp;_xlpm._戻り範囲)
          )
        )
      )
    ),
    ""
  )
)</f>
        <v/>
      </c>
      <c r="AR89" s="223" t="str" cm="1">
        <f t="array" aca="1" ref="AR89" ca="1">IF($C89="","",
  IFERROR(
    _xlfn.LET(
      _xlpm._対象月初,EOMONTH(AR$1,-1)+1,
      _xlpm._今月初,EOMONTH(基準データ!$C$5,-1)+1,
      IF(
        _xlpm._対象月初&gt;_xlpm._今月初,
        IF(
          OR(AQ89="",AQ89=0),
          "",
          AQ89*AR$107
        ),
        _xlfn.LET(
          _xlpm._参照先,
            "'[在庫状況把握_43期_2025-2026.xlsx]月次報告"
            &amp;TEXT(AR$1,"YYMM")
            &amp;"'!",
          _xlpm._戻り範囲,
            IF(
              _xlpm._対象月初=_xlpm._今月初,
              "$AG$1:$AG$300",
              "$G$1:$G$300"
            ),
          _xlfn.XLOOKUP(
            $C89,
            INDIRECT(_xlpm._参照先&amp;"$C$1:$C$300"),
            INDIRECT(_xlpm._参照先&amp;_xlpm._戻り範囲)
          )
        )
      )
    ),
    ""
  )
)</f>
        <v/>
      </c>
      <c r="AS89" s="223" t="str" cm="1">
        <f t="array" aca="1" ref="AS89" ca="1">IF($C89="","",
  IFERROR(
    _xlfn.LET(
      _xlpm._対象月初,EOMONTH(AS$1,-1)+1,
      _xlpm._今月初,EOMONTH(基準データ!$C$5,-1)+1,
      IF(
        _xlpm._対象月初&gt;_xlpm._今月初,
        IF(
          OR(AR89="",AR89=0),
          "",
          AR89*AS$107
        ),
        _xlfn.LET(
          _xlpm._参照先,
            "'[在庫状況把握_43期_2025-2026.xlsx]月次報告"
            &amp;TEXT(AS$1,"YYMM")
            &amp;"'!",
          _xlpm._戻り範囲,
            IF(
              _xlpm._対象月初=_xlpm._今月初,
              "$AG$1:$AG$300",
              "$G$1:$G$300"
            ),
          _xlfn.XLOOKUP(
            $C89,
            INDIRECT(_xlpm._参照先&amp;"$C$1:$C$300"),
            INDIRECT(_xlpm._参照先&amp;_xlpm._戻り範囲)
          )
        )
      )
    ),
    ""
  )
)</f>
        <v/>
      </c>
      <c r="AT89" s="223" t="str" cm="1">
        <f t="array" aca="1" ref="AT89" ca="1">IF($C89="","",
  IFERROR(
    _xlfn.LET(
      _xlpm._対象月初,EOMONTH(AT$1,-1)+1,
      _xlpm._今月初,EOMONTH(基準データ!$C$5,-1)+1,
      IF(
        _xlpm._対象月初&gt;_xlpm._今月初,
        IF(
          OR(AS89="",AS89=0),
          "",
          AS89*AT$107
        ),
        _xlfn.LET(
          _xlpm._参照先,
            "'[在庫状況把握_43期_2025-2026.xlsx]月次報告"
            &amp;TEXT(AT$1,"YYMM")
            &amp;"'!",
          _xlpm._戻り範囲,
            IF(
              _xlpm._対象月初=_xlpm._今月初,
              "$AG$1:$AG$300",
              "$G$1:$G$300"
            ),
          _xlfn.XLOOKUP(
            $C89,
            INDIRECT(_xlpm._参照先&amp;"$C$1:$C$300"),
            INDIRECT(_xlpm._参照先&amp;_xlpm._戻り範囲)
          )
        )
      )
    ),
    ""
  )
)</f>
        <v/>
      </c>
      <c r="AU89" s="223" t="str" cm="1">
        <f t="array" aca="1" ref="AU89" ca="1">IF($C89="","",
  IFERROR(
    _xlfn.LET(
      _xlpm._対象月初,EOMONTH(AU$1,-1)+1,
      _xlpm._今月初,EOMONTH(基準データ!$C$5,-1)+1,
      IF(
        _xlpm._対象月初&gt;_xlpm._今月初,
        IF(
          OR(AT89="",AT89=0),
          "",
          AT89*AU$107
        ),
        _xlfn.LET(
          _xlpm._参照先,
            "'[在庫状況把握_43期_2025-2026.xlsx]月次報告"
            &amp;TEXT(AU$1,"YYMM")
            &amp;"'!",
          _xlpm._戻り範囲,
            IF(
              _xlpm._対象月初=_xlpm._今月初,
              "$AG$1:$AG$300",
              "$G$1:$G$300"
            ),
          _xlfn.XLOOKUP(
            $C89,
            INDIRECT(_xlpm._参照先&amp;"$C$1:$C$300"),
            INDIRECT(_xlpm._参照先&amp;_xlpm._戻り範囲)
          )
        )
      )
    ),
    ""
  )
)</f>
        <v/>
      </c>
      <c r="AV89" s="223" t="str" cm="1">
        <f t="array" aca="1" ref="AV89" ca="1">IF($C89="","",
  IFERROR(
    _xlfn.LET(
      _xlpm._対象月初,EOMONTH(AV$1,-1)+1,
      _xlpm._今月初,EOMONTH(基準データ!$C$5,-1)+1,
      IF(
        _xlpm._対象月初&gt;_xlpm._今月初,
        IF(
          OR(AU89="",AU89=0),
          "",
          AU89*AV$107
        ),
        _xlfn.LET(
          _xlpm._参照先,
            "'[在庫状況把握_43期_2025-2026.xlsx]月次報告"
            &amp;TEXT(AV$1,"YYMM")
            &amp;"'!",
          _xlpm._戻り範囲,
            IF(
              _xlpm._対象月初=_xlpm._今月初,
              "$AG$1:$AG$300",
              "$G$1:$G$300"
            ),
          _xlfn.XLOOKUP(
            $C89,
            INDIRECT(_xlpm._参照先&amp;"$C$1:$C$300"),
            INDIRECT(_xlpm._参照先&amp;_xlpm._戻り範囲)
          )
        )
      )
    ),
    ""
  )
)</f>
        <v/>
      </c>
      <c r="AW89" s="223" t="str" cm="1">
        <f t="array" aca="1" ref="AW89" ca="1">IF($C89="","",
  IFERROR(
    _xlfn.LET(
      _xlpm._対象月初,EOMONTH(AW$1,-1)+1,
      _xlpm._今月初,EOMONTH(基準データ!$C$5,-1)+1,
      IF(
        _xlpm._対象月初&gt;_xlpm._今月初,
        IF(
          OR(AV89="",AV89=0),
          "",
          AV89*AW$107
        ),
        _xlfn.LET(
          _xlpm._参照先,
            "'[在庫状況把握_43期_2025-2026.xlsx]月次報告"
            &amp;TEXT(AW$1,"YYMM")
            &amp;"'!",
          _xlpm._戻り範囲,
            IF(
              _xlpm._対象月初=_xlpm._今月初,
              "$AG$1:$AG$300",
              "$G$1:$G$300"
            ),
          _xlfn.XLOOKUP(
            $C89,
            INDIRECT(_xlpm._参照先&amp;"$C$1:$C$300"),
            INDIRECT(_xlpm._参照先&amp;_xlpm._戻り範囲)
          )
        )
      )
    ),
    ""
  )
)</f>
        <v/>
      </c>
      <c r="AX89" s="223" t="str" cm="1">
        <f t="array" aca="1" ref="AX89" ca="1">IF($C89="","",
  IFERROR(
    _xlfn.LET(
      _xlpm._対象月初,EOMONTH(AX$1,-1)+1,
      _xlpm._今月初,EOMONTH(基準データ!$C$5,-1)+1,
      IF(
        _xlpm._対象月初&gt;_xlpm._今月初,
        IF(
          OR(AW89="",AW89=0),
          "",
          AW89*AX$107
        ),
        _xlfn.LET(
          _xlpm._参照先,
            "'[在庫状況把握_43期_2025-2026.xlsx]月次報告"
            &amp;TEXT(AX$1,"YYMM")
            &amp;"'!",
          _xlpm._戻り範囲,
            IF(
              _xlpm._対象月初=_xlpm._今月初,
              "$AG$1:$AG$300",
              "$G$1:$G$300"
            ),
          _xlfn.XLOOKUP(
            $C89,
            INDIRECT(_xlpm._参照先&amp;"$C$1:$C$300"),
            INDIRECT(_xlpm._参照先&amp;_xlpm._戻り範囲)
          )
        )
      )
    ),
    ""
  )
)</f>
        <v/>
      </c>
      <c r="AY89" s="223" t="str" cm="1">
        <f t="array" aca="1" ref="AY89" ca="1">IF($C89="","",
  IFERROR(
    _xlfn.LET(
      _xlpm._対象月初,EOMONTH(AY$1,-1)+1,
      _xlpm._今月初,EOMONTH(基準データ!$C$5,-1)+1,
      IF(
        _xlpm._対象月初&gt;_xlpm._今月初,
        IF(
          OR(AX89="",AX89=0),
          "",
          AX89*AY$107
        ),
        _xlfn.LET(
          _xlpm._参照先,
            "'[在庫状況把握_43期_2025-2026.xlsx]月次報告"
            &amp;TEXT(AY$1,"YYMM")
            &amp;"'!",
          _xlpm._戻り範囲,
            IF(
              _xlpm._対象月初=_xlpm._今月初,
              "$AG$1:$AG$300",
              "$G$1:$G$300"
            ),
          _xlfn.XLOOKUP(
            $C89,
            INDIRECT(_xlpm._参照先&amp;"$C$1:$C$300"),
            INDIRECT(_xlpm._参照先&amp;_xlpm._戻り範囲)
          )
        )
      )
    ),
    ""
  )
)</f>
        <v/>
      </c>
      <c r="AZ89" s="223" t="str" cm="1">
        <f t="array" aca="1" ref="AZ89" ca="1">IF($C89="","",
  IFERROR(
    _xlfn.LET(
      _xlpm._対象月初,EOMONTH(AZ$1,-1)+1,
      _xlpm._今月初,EOMONTH(基準データ!$C$5,-1)+1,
      IF(
        _xlpm._対象月初&gt;_xlpm._今月初,
        IF(
          OR(AY89="",AY89=0),
          "",
          AY89*AZ$107
        ),
        _xlfn.LET(
          _xlpm._参照先,
            "'[在庫状況把握_43期_2025-2026.xlsx]月次報告"
            &amp;TEXT(AZ$1,"YYMM")
            &amp;"'!",
          _xlpm._戻り範囲,
            IF(
              _xlpm._対象月初=_xlpm._今月初,
              "$AG$1:$AG$300",
              "$G$1:$G$300"
            ),
          _xlfn.XLOOKUP(
            $C89,
            INDIRECT(_xlpm._参照先&amp;"$C$1:$C$300"),
            INDIRECT(_xlpm._参照先&amp;_xlpm._戻り範囲)
          )
        )
      )
    ),
    ""
  )
)</f>
        <v/>
      </c>
      <c r="BA89" s="223" t="str" cm="1">
        <f t="array" aca="1" ref="BA89" ca="1">IF($C89="","",
  IFERROR(
    _xlfn.LET(
      _xlpm._対象月初,EOMONTH(BA$1,-1)+1,
      _xlpm._今月初,EOMONTH(基準データ!$C$5,-1)+1,
      IF(
        _xlpm._対象月初&gt;_xlpm._今月初,
        IF(
          OR(AZ89="",AZ89=0),
          "",
          AZ89*BA$107
        ),
        _xlfn.LET(
          _xlpm._参照先,
            "'[在庫状況把握_43期_2025-2026.xlsx]月次報告"
            &amp;TEXT(BA$1,"YYMM")
            &amp;"'!",
          _xlpm._戻り範囲,
            IF(
              _xlpm._対象月初=_xlpm._今月初,
              "$AG$1:$AG$300",
              "$G$1:$G$300"
            ),
          _xlfn.XLOOKUP(
            $C89,
            INDIRECT(_xlpm._参照先&amp;"$C$1:$C$300"),
            INDIRECT(_xlpm._参照先&amp;_xlpm._戻り範囲)
          )
        )
      )
    ),
    ""
  )
)</f>
        <v/>
      </c>
      <c r="BB89" s="223" t="str" cm="1">
        <f t="array" aca="1" ref="BB89" ca="1">IF($C89="","",
  IFERROR(
    _xlfn.LET(
      _xlpm._対象月初,EOMONTH(BB$1,-1)+1,
      _xlpm._今月初,EOMONTH(基準データ!$C$5,-1)+1,
      IF(
        _xlpm._対象月初&gt;_xlpm._今月初,
        IF(
          OR(BA89="",BA89=0),
          "",
          BA89*BB$107
        ),
        _xlfn.LET(
          _xlpm._参照先,
            "'[在庫状況把握_43期_2025-2026.xlsx]月次報告"
            &amp;TEXT(BB$1,"YYMM")
            &amp;"'!",
          _xlpm._戻り範囲,
            IF(
              _xlpm._対象月初=_xlpm._今月初,
              "$AG$1:$AG$300",
              "$G$1:$G$300"
            ),
          _xlfn.XLOOKUP(
            $C89,
            INDIRECT(_xlpm._参照先&amp;"$C$1:$C$300"),
            INDIRECT(_xlpm._参照先&amp;_xlpm._戻り範囲)
          )
        )
      )
    ),
    ""
  )
)</f>
        <v/>
      </c>
      <c r="BC89" s="223" t="str" cm="1">
        <f t="array" aca="1" ref="BC89" ca="1">IF($C89="","",
  IFERROR(
    _xlfn.LET(
      _xlpm._対象月初,EOMONTH(BC$1,-1)+1,
      _xlpm._今月初,EOMONTH(基準データ!$C$5,-1)+1,
      IF(
        _xlpm._対象月初&gt;_xlpm._今月初,
        IF(
          OR(BB89="",BB89=0),
          "",
          BB89*BC$107
        ),
        _xlfn.LET(
          _xlpm._参照先,
            "'[在庫状況把握_43期_2025-2026.xlsx]月次報告"
            &amp;TEXT(BC$1,"YYMM")
            &amp;"'!",
          _xlpm._戻り範囲,
            IF(
              _xlpm._対象月初=_xlpm._今月初,
              "$AG$1:$AG$300",
              "$G$1:$G$300"
            ),
          _xlfn.XLOOKUP(
            $C89,
            INDIRECT(_xlpm._参照先&amp;"$C$1:$C$300"),
            INDIRECT(_xlpm._参照先&amp;_xlpm._戻り範囲)
          )
        )
      )
    ),
    ""
  )
)</f>
        <v/>
      </c>
      <c r="BD89" s="223" t="str" cm="1">
        <f t="array" aca="1" ref="BD89" ca="1">IF($C89="","",
  IFERROR(
    _xlfn.LET(
      _xlpm._対象月初,EOMONTH(BD$1,-1)+1,
      _xlpm._今月初,EOMONTH(基準データ!$C$5,-1)+1,
      IF(
        _xlpm._対象月初&gt;_xlpm._今月初,
        IF(
          OR(BC89="",BC89=0),
          "",
          BC89*BD$107
        ),
        _xlfn.LET(
          _xlpm._参照先,
            "'[在庫状況把握_43期_2025-2026.xlsx]月次報告"
            &amp;TEXT(BD$1,"YYMM")
            &amp;"'!",
          _xlpm._戻り範囲,
            IF(
              _xlpm._対象月初=_xlpm._今月初,
              "$AG$1:$AG$300",
              "$G$1:$G$300"
            ),
          _xlfn.XLOOKUP(
            $C89,
            INDIRECT(_xlpm._参照先&amp;"$C$1:$C$300"),
            INDIRECT(_xlpm._参照先&amp;_xlpm._戻り範囲)
          )
        )
      )
    ),
    ""
  )
)</f>
        <v/>
      </c>
    </row>
    <row r="90" spans="1:56" ht="18.75" customHeight="1">
      <c r="A90" s="1061" t="s">
        <v>1473</v>
      </c>
      <c r="B90" s="26" t="str">
        <v>CLE-NL45-1355U-UMA-L6-TPM DDR5 Thirdwave</v>
      </c>
      <c r="C90" s="56" t="s">
        <v>685</v>
      </c>
      <c r="D90" s="72" t="s">
        <v>1460</v>
      </c>
      <c r="E90" s="68"/>
      <c r="F90" s="68" t="s">
        <v>1347</v>
      </c>
      <c r="G90" s="355">
        <v>152</v>
      </c>
      <c r="H90" s="109" cm="1">
        <f t="array" aca="1" ref="H90" ca="1">_xlfn.LET(_xlpm._来月から4ヶ月計画合計,
  SUM(
    OFFSET($A90,0,
      MATCH(
        EDATE(基準データ!$C$5,3),$A$1:$BF$1,1
      )-3,1,4)),
_xlpm._今月計画数,
INDEX($A$1:$BE$223,
  ROW(),
  MATCH(EOMONTH(基準データ!$C$5,-1)+1,$A$1:$BE$1,0)
),
  IFERROR(IF($B90="","",_xlpm._来月から4ヶ月計画合計+_xlpm._今月計画数/2),""
)
)</f>
        <v>284.61702515326982</v>
      </c>
      <c r="I90" s="311"/>
      <c r="J90" s="311"/>
      <c r="K90" s="311"/>
      <c r="L90" s="311"/>
      <c r="M90" s="38"/>
      <c r="N90" s="38"/>
      <c r="O90" s="38"/>
      <c r="P90" s="38"/>
      <c r="Q90" s="219"/>
      <c r="R90" s="219"/>
      <c r="S90" s="219"/>
      <c r="T90" s="219"/>
      <c r="U90" s="224"/>
      <c r="V90" s="237"/>
      <c r="W90" s="333"/>
      <c r="X90" s="333"/>
      <c r="Y90" s="333"/>
      <c r="Z90" s="219"/>
      <c r="AA90" s="219"/>
      <c r="AB90" s="529"/>
      <c r="AC90" s="648"/>
      <c r="AD90" s="648" t="s">
        <v>21</v>
      </c>
      <c r="AE90" s="223" t="s">
        <v>21</v>
      </c>
      <c r="AF90" s="223">
        <v>0</v>
      </c>
      <c r="AG90" s="223">
        <v>0</v>
      </c>
      <c r="AH90" s="223">
        <v>0</v>
      </c>
      <c r="AI90" s="223">
        <v>7</v>
      </c>
      <c r="AJ90" s="223">
        <v>34</v>
      </c>
      <c r="AK90" s="223">
        <v>12</v>
      </c>
      <c r="AL90" s="223" cm="1">
        <f t="array" aca="1" ref="AL90" ca="1">IF($C90="","",
  IFERROR(
    _xlfn.LET(
      _xlpm._対象月初,EOMONTH(AL$1,-1)+1,
      _xlpm._今月初,EOMONTH(基準データ!$C$5,-1)+1,
      IF(
        _xlpm._対象月初&gt;_xlpm._今月初,
        IF(
          OR(AK90="",AK90=0),
          "",
          AK90*AL$107
        ),
        _xlfn.LET(
          _xlpm._参照先,
            "'[在庫状況把握_43期_2025-2026.xlsx]月次報告"
            &amp;TEXT(AL$1,"YYMM")
            &amp;"'!",
          _xlpm._戻り範囲,
            IF(
              _xlpm._対象月初=_xlpm._今月初,
              "$AG$1:$AG$300",
              "$G$1:$G$300"
            ),
          _xlfn.XLOOKUP(
            $C90,
            INDIRECT(_xlpm._参照先&amp;"$C$1:$C$300"),
            INDIRECT(_xlpm._参照先&amp;_xlpm._戻り範囲)
          )
        )
      )
    ),
    ""
  )
)</f>
        <v>66</v>
      </c>
      <c r="AM90" s="223" cm="1">
        <f t="array" aca="1" ref="AM90" ca="1">IF($C90="","",
  IFERROR(
    _xlfn.LET(
      _xlpm._対象月初,EOMONTH(AM$1,-1)+1,
      _xlpm._今月初,EOMONTH(基準データ!$C$5,-1)+1,
      IF(
        _xlpm._対象月初&gt;_xlpm._今月初,
        IF(
          OR(AL90="",AL90=0),
          "",
          AL90*AM$107
        ),
        _xlfn.LET(
          _xlpm._参照先,
            "'[在庫状況把握_43期_2025-2026.xlsx]月次報告"
            &amp;TEXT(AM$1,"YYMM")
            &amp;"'!",
          _xlpm._戻り範囲,
            IF(
              _xlpm._対象月初=_xlpm._今月初,
              "$AG$1:$AG$300",
              "$G$1:$G$300"
            ),
          _xlfn.XLOOKUP(
            $C90,
            INDIRECT(_xlpm._参照先&amp;"$C$1:$C$300"),
            INDIRECT(_xlpm._参照先&amp;_xlpm._戻り範囲)
          )
        )
      )
    ),
    ""
  )
)</f>
        <v>62</v>
      </c>
      <c r="AN90" s="223" cm="1">
        <f t="array" aca="1" ref="AN90" ca="1">IF($C90="","",
  IFERROR(
    _xlfn.LET(
      _xlpm._対象月初,EOMONTH(AN$1,-1)+1,
      _xlpm._今月初,EOMONTH(基準データ!$C$5,-1)+1,
      IF(
        _xlpm._対象月初&gt;_xlpm._今月初,
        IF(
          OR(AM90="",AM90=0),
          "",
          AM90*AN$107
        ),
        _xlfn.LET(
          _xlpm._参照先,
            "'[在庫状況把握_43期_2025-2026.xlsx]月次報告"
            &amp;TEXT(AN$1,"YYMM")
            &amp;"'!",
          _xlpm._戻り範囲,
            IF(
              _xlpm._対象月初=_xlpm._今月初,
              "$AG$1:$AG$300",
              "$G$1:$G$300"
            ),
          _xlfn.XLOOKUP(
            $C90,
            INDIRECT(_xlpm._参照先&amp;"$C$1:$C$300"),
            INDIRECT(_xlpm._参照先&amp;_xlpm._戻り範囲)
          )
        )
      )
    ),
    ""
  )
)</f>
        <v>57.025064699050006</v>
      </c>
      <c r="AO90" s="223" cm="1">
        <f t="array" aca="1" ref="AO90" ca="1">IF($C90="","",
  IFERROR(
    _xlfn.LET(
      _xlpm._対象月初,EOMONTH(AO$1,-1)+1,
      _xlpm._今月初,EOMONTH(基準データ!$C$5,-1)+1,
      IF(
        _xlpm._対象月初&gt;_xlpm._今月初,
        IF(
          OR(AN90="",AN90=0),
          "",
          AN90*AO$107
        ),
        _xlfn.LET(
          _xlpm._参照先,
            "'[在庫状況把握_43期_2025-2026.xlsx]月次報告"
            &amp;TEXT(AO$1,"YYMM")
            &amp;"'!",
          _xlpm._戻り範囲,
            IF(
              _xlpm._対象月初=_xlpm._今月初,
              "$AG$1:$AG$300",
              "$G$1:$G$300"
            ),
          _xlfn.XLOOKUP(
            $C90,
            INDIRECT(_xlpm._参照先&amp;"$C$1:$C$300"),
            INDIRECT(_xlpm._参照先&amp;_xlpm._戻り範囲)
          )
        )
      )
    ),
    ""
  )
)</f>
        <v>61.600116001670294</v>
      </c>
      <c r="AP90" s="223" cm="1">
        <f t="array" aca="1" ref="AP90" ca="1">IF($C90="","",
  IFERROR(
    _xlfn.LET(
      _xlpm._対象月初,EOMONTH(AP$1,-1)+1,
      _xlpm._今月初,EOMONTH(基準データ!$C$5,-1)+1,
      IF(
        _xlpm._対象月初&gt;_xlpm._今月初,
        IF(
          OR(AO90="",AO90=0),
          "",
          AO90*AP$107
        ),
        _xlfn.LET(
          _xlpm._参照先,
            "'[在庫状況把握_43期_2025-2026.xlsx]月次報告"
            &amp;TEXT(AP$1,"YYMM")
            &amp;"'!",
          _xlpm._戻り範囲,
            IF(
              _xlpm._対象月初=_xlpm._今月初,
              "$AG$1:$AG$300",
              "$G$1:$G$300"
            ),
          _xlfn.XLOOKUP(
            $C90,
            INDIRECT(_xlpm._参照先&amp;"$C$1:$C$300"),
            INDIRECT(_xlpm._参照先&amp;_xlpm._戻り範囲)
          )
        )
      )
    ),
    ""
  )
)</f>
        <v>66.336695004498665</v>
      </c>
      <c r="AQ90" s="223" cm="1">
        <f t="array" aca="1" ref="AQ90" ca="1">IF($C90="","",
  IFERROR(
    _xlfn.LET(
      _xlpm._対象月初,EOMONTH(AQ$1,-1)+1,
      _xlpm._今月初,EOMONTH(基準データ!$C$5,-1)+1,
      IF(
        _xlpm._対象月初&gt;_xlpm._今月初,
        IF(
          OR(AP90="",AP90=0),
          "",
          AP90*AQ$107
        ),
        _xlfn.LET(
          _xlpm._参照先,
            "'[在庫状況把握_43期_2025-2026.xlsx]月次報告"
            &amp;TEXT(AQ$1,"YYMM")
            &amp;"'!",
          _xlpm._戻り範囲,
            IF(
              _xlpm._対象月初=_xlpm._今月初,
              "$AG$1:$AG$300",
              "$G$1:$G$300"
            ),
          _xlfn.XLOOKUP(
            $C90,
            INDIRECT(_xlpm._参照先&amp;"$C$1:$C$300"),
            INDIRECT(_xlpm._参照先&amp;_xlpm._戻り範囲)
          )
        )
      )
    ),
    ""
  )
)</f>
        <v>68.65514944805085</v>
      </c>
      <c r="AR90" s="223" cm="1">
        <f t="array" aca="1" ref="AR90" ca="1">IF($C90="","",
  IFERROR(
    _xlfn.LET(
      _xlpm._対象月初,EOMONTH(AR$1,-1)+1,
      _xlpm._今月初,EOMONTH(基準データ!$C$5,-1)+1,
      IF(
        _xlpm._対象月初&gt;_xlpm._今月初,
        IF(
          OR(AQ90="",AQ90=0),
          "",
          AQ90*AR$107
        ),
        _xlfn.LET(
          _xlpm._参照先,
            "'[在庫状況把握_43期_2025-2026.xlsx]月次報告"
            &amp;TEXT(AR$1,"YYMM")
            &amp;"'!",
          _xlpm._戻り範囲,
            IF(
              _xlpm._対象月初=_xlpm._今月初,
              "$AG$1:$AG$300",
              "$G$1:$G$300"
            ),
          _xlfn.XLOOKUP(
            $C90,
            INDIRECT(_xlpm._参照先&amp;"$C$1:$C$300"),
            INDIRECT(_xlpm._参照先&amp;_xlpm._戻り範囲)
          )
        )
      )
    ),
    ""
  )
)</f>
        <v>101.19275900985558</v>
      </c>
      <c r="AS90" s="223" cm="1">
        <f t="array" aca="1" ref="AS90" ca="1">IF($C90="","",
  IFERROR(
    _xlfn.LET(
      _xlpm._対象月初,EOMONTH(AS$1,-1)+1,
      _xlpm._今月初,EOMONTH(基準データ!$C$5,-1)+1,
      IF(
        _xlpm._対象月初&gt;_xlpm._今月初,
        IF(
          OR(AR90="",AR90=0),
          "",
          AR90*AS$107
        ),
        _xlfn.LET(
          _xlpm._参照先,
            "'[在庫状況把握_43期_2025-2026.xlsx]月次報告"
            &amp;TEXT(AS$1,"YYMM")
            &amp;"'!",
          _xlpm._戻り範囲,
            IF(
              _xlpm._対象月初=_xlpm._今月初,
              "$AG$1:$AG$300",
              "$G$1:$G$300"
            ),
          _xlfn.XLOOKUP(
            $C90,
            INDIRECT(_xlpm._参照先&amp;"$C$1:$C$300"),
            INDIRECT(_xlpm._参照先&amp;_xlpm._戻り範囲)
          )
        )
      )
    ),
    ""
  )
)</f>
        <v>87.326164260790478</v>
      </c>
      <c r="AT90" s="223" cm="1">
        <f t="array" aca="1" ref="AT90" ca="1">IF($C90="","",
  IFERROR(
    _xlfn.LET(
      _xlpm._対象月初,EOMONTH(AT$1,-1)+1,
      _xlpm._今月初,EOMONTH(基準データ!$C$5,-1)+1,
      IF(
        _xlpm._対象月初&gt;_xlpm._今月初,
        IF(
          OR(AS90="",AS90=0),
          "",
          AS90*AT$107
        ),
        _xlfn.LET(
          _xlpm._参照先,
            "'[在庫状況把握_43期_2025-2026.xlsx]月次報告"
            &amp;TEXT(AT$1,"YYMM")
            &amp;"'!",
          _xlpm._戻り範囲,
            IF(
              _xlpm._対象月初=_xlpm._今月初,
              "$AG$1:$AG$300",
              "$G$1:$G$300"
            ),
          _xlfn.XLOOKUP(
            $C90,
            INDIRECT(_xlpm._参照先&amp;"$C$1:$C$300"),
            INDIRECT(_xlpm._参照先&amp;_xlpm._戻り範囲)
          )
        )
      )
    ),
    ""
  )
)</f>
        <v>82.332205203747407</v>
      </c>
      <c r="AU90" s="223" cm="1">
        <f t="array" aca="1" ref="AU90" ca="1">IF($C90="","",
  IFERROR(
    _xlfn.LET(
      _xlpm._対象月初,EOMONTH(AU$1,-1)+1,
      _xlpm._今月初,EOMONTH(基準データ!$C$5,-1)+1,
      IF(
        _xlpm._対象月初&gt;_xlpm._今月初,
        IF(
          OR(AT90="",AT90=0),
          "",
          AT90*AU$107
        ),
        _xlfn.LET(
          _xlpm._参照先,
            "'[在庫状況把握_43期_2025-2026.xlsx]月次報告"
            &amp;TEXT(AU$1,"YYMM")
            &amp;"'!",
          _xlpm._戻り範囲,
            IF(
              _xlpm._対象月初=_xlpm._今月初,
              "$AG$1:$AG$300",
              "$G$1:$G$300"
            ),
          _xlfn.XLOOKUP(
            $C90,
            INDIRECT(_xlpm._参照先&amp;"$C$1:$C$300"),
            INDIRECT(_xlpm._参照先&amp;_xlpm._戻り範囲)
          )
        )
      )
    ),
    ""
  )
)</f>
        <v>121.67253445157149</v>
      </c>
      <c r="AV90" s="223" cm="1">
        <f t="array" aca="1" ref="AV90" ca="1">IF($C90="","",
  IFERROR(
    _xlfn.LET(
      _xlpm._対象月初,EOMONTH(AV$1,-1)+1,
      _xlpm._今月初,EOMONTH(基準データ!$C$5,-1)+1,
      IF(
        _xlpm._対象月初&gt;_xlpm._今月初,
        IF(
          OR(AU90="",AU90=0),
          "",
          AU90*AV$107
        ),
        _xlfn.LET(
          _xlpm._参照先,
            "'[在庫状況把握_43期_2025-2026.xlsx]月次報告"
            &amp;TEXT(AV$1,"YYMM")
            &amp;"'!",
          _xlpm._戻り範囲,
            IF(
              _xlpm._対象月初=_xlpm._今月初,
              "$AG$1:$AG$300",
              "$G$1:$G$300"
            ),
          _xlfn.XLOOKUP(
            $C90,
            INDIRECT(_xlpm._参照先&amp;"$C$1:$C$300"),
            INDIRECT(_xlpm._参照先&amp;_xlpm._戻り範囲)
          )
        )
      )
    ),
    ""
  )
)</f>
        <v>74.710840497655667</v>
      </c>
      <c r="AW90" s="223" cm="1">
        <f t="array" aca="1" ref="AW90" ca="1">IF($C90="","",
  IFERROR(
    _xlfn.LET(
      _xlpm._対象月初,EOMONTH(AW$1,-1)+1,
      _xlpm._今月初,EOMONTH(基準データ!$C$5,-1)+1,
      IF(
        _xlpm._対象月初&gt;_xlpm._今月初,
        IF(
          OR(AV90="",AV90=0),
          "",
          AV90*AW$107
        ),
        _xlfn.LET(
          _xlpm._参照先,
            "'[在庫状況把握_43期_2025-2026.xlsx]月次報告"
            &amp;TEXT(AW$1,"YYMM")
            &amp;"'!",
          _xlpm._戻り範囲,
            IF(
              _xlpm._対象月初=_xlpm._今月初,
              "$AG$1:$AG$300",
              "$G$1:$G$300"
            ),
          _xlfn.XLOOKUP(
            $C90,
            INDIRECT(_xlpm._参照先&amp;"$C$1:$C$300"),
            INDIRECT(_xlpm._参照先&amp;_xlpm._戻り範囲)
          )
        )
      )
    ),
    ""
  )
)</f>
        <v>54.182565528540415</v>
      </c>
      <c r="AX90" s="223" cm="1">
        <f t="array" aca="1" ref="AX90" ca="1">IF($C90="","",
  IFERROR(
    _xlfn.LET(
      _xlpm._対象月初,EOMONTH(AX$1,-1)+1,
      _xlpm._今月初,EOMONTH(基準データ!$C$5,-1)+1,
      IF(
        _xlpm._対象月初&gt;_xlpm._今月初,
        IF(
          OR(AW90="",AW90=0),
          "",
          AW90*AX$107
        ),
        _xlfn.LET(
          _xlpm._参照先,
            "'[在庫状況把握_43期_2025-2026.xlsx]月次報告"
            &amp;TEXT(AX$1,"YYMM")
            &amp;"'!",
          _xlpm._戻り範囲,
            IF(
              _xlpm._対象月初=_xlpm._今月初,
              "$AG$1:$AG$300",
              "$G$1:$G$300"
            ),
          _xlfn.XLOOKUP(
            $C90,
            INDIRECT(_xlpm._参照先&amp;"$C$1:$C$300"),
            INDIRECT(_xlpm._参照先&amp;_xlpm._戻り範囲)
          )
        )
      )
    ),
    ""
  )
)</f>
        <v>56.496691195509172</v>
      </c>
      <c r="AY90" s="223" cm="1">
        <f t="array" aca="1" ref="AY90" ca="1">IF($C90="","",
  IFERROR(
    _xlfn.LET(
      _xlpm._対象月初,EOMONTH(AY$1,-1)+1,
      _xlpm._今月初,EOMONTH(基準データ!$C$5,-1)+1,
      IF(
        _xlpm._対象月初&gt;_xlpm._今月初,
        IF(
          OR(AX90="",AX90=0),
          "",
          AX90*AY$107
        ),
        _xlfn.LET(
          _xlpm._参照先,
            "'[在庫状況把握_43期_2025-2026.xlsx]月次報告"
            &amp;TEXT(AY$1,"YYMM")
            &amp;"'!",
          _xlpm._戻り範囲,
            IF(
              _xlpm._対象月初=_xlpm._今月初,
              "$AG$1:$AG$300",
              "$G$1:$G$300"
            ),
          _xlfn.XLOOKUP(
            $C90,
            INDIRECT(_xlpm._参照先&amp;"$C$1:$C$300"),
            INDIRECT(_xlpm._参照先&amp;_xlpm._戻り範囲)
          )
        )
      )
    ),
    ""
  )
)</f>
        <v>61.999999999999993</v>
      </c>
      <c r="AZ90" s="223" cm="1">
        <f t="array" aca="1" ref="AZ90" ca="1">IF($C90="","",
  IFERROR(
    _xlfn.LET(
      _xlpm._対象月初,EOMONTH(AZ$1,-1)+1,
      _xlpm._今月初,EOMONTH(基準データ!$C$5,-1)+1,
      IF(
        _xlpm._対象月初&gt;_xlpm._今月初,
        IF(
          OR(AY90="",AY90=0),
          "",
          AY90*AZ$107
        ),
        _xlfn.LET(
          _xlpm._参照先,
            "'[在庫状況把握_43期_2025-2026.xlsx]月次報告"
            &amp;TEXT(AZ$1,"YYMM")
            &amp;"'!",
          _xlpm._戻り範囲,
            IF(
              _xlpm._対象月初=_xlpm._今月初,
              "$AG$1:$AG$300",
              "$G$1:$G$300"
            ),
          _xlfn.XLOOKUP(
            $C90,
            INDIRECT(_xlpm._参照先&amp;"$C$1:$C$300"),
            INDIRECT(_xlpm._参照先&amp;_xlpm._戻り範囲)
          )
        )
      )
    ),
    ""
  )
)</f>
        <v>57.025064699049999</v>
      </c>
      <c r="BA90" s="223" cm="1">
        <f t="array" aca="1" ref="BA90" ca="1">IF($C90="","",
  IFERROR(
    _xlfn.LET(
      _xlpm._対象月初,EOMONTH(BA$1,-1)+1,
      _xlpm._今月初,EOMONTH(基準データ!$C$5,-1)+1,
      IF(
        _xlpm._対象月初&gt;_xlpm._今月初,
        IF(
          OR(AZ90="",AZ90=0),
          "",
          AZ90*BA$107
        ),
        _xlfn.LET(
          _xlpm._参照先,
            "'[在庫状況把握_43期_2025-2026.xlsx]月次報告"
            &amp;TEXT(BA$1,"YYMM")
            &amp;"'!",
          _xlpm._戻り範囲,
            IF(
              _xlpm._対象月初=_xlpm._今月初,
              "$AG$1:$AG$300",
              "$G$1:$G$300"
            ),
          _xlfn.XLOOKUP(
            $C90,
            INDIRECT(_xlpm._参照先&amp;"$C$1:$C$300"),
            INDIRECT(_xlpm._参照先&amp;_xlpm._戻り範囲)
          )
        )
      )
    ),
    ""
  )
)</f>
        <v>61.600116001670287</v>
      </c>
      <c r="BB90" s="223" cm="1">
        <f t="array" aca="1" ref="BB90" ca="1">IF($C90="","",
  IFERROR(
    _xlfn.LET(
      _xlpm._対象月初,EOMONTH(BB$1,-1)+1,
      _xlpm._今月初,EOMONTH(基準データ!$C$5,-1)+1,
      IF(
        _xlpm._対象月初&gt;_xlpm._今月初,
        IF(
          OR(BA90="",BA90=0),
          "",
          BA90*BB$107
        ),
        _xlfn.LET(
          _xlpm._参照先,
            "'[在庫状況把握_43期_2025-2026.xlsx]月次報告"
            &amp;TEXT(BB$1,"YYMM")
            &amp;"'!",
          _xlpm._戻り範囲,
            IF(
              _xlpm._対象月初=_xlpm._今月初,
              "$AG$1:$AG$300",
              "$G$1:$G$300"
            ),
          _xlfn.XLOOKUP(
            $C90,
            INDIRECT(_xlpm._参照先&amp;"$C$1:$C$300"),
            INDIRECT(_xlpm._参照先&amp;_xlpm._戻り範囲)
          )
        )
      )
    ),
    ""
  )
)</f>
        <v>66.336695004498651</v>
      </c>
      <c r="BC90" s="223" cm="1">
        <f t="array" aca="1" ref="BC90" ca="1">IF($C90="","",
  IFERROR(
    _xlfn.LET(
      _xlpm._対象月初,EOMONTH(BC$1,-1)+1,
      _xlpm._今月初,EOMONTH(基準データ!$C$5,-1)+1,
      IF(
        _xlpm._対象月初&gt;_xlpm._今月初,
        IF(
          OR(BB90="",BB90=0),
          "",
          BB90*BC$107
        ),
        _xlfn.LET(
          _xlpm._参照先,
            "'[在庫状況把握_43期_2025-2026.xlsx]月次報告"
            &amp;TEXT(BC$1,"YYMM")
            &amp;"'!",
          _xlpm._戻り範囲,
            IF(
              _xlpm._対象月初=_xlpm._今月初,
              "$AG$1:$AG$300",
              "$G$1:$G$300"
            ),
          _xlfn.XLOOKUP(
            $C90,
            INDIRECT(_xlpm._参照先&amp;"$C$1:$C$300"),
            INDIRECT(_xlpm._参照先&amp;_xlpm._戻り範囲)
          )
        )
      )
    ),
    ""
  )
)</f>
        <v>68.655149448050835</v>
      </c>
      <c r="BD90" s="223" cm="1">
        <f t="array" aca="1" ref="BD90" ca="1">IF($C90="","",
  IFERROR(
    _xlfn.LET(
      _xlpm._対象月初,EOMONTH(BD$1,-1)+1,
      _xlpm._今月初,EOMONTH(基準データ!$C$5,-1)+1,
      IF(
        _xlpm._対象月初&gt;_xlpm._今月初,
        IF(
          OR(BC90="",BC90=0),
          "",
          BC90*BD$107
        ),
        _xlfn.LET(
          _xlpm._参照先,
            "'[在庫状況把握_43期_2025-2026.xlsx]月次報告"
            &amp;TEXT(BD$1,"YYMM")
            &amp;"'!",
          _xlpm._戻り範囲,
            IF(
              _xlpm._対象月初=_xlpm._今月初,
              "$AG$1:$AG$300",
              "$G$1:$G$300"
            ),
          _xlfn.XLOOKUP(
            $C90,
            INDIRECT(_xlpm._参照先&amp;"$C$1:$C$300"),
            INDIRECT(_xlpm._参照先&amp;_xlpm._戻り範囲)
          )
        )
      )
    ),
    ""
  )
)</f>
        <v>101.19275900985555</v>
      </c>
    </row>
    <row r="91" spans="1:56" ht="18.75" customHeight="1">
      <c r="A91" s="1061"/>
      <c r="B91" s="26" t="str">
        <v/>
      </c>
      <c r="C91" s="56"/>
      <c r="D91" s="72" t="s">
        <v>1466</v>
      </c>
      <c r="E91" s="68"/>
      <c r="F91" s="68" t="s">
        <v>1347</v>
      </c>
      <c r="G91" s="355" t="str">
        <v/>
      </c>
      <c r="H91" s="109" t="str" cm="1">
        <f t="array" aca="1" ref="H91" ca="1">_xlfn.LET(_xlpm._来月から4ヶ月計画合計,
  SUM(
    OFFSET($A91,0,
      MATCH(
        EDATE(基準データ!$C$5,3),$A$1:$BF$1,1
      )-3,1,4)),
_xlpm._今月計画数,
INDEX($A$1:$BE$223,
  ROW(),
  MATCH(EOMONTH(基準データ!$C$5,-1)+1,$A$1:$BE$1,0)
),
  IFERROR(IF($B91="","",_xlpm._来月から4ヶ月計画合計+_xlpm._今月計画数/2),""
)
)</f>
        <v/>
      </c>
      <c r="I91" s="311"/>
      <c r="J91" s="311"/>
      <c r="K91" s="311"/>
      <c r="L91" s="311"/>
      <c r="M91" s="38"/>
      <c r="N91" s="38"/>
      <c r="O91" s="38"/>
      <c r="P91" s="38"/>
      <c r="Q91" s="219"/>
      <c r="R91" s="219"/>
      <c r="S91" s="219"/>
      <c r="T91" s="219"/>
      <c r="U91" s="224"/>
      <c r="V91" s="237"/>
      <c r="W91" s="333"/>
      <c r="X91" s="333"/>
      <c r="Y91" s="333"/>
      <c r="Z91" s="219"/>
      <c r="AA91" s="219"/>
      <c r="AB91" s="529"/>
      <c r="AC91" s="648"/>
      <c r="AD91" s="648" t="s">
        <v>21</v>
      </c>
      <c r="AE91" s="223" t="s">
        <v>21</v>
      </c>
      <c r="AF91" s="223" t="s">
        <v>21</v>
      </c>
      <c r="AG91" s="223" t="s">
        <v>21</v>
      </c>
      <c r="AH91" s="223" t="s">
        <v>21</v>
      </c>
      <c r="AI91" s="223" t="s">
        <v>21</v>
      </c>
      <c r="AJ91" s="223" t="s">
        <v>21</v>
      </c>
      <c r="AK91" s="223" t="s">
        <v>21</v>
      </c>
      <c r="AL91" s="223" t="str" cm="1">
        <f t="array" aca="1" ref="AL91" ca="1">IF($C91="","",
  IFERROR(
    _xlfn.LET(
      _xlpm._対象月初,EOMONTH(AL$1,-1)+1,
      _xlpm._今月初,EOMONTH(基準データ!$C$5,-1)+1,
      IF(
        _xlpm._対象月初&gt;_xlpm._今月初,
        IF(
          OR(AK91="",AK91=0),
          "",
          AK91*AL$107
        ),
        _xlfn.LET(
          _xlpm._参照先,
            "'[在庫状況把握_43期_2025-2026.xlsx]月次報告"
            &amp;TEXT(AL$1,"YYMM")
            &amp;"'!",
          _xlpm._戻り範囲,
            IF(
              _xlpm._対象月初=_xlpm._今月初,
              "$AG$1:$AG$300",
              "$G$1:$G$300"
            ),
          _xlfn.XLOOKUP(
            $C91,
            INDIRECT(_xlpm._参照先&amp;"$C$1:$C$300"),
            INDIRECT(_xlpm._参照先&amp;_xlpm._戻り範囲)
          )
        )
      )
    ),
    ""
  )
)</f>
        <v/>
      </c>
      <c r="AM91" s="223" t="str" cm="1">
        <f t="array" aca="1" ref="AM91" ca="1">IF($C91="","",
  IFERROR(
    _xlfn.LET(
      _xlpm._対象月初,EOMONTH(AM$1,-1)+1,
      _xlpm._今月初,EOMONTH(基準データ!$C$5,-1)+1,
      IF(
        _xlpm._対象月初&gt;_xlpm._今月初,
        IF(
          OR(AL91="",AL91=0),
          "",
          AL91*AM$107
        ),
        _xlfn.LET(
          _xlpm._参照先,
            "'[在庫状況把握_43期_2025-2026.xlsx]月次報告"
            &amp;TEXT(AM$1,"YYMM")
            &amp;"'!",
          _xlpm._戻り範囲,
            IF(
              _xlpm._対象月初=_xlpm._今月初,
              "$AG$1:$AG$300",
              "$G$1:$G$300"
            ),
          _xlfn.XLOOKUP(
            $C91,
            INDIRECT(_xlpm._参照先&amp;"$C$1:$C$300"),
            INDIRECT(_xlpm._参照先&amp;_xlpm._戻り範囲)
          )
        )
      )
    ),
    ""
  )
)</f>
        <v/>
      </c>
      <c r="AN91" s="223" t="str" cm="1">
        <f t="array" aca="1" ref="AN91" ca="1">IF($C91="","",
  IFERROR(
    _xlfn.LET(
      _xlpm._対象月初,EOMONTH(AN$1,-1)+1,
      _xlpm._今月初,EOMONTH(基準データ!$C$5,-1)+1,
      IF(
        _xlpm._対象月初&gt;_xlpm._今月初,
        IF(
          OR(AM91="",AM91=0),
          "",
          AM91*AN$107
        ),
        _xlfn.LET(
          _xlpm._参照先,
            "'[在庫状況把握_43期_2025-2026.xlsx]月次報告"
            &amp;TEXT(AN$1,"YYMM")
            &amp;"'!",
          _xlpm._戻り範囲,
            IF(
              _xlpm._対象月初=_xlpm._今月初,
              "$AG$1:$AG$300",
              "$G$1:$G$300"
            ),
          _xlfn.XLOOKUP(
            $C91,
            INDIRECT(_xlpm._参照先&amp;"$C$1:$C$300"),
            INDIRECT(_xlpm._参照先&amp;_xlpm._戻り範囲)
          )
        )
      )
    ),
    ""
  )
)</f>
        <v/>
      </c>
      <c r="AO91" s="223" t="str" cm="1">
        <f t="array" aca="1" ref="AO91" ca="1">IF($C91="","",
  IFERROR(
    _xlfn.LET(
      _xlpm._対象月初,EOMONTH(AO$1,-1)+1,
      _xlpm._今月初,EOMONTH(基準データ!$C$5,-1)+1,
      IF(
        _xlpm._対象月初&gt;_xlpm._今月初,
        IF(
          OR(AN91="",AN91=0),
          "",
          AN91*AO$107
        ),
        _xlfn.LET(
          _xlpm._参照先,
            "'[在庫状況把握_43期_2025-2026.xlsx]月次報告"
            &amp;TEXT(AO$1,"YYMM")
            &amp;"'!",
          _xlpm._戻り範囲,
            IF(
              _xlpm._対象月初=_xlpm._今月初,
              "$AG$1:$AG$300",
              "$G$1:$G$300"
            ),
          _xlfn.XLOOKUP(
            $C91,
            INDIRECT(_xlpm._参照先&amp;"$C$1:$C$300"),
            INDIRECT(_xlpm._参照先&amp;_xlpm._戻り範囲)
          )
        )
      )
    ),
    ""
  )
)</f>
        <v/>
      </c>
      <c r="AP91" s="223" t="str" cm="1">
        <f t="array" aca="1" ref="AP91" ca="1">IF($C91="","",
  IFERROR(
    _xlfn.LET(
      _xlpm._対象月初,EOMONTH(AP$1,-1)+1,
      _xlpm._今月初,EOMONTH(基準データ!$C$5,-1)+1,
      IF(
        _xlpm._対象月初&gt;_xlpm._今月初,
        IF(
          OR(AO91="",AO91=0),
          "",
          AO91*AP$107
        ),
        _xlfn.LET(
          _xlpm._参照先,
            "'[在庫状況把握_43期_2025-2026.xlsx]月次報告"
            &amp;TEXT(AP$1,"YYMM")
            &amp;"'!",
          _xlpm._戻り範囲,
            IF(
              _xlpm._対象月初=_xlpm._今月初,
              "$AG$1:$AG$300",
              "$G$1:$G$300"
            ),
          _xlfn.XLOOKUP(
            $C91,
            INDIRECT(_xlpm._参照先&amp;"$C$1:$C$300"),
            INDIRECT(_xlpm._参照先&amp;_xlpm._戻り範囲)
          )
        )
      )
    ),
    ""
  )
)</f>
        <v/>
      </c>
      <c r="AQ91" s="223" t="str" cm="1">
        <f t="array" aca="1" ref="AQ91" ca="1">IF($C91="","",
  IFERROR(
    _xlfn.LET(
      _xlpm._対象月初,EOMONTH(AQ$1,-1)+1,
      _xlpm._今月初,EOMONTH(基準データ!$C$5,-1)+1,
      IF(
        _xlpm._対象月初&gt;_xlpm._今月初,
        IF(
          OR(AP91="",AP91=0),
          "",
          AP91*AQ$107
        ),
        _xlfn.LET(
          _xlpm._参照先,
            "'[在庫状況把握_43期_2025-2026.xlsx]月次報告"
            &amp;TEXT(AQ$1,"YYMM")
            &amp;"'!",
          _xlpm._戻り範囲,
            IF(
              _xlpm._対象月初=_xlpm._今月初,
              "$AG$1:$AG$300",
              "$G$1:$G$300"
            ),
          _xlfn.XLOOKUP(
            $C91,
            INDIRECT(_xlpm._参照先&amp;"$C$1:$C$300"),
            INDIRECT(_xlpm._参照先&amp;_xlpm._戻り範囲)
          )
        )
      )
    ),
    ""
  )
)</f>
        <v/>
      </c>
      <c r="AR91" s="223" t="str" cm="1">
        <f t="array" aca="1" ref="AR91" ca="1">IF($C91="","",
  IFERROR(
    _xlfn.LET(
      _xlpm._対象月初,EOMONTH(AR$1,-1)+1,
      _xlpm._今月初,EOMONTH(基準データ!$C$5,-1)+1,
      IF(
        _xlpm._対象月初&gt;_xlpm._今月初,
        IF(
          OR(AQ91="",AQ91=0),
          "",
          AQ91*AR$107
        ),
        _xlfn.LET(
          _xlpm._参照先,
            "'[在庫状況把握_43期_2025-2026.xlsx]月次報告"
            &amp;TEXT(AR$1,"YYMM")
            &amp;"'!",
          _xlpm._戻り範囲,
            IF(
              _xlpm._対象月初=_xlpm._今月初,
              "$AG$1:$AG$300",
              "$G$1:$G$300"
            ),
          _xlfn.XLOOKUP(
            $C91,
            INDIRECT(_xlpm._参照先&amp;"$C$1:$C$300"),
            INDIRECT(_xlpm._参照先&amp;_xlpm._戻り範囲)
          )
        )
      )
    ),
    ""
  )
)</f>
        <v/>
      </c>
      <c r="AS91" s="223" t="str" cm="1">
        <f t="array" aca="1" ref="AS91" ca="1">IF($C91="","",
  IFERROR(
    _xlfn.LET(
      _xlpm._対象月初,EOMONTH(AS$1,-1)+1,
      _xlpm._今月初,EOMONTH(基準データ!$C$5,-1)+1,
      IF(
        _xlpm._対象月初&gt;_xlpm._今月初,
        IF(
          OR(AR91="",AR91=0),
          "",
          AR91*AS$107
        ),
        _xlfn.LET(
          _xlpm._参照先,
            "'[在庫状況把握_43期_2025-2026.xlsx]月次報告"
            &amp;TEXT(AS$1,"YYMM")
            &amp;"'!",
          _xlpm._戻り範囲,
            IF(
              _xlpm._対象月初=_xlpm._今月初,
              "$AG$1:$AG$300",
              "$G$1:$G$300"
            ),
          _xlfn.XLOOKUP(
            $C91,
            INDIRECT(_xlpm._参照先&amp;"$C$1:$C$300"),
            INDIRECT(_xlpm._参照先&amp;_xlpm._戻り範囲)
          )
        )
      )
    ),
    ""
  )
)</f>
        <v/>
      </c>
      <c r="AT91" s="223" t="str" cm="1">
        <f t="array" aca="1" ref="AT91" ca="1">IF($C91="","",
  IFERROR(
    _xlfn.LET(
      _xlpm._対象月初,EOMONTH(AT$1,-1)+1,
      _xlpm._今月初,EOMONTH(基準データ!$C$5,-1)+1,
      IF(
        _xlpm._対象月初&gt;_xlpm._今月初,
        IF(
          OR(AS91="",AS91=0),
          "",
          AS91*AT$107
        ),
        _xlfn.LET(
          _xlpm._参照先,
            "'[在庫状況把握_43期_2025-2026.xlsx]月次報告"
            &amp;TEXT(AT$1,"YYMM")
            &amp;"'!",
          _xlpm._戻り範囲,
            IF(
              _xlpm._対象月初=_xlpm._今月初,
              "$AG$1:$AG$300",
              "$G$1:$G$300"
            ),
          _xlfn.XLOOKUP(
            $C91,
            INDIRECT(_xlpm._参照先&amp;"$C$1:$C$300"),
            INDIRECT(_xlpm._参照先&amp;_xlpm._戻り範囲)
          )
        )
      )
    ),
    ""
  )
)</f>
        <v/>
      </c>
      <c r="AU91" s="223" t="str" cm="1">
        <f t="array" aca="1" ref="AU91" ca="1">IF($C91="","",
  IFERROR(
    _xlfn.LET(
      _xlpm._対象月初,EOMONTH(AU$1,-1)+1,
      _xlpm._今月初,EOMONTH(基準データ!$C$5,-1)+1,
      IF(
        _xlpm._対象月初&gt;_xlpm._今月初,
        IF(
          OR(AT91="",AT91=0),
          "",
          AT91*AU$107
        ),
        _xlfn.LET(
          _xlpm._参照先,
            "'[在庫状況把握_43期_2025-2026.xlsx]月次報告"
            &amp;TEXT(AU$1,"YYMM")
            &amp;"'!",
          _xlpm._戻り範囲,
            IF(
              _xlpm._対象月初=_xlpm._今月初,
              "$AG$1:$AG$300",
              "$G$1:$G$300"
            ),
          _xlfn.XLOOKUP(
            $C91,
            INDIRECT(_xlpm._参照先&amp;"$C$1:$C$300"),
            INDIRECT(_xlpm._参照先&amp;_xlpm._戻り範囲)
          )
        )
      )
    ),
    ""
  )
)</f>
        <v/>
      </c>
      <c r="AV91" s="223" t="str" cm="1">
        <f t="array" aca="1" ref="AV91" ca="1">IF($C91="","",
  IFERROR(
    _xlfn.LET(
      _xlpm._対象月初,EOMONTH(AV$1,-1)+1,
      _xlpm._今月初,EOMONTH(基準データ!$C$5,-1)+1,
      IF(
        _xlpm._対象月初&gt;_xlpm._今月初,
        IF(
          OR(AU91="",AU91=0),
          "",
          AU91*AV$107
        ),
        _xlfn.LET(
          _xlpm._参照先,
            "'[在庫状況把握_43期_2025-2026.xlsx]月次報告"
            &amp;TEXT(AV$1,"YYMM")
            &amp;"'!",
          _xlpm._戻り範囲,
            IF(
              _xlpm._対象月初=_xlpm._今月初,
              "$AG$1:$AG$300",
              "$G$1:$G$300"
            ),
          _xlfn.XLOOKUP(
            $C91,
            INDIRECT(_xlpm._参照先&amp;"$C$1:$C$300"),
            INDIRECT(_xlpm._参照先&amp;_xlpm._戻り範囲)
          )
        )
      )
    ),
    ""
  )
)</f>
        <v/>
      </c>
      <c r="AW91" s="223" t="str" cm="1">
        <f t="array" aca="1" ref="AW91" ca="1">IF($C91="","",
  IFERROR(
    _xlfn.LET(
      _xlpm._対象月初,EOMONTH(AW$1,-1)+1,
      _xlpm._今月初,EOMONTH(基準データ!$C$5,-1)+1,
      IF(
        _xlpm._対象月初&gt;_xlpm._今月初,
        IF(
          OR(AV91="",AV91=0),
          "",
          AV91*AW$107
        ),
        _xlfn.LET(
          _xlpm._参照先,
            "'[在庫状況把握_43期_2025-2026.xlsx]月次報告"
            &amp;TEXT(AW$1,"YYMM")
            &amp;"'!",
          _xlpm._戻り範囲,
            IF(
              _xlpm._対象月初=_xlpm._今月初,
              "$AG$1:$AG$300",
              "$G$1:$G$300"
            ),
          _xlfn.XLOOKUP(
            $C91,
            INDIRECT(_xlpm._参照先&amp;"$C$1:$C$300"),
            INDIRECT(_xlpm._参照先&amp;_xlpm._戻り範囲)
          )
        )
      )
    ),
    ""
  )
)</f>
        <v/>
      </c>
      <c r="AX91" s="223" t="str" cm="1">
        <f t="array" aca="1" ref="AX91" ca="1">IF($C91="","",
  IFERROR(
    _xlfn.LET(
      _xlpm._対象月初,EOMONTH(AX$1,-1)+1,
      _xlpm._今月初,EOMONTH(基準データ!$C$5,-1)+1,
      IF(
        _xlpm._対象月初&gt;_xlpm._今月初,
        IF(
          OR(AW91="",AW91=0),
          "",
          AW91*AX$107
        ),
        _xlfn.LET(
          _xlpm._参照先,
            "'[在庫状況把握_43期_2025-2026.xlsx]月次報告"
            &amp;TEXT(AX$1,"YYMM")
            &amp;"'!",
          _xlpm._戻り範囲,
            IF(
              _xlpm._対象月初=_xlpm._今月初,
              "$AG$1:$AG$300",
              "$G$1:$G$300"
            ),
          _xlfn.XLOOKUP(
            $C91,
            INDIRECT(_xlpm._参照先&amp;"$C$1:$C$300"),
            INDIRECT(_xlpm._参照先&amp;_xlpm._戻り範囲)
          )
        )
      )
    ),
    ""
  )
)</f>
        <v/>
      </c>
      <c r="AY91" s="223" t="str" cm="1">
        <f t="array" aca="1" ref="AY91" ca="1">IF($C91="","",
  IFERROR(
    _xlfn.LET(
      _xlpm._対象月初,EOMONTH(AY$1,-1)+1,
      _xlpm._今月初,EOMONTH(基準データ!$C$5,-1)+1,
      IF(
        _xlpm._対象月初&gt;_xlpm._今月初,
        IF(
          OR(AX91="",AX91=0),
          "",
          AX91*AY$107
        ),
        _xlfn.LET(
          _xlpm._参照先,
            "'[在庫状況把握_43期_2025-2026.xlsx]月次報告"
            &amp;TEXT(AY$1,"YYMM")
            &amp;"'!",
          _xlpm._戻り範囲,
            IF(
              _xlpm._対象月初=_xlpm._今月初,
              "$AG$1:$AG$300",
              "$G$1:$G$300"
            ),
          _xlfn.XLOOKUP(
            $C91,
            INDIRECT(_xlpm._参照先&amp;"$C$1:$C$300"),
            INDIRECT(_xlpm._参照先&amp;_xlpm._戻り範囲)
          )
        )
      )
    ),
    ""
  )
)</f>
        <v/>
      </c>
      <c r="AZ91" s="223" t="str" cm="1">
        <f t="array" aca="1" ref="AZ91" ca="1">IF($C91="","",
  IFERROR(
    _xlfn.LET(
      _xlpm._対象月初,EOMONTH(AZ$1,-1)+1,
      _xlpm._今月初,EOMONTH(基準データ!$C$5,-1)+1,
      IF(
        _xlpm._対象月初&gt;_xlpm._今月初,
        IF(
          OR(AY91="",AY91=0),
          "",
          AY91*AZ$107
        ),
        _xlfn.LET(
          _xlpm._参照先,
            "'[在庫状況把握_43期_2025-2026.xlsx]月次報告"
            &amp;TEXT(AZ$1,"YYMM")
            &amp;"'!",
          _xlpm._戻り範囲,
            IF(
              _xlpm._対象月初=_xlpm._今月初,
              "$AG$1:$AG$300",
              "$G$1:$G$300"
            ),
          _xlfn.XLOOKUP(
            $C91,
            INDIRECT(_xlpm._参照先&amp;"$C$1:$C$300"),
            INDIRECT(_xlpm._参照先&amp;_xlpm._戻り範囲)
          )
        )
      )
    ),
    ""
  )
)</f>
        <v/>
      </c>
      <c r="BA91" s="223" t="str" cm="1">
        <f t="array" aca="1" ref="BA91" ca="1">IF($C91="","",
  IFERROR(
    _xlfn.LET(
      _xlpm._対象月初,EOMONTH(BA$1,-1)+1,
      _xlpm._今月初,EOMONTH(基準データ!$C$5,-1)+1,
      IF(
        _xlpm._対象月初&gt;_xlpm._今月初,
        IF(
          OR(AZ91="",AZ91=0),
          "",
          AZ91*BA$107
        ),
        _xlfn.LET(
          _xlpm._参照先,
            "'[在庫状況把握_43期_2025-2026.xlsx]月次報告"
            &amp;TEXT(BA$1,"YYMM")
            &amp;"'!",
          _xlpm._戻り範囲,
            IF(
              _xlpm._対象月初=_xlpm._今月初,
              "$AG$1:$AG$300",
              "$G$1:$G$300"
            ),
          _xlfn.XLOOKUP(
            $C91,
            INDIRECT(_xlpm._参照先&amp;"$C$1:$C$300"),
            INDIRECT(_xlpm._参照先&amp;_xlpm._戻り範囲)
          )
        )
      )
    ),
    ""
  )
)</f>
        <v/>
      </c>
      <c r="BB91" s="223" t="str" cm="1">
        <f t="array" aca="1" ref="BB91" ca="1">IF($C91="","",
  IFERROR(
    _xlfn.LET(
      _xlpm._対象月初,EOMONTH(BB$1,-1)+1,
      _xlpm._今月初,EOMONTH(基準データ!$C$5,-1)+1,
      IF(
        _xlpm._対象月初&gt;_xlpm._今月初,
        IF(
          OR(BA91="",BA91=0),
          "",
          BA91*BB$107
        ),
        _xlfn.LET(
          _xlpm._参照先,
            "'[在庫状況把握_43期_2025-2026.xlsx]月次報告"
            &amp;TEXT(BB$1,"YYMM")
            &amp;"'!",
          _xlpm._戻り範囲,
            IF(
              _xlpm._対象月初=_xlpm._今月初,
              "$AG$1:$AG$300",
              "$G$1:$G$300"
            ),
          _xlfn.XLOOKUP(
            $C91,
            INDIRECT(_xlpm._参照先&amp;"$C$1:$C$300"),
            INDIRECT(_xlpm._参照先&amp;_xlpm._戻り範囲)
          )
        )
      )
    ),
    ""
  )
)</f>
        <v/>
      </c>
      <c r="BC91" s="223" t="str" cm="1">
        <f t="array" aca="1" ref="BC91" ca="1">IF($C91="","",
  IFERROR(
    _xlfn.LET(
      _xlpm._対象月初,EOMONTH(BC$1,-1)+1,
      _xlpm._今月初,EOMONTH(基準データ!$C$5,-1)+1,
      IF(
        _xlpm._対象月初&gt;_xlpm._今月初,
        IF(
          OR(BB91="",BB91=0),
          "",
          BB91*BC$107
        ),
        _xlfn.LET(
          _xlpm._参照先,
            "'[在庫状況把握_43期_2025-2026.xlsx]月次報告"
            &amp;TEXT(BC$1,"YYMM")
            &amp;"'!",
          _xlpm._戻り範囲,
            IF(
              _xlpm._対象月初=_xlpm._今月初,
              "$AG$1:$AG$300",
              "$G$1:$G$300"
            ),
          _xlfn.XLOOKUP(
            $C91,
            INDIRECT(_xlpm._参照先&amp;"$C$1:$C$300"),
            INDIRECT(_xlpm._参照先&amp;_xlpm._戻り範囲)
          )
        )
      )
    ),
    ""
  )
)</f>
        <v/>
      </c>
      <c r="BD91" s="223" t="str" cm="1">
        <f t="array" aca="1" ref="BD91" ca="1">IF($C91="","",
  IFERROR(
    _xlfn.LET(
      _xlpm._対象月初,EOMONTH(BD$1,-1)+1,
      _xlpm._今月初,EOMONTH(基準データ!$C$5,-1)+1,
      IF(
        _xlpm._対象月初&gt;_xlpm._今月初,
        IF(
          OR(BC91="",BC91=0),
          "",
          BC91*BD$107
        ),
        _xlfn.LET(
          _xlpm._参照先,
            "'[在庫状況把握_43期_2025-2026.xlsx]月次報告"
            &amp;TEXT(BD$1,"YYMM")
            &amp;"'!",
          _xlpm._戻り範囲,
            IF(
              _xlpm._対象月初=_xlpm._今月初,
              "$AG$1:$AG$300",
              "$G$1:$G$300"
            ),
          _xlfn.XLOOKUP(
            $C91,
            INDIRECT(_xlpm._参照先&amp;"$C$1:$C$300"),
            INDIRECT(_xlpm._参照先&amp;_xlpm._戻り範囲)
          )
        )
      )
    ),
    ""
  )
)</f>
        <v/>
      </c>
    </row>
    <row r="92" spans="1:56" ht="18.75" customHeight="1">
      <c r="A92" s="1061" t="s">
        <v>1473</v>
      </c>
      <c r="B92" s="26" t="str">
        <v>CLE-NL45-1334U-UMA-L6 Thirdwave</v>
      </c>
      <c r="C92" s="56" t="s">
        <v>746</v>
      </c>
      <c r="D92" s="72" t="s">
        <v>1472</v>
      </c>
      <c r="E92" s="68"/>
      <c r="F92" s="68" t="s">
        <v>1347</v>
      </c>
      <c r="G92" s="355">
        <v>15</v>
      </c>
      <c r="H92" s="109" cm="1">
        <f t="array" aca="1" ref="H92" ca="1">_xlfn.LET(_xlpm._来月から4ヶ月計画合計,
  SUM(
    OFFSET($A92,0,
      MATCH(
        EDATE(基準データ!$C$5,3),$A$1:$BF$1,1
      )-3,1,4)),
_xlpm._今月計画数,
INDEX($A$1:$BE$223,
  ROW(),
  MATCH(EOMONTH(基準データ!$C$5,-1)+1,$A$1:$BE$1,0)
),
  IFERROR(IF($B92="","",_xlpm._来月から4ヶ月計画合計+_xlpm._今月計画数/2),""
)
)</f>
        <v>0</v>
      </c>
      <c r="I92" s="311"/>
      <c r="J92" s="311"/>
      <c r="K92" s="311"/>
      <c r="L92" s="311"/>
      <c r="M92" s="38"/>
      <c r="N92" s="38"/>
      <c r="O92" s="38"/>
      <c r="P92" s="38"/>
      <c r="Q92" s="219"/>
      <c r="R92" s="219"/>
      <c r="S92" s="219"/>
      <c r="T92" s="219"/>
      <c r="U92" s="224"/>
      <c r="V92" s="237"/>
      <c r="W92" s="333"/>
      <c r="X92" s="333"/>
      <c r="Y92" s="333"/>
      <c r="Z92" s="219"/>
      <c r="AA92" s="219"/>
      <c r="AB92" s="529"/>
      <c r="AC92" s="648"/>
      <c r="AD92" s="648">
        <v>829</v>
      </c>
      <c r="AE92" s="223">
        <v>372</v>
      </c>
      <c r="AF92" s="223">
        <v>441</v>
      </c>
      <c r="AG92" s="223">
        <v>180</v>
      </c>
      <c r="AH92" s="223">
        <v>54</v>
      </c>
      <c r="AI92" s="223">
        <v>30</v>
      </c>
      <c r="AJ92" s="223">
        <v>0</v>
      </c>
      <c r="AK92" s="223">
        <v>0</v>
      </c>
      <c r="AL92" s="223" cm="1">
        <f t="array" aca="1" ref="AL92" ca="1">IF($C92="","",
  IFERROR(
    _xlfn.LET(
      _xlpm._対象月初,EOMONTH(AL$1,-1)+1,
      _xlpm._今月初,EOMONTH(基準データ!$C$5,-1)+1,
      IF(
        _xlpm._対象月初&gt;_xlpm._今月初,
        IF(
          OR(AK92="",AK92=0),
          "",
          AK92*AL$107
        ),
        _xlfn.LET(
          _xlpm._参照先,
            "'[在庫状況把握_43期_2025-2026.xlsx]月次報告"
            &amp;TEXT(AL$1,"YYMM")
            &amp;"'!",
          _xlpm._戻り範囲,
            IF(
              _xlpm._対象月初=_xlpm._今月初,
              "$AG$1:$AG$300",
              "$G$1:$G$300"
            ),
          _xlfn.XLOOKUP(
            $C92,
            INDIRECT(_xlpm._参照先&amp;"$C$1:$C$300"),
            INDIRECT(_xlpm._参照先&amp;_xlpm._戻り範囲)
          )
        )
      )
    ),
    ""
  )
)</f>
        <v>0</v>
      </c>
      <c r="AM92" s="223" cm="1">
        <f t="array" aca="1" ref="AM92" ca="1">IF($C92="","",
  IFERROR(
    _xlfn.LET(
      _xlpm._対象月初,EOMONTH(AM$1,-1)+1,
      _xlpm._今月初,EOMONTH(基準データ!$C$5,-1)+1,
      IF(
        _xlpm._対象月初&gt;_xlpm._今月初,
        IF(
          OR(AL92="",AL92=0),
          "",
          AL92*AM$107
        ),
        _xlfn.LET(
          _xlpm._参照先,
            "'[在庫状況把握_43期_2025-2026.xlsx]月次報告"
            &amp;TEXT(AM$1,"YYMM")
            &amp;"'!",
          _xlpm._戻り範囲,
            IF(
              _xlpm._対象月初=_xlpm._今月初,
              "$AG$1:$AG$300",
              "$G$1:$G$300"
            ),
          _xlfn.XLOOKUP(
            $C92,
            INDIRECT(_xlpm._参照先&amp;"$C$1:$C$300"),
            INDIRECT(_xlpm._参照先&amp;_xlpm._戻り範囲)
          )
        )
      )
    ),
    ""
  )
)</f>
        <v>0</v>
      </c>
      <c r="AN92" s="223" t="str" cm="1">
        <f t="array" aca="1" ref="AN92" ca="1">IF($C92="","",
  IFERROR(
    _xlfn.LET(
      _xlpm._対象月初,EOMONTH(AN$1,-1)+1,
      _xlpm._今月初,EOMONTH(基準データ!$C$5,-1)+1,
      IF(
        _xlpm._対象月初&gt;_xlpm._今月初,
        IF(
          OR(AM92="",AM92=0),
          "",
          AM92*AN$107
        ),
        _xlfn.LET(
          _xlpm._参照先,
            "'[在庫状況把握_43期_2025-2026.xlsx]月次報告"
            &amp;TEXT(AN$1,"YYMM")
            &amp;"'!",
          _xlpm._戻り範囲,
            IF(
              _xlpm._対象月初=_xlpm._今月初,
              "$AG$1:$AG$300",
              "$G$1:$G$300"
            ),
          _xlfn.XLOOKUP(
            $C92,
            INDIRECT(_xlpm._参照先&amp;"$C$1:$C$300"),
            INDIRECT(_xlpm._参照先&amp;_xlpm._戻り範囲)
          )
        )
      )
    ),
    ""
  )
)</f>
        <v/>
      </c>
      <c r="AO92" s="223" t="str" cm="1">
        <f t="array" aca="1" ref="AO92" ca="1">IF($C92="","",
  IFERROR(
    _xlfn.LET(
      _xlpm._対象月初,EOMONTH(AO$1,-1)+1,
      _xlpm._今月初,EOMONTH(基準データ!$C$5,-1)+1,
      IF(
        _xlpm._対象月初&gt;_xlpm._今月初,
        IF(
          OR(AN92="",AN92=0),
          "",
          AN92*AO$107
        ),
        _xlfn.LET(
          _xlpm._参照先,
            "'[在庫状況把握_43期_2025-2026.xlsx]月次報告"
            &amp;TEXT(AO$1,"YYMM")
            &amp;"'!",
          _xlpm._戻り範囲,
            IF(
              _xlpm._対象月初=_xlpm._今月初,
              "$AG$1:$AG$300",
              "$G$1:$G$300"
            ),
          _xlfn.XLOOKUP(
            $C92,
            INDIRECT(_xlpm._参照先&amp;"$C$1:$C$300"),
            INDIRECT(_xlpm._参照先&amp;_xlpm._戻り範囲)
          )
        )
      )
    ),
    ""
  )
)</f>
        <v/>
      </c>
      <c r="AP92" s="223" t="str" cm="1">
        <f t="array" aca="1" ref="AP92" ca="1">IF($C92="","",
  IFERROR(
    _xlfn.LET(
      _xlpm._対象月初,EOMONTH(AP$1,-1)+1,
      _xlpm._今月初,EOMONTH(基準データ!$C$5,-1)+1,
      IF(
        _xlpm._対象月初&gt;_xlpm._今月初,
        IF(
          OR(AO92="",AO92=0),
          "",
          AO92*AP$107
        ),
        _xlfn.LET(
          _xlpm._参照先,
            "'[在庫状況把握_43期_2025-2026.xlsx]月次報告"
            &amp;TEXT(AP$1,"YYMM")
            &amp;"'!",
          _xlpm._戻り範囲,
            IF(
              _xlpm._対象月初=_xlpm._今月初,
              "$AG$1:$AG$300",
              "$G$1:$G$300"
            ),
          _xlfn.XLOOKUP(
            $C92,
            INDIRECT(_xlpm._参照先&amp;"$C$1:$C$300"),
            INDIRECT(_xlpm._参照先&amp;_xlpm._戻り範囲)
          )
        )
      )
    ),
    ""
  )
)</f>
        <v/>
      </c>
      <c r="AQ92" s="223" t="str" cm="1">
        <f t="array" aca="1" ref="AQ92" ca="1">IF($C92="","",
  IFERROR(
    _xlfn.LET(
      _xlpm._対象月初,EOMONTH(AQ$1,-1)+1,
      _xlpm._今月初,EOMONTH(基準データ!$C$5,-1)+1,
      IF(
        _xlpm._対象月初&gt;_xlpm._今月初,
        IF(
          OR(AP92="",AP92=0),
          "",
          AP92*AQ$107
        ),
        _xlfn.LET(
          _xlpm._参照先,
            "'[在庫状況把握_43期_2025-2026.xlsx]月次報告"
            &amp;TEXT(AQ$1,"YYMM")
            &amp;"'!",
          _xlpm._戻り範囲,
            IF(
              _xlpm._対象月初=_xlpm._今月初,
              "$AG$1:$AG$300",
              "$G$1:$G$300"
            ),
          _xlfn.XLOOKUP(
            $C92,
            INDIRECT(_xlpm._参照先&amp;"$C$1:$C$300"),
            INDIRECT(_xlpm._参照先&amp;_xlpm._戻り範囲)
          )
        )
      )
    ),
    ""
  )
)</f>
        <v/>
      </c>
      <c r="AR92" s="223" t="str" cm="1">
        <f t="array" aca="1" ref="AR92" ca="1">IF($C92="","",
  IFERROR(
    _xlfn.LET(
      _xlpm._対象月初,EOMONTH(AR$1,-1)+1,
      _xlpm._今月初,EOMONTH(基準データ!$C$5,-1)+1,
      IF(
        _xlpm._対象月初&gt;_xlpm._今月初,
        IF(
          OR(AQ92="",AQ92=0),
          "",
          AQ92*AR$107
        ),
        _xlfn.LET(
          _xlpm._参照先,
            "'[在庫状況把握_43期_2025-2026.xlsx]月次報告"
            &amp;TEXT(AR$1,"YYMM")
            &amp;"'!",
          _xlpm._戻り範囲,
            IF(
              _xlpm._対象月初=_xlpm._今月初,
              "$AG$1:$AG$300",
              "$G$1:$G$300"
            ),
          _xlfn.XLOOKUP(
            $C92,
            INDIRECT(_xlpm._参照先&amp;"$C$1:$C$300"),
            INDIRECT(_xlpm._参照先&amp;_xlpm._戻り範囲)
          )
        )
      )
    ),
    ""
  )
)</f>
        <v/>
      </c>
      <c r="AS92" s="223" t="str" cm="1">
        <f t="array" aca="1" ref="AS92" ca="1">IF($C92="","",
  IFERROR(
    _xlfn.LET(
      _xlpm._対象月初,EOMONTH(AS$1,-1)+1,
      _xlpm._今月初,EOMONTH(基準データ!$C$5,-1)+1,
      IF(
        _xlpm._対象月初&gt;_xlpm._今月初,
        IF(
          OR(AR92="",AR92=0),
          "",
          AR92*AS$107
        ),
        _xlfn.LET(
          _xlpm._参照先,
            "'[在庫状況把握_43期_2025-2026.xlsx]月次報告"
            &amp;TEXT(AS$1,"YYMM")
            &amp;"'!",
          _xlpm._戻り範囲,
            IF(
              _xlpm._対象月初=_xlpm._今月初,
              "$AG$1:$AG$300",
              "$G$1:$G$300"
            ),
          _xlfn.XLOOKUP(
            $C92,
            INDIRECT(_xlpm._参照先&amp;"$C$1:$C$300"),
            INDIRECT(_xlpm._参照先&amp;_xlpm._戻り範囲)
          )
        )
      )
    ),
    ""
  )
)</f>
        <v/>
      </c>
      <c r="AT92" s="223" t="str" cm="1">
        <f t="array" aca="1" ref="AT92" ca="1">IF($C92="","",
  IFERROR(
    _xlfn.LET(
      _xlpm._対象月初,EOMONTH(AT$1,-1)+1,
      _xlpm._今月初,EOMONTH(基準データ!$C$5,-1)+1,
      IF(
        _xlpm._対象月初&gt;_xlpm._今月初,
        IF(
          OR(AS92="",AS92=0),
          "",
          AS92*AT$107
        ),
        _xlfn.LET(
          _xlpm._参照先,
            "'[在庫状況把握_43期_2025-2026.xlsx]月次報告"
            &amp;TEXT(AT$1,"YYMM")
            &amp;"'!",
          _xlpm._戻り範囲,
            IF(
              _xlpm._対象月初=_xlpm._今月初,
              "$AG$1:$AG$300",
              "$G$1:$G$300"
            ),
          _xlfn.XLOOKUP(
            $C92,
            INDIRECT(_xlpm._参照先&amp;"$C$1:$C$300"),
            INDIRECT(_xlpm._参照先&amp;_xlpm._戻り範囲)
          )
        )
      )
    ),
    ""
  )
)</f>
        <v/>
      </c>
      <c r="AU92" s="223" t="str" cm="1">
        <f t="array" aca="1" ref="AU92" ca="1">IF($C92="","",
  IFERROR(
    _xlfn.LET(
      _xlpm._対象月初,EOMONTH(AU$1,-1)+1,
      _xlpm._今月初,EOMONTH(基準データ!$C$5,-1)+1,
      IF(
        _xlpm._対象月初&gt;_xlpm._今月初,
        IF(
          OR(AT92="",AT92=0),
          "",
          AT92*AU$107
        ),
        _xlfn.LET(
          _xlpm._参照先,
            "'[在庫状況把握_43期_2025-2026.xlsx]月次報告"
            &amp;TEXT(AU$1,"YYMM")
            &amp;"'!",
          _xlpm._戻り範囲,
            IF(
              _xlpm._対象月初=_xlpm._今月初,
              "$AG$1:$AG$300",
              "$G$1:$G$300"
            ),
          _xlfn.XLOOKUP(
            $C92,
            INDIRECT(_xlpm._参照先&amp;"$C$1:$C$300"),
            INDIRECT(_xlpm._参照先&amp;_xlpm._戻り範囲)
          )
        )
      )
    ),
    ""
  )
)</f>
        <v/>
      </c>
      <c r="AV92" s="223" t="str" cm="1">
        <f t="array" aca="1" ref="AV92" ca="1">IF($C92="","",
  IFERROR(
    _xlfn.LET(
      _xlpm._対象月初,EOMONTH(AV$1,-1)+1,
      _xlpm._今月初,EOMONTH(基準データ!$C$5,-1)+1,
      IF(
        _xlpm._対象月初&gt;_xlpm._今月初,
        IF(
          OR(AU92="",AU92=0),
          "",
          AU92*AV$107
        ),
        _xlfn.LET(
          _xlpm._参照先,
            "'[在庫状況把握_43期_2025-2026.xlsx]月次報告"
            &amp;TEXT(AV$1,"YYMM")
            &amp;"'!",
          _xlpm._戻り範囲,
            IF(
              _xlpm._対象月初=_xlpm._今月初,
              "$AG$1:$AG$300",
              "$G$1:$G$300"
            ),
          _xlfn.XLOOKUP(
            $C92,
            INDIRECT(_xlpm._参照先&amp;"$C$1:$C$300"),
            INDIRECT(_xlpm._参照先&amp;_xlpm._戻り範囲)
          )
        )
      )
    ),
    ""
  )
)</f>
        <v/>
      </c>
      <c r="AW92" s="223" t="str" cm="1">
        <f t="array" aca="1" ref="AW92" ca="1">IF($C92="","",
  IFERROR(
    _xlfn.LET(
      _xlpm._対象月初,EOMONTH(AW$1,-1)+1,
      _xlpm._今月初,EOMONTH(基準データ!$C$5,-1)+1,
      IF(
        _xlpm._対象月初&gt;_xlpm._今月初,
        IF(
          OR(AV92="",AV92=0),
          "",
          AV92*AW$107
        ),
        _xlfn.LET(
          _xlpm._参照先,
            "'[在庫状況把握_43期_2025-2026.xlsx]月次報告"
            &amp;TEXT(AW$1,"YYMM")
            &amp;"'!",
          _xlpm._戻り範囲,
            IF(
              _xlpm._対象月初=_xlpm._今月初,
              "$AG$1:$AG$300",
              "$G$1:$G$300"
            ),
          _xlfn.XLOOKUP(
            $C92,
            INDIRECT(_xlpm._参照先&amp;"$C$1:$C$300"),
            INDIRECT(_xlpm._参照先&amp;_xlpm._戻り範囲)
          )
        )
      )
    ),
    ""
  )
)</f>
        <v/>
      </c>
      <c r="AX92" s="223" t="str" cm="1">
        <f t="array" aca="1" ref="AX92" ca="1">IF($C92="","",
  IFERROR(
    _xlfn.LET(
      _xlpm._対象月初,EOMONTH(AX$1,-1)+1,
      _xlpm._今月初,EOMONTH(基準データ!$C$5,-1)+1,
      IF(
        _xlpm._対象月初&gt;_xlpm._今月初,
        IF(
          OR(AW92="",AW92=0),
          "",
          AW92*AX$107
        ),
        _xlfn.LET(
          _xlpm._参照先,
            "'[在庫状況把握_43期_2025-2026.xlsx]月次報告"
            &amp;TEXT(AX$1,"YYMM")
            &amp;"'!",
          _xlpm._戻り範囲,
            IF(
              _xlpm._対象月初=_xlpm._今月初,
              "$AG$1:$AG$300",
              "$G$1:$G$300"
            ),
          _xlfn.XLOOKUP(
            $C92,
            INDIRECT(_xlpm._参照先&amp;"$C$1:$C$300"),
            INDIRECT(_xlpm._参照先&amp;_xlpm._戻り範囲)
          )
        )
      )
    ),
    ""
  )
)</f>
        <v/>
      </c>
      <c r="AY92" s="223" t="str" cm="1">
        <f t="array" aca="1" ref="AY92" ca="1">IF($C92="","",
  IFERROR(
    _xlfn.LET(
      _xlpm._対象月初,EOMONTH(AY$1,-1)+1,
      _xlpm._今月初,EOMONTH(基準データ!$C$5,-1)+1,
      IF(
        _xlpm._対象月初&gt;_xlpm._今月初,
        IF(
          OR(AX92="",AX92=0),
          "",
          AX92*AY$107
        ),
        _xlfn.LET(
          _xlpm._参照先,
            "'[在庫状況把握_43期_2025-2026.xlsx]月次報告"
            &amp;TEXT(AY$1,"YYMM")
            &amp;"'!",
          _xlpm._戻り範囲,
            IF(
              _xlpm._対象月初=_xlpm._今月初,
              "$AG$1:$AG$300",
              "$G$1:$G$300"
            ),
          _xlfn.XLOOKUP(
            $C92,
            INDIRECT(_xlpm._参照先&amp;"$C$1:$C$300"),
            INDIRECT(_xlpm._参照先&amp;_xlpm._戻り範囲)
          )
        )
      )
    ),
    ""
  )
)</f>
        <v/>
      </c>
      <c r="AZ92" s="223" t="str" cm="1">
        <f t="array" aca="1" ref="AZ92" ca="1">IF($C92="","",
  IFERROR(
    _xlfn.LET(
      _xlpm._対象月初,EOMONTH(AZ$1,-1)+1,
      _xlpm._今月初,EOMONTH(基準データ!$C$5,-1)+1,
      IF(
        _xlpm._対象月初&gt;_xlpm._今月初,
        IF(
          OR(AY92="",AY92=0),
          "",
          AY92*AZ$107
        ),
        _xlfn.LET(
          _xlpm._参照先,
            "'[在庫状況把握_43期_2025-2026.xlsx]月次報告"
            &amp;TEXT(AZ$1,"YYMM")
            &amp;"'!",
          _xlpm._戻り範囲,
            IF(
              _xlpm._対象月初=_xlpm._今月初,
              "$AG$1:$AG$300",
              "$G$1:$G$300"
            ),
          _xlfn.XLOOKUP(
            $C92,
            INDIRECT(_xlpm._参照先&amp;"$C$1:$C$300"),
            INDIRECT(_xlpm._参照先&amp;_xlpm._戻り範囲)
          )
        )
      )
    ),
    ""
  )
)</f>
        <v/>
      </c>
      <c r="BA92" s="223" t="str" cm="1">
        <f t="array" aca="1" ref="BA92" ca="1">IF($C92="","",
  IFERROR(
    _xlfn.LET(
      _xlpm._対象月初,EOMONTH(BA$1,-1)+1,
      _xlpm._今月初,EOMONTH(基準データ!$C$5,-1)+1,
      IF(
        _xlpm._対象月初&gt;_xlpm._今月初,
        IF(
          OR(AZ92="",AZ92=0),
          "",
          AZ92*BA$107
        ),
        _xlfn.LET(
          _xlpm._参照先,
            "'[在庫状況把握_43期_2025-2026.xlsx]月次報告"
            &amp;TEXT(BA$1,"YYMM")
            &amp;"'!",
          _xlpm._戻り範囲,
            IF(
              _xlpm._対象月初=_xlpm._今月初,
              "$AG$1:$AG$300",
              "$G$1:$G$300"
            ),
          _xlfn.XLOOKUP(
            $C92,
            INDIRECT(_xlpm._参照先&amp;"$C$1:$C$300"),
            INDIRECT(_xlpm._参照先&amp;_xlpm._戻り範囲)
          )
        )
      )
    ),
    ""
  )
)</f>
        <v/>
      </c>
      <c r="BB92" s="223" t="str" cm="1">
        <f t="array" aca="1" ref="BB92" ca="1">IF($C92="","",
  IFERROR(
    _xlfn.LET(
      _xlpm._対象月初,EOMONTH(BB$1,-1)+1,
      _xlpm._今月初,EOMONTH(基準データ!$C$5,-1)+1,
      IF(
        _xlpm._対象月初&gt;_xlpm._今月初,
        IF(
          OR(BA92="",BA92=0),
          "",
          BA92*BB$107
        ),
        _xlfn.LET(
          _xlpm._参照先,
            "'[在庫状況把握_43期_2025-2026.xlsx]月次報告"
            &amp;TEXT(BB$1,"YYMM")
            &amp;"'!",
          _xlpm._戻り範囲,
            IF(
              _xlpm._対象月初=_xlpm._今月初,
              "$AG$1:$AG$300",
              "$G$1:$G$300"
            ),
          _xlfn.XLOOKUP(
            $C92,
            INDIRECT(_xlpm._参照先&amp;"$C$1:$C$300"),
            INDIRECT(_xlpm._参照先&amp;_xlpm._戻り範囲)
          )
        )
      )
    ),
    ""
  )
)</f>
        <v/>
      </c>
      <c r="BC92" s="223" t="str" cm="1">
        <f t="array" aca="1" ref="BC92" ca="1">IF($C92="","",
  IFERROR(
    _xlfn.LET(
      _xlpm._対象月初,EOMONTH(BC$1,-1)+1,
      _xlpm._今月初,EOMONTH(基準データ!$C$5,-1)+1,
      IF(
        _xlpm._対象月初&gt;_xlpm._今月初,
        IF(
          OR(BB92="",BB92=0),
          "",
          BB92*BC$107
        ),
        _xlfn.LET(
          _xlpm._参照先,
            "'[在庫状況把握_43期_2025-2026.xlsx]月次報告"
            &amp;TEXT(BC$1,"YYMM")
            &amp;"'!",
          _xlpm._戻り範囲,
            IF(
              _xlpm._対象月初=_xlpm._今月初,
              "$AG$1:$AG$300",
              "$G$1:$G$300"
            ),
          _xlfn.XLOOKUP(
            $C92,
            INDIRECT(_xlpm._参照先&amp;"$C$1:$C$300"),
            INDIRECT(_xlpm._参照先&amp;_xlpm._戻り範囲)
          )
        )
      )
    ),
    ""
  )
)</f>
        <v/>
      </c>
      <c r="BD92" s="223" t="str" cm="1">
        <f t="array" aca="1" ref="BD92" ca="1">IF($C92="","",
  IFERROR(
    _xlfn.LET(
      _xlpm._対象月初,EOMONTH(BD$1,-1)+1,
      _xlpm._今月初,EOMONTH(基準データ!$C$5,-1)+1,
      IF(
        _xlpm._対象月初&gt;_xlpm._今月初,
        IF(
          OR(BC92="",BC92=0),
          "",
          BC92*BD$107
        ),
        _xlfn.LET(
          _xlpm._参照先,
            "'[在庫状況把握_43期_2025-2026.xlsx]月次報告"
            &amp;TEXT(BD$1,"YYMM")
            &amp;"'!",
          _xlpm._戻り範囲,
            IF(
              _xlpm._対象月初=_xlpm._今月初,
              "$AG$1:$AG$300",
              "$G$1:$G$300"
            ),
          _xlfn.XLOOKUP(
            $C92,
            INDIRECT(_xlpm._参照先&amp;"$C$1:$C$300"),
            INDIRECT(_xlpm._参照先&amp;_xlpm._戻り範囲)
          )
        )
      )
    ),
    ""
  )
)</f>
        <v/>
      </c>
    </row>
    <row r="93" spans="1:56" ht="18.75" customHeight="1">
      <c r="A93" s="1061" t="s">
        <v>1473</v>
      </c>
      <c r="B93" s="26" t="str">
        <v>CLE-NL45-1335U-UMA-L6-TPM Thirdwave</v>
      </c>
      <c r="C93" s="56" t="s">
        <v>739</v>
      </c>
      <c r="D93" s="24" t="s">
        <v>1422</v>
      </c>
      <c r="E93" s="26" t="s">
        <v>1423</v>
      </c>
      <c r="F93" s="26" t="s">
        <v>1372</v>
      </c>
      <c r="G93" s="43">
        <v>2</v>
      </c>
      <c r="H93" s="109" cm="1">
        <f t="array" aca="1" ref="H93" ca="1">_xlfn.LET(_xlpm._来月から4ヶ月計画合計,
  SUM(
    OFFSET($A93,0,
      MATCH(
        EDATE(基準データ!$C$5,3),$A$1:$BF$1,1
      )-3,1,4)),
_xlpm._今月計画数,
INDEX($A$1:$BE$223,
  ROW(),
  MATCH(EOMONTH(基準データ!$C$5,-1)+1,$A$1:$BE$1,0)
),
  IFERROR(IF($B93="","",_xlpm._来月から4ヶ月計画合計+_xlpm._今月計画数/2),""
)
)</f>
        <v>5.0824468777369614</v>
      </c>
      <c r="I93" s="311"/>
      <c r="J93" s="311"/>
      <c r="K93" s="311"/>
      <c r="L93" s="311"/>
      <c r="M93" s="311"/>
      <c r="N93" s="180"/>
      <c r="O93" s="311"/>
      <c r="P93" s="311"/>
      <c r="Q93" s="298"/>
      <c r="R93" s="298"/>
      <c r="S93" s="298"/>
      <c r="T93" s="298"/>
      <c r="U93" s="224"/>
      <c r="V93" s="237"/>
      <c r="W93" s="333">
        <v>69</v>
      </c>
      <c r="X93" s="333">
        <v>155</v>
      </c>
      <c r="Y93" s="333">
        <v>118</v>
      </c>
      <c r="Z93" s="219">
        <v>119</v>
      </c>
      <c r="AA93" s="219">
        <v>160</v>
      </c>
      <c r="AB93" s="219">
        <v>141</v>
      </c>
      <c r="AC93" s="224">
        <v>129</v>
      </c>
      <c r="AD93" s="224">
        <v>0</v>
      </c>
      <c r="AE93" s="223">
        <v>123</v>
      </c>
      <c r="AF93" s="223">
        <v>73</v>
      </c>
      <c r="AG93" s="223">
        <v>80</v>
      </c>
      <c r="AH93" s="223">
        <v>94</v>
      </c>
      <c r="AI93" s="223">
        <v>373</v>
      </c>
      <c r="AJ93" s="223">
        <v>202</v>
      </c>
      <c r="AK93" s="223">
        <v>59</v>
      </c>
      <c r="AL93" s="223" cm="1">
        <f t="array" aca="1" ref="AL93" ca="1">IF($C93="","",
  IFERROR(
    _xlfn.LET(
      _xlpm._対象月初,EOMONTH(AL$1,-1)+1,
      _xlpm._今月初,EOMONTH(基準データ!$C$5,-1)+1,
      IF(
        _xlpm._対象月初&gt;_xlpm._今月初,
        IF(
          OR(AK93="",AK93=0),
          "",
          AK93*AL$107
        ),
        _xlfn.LET(
          _xlpm._参照先,
            "'[在庫状況把握_43期_2025-2026.xlsx]月次報告"
            &amp;TEXT(AL$1,"YYMM")
            &amp;"'!",
          _xlpm._戻り範囲,
            IF(
              _xlpm._対象月初=_xlpm._今月初,
              "$AG$1:$AG$300",
              "$G$1:$G$300"
            ),
          _xlfn.XLOOKUP(
            $C93,
            INDIRECT(_xlpm._参照先&amp;"$C$1:$C$300"),
            INDIRECT(_xlpm._参照先&amp;_xlpm._戻り範囲)
          )
        )
      )
    ),
    ""
  )
)</f>
        <v>1</v>
      </c>
      <c r="AM93" s="223" cm="1">
        <f t="array" aca="1" ref="AM93" ca="1">IF($C93="","",
  IFERROR(
    _xlfn.LET(
      _xlpm._対象月初,EOMONTH(AM$1,-1)+1,
      _xlpm._今月初,EOMONTH(基準データ!$C$5,-1)+1,
      IF(
        _xlpm._対象月初&gt;_xlpm._今月初,
        IF(
          OR(AL93="",AL93=0),
          "",
          AL93*AM$107
        ),
        _xlfn.LET(
          _xlpm._参照先,
            "'[在庫状況把握_43期_2025-2026.xlsx]月次報告"
            &amp;TEXT(AM$1,"YYMM")
            &amp;"'!",
          _xlpm._戻り範囲,
            IF(
              _xlpm._対象月初=_xlpm._今月初,
              "$AG$1:$AG$300",
              "$G$1:$G$300"
            ),
          _xlfn.XLOOKUP(
            $C93,
            INDIRECT(_xlpm._参照先&amp;"$C$1:$C$300"),
            INDIRECT(_xlpm._参照先&amp;_xlpm._戻り範囲)
          )
        )
      )
    ),
    ""
  )
)</f>
        <v>1.107142857142857</v>
      </c>
      <c r="AN93" s="223" cm="1">
        <f t="array" aca="1" ref="AN93" ca="1">IF($C93="","",
  IFERROR(
    _xlfn.LET(
      _xlpm._対象月初,EOMONTH(AN$1,-1)+1,
      _xlpm._今月初,EOMONTH(基準データ!$C$5,-1)+1,
      IF(
        _xlpm._対象月初&gt;_xlpm._今月初,
        IF(
          OR(AM93="",AM93=0),
          "",
          AM93*AN$107
        ),
        _xlfn.LET(
          _xlpm._参照先,
            "'[在庫状況把握_43期_2025-2026.xlsx]月次報告"
            &amp;TEXT(AN$1,"YYMM")
            &amp;"'!",
          _xlpm._戻り範囲,
            IF(
              _xlpm._対象月初=_xlpm._今月初,
              "$AG$1:$AG$300",
              "$G$1:$G$300"
            ),
          _xlfn.XLOOKUP(
            $C93,
            INDIRECT(_xlpm._参照先&amp;"$C$1:$C$300"),
            INDIRECT(_xlpm._参照先&amp;_xlpm._戻り範囲)
          )
        )
      )
    ),
    ""
  )
)</f>
        <v>1.0183047267687499</v>
      </c>
      <c r="AO93" s="223" cm="1">
        <f t="array" aca="1" ref="AO93" ca="1">IF($C93="","",
  IFERROR(
    _xlfn.LET(
      _xlpm._対象月初,EOMONTH(AO$1,-1)+1,
      _xlpm._今月初,EOMONTH(基準データ!$C$5,-1)+1,
      IF(
        _xlpm._対象月初&gt;_xlpm._今月初,
        IF(
          OR(AN93="",AN93=0),
          "",
          AN93*AO$107
        ),
        _xlfn.LET(
          _xlpm._参照先,
            "'[在庫状況把握_43期_2025-2026.xlsx]月次報告"
            &amp;TEXT(AO$1,"YYMM")
            &amp;"'!",
          _xlpm._戻り範囲,
            IF(
              _xlpm._対象月初=_xlpm._今月初,
              "$AG$1:$AG$300",
              "$G$1:$G$300"
            ),
          _xlfn.XLOOKUP(
            $C93,
            INDIRECT(_xlpm._参照先&amp;"$C$1:$C$300"),
            INDIRECT(_xlpm._参照先&amp;_xlpm._戻り範囲)
          )
        )
      )
    ),
    ""
  )
)</f>
        <v>1.100002071458398</v>
      </c>
      <c r="AP93" s="223" cm="1">
        <f t="array" aca="1" ref="AP93" ca="1">IF($C93="","",
  IFERROR(
    _xlfn.LET(
      _xlpm._対象月初,EOMONTH(AP$1,-1)+1,
      _xlpm._今月初,EOMONTH(基準データ!$C$5,-1)+1,
      IF(
        _xlpm._対象月初&gt;_xlpm._今月初,
        IF(
          OR(AO93="",AO93=0),
          "",
          AO93*AP$107
        ),
        _xlfn.LET(
          _xlpm._参照先,
            "'[在庫状況把握_43期_2025-2026.xlsx]月次報告"
            &amp;TEXT(AP$1,"YYMM")
            &amp;"'!",
          _xlpm._戻り範囲,
            IF(
              _xlpm._対象月初=_xlpm._今月初,
              "$AG$1:$AG$300",
              "$G$1:$G$300"
            ),
          _xlfn.XLOOKUP(
            $C93,
            INDIRECT(_xlpm._参照先&amp;"$C$1:$C$300"),
            INDIRECT(_xlpm._参照先&amp;_xlpm._戻り範囲)
          )
        )
      )
    ),
    ""
  )
)</f>
        <v>1.1845838393660475</v>
      </c>
      <c r="AQ93" s="223" cm="1">
        <f t="array" aca="1" ref="AQ93" ca="1">IF($C93="","",
  IFERROR(
    _xlfn.LET(
      _xlpm._対象月初,EOMONTH(AQ$1,-1)+1,
      _xlpm._今月初,EOMONTH(基準データ!$C$5,-1)+1,
      IF(
        _xlpm._対象月初&gt;_xlpm._今月初,
        IF(
          OR(AP93="",AP93=0),
          "",
          AP93*AQ$107
        ),
        _xlfn.LET(
          _xlpm._参照先,
            "'[在庫状況把握_43期_2025-2026.xlsx]月次報告"
            &amp;TEXT(AQ$1,"YYMM")
            &amp;"'!",
          _xlpm._戻り範囲,
            IF(
              _xlpm._対象月初=_xlpm._今月初,
              "$AG$1:$AG$300",
              "$G$1:$G$300"
            ),
          _xlfn.XLOOKUP(
            $C93,
            INDIRECT(_xlpm._参照先&amp;"$C$1:$C$300"),
            INDIRECT(_xlpm._参照先&amp;_xlpm._戻り範囲)
          )
        )
      )
    ),
    ""
  )
)</f>
        <v>1.2259848115723366</v>
      </c>
      <c r="AR93" s="223" cm="1">
        <f t="array" aca="1" ref="AR93" ca="1">IF($C93="","",
  IFERROR(
    _xlfn.LET(
      _xlpm._対象月初,EOMONTH(AR$1,-1)+1,
      _xlpm._今月初,EOMONTH(基準データ!$C$5,-1)+1,
      IF(
        _xlpm._対象月初&gt;_xlpm._今月初,
        IF(
          OR(AQ93="",AQ93=0),
          "",
          AQ93*AR$107
        ),
        _xlfn.LET(
          _xlpm._参照先,
            "'[在庫状況把握_43期_2025-2026.xlsx]月次報告"
            &amp;TEXT(AR$1,"YYMM")
            &amp;"'!",
          _xlpm._戻り範囲,
            IF(
              _xlpm._対象月初=_xlpm._今月初,
              "$AG$1:$AG$300",
              "$G$1:$G$300"
            ),
          _xlfn.XLOOKUP(
            $C93,
            INDIRECT(_xlpm._参照先&amp;"$C$1:$C$300"),
            INDIRECT(_xlpm._参照先&amp;_xlpm._戻り範囲)
          )
        )
      )
    ),
    ""
  )
)</f>
        <v>1.807013553747421</v>
      </c>
      <c r="AS93" s="223" cm="1">
        <f t="array" aca="1" ref="AS93" ca="1">IF($C93="","",
  IFERROR(
    _xlfn.LET(
      _xlpm._対象月初,EOMONTH(AS$1,-1)+1,
      _xlpm._今月初,EOMONTH(基準データ!$C$5,-1)+1,
      IF(
        _xlpm._対象月初&gt;_xlpm._今月初,
        IF(
          OR(AR93="",AR93=0),
          "",
          AR93*AS$107
        ),
        _xlfn.LET(
          _xlpm._参照先,
            "'[在庫状況把握_43期_2025-2026.xlsx]月次報告"
            &amp;TEXT(AS$1,"YYMM")
            &amp;"'!",
          _xlpm._戻り範囲,
            IF(
              _xlpm._対象月初=_xlpm._今月初,
              "$AG$1:$AG$300",
              "$G$1:$G$300"
            ),
          _xlfn.XLOOKUP(
            $C93,
            INDIRECT(_xlpm._参照先&amp;"$C$1:$C$300"),
            INDIRECT(_xlpm._参照先&amp;_xlpm._戻り範囲)
          )
        )
      )
    ),
    ""
  )
)</f>
        <v>1.5593957903712585</v>
      </c>
      <c r="AT93" s="223" cm="1">
        <f t="array" aca="1" ref="AT93" ca="1">IF($C93="","",
  IFERROR(
    _xlfn.LET(
      _xlpm._対象月初,EOMONTH(AT$1,-1)+1,
      _xlpm._今月初,EOMONTH(基準データ!$C$5,-1)+1,
      IF(
        _xlpm._対象月初&gt;_xlpm._今月初,
        IF(
          OR(AS93="",AS93=0),
          "",
          AS93*AT$107
        ),
        _xlfn.LET(
          _xlpm._参照先,
            "'[在庫状況把握_43期_2025-2026.xlsx]月次報告"
            &amp;TEXT(AT$1,"YYMM")
            &amp;"'!",
          _xlpm._戻り範囲,
            IF(
              _xlpm._対象月初=_xlpm._今月初,
              "$AG$1:$AG$300",
              "$G$1:$G$300"
            ),
          _xlfn.XLOOKUP(
            $C93,
            INDIRECT(_xlpm._参照先&amp;"$C$1:$C$300"),
            INDIRECT(_xlpm._参照先&amp;_xlpm._戻り範囲)
          )
        )
      )
    ),
    ""
  )
)</f>
        <v>1.4702179500669179</v>
      </c>
      <c r="AU93" s="223" cm="1">
        <f t="array" aca="1" ref="AU93" ca="1">IF($C93="","",
  IFERROR(
    _xlfn.LET(
      _xlpm._対象月初,EOMONTH(AU$1,-1)+1,
      _xlpm._今月初,EOMONTH(基準データ!$C$5,-1)+1,
      IF(
        _xlpm._対象月初&gt;_xlpm._今月初,
        IF(
          OR(AT93="",AT93=0),
          "",
          AT93*AU$107
        ),
        _xlfn.LET(
          _xlpm._参照先,
            "'[在庫状況把握_43期_2025-2026.xlsx]月次報告"
            &amp;TEXT(AU$1,"YYMM")
            &amp;"'!",
          _xlpm._戻り範囲,
            IF(
              _xlpm._対象月初=_xlpm._今月初,
              "$AG$1:$AG$300",
              "$G$1:$G$300"
            ),
          _xlfn.XLOOKUP(
            $C93,
            INDIRECT(_xlpm._参照先&amp;"$C$1:$C$300"),
            INDIRECT(_xlpm._参照先&amp;_xlpm._戻り範囲)
          )
        )
      )
    ),
    ""
  )
)</f>
        <v>2.1727238294923481</v>
      </c>
      <c r="AV93" s="223" cm="1">
        <f t="array" aca="1" ref="AV93" ca="1">IF($C93="","",
  IFERROR(
    _xlfn.LET(
      _xlpm._対象月初,EOMONTH(AV$1,-1)+1,
      _xlpm._今月初,EOMONTH(基準データ!$C$5,-1)+1,
      IF(
        _xlpm._対象月初&gt;_xlpm._今月初,
        IF(
          OR(AU93="",AU93=0),
          "",
          AU93*AV$107
        ),
        _xlfn.LET(
          _xlpm._参照先,
            "'[在庫状況把握_43期_2025-2026.xlsx]月次報告"
            &amp;TEXT(AV$1,"YYMM")
            &amp;"'!",
          _xlpm._戻り範囲,
            IF(
              _xlpm._対象月初=_xlpm._今月初,
              "$AG$1:$AG$300",
              "$G$1:$G$300"
            ),
          _xlfn.XLOOKUP(
            $C93,
            INDIRECT(_xlpm._参照先&amp;"$C$1:$C$300"),
            INDIRECT(_xlpm._参照先&amp;_xlpm._戻り範囲)
          )
        )
      )
    ),
    ""
  )
)</f>
        <v>1.3341221517438511</v>
      </c>
      <c r="AW93" s="223" cm="1">
        <f t="array" aca="1" ref="AW93" ca="1">IF($C93="","",
  IFERROR(
    _xlfn.LET(
      _xlpm._対象月初,EOMONTH(AW$1,-1)+1,
      _xlpm._今月初,EOMONTH(基準データ!$C$5,-1)+1,
      IF(
        _xlpm._対象月初&gt;_xlpm._今月初,
        IF(
          OR(AV93="",AV93=0),
          "",
          AV93*AW$107
        ),
        _xlfn.LET(
          _xlpm._参照先,
            "'[在庫状況把握_43期_2025-2026.xlsx]月次報告"
            &amp;TEXT(AW$1,"YYMM")
            &amp;"'!",
          _xlpm._戻り範囲,
            IF(
              _xlpm._対象月初=_xlpm._今月初,
              "$AG$1:$AG$300",
              "$G$1:$G$300"
            ),
          _xlfn.XLOOKUP(
            $C93,
            INDIRECT(_xlpm._参照先&amp;"$C$1:$C$300"),
            INDIRECT(_xlpm._参照先&amp;_xlpm._戻り範囲)
          )
        )
      )
    ),
    ""
  )
)</f>
        <v>0.96754581300965026</v>
      </c>
      <c r="AX93" s="223" cm="1">
        <f t="array" aca="1" ref="AX93" ca="1">IF($C93="","",
  IFERROR(
    _xlfn.LET(
      _xlpm._対象月初,EOMONTH(AX$1,-1)+1,
      _xlpm._今月初,EOMONTH(基準データ!$C$5,-1)+1,
      IF(
        _xlpm._対象月初&gt;_xlpm._今月初,
        IF(
          OR(AW93="",AW93=0),
          "",
          AW93*AX$107
        ),
        _xlfn.LET(
          _xlpm._参照先,
            "'[在庫状況把握_43期_2025-2026.xlsx]月次報告"
            &amp;TEXT(AX$1,"YYMM")
            &amp;"'!",
          _xlpm._戻り範囲,
            IF(
              _xlpm._対象月初=_xlpm._今月初,
              "$AG$1:$AG$300",
              "$G$1:$G$300"
            ),
          _xlfn.XLOOKUP(
            $C93,
            INDIRECT(_xlpm._参照先&amp;"$C$1:$C$300"),
            INDIRECT(_xlpm._参照先&amp;_xlpm._戻り範囲)
          )
        )
      )
    ),
    ""
  )
)</f>
        <v>1.0088694856340923</v>
      </c>
      <c r="AY93" s="223" cm="1">
        <f t="array" aca="1" ref="AY93" ca="1">IF($C93="","",
  IFERROR(
    _xlfn.LET(
      _xlpm._対象月初,EOMONTH(AY$1,-1)+1,
      _xlpm._今月初,EOMONTH(基準データ!$C$5,-1)+1,
      IF(
        _xlpm._対象月初&gt;_xlpm._今月初,
        IF(
          OR(AX93="",AX93=0),
          "",
          AX93*AY$107
        ),
        _xlfn.LET(
          _xlpm._参照先,
            "'[在庫状況把握_43期_2025-2026.xlsx]月次報告"
            &amp;TEXT(AY$1,"YYMM")
            &amp;"'!",
          _xlpm._戻り範囲,
            IF(
              _xlpm._対象月初=_xlpm._今月初,
              "$AG$1:$AG$300",
              "$G$1:$G$300"
            ),
          _xlfn.XLOOKUP(
            $C93,
            INDIRECT(_xlpm._参照先&amp;"$C$1:$C$300"),
            INDIRECT(_xlpm._参照先&amp;_xlpm._戻り範囲)
          )
        )
      )
    ),
    ""
  )
)</f>
        <v>1.107142857142857</v>
      </c>
      <c r="AZ93" s="223" cm="1">
        <f t="array" aca="1" ref="AZ93" ca="1">IF($C93="","",
  IFERROR(
    _xlfn.LET(
      _xlpm._対象月初,EOMONTH(AZ$1,-1)+1,
      _xlpm._今月初,EOMONTH(基準データ!$C$5,-1)+1,
      IF(
        _xlpm._対象月初&gt;_xlpm._今月初,
        IF(
          OR(AY93="",AY93=0),
          "",
          AY93*AZ$107
        ),
        _xlfn.LET(
          _xlpm._参照先,
            "'[在庫状況把握_43期_2025-2026.xlsx]月次報告"
            &amp;TEXT(AZ$1,"YYMM")
            &amp;"'!",
          _xlpm._戻り範囲,
            IF(
              _xlpm._対象月初=_xlpm._今月初,
              "$AG$1:$AG$300",
              "$G$1:$G$300"
            ),
          _xlfn.XLOOKUP(
            $C93,
            INDIRECT(_xlpm._参照先&amp;"$C$1:$C$300"),
            INDIRECT(_xlpm._参照先&amp;_xlpm._戻り範囲)
          )
        )
      )
    ),
    ""
  )
)</f>
        <v>1.0183047267687499</v>
      </c>
      <c r="BA93" s="223" cm="1">
        <f t="array" aca="1" ref="BA93" ca="1">IF($C93="","",
  IFERROR(
    _xlfn.LET(
      _xlpm._対象月初,EOMONTH(BA$1,-1)+1,
      _xlpm._今月初,EOMONTH(基準データ!$C$5,-1)+1,
      IF(
        _xlpm._対象月初&gt;_xlpm._今月初,
        IF(
          OR(AZ93="",AZ93=0),
          "",
          AZ93*BA$107
        ),
        _xlfn.LET(
          _xlpm._参照先,
            "'[在庫状況把握_43期_2025-2026.xlsx]月次報告"
            &amp;TEXT(BA$1,"YYMM")
            &amp;"'!",
          _xlpm._戻り範囲,
            IF(
              _xlpm._対象月初=_xlpm._今月初,
              "$AG$1:$AG$300",
              "$G$1:$G$300"
            ),
          _xlfn.XLOOKUP(
            $C93,
            INDIRECT(_xlpm._参照先&amp;"$C$1:$C$300"),
            INDIRECT(_xlpm._参照先&amp;_xlpm._戻り範囲)
          )
        )
      )
    ),
    ""
  )
)</f>
        <v>1.100002071458398</v>
      </c>
      <c r="BB93" s="223" cm="1">
        <f t="array" aca="1" ref="BB93" ca="1">IF($C93="","",
  IFERROR(
    _xlfn.LET(
      _xlpm._対象月初,EOMONTH(BB$1,-1)+1,
      _xlpm._今月初,EOMONTH(基準データ!$C$5,-1)+1,
      IF(
        _xlpm._対象月初&gt;_xlpm._今月初,
        IF(
          OR(BA93="",BA93=0),
          "",
          BA93*BB$107
        ),
        _xlfn.LET(
          _xlpm._参照先,
            "'[在庫状況把握_43期_2025-2026.xlsx]月次報告"
            &amp;TEXT(BB$1,"YYMM")
            &amp;"'!",
          _xlpm._戻り範囲,
            IF(
              _xlpm._対象月初=_xlpm._今月初,
              "$AG$1:$AG$300",
              "$G$1:$G$300"
            ),
          _xlfn.XLOOKUP(
            $C93,
            INDIRECT(_xlpm._参照先&amp;"$C$1:$C$300"),
            INDIRECT(_xlpm._参照先&amp;_xlpm._戻り範囲)
          )
        )
      )
    ),
    ""
  )
)</f>
        <v>1.1845838393660475</v>
      </c>
      <c r="BC93" s="223" cm="1">
        <f t="array" aca="1" ref="BC93" ca="1">IF($C93="","",
  IFERROR(
    _xlfn.LET(
      _xlpm._対象月初,EOMONTH(BC$1,-1)+1,
      _xlpm._今月初,EOMONTH(基準データ!$C$5,-1)+1,
      IF(
        _xlpm._対象月初&gt;_xlpm._今月初,
        IF(
          OR(BB93="",BB93=0),
          "",
          BB93*BC$107
        ),
        _xlfn.LET(
          _xlpm._参照先,
            "'[在庫状況把握_43期_2025-2026.xlsx]月次報告"
            &amp;TEXT(BC$1,"YYMM")
            &amp;"'!",
          _xlpm._戻り範囲,
            IF(
              _xlpm._対象月初=_xlpm._今月初,
              "$AG$1:$AG$300",
              "$G$1:$G$300"
            ),
          _xlfn.XLOOKUP(
            $C93,
            INDIRECT(_xlpm._参照先&amp;"$C$1:$C$300"),
            INDIRECT(_xlpm._参照先&amp;_xlpm._戻り範囲)
          )
        )
      )
    ),
    ""
  )
)</f>
        <v>1.2259848115723366</v>
      </c>
      <c r="BD93" s="223" cm="1">
        <f t="array" aca="1" ref="BD93" ca="1">IF($C93="","",
  IFERROR(
    _xlfn.LET(
      _xlpm._対象月初,EOMONTH(BD$1,-1)+1,
      _xlpm._今月初,EOMONTH(基準データ!$C$5,-1)+1,
      IF(
        _xlpm._対象月初&gt;_xlpm._今月初,
        IF(
          OR(BC93="",BC93=0),
          "",
          BC93*BD$107
        ),
        _xlfn.LET(
          _xlpm._参照先,
            "'[在庫状況把握_43期_2025-2026.xlsx]月次報告"
            &amp;TEXT(BD$1,"YYMM")
            &amp;"'!",
          _xlpm._戻り範囲,
            IF(
              _xlpm._対象月初=_xlpm._今月初,
              "$AG$1:$AG$300",
              "$G$1:$G$300"
            ),
          _xlfn.XLOOKUP(
            $C93,
            INDIRECT(_xlpm._参照先&amp;"$C$1:$C$300"),
            INDIRECT(_xlpm._参照先&amp;_xlpm._戻り範囲)
          )
        )
      )
    ),
    ""
  )
)</f>
        <v>1.807013553747421</v>
      </c>
    </row>
    <row r="94" spans="1:56" ht="18.75" customHeight="1">
      <c r="A94" s="1061" t="s">
        <v>1473</v>
      </c>
      <c r="B94" s="55" t="str">
        <v>CLE-NL45-1334U-UMA-L6-TPM DDR5 Thirdwave</v>
      </c>
      <c r="C94" s="56" t="s">
        <v>733</v>
      </c>
      <c r="D94" s="57" t="s">
        <v>1434</v>
      </c>
      <c r="E94" s="58" t="s">
        <v>438</v>
      </c>
      <c r="F94" s="26" t="s">
        <v>1372</v>
      </c>
      <c r="G94" s="43">
        <v>259</v>
      </c>
      <c r="H94" s="109" cm="1">
        <f t="array" aca="1" ref="H94" ca="1">_xlfn.LET(_xlpm._来月から4ヶ月計画合計,
  SUM(
    OFFSET($A94,0,
      MATCH(
        EDATE(基準データ!$C$5,3),$A$1:$BF$1,1
      )-3,1,4)),
_xlpm._今月計画数,
INDEX($A$1:$BE$223,
  ROW(),
  MATCH(EOMONTH(基準データ!$C$5,-1)+1,$A$1:$BE$1,0)
),
  IFERROR(IF($B94="","",_xlpm._来月から4ヶ月計画合計+_xlpm._今月計画数/2),""
)
)</f>
        <v>604.81117845069832</v>
      </c>
      <c r="I94" s="311"/>
      <c r="J94" s="311"/>
      <c r="K94" s="311"/>
      <c r="L94" s="311"/>
      <c r="M94" s="311"/>
      <c r="N94" s="180"/>
      <c r="O94" s="311"/>
      <c r="P94" s="311"/>
      <c r="Q94" s="298"/>
      <c r="R94" s="298"/>
      <c r="S94" s="298"/>
      <c r="T94" s="219"/>
      <c r="U94" s="224"/>
      <c r="V94" s="237">
        <v>162</v>
      </c>
      <c r="W94" s="333">
        <v>912</v>
      </c>
      <c r="X94" s="333">
        <v>581</v>
      </c>
      <c r="Y94" s="333">
        <v>267</v>
      </c>
      <c r="Z94" s="219">
        <v>368</v>
      </c>
      <c r="AA94" s="219">
        <v>438</v>
      </c>
      <c r="AB94" s="219">
        <v>265</v>
      </c>
      <c r="AC94" s="224">
        <v>374</v>
      </c>
      <c r="AD94" s="224" t="s">
        <v>21</v>
      </c>
      <c r="AE94" s="223" t="s">
        <v>21</v>
      </c>
      <c r="AF94" s="223">
        <v>0</v>
      </c>
      <c r="AG94" s="223">
        <v>0</v>
      </c>
      <c r="AH94" s="223">
        <v>0</v>
      </c>
      <c r="AI94" s="223">
        <v>0</v>
      </c>
      <c r="AJ94" s="223">
        <v>2</v>
      </c>
      <c r="AK94" s="223">
        <v>16</v>
      </c>
      <c r="AL94" s="223" cm="1">
        <f t="array" aca="1" ref="AL94" ca="1">IF($C94="","",
  IFERROR(
    _xlfn.LET(
      _xlpm._対象月初,EOMONTH(AL$1,-1)+1,
      _xlpm._今月初,EOMONTH(基準データ!$C$5,-1)+1,
      IF(
        _xlpm._対象月初&gt;_xlpm._今月初,
        IF(
          OR(AK94="",AK94=0),
          "",
          AK94*AL$107
        ),
        _xlfn.LET(
          _xlpm._参照先,
            "'[在庫状況把握_43期_2025-2026.xlsx]月次報告"
            &amp;TEXT(AL$1,"YYMM")
            &amp;"'!",
          _xlpm._戻り範囲,
            IF(
              _xlpm._対象月初=_xlpm._今月初,
              "$AG$1:$AG$300",
              "$G$1:$G$300"
            ),
          _xlfn.XLOOKUP(
            $C94,
            INDIRECT(_xlpm._参照先&amp;"$C$1:$C$300"),
            INDIRECT(_xlpm._参照先&amp;_xlpm._戻り範囲)
          )
        )
      )
    ),
    ""
  )
)</f>
        <v>126</v>
      </c>
      <c r="AM94" s="223" cm="1">
        <f t="array" aca="1" ref="AM94" ca="1">IF($C94="","",
  IFERROR(
    _xlfn.LET(
      _xlpm._対象月初,EOMONTH(AM$1,-1)+1,
      _xlpm._今月初,EOMONTH(基準データ!$C$5,-1)+1,
      IF(
        _xlpm._対象月初&gt;_xlpm._今月初,
        IF(
          OR(AL94="",AL94=0),
          "",
          AL94*AM$107
        ),
        _xlfn.LET(
          _xlpm._参照先,
            "'[在庫状況把握_43期_2025-2026.xlsx]月次報告"
            &amp;TEXT(AM$1,"YYMM")
            &amp;"'!",
          _xlpm._戻り範囲,
            IF(
              _xlpm._対象月初=_xlpm._今月初,
              "$AG$1:$AG$300",
              "$G$1:$G$300"
            ),
          _xlfn.XLOOKUP(
            $C94,
            INDIRECT(_xlpm._参照先&amp;"$C$1:$C$300"),
            INDIRECT(_xlpm._参照先&amp;_xlpm._戻り範囲)
          )
        )
      )
    ),
    ""
  )
)</f>
        <v>131.75</v>
      </c>
      <c r="AN94" s="223" cm="1">
        <f t="array" aca="1" ref="AN94" ca="1">IF($C94="","",
  IFERROR(
    _xlfn.LET(
      _xlpm._対象月初,EOMONTH(AN$1,-1)+1,
      _xlpm._今月初,EOMONTH(基準データ!$C$5,-1)+1,
      IF(
        _xlpm._対象月初&gt;_xlpm._今月初,
        IF(
          OR(AM94="",AM94=0),
          "",
          AM94*AN$107
        ),
        _xlfn.LET(
          _xlpm._参照先,
            "'[在庫状況把握_43期_2025-2026.xlsx]月次報告"
            &amp;TEXT(AN$1,"YYMM")
            &amp;"'!",
          _xlpm._戻り範囲,
            IF(
              _xlpm._対象月初=_xlpm._今月初,
              "$AG$1:$AG$300",
              "$G$1:$G$300"
            ),
          _xlfn.XLOOKUP(
            $C94,
            INDIRECT(_xlpm._参照先&amp;"$C$1:$C$300"),
            INDIRECT(_xlpm._参照先&amp;_xlpm._戻り範囲)
          )
        )
      )
    ),
    ""
  )
)</f>
        <v>121.17826248548126</v>
      </c>
      <c r="AO94" s="223" cm="1">
        <f t="array" aca="1" ref="AO94" ca="1">IF($C94="","",
  IFERROR(
    _xlfn.LET(
      _xlpm._対象月初,EOMONTH(AO$1,-1)+1,
      _xlpm._今月初,EOMONTH(基準データ!$C$5,-1)+1,
      IF(
        _xlpm._対象月初&gt;_xlpm._今月初,
        IF(
          OR(AN94="",AN94=0),
          "",
          AN94*AO$107
        ),
        _xlfn.LET(
          _xlpm._参照先,
            "'[在庫状況把握_43期_2025-2026.xlsx]月次報告"
            &amp;TEXT(AO$1,"YYMM")
            &amp;"'!",
          _xlpm._戻り範囲,
            IF(
              _xlpm._対象月初=_xlpm._今月初,
              "$AG$1:$AG$300",
              "$G$1:$G$300"
            ),
          _xlfn.XLOOKUP(
            $C94,
            INDIRECT(_xlpm._参照先&amp;"$C$1:$C$300"),
            INDIRECT(_xlpm._参照先&amp;_xlpm._戻り範囲)
          )
        )
      )
    ),
    ""
  )
)</f>
        <v>130.90024650354937</v>
      </c>
      <c r="AP94" s="223" cm="1">
        <f t="array" aca="1" ref="AP94" ca="1">IF($C94="","",
  IFERROR(
    _xlfn.LET(
      _xlpm._対象月初,EOMONTH(AP$1,-1)+1,
      _xlpm._今月初,EOMONTH(基準データ!$C$5,-1)+1,
      IF(
        _xlpm._対象月初&gt;_xlpm._今月初,
        IF(
          OR(AO94="",AO94=0),
          "",
          AO94*AP$107
        ),
        _xlfn.LET(
          _xlpm._参照先,
            "'[在庫状況把握_43期_2025-2026.xlsx]月次報告"
            &amp;TEXT(AP$1,"YYMM")
            &amp;"'!",
          _xlpm._戻り範囲,
            IF(
              _xlpm._対象月初=_xlpm._今月初,
              "$AG$1:$AG$300",
              "$G$1:$G$300"
            ),
          _xlfn.XLOOKUP(
            $C94,
            INDIRECT(_xlpm._参照先&amp;"$C$1:$C$300"),
            INDIRECT(_xlpm._参照先&amp;_xlpm._戻り範囲)
          )
        )
      )
    ),
    ""
  )
)</f>
        <v>140.96547688455965</v>
      </c>
      <c r="AQ94" s="223" cm="1">
        <f t="array" aca="1" ref="AQ94" ca="1">IF($C94="","",
  IFERROR(
    _xlfn.LET(
      _xlpm._対象月初,EOMONTH(AQ$1,-1)+1,
      _xlpm._今月初,EOMONTH(基準データ!$C$5,-1)+1,
      IF(
        _xlpm._対象月初&gt;_xlpm._今月初,
        IF(
          OR(AP94="",AP94=0),
          "",
          AP94*AQ$107
        ),
        _xlfn.LET(
          _xlpm._参照先,
            "'[在庫状況把握_43期_2025-2026.xlsx]月次報告"
            &amp;TEXT(AQ$1,"YYMM")
            &amp;"'!",
          _xlpm._戻り範囲,
            IF(
              _xlpm._対象月初=_xlpm._今月初,
              "$AG$1:$AG$300",
              "$G$1:$G$300"
            ),
          _xlfn.XLOOKUP(
            $C94,
            INDIRECT(_xlpm._参照先&amp;"$C$1:$C$300"),
            INDIRECT(_xlpm._参照先&amp;_xlpm._戻り範囲)
          )
        )
      )
    ),
    ""
  )
)</f>
        <v>145.89219257710803</v>
      </c>
      <c r="AR94" s="223" cm="1">
        <f t="array" aca="1" ref="AR94" ca="1">IF($C94="","",
  IFERROR(
    _xlfn.LET(
      _xlpm._対象月初,EOMONTH(AR$1,-1)+1,
      _xlpm._今月初,EOMONTH(基準データ!$C$5,-1)+1,
      IF(
        _xlpm._対象月初&gt;_xlpm._今月初,
        IF(
          OR(AQ94="",AQ94=0),
          "",
          AQ94*AR$107
        ),
        _xlfn.LET(
          _xlpm._参照先,
            "'[在庫状況把握_43期_2025-2026.xlsx]月次報告"
            &amp;TEXT(AR$1,"YYMM")
            &amp;"'!",
          _xlpm._戻り範囲,
            IF(
              _xlpm._対象月初=_xlpm._今月初,
              "$AG$1:$AG$300",
              "$G$1:$G$300"
            ),
          _xlfn.XLOOKUP(
            $C94,
            INDIRECT(_xlpm._参照先&amp;"$C$1:$C$300"),
            INDIRECT(_xlpm._参照先&amp;_xlpm._戻り範囲)
          )
        )
      )
    ),
    ""
  )
)</f>
        <v>215.03461289594307</v>
      </c>
      <c r="AS94" s="223" cm="1">
        <f t="array" aca="1" ref="AS94" ca="1">IF($C94="","",
  IFERROR(
    _xlfn.LET(
      _xlpm._対象月初,EOMONTH(AS$1,-1)+1,
      _xlpm._今月初,EOMONTH(基準データ!$C$5,-1)+1,
      IF(
        _xlpm._対象月初&gt;_xlpm._今月初,
        IF(
          OR(AR94="",AR94=0),
          "",
          AR94*AS$107
        ),
        _xlfn.LET(
          _xlpm._参照先,
            "'[在庫状況把握_43期_2025-2026.xlsx]月次報告"
            &amp;TEXT(AS$1,"YYMM")
            &amp;"'!",
          _xlpm._戻り範囲,
            IF(
              _xlpm._対象月初=_xlpm._今月初,
              "$AG$1:$AG$300",
              "$G$1:$G$300"
            ),
          _xlfn.XLOOKUP(
            $C94,
            INDIRECT(_xlpm._参照先&amp;"$C$1:$C$300"),
            INDIRECT(_xlpm._参照先&amp;_xlpm._戻り範囲)
          )
        )
      )
    ),
    ""
  )
)</f>
        <v>185.56809905417975</v>
      </c>
      <c r="AT94" s="223" cm="1">
        <f t="array" aca="1" ref="AT94" ca="1">IF($C94="","",
  IFERROR(
    _xlfn.LET(
      _xlpm._対象月初,EOMONTH(AT$1,-1)+1,
      _xlpm._今月初,EOMONTH(基準データ!$C$5,-1)+1,
      IF(
        _xlpm._対象月初&gt;_xlpm._今月初,
        IF(
          OR(AS94="",AS94=0),
          "",
          AS94*AT$107
        ),
        _xlfn.LET(
          _xlpm._参照先,
            "'[在庫状況把握_43期_2025-2026.xlsx]月次報告"
            &amp;TEXT(AT$1,"YYMM")
            &amp;"'!",
          _xlpm._戻り範囲,
            IF(
              _xlpm._対象月初=_xlpm._今月初,
              "$AG$1:$AG$300",
              "$G$1:$G$300"
            ),
          _xlfn.XLOOKUP(
            $C94,
            INDIRECT(_xlpm._参照先&amp;"$C$1:$C$300"),
            INDIRECT(_xlpm._参照先&amp;_xlpm._戻り範囲)
          )
        )
      )
    ),
    ""
  )
)</f>
        <v>174.95593605796324</v>
      </c>
      <c r="AU94" s="223" cm="1">
        <f t="array" aca="1" ref="AU94" ca="1">IF($C94="","",
  IFERROR(
    _xlfn.LET(
      _xlpm._対象月初,EOMONTH(AU$1,-1)+1,
      _xlpm._今月初,EOMONTH(基準データ!$C$5,-1)+1,
      IF(
        _xlpm._対象月初&gt;_xlpm._今月初,
        IF(
          OR(AT94="",AT94=0),
          "",
          AT94*AU$107
        ),
        _xlfn.LET(
          _xlpm._参照先,
            "'[在庫状況把握_43期_2025-2026.xlsx]月次報告"
            &amp;TEXT(AU$1,"YYMM")
            &amp;"'!",
          _xlpm._戻り範囲,
            IF(
              _xlpm._対象月初=_xlpm._今月初,
              "$AG$1:$AG$300",
              "$G$1:$G$300"
            ),
          _xlfn.XLOOKUP(
            $C94,
            INDIRECT(_xlpm._参照先&amp;"$C$1:$C$300"),
            INDIRECT(_xlpm._参照先&amp;_xlpm._戻り範囲)
          )
        )
      )
    ),
    ""
  )
)</f>
        <v>258.55413570958945</v>
      </c>
      <c r="AV94" s="223" cm="1">
        <f t="array" aca="1" ref="AV94" ca="1">IF($C94="","",
  IFERROR(
    _xlfn.LET(
      _xlpm._対象月初,EOMONTH(AV$1,-1)+1,
      _xlpm._今月初,EOMONTH(基準データ!$C$5,-1)+1,
      IF(
        _xlpm._対象月初&gt;_xlpm._今月初,
        IF(
          OR(AU94="",AU94=0),
          "",
          AU94*AV$107
        ),
        _xlfn.LET(
          _xlpm._参照先,
            "'[在庫状況把握_43期_2025-2026.xlsx]月次報告"
            &amp;TEXT(AV$1,"YYMM")
            &amp;"'!",
          _xlpm._戻り範囲,
            IF(
              _xlpm._対象月初=_xlpm._今月初,
              "$AG$1:$AG$300",
              "$G$1:$G$300"
            ),
          _xlfn.XLOOKUP(
            $C94,
            INDIRECT(_xlpm._参照先&amp;"$C$1:$C$300"),
            INDIRECT(_xlpm._参照先&amp;_xlpm._戻り範囲)
          )
        )
      )
    ),
    ""
  )
)</f>
        <v>158.76053605751829</v>
      </c>
      <c r="AW94" s="223" cm="1">
        <f t="array" aca="1" ref="AW94" ca="1">IF($C94="","",
  IFERROR(
    _xlfn.LET(
      _xlpm._対象月初,EOMONTH(AW$1,-1)+1,
      _xlpm._今月初,EOMONTH(基準データ!$C$5,-1)+1,
      IF(
        _xlpm._対象月初&gt;_xlpm._今月初,
        IF(
          OR(AV94="",AV94=0),
          "",
          AV94*AW$107
        ),
        _xlfn.LET(
          _xlpm._参照先,
            "'[在庫状況把握_43期_2025-2026.xlsx]月次報告"
            &amp;TEXT(AW$1,"YYMM")
            &amp;"'!",
          _xlpm._戻り範囲,
            IF(
              _xlpm._対象月初=_xlpm._今月初,
              "$AG$1:$AG$300",
              "$G$1:$G$300"
            ),
          _xlfn.XLOOKUP(
            $C94,
            INDIRECT(_xlpm._参照先&amp;"$C$1:$C$300"),
            INDIRECT(_xlpm._参照先&amp;_xlpm._戻り範囲)
          )
        )
      )
    ),
    ""
  )
)</f>
        <v>115.1379517481484</v>
      </c>
      <c r="AX94" s="223" cm="1">
        <f t="array" aca="1" ref="AX94" ca="1">IF($C94="","",
  IFERROR(
    _xlfn.LET(
      _xlpm._対象月初,EOMONTH(AX$1,-1)+1,
      _xlpm._今月初,EOMONTH(基準データ!$C$5,-1)+1,
      IF(
        _xlpm._対象月初&gt;_xlpm._今月初,
        IF(
          OR(AW94="",AW94=0),
          "",
          AW94*AX$107
        ),
        _xlfn.LET(
          _xlpm._参照先,
            "'[在庫状況把握_43期_2025-2026.xlsx]月次報告"
            &amp;TEXT(AX$1,"YYMM")
            &amp;"'!",
          _xlpm._戻り範囲,
            IF(
              _xlpm._対象月初=_xlpm._今月初,
              "$AG$1:$AG$300",
              "$G$1:$G$300"
            ),
          _xlfn.XLOOKUP(
            $C94,
            INDIRECT(_xlpm._参照先&amp;"$C$1:$C$300"),
            INDIRECT(_xlpm._参照先&amp;_xlpm._戻り範囲)
          )
        )
      )
    ),
    ""
  )
)</f>
        <v>120.055468790457</v>
      </c>
      <c r="AY94" s="223" cm="1">
        <f t="array" aca="1" ref="AY94" ca="1">IF($C94="","",
  IFERROR(
    _xlfn.LET(
      _xlpm._対象月初,EOMONTH(AY$1,-1)+1,
      _xlpm._今月初,EOMONTH(基準データ!$C$5,-1)+1,
      IF(
        _xlpm._対象月初&gt;_xlpm._今月初,
        IF(
          OR(AX94="",AX94=0),
          "",
          AX94*AY$107
        ),
        _xlfn.LET(
          _xlpm._参照先,
            "'[在庫状況把握_43期_2025-2026.xlsx]月次報告"
            &amp;TEXT(AY$1,"YYMM")
            &amp;"'!",
          _xlpm._戻り範囲,
            IF(
              _xlpm._対象月初=_xlpm._今月初,
              "$AG$1:$AG$300",
              "$G$1:$G$300"
            ),
          _xlfn.XLOOKUP(
            $C94,
            INDIRECT(_xlpm._参照先&amp;"$C$1:$C$300"),
            INDIRECT(_xlpm._参照先&amp;_xlpm._戻り範囲)
          )
        )
      )
    ),
    ""
  )
)</f>
        <v>131.75</v>
      </c>
      <c r="AZ94" s="223" cm="1">
        <f t="array" aca="1" ref="AZ94" ca="1">IF($C94="","",
  IFERROR(
    _xlfn.LET(
      _xlpm._対象月初,EOMONTH(AZ$1,-1)+1,
      _xlpm._今月初,EOMONTH(基準データ!$C$5,-1)+1,
      IF(
        _xlpm._対象月初&gt;_xlpm._今月初,
        IF(
          OR(AY94="",AY94=0),
          "",
          AY94*AZ$107
        ),
        _xlfn.LET(
          _xlpm._参照先,
            "'[在庫状況把握_43期_2025-2026.xlsx]月次報告"
            &amp;TEXT(AZ$1,"YYMM")
            &amp;"'!",
          _xlpm._戻り範囲,
            IF(
              _xlpm._対象月初=_xlpm._今月初,
              "$AG$1:$AG$300",
              "$G$1:$G$300"
            ),
          _xlfn.XLOOKUP(
            $C94,
            INDIRECT(_xlpm._参照先&amp;"$C$1:$C$300"),
            INDIRECT(_xlpm._参照先&amp;_xlpm._戻り範囲)
          )
        )
      )
    ),
    ""
  )
)</f>
        <v>121.17826248548126</v>
      </c>
      <c r="BA94" s="223" cm="1">
        <f t="array" aca="1" ref="BA94" ca="1">IF($C94="","",
  IFERROR(
    _xlfn.LET(
      _xlpm._対象月初,EOMONTH(BA$1,-1)+1,
      _xlpm._今月初,EOMONTH(基準データ!$C$5,-1)+1,
      IF(
        _xlpm._対象月初&gt;_xlpm._今月初,
        IF(
          OR(AZ94="",AZ94=0),
          "",
          AZ94*BA$107
        ),
        _xlfn.LET(
          _xlpm._参照先,
            "'[在庫状況把握_43期_2025-2026.xlsx]月次報告"
            &amp;TEXT(BA$1,"YYMM")
            &amp;"'!",
          _xlpm._戻り範囲,
            IF(
              _xlpm._対象月初=_xlpm._今月初,
              "$AG$1:$AG$300",
              "$G$1:$G$300"
            ),
          _xlfn.XLOOKUP(
            $C94,
            INDIRECT(_xlpm._参照先&amp;"$C$1:$C$300"),
            INDIRECT(_xlpm._参照先&amp;_xlpm._戻り範囲)
          )
        )
      )
    ),
    ""
  )
)</f>
        <v>130.90024650354937</v>
      </c>
      <c r="BB94" s="223" cm="1">
        <f t="array" aca="1" ref="BB94" ca="1">IF($C94="","",
  IFERROR(
    _xlfn.LET(
      _xlpm._対象月初,EOMONTH(BB$1,-1)+1,
      _xlpm._今月初,EOMONTH(基準データ!$C$5,-1)+1,
      IF(
        _xlpm._対象月初&gt;_xlpm._今月初,
        IF(
          OR(BA94="",BA94=0),
          "",
          BA94*BB$107
        ),
        _xlfn.LET(
          _xlpm._参照先,
            "'[在庫状況把握_43期_2025-2026.xlsx]月次報告"
            &amp;TEXT(BB$1,"YYMM")
            &amp;"'!",
          _xlpm._戻り範囲,
            IF(
              _xlpm._対象月初=_xlpm._今月初,
              "$AG$1:$AG$300",
              "$G$1:$G$300"
            ),
          _xlfn.XLOOKUP(
            $C94,
            INDIRECT(_xlpm._参照先&amp;"$C$1:$C$300"),
            INDIRECT(_xlpm._参照先&amp;_xlpm._戻り範囲)
          )
        )
      )
    ),
    ""
  )
)</f>
        <v>140.96547688455965</v>
      </c>
      <c r="BC94" s="223" cm="1">
        <f t="array" aca="1" ref="BC94" ca="1">IF($C94="","",
  IFERROR(
    _xlfn.LET(
      _xlpm._対象月初,EOMONTH(BC$1,-1)+1,
      _xlpm._今月初,EOMONTH(基準データ!$C$5,-1)+1,
      IF(
        _xlpm._対象月初&gt;_xlpm._今月初,
        IF(
          OR(BB94="",BB94=0),
          "",
          BB94*BC$107
        ),
        _xlfn.LET(
          _xlpm._参照先,
            "'[在庫状況把握_43期_2025-2026.xlsx]月次報告"
            &amp;TEXT(BC$1,"YYMM")
            &amp;"'!",
          _xlpm._戻り範囲,
            IF(
              _xlpm._対象月初=_xlpm._今月初,
              "$AG$1:$AG$300",
              "$G$1:$G$300"
            ),
          _xlfn.XLOOKUP(
            $C94,
            INDIRECT(_xlpm._参照先&amp;"$C$1:$C$300"),
            INDIRECT(_xlpm._参照先&amp;_xlpm._戻り範囲)
          )
        )
      )
    ),
    ""
  )
)</f>
        <v>145.89219257710803</v>
      </c>
      <c r="BD94" s="223" cm="1">
        <f t="array" aca="1" ref="BD94" ca="1">IF($C94="","",
  IFERROR(
    _xlfn.LET(
      _xlpm._対象月初,EOMONTH(BD$1,-1)+1,
      _xlpm._今月初,EOMONTH(基準データ!$C$5,-1)+1,
      IF(
        _xlpm._対象月初&gt;_xlpm._今月初,
        IF(
          OR(BC94="",BC94=0),
          "",
          BC94*BD$107
        ),
        _xlfn.LET(
          _xlpm._参照先,
            "'[在庫状況把握_43期_2025-2026.xlsx]月次報告"
            &amp;TEXT(BD$1,"YYMM")
            &amp;"'!",
          _xlpm._戻り範囲,
            IF(
              _xlpm._対象月初=_xlpm._今月初,
              "$AG$1:$AG$300",
              "$G$1:$G$300"
            ),
          _xlfn.XLOOKUP(
            $C94,
            INDIRECT(_xlpm._参照先&amp;"$C$1:$C$300"),
            INDIRECT(_xlpm._参照先&amp;_xlpm._戻り範囲)
          )
        )
      )
    ),
    ""
  )
)</f>
        <v>215.03461289594307</v>
      </c>
    </row>
    <row r="95" spans="1:56" ht="18.75" customHeight="1">
      <c r="A95" s="1061" t="s">
        <v>1473</v>
      </c>
      <c r="B95" s="26" t="str">
        <v>CLE-NL45-7430U-UMA-L6-TPM Thirdwave</v>
      </c>
      <c r="C95" s="86" t="s">
        <v>839</v>
      </c>
      <c r="D95" s="62" t="s">
        <v>1430</v>
      </c>
      <c r="E95" s="26" t="s">
        <v>1423</v>
      </c>
      <c r="F95" s="26" t="s">
        <v>1372</v>
      </c>
      <c r="G95" s="43">
        <v>670</v>
      </c>
      <c r="H95" s="109" cm="1">
        <f t="array" aca="1" ref="H95" ca="1">_xlfn.LET(_xlpm._来月から4ヶ月計画合計,
  SUM(
    OFFSET($A95,0,
      MATCH(
        EDATE(基準データ!$C$5,3),$A$1:$BF$1,1
      )-3,1,4)),
_xlpm._今月計画数,
INDEX($A$1:$BE$223,
  ROW(),
  MATCH(EOMONTH(基準データ!$C$5,-1)+1,$A$1:$BE$1,0)
),
  IFERROR(IF($B95="","",_xlpm._来月から4ヶ月計画合計+_xlpm._今月計画数/2),""
)
)</f>
        <v>925.00533174812676</v>
      </c>
      <c r="I95" s="311"/>
      <c r="J95" s="311"/>
      <c r="K95" s="311"/>
      <c r="L95" s="311"/>
      <c r="M95" s="311"/>
      <c r="N95" s="180"/>
      <c r="O95" s="311"/>
      <c r="P95" s="311"/>
      <c r="Q95" s="298"/>
      <c r="R95" s="298"/>
      <c r="S95" s="298"/>
      <c r="T95" s="298"/>
      <c r="U95" s="224"/>
      <c r="V95" s="237"/>
      <c r="W95" s="333"/>
      <c r="X95" s="333"/>
      <c r="Y95" s="333" t="str">
        <f>IF(X95*$Y$107=0,"",X95*$Y$107)</f>
        <v/>
      </c>
      <c r="Z95" s="480"/>
      <c r="AA95" s="219" t="str">
        <f>IF(Z95*$AA$107=0,"",Z95*$AA$107)</f>
        <v/>
      </c>
      <c r="AB95" s="557"/>
      <c r="AC95" s="649"/>
      <c r="AD95" s="649">
        <v>0</v>
      </c>
      <c r="AE95" s="223">
        <v>64</v>
      </c>
      <c r="AF95" s="223">
        <v>216</v>
      </c>
      <c r="AG95" s="223">
        <v>185</v>
      </c>
      <c r="AH95" s="223">
        <v>200</v>
      </c>
      <c r="AI95" s="223">
        <v>302</v>
      </c>
      <c r="AJ95" s="223">
        <v>203</v>
      </c>
      <c r="AK95" s="223">
        <v>244</v>
      </c>
      <c r="AL95" s="223" cm="1">
        <f t="array" aca="1" ref="AL95" ca="1">IF($C95="","",
  IFERROR(
    _xlfn.LET(
      _xlpm._対象月初,EOMONTH(AL$1,-1)+1,
      _xlpm._今月初,EOMONTH(基準データ!$C$5,-1)+1,
      IF(
        _xlpm._対象月初&gt;_xlpm._今月初,
        IF(
          OR(AK95="",AK95=0),
          "",
          AK95*AL$107
        ),
        _xlfn.LET(
          _xlpm._参照先,
            "'[在庫状況把握_43期_2025-2026.xlsx]月次報告"
            &amp;TEXT(AL$1,"YYMM")
            &amp;"'!",
          _xlpm._戻り範囲,
            IF(
              _xlpm._対象月初=_xlpm._今月初,
              "$AG$1:$AG$300",
              "$G$1:$G$300"
            ),
          _xlfn.XLOOKUP(
            $C95,
            INDIRECT(_xlpm._参照先&amp;"$C$1:$C$300"),
            INDIRECT(_xlpm._参照先&amp;_xlpm._戻り範囲)
          )
        )
      )
    ),
    ""
  )
)</f>
        <v>190</v>
      </c>
      <c r="AM95" s="223" cm="1">
        <f t="array" aca="1" ref="AM95" ca="1">IF($C95="","",
  IFERROR(
    _xlfn.LET(
      _xlpm._対象月初,EOMONTH(AM$1,-1)+1,
      _xlpm._今月初,EOMONTH(基準データ!$C$5,-1)+1,
      IF(
        _xlpm._対象月初&gt;_xlpm._今月初,
        IF(
          OR(AL95="",AL95=0),
          "",
          AL95*AM$107
        ),
        _xlfn.LET(
          _xlpm._参照先,
            "'[在庫状況把握_43期_2025-2026.xlsx]月次報告"
            &amp;TEXT(AM$1,"YYMM")
            &amp;"'!",
          _xlpm._戻り範囲,
            IF(
              _xlpm._対象月初=_xlpm._今月初,
              "$AG$1:$AG$300",
              "$G$1:$G$300"
            ),
          _xlfn.XLOOKUP(
            $C95,
            INDIRECT(_xlpm._参照先&amp;"$C$1:$C$300"),
            INDIRECT(_xlpm._参照先&amp;_xlpm._戻り範囲)
          )
        )
      )
    ),
    ""
  )
)</f>
        <v>201.5</v>
      </c>
      <c r="AN95" s="223" cm="1">
        <f t="array" aca="1" ref="AN95" ca="1">IF($C95="","",
  IFERROR(
    _xlfn.LET(
      _xlpm._対象月初,EOMONTH(AN$1,-1)+1,
      _xlpm._今月初,EOMONTH(基準データ!$C$5,-1)+1,
      IF(
        _xlpm._対象月初&gt;_xlpm._今月初,
        IF(
          OR(AM95="",AM95=0),
          "",
          AM95*AN$107
        ),
        _xlfn.LET(
          _xlpm._参照先,
            "'[在庫状況把握_43期_2025-2026.xlsx]月次報告"
            &amp;TEXT(AN$1,"YYMM")
            &amp;"'!",
          _xlpm._戻り範囲,
            IF(
              _xlpm._対象月初=_xlpm._今月初,
              "$AG$1:$AG$300",
              "$G$1:$G$300"
            ),
          _xlfn.XLOOKUP(
            $C95,
            INDIRECT(_xlpm._参照先&amp;"$C$1:$C$300"),
            INDIRECT(_xlpm._参照先&amp;_xlpm._戻り範囲)
          )
        )
      )
    ),
    ""
  )
)</f>
        <v>185.3314602719125</v>
      </c>
      <c r="AO95" s="223" cm="1">
        <f t="array" aca="1" ref="AO95" ca="1">IF($C95="","",
  IFERROR(
    _xlfn.LET(
      _xlpm._対象月初,EOMONTH(AO$1,-1)+1,
      _xlpm._今月初,EOMONTH(基準データ!$C$5,-1)+1,
      IF(
        _xlpm._対象月初&gt;_xlpm._今月初,
        IF(
          OR(AN95="",AN95=0),
          "",
          AN95*AO$107
        ),
        _xlfn.LET(
          _xlpm._参照先,
            "'[在庫状況把握_43期_2025-2026.xlsx]月次報告"
            &amp;TEXT(AO$1,"YYMM")
            &amp;"'!",
          _xlpm._戻り範囲,
            IF(
              _xlpm._対象月初=_xlpm._今月初,
              "$AG$1:$AG$300",
              "$G$1:$G$300"
            ),
          _xlfn.XLOOKUP(
            $C95,
            INDIRECT(_xlpm._参照先&amp;"$C$1:$C$300"),
            INDIRECT(_xlpm._参照先&amp;_xlpm._戻り範囲)
          )
        )
      )
    ),
    ""
  )
)</f>
        <v>200.20037700542844</v>
      </c>
      <c r="AP95" s="223" cm="1">
        <f t="array" aca="1" ref="AP95" ca="1">IF($C95="","",
  IFERROR(
    _xlfn.LET(
      _xlpm._対象月初,EOMONTH(AP$1,-1)+1,
      _xlpm._今月初,EOMONTH(基準データ!$C$5,-1)+1,
      IF(
        _xlpm._対象月初&gt;_xlpm._今月初,
        IF(
          OR(AO95="",AO95=0),
          "",
          AO95*AP$107
        ),
        _xlfn.LET(
          _xlpm._参照先,
            "'[在庫状況把握_43期_2025-2026.xlsx]月次報告"
            &amp;TEXT(AP$1,"YYMM")
            &amp;"'!",
          _xlpm._戻り範囲,
            IF(
              _xlpm._対象月初=_xlpm._今月初,
              "$AG$1:$AG$300",
              "$G$1:$G$300"
            ),
          _xlfn.XLOOKUP(
            $C95,
            INDIRECT(_xlpm._参照先&amp;"$C$1:$C$300"),
            INDIRECT(_xlpm._参照先&amp;_xlpm._戻り範囲)
          )
        )
      )
    ),
    ""
  )
)</f>
        <v>215.59425876462063</v>
      </c>
      <c r="AQ95" s="223" cm="1">
        <f t="array" aca="1" ref="AQ95" ca="1">IF($C95="","",
  IFERROR(
    _xlfn.LET(
      _xlpm._対象月初,EOMONTH(AQ$1,-1)+1,
      _xlpm._今月初,EOMONTH(基準データ!$C$5,-1)+1,
      IF(
        _xlpm._対象月初&gt;_xlpm._今月初,
        IF(
          OR(AP95="",AP95=0),
          "",
          AP95*AQ$107
        ),
        _xlfn.LET(
          _xlpm._参照先,
            "'[在庫状況把握_43期_2025-2026.xlsx]月次報告"
            &amp;TEXT(AQ$1,"YYMM")
            &amp;"'!",
          _xlpm._戻り範囲,
            IF(
              _xlpm._対象月初=_xlpm._今月初,
              "$AG$1:$AG$300",
              "$G$1:$G$300"
            ),
          _xlfn.XLOOKUP(
            $C95,
            INDIRECT(_xlpm._参照先&amp;"$C$1:$C$300"),
            INDIRECT(_xlpm._参照先&amp;_xlpm._戻り範囲)
          )
        )
      )
    ),
    ""
  )
)</f>
        <v>223.12923570616525</v>
      </c>
      <c r="AR95" s="223" cm="1">
        <f t="array" aca="1" ref="AR95" ca="1">IF($C95="","",
  IFERROR(
    _xlfn.LET(
      _xlpm._対象月初,EOMONTH(AR$1,-1)+1,
      _xlpm._今月初,EOMONTH(基準データ!$C$5,-1)+1,
      IF(
        _xlpm._対象月初&gt;_xlpm._今月初,
        IF(
          OR(AQ95="",AQ95=0),
          "",
          AQ95*AR$107
        ),
        _xlfn.LET(
          _xlpm._参照先,
            "'[在庫状況把握_43期_2025-2026.xlsx]月次報告"
            &amp;TEXT(AR$1,"YYMM")
            &amp;"'!",
          _xlpm._戻り範囲,
            IF(
              _xlpm._対象月初=_xlpm._今月初,
              "$AG$1:$AG$300",
              "$G$1:$G$300"
            ),
          _xlfn.XLOOKUP(
            $C95,
            INDIRECT(_xlpm._参照先&amp;"$C$1:$C$300"),
            INDIRECT(_xlpm._参照先&amp;_xlpm._戻り範囲)
          )
        )
      )
    ),
    ""
  )
)</f>
        <v>328.8764667820306</v>
      </c>
      <c r="AS95" s="223" cm="1">
        <f t="array" aca="1" ref="AS95" ca="1">IF($C95="","",
  IFERROR(
    _xlfn.LET(
      _xlpm._対象月初,EOMONTH(AS$1,-1)+1,
      _xlpm._今月初,EOMONTH(基準データ!$C$5,-1)+1,
      IF(
        _xlpm._対象月初&gt;_xlpm._今月初,
        IF(
          OR(AR95="",AR95=0),
          "",
          AR95*AS$107
        ),
        _xlfn.LET(
          _xlpm._参照先,
            "'[在庫状況把握_43期_2025-2026.xlsx]月次報告"
            &amp;TEXT(AS$1,"YYMM")
            &amp;"'!",
          _xlpm._戻り範囲,
            IF(
              _xlpm._対象月初=_xlpm._今月初,
              "$AG$1:$AG$300",
              "$G$1:$G$300"
            ),
          _xlfn.XLOOKUP(
            $C95,
            INDIRECT(_xlpm._参照先&amp;"$C$1:$C$300"),
            INDIRECT(_xlpm._参照先&amp;_xlpm._戻り範囲)
          )
        )
      )
    ),
    ""
  )
)</f>
        <v>283.81003384756906</v>
      </c>
      <c r="AT95" s="223" cm="1">
        <f t="array" aca="1" ref="AT95" ca="1">IF($C95="","",
  IFERROR(
    _xlfn.LET(
      _xlpm._対象月初,EOMONTH(AT$1,-1)+1,
      _xlpm._今月初,EOMONTH(基準データ!$C$5,-1)+1,
      IF(
        _xlpm._対象月初&gt;_xlpm._今月初,
        IF(
          OR(AS95="",AS95=0),
          "",
          AS95*AT$107
        ),
        _xlfn.LET(
          _xlpm._参照先,
            "'[在庫状況把握_43期_2025-2026.xlsx]月次報告"
            &amp;TEXT(AT$1,"YYMM")
            &amp;"'!",
          _xlpm._戻り範囲,
            IF(
              _xlpm._対象月初=_xlpm._今月初,
              "$AG$1:$AG$300",
              "$G$1:$G$300"
            ),
          _xlfn.XLOOKUP(
            $C95,
            INDIRECT(_xlpm._参照先&amp;"$C$1:$C$300"),
            INDIRECT(_xlpm._参照先&amp;_xlpm._戻り範囲)
          )
        )
      )
    ),
    ""
  )
)</f>
        <v>267.57966691217911</v>
      </c>
      <c r="AU95" s="223" cm="1">
        <f t="array" aca="1" ref="AU95" ca="1">IF($C95="","",
  IFERROR(
    _xlfn.LET(
      _xlpm._対象月初,EOMONTH(AU$1,-1)+1,
      _xlpm._今月初,EOMONTH(基準データ!$C$5,-1)+1,
      IF(
        _xlpm._対象月初&gt;_xlpm._今月初,
        IF(
          OR(AT95="",AT95=0),
          "",
          AT95*AU$107
        ),
        _xlfn.LET(
          _xlpm._参照先,
            "'[在庫状況把握_43期_2025-2026.xlsx]月次報告"
            &amp;TEXT(AU$1,"YYMM")
            &amp;"'!",
          _xlpm._戻り範囲,
            IF(
              _xlpm._対象月初=_xlpm._今月初,
              "$AG$1:$AG$300",
              "$G$1:$G$300"
            ),
          _xlfn.XLOOKUP(
            $C95,
            INDIRECT(_xlpm._参照先&amp;"$C$1:$C$300"),
            INDIRECT(_xlpm._参照先&amp;_xlpm._戻り範囲)
          )
        )
      )
    ),
    ""
  )
)</f>
        <v>395.4357369676074</v>
      </c>
      <c r="AV95" s="223" cm="1">
        <f t="array" aca="1" ref="AV95" ca="1">IF($C95="","",
  IFERROR(
    _xlfn.LET(
      _xlpm._対象月初,EOMONTH(AV$1,-1)+1,
      _xlpm._今月初,EOMONTH(基準データ!$C$5,-1)+1,
      IF(
        _xlpm._対象月初&gt;_xlpm._今月初,
        IF(
          OR(AU95="",AU95=0),
          "",
          AU95*AV$107
        ),
        _xlfn.LET(
          _xlpm._参照先,
            "'[在庫状況把握_43期_2025-2026.xlsx]月次報告"
            &amp;TEXT(AV$1,"YYMM")
            &amp;"'!",
          _xlpm._戻り範囲,
            IF(
              _xlpm._対象月初=_xlpm._今月初,
              "$AG$1:$AG$300",
              "$G$1:$G$300"
            ),
          _xlfn.XLOOKUP(
            $C95,
            INDIRECT(_xlpm._参照先&amp;"$C$1:$C$300"),
            INDIRECT(_xlpm._参照先&amp;_xlpm._戻り範囲)
          )
        )
      )
    ),
    ""
  )
)</f>
        <v>242.81023161738094</v>
      </c>
      <c r="AW95" s="223" cm="1">
        <f t="array" aca="1" ref="AW95" ca="1">IF($C95="","",
  IFERROR(
    _xlfn.LET(
      _xlpm._対象月初,EOMONTH(AW$1,-1)+1,
      _xlpm._今月初,EOMONTH(基準データ!$C$5,-1)+1,
      IF(
        _xlpm._対象月初&gt;_xlpm._今月初,
        IF(
          OR(AV95="",AV95=0),
          "",
          AV95*AW$107
        ),
        _xlfn.LET(
          _xlpm._参照先,
            "'[在庫状況把握_43期_2025-2026.xlsx]月次報告"
            &amp;TEXT(AW$1,"YYMM")
            &amp;"'!",
          _xlpm._戻り範囲,
            IF(
              _xlpm._対象月初=_xlpm._今月初,
              "$AG$1:$AG$300",
              "$G$1:$G$300"
            ),
          _xlfn.XLOOKUP(
            $C95,
            INDIRECT(_xlpm._参照先&amp;"$C$1:$C$300"),
            INDIRECT(_xlpm._参照先&amp;_xlpm._戻り範囲)
          )
        )
      )
    ),
    ""
  )
)</f>
        <v>176.09333796775638</v>
      </c>
      <c r="AX95" s="223" cm="1">
        <f t="array" aca="1" ref="AX95" ca="1">IF($C95="","",
  IFERROR(
    _xlfn.LET(
      _xlpm._対象月初,EOMONTH(AX$1,-1)+1,
      _xlpm._今月初,EOMONTH(基準データ!$C$5,-1)+1,
      IF(
        _xlpm._対象月初&gt;_xlpm._今月初,
        IF(
          OR(AW95="",AW95=0),
          "",
          AW95*AX$107
        ),
        _xlfn.LET(
          _xlpm._参照先,
            "'[在庫状況把握_43期_2025-2026.xlsx]月次報告"
            &amp;TEXT(AX$1,"YYMM")
            &amp;"'!",
          _xlpm._戻り範囲,
            IF(
              _xlpm._対象月初=_xlpm._今月初,
              "$AG$1:$AG$300",
              "$G$1:$G$300"
            ),
          _xlfn.XLOOKUP(
            $C95,
            INDIRECT(_xlpm._参照先&amp;"$C$1:$C$300"),
            INDIRECT(_xlpm._参照先&amp;_xlpm._戻り範囲)
          )
        )
      )
    ),
    ""
  )
)</f>
        <v>183.61424638540484</v>
      </c>
      <c r="AY95" s="223" cm="1">
        <f t="array" aca="1" ref="AY95" ca="1">IF($C95="","",
  IFERROR(
    _xlfn.LET(
      _xlpm._対象月初,EOMONTH(AY$1,-1)+1,
      _xlpm._今月初,EOMONTH(基準データ!$C$5,-1)+1,
      IF(
        _xlpm._対象月初&gt;_xlpm._今月初,
        IF(
          OR(AX95="",AX95=0),
          "",
          AX95*AY$107
        ),
        _xlfn.LET(
          _xlpm._参照先,
            "'[在庫状況把握_43期_2025-2026.xlsx]月次報告"
            &amp;TEXT(AY$1,"YYMM")
            &amp;"'!",
          _xlpm._戻り範囲,
            IF(
              _xlpm._対象月初=_xlpm._今月初,
              "$AG$1:$AG$300",
              "$G$1:$G$300"
            ),
          _xlfn.XLOOKUP(
            $C95,
            INDIRECT(_xlpm._参照先&amp;"$C$1:$C$300"),
            INDIRECT(_xlpm._参照先&amp;_xlpm._戻り範囲)
          )
        )
      )
    ),
    ""
  )
)</f>
        <v>201.50000000000003</v>
      </c>
      <c r="AZ95" s="223" cm="1">
        <f t="array" aca="1" ref="AZ95" ca="1">IF($C95="","",
  IFERROR(
    _xlfn.LET(
      _xlpm._対象月初,EOMONTH(AZ$1,-1)+1,
      _xlpm._今月初,EOMONTH(基準データ!$C$5,-1)+1,
      IF(
        _xlpm._対象月初&gt;_xlpm._今月初,
        IF(
          OR(AY95="",AY95=0),
          "",
          AY95*AZ$107
        ),
        _xlfn.LET(
          _xlpm._参照先,
            "'[在庫状況把握_43期_2025-2026.xlsx]月次報告"
            &amp;TEXT(AZ$1,"YYMM")
            &amp;"'!",
          _xlpm._戻り範囲,
            IF(
              _xlpm._対象月初=_xlpm._今月初,
              "$AG$1:$AG$300",
              "$G$1:$G$300"
            ),
          _xlfn.XLOOKUP(
            $C95,
            INDIRECT(_xlpm._参照先&amp;"$C$1:$C$300"),
            INDIRECT(_xlpm._参照先&amp;_xlpm._戻り範囲)
          )
        )
      )
    ),
    ""
  )
)</f>
        <v>185.33146027191253</v>
      </c>
      <c r="BA95" s="223" cm="1">
        <f t="array" aca="1" ref="BA95" ca="1">IF($C95="","",
  IFERROR(
    _xlfn.LET(
      _xlpm._対象月初,EOMONTH(BA$1,-1)+1,
      _xlpm._今月初,EOMONTH(基準データ!$C$5,-1)+1,
      IF(
        _xlpm._対象月初&gt;_xlpm._今月初,
        IF(
          OR(AZ95="",AZ95=0),
          "",
          AZ95*BA$107
        ),
        _xlfn.LET(
          _xlpm._参照先,
            "'[在庫状況把握_43期_2025-2026.xlsx]月次報告"
            &amp;TEXT(BA$1,"YYMM")
            &amp;"'!",
          _xlpm._戻り範囲,
            IF(
              _xlpm._対象月初=_xlpm._今月初,
              "$AG$1:$AG$300",
              "$G$1:$G$300"
            ),
          _xlfn.XLOOKUP(
            $C95,
            INDIRECT(_xlpm._参照先&amp;"$C$1:$C$300"),
            INDIRECT(_xlpm._参照先&amp;_xlpm._戻り範囲)
          )
        )
      )
    ),
    ""
  )
)</f>
        <v>200.20037700542849</v>
      </c>
      <c r="BB95" s="223" cm="1">
        <f t="array" aca="1" ref="BB95" ca="1">IF($C95="","",
  IFERROR(
    _xlfn.LET(
      _xlpm._対象月初,EOMONTH(BB$1,-1)+1,
      _xlpm._今月初,EOMONTH(基準データ!$C$5,-1)+1,
      IF(
        _xlpm._対象月初&gt;_xlpm._今月初,
        IF(
          OR(BA95="",BA95=0),
          "",
          BA95*BB$107
        ),
        _xlfn.LET(
          _xlpm._参照先,
            "'[在庫状況把握_43期_2025-2026.xlsx]月次報告"
            &amp;TEXT(BB$1,"YYMM")
            &amp;"'!",
          _xlpm._戻り範囲,
            IF(
              _xlpm._対象月初=_xlpm._今月初,
              "$AG$1:$AG$300",
              "$G$1:$G$300"
            ),
          _xlfn.XLOOKUP(
            $C95,
            INDIRECT(_xlpm._参照先&amp;"$C$1:$C$300"),
            INDIRECT(_xlpm._参照先&amp;_xlpm._戻り範囲)
          )
        )
      )
    ),
    ""
  )
)</f>
        <v>215.59425876462069</v>
      </c>
      <c r="BC95" s="223" cm="1">
        <f t="array" aca="1" ref="BC95" ca="1">IF($C95="","",
  IFERROR(
    _xlfn.LET(
      _xlpm._対象月初,EOMONTH(BC$1,-1)+1,
      _xlpm._今月初,EOMONTH(基準データ!$C$5,-1)+1,
      IF(
        _xlpm._対象月初&gt;_xlpm._今月初,
        IF(
          OR(BB95="",BB95=0),
          "",
          BB95*BC$107
        ),
        _xlfn.LET(
          _xlpm._参照先,
            "'[在庫状況把握_43期_2025-2026.xlsx]月次報告"
            &amp;TEXT(BC$1,"YYMM")
            &amp;"'!",
          _xlpm._戻り範囲,
            IF(
              _xlpm._対象月初=_xlpm._今月初,
              "$AG$1:$AG$300",
              "$G$1:$G$300"
            ),
          _xlfn.XLOOKUP(
            $C95,
            INDIRECT(_xlpm._参照先&amp;"$C$1:$C$300"),
            INDIRECT(_xlpm._参照先&amp;_xlpm._戻り範囲)
          )
        )
      )
    ),
    ""
  )
)</f>
        <v>223.1292357061653</v>
      </c>
      <c r="BD95" s="223" cm="1">
        <f t="array" aca="1" ref="BD95" ca="1">IF($C95="","",
  IFERROR(
    _xlfn.LET(
      _xlpm._対象月初,EOMONTH(BD$1,-1)+1,
      _xlpm._今月初,EOMONTH(基準データ!$C$5,-1)+1,
      IF(
        _xlpm._対象月初&gt;_xlpm._今月初,
        IF(
          OR(BC95="",BC95=0),
          "",
          BC95*BD$107
        ),
        _xlfn.LET(
          _xlpm._参照先,
            "'[在庫状況把握_43期_2025-2026.xlsx]月次報告"
            &amp;TEXT(BD$1,"YYMM")
            &amp;"'!",
          _xlpm._戻り範囲,
            IF(
              _xlpm._対象月初=_xlpm._今月初,
              "$AG$1:$AG$300",
              "$G$1:$G$300"
            ),
          _xlfn.XLOOKUP(
            $C95,
            INDIRECT(_xlpm._参照先&amp;"$C$1:$C$300"),
            INDIRECT(_xlpm._参照先&amp;_xlpm._戻り範囲)
          )
        )
      )
    ),
    ""
  )
)</f>
        <v>328.87646678203066</v>
      </c>
    </row>
    <row r="96" spans="1:56" ht="18.75" customHeight="1">
      <c r="A96" s="1061"/>
      <c r="B96" s="55" t="str">
        <v/>
      </c>
      <c r="C96" s="56"/>
      <c r="D96" s="57" t="s">
        <v>1434</v>
      </c>
      <c r="E96" s="58" t="s">
        <v>438</v>
      </c>
      <c r="F96" s="26" t="s">
        <v>1372</v>
      </c>
      <c r="G96" s="43" t="str">
        <v/>
      </c>
      <c r="H96" s="109" t="str" cm="1">
        <f t="array" aca="1" ref="H96" ca="1">_xlfn.LET(_xlpm._来月から4ヶ月計画合計,
  SUM(
    OFFSET($A96,0,
      MATCH(
        EDATE(基準データ!$C$5,3),$A$1:$BF$1,1
      )-3,1,4)),
_xlpm._今月計画数,
INDEX($A$1:$BE$223,
  ROW(),
  MATCH(EOMONTH(基準データ!$C$5,-1)+1,$A$1:$BE$1,0)
),
  IFERROR(IF($B96="","",_xlpm._来月から4ヶ月計画合計+_xlpm._今月計画数/2),""
)
)</f>
        <v/>
      </c>
      <c r="I96" s="311"/>
      <c r="J96" s="311"/>
      <c r="K96" s="311"/>
      <c r="L96" s="311"/>
      <c r="M96" s="311"/>
      <c r="N96" s="180"/>
      <c r="O96" s="311"/>
      <c r="P96" s="311"/>
      <c r="Q96" s="298"/>
      <c r="R96" s="298"/>
      <c r="S96" s="298"/>
      <c r="T96" s="219"/>
      <c r="U96" s="224"/>
      <c r="V96" s="237">
        <v>162</v>
      </c>
      <c r="W96" s="333">
        <v>912</v>
      </c>
      <c r="X96" s="333">
        <v>581</v>
      </c>
      <c r="Y96" s="333">
        <v>267</v>
      </c>
      <c r="Z96" s="219">
        <v>368</v>
      </c>
      <c r="AA96" s="219">
        <v>438</v>
      </c>
      <c r="AB96" s="219">
        <v>265</v>
      </c>
      <c r="AC96" s="224">
        <v>374</v>
      </c>
      <c r="AD96" s="224" t="s">
        <v>21</v>
      </c>
      <c r="AE96" s="223" t="s">
        <v>21</v>
      </c>
      <c r="AF96" s="223" t="s">
        <v>21</v>
      </c>
      <c r="AG96" s="223" t="s">
        <v>21</v>
      </c>
      <c r="AH96" s="223" t="s">
        <v>21</v>
      </c>
      <c r="AI96" s="223" t="s">
        <v>21</v>
      </c>
      <c r="AJ96" s="223" t="s">
        <v>21</v>
      </c>
      <c r="AK96" s="223" t="s">
        <v>21</v>
      </c>
      <c r="AL96" s="223" t="str" cm="1">
        <f t="array" aca="1" ref="AL96" ca="1">IF($C96="","",
  IFERROR(
    _xlfn.LET(
      _xlpm._対象月初,EOMONTH(AL$1,-1)+1,
      _xlpm._今月初,EOMONTH(基準データ!$C$5,-1)+1,
      IF(
        _xlpm._対象月初&gt;_xlpm._今月初,
        IF(
          OR(AK96="",AK96=0),
          "",
          AK96*AL$107
        ),
        _xlfn.LET(
          _xlpm._参照先,
            "'[在庫状況把握_43期_2025-2026.xlsx]月次報告"
            &amp;TEXT(AL$1,"YYMM")
            &amp;"'!",
          _xlpm._戻り範囲,
            IF(
              _xlpm._対象月初=_xlpm._今月初,
              "$AG$1:$AG$300",
              "$G$1:$G$300"
            ),
          _xlfn.XLOOKUP(
            $C96,
            INDIRECT(_xlpm._参照先&amp;"$C$1:$C$300"),
            INDIRECT(_xlpm._参照先&amp;_xlpm._戻り範囲)
          )
        )
      )
    ),
    ""
  )
)</f>
        <v/>
      </c>
      <c r="AM96" s="223" t="str" cm="1">
        <f t="array" aca="1" ref="AM96" ca="1">IF($C96="","",
  IFERROR(
    _xlfn.LET(
      _xlpm._対象月初,EOMONTH(AM$1,-1)+1,
      _xlpm._今月初,EOMONTH(基準データ!$C$5,-1)+1,
      IF(
        _xlpm._対象月初&gt;_xlpm._今月初,
        IF(
          OR(AL96="",AL96=0),
          "",
          AL96*AM$107
        ),
        _xlfn.LET(
          _xlpm._参照先,
            "'[在庫状況把握_43期_2025-2026.xlsx]月次報告"
            &amp;TEXT(AM$1,"YYMM")
            &amp;"'!",
          _xlpm._戻り範囲,
            IF(
              _xlpm._対象月初=_xlpm._今月初,
              "$AG$1:$AG$300",
              "$G$1:$G$300"
            ),
          _xlfn.XLOOKUP(
            $C96,
            INDIRECT(_xlpm._参照先&amp;"$C$1:$C$300"),
            INDIRECT(_xlpm._参照先&amp;_xlpm._戻り範囲)
          )
        )
      )
    ),
    ""
  )
)</f>
        <v/>
      </c>
      <c r="AN96" s="223" t="str" cm="1">
        <f t="array" aca="1" ref="AN96" ca="1">IF($C96="","",
  IFERROR(
    _xlfn.LET(
      _xlpm._対象月初,EOMONTH(AN$1,-1)+1,
      _xlpm._今月初,EOMONTH(基準データ!$C$5,-1)+1,
      IF(
        _xlpm._対象月初&gt;_xlpm._今月初,
        IF(
          OR(AM96="",AM96=0),
          "",
          AM96*AN$107
        ),
        _xlfn.LET(
          _xlpm._参照先,
            "'[在庫状況把握_43期_2025-2026.xlsx]月次報告"
            &amp;TEXT(AN$1,"YYMM")
            &amp;"'!",
          _xlpm._戻り範囲,
            IF(
              _xlpm._対象月初=_xlpm._今月初,
              "$AG$1:$AG$300",
              "$G$1:$G$300"
            ),
          _xlfn.XLOOKUP(
            $C96,
            INDIRECT(_xlpm._参照先&amp;"$C$1:$C$300"),
            INDIRECT(_xlpm._参照先&amp;_xlpm._戻り範囲)
          )
        )
      )
    ),
    ""
  )
)</f>
        <v/>
      </c>
      <c r="AO96" s="223" t="str" cm="1">
        <f t="array" aca="1" ref="AO96" ca="1">IF($C96="","",
  IFERROR(
    _xlfn.LET(
      _xlpm._対象月初,EOMONTH(AO$1,-1)+1,
      _xlpm._今月初,EOMONTH(基準データ!$C$5,-1)+1,
      IF(
        _xlpm._対象月初&gt;_xlpm._今月初,
        IF(
          OR(AN96="",AN96=0),
          "",
          AN96*AO$107
        ),
        _xlfn.LET(
          _xlpm._参照先,
            "'[在庫状況把握_43期_2025-2026.xlsx]月次報告"
            &amp;TEXT(AO$1,"YYMM")
            &amp;"'!",
          _xlpm._戻り範囲,
            IF(
              _xlpm._対象月初=_xlpm._今月初,
              "$AG$1:$AG$300",
              "$G$1:$G$300"
            ),
          _xlfn.XLOOKUP(
            $C96,
            INDIRECT(_xlpm._参照先&amp;"$C$1:$C$300"),
            INDIRECT(_xlpm._参照先&amp;_xlpm._戻り範囲)
          )
        )
      )
    ),
    ""
  )
)</f>
        <v/>
      </c>
      <c r="AP96" s="223" t="str" cm="1">
        <f t="array" aca="1" ref="AP96" ca="1">IF($C96="","",
  IFERROR(
    _xlfn.LET(
      _xlpm._対象月初,EOMONTH(AP$1,-1)+1,
      _xlpm._今月初,EOMONTH(基準データ!$C$5,-1)+1,
      IF(
        _xlpm._対象月初&gt;_xlpm._今月初,
        IF(
          OR(AO96="",AO96=0),
          "",
          AO96*AP$107
        ),
        _xlfn.LET(
          _xlpm._参照先,
            "'[在庫状況把握_43期_2025-2026.xlsx]月次報告"
            &amp;TEXT(AP$1,"YYMM")
            &amp;"'!",
          _xlpm._戻り範囲,
            IF(
              _xlpm._対象月初=_xlpm._今月初,
              "$AG$1:$AG$300",
              "$G$1:$G$300"
            ),
          _xlfn.XLOOKUP(
            $C96,
            INDIRECT(_xlpm._参照先&amp;"$C$1:$C$300"),
            INDIRECT(_xlpm._参照先&amp;_xlpm._戻り範囲)
          )
        )
      )
    ),
    ""
  )
)</f>
        <v/>
      </c>
      <c r="AQ96" s="223" t="str" cm="1">
        <f t="array" aca="1" ref="AQ96" ca="1">IF($C96="","",
  IFERROR(
    _xlfn.LET(
      _xlpm._対象月初,EOMONTH(AQ$1,-1)+1,
      _xlpm._今月初,EOMONTH(基準データ!$C$5,-1)+1,
      IF(
        _xlpm._対象月初&gt;_xlpm._今月初,
        IF(
          OR(AP96="",AP96=0),
          "",
          AP96*AQ$107
        ),
        _xlfn.LET(
          _xlpm._参照先,
            "'[在庫状況把握_43期_2025-2026.xlsx]月次報告"
            &amp;TEXT(AQ$1,"YYMM")
            &amp;"'!",
          _xlpm._戻り範囲,
            IF(
              _xlpm._対象月初=_xlpm._今月初,
              "$AG$1:$AG$300",
              "$G$1:$G$300"
            ),
          _xlfn.XLOOKUP(
            $C96,
            INDIRECT(_xlpm._参照先&amp;"$C$1:$C$300"),
            INDIRECT(_xlpm._参照先&amp;_xlpm._戻り範囲)
          )
        )
      )
    ),
    ""
  )
)</f>
        <v/>
      </c>
      <c r="AR96" s="223" t="str" cm="1">
        <f t="array" aca="1" ref="AR96" ca="1">IF($C96="","",
  IFERROR(
    _xlfn.LET(
      _xlpm._対象月初,EOMONTH(AR$1,-1)+1,
      _xlpm._今月初,EOMONTH(基準データ!$C$5,-1)+1,
      IF(
        _xlpm._対象月初&gt;_xlpm._今月初,
        IF(
          OR(AQ96="",AQ96=0),
          "",
          AQ96*AR$107
        ),
        _xlfn.LET(
          _xlpm._参照先,
            "'[在庫状況把握_43期_2025-2026.xlsx]月次報告"
            &amp;TEXT(AR$1,"YYMM")
            &amp;"'!",
          _xlpm._戻り範囲,
            IF(
              _xlpm._対象月初=_xlpm._今月初,
              "$AG$1:$AG$300",
              "$G$1:$G$300"
            ),
          _xlfn.XLOOKUP(
            $C96,
            INDIRECT(_xlpm._参照先&amp;"$C$1:$C$300"),
            INDIRECT(_xlpm._参照先&amp;_xlpm._戻り範囲)
          )
        )
      )
    ),
    ""
  )
)</f>
        <v/>
      </c>
      <c r="AS96" s="223" t="str" cm="1">
        <f t="array" aca="1" ref="AS96" ca="1">IF($C96="","",
  IFERROR(
    _xlfn.LET(
      _xlpm._対象月初,EOMONTH(AS$1,-1)+1,
      _xlpm._今月初,EOMONTH(基準データ!$C$5,-1)+1,
      IF(
        _xlpm._対象月初&gt;_xlpm._今月初,
        IF(
          OR(AR96="",AR96=0),
          "",
          AR96*AS$107
        ),
        _xlfn.LET(
          _xlpm._参照先,
            "'[在庫状況把握_43期_2025-2026.xlsx]月次報告"
            &amp;TEXT(AS$1,"YYMM")
            &amp;"'!",
          _xlpm._戻り範囲,
            IF(
              _xlpm._対象月初=_xlpm._今月初,
              "$AG$1:$AG$300",
              "$G$1:$G$300"
            ),
          _xlfn.XLOOKUP(
            $C96,
            INDIRECT(_xlpm._参照先&amp;"$C$1:$C$300"),
            INDIRECT(_xlpm._参照先&amp;_xlpm._戻り範囲)
          )
        )
      )
    ),
    ""
  )
)</f>
        <v/>
      </c>
      <c r="AT96" s="223" t="str" cm="1">
        <f t="array" aca="1" ref="AT96" ca="1">IF($C96="","",
  IFERROR(
    _xlfn.LET(
      _xlpm._対象月初,EOMONTH(AT$1,-1)+1,
      _xlpm._今月初,EOMONTH(基準データ!$C$5,-1)+1,
      IF(
        _xlpm._対象月初&gt;_xlpm._今月初,
        IF(
          OR(AS96="",AS96=0),
          "",
          AS96*AT$107
        ),
        _xlfn.LET(
          _xlpm._参照先,
            "'[在庫状況把握_43期_2025-2026.xlsx]月次報告"
            &amp;TEXT(AT$1,"YYMM")
            &amp;"'!",
          _xlpm._戻り範囲,
            IF(
              _xlpm._対象月初=_xlpm._今月初,
              "$AG$1:$AG$300",
              "$G$1:$G$300"
            ),
          _xlfn.XLOOKUP(
            $C96,
            INDIRECT(_xlpm._参照先&amp;"$C$1:$C$300"),
            INDIRECT(_xlpm._参照先&amp;_xlpm._戻り範囲)
          )
        )
      )
    ),
    ""
  )
)</f>
        <v/>
      </c>
      <c r="AU96" s="223" t="str" cm="1">
        <f t="array" aca="1" ref="AU96" ca="1">IF($C96="","",
  IFERROR(
    _xlfn.LET(
      _xlpm._対象月初,EOMONTH(AU$1,-1)+1,
      _xlpm._今月初,EOMONTH(基準データ!$C$5,-1)+1,
      IF(
        _xlpm._対象月初&gt;_xlpm._今月初,
        IF(
          OR(AT96="",AT96=0),
          "",
          AT96*AU$107
        ),
        _xlfn.LET(
          _xlpm._参照先,
            "'[在庫状況把握_43期_2025-2026.xlsx]月次報告"
            &amp;TEXT(AU$1,"YYMM")
            &amp;"'!",
          _xlpm._戻り範囲,
            IF(
              _xlpm._対象月初=_xlpm._今月初,
              "$AG$1:$AG$300",
              "$G$1:$G$300"
            ),
          _xlfn.XLOOKUP(
            $C96,
            INDIRECT(_xlpm._参照先&amp;"$C$1:$C$300"),
            INDIRECT(_xlpm._参照先&amp;_xlpm._戻り範囲)
          )
        )
      )
    ),
    ""
  )
)</f>
        <v/>
      </c>
      <c r="AV96" s="223" t="str" cm="1">
        <f t="array" aca="1" ref="AV96" ca="1">IF($C96="","",
  IFERROR(
    _xlfn.LET(
      _xlpm._対象月初,EOMONTH(AV$1,-1)+1,
      _xlpm._今月初,EOMONTH(基準データ!$C$5,-1)+1,
      IF(
        _xlpm._対象月初&gt;_xlpm._今月初,
        IF(
          OR(AU96="",AU96=0),
          "",
          AU96*AV$107
        ),
        _xlfn.LET(
          _xlpm._参照先,
            "'[在庫状況把握_43期_2025-2026.xlsx]月次報告"
            &amp;TEXT(AV$1,"YYMM")
            &amp;"'!",
          _xlpm._戻り範囲,
            IF(
              _xlpm._対象月初=_xlpm._今月初,
              "$AG$1:$AG$300",
              "$G$1:$G$300"
            ),
          _xlfn.XLOOKUP(
            $C96,
            INDIRECT(_xlpm._参照先&amp;"$C$1:$C$300"),
            INDIRECT(_xlpm._参照先&amp;_xlpm._戻り範囲)
          )
        )
      )
    ),
    ""
  )
)</f>
        <v/>
      </c>
      <c r="AW96" s="223" t="str" cm="1">
        <f t="array" aca="1" ref="AW96" ca="1">IF($C96="","",
  IFERROR(
    _xlfn.LET(
      _xlpm._対象月初,EOMONTH(AW$1,-1)+1,
      _xlpm._今月初,EOMONTH(基準データ!$C$5,-1)+1,
      IF(
        _xlpm._対象月初&gt;_xlpm._今月初,
        IF(
          OR(AV96="",AV96=0),
          "",
          AV96*AW$107
        ),
        _xlfn.LET(
          _xlpm._参照先,
            "'[在庫状況把握_43期_2025-2026.xlsx]月次報告"
            &amp;TEXT(AW$1,"YYMM")
            &amp;"'!",
          _xlpm._戻り範囲,
            IF(
              _xlpm._対象月初=_xlpm._今月初,
              "$AG$1:$AG$300",
              "$G$1:$G$300"
            ),
          _xlfn.XLOOKUP(
            $C96,
            INDIRECT(_xlpm._参照先&amp;"$C$1:$C$300"),
            INDIRECT(_xlpm._参照先&amp;_xlpm._戻り範囲)
          )
        )
      )
    ),
    ""
  )
)</f>
        <v/>
      </c>
      <c r="AX96" s="223" t="str" cm="1">
        <f t="array" aca="1" ref="AX96" ca="1">IF($C96="","",
  IFERROR(
    _xlfn.LET(
      _xlpm._対象月初,EOMONTH(AX$1,-1)+1,
      _xlpm._今月初,EOMONTH(基準データ!$C$5,-1)+1,
      IF(
        _xlpm._対象月初&gt;_xlpm._今月初,
        IF(
          OR(AW96="",AW96=0),
          "",
          AW96*AX$107
        ),
        _xlfn.LET(
          _xlpm._参照先,
            "'[在庫状況把握_43期_2025-2026.xlsx]月次報告"
            &amp;TEXT(AX$1,"YYMM")
            &amp;"'!",
          _xlpm._戻り範囲,
            IF(
              _xlpm._対象月初=_xlpm._今月初,
              "$AG$1:$AG$300",
              "$G$1:$G$300"
            ),
          _xlfn.XLOOKUP(
            $C96,
            INDIRECT(_xlpm._参照先&amp;"$C$1:$C$300"),
            INDIRECT(_xlpm._参照先&amp;_xlpm._戻り範囲)
          )
        )
      )
    ),
    ""
  )
)</f>
        <v/>
      </c>
      <c r="AY96" s="223" t="str" cm="1">
        <f t="array" aca="1" ref="AY96" ca="1">IF($C96="","",
  IFERROR(
    _xlfn.LET(
      _xlpm._対象月初,EOMONTH(AY$1,-1)+1,
      _xlpm._今月初,EOMONTH(基準データ!$C$5,-1)+1,
      IF(
        _xlpm._対象月初&gt;_xlpm._今月初,
        IF(
          OR(AX96="",AX96=0),
          "",
          AX96*AY$107
        ),
        _xlfn.LET(
          _xlpm._参照先,
            "'[在庫状況把握_43期_2025-2026.xlsx]月次報告"
            &amp;TEXT(AY$1,"YYMM")
            &amp;"'!",
          _xlpm._戻り範囲,
            IF(
              _xlpm._対象月初=_xlpm._今月初,
              "$AG$1:$AG$300",
              "$G$1:$G$300"
            ),
          _xlfn.XLOOKUP(
            $C96,
            INDIRECT(_xlpm._参照先&amp;"$C$1:$C$300"),
            INDIRECT(_xlpm._参照先&amp;_xlpm._戻り範囲)
          )
        )
      )
    ),
    ""
  )
)</f>
        <v/>
      </c>
      <c r="AZ96" s="223" t="str" cm="1">
        <f t="array" aca="1" ref="AZ96" ca="1">IF($C96="","",
  IFERROR(
    _xlfn.LET(
      _xlpm._対象月初,EOMONTH(AZ$1,-1)+1,
      _xlpm._今月初,EOMONTH(基準データ!$C$5,-1)+1,
      IF(
        _xlpm._対象月初&gt;_xlpm._今月初,
        IF(
          OR(AY96="",AY96=0),
          "",
          AY96*AZ$107
        ),
        _xlfn.LET(
          _xlpm._参照先,
            "'[在庫状況把握_43期_2025-2026.xlsx]月次報告"
            &amp;TEXT(AZ$1,"YYMM")
            &amp;"'!",
          _xlpm._戻り範囲,
            IF(
              _xlpm._対象月初=_xlpm._今月初,
              "$AG$1:$AG$300",
              "$G$1:$G$300"
            ),
          _xlfn.XLOOKUP(
            $C96,
            INDIRECT(_xlpm._参照先&amp;"$C$1:$C$300"),
            INDIRECT(_xlpm._参照先&amp;_xlpm._戻り範囲)
          )
        )
      )
    ),
    ""
  )
)</f>
        <v/>
      </c>
      <c r="BA96" s="223" t="str" cm="1">
        <f t="array" aca="1" ref="BA96" ca="1">IF($C96="","",
  IFERROR(
    _xlfn.LET(
      _xlpm._対象月初,EOMONTH(BA$1,-1)+1,
      _xlpm._今月初,EOMONTH(基準データ!$C$5,-1)+1,
      IF(
        _xlpm._対象月初&gt;_xlpm._今月初,
        IF(
          OR(AZ96="",AZ96=0),
          "",
          AZ96*BA$107
        ),
        _xlfn.LET(
          _xlpm._参照先,
            "'[在庫状況把握_43期_2025-2026.xlsx]月次報告"
            &amp;TEXT(BA$1,"YYMM")
            &amp;"'!",
          _xlpm._戻り範囲,
            IF(
              _xlpm._対象月初=_xlpm._今月初,
              "$AG$1:$AG$300",
              "$G$1:$G$300"
            ),
          _xlfn.XLOOKUP(
            $C96,
            INDIRECT(_xlpm._参照先&amp;"$C$1:$C$300"),
            INDIRECT(_xlpm._参照先&amp;_xlpm._戻り範囲)
          )
        )
      )
    ),
    ""
  )
)</f>
        <v/>
      </c>
      <c r="BB96" s="223" t="str" cm="1">
        <f t="array" aca="1" ref="BB96" ca="1">IF($C96="","",
  IFERROR(
    _xlfn.LET(
      _xlpm._対象月初,EOMONTH(BB$1,-1)+1,
      _xlpm._今月初,EOMONTH(基準データ!$C$5,-1)+1,
      IF(
        _xlpm._対象月初&gt;_xlpm._今月初,
        IF(
          OR(BA96="",BA96=0),
          "",
          BA96*BB$107
        ),
        _xlfn.LET(
          _xlpm._参照先,
            "'[在庫状況把握_43期_2025-2026.xlsx]月次報告"
            &amp;TEXT(BB$1,"YYMM")
            &amp;"'!",
          _xlpm._戻り範囲,
            IF(
              _xlpm._対象月初=_xlpm._今月初,
              "$AG$1:$AG$300",
              "$G$1:$G$300"
            ),
          _xlfn.XLOOKUP(
            $C96,
            INDIRECT(_xlpm._参照先&amp;"$C$1:$C$300"),
            INDIRECT(_xlpm._参照先&amp;_xlpm._戻り範囲)
          )
        )
      )
    ),
    ""
  )
)</f>
        <v/>
      </c>
      <c r="BC96" s="223" t="str" cm="1">
        <f t="array" aca="1" ref="BC96" ca="1">IF($C96="","",
  IFERROR(
    _xlfn.LET(
      _xlpm._対象月初,EOMONTH(BC$1,-1)+1,
      _xlpm._今月初,EOMONTH(基準データ!$C$5,-1)+1,
      IF(
        _xlpm._対象月初&gt;_xlpm._今月初,
        IF(
          OR(BB96="",BB96=0),
          "",
          BB96*BC$107
        ),
        _xlfn.LET(
          _xlpm._参照先,
            "'[在庫状況把握_43期_2025-2026.xlsx]月次報告"
            &amp;TEXT(BC$1,"YYMM")
            &amp;"'!",
          _xlpm._戻り範囲,
            IF(
              _xlpm._対象月初=_xlpm._今月初,
              "$AG$1:$AG$300",
              "$G$1:$G$300"
            ),
          _xlfn.XLOOKUP(
            $C96,
            INDIRECT(_xlpm._参照先&amp;"$C$1:$C$300"),
            INDIRECT(_xlpm._参照先&amp;_xlpm._戻り範囲)
          )
        )
      )
    ),
    ""
  )
)</f>
        <v/>
      </c>
      <c r="BD96" s="223" t="str" cm="1">
        <f t="array" aca="1" ref="BD96" ca="1">IF($C96="","",
  IFERROR(
    _xlfn.LET(
      _xlpm._対象月初,EOMONTH(BD$1,-1)+1,
      _xlpm._今月初,EOMONTH(基準データ!$C$5,-1)+1,
      IF(
        _xlpm._対象月初&gt;_xlpm._今月初,
        IF(
          OR(BC96="",BC96=0),
          "",
          BC96*BD$107
        ),
        _xlfn.LET(
          _xlpm._参照先,
            "'[在庫状況把握_43期_2025-2026.xlsx]月次報告"
            &amp;TEXT(BD$1,"YYMM")
            &amp;"'!",
          _xlpm._戻り範囲,
            IF(
              _xlpm._対象月初=_xlpm._今月初,
              "$AG$1:$AG$300",
              "$G$1:$G$300"
            ),
          _xlfn.XLOOKUP(
            $C96,
            INDIRECT(_xlpm._参照先&amp;"$C$1:$C$300"),
            INDIRECT(_xlpm._参照先&amp;_xlpm._戻り範囲)
          )
        )
      )
    ),
    ""
  )
)</f>
        <v/>
      </c>
    </row>
    <row r="97" spans="1:56" ht="18.75" customHeight="1">
      <c r="A97" s="1061" t="s">
        <v>1473</v>
      </c>
      <c r="B97" s="26" t="str">
        <v>CLE-V74-U7-155U-L6-TPM-DDR5-TW-BK</v>
      </c>
      <c r="C97" s="86" t="s">
        <v>809</v>
      </c>
      <c r="D97" s="62" t="s">
        <v>1430</v>
      </c>
      <c r="E97" s="26" t="s">
        <v>1423</v>
      </c>
      <c r="F97" s="26" t="s">
        <v>1372</v>
      </c>
      <c r="G97" s="43">
        <v>410</v>
      </c>
      <c r="H97" s="109" cm="1">
        <f t="array" aca="1" ref="H97" ca="1">_xlfn.LET(_xlpm._来月から4ヶ月計画合計,
  SUM(
    OFFSET($A97,0,
      MATCH(
        EDATE(基準データ!$C$5,3),$A$1:$BF$1,1
      )-3,1,4)),
_xlpm._今月計画数,
INDEX($A$1:$BE$223,
  ROW(),
  MATCH(EOMONTH(基準データ!$C$5,-1)+1,$A$1:$BE$1,0)
),
  IFERROR(IF($B97="","",_xlpm._来月から4ヶ月計画合計+_xlpm._今月計画数/2),""
)
)</f>
        <v>0</v>
      </c>
      <c r="I97" s="311"/>
      <c r="J97" s="311"/>
      <c r="K97" s="311"/>
      <c r="L97" s="311"/>
      <c r="M97" s="311"/>
      <c r="N97" s="180"/>
      <c r="O97" s="311"/>
      <c r="P97" s="311"/>
      <c r="Q97" s="298"/>
      <c r="R97" s="298"/>
      <c r="S97" s="298"/>
      <c r="T97" s="298"/>
      <c r="U97" s="224"/>
      <c r="V97" s="237"/>
      <c r="W97" s="333"/>
      <c r="X97" s="333"/>
      <c r="Y97" s="333" t="str">
        <f>IF(X97*$Y$107=0,"",X97*$Y$107)</f>
        <v/>
      </c>
      <c r="Z97" s="480"/>
      <c r="AA97" s="219" t="str">
        <f>IF(Z97*$AA$107=0,"",Z97*$AA$107)</f>
        <v/>
      </c>
      <c r="AB97" s="557"/>
      <c r="AC97" s="649"/>
      <c r="AD97" s="649" t="s">
        <v>21</v>
      </c>
      <c r="AE97" s="223" t="s">
        <v>21</v>
      </c>
      <c r="AF97" s="223" t="s">
        <v>21</v>
      </c>
      <c r="AG97" s="223" t="s">
        <v>21</v>
      </c>
      <c r="AH97" s="223">
        <v>0</v>
      </c>
      <c r="AI97" s="223">
        <v>0</v>
      </c>
      <c r="AJ97" s="223">
        <v>0</v>
      </c>
      <c r="AK97" s="223">
        <v>0</v>
      </c>
      <c r="AL97" s="223" cm="1">
        <f t="array" aca="1" ref="AL97" ca="1">IF($C97="","",
  IFERROR(
    _xlfn.LET(
      _xlpm._対象月初,EOMONTH(AL$1,-1)+1,
      _xlpm._今月初,EOMONTH(基準データ!$C$5,-1)+1,
      IF(
        _xlpm._対象月初&gt;_xlpm._今月初,
        IF(
          OR(AK97="",AK97=0),
          "",
          AK97*AL$107
        ),
        _xlfn.LET(
          _xlpm._参照先,
            "'[在庫状況把握_43期_2025-2026.xlsx]月次報告"
            &amp;TEXT(AL$1,"YYMM")
            &amp;"'!",
          _xlpm._戻り範囲,
            IF(
              _xlpm._対象月初=_xlpm._今月初,
              "$AG$1:$AG$300",
              "$G$1:$G$300"
            ),
          _xlfn.XLOOKUP(
            $C97,
            INDIRECT(_xlpm._参照先&amp;"$C$1:$C$300"),
            INDIRECT(_xlpm._参照先&amp;_xlpm._戻り範囲)
          )
        )
      )
    ),
    ""
  )
)</f>
        <v>0</v>
      </c>
      <c r="AM97" s="223" cm="1">
        <f t="array" aca="1" ref="AM97" ca="1">IF($C97="","",
  IFERROR(
    _xlfn.LET(
      _xlpm._対象月初,EOMONTH(AM$1,-1)+1,
      _xlpm._今月初,EOMONTH(基準データ!$C$5,-1)+1,
      IF(
        _xlpm._対象月初&gt;_xlpm._今月初,
        IF(
          OR(AL97="",AL97=0),
          "",
          AL97*AM$107
        ),
        _xlfn.LET(
          _xlpm._参照先,
            "'[在庫状況把握_43期_2025-2026.xlsx]月次報告"
            &amp;TEXT(AM$1,"YYMM")
            &amp;"'!",
          _xlpm._戻り範囲,
            IF(
              _xlpm._対象月初=_xlpm._今月初,
              "$AG$1:$AG$300",
              "$G$1:$G$300"
            ),
          _xlfn.XLOOKUP(
            $C97,
            INDIRECT(_xlpm._参照先&amp;"$C$1:$C$300"),
            INDIRECT(_xlpm._参照先&amp;_xlpm._戻り範囲)
          )
        )
      )
    ),
    ""
  )
)</f>
        <v>0</v>
      </c>
      <c r="AN97" s="223" t="str" cm="1">
        <f t="array" aca="1" ref="AN97" ca="1">IF($C97="","",
  IFERROR(
    _xlfn.LET(
      _xlpm._対象月初,EOMONTH(AN$1,-1)+1,
      _xlpm._今月初,EOMONTH(基準データ!$C$5,-1)+1,
      IF(
        _xlpm._対象月初&gt;_xlpm._今月初,
        IF(
          OR(AM97="",AM97=0),
          "",
          AM97*AN$107
        ),
        _xlfn.LET(
          _xlpm._参照先,
            "'[在庫状況把握_43期_2025-2026.xlsx]月次報告"
            &amp;TEXT(AN$1,"YYMM")
            &amp;"'!",
          _xlpm._戻り範囲,
            IF(
              _xlpm._対象月初=_xlpm._今月初,
              "$AG$1:$AG$300",
              "$G$1:$G$300"
            ),
          _xlfn.XLOOKUP(
            $C97,
            INDIRECT(_xlpm._参照先&amp;"$C$1:$C$300"),
            INDIRECT(_xlpm._参照先&amp;_xlpm._戻り範囲)
          )
        )
      )
    ),
    ""
  )
)</f>
        <v/>
      </c>
      <c r="AO97" s="223" t="str" cm="1">
        <f t="array" aca="1" ref="AO97" ca="1">IF($C97="","",
  IFERROR(
    _xlfn.LET(
      _xlpm._対象月初,EOMONTH(AO$1,-1)+1,
      _xlpm._今月初,EOMONTH(基準データ!$C$5,-1)+1,
      IF(
        _xlpm._対象月初&gt;_xlpm._今月初,
        IF(
          OR(AN97="",AN97=0),
          "",
          AN97*AO$107
        ),
        _xlfn.LET(
          _xlpm._参照先,
            "'[在庫状況把握_43期_2025-2026.xlsx]月次報告"
            &amp;TEXT(AO$1,"YYMM")
            &amp;"'!",
          _xlpm._戻り範囲,
            IF(
              _xlpm._対象月初=_xlpm._今月初,
              "$AG$1:$AG$300",
              "$G$1:$G$300"
            ),
          _xlfn.XLOOKUP(
            $C97,
            INDIRECT(_xlpm._参照先&amp;"$C$1:$C$300"),
            INDIRECT(_xlpm._参照先&amp;_xlpm._戻り範囲)
          )
        )
      )
    ),
    ""
  )
)</f>
        <v/>
      </c>
      <c r="AP97" s="223" t="str" cm="1">
        <f t="array" aca="1" ref="AP97" ca="1">IF($C97="","",
  IFERROR(
    _xlfn.LET(
      _xlpm._対象月初,EOMONTH(AP$1,-1)+1,
      _xlpm._今月初,EOMONTH(基準データ!$C$5,-1)+1,
      IF(
        _xlpm._対象月初&gt;_xlpm._今月初,
        IF(
          OR(AO97="",AO97=0),
          "",
          AO97*AP$107
        ),
        _xlfn.LET(
          _xlpm._参照先,
            "'[在庫状況把握_43期_2025-2026.xlsx]月次報告"
            &amp;TEXT(AP$1,"YYMM")
            &amp;"'!",
          _xlpm._戻り範囲,
            IF(
              _xlpm._対象月初=_xlpm._今月初,
              "$AG$1:$AG$300",
              "$G$1:$G$300"
            ),
          _xlfn.XLOOKUP(
            $C97,
            INDIRECT(_xlpm._参照先&amp;"$C$1:$C$300"),
            INDIRECT(_xlpm._参照先&amp;_xlpm._戻り範囲)
          )
        )
      )
    ),
    ""
  )
)</f>
        <v/>
      </c>
      <c r="AQ97" s="223" t="str" cm="1">
        <f t="array" aca="1" ref="AQ97" ca="1">IF($C97="","",
  IFERROR(
    _xlfn.LET(
      _xlpm._対象月初,EOMONTH(AQ$1,-1)+1,
      _xlpm._今月初,EOMONTH(基準データ!$C$5,-1)+1,
      IF(
        _xlpm._対象月初&gt;_xlpm._今月初,
        IF(
          OR(AP97="",AP97=0),
          "",
          AP97*AQ$107
        ),
        _xlfn.LET(
          _xlpm._参照先,
            "'[在庫状況把握_43期_2025-2026.xlsx]月次報告"
            &amp;TEXT(AQ$1,"YYMM")
            &amp;"'!",
          _xlpm._戻り範囲,
            IF(
              _xlpm._対象月初=_xlpm._今月初,
              "$AG$1:$AG$300",
              "$G$1:$G$300"
            ),
          _xlfn.XLOOKUP(
            $C97,
            INDIRECT(_xlpm._参照先&amp;"$C$1:$C$300"),
            INDIRECT(_xlpm._参照先&amp;_xlpm._戻り範囲)
          )
        )
      )
    ),
    ""
  )
)</f>
        <v/>
      </c>
      <c r="AR97" s="223" t="str" cm="1">
        <f t="array" aca="1" ref="AR97" ca="1">IF($C97="","",
  IFERROR(
    _xlfn.LET(
      _xlpm._対象月初,EOMONTH(AR$1,-1)+1,
      _xlpm._今月初,EOMONTH(基準データ!$C$5,-1)+1,
      IF(
        _xlpm._対象月初&gt;_xlpm._今月初,
        IF(
          OR(AQ97="",AQ97=0),
          "",
          AQ97*AR$107
        ),
        _xlfn.LET(
          _xlpm._参照先,
            "'[在庫状況把握_43期_2025-2026.xlsx]月次報告"
            &amp;TEXT(AR$1,"YYMM")
            &amp;"'!",
          _xlpm._戻り範囲,
            IF(
              _xlpm._対象月初=_xlpm._今月初,
              "$AG$1:$AG$300",
              "$G$1:$G$300"
            ),
          _xlfn.XLOOKUP(
            $C97,
            INDIRECT(_xlpm._参照先&amp;"$C$1:$C$300"),
            INDIRECT(_xlpm._参照先&amp;_xlpm._戻り範囲)
          )
        )
      )
    ),
    ""
  )
)</f>
        <v/>
      </c>
      <c r="AS97" s="223" t="str" cm="1">
        <f t="array" aca="1" ref="AS97" ca="1">IF($C97="","",
  IFERROR(
    _xlfn.LET(
      _xlpm._対象月初,EOMONTH(AS$1,-1)+1,
      _xlpm._今月初,EOMONTH(基準データ!$C$5,-1)+1,
      IF(
        _xlpm._対象月初&gt;_xlpm._今月初,
        IF(
          OR(AR97="",AR97=0),
          "",
          AR97*AS$107
        ),
        _xlfn.LET(
          _xlpm._参照先,
            "'[在庫状況把握_43期_2025-2026.xlsx]月次報告"
            &amp;TEXT(AS$1,"YYMM")
            &amp;"'!",
          _xlpm._戻り範囲,
            IF(
              _xlpm._対象月初=_xlpm._今月初,
              "$AG$1:$AG$300",
              "$G$1:$G$300"
            ),
          _xlfn.XLOOKUP(
            $C97,
            INDIRECT(_xlpm._参照先&amp;"$C$1:$C$300"),
            INDIRECT(_xlpm._参照先&amp;_xlpm._戻り範囲)
          )
        )
      )
    ),
    ""
  )
)</f>
        <v/>
      </c>
      <c r="AT97" s="223" t="str" cm="1">
        <f t="array" aca="1" ref="AT97" ca="1">IF($C97="","",
  IFERROR(
    _xlfn.LET(
      _xlpm._対象月初,EOMONTH(AT$1,-1)+1,
      _xlpm._今月初,EOMONTH(基準データ!$C$5,-1)+1,
      IF(
        _xlpm._対象月初&gt;_xlpm._今月初,
        IF(
          OR(AS97="",AS97=0),
          "",
          AS97*AT$107
        ),
        _xlfn.LET(
          _xlpm._参照先,
            "'[在庫状況把握_43期_2025-2026.xlsx]月次報告"
            &amp;TEXT(AT$1,"YYMM")
            &amp;"'!",
          _xlpm._戻り範囲,
            IF(
              _xlpm._対象月初=_xlpm._今月初,
              "$AG$1:$AG$300",
              "$G$1:$G$300"
            ),
          _xlfn.XLOOKUP(
            $C97,
            INDIRECT(_xlpm._参照先&amp;"$C$1:$C$300"),
            INDIRECT(_xlpm._参照先&amp;_xlpm._戻り範囲)
          )
        )
      )
    ),
    ""
  )
)</f>
        <v/>
      </c>
      <c r="AU97" s="223" t="str" cm="1">
        <f t="array" aca="1" ref="AU97" ca="1">IF($C97="","",
  IFERROR(
    _xlfn.LET(
      _xlpm._対象月初,EOMONTH(AU$1,-1)+1,
      _xlpm._今月初,EOMONTH(基準データ!$C$5,-1)+1,
      IF(
        _xlpm._対象月初&gt;_xlpm._今月初,
        IF(
          OR(AT97="",AT97=0),
          "",
          AT97*AU$107
        ),
        _xlfn.LET(
          _xlpm._参照先,
            "'[在庫状況把握_43期_2025-2026.xlsx]月次報告"
            &amp;TEXT(AU$1,"YYMM")
            &amp;"'!",
          _xlpm._戻り範囲,
            IF(
              _xlpm._対象月初=_xlpm._今月初,
              "$AG$1:$AG$300",
              "$G$1:$G$300"
            ),
          _xlfn.XLOOKUP(
            $C97,
            INDIRECT(_xlpm._参照先&amp;"$C$1:$C$300"),
            INDIRECT(_xlpm._参照先&amp;_xlpm._戻り範囲)
          )
        )
      )
    ),
    ""
  )
)</f>
        <v/>
      </c>
      <c r="AV97" s="223" t="str" cm="1">
        <f t="array" aca="1" ref="AV97" ca="1">IF($C97="","",
  IFERROR(
    _xlfn.LET(
      _xlpm._対象月初,EOMONTH(AV$1,-1)+1,
      _xlpm._今月初,EOMONTH(基準データ!$C$5,-1)+1,
      IF(
        _xlpm._対象月初&gt;_xlpm._今月初,
        IF(
          OR(AU97="",AU97=0),
          "",
          AU97*AV$107
        ),
        _xlfn.LET(
          _xlpm._参照先,
            "'[在庫状況把握_43期_2025-2026.xlsx]月次報告"
            &amp;TEXT(AV$1,"YYMM")
            &amp;"'!",
          _xlpm._戻り範囲,
            IF(
              _xlpm._対象月初=_xlpm._今月初,
              "$AG$1:$AG$300",
              "$G$1:$G$300"
            ),
          _xlfn.XLOOKUP(
            $C97,
            INDIRECT(_xlpm._参照先&amp;"$C$1:$C$300"),
            INDIRECT(_xlpm._参照先&amp;_xlpm._戻り範囲)
          )
        )
      )
    ),
    ""
  )
)</f>
        <v/>
      </c>
      <c r="AW97" s="223" t="str" cm="1">
        <f t="array" aca="1" ref="AW97" ca="1">IF($C97="","",
  IFERROR(
    _xlfn.LET(
      _xlpm._対象月初,EOMONTH(AW$1,-1)+1,
      _xlpm._今月初,EOMONTH(基準データ!$C$5,-1)+1,
      IF(
        _xlpm._対象月初&gt;_xlpm._今月初,
        IF(
          OR(AV97="",AV97=0),
          "",
          AV97*AW$107
        ),
        _xlfn.LET(
          _xlpm._参照先,
            "'[在庫状況把握_43期_2025-2026.xlsx]月次報告"
            &amp;TEXT(AW$1,"YYMM")
            &amp;"'!",
          _xlpm._戻り範囲,
            IF(
              _xlpm._対象月初=_xlpm._今月初,
              "$AG$1:$AG$300",
              "$G$1:$G$300"
            ),
          _xlfn.XLOOKUP(
            $C97,
            INDIRECT(_xlpm._参照先&amp;"$C$1:$C$300"),
            INDIRECT(_xlpm._参照先&amp;_xlpm._戻り範囲)
          )
        )
      )
    ),
    ""
  )
)</f>
        <v/>
      </c>
      <c r="AX97" s="223" t="str" cm="1">
        <f t="array" aca="1" ref="AX97" ca="1">IF($C97="","",
  IFERROR(
    _xlfn.LET(
      _xlpm._対象月初,EOMONTH(AX$1,-1)+1,
      _xlpm._今月初,EOMONTH(基準データ!$C$5,-1)+1,
      IF(
        _xlpm._対象月初&gt;_xlpm._今月初,
        IF(
          OR(AW97="",AW97=0),
          "",
          AW97*AX$107
        ),
        _xlfn.LET(
          _xlpm._参照先,
            "'[在庫状況把握_43期_2025-2026.xlsx]月次報告"
            &amp;TEXT(AX$1,"YYMM")
            &amp;"'!",
          _xlpm._戻り範囲,
            IF(
              _xlpm._対象月初=_xlpm._今月初,
              "$AG$1:$AG$300",
              "$G$1:$G$300"
            ),
          _xlfn.XLOOKUP(
            $C97,
            INDIRECT(_xlpm._参照先&amp;"$C$1:$C$300"),
            INDIRECT(_xlpm._参照先&amp;_xlpm._戻り範囲)
          )
        )
      )
    ),
    ""
  )
)</f>
        <v/>
      </c>
      <c r="AY97" s="223" t="str" cm="1">
        <f t="array" aca="1" ref="AY97" ca="1">IF($C97="","",
  IFERROR(
    _xlfn.LET(
      _xlpm._対象月初,EOMONTH(AY$1,-1)+1,
      _xlpm._今月初,EOMONTH(基準データ!$C$5,-1)+1,
      IF(
        _xlpm._対象月初&gt;_xlpm._今月初,
        IF(
          OR(AX97="",AX97=0),
          "",
          AX97*AY$107
        ),
        _xlfn.LET(
          _xlpm._参照先,
            "'[在庫状況把握_43期_2025-2026.xlsx]月次報告"
            &amp;TEXT(AY$1,"YYMM")
            &amp;"'!",
          _xlpm._戻り範囲,
            IF(
              _xlpm._対象月初=_xlpm._今月初,
              "$AG$1:$AG$300",
              "$G$1:$G$300"
            ),
          _xlfn.XLOOKUP(
            $C97,
            INDIRECT(_xlpm._参照先&amp;"$C$1:$C$300"),
            INDIRECT(_xlpm._参照先&amp;_xlpm._戻り範囲)
          )
        )
      )
    ),
    ""
  )
)</f>
        <v/>
      </c>
      <c r="AZ97" s="223" t="str" cm="1">
        <f t="array" aca="1" ref="AZ97" ca="1">IF($C97="","",
  IFERROR(
    _xlfn.LET(
      _xlpm._対象月初,EOMONTH(AZ$1,-1)+1,
      _xlpm._今月初,EOMONTH(基準データ!$C$5,-1)+1,
      IF(
        _xlpm._対象月初&gt;_xlpm._今月初,
        IF(
          OR(AY97="",AY97=0),
          "",
          AY97*AZ$107
        ),
        _xlfn.LET(
          _xlpm._参照先,
            "'[在庫状況把握_43期_2025-2026.xlsx]月次報告"
            &amp;TEXT(AZ$1,"YYMM")
            &amp;"'!",
          _xlpm._戻り範囲,
            IF(
              _xlpm._対象月初=_xlpm._今月初,
              "$AG$1:$AG$300",
              "$G$1:$G$300"
            ),
          _xlfn.XLOOKUP(
            $C97,
            INDIRECT(_xlpm._参照先&amp;"$C$1:$C$300"),
            INDIRECT(_xlpm._参照先&amp;_xlpm._戻り範囲)
          )
        )
      )
    ),
    ""
  )
)</f>
        <v/>
      </c>
      <c r="BA97" s="223" t="str" cm="1">
        <f t="array" aca="1" ref="BA97" ca="1">IF($C97="","",
  IFERROR(
    _xlfn.LET(
      _xlpm._対象月初,EOMONTH(BA$1,-1)+1,
      _xlpm._今月初,EOMONTH(基準データ!$C$5,-1)+1,
      IF(
        _xlpm._対象月初&gt;_xlpm._今月初,
        IF(
          OR(AZ97="",AZ97=0),
          "",
          AZ97*BA$107
        ),
        _xlfn.LET(
          _xlpm._参照先,
            "'[在庫状況把握_43期_2025-2026.xlsx]月次報告"
            &amp;TEXT(BA$1,"YYMM")
            &amp;"'!",
          _xlpm._戻り範囲,
            IF(
              _xlpm._対象月初=_xlpm._今月初,
              "$AG$1:$AG$300",
              "$G$1:$G$300"
            ),
          _xlfn.XLOOKUP(
            $C97,
            INDIRECT(_xlpm._参照先&amp;"$C$1:$C$300"),
            INDIRECT(_xlpm._参照先&amp;_xlpm._戻り範囲)
          )
        )
      )
    ),
    ""
  )
)</f>
        <v/>
      </c>
      <c r="BB97" s="223" t="str" cm="1">
        <f t="array" aca="1" ref="BB97" ca="1">IF($C97="","",
  IFERROR(
    _xlfn.LET(
      _xlpm._対象月初,EOMONTH(BB$1,-1)+1,
      _xlpm._今月初,EOMONTH(基準データ!$C$5,-1)+1,
      IF(
        _xlpm._対象月初&gt;_xlpm._今月初,
        IF(
          OR(BA97="",BA97=0),
          "",
          BA97*BB$107
        ),
        _xlfn.LET(
          _xlpm._参照先,
            "'[在庫状況把握_43期_2025-2026.xlsx]月次報告"
            &amp;TEXT(BB$1,"YYMM")
            &amp;"'!",
          _xlpm._戻り範囲,
            IF(
              _xlpm._対象月初=_xlpm._今月初,
              "$AG$1:$AG$300",
              "$G$1:$G$300"
            ),
          _xlfn.XLOOKUP(
            $C97,
            INDIRECT(_xlpm._参照先&amp;"$C$1:$C$300"),
            INDIRECT(_xlpm._参照先&amp;_xlpm._戻り範囲)
          )
        )
      )
    ),
    ""
  )
)</f>
        <v/>
      </c>
      <c r="BC97" s="223" t="str" cm="1">
        <f t="array" aca="1" ref="BC97" ca="1">IF($C97="","",
  IFERROR(
    _xlfn.LET(
      _xlpm._対象月初,EOMONTH(BC$1,-1)+1,
      _xlpm._今月初,EOMONTH(基準データ!$C$5,-1)+1,
      IF(
        _xlpm._対象月初&gt;_xlpm._今月初,
        IF(
          OR(BB97="",BB97=0),
          "",
          BB97*BC$107
        ),
        _xlfn.LET(
          _xlpm._参照先,
            "'[在庫状況把握_43期_2025-2026.xlsx]月次報告"
            &amp;TEXT(BC$1,"YYMM")
            &amp;"'!",
          _xlpm._戻り範囲,
            IF(
              _xlpm._対象月初=_xlpm._今月初,
              "$AG$1:$AG$300",
              "$G$1:$G$300"
            ),
          _xlfn.XLOOKUP(
            $C97,
            INDIRECT(_xlpm._参照先&amp;"$C$1:$C$300"),
            INDIRECT(_xlpm._参照先&amp;_xlpm._戻り範囲)
          )
        )
      )
    ),
    ""
  )
)</f>
        <v/>
      </c>
      <c r="BD97" s="223" t="str" cm="1">
        <f t="array" aca="1" ref="BD97" ca="1">IF($C97="","",
  IFERROR(
    _xlfn.LET(
      _xlpm._対象月初,EOMONTH(BD$1,-1)+1,
      _xlpm._今月初,EOMONTH(基準データ!$C$5,-1)+1,
      IF(
        _xlpm._対象月初&gt;_xlpm._今月初,
        IF(
          OR(BC97="",BC97=0),
          "",
          BC97*BD$107
        ),
        _xlfn.LET(
          _xlpm._参照先,
            "'[在庫状況把握_43期_2025-2026.xlsx]月次報告"
            &amp;TEXT(BD$1,"YYMM")
            &amp;"'!",
          _xlpm._戻り範囲,
            IF(
              _xlpm._対象月初=_xlpm._今月初,
              "$AG$1:$AG$300",
              "$G$1:$G$300"
            ),
          _xlfn.XLOOKUP(
            $C97,
            INDIRECT(_xlpm._参照先&amp;"$C$1:$C$300"),
            INDIRECT(_xlpm._参照先&amp;_xlpm._戻り範囲)
          )
        )
      )
    ),
    ""
  )
)</f>
        <v/>
      </c>
    </row>
    <row r="98" spans="1:56" ht="18.75" customHeight="1">
      <c r="A98" s="1061" t="s">
        <v>1473</v>
      </c>
      <c r="B98" s="26" t="str">
        <v>CLE-V74-U7-155U-L6-TPM-DDR5-TW-BL</v>
      </c>
      <c r="C98" s="86" t="s">
        <v>805</v>
      </c>
      <c r="D98" s="72" t="s">
        <v>1460</v>
      </c>
      <c r="E98" s="68"/>
      <c r="F98" s="68"/>
      <c r="G98" s="355">
        <v>166</v>
      </c>
      <c r="H98" s="109" cm="1">
        <f t="array" aca="1" ref="H98" ca="1">_xlfn.LET(_xlpm._来月から4ヶ月計画合計,
  SUM(
    OFFSET($A98,0,
      MATCH(
        EDATE(基準データ!$C$5,3),$A$1:$BF$1,1
      )-3,1,4)),
_xlpm._今月計画数,
INDEX($A$1:$BE$223,
  ROW(),
  MATCH(EOMONTH(基準データ!$C$5,-1)+1,$A$1:$BE$1,0)
),
  IFERROR(IF($B98="","",_xlpm._来月から4ヶ月計画合計+_xlpm._今月計画数/2),""
)
)</f>
        <v>0</v>
      </c>
      <c r="I98" s="311"/>
      <c r="J98" s="311"/>
      <c r="K98" s="311"/>
      <c r="L98" s="311"/>
      <c r="M98" s="38"/>
      <c r="N98" s="38"/>
      <c r="O98" s="38"/>
      <c r="P98" s="38"/>
      <c r="Q98" s="219"/>
      <c r="R98" s="219"/>
      <c r="S98" s="219"/>
      <c r="T98" s="219"/>
      <c r="U98" s="224"/>
      <c r="V98" s="237"/>
      <c r="W98" s="333"/>
      <c r="X98" s="333"/>
      <c r="Y98" s="333"/>
      <c r="Z98" s="219"/>
      <c r="AA98" s="219"/>
      <c r="AB98" s="529"/>
      <c r="AC98" s="648"/>
      <c r="AD98" s="648" t="s">
        <v>21</v>
      </c>
      <c r="AE98" s="223" t="s">
        <v>21</v>
      </c>
      <c r="AF98" s="223" t="s">
        <v>21</v>
      </c>
      <c r="AG98" s="223" t="s">
        <v>21</v>
      </c>
      <c r="AH98" s="223">
        <v>0</v>
      </c>
      <c r="AI98" s="223">
        <v>0</v>
      </c>
      <c r="AJ98" s="223">
        <v>0</v>
      </c>
      <c r="AK98" s="223">
        <v>0</v>
      </c>
      <c r="AL98" s="223" cm="1">
        <f t="array" aca="1" ref="AL98" ca="1">IF($C98="","",
  IFERROR(
    _xlfn.LET(
      _xlpm._対象月初,EOMONTH(AL$1,-1)+1,
      _xlpm._今月初,EOMONTH(基準データ!$C$5,-1)+1,
      IF(
        _xlpm._対象月初&gt;_xlpm._今月初,
        IF(
          OR(AK98="",AK98=0),
          "",
          AK98*AL$107
        ),
        _xlfn.LET(
          _xlpm._参照先,
            "'[在庫状況把握_43期_2025-2026.xlsx]月次報告"
            &amp;TEXT(AL$1,"YYMM")
            &amp;"'!",
          _xlpm._戻り範囲,
            IF(
              _xlpm._対象月初=_xlpm._今月初,
              "$AG$1:$AG$300",
              "$G$1:$G$300"
            ),
          _xlfn.XLOOKUP(
            $C98,
            INDIRECT(_xlpm._参照先&amp;"$C$1:$C$300"),
            INDIRECT(_xlpm._参照先&amp;_xlpm._戻り範囲)
          )
        )
      )
    ),
    ""
  )
)</f>
        <v>0</v>
      </c>
      <c r="AM98" s="223" cm="1">
        <f t="array" aca="1" ref="AM98" ca="1">IF($C98="","",
  IFERROR(
    _xlfn.LET(
      _xlpm._対象月初,EOMONTH(AM$1,-1)+1,
      _xlpm._今月初,EOMONTH(基準データ!$C$5,-1)+1,
      IF(
        _xlpm._対象月初&gt;_xlpm._今月初,
        IF(
          OR(AL98="",AL98=0),
          "",
          AL98*AM$107
        ),
        _xlfn.LET(
          _xlpm._参照先,
            "'[在庫状況把握_43期_2025-2026.xlsx]月次報告"
            &amp;TEXT(AM$1,"YYMM")
            &amp;"'!",
          _xlpm._戻り範囲,
            IF(
              _xlpm._対象月初=_xlpm._今月初,
              "$AG$1:$AG$300",
              "$G$1:$G$300"
            ),
          _xlfn.XLOOKUP(
            $C98,
            INDIRECT(_xlpm._参照先&amp;"$C$1:$C$300"),
            INDIRECT(_xlpm._参照先&amp;_xlpm._戻り範囲)
          )
        )
      )
    ),
    ""
  )
)</f>
        <v>0</v>
      </c>
      <c r="AN98" s="223" t="str" cm="1">
        <f t="array" aca="1" ref="AN98" ca="1">IF($C98="","",
  IFERROR(
    _xlfn.LET(
      _xlpm._対象月初,EOMONTH(AN$1,-1)+1,
      _xlpm._今月初,EOMONTH(基準データ!$C$5,-1)+1,
      IF(
        _xlpm._対象月初&gt;_xlpm._今月初,
        IF(
          OR(AM98="",AM98=0),
          "",
          AM98*AN$107
        ),
        _xlfn.LET(
          _xlpm._参照先,
            "'[在庫状況把握_43期_2025-2026.xlsx]月次報告"
            &amp;TEXT(AN$1,"YYMM")
            &amp;"'!",
          _xlpm._戻り範囲,
            IF(
              _xlpm._対象月初=_xlpm._今月初,
              "$AG$1:$AG$300",
              "$G$1:$G$300"
            ),
          _xlfn.XLOOKUP(
            $C98,
            INDIRECT(_xlpm._参照先&amp;"$C$1:$C$300"),
            INDIRECT(_xlpm._参照先&amp;_xlpm._戻り範囲)
          )
        )
      )
    ),
    ""
  )
)</f>
        <v/>
      </c>
      <c r="AO98" s="223" t="str" cm="1">
        <f t="array" aca="1" ref="AO98" ca="1">IF($C98="","",
  IFERROR(
    _xlfn.LET(
      _xlpm._対象月初,EOMONTH(AO$1,-1)+1,
      _xlpm._今月初,EOMONTH(基準データ!$C$5,-1)+1,
      IF(
        _xlpm._対象月初&gt;_xlpm._今月初,
        IF(
          OR(AN98="",AN98=0),
          "",
          AN98*AO$107
        ),
        _xlfn.LET(
          _xlpm._参照先,
            "'[在庫状況把握_43期_2025-2026.xlsx]月次報告"
            &amp;TEXT(AO$1,"YYMM")
            &amp;"'!",
          _xlpm._戻り範囲,
            IF(
              _xlpm._対象月初=_xlpm._今月初,
              "$AG$1:$AG$300",
              "$G$1:$G$300"
            ),
          _xlfn.XLOOKUP(
            $C98,
            INDIRECT(_xlpm._参照先&amp;"$C$1:$C$300"),
            INDIRECT(_xlpm._参照先&amp;_xlpm._戻り範囲)
          )
        )
      )
    ),
    ""
  )
)</f>
        <v/>
      </c>
      <c r="AP98" s="223" t="str" cm="1">
        <f t="array" aca="1" ref="AP98" ca="1">IF($C98="","",
  IFERROR(
    _xlfn.LET(
      _xlpm._対象月初,EOMONTH(AP$1,-1)+1,
      _xlpm._今月初,EOMONTH(基準データ!$C$5,-1)+1,
      IF(
        _xlpm._対象月初&gt;_xlpm._今月初,
        IF(
          OR(AO98="",AO98=0),
          "",
          AO98*AP$107
        ),
        _xlfn.LET(
          _xlpm._参照先,
            "'[在庫状況把握_43期_2025-2026.xlsx]月次報告"
            &amp;TEXT(AP$1,"YYMM")
            &amp;"'!",
          _xlpm._戻り範囲,
            IF(
              _xlpm._対象月初=_xlpm._今月初,
              "$AG$1:$AG$300",
              "$G$1:$G$300"
            ),
          _xlfn.XLOOKUP(
            $C98,
            INDIRECT(_xlpm._参照先&amp;"$C$1:$C$300"),
            INDIRECT(_xlpm._参照先&amp;_xlpm._戻り範囲)
          )
        )
      )
    ),
    ""
  )
)</f>
        <v/>
      </c>
      <c r="AQ98" s="223" t="str" cm="1">
        <f t="array" aca="1" ref="AQ98" ca="1">IF($C98="","",
  IFERROR(
    _xlfn.LET(
      _xlpm._対象月初,EOMONTH(AQ$1,-1)+1,
      _xlpm._今月初,EOMONTH(基準データ!$C$5,-1)+1,
      IF(
        _xlpm._対象月初&gt;_xlpm._今月初,
        IF(
          OR(AP98="",AP98=0),
          "",
          AP98*AQ$107
        ),
        _xlfn.LET(
          _xlpm._参照先,
            "'[在庫状況把握_43期_2025-2026.xlsx]月次報告"
            &amp;TEXT(AQ$1,"YYMM")
            &amp;"'!",
          _xlpm._戻り範囲,
            IF(
              _xlpm._対象月初=_xlpm._今月初,
              "$AG$1:$AG$300",
              "$G$1:$G$300"
            ),
          _xlfn.XLOOKUP(
            $C98,
            INDIRECT(_xlpm._参照先&amp;"$C$1:$C$300"),
            INDIRECT(_xlpm._参照先&amp;_xlpm._戻り範囲)
          )
        )
      )
    ),
    ""
  )
)</f>
        <v/>
      </c>
      <c r="AR98" s="223" t="str" cm="1">
        <f t="array" aca="1" ref="AR98" ca="1">IF($C98="","",
  IFERROR(
    _xlfn.LET(
      _xlpm._対象月初,EOMONTH(AR$1,-1)+1,
      _xlpm._今月初,EOMONTH(基準データ!$C$5,-1)+1,
      IF(
        _xlpm._対象月初&gt;_xlpm._今月初,
        IF(
          OR(AQ98="",AQ98=0),
          "",
          AQ98*AR$107
        ),
        _xlfn.LET(
          _xlpm._参照先,
            "'[在庫状況把握_43期_2025-2026.xlsx]月次報告"
            &amp;TEXT(AR$1,"YYMM")
            &amp;"'!",
          _xlpm._戻り範囲,
            IF(
              _xlpm._対象月初=_xlpm._今月初,
              "$AG$1:$AG$300",
              "$G$1:$G$300"
            ),
          _xlfn.XLOOKUP(
            $C98,
            INDIRECT(_xlpm._参照先&amp;"$C$1:$C$300"),
            INDIRECT(_xlpm._参照先&amp;_xlpm._戻り範囲)
          )
        )
      )
    ),
    ""
  )
)</f>
        <v/>
      </c>
      <c r="AS98" s="223" t="str" cm="1">
        <f t="array" aca="1" ref="AS98" ca="1">IF($C98="","",
  IFERROR(
    _xlfn.LET(
      _xlpm._対象月初,EOMONTH(AS$1,-1)+1,
      _xlpm._今月初,EOMONTH(基準データ!$C$5,-1)+1,
      IF(
        _xlpm._対象月初&gt;_xlpm._今月初,
        IF(
          OR(AR98="",AR98=0),
          "",
          AR98*AS$107
        ),
        _xlfn.LET(
          _xlpm._参照先,
            "'[在庫状況把握_43期_2025-2026.xlsx]月次報告"
            &amp;TEXT(AS$1,"YYMM")
            &amp;"'!",
          _xlpm._戻り範囲,
            IF(
              _xlpm._対象月初=_xlpm._今月初,
              "$AG$1:$AG$300",
              "$G$1:$G$300"
            ),
          _xlfn.XLOOKUP(
            $C98,
            INDIRECT(_xlpm._参照先&amp;"$C$1:$C$300"),
            INDIRECT(_xlpm._参照先&amp;_xlpm._戻り範囲)
          )
        )
      )
    ),
    ""
  )
)</f>
        <v/>
      </c>
      <c r="AT98" s="223" t="str" cm="1">
        <f t="array" aca="1" ref="AT98" ca="1">IF($C98="","",
  IFERROR(
    _xlfn.LET(
      _xlpm._対象月初,EOMONTH(AT$1,-1)+1,
      _xlpm._今月初,EOMONTH(基準データ!$C$5,-1)+1,
      IF(
        _xlpm._対象月初&gt;_xlpm._今月初,
        IF(
          OR(AS98="",AS98=0),
          "",
          AS98*AT$107
        ),
        _xlfn.LET(
          _xlpm._参照先,
            "'[在庫状況把握_43期_2025-2026.xlsx]月次報告"
            &amp;TEXT(AT$1,"YYMM")
            &amp;"'!",
          _xlpm._戻り範囲,
            IF(
              _xlpm._対象月初=_xlpm._今月初,
              "$AG$1:$AG$300",
              "$G$1:$G$300"
            ),
          _xlfn.XLOOKUP(
            $C98,
            INDIRECT(_xlpm._参照先&amp;"$C$1:$C$300"),
            INDIRECT(_xlpm._参照先&amp;_xlpm._戻り範囲)
          )
        )
      )
    ),
    ""
  )
)</f>
        <v/>
      </c>
      <c r="AU98" s="223" t="str" cm="1">
        <f t="array" aca="1" ref="AU98" ca="1">IF($C98="","",
  IFERROR(
    _xlfn.LET(
      _xlpm._対象月初,EOMONTH(AU$1,-1)+1,
      _xlpm._今月初,EOMONTH(基準データ!$C$5,-1)+1,
      IF(
        _xlpm._対象月初&gt;_xlpm._今月初,
        IF(
          OR(AT98="",AT98=0),
          "",
          AT98*AU$107
        ),
        _xlfn.LET(
          _xlpm._参照先,
            "'[在庫状況把握_43期_2025-2026.xlsx]月次報告"
            &amp;TEXT(AU$1,"YYMM")
            &amp;"'!",
          _xlpm._戻り範囲,
            IF(
              _xlpm._対象月初=_xlpm._今月初,
              "$AG$1:$AG$300",
              "$G$1:$G$300"
            ),
          _xlfn.XLOOKUP(
            $C98,
            INDIRECT(_xlpm._参照先&amp;"$C$1:$C$300"),
            INDIRECT(_xlpm._参照先&amp;_xlpm._戻り範囲)
          )
        )
      )
    ),
    ""
  )
)</f>
        <v/>
      </c>
      <c r="AV98" s="223" t="str" cm="1">
        <f t="array" aca="1" ref="AV98" ca="1">IF($C98="","",
  IFERROR(
    _xlfn.LET(
      _xlpm._対象月初,EOMONTH(AV$1,-1)+1,
      _xlpm._今月初,EOMONTH(基準データ!$C$5,-1)+1,
      IF(
        _xlpm._対象月初&gt;_xlpm._今月初,
        IF(
          OR(AU98="",AU98=0),
          "",
          AU98*AV$107
        ),
        _xlfn.LET(
          _xlpm._参照先,
            "'[在庫状況把握_43期_2025-2026.xlsx]月次報告"
            &amp;TEXT(AV$1,"YYMM")
            &amp;"'!",
          _xlpm._戻り範囲,
            IF(
              _xlpm._対象月初=_xlpm._今月初,
              "$AG$1:$AG$300",
              "$G$1:$G$300"
            ),
          _xlfn.XLOOKUP(
            $C98,
            INDIRECT(_xlpm._参照先&amp;"$C$1:$C$300"),
            INDIRECT(_xlpm._参照先&amp;_xlpm._戻り範囲)
          )
        )
      )
    ),
    ""
  )
)</f>
        <v/>
      </c>
      <c r="AW98" s="223" t="str" cm="1">
        <f t="array" aca="1" ref="AW98" ca="1">IF($C98="","",
  IFERROR(
    _xlfn.LET(
      _xlpm._対象月初,EOMONTH(AW$1,-1)+1,
      _xlpm._今月初,EOMONTH(基準データ!$C$5,-1)+1,
      IF(
        _xlpm._対象月初&gt;_xlpm._今月初,
        IF(
          OR(AV98="",AV98=0),
          "",
          AV98*AW$107
        ),
        _xlfn.LET(
          _xlpm._参照先,
            "'[在庫状況把握_43期_2025-2026.xlsx]月次報告"
            &amp;TEXT(AW$1,"YYMM")
            &amp;"'!",
          _xlpm._戻り範囲,
            IF(
              _xlpm._対象月初=_xlpm._今月初,
              "$AG$1:$AG$300",
              "$G$1:$G$300"
            ),
          _xlfn.XLOOKUP(
            $C98,
            INDIRECT(_xlpm._参照先&amp;"$C$1:$C$300"),
            INDIRECT(_xlpm._参照先&amp;_xlpm._戻り範囲)
          )
        )
      )
    ),
    ""
  )
)</f>
        <v/>
      </c>
      <c r="AX98" s="223" t="str" cm="1">
        <f t="array" aca="1" ref="AX98" ca="1">IF($C98="","",
  IFERROR(
    _xlfn.LET(
      _xlpm._対象月初,EOMONTH(AX$1,-1)+1,
      _xlpm._今月初,EOMONTH(基準データ!$C$5,-1)+1,
      IF(
        _xlpm._対象月初&gt;_xlpm._今月初,
        IF(
          OR(AW98="",AW98=0),
          "",
          AW98*AX$107
        ),
        _xlfn.LET(
          _xlpm._参照先,
            "'[在庫状況把握_43期_2025-2026.xlsx]月次報告"
            &amp;TEXT(AX$1,"YYMM")
            &amp;"'!",
          _xlpm._戻り範囲,
            IF(
              _xlpm._対象月初=_xlpm._今月初,
              "$AG$1:$AG$300",
              "$G$1:$G$300"
            ),
          _xlfn.XLOOKUP(
            $C98,
            INDIRECT(_xlpm._参照先&amp;"$C$1:$C$300"),
            INDIRECT(_xlpm._参照先&amp;_xlpm._戻り範囲)
          )
        )
      )
    ),
    ""
  )
)</f>
        <v/>
      </c>
      <c r="AY98" s="223" t="str" cm="1">
        <f t="array" aca="1" ref="AY98" ca="1">IF($C98="","",
  IFERROR(
    _xlfn.LET(
      _xlpm._対象月初,EOMONTH(AY$1,-1)+1,
      _xlpm._今月初,EOMONTH(基準データ!$C$5,-1)+1,
      IF(
        _xlpm._対象月初&gt;_xlpm._今月初,
        IF(
          OR(AX98="",AX98=0),
          "",
          AX98*AY$107
        ),
        _xlfn.LET(
          _xlpm._参照先,
            "'[在庫状況把握_43期_2025-2026.xlsx]月次報告"
            &amp;TEXT(AY$1,"YYMM")
            &amp;"'!",
          _xlpm._戻り範囲,
            IF(
              _xlpm._対象月初=_xlpm._今月初,
              "$AG$1:$AG$300",
              "$G$1:$G$300"
            ),
          _xlfn.XLOOKUP(
            $C98,
            INDIRECT(_xlpm._参照先&amp;"$C$1:$C$300"),
            INDIRECT(_xlpm._参照先&amp;_xlpm._戻り範囲)
          )
        )
      )
    ),
    ""
  )
)</f>
        <v/>
      </c>
      <c r="AZ98" s="223" t="str" cm="1">
        <f t="array" aca="1" ref="AZ98" ca="1">IF($C98="","",
  IFERROR(
    _xlfn.LET(
      _xlpm._対象月初,EOMONTH(AZ$1,-1)+1,
      _xlpm._今月初,EOMONTH(基準データ!$C$5,-1)+1,
      IF(
        _xlpm._対象月初&gt;_xlpm._今月初,
        IF(
          OR(AY98="",AY98=0),
          "",
          AY98*AZ$107
        ),
        _xlfn.LET(
          _xlpm._参照先,
            "'[在庫状況把握_43期_2025-2026.xlsx]月次報告"
            &amp;TEXT(AZ$1,"YYMM")
            &amp;"'!",
          _xlpm._戻り範囲,
            IF(
              _xlpm._対象月初=_xlpm._今月初,
              "$AG$1:$AG$300",
              "$G$1:$G$300"
            ),
          _xlfn.XLOOKUP(
            $C98,
            INDIRECT(_xlpm._参照先&amp;"$C$1:$C$300"),
            INDIRECT(_xlpm._参照先&amp;_xlpm._戻り範囲)
          )
        )
      )
    ),
    ""
  )
)</f>
        <v/>
      </c>
      <c r="BA98" s="223" t="str" cm="1">
        <f t="array" aca="1" ref="BA98" ca="1">IF($C98="","",
  IFERROR(
    _xlfn.LET(
      _xlpm._対象月初,EOMONTH(BA$1,-1)+1,
      _xlpm._今月初,EOMONTH(基準データ!$C$5,-1)+1,
      IF(
        _xlpm._対象月初&gt;_xlpm._今月初,
        IF(
          OR(AZ98="",AZ98=0),
          "",
          AZ98*BA$107
        ),
        _xlfn.LET(
          _xlpm._参照先,
            "'[在庫状況把握_43期_2025-2026.xlsx]月次報告"
            &amp;TEXT(BA$1,"YYMM")
            &amp;"'!",
          _xlpm._戻り範囲,
            IF(
              _xlpm._対象月初=_xlpm._今月初,
              "$AG$1:$AG$300",
              "$G$1:$G$300"
            ),
          _xlfn.XLOOKUP(
            $C98,
            INDIRECT(_xlpm._参照先&amp;"$C$1:$C$300"),
            INDIRECT(_xlpm._参照先&amp;_xlpm._戻り範囲)
          )
        )
      )
    ),
    ""
  )
)</f>
        <v/>
      </c>
      <c r="BB98" s="223" t="str" cm="1">
        <f t="array" aca="1" ref="BB98" ca="1">IF($C98="","",
  IFERROR(
    _xlfn.LET(
      _xlpm._対象月初,EOMONTH(BB$1,-1)+1,
      _xlpm._今月初,EOMONTH(基準データ!$C$5,-1)+1,
      IF(
        _xlpm._対象月初&gt;_xlpm._今月初,
        IF(
          OR(BA98="",BA98=0),
          "",
          BA98*BB$107
        ),
        _xlfn.LET(
          _xlpm._参照先,
            "'[在庫状況把握_43期_2025-2026.xlsx]月次報告"
            &amp;TEXT(BB$1,"YYMM")
            &amp;"'!",
          _xlpm._戻り範囲,
            IF(
              _xlpm._対象月初=_xlpm._今月初,
              "$AG$1:$AG$300",
              "$G$1:$G$300"
            ),
          _xlfn.XLOOKUP(
            $C98,
            INDIRECT(_xlpm._参照先&amp;"$C$1:$C$300"),
            INDIRECT(_xlpm._参照先&amp;_xlpm._戻り範囲)
          )
        )
      )
    ),
    ""
  )
)</f>
        <v/>
      </c>
      <c r="BC98" s="223" t="str" cm="1">
        <f t="array" aca="1" ref="BC98" ca="1">IF($C98="","",
  IFERROR(
    _xlfn.LET(
      _xlpm._対象月初,EOMONTH(BC$1,-1)+1,
      _xlpm._今月初,EOMONTH(基準データ!$C$5,-1)+1,
      IF(
        _xlpm._対象月初&gt;_xlpm._今月初,
        IF(
          OR(BB98="",BB98=0),
          "",
          BB98*BC$107
        ),
        _xlfn.LET(
          _xlpm._参照先,
            "'[在庫状況把握_43期_2025-2026.xlsx]月次報告"
            &amp;TEXT(BC$1,"YYMM")
            &amp;"'!",
          _xlpm._戻り範囲,
            IF(
              _xlpm._対象月初=_xlpm._今月初,
              "$AG$1:$AG$300",
              "$G$1:$G$300"
            ),
          _xlfn.XLOOKUP(
            $C98,
            INDIRECT(_xlpm._参照先&amp;"$C$1:$C$300"),
            INDIRECT(_xlpm._参照先&amp;_xlpm._戻り範囲)
          )
        )
      )
    ),
    ""
  )
)</f>
        <v/>
      </c>
      <c r="BD98" s="223" t="str" cm="1">
        <f t="array" aca="1" ref="BD98" ca="1">IF($C98="","",
  IFERROR(
    _xlfn.LET(
      _xlpm._対象月初,EOMONTH(BD$1,-1)+1,
      _xlpm._今月初,EOMONTH(基準データ!$C$5,-1)+1,
      IF(
        _xlpm._対象月初&gt;_xlpm._今月初,
        IF(
          OR(BC98="",BC98=0),
          "",
          BC98*BD$107
        ),
        _xlfn.LET(
          _xlpm._参照先,
            "'[在庫状況把握_43期_2025-2026.xlsx]月次報告"
            &amp;TEXT(BD$1,"YYMM")
            &amp;"'!",
          _xlpm._戻り範囲,
            IF(
              _xlpm._対象月初=_xlpm._今月初,
              "$AG$1:$AG$300",
              "$G$1:$G$300"
            ),
          _xlfn.XLOOKUP(
            $C98,
            INDIRECT(_xlpm._参照先&amp;"$C$1:$C$300"),
            INDIRECT(_xlpm._参照先&amp;_xlpm._戻り範囲)
          )
        )
      )
    ),
    ""
  )
)</f>
        <v/>
      </c>
    </row>
    <row r="99" spans="1:56" ht="18.75" customHeight="1">
      <c r="A99" s="1061" t="s">
        <v>1473</v>
      </c>
      <c r="B99" s="26" t="str">
        <v>CLE-V74-U7-155U-L6-TPM-DDR5-TW-RG</v>
      </c>
      <c r="C99" s="56" t="s">
        <v>800</v>
      </c>
      <c r="D99" s="72" t="s">
        <v>1459</v>
      </c>
      <c r="E99" s="68"/>
      <c r="F99" s="68" t="s">
        <v>1347</v>
      </c>
      <c r="G99" s="355">
        <v>172</v>
      </c>
      <c r="H99" s="109" cm="1">
        <f t="array" aca="1" ref="H99" ca="1">_xlfn.LET(_xlpm._来月から4ヶ月計画合計,
  SUM(
    OFFSET($A99,0,
      MATCH(
        EDATE(基準データ!$C$5,3),$A$1:$BF$1,1
      )-3,1,4)),
_xlpm._今月計画数,
INDEX($A$1:$BE$223,
  ROW(),
  MATCH(EOMONTH(基準データ!$C$5,-1)+1,$A$1:$BE$1,0)
),
  IFERROR(IF($B99="","",_xlpm._来月から4ヶ月計画合計+_xlpm._今月計画数/2),""
)
)</f>
        <v>0</v>
      </c>
      <c r="I99" s="311"/>
      <c r="J99" s="311"/>
      <c r="K99" s="311"/>
      <c r="L99" s="311"/>
      <c r="M99" s="38"/>
      <c r="N99" s="38"/>
      <c r="O99" s="38"/>
      <c r="P99" s="38"/>
      <c r="Q99" s="219"/>
      <c r="R99" s="219"/>
      <c r="S99" s="219"/>
      <c r="T99" s="219"/>
      <c r="U99" s="224"/>
      <c r="V99" s="237"/>
      <c r="W99" s="333"/>
      <c r="X99" s="333"/>
      <c r="Y99" s="333"/>
      <c r="Z99" s="219"/>
      <c r="AA99" s="219"/>
      <c r="AB99" s="529"/>
      <c r="AC99" s="648"/>
      <c r="AD99" s="648" t="s">
        <v>21</v>
      </c>
      <c r="AE99" s="223" t="s">
        <v>21</v>
      </c>
      <c r="AF99" s="223" t="s">
        <v>21</v>
      </c>
      <c r="AG99" s="223" t="s">
        <v>21</v>
      </c>
      <c r="AH99" s="223">
        <v>0</v>
      </c>
      <c r="AI99" s="223">
        <v>0</v>
      </c>
      <c r="AJ99" s="223">
        <v>0</v>
      </c>
      <c r="AK99" s="223">
        <v>0</v>
      </c>
      <c r="AL99" s="223" cm="1">
        <f t="array" aca="1" ref="AL99" ca="1">IF($C99="","",
  IFERROR(
    _xlfn.LET(
      _xlpm._対象月初,EOMONTH(AL$1,-1)+1,
      _xlpm._今月初,EOMONTH(基準データ!$C$5,-1)+1,
      IF(
        _xlpm._対象月初&gt;_xlpm._今月初,
        IF(
          OR(AK99="",AK99=0),
          "",
          AK99*AL$107
        ),
        _xlfn.LET(
          _xlpm._参照先,
            "'[在庫状況把握_43期_2025-2026.xlsx]月次報告"
            &amp;TEXT(AL$1,"YYMM")
            &amp;"'!",
          _xlpm._戻り範囲,
            IF(
              _xlpm._対象月初=_xlpm._今月初,
              "$AG$1:$AG$300",
              "$G$1:$G$300"
            ),
          _xlfn.XLOOKUP(
            $C99,
            INDIRECT(_xlpm._参照先&amp;"$C$1:$C$300"),
            INDIRECT(_xlpm._参照先&amp;_xlpm._戻り範囲)
          )
        )
      )
    ),
    ""
  )
)</f>
        <v>0</v>
      </c>
      <c r="AM99" s="223" cm="1">
        <f t="array" aca="1" ref="AM99" ca="1">IF($C99="","",
  IFERROR(
    _xlfn.LET(
      _xlpm._対象月初,EOMONTH(AM$1,-1)+1,
      _xlpm._今月初,EOMONTH(基準データ!$C$5,-1)+1,
      IF(
        _xlpm._対象月初&gt;_xlpm._今月初,
        IF(
          OR(AL99="",AL99=0),
          "",
          AL99*AM$107
        ),
        _xlfn.LET(
          _xlpm._参照先,
            "'[在庫状況把握_43期_2025-2026.xlsx]月次報告"
            &amp;TEXT(AM$1,"YYMM")
            &amp;"'!",
          _xlpm._戻り範囲,
            IF(
              _xlpm._対象月初=_xlpm._今月初,
              "$AG$1:$AG$300",
              "$G$1:$G$300"
            ),
          _xlfn.XLOOKUP(
            $C99,
            INDIRECT(_xlpm._参照先&amp;"$C$1:$C$300"),
            INDIRECT(_xlpm._参照先&amp;_xlpm._戻り範囲)
          )
        )
      )
    ),
    ""
  )
)</f>
        <v>0</v>
      </c>
      <c r="AN99" s="223" t="str" cm="1">
        <f t="array" aca="1" ref="AN99" ca="1">IF($C99="","",
  IFERROR(
    _xlfn.LET(
      _xlpm._対象月初,EOMONTH(AN$1,-1)+1,
      _xlpm._今月初,EOMONTH(基準データ!$C$5,-1)+1,
      IF(
        _xlpm._対象月初&gt;_xlpm._今月初,
        IF(
          OR(AM99="",AM99=0),
          "",
          AM99*AN$107
        ),
        _xlfn.LET(
          _xlpm._参照先,
            "'[在庫状況把握_43期_2025-2026.xlsx]月次報告"
            &amp;TEXT(AN$1,"YYMM")
            &amp;"'!",
          _xlpm._戻り範囲,
            IF(
              _xlpm._対象月初=_xlpm._今月初,
              "$AG$1:$AG$300",
              "$G$1:$G$300"
            ),
          _xlfn.XLOOKUP(
            $C99,
            INDIRECT(_xlpm._参照先&amp;"$C$1:$C$300"),
            INDIRECT(_xlpm._参照先&amp;_xlpm._戻り範囲)
          )
        )
      )
    ),
    ""
  )
)</f>
        <v/>
      </c>
      <c r="AO99" s="223" t="str" cm="1">
        <f t="array" aca="1" ref="AO99" ca="1">IF($C99="","",
  IFERROR(
    _xlfn.LET(
      _xlpm._対象月初,EOMONTH(AO$1,-1)+1,
      _xlpm._今月初,EOMONTH(基準データ!$C$5,-1)+1,
      IF(
        _xlpm._対象月初&gt;_xlpm._今月初,
        IF(
          OR(AN99="",AN99=0),
          "",
          AN99*AO$107
        ),
        _xlfn.LET(
          _xlpm._参照先,
            "'[在庫状況把握_43期_2025-2026.xlsx]月次報告"
            &amp;TEXT(AO$1,"YYMM")
            &amp;"'!",
          _xlpm._戻り範囲,
            IF(
              _xlpm._対象月初=_xlpm._今月初,
              "$AG$1:$AG$300",
              "$G$1:$G$300"
            ),
          _xlfn.XLOOKUP(
            $C99,
            INDIRECT(_xlpm._参照先&amp;"$C$1:$C$300"),
            INDIRECT(_xlpm._参照先&amp;_xlpm._戻り範囲)
          )
        )
      )
    ),
    ""
  )
)</f>
        <v/>
      </c>
      <c r="AP99" s="223" t="str" cm="1">
        <f t="array" aca="1" ref="AP99" ca="1">IF($C99="","",
  IFERROR(
    _xlfn.LET(
      _xlpm._対象月初,EOMONTH(AP$1,-1)+1,
      _xlpm._今月初,EOMONTH(基準データ!$C$5,-1)+1,
      IF(
        _xlpm._対象月初&gt;_xlpm._今月初,
        IF(
          OR(AO99="",AO99=0),
          "",
          AO99*AP$107
        ),
        _xlfn.LET(
          _xlpm._参照先,
            "'[在庫状況把握_43期_2025-2026.xlsx]月次報告"
            &amp;TEXT(AP$1,"YYMM")
            &amp;"'!",
          _xlpm._戻り範囲,
            IF(
              _xlpm._対象月初=_xlpm._今月初,
              "$AG$1:$AG$300",
              "$G$1:$G$300"
            ),
          _xlfn.XLOOKUP(
            $C99,
            INDIRECT(_xlpm._参照先&amp;"$C$1:$C$300"),
            INDIRECT(_xlpm._参照先&amp;_xlpm._戻り範囲)
          )
        )
      )
    ),
    ""
  )
)</f>
        <v/>
      </c>
      <c r="AQ99" s="223" t="str" cm="1">
        <f t="array" aca="1" ref="AQ99" ca="1">IF($C99="","",
  IFERROR(
    _xlfn.LET(
      _xlpm._対象月初,EOMONTH(AQ$1,-1)+1,
      _xlpm._今月初,EOMONTH(基準データ!$C$5,-1)+1,
      IF(
        _xlpm._対象月初&gt;_xlpm._今月初,
        IF(
          OR(AP99="",AP99=0),
          "",
          AP99*AQ$107
        ),
        _xlfn.LET(
          _xlpm._参照先,
            "'[在庫状況把握_43期_2025-2026.xlsx]月次報告"
            &amp;TEXT(AQ$1,"YYMM")
            &amp;"'!",
          _xlpm._戻り範囲,
            IF(
              _xlpm._対象月初=_xlpm._今月初,
              "$AG$1:$AG$300",
              "$G$1:$G$300"
            ),
          _xlfn.XLOOKUP(
            $C99,
            INDIRECT(_xlpm._参照先&amp;"$C$1:$C$300"),
            INDIRECT(_xlpm._参照先&amp;_xlpm._戻り範囲)
          )
        )
      )
    ),
    ""
  )
)</f>
        <v/>
      </c>
      <c r="AR99" s="223" t="str" cm="1">
        <f t="array" aca="1" ref="AR99" ca="1">IF($C99="","",
  IFERROR(
    _xlfn.LET(
      _xlpm._対象月初,EOMONTH(AR$1,-1)+1,
      _xlpm._今月初,EOMONTH(基準データ!$C$5,-1)+1,
      IF(
        _xlpm._対象月初&gt;_xlpm._今月初,
        IF(
          OR(AQ99="",AQ99=0),
          "",
          AQ99*AR$107
        ),
        _xlfn.LET(
          _xlpm._参照先,
            "'[在庫状況把握_43期_2025-2026.xlsx]月次報告"
            &amp;TEXT(AR$1,"YYMM")
            &amp;"'!",
          _xlpm._戻り範囲,
            IF(
              _xlpm._対象月初=_xlpm._今月初,
              "$AG$1:$AG$300",
              "$G$1:$G$300"
            ),
          _xlfn.XLOOKUP(
            $C99,
            INDIRECT(_xlpm._参照先&amp;"$C$1:$C$300"),
            INDIRECT(_xlpm._参照先&amp;_xlpm._戻り範囲)
          )
        )
      )
    ),
    ""
  )
)</f>
        <v/>
      </c>
      <c r="AS99" s="223" t="str" cm="1">
        <f t="array" aca="1" ref="AS99" ca="1">IF($C99="","",
  IFERROR(
    _xlfn.LET(
      _xlpm._対象月初,EOMONTH(AS$1,-1)+1,
      _xlpm._今月初,EOMONTH(基準データ!$C$5,-1)+1,
      IF(
        _xlpm._対象月初&gt;_xlpm._今月初,
        IF(
          OR(AR99="",AR99=0),
          "",
          AR99*AS$107
        ),
        _xlfn.LET(
          _xlpm._参照先,
            "'[在庫状況把握_43期_2025-2026.xlsx]月次報告"
            &amp;TEXT(AS$1,"YYMM")
            &amp;"'!",
          _xlpm._戻り範囲,
            IF(
              _xlpm._対象月初=_xlpm._今月初,
              "$AG$1:$AG$300",
              "$G$1:$G$300"
            ),
          _xlfn.XLOOKUP(
            $C99,
            INDIRECT(_xlpm._参照先&amp;"$C$1:$C$300"),
            INDIRECT(_xlpm._参照先&amp;_xlpm._戻り範囲)
          )
        )
      )
    ),
    ""
  )
)</f>
        <v/>
      </c>
      <c r="AT99" s="223" t="str" cm="1">
        <f t="array" aca="1" ref="AT99" ca="1">IF($C99="","",
  IFERROR(
    _xlfn.LET(
      _xlpm._対象月初,EOMONTH(AT$1,-1)+1,
      _xlpm._今月初,EOMONTH(基準データ!$C$5,-1)+1,
      IF(
        _xlpm._対象月初&gt;_xlpm._今月初,
        IF(
          OR(AS99="",AS99=0),
          "",
          AS99*AT$107
        ),
        _xlfn.LET(
          _xlpm._参照先,
            "'[在庫状況把握_43期_2025-2026.xlsx]月次報告"
            &amp;TEXT(AT$1,"YYMM")
            &amp;"'!",
          _xlpm._戻り範囲,
            IF(
              _xlpm._対象月初=_xlpm._今月初,
              "$AG$1:$AG$300",
              "$G$1:$G$300"
            ),
          _xlfn.XLOOKUP(
            $C99,
            INDIRECT(_xlpm._参照先&amp;"$C$1:$C$300"),
            INDIRECT(_xlpm._参照先&amp;_xlpm._戻り範囲)
          )
        )
      )
    ),
    ""
  )
)</f>
        <v/>
      </c>
      <c r="AU99" s="223" t="str" cm="1">
        <f t="array" aca="1" ref="AU99" ca="1">IF($C99="","",
  IFERROR(
    _xlfn.LET(
      _xlpm._対象月初,EOMONTH(AU$1,-1)+1,
      _xlpm._今月初,EOMONTH(基準データ!$C$5,-1)+1,
      IF(
        _xlpm._対象月初&gt;_xlpm._今月初,
        IF(
          OR(AT99="",AT99=0),
          "",
          AT99*AU$107
        ),
        _xlfn.LET(
          _xlpm._参照先,
            "'[在庫状況把握_43期_2025-2026.xlsx]月次報告"
            &amp;TEXT(AU$1,"YYMM")
            &amp;"'!",
          _xlpm._戻り範囲,
            IF(
              _xlpm._対象月初=_xlpm._今月初,
              "$AG$1:$AG$300",
              "$G$1:$G$300"
            ),
          _xlfn.XLOOKUP(
            $C99,
            INDIRECT(_xlpm._参照先&amp;"$C$1:$C$300"),
            INDIRECT(_xlpm._参照先&amp;_xlpm._戻り範囲)
          )
        )
      )
    ),
    ""
  )
)</f>
        <v/>
      </c>
      <c r="AV99" s="223" t="str" cm="1">
        <f t="array" aca="1" ref="AV99" ca="1">IF($C99="","",
  IFERROR(
    _xlfn.LET(
      _xlpm._対象月初,EOMONTH(AV$1,-1)+1,
      _xlpm._今月初,EOMONTH(基準データ!$C$5,-1)+1,
      IF(
        _xlpm._対象月初&gt;_xlpm._今月初,
        IF(
          OR(AU99="",AU99=0),
          "",
          AU99*AV$107
        ),
        _xlfn.LET(
          _xlpm._参照先,
            "'[在庫状況把握_43期_2025-2026.xlsx]月次報告"
            &amp;TEXT(AV$1,"YYMM")
            &amp;"'!",
          _xlpm._戻り範囲,
            IF(
              _xlpm._対象月初=_xlpm._今月初,
              "$AG$1:$AG$300",
              "$G$1:$G$300"
            ),
          _xlfn.XLOOKUP(
            $C99,
            INDIRECT(_xlpm._参照先&amp;"$C$1:$C$300"),
            INDIRECT(_xlpm._参照先&amp;_xlpm._戻り範囲)
          )
        )
      )
    ),
    ""
  )
)</f>
        <v/>
      </c>
      <c r="AW99" s="223" t="str" cm="1">
        <f t="array" aca="1" ref="AW99" ca="1">IF($C99="","",
  IFERROR(
    _xlfn.LET(
      _xlpm._対象月初,EOMONTH(AW$1,-1)+1,
      _xlpm._今月初,EOMONTH(基準データ!$C$5,-1)+1,
      IF(
        _xlpm._対象月初&gt;_xlpm._今月初,
        IF(
          OR(AV99="",AV99=0),
          "",
          AV99*AW$107
        ),
        _xlfn.LET(
          _xlpm._参照先,
            "'[在庫状況把握_43期_2025-2026.xlsx]月次報告"
            &amp;TEXT(AW$1,"YYMM")
            &amp;"'!",
          _xlpm._戻り範囲,
            IF(
              _xlpm._対象月初=_xlpm._今月初,
              "$AG$1:$AG$300",
              "$G$1:$G$300"
            ),
          _xlfn.XLOOKUP(
            $C99,
            INDIRECT(_xlpm._参照先&amp;"$C$1:$C$300"),
            INDIRECT(_xlpm._参照先&amp;_xlpm._戻り範囲)
          )
        )
      )
    ),
    ""
  )
)</f>
        <v/>
      </c>
      <c r="AX99" s="223" t="str" cm="1">
        <f t="array" aca="1" ref="AX99" ca="1">IF($C99="","",
  IFERROR(
    _xlfn.LET(
      _xlpm._対象月初,EOMONTH(AX$1,-1)+1,
      _xlpm._今月初,EOMONTH(基準データ!$C$5,-1)+1,
      IF(
        _xlpm._対象月初&gt;_xlpm._今月初,
        IF(
          OR(AW99="",AW99=0),
          "",
          AW99*AX$107
        ),
        _xlfn.LET(
          _xlpm._参照先,
            "'[在庫状況把握_43期_2025-2026.xlsx]月次報告"
            &amp;TEXT(AX$1,"YYMM")
            &amp;"'!",
          _xlpm._戻り範囲,
            IF(
              _xlpm._対象月初=_xlpm._今月初,
              "$AG$1:$AG$300",
              "$G$1:$G$300"
            ),
          _xlfn.XLOOKUP(
            $C99,
            INDIRECT(_xlpm._参照先&amp;"$C$1:$C$300"),
            INDIRECT(_xlpm._参照先&amp;_xlpm._戻り範囲)
          )
        )
      )
    ),
    ""
  )
)</f>
        <v/>
      </c>
      <c r="AY99" s="223" t="str" cm="1">
        <f t="array" aca="1" ref="AY99" ca="1">IF($C99="","",
  IFERROR(
    _xlfn.LET(
      _xlpm._対象月初,EOMONTH(AY$1,-1)+1,
      _xlpm._今月初,EOMONTH(基準データ!$C$5,-1)+1,
      IF(
        _xlpm._対象月初&gt;_xlpm._今月初,
        IF(
          OR(AX99="",AX99=0),
          "",
          AX99*AY$107
        ),
        _xlfn.LET(
          _xlpm._参照先,
            "'[在庫状況把握_43期_2025-2026.xlsx]月次報告"
            &amp;TEXT(AY$1,"YYMM")
            &amp;"'!",
          _xlpm._戻り範囲,
            IF(
              _xlpm._対象月初=_xlpm._今月初,
              "$AG$1:$AG$300",
              "$G$1:$G$300"
            ),
          _xlfn.XLOOKUP(
            $C99,
            INDIRECT(_xlpm._参照先&amp;"$C$1:$C$300"),
            INDIRECT(_xlpm._参照先&amp;_xlpm._戻り範囲)
          )
        )
      )
    ),
    ""
  )
)</f>
        <v/>
      </c>
      <c r="AZ99" s="223" t="str" cm="1">
        <f t="array" aca="1" ref="AZ99" ca="1">IF($C99="","",
  IFERROR(
    _xlfn.LET(
      _xlpm._対象月初,EOMONTH(AZ$1,-1)+1,
      _xlpm._今月初,EOMONTH(基準データ!$C$5,-1)+1,
      IF(
        _xlpm._対象月初&gt;_xlpm._今月初,
        IF(
          OR(AY99="",AY99=0),
          "",
          AY99*AZ$107
        ),
        _xlfn.LET(
          _xlpm._参照先,
            "'[在庫状況把握_43期_2025-2026.xlsx]月次報告"
            &amp;TEXT(AZ$1,"YYMM")
            &amp;"'!",
          _xlpm._戻り範囲,
            IF(
              _xlpm._対象月初=_xlpm._今月初,
              "$AG$1:$AG$300",
              "$G$1:$G$300"
            ),
          _xlfn.XLOOKUP(
            $C99,
            INDIRECT(_xlpm._参照先&amp;"$C$1:$C$300"),
            INDIRECT(_xlpm._参照先&amp;_xlpm._戻り範囲)
          )
        )
      )
    ),
    ""
  )
)</f>
        <v/>
      </c>
      <c r="BA99" s="223" t="str" cm="1">
        <f t="array" aca="1" ref="BA99" ca="1">IF($C99="","",
  IFERROR(
    _xlfn.LET(
      _xlpm._対象月初,EOMONTH(BA$1,-1)+1,
      _xlpm._今月初,EOMONTH(基準データ!$C$5,-1)+1,
      IF(
        _xlpm._対象月初&gt;_xlpm._今月初,
        IF(
          OR(AZ99="",AZ99=0),
          "",
          AZ99*BA$107
        ),
        _xlfn.LET(
          _xlpm._参照先,
            "'[在庫状況把握_43期_2025-2026.xlsx]月次報告"
            &amp;TEXT(BA$1,"YYMM")
            &amp;"'!",
          _xlpm._戻り範囲,
            IF(
              _xlpm._対象月初=_xlpm._今月初,
              "$AG$1:$AG$300",
              "$G$1:$G$300"
            ),
          _xlfn.XLOOKUP(
            $C99,
            INDIRECT(_xlpm._参照先&amp;"$C$1:$C$300"),
            INDIRECT(_xlpm._参照先&amp;_xlpm._戻り範囲)
          )
        )
      )
    ),
    ""
  )
)</f>
        <v/>
      </c>
      <c r="BB99" s="223" t="str" cm="1">
        <f t="array" aca="1" ref="BB99" ca="1">IF($C99="","",
  IFERROR(
    _xlfn.LET(
      _xlpm._対象月初,EOMONTH(BB$1,-1)+1,
      _xlpm._今月初,EOMONTH(基準データ!$C$5,-1)+1,
      IF(
        _xlpm._対象月初&gt;_xlpm._今月初,
        IF(
          OR(BA99="",BA99=0),
          "",
          BA99*BB$107
        ),
        _xlfn.LET(
          _xlpm._参照先,
            "'[在庫状況把握_43期_2025-2026.xlsx]月次報告"
            &amp;TEXT(BB$1,"YYMM")
            &amp;"'!",
          _xlpm._戻り範囲,
            IF(
              _xlpm._対象月初=_xlpm._今月初,
              "$AG$1:$AG$300",
              "$G$1:$G$300"
            ),
          _xlfn.XLOOKUP(
            $C99,
            INDIRECT(_xlpm._参照先&amp;"$C$1:$C$300"),
            INDIRECT(_xlpm._参照先&amp;_xlpm._戻り範囲)
          )
        )
      )
    ),
    ""
  )
)</f>
        <v/>
      </c>
      <c r="BC99" s="223" t="str" cm="1">
        <f t="array" aca="1" ref="BC99" ca="1">IF($C99="","",
  IFERROR(
    _xlfn.LET(
      _xlpm._対象月初,EOMONTH(BC$1,-1)+1,
      _xlpm._今月初,EOMONTH(基準データ!$C$5,-1)+1,
      IF(
        _xlpm._対象月初&gt;_xlpm._今月初,
        IF(
          OR(BB99="",BB99=0),
          "",
          BB99*BC$107
        ),
        _xlfn.LET(
          _xlpm._参照先,
            "'[在庫状況把握_43期_2025-2026.xlsx]月次報告"
            &amp;TEXT(BC$1,"YYMM")
            &amp;"'!",
          _xlpm._戻り範囲,
            IF(
              _xlpm._対象月初=_xlpm._今月初,
              "$AG$1:$AG$300",
              "$G$1:$G$300"
            ),
          _xlfn.XLOOKUP(
            $C99,
            INDIRECT(_xlpm._参照先&amp;"$C$1:$C$300"),
            INDIRECT(_xlpm._参照先&amp;_xlpm._戻り範囲)
          )
        )
      )
    ),
    ""
  )
)</f>
        <v/>
      </c>
      <c r="BD99" s="223" t="str" cm="1">
        <f t="array" aca="1" ref="BD99" ca="1">IF($C99="","",
  IFERROR(
    _xlfn.LET(
      _xlpm._対象月初,EOMONTH(BD$1,-1)+1,
      _xlpm._今月初,EOMONTH(基準データ!$C$5,-1)+1,
      IF(
        _xlpm._対象月初&gt;_xlpm._今月初,
        IF(
          OR(BC99="",BC99=0),
          "",
          BC99*BD$107
        ),
        _xlfn.LET(
          _xlpm._参照先,
            "'[在庫状況把握_43期_2025-2026.xlsx]月次報告"
            &amp;TEXT(BD$1,"YYMM")
            &amp;"'!",
          _xlpm._戻り範囲,
            IF(
              _xlpm._対象月初=_xlpm._今月初,
              "$AG$1:$AG$300",
              "$G$1:$G$300"
            ),
          _xlfn.XLOOKUP(
            $C99,
            INDIRECT(_xlpm._参照先&amp;"$C$1:$C$300"),
            INDIRECT(_xlpm._参照先&amp;_xlpm._戻り範囲)
          )
        )
      )
    ),
    ""
  )
)</f>
        <v/>
      </c>
    </row>
    <row r="100" spans="1:56" ht="18.75" customHeight="1">
      <c r="A100" s="1061" t="s">
        <v>1473</v>
      </c>
      <c r="B100" s="26" t="str">
        <v>CLE-V74-U5-125U-L6-TPM-DDR5-TW-BK</v>
      </c>
      <c r="C100" s="56" t="s">
        <v>822</v>
      </c>
      <c r="D100" s="72" t="s">
        <v>1460</v>
      </c>
      <c r="E100" s="68"/>
      <c r="F100" s="68" t="s">
        <v>1347</v>
      </c>
      <c r="G100" s="355">
        <v>463</v>
      </c>
      <c r="H100" s="109" cm="1">
        <f t="array" aca="1" ref="H100" ca="1">_xlfn.LET(_xlpm._来月から4ヶ月計画合計,
  SUM(
    OFFSET($A100,0,
      MATCH(
        EDATE(基準データ!$C$5,3),$A$1:$BF$1,1
      )-3,1,4)),
_xlpm._今月計画数,
INDEX($A$1:$BE$223,
  ROW(),
  MATCH(EOMONTH(基準データ!$C$5,-1)+1,$A$1:$BE$1,0)
),
  IFERROR(IF($B100="","",_xlpm._来月から4ヶ月計画合計+_xlpm._今月計画数/2),""
)
)</f>
        <v>0</v>
      </c>
      <c r="I100" s="311"/>
      <c r="J100" s="311"/>
      <c r="K100" s="311"/>
      <c r="L100" s="311"/>
      <c r="M100" s="38"/>
      <c r="N100" s="38"/>
      <c r="O100" s="38"/>
      <c r="P100" s="38"/>
      <c r="Q100" s="219"/>
      <c r="R100" s="219"/>
      <c r="S100" s="219"/>
      <c r="T100" s="219"/>
      <c r="U100" s="224"/>
      <c r="V100" s="237"/>
      <c r="W100" s="333"/>
      <c r="X100" s="333"/>
      <c r="Y100" s="333"/>
      <c r="Z100" s="219"/>
      <c r="AA100" s="219"/>
      <c r="AB100" s="529"/>
      <c r="AC100" s="648"/>
      <c r="AD100" s="648" t="s">
        <v>21</v>
      </c>
      <c r="AE100" s="223" t="s">
        <v>21</v>
      </c>
      <c r="AF100" s="223" t="s">
        <v>21</v>
      </c>
      <c r="AG100" s="223" t="s">
        <v>21</v>
      </c>
      <c r="AH100" s="223">
        <v>0</v>
      </c>
      <c r="AI100" s="223">
        <v>0</v>
      </c>
      <c r="AJ100" s="223">
        <v>0</v>
      </c>
      <c r="AK100" s="223">
        <v>0</v>
      </c>
      <c r="AL100" s="223" cm="1">
        <f t="array" aca="1" ref="AL100" ca="1">IF($C100="","",
  IFERROR(
    _xlfn.LET(
      _xlpm._対象月初,EOMONTH(AL$1,-1)+1,
      _xlpm._今月初,EOMONTH(基準データ!$C$5,-1)+1,
      IF(
        _xlpm._対象月初&gt;_xlpm._今月初,
        IF(
          OR(AK100="",AK100=0),
          "",
          AK100*AL$107
        ),
        _xlfn.LET(
          _xlpm._参照先,
            "'[在庫状況把握_43期_2025-2026.xlsx]月次報告"
            &amp;TEXT(AL$1,"YYMM")
            &amp;"'!",
          _xlpm._戻り範囲,
            IF(
              _xlpm._対象月初=_xlpm._今月初,
              "$AG$1:$AG$300",
              "$G$1:$G$300"
            ),
          _xlfn.XLOOKUP(
            $C100,
            INDIRECT(_xlpm._参照先&amp;"$C$1:$C$300"),
            INDIRECT(_xlpm._参照先&amp;_xlpm._戻り範囲)
          )
        )
      )
    ),
    ""
  )
)</f>
        <v>0</v>
      </c>
      <c r="AM100" s="223" cm="1">
        <f t="array" aca="1" ref="AM100" ca="1">IF($C100="","",
  IFERROR(
    _xlfn.LET(
      _xlpm._対象月初,EOMONTH(AM$1,-1)+1,
      _xlpm._今月初,EOMONTH(基準データ!$C$5,-1)+1,
      IF(
        _xlpm._対象月初&gt;_xlpm._今月初,
        IF(
          OR(AL100="",AL100=0),
          "",
          AL100*AM$107
        ),
        _xlfn.LET(
          _xlpm._参照先,
            "'[在庫状況把握_43期_2025-2026.xlsx]月次報告"
            &amp;TEXT(AM$1,"YYMM")
            &amp;"'!",
          _xlpm._戻り範囲,
            IF(
              _xlpm._対象月初=_xlpm._今月初,
              "$AG$1:$AG$300",
              "$G$1:$G$300"
            ),
          _xlfn.XLOOKUP(
            $C100,
            INDIRECT(_xlpm._参照先&amp;"$C$1:$C$300"),
            INDIRECT(_xlpm._参照先&amp;_xlpm._戻り範囲)
          )
        )
      )
    ),
    ""
  )
)</f>
        <v>0</v>
      </c>
      <c r="AN100" s="223" t="str" cm="1">
        <f t="array" aca="1" ref="AN100" ca="1">IF($C100="","",
  IFERROR(
    _xlfn.LET(
      _xlpm._対象月初,EOMONTH(AN$1,-1)+1,
      _xlpm._今月初,EOMONTH(基準データ!$C$5,-1)+1,
      IF(
        _xlpm._対象月初&gt;_xlpm._今月初,
        IF(
          OR(AM100="",AM100=0),
          "",
          AM100*AN$107
        ),
        _xlfn.LET(
          _xlpm._参照先,
            "'[在庫状況把握_43期_2025-2026.xlsx]月次報告"
            &amp;TEXT(AN$1,"YYMM")
            &amp;"'!",
          _xlpm._戻り範囲,
            IF(
              _xlpm._対象月初=_xlpm._今月初,
              "$AG$1:$AG$300",
              "$G$1:$G$300"
            ),
          _xlfn.XLOOKUP(
            $C100,
            INDIRECT(_xlpm._参照先&amp;"$C$1:$C$300"),
            INDIRECT(_xlpm._参照先&amp;_xlpm._戻り範囲)
          )
        )
      )
    ),
    ""
  )
)</f>
        <v/>
      </c>
      <c r="AO100" s="223" t="str" cm="1">
        <f t="array" aca="1" ref="AO100" ca="1">IF($C100="","",
  IFERROR(
    _xlfn.LET(
      _xlpm._対象月初,EOMONTH(AO$1,-1)+1,
      _xlpm._今月初,EOMONTH(基準データ!$C$5,-1)+1,
      IF(
        _xlpm._対象月初&gt;_xlpm._今月初,
        IF(
          OR(AN100="",AN100=0),
          "",
          AN100*AO$107
        ),
        _xlfn.LET(
          _xlpm._参照先,
            "'[在庫状況把握_43期_2025-2026.xlsx]月次報告"
            &amp;TEXT(AO$1,"YYMM")
            &amp;"'!",
          _xlpm._戻り範囲,
            IF(
              _xlpm._対象月初=_xlpm._今月初,
              "$AG$1:$AG$300",
              "$G$1:$G$300"
            ),
          _xlfn.XLOOKUP(
            $C100,
            INDIRECT(_xlpm._参照先&amp;"$C$1:$C$300"),
            INDIRECT(_xlpm._参照先&amp;_xlpm._戻り範囲)
          )
        )
      )
    ),
    ""
  )
)</f>
        <v/>
      </c>
      <c r="AP100" s="223" t="str" cm="1">
        <f t="array" aca="1" ref="AP100" ca="1">IF($C100="","",
  IFERROR(
    _xlfn.LET(
      _xlpm._対象月初,EOMONTH(AP$1,-1)+1,
      _xlpm._今月初,EOMONTH(基準データ!$C$5,-1)+1,
      IF(
        _xlpm._対象月初&gt;_xlpm._今月初,
        IF(
          OR(AO100="",AO100=0),
          "",
          AO100*AP$107
        ),
        _xlfn.LET(
          _xlpm._参照先,
            "'[在庫状況把握_43期_2025-2026.xlsx]月次報告"
            &amp;TEXT(AP$1,"YYMM")
            &amp;"'!",
          _xlpm._戻り範囲,
            IF(
              _xlpm._対象月初=_xlpm._今月初,
              "$AG$1:$AG$300",
              "$G$1:$G$300"
            ),
          _xlfn.XLOOKUP(
            $C100,
            INDIRECT(_xlpm._参照先&amp;"$C$1:$C$300"),
            INDIRECT(_xlpm._参照先&amp;_xlpm._戻り範囲)
          )
        )
      )
    ),
    ""
  )
)</f>
        <v/>
      </c>
      <c r="AQ100" s="223" t="str" cm="1">
        <f t="array" aca="1" ref="AQ100" ca="1">IF($C100="","",
  IFERROR(
    _xlfn.LET(
      _xlpm._対象月初,EOMONTH(AQ$1,-1)+1,
      _xlpm._今月初,EOMONTH(基準データ!$C$5,-1)+1,
      IF(
        _xlpm._対象月初&gt;_xlpm._今月初,
        IF(
          OR(AP100="",AP100=0),
          "",
          AP100*AQ$107
        ),
        _xlfn.LET(
          _xlpm._参照先,
            "'[在庫状況把握_43期_2025-2026.xlsx]月次報告"
            &amp;TEXT(AQ$1,"YYMM")
            &amp;"'!",
          _xlpm._戻り範囲,
            IF(
              _xlpm._対象月初=_xlpm._今月初,
              "$AG$1:$AG$300",
              "$G$1:$G$300"
            ),
          _xlfn.XLOOKUP(
            $C100,
            INDIRECT(_xlpm._参照先&amp;"$C$1:$C$300"),
            INDIRECT(_xlpm._参照先&amp;_xlpm._戻り範囲)
          )
        )
      )
    ),
    ""
  )
)</f>
        <v/>
      </c>
      <c r="AR100" s="223" t="str" cm="1">
        <f t="array" aca="1" ref="AR100" ca="1">IF($C100="","",
  IFERROR(
    _xlfn.LET(
      _xlpm._対象月初,EOMONTH(AR$1,-1)+1,
      _xlpm._今月初,EOMONTH(基準データ!$C$5,-1)+1,
      IF(
        _xlpm._対象月初&gt;_xlpm._今月初,
        IF(
          OR(AQ100="",AQ100=0),
          "",
          AQ100*AR$107
        ),
        _xlfn.LET(
          _xlpm._参照先,
            "'[在庫状況把握_43期_2025-2026.xlsx]月次報告"
            &amp;TEXT(AR$1,"YYMM")
            &amp;"'!",
          _xlpm._戻り範囲,
            IF(
              _xlpm._対象月初=_xlpm._今月初,
              "$AG$1:$AG$300",
              "$G$1:$G$300"
            ),
          _xlfn.XLOOKUP(
            $C100,
            INDIRECT(_xlpm._参照先&amp;"$C$1:$C$300"),
            INDIRECT(_xlpm._参照先&amp;_xlpm._戻り範囲)
          )
        )
      )
    ),
    ""
  )
)</f>
        <v/>
      </c>
      <c r="AS100" s="223" t="str" cm="1">
        <f t="array" aca="1" ref="AS100" ca="1">IF($C100="","",
  IFERROR(
    _xlfn.LET(
      _xlpm._対象月初,EOMONTH(AS$1,-1)+1,
      _xlpm._今月初,EOMONTH(基準データ!$C$5,-1)+1,
      IF(
        _xlpm._対象月初&gt;_xlpm._今月初,
        IF(
          OR(AR100="",AR100=0),
          "",
          AR100*AS$107
        ),
        _xlfn.LET(
          _xlpm._参照先,
            "'[在庫状況把握_43期_2025-2026.xlsx]月次報告"
            &amp;TEXT(AS$1,"YYMM")
            &amp;"'!",
          _xlpm._戻り範囲,
            IF(
              _xlpm._対象月初=_xlpm._今月初,
              "$AG$1:$AG$300",
              "$G$1:$G$300"
            ),
          _xlfn.XLOOKUP(
            $C100,
            INDIRECT(_xlpm._参照先&amp;"$C$1:$C$300"),
            INDIRECT(_xlpm._参照先&amp;_xlpm._戻り範囲)
          )
        )
      )
    ),
    ""
  )
)</f>
        <v/>
      </c>
      <c r="AT100" s="223" t="str" cm="1">
        <f t="array" aca="1" ref="AT100" ca="1">IF($C100="","",
  IFERROR(
    _xlfn.LET(
      _xlpm._対象月初,EOMONTH(AT$1,-1)+1,
      _xlpm._今月初,EOMONTH(基準データ!$C$5,-1)+1,
      IF(
        _xlpm._対象月初&gt;_xlpm._今月初,
        IF(
          OR(AS100="",AS100=0),
          "",
          AS100*AT$107
        ),
        _xlfn.LET(
          _xlpm._参照先,
            "'[在庫状況把握_43期_2025-2026.xlsx]月次報告"
            &amp;TEXT(AT$1,"YYMM")
            &amp;"'!",
          _xlpm._戻り範囲,
            IF(
              _xlpm._対象月初=_xlpm._今月初,
              "$AG$1:$AG$300",
              "$G$1:$G$300"
            ),
          _xlfn.XLOOKUP(
            $C100,
            INDIRECT(_xlpm._参照先&amp;"$C$1:$C$300"),
            INDIRECT(_xlpm._参照先&amp;_xlpm._戻り範囲)
          )
        )
      )
    ),
    ""
  )
)</f>
        <v/>
      </c>
      <c r="AU100" s="223" t="str" cm="1">
        <f t="array" aca="1" ref="AU100" ca="1">IF($C100="","",
  IFERROR(
    _xlfn.LET(
      _xlpm._対象月初,EOMONTH(AU$1,-1)+1,
      _xlpm._今月初,EOMONTH(基準データ!$C$5,-1)+1,
      IF(
        _xlpm._対象月初&gt;_xlpm._今月初,
        IF(
          OR(AT100="",AT100=0),
          "",
          AT100*AU$107
        ),
        _xlfn.LET(
          _xlpm._参照先,
            "'[在庫状況把握_43期_2025-2026.xlsx]月次報告"
            &amp;TEXT(AU$1,"YYMM")
            &amp;"'!",
          _xlpm._戻り範囲,
            IF(
              _xlpm._対象月初=_xlpm._今月初,
              "$AG$1:$AG$300",
              "$G$1:$G$300"
            ),
          _xlfn.XLOOKUP(
            $C100,
            INDIRECT(_xlpm._参照先&amp;"$C$1:$C$300"),
            INDIRECT(_xlpm._参照先&amp;_xlpm._戻り範囲)
          )
        )
      )
    ),
    ""
  )
)</f>
        <v/>
      </c>
      <c r="AV100" s="223" t="str" cm="1">
        <f t="array" aca="1" ref="AV100" ca="1">IF($C100="","",
  IFERROR(
    _xlfn.LET(
      _xlpm._対象月初,EOMONTH(AV$1,-1)+1,
      _xlpm._今月初,EOMONTH(基準データ!$C$5,-1)+1,
      IF(
        _xlpm._対象月初&gt;_xlpm._今月初,
        IF(
          OR(AU100="",AU100=0),
          "",
          AU100*AV$107
        ),
        _xlfn.LET(
          _xlpm._参照先,
            "'[在庫状況把握_43期_2025-2026.xlsx]月次報告"
            &amp;TEXT(AV$1,"YYMM")
            &amp;"'!",
          _xlpm._戻り範囲,
            IF(
              _xlpm._対象月初=_xlpm._今月初,
              "$AG$1:$AG$300",
              "$G$1:$G$300"
            ),
          _xlfn.XLOOKUP(
            $C100,
            INDIRECT(_xlpm._参照先&amp;"$C$1:$C$300"),
            INDIRECT(_xlpm._参照先&amp;_xlpm._戻り範囲)
          )
        )
      )
    ),
    ""
  )
)</f>
        <v/>
      </c>
      <c r="AW100" s="223" t="str" cm="1">
        <f t="array" aca="1" ref="AW100" ca="1">IF($C100="","",
  IFERROR(
    _xlfn.LET(
      _xlpm._対象月初,EOMONTH(AW$1,-1)+1,
      _xlpm._今月初,EOMONTH(基準データ!$C$5,-1)+1,
      IF(
        _xlpm._対象月初&gt;_xlpm._今月初,
        IF(
          OR(AV100="",AV100=0),
          "",
          AV100*AW$107
        ),
        _xlfn.LET(
          _xlpm._参照先,
            "'[在庫状況把握_43期_2025-2026.xlsx]月次報告"
            &amp;TEXT(AW$1,"YYMM")
            &amp;"'!",
          _xlpm._戻り範囲,
            IF(
              _xlpm._対象月初=_xlpm._今月初,
              "$AG$1:$AG$300",
              "$G$1:$G$300"
            ),
          _xlfn.XLOOKUP(
            $C100,
            INDIRECT(_xlpm._参照先&amp;"$C$1:$C$300"),
            INDIRECT(_xlpm._参照先&amp;_xlpm._戻り範囲)
          )
        )
      )
    ),
    ""
  )
)</f>
        <v/>
      </c>
      <c r="AX100" s="223" t="str" cm="1">
        <f t="array" aca="1" ref="AX100" ca="1">IF($C100="","",
  IFERROR(
    _xlfn.LET(
      _xlpm._対象月初,EOMONTH(AX$1,-1)+1,
      _xlpm._今月初,EOMONTH(基準データ!$C$5,-1)+1,
      IF(
        _xlpm._対象月初&gt;_xlpm._今月初,
        IF(
          OR(AW100="",AW100=0),
          "",
          AW100*AX$107
        ),
        _xlfn.LET(
          _xlpm._参照先,
            "'[在庫状況把握_43期_2025-2026.xlsx]月次報告"
            &amp;TEXT(AX$1,"YYMM")
            &amp;"'!",
          _xlpm._戻り範囲,
            IF(
              _xlpm._対象月初=_xlpm._今月初,
              "$AG$1:$AG$300",
              "$G$1:$G$300"
            ),
          _xlfn.XLOOKUP(
            $C100,
            INDIRECT(_xlpm._参照先&amp;"$C$1:$C$300"),
            INDIRECT(_xlpm._参照先&amp;_xlpm._戻り範囲)
          )
        )
      )
    ),
    ""
  )
)</f>
        <v/>
      </c>
      <c r="AY100" s="223" t="str" cm="1">
        <f t="array" aca="1" ref="AY100" ca="1">IF($C100="","",
  IFERROR(
    _xlfn.LET(
      _xlpm._対象月初,EOMONTH(AY$1,-1)+1,
      _xlpm._今月初,EOMONTH(基準データ!$C$5,-1)+1,
      IF(
        _xlpm._対象月初&gt;_xlpm._今月初,
        IF(
          OR(AX100="",AX100=0),
          "",
          AX100*AY$107
        ),
        _xlfn.LET(
          _xlpm._参照先,
            "'[在庫状況把握_43期_2025-2026.xlsx]月次報告"
            &amp;TEXT(AY$1,"YYMM")
            &amp;"'!",
          _xlpm._戻り範囲,
            IF(
              _xlpm._対象月初=_xlpm._今月初,
              "$AG$1:$AG$300",
              "$G$1:$G$300"
            ),
          _xlfn.XLOOKUP(
            $C100,
            INDIRECT(_xlpm._参照先&amp;"$C$1:$C$300"),
            INDIRECT(_xlpm._参照先&amp;_xlpm._戻り範囲)
          )
        )
      )
    ),
    ""
  )
)</f>
        <v/>
      </c>
      <c r="AZ100" s="223" t="str" cm="1">
        <f t="array" aca="1" ref="AZ100" ca="1">IF($C100="","",
  IFERROR(
    _xlfn.LET(
      _xlpm._対象月初,EOMONTH(AZ$1,-1)+1,
      _xlpm._今月初,EOMONTH(基準データ!$C$5,-1)+1,
      IF(
        _xlpm._対象月初&gt;_xlpm._今月初,
        IF(
          OR(AY100="",AY100=0),
          "",
          AY100*AZ$107
        ),
        _xlfn.LET(
          _xlpm._参照先,
            "'[在庫状況把握_43期_2025-2026.xlsx]月次報告"
            &amp;TEXT(AZ$1,"YYMM")
            &amp;"'!",
          _xlpm._戻り範囲,
            IF(
              _xlpm._対象月初=_xlpm._今月初,
              "$AG$1:$AG$300",
              "$G$1:$G$300"
            ),
          _xlfn.XLOOKUP(
            $C100,
            INDIRECT(_xlpm._参照先&amp;"$C$1:$C$300"),
            INDIRECT(_xlpm._参照先&amp;_xlpm._戻り範囲)
          )
        )
      )
    ),
    ""
  )
)</f>
        <v/>
      </c>
      <c r="BA100" s="223" t="str" cm="1">
        <f t="array" aca="1" ref="BA100" ca="1">IF($C100="","",
  IFERROR(
    _xlfn.LET(
      _xlpm._対象月初,EOMONTH(BA$1,-1)+1,
      _xlpm._今月初,EOMONTH(基準データ!$C$5,-1)+1,
      IF(
        _xlpm._対象月初&gt;_xlpm._今月初,
        IF(
          OR(AZ100="",AZ100=0),
          "",
          AZ100*BA$107
        ),
        _xlfn.LET(
          _xlpm._参照先,
            "'[在庫状況把握_43期_2025-2026.xlsx]月次報告"
            &amp;TEXT(BA$1,"YYMM")
            &amp;"'!",
          _xlpm._戻り範囲,
            IF(
              _xlpm._対象月初=_xlpm._今月初,
              "$AG$1:$AG$300",
              "$G$1:$G$300"
            ),
          _xlfn.XLOOKUP(
            $C100,
            INDIRECT(_xlpm._参照先&amp;"$C$1:$C$300"),
            INDIRECT(_xlpm._参照先&amp;_xlpm._戻り範囲)
          )
        )
      )
    ),
    ""
  )
)</f>
        <v/>
      </c>
      <c r="BB100" s="223" t="str" cm="1">
        <f t="array" aca="1" ref="BB100" ca="1">IF($C100="","",
  IFERROR(
    _xlfn.LET(
      _xlpm._対象月初,EOMONTH(BB$1,-1)+1,
      _xlpm._今月初,EOMONTH(基準データ!$C$5,-1)+1,
      IF(
        _xlpm._対象月初&gt;_xlpm._今月初,
        IF(
          OR(BA100="",BA100=0),
          "",
          BA100*BB$107
        ),
        _xlfn.LET(
          _xlpm._参照先,
            "'[在庫状況把握_43期_2025-2026.xlsx]月次報告"
            &amp;TEXT(BB$1,"YYMM")
            &amp;"'!",
          _xlpm._戻り範囲,
            IF(
              _xlpm._対象月初=_xlpm._今月初,
              "$AG$1:$AG$300",
              "$G$1:$G$300"
            ),
          _xlfn.XLOOKUP(
            $C100,
            INDIRECT(_xlpm._参照先&amp;"$C$1:$C$300"),
            INDIRECT(_xlpm._参照先&amp;_xlpm._戻り範囲)
          )
        )
      )
    ),
    ""
  )
)</f>
        <v/>
      </c>
      <c r="BC100" s="223" t="str" cm="1">
        <f t="array" aca="1" ref="BC100" ca="1">IF($C100="","",
  IFERROR(
    _xlfn.LET(
      _xlpm._対象月初,EOMONTH(BC$1,-1)+1,
      _xlpm._今月初,EOMONTH(基準データ!$C$5,-1)+1,
      IF(
        _xlpm._対象月初&gt;_xlpm._今月初,
        IF(
          OR(BB100="",BB100=0),
          "",
          BB100*BC$107
        ),
        _xlfn.LET(
          _xlpm._参照先,
            "'[在庫状況把握_43期_2025-2026.xlsx]月次報告"
            &amp;TEXT(BC$1,"YYMM")
            &amp;"'!",
          _xlpm._戻り範囲,
            IF(
              _xlpm._対象月初=_xlpm._今月初,
              "$AG$1:$AG$300",
              "$G$1:$G$300"
            ),
          _xlfn.XLOOKUP(
            $C100,
            INDIRECT(_xlpm._参照先&amp;"$C$1:$C$300"),
            INDIRECT(_xlpm._参照先&amp;_xlpm._戻り範囲)
          )
        )
      )
    ),
    ""
  )
)</f>
        <v/>
      </c>
      <c r="BD100" s="223" t="str" cm="1">
        <f t="array" aca="1" ref="BD100" ca="1">IF($C100="","",
  IFERROR(
    _xlfn.LET(
      _xlpm._対象月初,EOMONTH(BD$1,-1)+1,
      _xlpm._今月初,EOMONTH(基準データ!$C$5,-1)+1,
      IF(
        _xlpm._対象月初&gt;_xlpm._今月初,
        IF(
          OR(BC100="",BC100=0),
          "",
          BC100*BD$107
        ),
        _xlfn.LET(
          _xlpm._参照先,
            "'[在庫状況把握_43期_2025-2026.xlsx]月次報告"
            &amp;TEXT(BD$1,"YYMM")
            &amp;"'!",
          _xlpm._戻り範囲,
            IF(
              _xlpm._対象月初=_xlpm._今月初,
              "$AG$1:$AG$300",
              "$G$1:$G$300"
            ),
          _xlfn.XLOOKUP(
            $C100,
            INDIRECT(_xlpm._参照先&amp;"$C$1:$C$300"),
            INDIRECT(_xlpm._参照先&amp;_xlpm._戻り範囲)
          )
        )
      )
    ),
    ""
  )
)</f>
        <v/>
      </c>
    </row>
    <row r="101" spans="1:56" ht="18.75" customHeight="1">
      <c r="A101" s="1061" t="s">
        <v>1473</v>
      </c>
      <c r="B101" s="26" t="str">
        <v>CLE-V74-U5-125U-L6-TPM-DDR5-TW-BL</v>
      </c>
      <c r="C101" s="56" t="s">
        <v>818</v>
      </c>
      <c r="D101" s="72" t="s">
        <v>1466</v>
      </c>
      <c r="E101" s="68"/>
      <c r="F101" s="68" t="s">
        <v>1347</v>
      </c>
      <c r="G101" s="355">
        <v>222</v>
      </c>
      <c r="H101" s="109" cm="1">
        <f t="array" aca="1" ref="H101" ca="1">_xlfn.LET(_xlpm._来月から4ヶ月計画合計,
  SUM(
    OFFSET($A101,0,
      MATCH(
        EDATE(基準データ!$C$5,3),$A$1:$BF$1,1
      )-3,1,4)),
_xlpm._今月計画数,
INDEX($A$1:$BE$223,
  ROW(),
  MATCH(EOMONTH(基準データ!$C$5,-1)+1,$A$1:$BE$1,0)
),
  IFERROR(IF($B101="","",_xlpm._来月から4ヶ月計画合計+_xlpm._今月計画数/2),""
)
)</f>
        <v>0</v>
      </c>
      <c r="I101" s="311"/>
      <c r="J101" s="311"/>
      <c r="K101" s="311"/>
      <c r="L101" s="311"/>
      <c r="M101" s="38"/>
      <c r="N101" s="38"/>
      <c r="O101" s="38"/>
      <c r="P101" s="38"/>
      <c r="Q101" s="219"/>
      <c r="R101" s="219"/>
      <c r="S101" s="219"/>
      <c r="T101" s="219"/>
      <c r="U101" s="224"/>
      <c r="V101" s="237"/>
      <c r="W101" s="333"/>
      <c r="X101" s="333"/>
      <c r="Y101" s="333"/>
      <c r="Z101" s="219"/>
      <c r="AA101" s="219"/>
      <c r="AB101" s="529"/>
      <c r="AC101" s="648"/>
      <c r="AD101" s="648" t="s">
        <v>21</v>
      </c>
      <c r="AE101" s="223" t="s">
        <v>21</v>
      </c>
      <c r="AF101" s="223" t="s">
        <v>21</v>
      </c>
      <c r="AG101" s="223" t="s">
        <v>21</v>
      </c>
      <c r="AH101" s="223">
        <v>0</v>
      </c>
      <c r="AI101" s="223">
        <v>0</v>
      </c>
      <c r="AJ101" s="223">
        <v>0</v>
      </c>
      <c r="AK101" s="223">
        <v>0</v>
      </c>
      <c r="AL101" s="223" cm="1">
        <f t="array" aca="1" ref="AL101" ca="1">IF($C101="","",
  IFERROR(
    _xlfn.LET(
      _xlpm._対象月初,EOMONTH(AL$1,-1)+1,
      _xlpm._今月初,EOMONTH(基準データ!$C$5,-1)+1,
      IF(
        _xlpm._対象月初&gt;_xlpm._今月初,
        IF(
          OR(AK101="",AK101=0),
          "",
          AK101*AL$107
        ),
        _xlfn.LET(
          _xlpm._参照先,
            "'[在庫状況把握_43期_2025-2026.xlsx]月次報告"
            &amp;TEXT(AL$1,"YYMM")
            &amp;"'!",
          _xlpm._戻り範囲,
            IF(
              _xlpm._対象月初=_xlpm._今月初,
              "$AG$1:$AG$300",
              "$G$1:$G$300"
            ),
          _xlfn.XLOOKUP(
            $C101,
            INDIRECT(_xlpm._参照先&amp;"$C$1:$C$300"),
            INDIRECT(_xlpm._参照先&amp;_xlpm._戻り範囲)
          )
        )
      )
    ),
    ""
  )
)</f>
        <v>0</v>
      </c>
      <c r="AM101" s="223" cm="1">
        <f t="array" aca="1" ref="AM101" ca="1">IF($C101="","",
  IFERROR(
    _xlfn.LET(
      _xlpm._対象月初,EOMONTH(AM$1,-1)+1,
      _xlpm._今月初,EOMONTH(基準データ!$C$5,-1)+1,
      IF(
        _xlpm._対象月初&gt;_xlpm._今月初,
        IF(
          OR(AL101="",AL101=0),
          "",
          AL101*AM$107
        ),
        _xlfn.LET(
          _xlpm._参照先,
            "'[在庫状況把握_43期_2025-2026.xlsx]月次報告"
            &amp;TEXT(AM$1,"YYMM")
            &amp;"'!",
          _xlpm._戻り範囲,
            IF(
              _xlpm._対象月初=_xlpm._今月初,
              "$AG$1:$AG$300",
              "$G$1:$G$300"
            ),
          _xlfn.XLOOKUP(
            $C101,
            INDIRECT(_xlpm._参照先&amp;"$C$1:$C$300"),
            INDIRECT(_xlpm._参照先&amp;_xlpm._戻り範囲)
          )
        )
      )
    ),
    ""
  )
)</f>
        <v>0</v>
      </c>
      <c r="AN101" s="223" t="str" cm="1">
        <f t="array" aca="1" ref="AN101" ca="1">IF($C101="","",
  IFERROR(
    _xlfn.LET(
      _xlpm._対象月初,EOMONTH(AN$1,-1)+1,
      _xlpm._今月初,EOMONTH(基準データ!$C$5,-1)+1,
      IF(
        _xlpm._対象月初&gt;_xlpm._今月初,
        IF(
          OR(AM101="",AM101=0),
          "",
          AM101*AN$107
        ),
        _xlfn.LET(
          _xlpm._参照先,
            "'[在庫状況把握_43期_2025-2026.xlsx]月次報告"
            &amp;TEXT(AN$1,"YYMM")
            &amp;"'!",
          _xlpm._戻り範囲,
            IF(
              _xlpm._対象月初=_xlpm._今月初,
              "$AG$1:$AG$300",
              "$G$1:$G$300"
            ),
          _xlfn.XLOOKUP(
            $C101,
            INDIRECT(_xlpm._参照先&amp;"$C$1:$C$300"),
            INDIRECT(_xlpm._参照先&amp;_xlpm._戻り範囲)
          )
        )
      )
    ),
    ""
  )
)</f>
        <v/>
      </c>
      <c r="AO101" s="223" t="str" cm="1">
        <f t="array" aca="1" ref="AO101" ca="1">IF($C101="","",
  IFERROR(
    _xlfn.LET(
      _xlpm._対象月初,EOMONTH(AO$1,-1)+1,
      _xlpm._今月初,EOMONTH(基準データ!$C$5,-1)+1,
      IF(
        _xlpm._対象月初&gt;_xlpm._今月初,
        IF(
          OR(AN101="",AN101=0),
          "",
          AN101*AO$107
        ),
        _xlfn.LET(
          _xlpm._参照先,
            "'[在庫状況把握_43期_2025-2026.xlsx]月次報告"
            &amp;TEXT(AO$1,"YYMM")
            &amp;"'!",
          _xlpm._戻り範囲,
            IF(
              _xlpm._対象月初=_xlpm._今月初,
              "$AG$1:$AG$300",
              "$G$1:$G$300"
            ),
          _xlfn.XLOOKUP(
            $C101,
            INDIRECT(_xlpm._参照先&amp;"$C$1:$C$300"),
            INDIRECT(_xlpm._参照先&amp;_xlpm._戻り範囲)
          )
        )
      )
    ),
    ""
  )
)</f>
        <v/>
      </c>
      <c r="AP101" s="223" t="str" cm="1">
        <f t="array" aca="1" ref="AP101" ca="1">IF($C101="","",
  IFERROR(
    _xlfn.LET(
      _xlpm._対象月初,EOMONTH(AP$1,-1)+1,
      _xlpm._今月初,EOMONTH(基準データ!$C$5,-1)+1,
      IF(
        _xlpm._対象月初&gt;_xlpm._今月初,
        IF(
          OR(AO101="",AO101=0),
          "",
          AO101*AP$107
        ),
        _xlfn.LET(
          _xlpm._参照先,
            "'[在庫状況把握_43期_2025-2026.xlsx]月次報告"
            &amp;TEXT(AP$1,"YYMM")
            &amp;"'!",
          _xlpm._戻り範囲,
            IF(
              _xlpm._対象月初=_xlpm._今月初,
              "$AG$1:$AG$300",
              "$G$1:$G$300"
            ),
          _xlfn.XLOOKUP(
            $C101,
            INDIRECT(_xlpm._参照先&amp;"$C$1:$C$300"),
            INDIRECT(_xlpm._参照先&amp;_xlpm._戻り範囲)
          )
        )
      )
    ),
    ""
  )
)</f>
        <v/>
      </c>
      <c r="AQ101" s="223" t="str" cm="1">
        <f t="array" aca="1" ref="AQ101" ca="1">IF($C101="","",
  IFERROR(
    _xlfn.LET(
      _xlpm._対象月初,EOMONTH(AQ$1,-1)+1,
      _xlpm._今月初,EOMONTH(基準データ!$C$5,-1)+1,
      IF(
        _xlpm._対象月初&gt;_xlpm._今月初,
        IF(
          OR(AP101="",AP101=0),
          "",
          AP101*AQ$107
        ),
        _xlfn.LET(
          _xlpm._参照先,
            "'[在庫状況把握_43期_2025-2026.xlsx]月次報告"
            &amp;TEXT(AQ$1,"YYMM")
            &amp;"'!",
          _xlpm._戻り範囲,
            IF(
              _xlpm._対象月初=_xlpm._今月初,
              "$AG$1:$AG$300",
              "$G$1:$G$300"
            ),
          _xlfn.XLOOKUP(
            $C101,
            INDIRECT(_xlpm._参照先&amp;"$C$1:$C$300"),
            INDIRECT(_xlpm._参照先&amp;_xlpm._戻り範囲)
          )
        )
      )
    ),
    ""
  )
)</f>
        <v/>
      </c>
      <c r="AR101" s="223" t="str" cm="1">
        <f t="array" aca="1" ref="AR101" ca="1">IF($C101="","",
  IFERROR(
    _xlfn.LET(
      _xlpm._対象月初,EOMONTH(AR$1,-1)+1,
      _xlpm._今月初,EOMONTH(基準データ!$C$5,-1)+1,
      IF(
        _xlpm._対象月初&gt;_xlpm._今月初,
        IF(
          OR(AQ101="",AQ101=0),
          "",
          AQ101*AR$107
        ),
        _xlfn.LET(
          _xlpm._参照先,
            "'[在庫状況把握_43期_2025-2026.xlsx]月次報告"
            &amp;TEXT(AR$1,"YYMM")
            &amp;"'!",
          _xlpm._戻り範囲,
            IF(
              _xlpm._対象月初=_xlpm._今月初,
              "$AG$1:$AG$300",
              "$G$1:$G$300"
            ),
          _xlfn.XLOOKUP(
            $C101,
            INDIRECT(_xlpm._参照先&amp;"$C$1:$C$300"),
            INDIRECT(_xlpm._参照先&amp;_xlpm._戻り範囲)
          )
        )
      )
    ),
    ""
  )
)</f>
        <v/>
      </c>
      <c r="AS101" s="223" t="str" cm="1">
        <f t="array" aca="1" ref="AS101" ca="1">IF($C101="","",
  IFERROR(
    _xlfn.LET(
      _xlpm._対象月初,EOMONTH(AS$1,-1)+1,
      _xlpm._今月初,EOMONTH(基準データ!$C$5,-1)+1,
      IF(
        _xlpm._対象月初&gt;_xlpm._今月初,
        IF(
          OR(AR101="",AR101=0),
          "",
          AR101*AS$107
        ),
        _xlfn.LET(
          _xlpm._参照先,
            "'[在庫状況把握_43期_2025-2026.xlsx]月次報告"
            &amp;TEXT(AS$1,"YYMM")
            &amp;"'!",
          _xlpm._戻り範囲,
            IF(
              _xlpm._対象月初=_xlpm._今月初,
              "$AG$1:$AG$300",
              "$G$1:$G$300"
            ),
          _xlfn.XLOOKUP(
            $C101,
            INDIRECT(_xlpm._参照先&amp;"$C$1:$C$300"),
            INDIRECT(_xlpm._参照先&amp;_xlpm._戻り範囲)
          )
        )
      )
    ),
    ""
  )
)</f>
        <v/>
      </c>
      <c r="AT101" s="223" t="str" cm="1">
        <f t="array" aca="1" ref="AT101" ca="1">IF($C101="","",
  IFERROR(
    _xlfn.LET(
      _xlpm._対象月初,EOMONTH(AT$1,-1)+1,
      _xlpm._今月初,EOMONTH(基準データ!$C$5,-1)+1,
      IF(
        _xlpm._対象月初&gt;_xlpm._今月初,
        IF(
          OR(AS101="",AS101=0),
          "",
          AS101*AT$107
        ),
        _xlfn.LET(
          _xlpm._参照先,
            "'[在庫状況把握_43期_2025-2026.xlsx]月次報告"
            &amp;TEXT(AT$1,"YYMM")
            &amp;"'!",
          _xlpm._戻り範囲,
            IF(
              _xlpm._対象月初=_xlpm._今月初,
              "$AG$1:$AG$300",
              "$G$1:$G$300"
            ),
          _xlfn.XLOOKUP(
            $C101,
            INDIRECT(_xlpm._参照先&amp;"$C$1:$C$300"),
            INDIRECT(_xlpm._参照先&amp;_xlpm._戻り範囲)
          )
        )
      )
    ),
    ""
  )
)</f>
        <v/>
      </c>
      <c r="AU101" s="223" t="str" cm="1">
        <f t="array" aca="1" ref="AU101" ca="1">IF($C101="","",
  IFERROR(
    _xlfn.LET(
      _xlpm._対象月初,EOMONTH(AU$1,-1)+1,
      _xlpm._今月初,EOMONTH(基準データ!$C$5,-1)+1,
      IF(
        _xlpm._対象月初&gt;_xlpm._今月初,
        IF(
          OR(AT101="",AT101=0),
          "",
          AT101*AU$107
        ),
        _xlfn.LET(
          _xlpm._参照先,
            "'[在庫状況把握_43期_2025-2026.xlsx]月次報告"
            &amp;TEXT(AU$1,"YYMM")
            &amp;"'!",
          _xlpm._戻り範囲,
            IF(
              _xlpm._対象月初=_xlpm._今月初,
              "$AG$1:$AG$300",
              "$G$1:$G$300"
            ),
          _xlfn.XLOOKUP(
            $C101,
            INDIRECT(_xlpm._参照先&amp;"$C$1:$C$300"),
            INDIRECT(_xlpm._参照先&amp;_xlpm._戻り範囲)
          )
        )
      )
    ),
    ""
  )
)</f>
        <v/>
      </c>
      <c r="AV101" s="223" t="str" cm="1">
        <f t="array" aca="1" ref="AV101" ca="1">IF($C101="","",
  IFERROR(
    _xlfn.LET(
      _xlpm._対象月初,EOMONTH(AV$1,-1)+1,
      _xlpm._今月初,EOMONTH(基準データ!$C$5,-1)+1,
      IF(
        _xlpm._対象月初&gt;_xlpm._今月初,
        IF(
          OR(AU101="",AU101=0),
          "",
          AU101*AV$107
        ),
        _xlfn.LET(
          _xlpm._参照先,
            "'[在庫状況把握_43期_2025-2026.xlsx]月次報告"
            &amp;TEXT(AV$1,"YYMM")
            &amp;"'!",
          _xlpm._戻り範囲,
            IF(
              _xlpm._対象月初=_xlpm._今月初,
              "$AG$1:$AG$300",
              "$G$1:$G$300"
            ),
          _xlfn.XLOOKUP(
            $C101,
            INDIRECT(_xlpm._参照先&amp;"$C$1:$C$300"),
            INDIRECT(_xlpm._参照先&amp;_xlpm._戻り範囲)
          )
        )
      )
    ),
    ""
  )
)</f>
        <v/>
      </c>
      <c r="AW101" s="223" t="str" cm="1">
        <f t="array" aca="1" ref="AW101" ca="1">IF($C101="","",
  IFERROR(
    _xlfn.LET(
      _xlpm._対象月初,EOMONTH(AW$1,-1)+1,
      _xlpm._今月初,EOMONTH(基準データ!$C$5,-1)+1,
      IF(
        _xlpm._対象月初&gt;_xlpm._今月初,
        IF(
          OR(AV101="",AV101=0),
          "",
          AV101*AW$107
        ),
        _xlfn.LET(
          _xlpm._参照先,
            "'[在庫状況把握_43期_2025-2026.xlsx]月次報告"
            &amp;TEXT(AW$1,"YYMM")
            &amp;"'!",
          _xlpm._戻り範囲,
            IF(
              _xlpm._対象月初=_xlpm._今月初,
              "$AG$1:$AG$300",
              "$G$1:$G$300"
            ),
          _xlfn.XLOOKUP(
            $C101,
            INDIRECT(_xlpm._参照先&amp;"$C$1:$C$300"),
            INDIRECT(_xlpm._参照先&amp;_xlpm._戻り範囲)
          )
        )
      )
    ),
    ""
  )
)</f>
        <v/>
      </c>
      <c r="AX101" s="223" t="str" cm="1">
        <f t="array" aca="1" ref="AX101" ca="1">IF($C101="","",
  IFERROR(
    _xlfn.LET(
      _xlpm._対象月初,EOMONTH(AX$1,-1)+1,
      _xlpm._今月初,EOMONTH(基準データ!$C$5,-1)+1,
      IF(
        _xlpm._対象月初&gt;_xlpm._今月初,
        IF(
          OR(AW101="",AW101=0),
          "",
          AW101*AX$107
        ),
        _xlfn.LET(
          _xlpm._参照先,
            "'[在庫状況把握_43期_2025-2026.xlsx]月次報告"
            &amp;TEXT(AX$1,"YYMM")
            &amp;"'!",
          _xlpm._戻り範囲,
            IF(
              _xlpm._対象月初=_xlpm._今月初,
              "$AG$1:$AG$300",
              "$G$1:$G$300"
            ),
          _xlfn.XLOOKUP(
            $C101,
            INDIRECT(_xlpm._参照先&amp;"$C$1:$C$300"),
            INDIRECT(_xlpm._参照先&amp;_xlpm._戻り範囲)
          )
        )
      )
    ),
    ""
  )
)</f>
        <v/>
      </c>
      <c r="AY101" s="223" t="str" cm="1">
        <f t="array" aca="1" ref="AY101" ca="1">IF($C101="","",
  IFERROR(
    _xlfn.LET(
      _xlpm._対象月初,EOMONTH(AY$1,-1)+1,
      _xlpm._今月初,EOMONTH(基準データ!$C$5,-1)+1,
      IF(
        _xlpm._対象月初&gt;_xlpm._今月初,
        IF(
          OR(AX101="",AX101=0),
          "",
          AX101*AY$107
        ),
        _xlfn.LET(
          _xlpm._参照先,
            "'[在庫状況把握_43期_2025-2026.xlsx]月次報告"
            &amp;TEXT(AY$1,"YYMM")
            &amp;"'!",
          _xlpm._戻り範囲,
            IF(
              _xlpm._対象月初=_xlpm._今月初,
              "$AG$1:$AG$300",
              "$G$1:$G$300"
            ),
          _xlfn.XLOOKUP(
            $C101,
            INDIRECT(_xlpm._参照先&amp;"$C$1:$C$300"),
            INDIRECT(_xlpm._参照先&amp;_xlpm._戻り範囲)
          )
        )
      )
    ),
    ""
  )
)</f>
        <v/>
      </c>
      <c r="AZ101" s="223" t="str" cm="1">
        <f t="array" aca="1" ref="AZ101" ca="1">IF($C101="","",
  IFERROR(
    _xlfn.LET(
      _xlpm._対象月初,EOMONTH(AZ$1,-1)+1,
      _xlpm._今月初,EOMONTH(基準データ!$C$5,-1)+1,
      IF(
        _xlpm._対象月初&gt;_xlpm._今月初,
        IF(
          OR(AY101="",AY101=0),
          "",
          AY101*AZ$107
        ),
        _xlfn.LET(
          _xlpm._参照先,
            "'[在庫状況把握_43期_2025-2026.xlsx]月次報告"
            &amp;TEXT(AZ$1,"YYMM")
            &amp;"'!",
          _xlpm._戻り範囲,
            IF(
              _xlpm._対象月初=_xlpm._今月初,
              "$AG$1:$AG$300",
              "$G$1:$G$300"
            ),
          _xlfn.XLOOKUP(
            $C101,
            INDIRECT(_xlpm._参照先&amp;"$C$1:$C$300"),
            INDIRECT(_xlpm._参照先&amp;_xlpm._戻り範囲)
          )
        )
      )
    ),
    ""
  )
)</f>
        <v/>
      </c>
      <c r="BA101" s="223" t="str" cm="1">
        <f t="array" aca="1" ref="BA101" ca="1">IF($C101="","",
  IFERROR(
    _xlfn.LET(
      _xlpm._対象月初,EOMONTH(BA$1,-1)+1,
      _xlpm._今月初,EOMONTH(基準データ!$C$5,-1)+1,
      IF(
        _xlpm._対象月初&gt;_xlpm._今月初,
        IF(
          OR(AZ101="",AZ101=0),
          "",
          AZ101*BA$107
        ),
        _xlfn.LET(
          _xlpm._参照先,
            "'[在庫状況把握_43期_2025-2026.xlsx]月次報告"
            &amp;TEXT(BA$1,"YYMM")
            &amp;"'!",
          _xlpm._戻り範囲,
            IF(
              _xlpm._対象月初=_xlpm._今月初,
              "$AG$1:$AG$300",
              "$G$1:$G$300"
            ),
          _xlfn.XLOOKUP(
            $C101,
            INDIRECT(_xlpm._参照先&amp;"$C$1:$C$300"),
            INDIRECT(_xlpm._参照先&amp;_xlpm._戻り範囲)
          )
        )
      )
    ),
    ""
  )
)</f>
        <v/>
      </c>
      <c r="BB101" s="223" t="str" cm="1">
        <f t="array" aca="1" ref="BB101" ca="1">IF($C101="","",
  IFERROR(
    _xlfn.LET(
      _xlpm._対象月初,EOMONTH(BB$1,-1)+1,
      _xlpm._今月初,EOMONTH(基準データ!$C$5,-1)+1,
      IF(
        _xlpm._対象月初&gt;_xlpm._今月初,
        IF(
          OR(BA101="",BA101=0),
          "",
          BA101*BB$107
        ),
        _xlfn.LET(
          _xlpm._参照先,
            "'[在庫状況把握_43期_2025-2026.xlsx]月次報告"
            &amp;TEXT(BB$1,"YYMM")
            &amp;"'!",
          _xlpm._戻り範囲,
            IF(
              _xlpm._対象月初=_xlpm._今月初,
              "$AG$1:$AG$300",
              "$G$1:$G$300"
            ),
          _xlfn.XLOOKUP(
            $C101,
            INDIRECT(_xlpm._参照先&amp;"$C$1:$C$300"),
            INDIRECT(_xlpm._参照先&amp;_xlpm._戻り範囲)
          )
        )
      )
    ),
    ""
  )
)</f>
        <v/>
      </c>
      <c r="BC101" s="223" t="str" cm="1">
        <f t="array" aca="1" ref="BC101" ca="1">IF($C101="","",
  IFERROR(
    _xlfn.LET(
      _xlpm._対象月初,EOMONTH(BC$1,-1)+1,
      _xlpm._今月初,EOMONTH(基準データ!$C$5,-1)+1,
      IF(
        _xlpm._対象月初&gt;_xlpm._今月初,
        IF(
          OR(BB101="",BB101=0),
          "",
          BB101*BC$107
        ),
        _xlfn.LET(
          _xlpm._参照先,
            "'[在庫状況把握_43期_2025-2026.xlsx]月次報告"
            &amp;TEXT(BC$1,"YYMM")
            &amp;"'!",
          _xlpm._戻り範囲,
            IF(
              _xlpm._対象月初=_xlpm._今月初,
              "$AG$1:$AG$300",
              "$G$1:$G$300"
            ),
          _xlfn.XLOOKUP(
            $C101,
            INDIRECT(_xlpm._参照先&amp;"$C$1:$C$300"),
            INDIRECT(_xlpm._参照先&amp;_xlpm._戻り範囲)
          )
        )
      )
    ),
    ""
  )
)</f>
        <v/>
      </c>
      <c r="BD101" s="223" t="str" cm="1">
        <f t="array" aca="1" ref="BD101" ca="1">IF($C101="","",
  IFERROR(
    _xlfn.LET(
      _xlpm._対象月初,EOMONTH(BD$1,-1)+1,
      _xlpm._今月初,EOMONTH(基準データ!$C$5,-1)+1,
      IF(
        _xlpm._対象月初&gt;_xlpm._今月初,
        IF(
          OR(BC101="",BC101=0),
          "",
          BC101*BD$107
        ),
        _xlfn.LET(
          _xlpm._参照先,
            "'[在庫状況把握_43期_2025-2026.xlsx]月次報告"
            &amp;TEXT(BD$1,"YYMM")
            &amp;"'!",
          _xlpm._戻り範囲,
            IF(
              _xlpm._対象月初=_xlpm._今月初,
              "$AG$1:$AG$300",
              "$G$1:$G$300"
            ),
          _xlfn.XLOOKUP(
            $C101,
            INDIRECT(_xlpm._参照先&amp;"$C$1:$C$300"),
            INDIRECT(_xlpm._参照先&amp;_xlpm._戻り範囲)
          )
        )
      )
    ),
    ""
  )
)</f>
        <v/>
      </c>
    </row>
    <row r="102" spans="1:56" ht="18.75" customHeight="1">
      <c r="A102" s="1061" t="s">
        <v>1473</v>
      </c>
      <c r="B102" s="26" t="str">
        <v>CLE-V74-U5-125U-L6-TPM-DDR5-TW-RG</v>
      </c>
      <c r="C102" s="56" t="s">
        <v>813</v>
      </c>
      <c r="D102" s="72" t="s">
        <v>1472</v>
      </c>
      <c r="E102" s="68"/>
      <c r="F102" s="68" t="s">
        <v>1347</v>
      </c>
      <c r="G102" s="355">
        <v>227</v>
      </c>
      <c r="H102" s="109" cm="1">
        <f t="array" aca="1" ref="H102" ca="1">_xlfn.LET(_xlpm._来月から4ヶ月計画合計,
  SUM(
    OFFSET($A102,0,
      MATCH(
        EDATE(基準データ!$C$5,3),$A$1:$BF$1,1
      )-3,1,4)),
_xlpm._今月計画数,
INDEX($A$1:$BE$223,
  ROW(),
  MATCH(EOMONTH(基準データ!$C$5,-1)+1,$A$1:$BE$1,0)
),
  IFERROR(IF($B102="","",_xlpm._来月から4ヶ月計画合計+_xlpm._今月計画数/2),""
)
)</f>
        <v>0</v>
      </c>
      <c r="I102" s="311"/>
      <c r="J102" s="311"/>
      <c r="K102" s="311"/>
      <c r="L102" s="311"/>
      <c r="M102" s="38"/>
      <c r="N102" s="38"/>
      <c r="O102" s="38"/>
      <c r="P102" s="38"/>
      <c r="Q102" s="219"/>
      <c r="R102" s="219"/>
      <c r="S102" s="219"/>
      <c r="T102" s="219"/>
      <c r="U102" s="224"/>
      <c r="V102" s="237"/>
      <c r="W102" s="333"/>
      <c r="X102" s="333"/>
      <c r="Y102" s="333"/>
      <c r="Z102" s="219"/>
      <c r="AA102" s="219"/>
      <c r="AB102" s="529"/>
      <c r="AC102" s="648"/>
      <c r="AD102" s="648" t="s">
        <v>21</v>
      </c>
      <c r="AE102" s="223" t="s">
        <v>21</v>
      </c>
      <c r="AF102" s="223" t="s">
        <v>21</v>
      </c>
      <c r="AG102" s="223" t="s">
        <v>21</v>
      </c>
      <c r="AH102" s="223">
        <v>0</v>
      </c>
      <c r="AI102" s="223">
        <v>0</v>
      </c>
      <c r="AJ102" s="223">
        <v>0</v>
      </c>
      <c r="AK102" s="223">
        <v>0</v>
      </c>
      <c r="AL102" s="223" cm="1">
        <f t="array" aca="1" ref="AL102" ca="1">IF($C102="","",
  IFERROR(
    _xlfn.LET(
      _xlpm._対象月初,EOMONTH(AL$1,-1)+1,
      _xlpm._今月初,EOMONTH(基準データ!$C$5,-1)+1,
      IF(
        _xlpm._対象月初&gt;_xlpm._今月初,
        IF(
          OR(AK102="",AK102=0),
          "",
          AK102*AL$107
        ),
        _xlfn.LET(
          _xlpm._参照先,
            "'[在庫状況把握_43期_2025-2026.xlsx]月次報告"
            &amp;TEXT(AL$1,"YYMM")
            &amp;"'!",
          _xlpm._戻り範囲,
            IF(
              _xlpm._対象月初=_xlpm._今月初,
              "$AG$1:$AG$300",
              "$G$1:$G$300"
            ),
          _xlfn.XLOOKUP(
            $C102,
            INDIRECT(_xlpm._参照先&amp;"$C$1:$C$300"),
            INDIRECT(_xlpm._参照先&amp;_xlpm._戻り範囲)
          )
        )
      )
    ),
    ""
  )
)</f>
        <v>0</v>
      </c>
      <c r="AM102" s="223" cm="1">
        <f t="array" aca="1" ref="AM102" ca="1">IF($C102="","",
  IFERROR(
    _xlfn.LET(
      _xlpm._対象月初,EOMONTH(AM$1,-1)+1,
      _xlpm._今月初,EOMONTH(基準データ!$C$5,-1)+1,
      IF(
        _xlpm._対象月初&gt;_xlpm._今月初,
        IF(
          OR(AL102="",AL102=0),
          "",
          AL102*AM$107
        ),
        _xlfn.LET(
          _xlpm._参照先,
            "'[在庫状況把握_43期_2025-2026.xlsx]月次報告"
            &amp;TEXT(AM$1,"YYMM")
            &amp;"'!",
          _xlpm._戻り範囲,
            IF(
              _xlpm._対象月初=_xlpm._今月初,
              "$AG$1:$AG$300",
              "$G$1:$G$300"
            ),
          _xlfn.XLOOKUP(
            $C102,
            INDIRECT(_xlpm._参照先&amp;"$C$1:$C$300"),
            INDIRECT(_xlpm._参照先&amp;_xlpm._戻り範囲)
          )
        )
      )
    ),
    ""
  )
)</f>
        <v>0</v>
      </c>
      <c r="AN102" s="223" t="str" cm="1">
        <f t="array" aca="1" ref="AN102" ca="1">IF($C102="","",
  IFERROR(
    _xlfn.LET(
      _xlpm._対象月初,EOMONTH(AN$1,-1)+1,
      _xlpm._今月初,EOMONTH(基準データ!$C$5,-1)+1,
      IF(
        _xlpm._対象月初&gt;_xlpm._今月初,
        IF(
          OR(AM102="",AM102=0),
          "",
          AM102*AN$107
        ),
        _xlfn.LET(
          _xlpm._参照先,
            "'[在庫状況把握_43期_2025-2026.xlsx]月次報告"
            &amp;TEXT(AN$1,"YYMM")
            &amp;"'!",
          _xlpm._戻り範囲,
            IF(
              _xlpm._対象月初=_xlpm._今月初,
              "$AG$1:$AG$300",
              "$G$1:$G$300"
            ),
          _xlfn.XLOOKUP(
            $C102,
            INDIRECT(_xlpm._参照先&amp;"$C$1:$C$300"),
            INDIRECT(_xlpm._参照先&amp;_xlpm._戻り範囲)
          )
        )
      )
    ),
    ""
  )
)</f>
        <v/>
      </c>
      <c r="AO102" s="223" t="str" cm="1">
        <f t="array" aca="1" ref="AO102" ca="1">IF($C102="","",
  IFERROR(
    _xlfn.LET(
      _xlpm._対象月初,EOMONTH(AO$1,-1)+1,
      _xlpm._今月初,EOMONTH(基準データ!$C$5,-1)+1,
      IF(
        _xlpm._対象月初&gt;_xlpm._今月初,
        IF(
          OR(AN102="",AN102=0),
          "",
          AN102*AO$107
        ),
        _xlfn.LET(
          _xlpm._参照先,
            "'[在庫状況把握_43期_2025-2026.xlsx]月次報告"
            &amp;TEXT(AO$1,"YYMM")
            &amp;"'!",
          _xlpm._戻り範囲,
            IF(
              _xlpm._対象月初=_xlpm._今月初,
              "$AG$1:$AG$300",
              "$G$1:$G$300"
            ),
          _xlfn.XLOOKUP(
            $C102,
            INDIRECT(_xlpm._参照先&amp;"$C$1:$C$300"),
            INDIRECT(_xlpm._参照先&amp;_xlpm._戻り範囲)
          )
        )
      )
    ),
    ""
  )
)</f>
        <v/>
      </c>
      <c r="AP102" s="223" t="str" cm="1">
        <f t="array" aca="1" ref="AP102" ca="1">IF($C102="","",
  IFERROR(
    _xlfn.LET(
      _xlpm._対象月初,EOMONTH(AP$1,-1)+1,
      _xlpm._今月初,EOMONTH(基準データ!$C$5,-1)+1,
      IF(
        _xlpm._対象月初&gt;_xlpm._今月初,
        IF(
          OR(AO102="",AO102=0),
          "",
          AO102*AP$107
        ),
        _xlfn.LET(
          _xlpm._参照先,
            "'[在庫状況把握_43期_2025-2026.xlsx]月次報告"
            &amp;TEXT(AP$1,"YYMM")
            &amp;"'!",
          _xlpm._戻り範囲,
            IF(
              _xlpm._対象月初=_xlpm._今月初,
              "$AG$1:$AG$300",
              "$G$1:$G$300"
            ),
          _xlfn.XLOOKUP(
            $C102,
            INDIRECT(_xlpm._参照先&amp;"$C$1:$C$300"),
            INDIRECT(_xlpm._参照先&amp;_xlpm._戻り範囲)
          )
        )
      )
    ),
    ""
  )
)</f>
        <v/>
      </c>
      <c r="AQ102" s="223" t="str" cm="1">
        <f t="array" aca="1" ref="AQ102" ca="1">IF($C102="","",
  IFERROR(
    _xlfn.LET(
      _xlpm._対象月初,EOMONTH(AQ$1,-1)+1,
      _xlpm._今月初,EOMONTH(基準データ!$C$5,-1)+1,
      IF(
        _xlpm._対象月初&gt;_xlpm._今月初,
        IF(
          OR(AP102="",AP102=0),
          "",
          AP102*AQ$107
        ),
        _xlfn.LET(
          _xlpm._参照先,
            "'[在庫状況把握_43期_2025-2026.xlsx]月次報告"
            &amp;TEXT(AQ$1,"YYMM")
            &amp;"'!",
          _xlpm._戻り範囲,
            IF(
              _xlpm._対象月初=_xlpm._今月初,
              "$AG$1:$AG$300",
              "$G$1:$G$300"
            ),
          _xlfn.XLOOKUP(
            $C102,
            INDIRECT(_xlpm._参照先&amp;"$C$1:$C$300"),
            INDIRECT(_xlpm._参照先&amp;_xlpm._戻り範囲)
          )
        )
      )
    ),
    ""
  )
)</f>
        <v/>
      </c>
      <c r="AR102" s="223" t="str" cm="1">
        <f t="array" aca="1" ref="AR102" ca="1">IF($C102="","",
  IFERROR(
    _xlfn.LET(
      _xlpm._対象月初,EOMONTH(AR$1,-1)+1,
      _xlpm._今月初,EOMONTH(基準データ!$C$5,-1)+1,
      IF(
        _xlpm._対象月初&gt;_xlpm._今月初,
        IF(
          OR(AQ102="",AQ102=0),
          "",
          AQ102*AR$107
        ),
        _xlfn.LET(
          _xlpm._参照先,
            "'[在庫状況把握_43期_2025-2026.xlsx]月次報告"
            &amp;TEXT(AR$1,"YYMM")
            &amp;"'!",
          _xlpm._戻り範囲,
            IF(
              _xlpm._対象月初=_xlpm._今月初,
              "$AG$1:$AG$300",
              "$G$1:$G$300"
            ),
          _xlfn.XLOOKUP(
            $C102,
            INDIRECT(_xlpm._参照先&amp;"$C$1:$C$300"),
            INDIRECT(_xlpm._参照先&amp;_xlpm._戻り範囲)
          )
        )
      )
    ),
    ""
  )
)</f>
        <v/>
      </c>
      <c r="AS102" s="223" t="str" cm="1">
        <f t="array" aca="1" ref="AS102" ca="1">IF($C102="","",
  IFERROR(
    _xlfn.LET(
      _xlpm._対象月初,EOMONTH(AS$1,-1)+1,
      _xlpm._今月初,EOMONTH(基準データ!$C$5,-1)+1,
      IF(
        _xlpm._対象月初&gt;_xlpm._今月初,
        IF(
          OR(AR102="",AR102=0),
          "",
          AR102*AS$107
        ),
        _xlfn.LET(
          _xlpm._参照先,
            "'[在庫状況把握_43期_2025-2026.xlsx]月次報告"
            &amp;TEXT(AS$1,"YYMM")
            &amp;"'!",
          _xlpm._戻り範囲,
            IF(
              _xlpm._対象月初=_xlpm._今月初,
              "$AG$1:$AG$300",
              "$G$1:$G$300"
            ),
          _xlfn.XLOOKUP(
            $C102,
            INDIRECT(_xlpm._参照先&amp;"$C$1:$C$300"),
            INDIRECT(_xlpm._参照先&amp;_xlpm._戻り範囲)
          )
        )
      )
    ),
    ""
  )
)</f>
        <v/>
      </c>
      <c r="AT102" s="223" t="str" cm="1">
        <f t="array" aca="1" ref="AT102" ca="1">IF($C102="","",
  IFERROR(
    _xlfn.LET(
      _xlpm._対象月初,EOMONTH(AT$1,-1)+1,
      _xlpm._今月初,EOMONTH(基準データ!$C$5,-1)+1,
      IF(
        _xlpm._対象月初&gt;_xlpm._今月初,
        IF(
          OR(AS102="",AS102=0),
          "",
          AS102*AT$107
        ),
        _xlfn.LET(
          _xlpm._参照先,
            "'[在庫状況把握_43期_2025-2026.xlsx]月次報告"
            &amp;TEXT(AT$1,"YYMM")
            &amp;"'!",
          _xlpm._戻り範囲,
            IF(
              _xlpm._対象月初=_xlpm._今月初,
              "$AG$1:$AG$300",
              "$G$1:$G$300"
            ),
          _xlfn.XLOOKUP(
            $C102,
            INDIRECT(_xlpm._参照先&amp;"$C$1:$C$300"),
            INDIRECT(_xlpm._参照先&amp;_xlpm._戻り範囲)
          )
        )
      )
    ),
    ""
  )
)</f>
        <v/>
      </c>
      <c r="AU102" s="223" t="str" cm="1">
        <f t="array" aca="1" ref="AU102" ca="1">IF($C102="","",
  IFERROR(
    _xlfn.LET(
      _xlpm._対象月初,EOMONTH(AU$1,-1)+1,
      _xlpm._今月初,EOMONTH(基準データ!$C$5,-1)+1,
      IF(
        _xlpm._対象月初&gt;_xlpm._今月初,
        IF(
          OR(AT102="",AT102=0),
          "",
          AT102*AU$107
        ),
        _xlfn.LET(
          _xlpm._参照先,
            "'[在庫状況把握_43期_2025-2026.xlsx]月次報告"
            &amp;TEXT(AU$1,"YYMM")
            &amp;"'!",
          _xlpm._戻り範囲,
            IF(
              _xlpm._対象月初=_xlpm._今月初,
              "$AG$1:$AG$300",
              "$G$1:$G$300"
            ),
          _xlfn.XLOOKUP(
            $C102,
            INDIRECT(_xlpm._参照先&amp;"$C$1:$C$300"),
            INDIRECT(_xlpm._参照先&amp;_xlpm._戻り範囲)
          )
        )
      )
    ),
    ""
  )
)</f>
        <v/>
      </c>
      <c r="AV102" s="223" t="str" cm="1">
        <f t="array" aca="1" ref="AV102" ca="1">IF($C102="","",
  IFERROR(
    _xlfn.LET(
      _xlpm._対象月初,EOMONTH(AV$1,-1)+1,
      _xlpm._今月初,EOMONTH(基準データ!$C$5,-1)+1,
      IF(
        _xlpm._対象月初&gt;_xlpm._今月初,
        IF(
          OR(AU102="",AU102=0),
          "",
          AU102*AV$107
        ),
        _xlfn.LET(
          _xlpm._参照先,
            "'[在庫状況把握_43期_2025-2026.xlsx]月次報告"
            &amp;TEXT(AV$1,"YYMM")
            &amp;"'!",
          _xlpm._戻り範囲,
            IF(
              _xlpm._対象月初=_xlpm._今月初,
              "$AG$1:$AG$300",
              "$G$1:$G$300"
            ),
          _xlfn.XLOOKUP(
            $C102,
            INDIRECT(_xlpm._参照先&amp;"$C$1:$C$300"),
            INDIRECT(_xlpm._参照先&amp;_xlpm._戻り範囲)
          )
        )
      )
    ),
    ""
  )
)</f>
        <v/>
      </c>
      <c r="AW102" s="223" t="str" cm="1">
        <f t="array" aca="1" ref="AW102" ca="1">IF($C102="","",
  IFERROR(
    _xlfn.LET(
      _xlpm._対象月初,EOMONTH(AW$1,-1)+1,
      _xlpm._今月初,EOMONTH(基準データ!$C$5,-1)+1,
      IF(
        _xlpm._対象月初&gt;_xlpm._今月初,
        IF(
          OR(AV102="",AV102=0),
          "",
          AV102*AW$107
        ),
        _xlfn.LET(
          _xlpm._参照先,
            "'[在庫状況把握_43期_2025-2026.xlsx]月次報告"
            &amp;TEXT(AW$1,"YYMM")
            &amp;"'!",
          _xlpm._戻り範囲,
            IF(
              _xlpm._対象月初=_xlpm._今月初,
              "$AG$1:$AG$300",
              "$G$1:$G$300"
            ),
          _xlfn.XLOOKUP(
            $C102,
            INDIRECT(_xlpm._参照先&amp;"$C$1:$C$300"),
            INDIRECT(_xlpm._参照先&amp;_xlpm._戻り範囲)
          )
        )
      )
    ),
    ""
  )
)</f>
        <v/>
      </c>
      <c r="AX102" s="223" t="str" cm="1">
        <f t="array" aca="1" ref="AX102" ca="1">IF($C102="","",
  IFERROR(
    _xlfn.LET(
      _xlpm._対象月初,EOMONTH(AX$1,-1)+1,
      _xlpm._今月初,EOMONTH(基準データ!$C$5,-1)+1,
      IF(
        _xlpm._対象月初&gt;_xlpm._今月初,
        IF(
          OR(AW102="",AW102=0),
          "",
          AW102*AX$107
        ),
        _xlfn.LET(
          _xlpm._参照先,
            "'[在庫状況把握_43期_2025-2026.xlsx]月次報告"
            &amp;TEXT(AX$1,"YYMM")
            &amp;"'!",
          _xlpm._戻り範囲,
            IF(
              _xlpm._対象月初=_xlpm._今月初,
              "$AG$1:$AG$300",
              "$G$1:$G$300"
            ),
          _xlfn.XLOOKUP(
            $C102,
            INDIRECT(_xlpm._参照先&amp;"$C$1:$C$300"),
            INDIRECT(_xlpm._参照先&amp;_xlpm._戻り範囲)
          )
        )
      )
    ),
    ""
  )
)</f>
        <v/>
      </c>
      <c r="AY102" s="223" t="str" cm="1">
        <f t="array" aca="1" ref="AY102" ca="1">IF($C102="","",
  IFERROR(
    _xlfn.LET(
      _xlpm._対象月初,EOMONTH(AY$1,-1)+1,
      _xlpm._今月初,EOMONTH(基準データ!$C$5,-1)+1,
      IF(
        _xlpm._対象月初&gt;_xlpm._今月初,
        IF(
          OR(AX102="",AX102=0),
          "",
          AX102*AY$107
        ),
        _xlfn.LET(
          _xlpm._参照先,
            "'[在庫状況把握_43期_2025-2026.xlsx]月次報告"
            &amp;TEXT(AY$1,"YYMM")
            &amp;"'!",
          _xlpm._戻り範囲,
            IF(
              _xlpm._対象月初=_xlpm._今月初,
              "$AG$1:$AG$300",
              "$G$1:$G$300"
            ),
          _xlfn.XLOOKUP(
            $C102,
            INDIRECT(_xlpm._参照先&amp;"$C$1:$C$300"),
            INDIRECT(_xlpm._参照先&amp;_xlpm._戻り範囲)
          )
        )
      )
    ),
    ""
  )
)</f>
        <v/>
      </c>
      <c r="AZ102" s="223" t="str" cm="1">
        <f t="array" aca="1" ref="AZ102" ca="1">IF($C102="","",
  IFERROR(
    _xlfn.LET(
      _xlpm._対象月初,EOMONTH(AZ$1,-1)+1,
      _xlpm._今月初,EOMONTH(基準データ!$C$5,-1)+1,
      IF(
        _xlpm._対象月初&gt;_xlpm._今月初,
        IF(
          OR(AY102="",AY102=0),
          "",
          AY102*AZ$107
        ),
        _xlfn.LET(
          _xlpm._参照先,
            "'[在庫状況把握_43期_2025-2026.xlsx]月次報告"
            &amp;TEXT(AZ$1,"YYMM")
            &amp;"'!",
          _xlpm._戻り範囲,
            IF(
              _xlpm._対象月初=_xlpm._今月初,
              "$AG$1:$AG$300",
              "$G$1:$G$300"
            ),
          _xlfn.XLOOKUP(
            $C102,
            INDIRECT(_xlpm._参照先&amp;"$C$1:$C$300"),
            INDIRECT(_xlpm._参照先&amp;_xlpm._戻り範囲)
          )
        )
      )
    ),
    ""
  )
)</f>
        <v/>
      </c>
      <c r="BA102" s="223" t="str" cm="1">
        <f t="array" aca="1" ref="BA102" ca="1">IF($C102="","",
  IFERROR(
    _xlfn.LET(
      _xlpm._対象月初,EOMONTH(BA$1,-1)+1,
      _xlpm._今月初,EOMONTH(基準データ!$C$5,-1)+1,
      IF(
        _xlpm._対象月初&gt;_xlpm._今月初,
        IF(
          OR(AZ102="",AZ102=0),
          "",
          AZ102*BA$107
        ),
        _xlfn.LET(
          _xlpm._参照先,
            "'[在庫状況把握_43期_2025-2026.xlsx]月次報告"
            &amp;TEXT(BA$1,"YYMM")
            &amp;"'!",
          _xlpm._戻り範囲,
            IF(
              _xlpm._対象月初=_xlpm._今月初,
              "$AG$1:$AG$300",
              "$G$1:$G$300"
            ),
          _xlfn.XLOOKUP(
            $C102,
            INDIRECT(_xlpm._参照先&amp;"$C$1:$C$300"),
            INDIRECT(_xlpm._参照先&amp;_xlpm._戻り範囲)
          )
        )
      )
    ),
    ""
  )
)</f>
        <v/>
      </c>
      <c r="BB102" s="223" t="str" cm="1">
        <f t="array" aca="1" ref="BB102" ca="1">IF($C102="","",
  IFERROR(
    _xlfn.LET(
      _xlpm._対象月初,EOMONTH(BB$1,-1)+1,
      _xlpm._今月初,EOMONTH(基準データ!$C$5,-1)+1,
      IF(
        _xlpm._対象月初&gt;_xlpm._今月初,
        IF(
          OR(BA102="",BA102=0),
          "",
          BA102*BB$107
        ),
        _xlfn.LET(
          _xlpm._参照先,
            "'[在庫状況把握_43期_2025-2026.xlsx]月次報告"
            &amp;TEXT(BB$1,"YYMM")
            &amp;"'!",
          _xlpm._戻り範囲,
            IF(
              _xlpm._対象月初=_xlpm._今月初,
              "$AG$1:$AG$300",
              "$G$1:$G$300"
            ),
          _xlfn.XLOOKUP(
            $C102,
            INDIRECT(_xlpm._参照先&amp;"$C$1:$C$300"),
            INDIRECT(_xlpm._参照先&amp;_xlpm._戻り範囲)
          )
        )
      )
    ),
    ""
  )
)</f>
        <v/>
      </c>
      <c r="BC102" s="223" t="str" cm="1">
        <f t="array" aca="1" ref="BC102" ca="1">IF($C102="","",
  IFERROR(
    _xlfn.LET(
      _xlpm._対象月初,EOMONTH(BC$1,-1)+1,
      _xlpm._今月初,EOMONTH(基準データ!$C$5,-1)+1,
      IF(
        _xlpm._対象月初&gt;_xlpm._今月初,
        IF(
          OR(BB102="",BB102=0),
          "",
          BB102*BC$107
        ),
        _xlfn.LET(
          _xlpm._参照先,
            "'[在庫状況把握_43期_2025-2026.xlsx]月次報告"
            &amp;TEXT(BC$1,"YYMM")
            &amp;"'!",
          _xlpm._戻り範囲,
            IF(
              _xlpm._対象月初=_xlpm._今月初,
              "$AG$1:$AG$300",
              "$G$1:$G$300"
            ),
          _xlfn.XLOOKUP(
            $C102,
            INDIRECT(_xlpm._参照先&amp;"$C$1:$C$300"),
            INDIRECT(_xlpm._参照先&amp;_xlpm._戻り範囲)
          )
        )
      )
    ),
    ""
  )
)</f>
        <v/>
      </c>
      <c r="BD102" s="223" t="str" cm="1">
        <f t="array" aca="1" ref="BD102" ca="1">IF($C102="","",
  IFERROR(
    _xlfn.LET(
      _xlpm._対象月初,EOMONTH(BD$1,-1)+1,
      _xlpm._今月初,EOMONTH(基準データ!$C$5,-1)+1,
      IF(
        _xlpm._対象月初&gt;_xlpm._今月初,
        IF(
          OR(BC102="",BC102=0),
          "",
          BC102*BD$107
        ),
        _xlfn.LET(
          _xlpm._参照先,
            "'[在庫状況把握_43期_2025-2026.xlsx]月次報告"
            &amp;TEXT(BD$1,"YYMM")
            &amp;"'!",
          _xlpm._戻り範囲,
            IF(
              _xlpm._対象月初=_xlpm._今月初,
              "$AG$1:$AG$300",
              "$G$1:$G$300"
            ),
          _xlfn.XLOOKUP(
            $C102,
            INDIRECT(_xlpm._参照先&amp;"$C$1:$C$300"),
            INDIRECT(_xlpm._参照先&amp;_xlpm._戻り範囲)
          )
        )
      )
    ),
    ""
  )
)</f>
        <v/>
      </c>
    </row>
    <row r="103" spans="1:56" ht="18.75" customHeight="1">
      <c r="A103" s="1061" t="s">
        <v>1473</v>
      </c>
      <c r="B103" s="26" t="str">
        <v>CLE-V74-R5-7535HS-L6-TPM-DDR5-TW-BK</v>
      </c>
      <c r="C103" s="56" t="s">
        <v>1661</v>
      </c>
      <c r="D103" s="24" t="s">
        <v>1422</v>
      </c>
      <c r="E103" s="26" t="s">
        <v>1423</v>
      </c>
      <c r="F103" s="26" t="s">
        <v>1372</v>
      </c>
      <c r="G103" s="43">
        <v>437</v>
      </c>
      <c r="H103" s="109" cm="1">
        <f t="array" aca="1" ref="H103" ca="1">_xlfn.LET(_xlpm._来月から4ヶ月計画合計,
  SUM(
    OFFSET($A103,0,
      MATCH(
        EDATE(基準データ!$C$5,3),$A$1:$BF$1,1
      )-3,1,4)),
_xlpm._今月計画数,
INDEX($A$1:$BE$223,
  ROW(),
  MATCH(EOMONTH(基準データ!$C$5,-1)+1,$A$1:$BE$1,0)
),
  IFERROR(IF($B103="","",_xlpm._来月から4ヶ月計画合計+_xlpm._今月計画数/2),""
)
)</f>
        <v>0</v>
      </c>
      <c r="I103" s="311"/>
      <c r="J103" s="311"/>
      <c r="K103" s="311"/>
      <c r="L103" s="311"/>
      <c r="M103" s="311"/>
      <c r="N103" s="180"/>
      <c r="O103" s="311"/>
      <c r="P103" s="311"/>
      <c r="Q103" s="298"/>
      <c r="R103" s="298"/>
      <c r="S103" s="298"/>
      <c r="T103" s="298"/>
      <c r="U103" s="224"/>
      <c r="V103" s="237"/>
      <c r="W103" s="333">
        <v>69</v>
      </c>
      <c r="X103" s="333">
        <v>155</v>
      </c>
      <c r="Y103" s="333">
        <v>118</v>
      </c>
      <c r="Z103" s="219">
        <v>119</v>
      </c>
      <c r="AA103" s="219">
        <v>160</v>
      </c>
      <c r="AB103" s="219">
        <v>141</v>
      </c>
      <c r="AC103" s="224">
        <v>129</v>
      </c>
      <c r="AD103" s="224" t="s">
        <v>21</v>
      </c>
      <c r="AE103" s="223" t="s">
        <v>21</v>
      </c>
      <c r="AF103" s="223" t="s">
        <v>21</v>
      </c>
      <c r="AG103" s="223" t="s">
        <v>21</v>
      </c>
      <c r="AH103" s="223">
        <v>0</v>
      </c>
      <c r="AI103" s="223" t="s">
        <v>21</v>
      </c>
      <c r="AJ103" s="223" t="s">
        <v>21</v>
      </c>
      <c r="AK103" s="223">
        <v>0</v>
      </c>
      <c r="AL103" s="223" cm="1">
        <f t="array" aca="1" ref="AL103" ca="1">IF($C103="","",
  IFERROR(
    _xlfn.LET(
      _xlpm._対象月初,EOMONTH(AL$1,-1)+1,
      _xlpm._今月初,EOMONTH(基準データ!$C$5,-1)+1,
      IF(
        _xlpm._対象月初&gt;_xlpm._今月初,
        IF(
          OR(AK103="",AK103=0),
          "",
          AK103*AL$107
        ),
        _xlfn.LET(
          _xlpm._参照先,
            "'[在庫状況把握_43期_2025-2026.xlsx]月次報告"
            &amp;TEXT(AL$1,"YYMM")
            &amp;"'!",
          _xlpm._戻り範囲,
            IF(
              _xlpm._対象月初=_xlpm._今月初,
              "$AG$1:$AG$300",
              "$G$1:$G$300"
            ),
          _xlfn.XLOOKUP(
            $C103,
            INDIRECT(_xlpm._参照先&amp;"$C$1:$C$300"),
            INDIRECT(_xlpm._参照先&amp;_xlpm._戻り範囲)
          )
        )
      )
    ),
    ""
  )
)</f>
        <v>0</v>
      </c>
      <c r="AM103" s="223" cm="1">
        <f t="array" aca="1" ref="AM103" ca="1">IF($C103="","",
  IFERROR(
    _xlfn.LET(
      _xlpm._対象月初,EOMONTH(AM$1,-1)+1,
      _xlpm._今月初,EOMONTH(基準データ!$C$5,-1)+1,
      IF(
        _xlpm._対象月初&gt;_xlpm._今月初,
        IF(
          OR(AL103="",AL103=0),
          "",
          AL103*AM$107
        ),
        _xlfn.LET(
          _xlpm._参照先,
            "'[在庫状況把握_43期_2025-2026.xlsx]月次報告"
            &amp;TEXT(AM$1,"YYMM")
            &amp;"'!",
          _xlpm._戻り範囲,
            IF(
              _xlpm._対象月初=_xlpm._今月初,
              "$AG$1:$AG$300",
              "$G$1:$G$300"
            ),
          _xlfn.XLOOKUP(
            $C103,
            INDIRECT(_xlpm._参照先&amp;"$C$1:$C$300"),
            INDIRECT(_xlpm._参照先&amp;_xlpm._戻り範囲)
          )
        )
      )
    ),
    ""
  )
)</f>
        <v>0</v>
      </c>
      <c r="AN103" s="223" t="str" cm="1">
        <f t="array" aca="1" ref="AN103" ca="1">IF($C103="","",
  IFERROR(
    _xlfn.LET(
      _xlpm._対象月初,EOMONTH(AN$1,-1)+1,
      _xlpm._今月初,EOMONTH(基準データ!$C$5,-1)+1,
      IF(
        _xlpm._対象月初&gt;_xlpm._今月初,
        IF(
          OR(AM103="",AM103=0),
          "",
          AM103*AN$107
        ),
        _xlfn.LET(
          _xlpm._参照先,
            "'[在庫状況把握_43期_2025-2026.xlsx]月次報告"
            &amp;TEXT(AN$1,"YYMM")
            &amp;"'!",
          _xlpm._戻り範囲,
            IF(
              _xlpm._対象月初=_xlpm._今月初,
              "$AG$1:$AG$300",
              "$G$1:$G$300"
            ),
          _xlfn.XLOOKUP(
            $C103,
            INDIRECT(_xlpm._参照先&amp;"$C$1:$C$300"),
            INDIRECT(_xlpm._参照先&amp;_xlpm._戻り範囲)
          )
        )
      )
    ),
    ""
  )
)</f>
        <v/>
      </c>
      <c r="AO103" s="223" t="str" cm="1">
        <f t="array" aca="1" ref="AO103" ca="1">IF($C103="","",
  IFERROR(
    _xlfn.LET(
      _xlpm._対象月初,EOMONTH(AO$1,-1)+1,
      _xlpm._今月初,EOMONTH(基準データ!$C$5,-1)+1,
      IF(
        _xlpm._対象月初&gt;_xlpm._今月初,
        IF(
          OR(AN103="",AN103=0),
          "",
          AN103*AO$107
        ),
        _xlfn.LET(
          _xlpm._参照先,
            "'[在庫状況把握_43期_2025-2026.xlsx]月次報告"
            &amp;TEXT(AO$1,"YYMM")
            &amp;"'!",
          _xlpm._戻り範囲,
            IF(
              _xlpm._対象月初=_xlpm._今月初,
              "$AG$1:$AG$300",
              "$G$1:$G$300"
            ),
          _xlfn.XLOOKUP(
            $C103,
            INDIRECT(_xlpm._参照先&amp;"$C$1:$C$300"),
            INDIRECT(_xlpm._参照先&amp;_xlpm._戻り範囲)
          )
        )
      )
    ),
    ""
  )
)</f>
        <v/>
      </c>
      <c r="AP103" s="223" t="str" cm="1">
        <f t="array" aca="1" ref="AP103" ca="1">IF($C103="","",
  IFERROR(
    _xlfn.LET(
      _xlpm._対象月初,EOMONTH(AP$1,-1)+1,
      _xlpm._今月初,EOMONTH(基準データ!$C$5,-1)+1,
      IF(
        _xlpm._対象月初&gt;_xlpm._今月初,
        IF(
          OR(AO103="",AO103=0),
          "",
          AO103*AP$107
        ),
        _xlfn.LET(
          _xlpm._参照先,
            "'[在庫状況把握_43期_2025-2026.xlsx]月次報告"
            &amp;TEXT(AP$1,"YYMM")
            &amp;"'!",
          _xlpm._戻り範囲,
            IF(
              _xlpm._対象月初=_xlpm._今月初,
              "$AG$1:$AG$300",
              "$G$1:$G$300"
            ),
          _xlfn.XLOOKUP(
            $C103,
            INDIRECT(_xlpm._参照先&amp;"$C$1:$C$300"),
            INDIRECT(_xlpm._参照先&amp;_xlpm._戻り範囲)
          )
        )
      )
    ),
    ""
  )
)</f>
        <v/>
      </c>
      <c r="AQ103" s="223" t="str" cm="1">
        <f t="array" aca="1" ref="AQ103" ca="1">IF($C103="","",
  IFERROR(
    _xlfn.LET(
      _xlpm._対象月初,EOMONTH(AQ$1,-1)+1,
      _xlpm._今月初,EOMONTH(基準データ!$C$5,-1)+1,
      IF(
        _xlpm._対象月初&gt;_xlpm._今月初,
        IF(
          OR(AP103="",AP103=0),
          "",
          AP103*AQ$107
        ),
        _xlfn.LET(
          _xlpm._参照先,
            "'[在庫状況把握_43期_2025-2026.xlsx]月次報告"
            &amp;TEXT(AQ$1,"YYMM")
            &amp;"'!",
          _xlpm._戻り範囲,
            IF(
              _xlpm._対象月初=_xlpm._今月初,
              "$AG$1:$AG$300",
              "$G$1:$G$300"
            ),
          _xlfn.XLOOKUP(
            $C103,
            INDIRECT(_xlpm._参照先&amp;"$C$1:$C$300"),
            INDIRECT(_xlpm._参照先&amp;_xlpm._戻り範囲)
          )
        )
      )
    ),
    ""
  )
)</f>
        <v/>
      </c>
      <c r="AR103" s="223" t="str" cm="1">
        <f t="array" aca="1" ref="AR103" ca="1">IF($C103="","",
  IFERROR(
    _xlfn.LET(
      _xlpm._対象月初,EOMONTH(AR$1,-1)+1,
      _xlpm._今月初,EOMONTH(基準データ!$C$5,-1)+1,
      IF(
        _xlpm._対象月初&gt;_xlpm._今月初,
        IF(
          OR(AQ103="",AQ103=0),
          "",
          AQ103*AR$107
        ),
        _xlfn.LET(
          _xlpm._参照先,
            "'[在庫状況把握_43期_2025-2026.xlsx]月次報告"
            &amp;TEXT(AR$1,"YYMM")
            &amp;"'!",
          _xlpm._戻り範囲,
            IF(
              _xlpm._対象月初=_xlpm._今月初,
              "$AG$1:$AG$300",
              "$G$1:$G$300"
            ),
          _xlfn.XLOOKUP(
            $C103,
            INDIRECT(_xlpm._参照先&amp;"$C$1:$C$300"),
            INDIRECT(_xlpm._参照先&amp;_xlpm._戻り範囲)
          )
        )
      )
    ),
    ""
  )
)</f>
        <v/>
      </c>
      <c r="AS103" s="223" t="str" cm="1">
        <f t="array" aca="1" ref="AS103" ca="1">IF($C103="","",
  IFERROR(
    _xlfn.LET(
      _xlpm._対象月初,EOMONTH(AS$1,-1)+1,
      _xlpm._今月初,EOMONTH(基準データ!$C$5,-1)+1,
      IF(
        _xlpm._対象月初&gt;_xlpm._今月初,
        IF(
          OR(AR103="",AR103=0),
          "",
          AR103*AS$107
        ),
        _xlfn.LET(
          _xlpm._参照先,
            "'[在庫状況把握_43期_2025-2026.xlsx]月次報告"
            &amp;TEXT(AS$1,"YYMM")
            &amp;"'!",
          _xlpm._戻り範囲,
            IF(
              _xlpm._対象月初=_xlpm._今月初,
              "$AG$1:$AG$300",
              "$G$1:$G$300"
            ),
          _xlfn.XLOOKUP(
            $C103,
            INDIRECT(_xlpm._参照先&amp;"$C$1:$C$300"),
            INDIRECT(_xlpm._参照先&amp;_xlpm._戻り範囲)
          )
        )
      )
    ),
    ""
  )
)</f>
        <v/>
      </c>
      <c r="AT103" s="223" t="str" cm="1">
        <f t="array" aca="1" ref="AT103" ca="1">IF($C103="","",
  IFERROR(
    _xlfn.LET(
      _xlpm._対象月初,EOMONTH(AT$1,-1)+1,
      _xlpm._今月初,EOMONTH(基準データ!$C$5,-1)+1,
      IF(
        _xlpm._対象月初&gt;_xlpm._今月初,
        IF(
          OR(AS103="",AS103=0),
          "",
          AS103*AT$107
        ),
        _xlfn.LET(
          _xlpm._参照先,
            "'[在庫状況把握_43期_2025-2026.xlsx]月次報告"
            &amp;TEXT(AT$1,"YYMM")
            &amp;"'!",
          _xlpm._戻り範囲,
            IF(
              _xlpm._対象月初=_xlpm._今月初,
              "$AG$1:$AG$300",
              "$G$1:$G$300"
            ),
          _xlfn.XLOOKUP(
            $C103,
            INDIRECT(_xlpm._参照先&amp;"$C$1:$C$300"),
            INDIRECT(_xlpm._参照先&amp;_xlpm._戻り範囲)
          )
        )
      )
    ),
    ""
  )
)</f>
        <v/>
      </c>
      <c r="AU103" s="223" t="str" cm="1">
        <f t="array" aca="1" ref="AU103" ca="1">IF($C103="","",
  IFERROR(
    _xlfn.LET(
      _xlpm._対象月初,EOMONTH(AU$1,-1)+1,
      _xlpm._今月初,EOMONTH(基準データ!$C$5,-1)+1,
      IF(
        _xlpm._対象月初&gt;_xlpm._今月初,
        IF(
          OR(AT103="",AT103=0),
          "",
          AT103*AU$107
        ),
        _xlfn.LET(
          _xlpm._参照先,
            "'[在庫状況把握_43期_2025-2026.xlsx]月次報告"
            &amp;TEXT(AU$1,"YYMM")
            &amp;"'!",
          _xlpm._戻り範囲,
            IF(
              _xlpm._対象月初=_xlpm._今月初,
              "$AG$1:$AG$300",
              "$G$1:$G$300"
            ),
          _xlfn.XLOOKUP(
            $C103,
            INDIRECT(_xlpm._参照先&amp;"$C$1:$C$300"),
            INDIRECT(_xlpm._参照先&amp;_xlpm._戻り範囲)
          )
        )
      )
    ),
    ""
  )
)</f>
        <v/>
      </c>
      <c r="AV103" s="223" t="str" cm="1">
        <f t="array" aca="1" ref="AV103" ca="1">IF($C103="","",
  IFERROR(
    _xlfn.LET(
      _xlpm._対象月初,EOMONTH(AV$1,-1)+1,
      _xlpm._今月初,EOMONTH(基準データ!$C$5,-1)+1,
      IF(
        _xlpm._対象月初&gt;_xlpm._今月初,
        IF(
          OR(AU103="",AU103=0),
          "",
          AU103*AV$107
        ),
        _xlfn.LET(
          _xlpm._参照先,
            "'[在庫状況把握_43期_2025-2026.xlsx]月次報告"
            &amp;TEXT(AV$1,"YYMM")
            &amp;"'!",
          _xlpm._戻り範囲,
            IF(
              _xlpm._対象月初=_xlpm._今月初,
              "$AG$1:$AG$300",
              "$G$1:$G$300"
            ),
          _xlfn.XLOOKUP(
            $C103,
            INDIRECT(_xlpm._参照先&amp;"$C$1:$C$300"),
            INDIRECT(_xlpm._参照先&amp;_xlpm._戻り範囲)
          )
        )
      )
    ),
    ""
  )
)</f>
        <v/>
      </c>
      <c r="AW103" s="223" t="str" cm="1">
        <f t="array" aca="1" ref="AW103" ca="1">IF($C103="","",
  IFERROR(
    _xlfn.LET(
      _xlpm._対象月初,EOMONTH(AW$1,-1)+1,
      _xlpm._今月初,EOMONTH(基準データ!$C$5,-1)+1,
      IF(
        _xlpm._対象月初&gt;_xlpm._今月初,
        IF(
          OR(AV103="",AV103=0),
          "",
          AV103*AW$107
        ),
        _xlfn.LET(
          _xlpm._参照先,
            "'[在庫状況把握_43期_2025-2026.xlsx]月次報告"
            &amp;TEXT(AW$1,"YYMM")
            &amp;"'!",
          _xlpm._戻り範囲,
            IF(
              _xlpm._対象月初=_xlpm._今月初,
              "$AG$1:$AG$300",
              "$G$1:$G$300"
            ),
          _xlfn.XLOOKUP(
            $C103,
            INDIRECT(_xlpm._参照先&amp;"$C$1:$C$300"),
            INDIRECT(_xlpm._参照先&amp;_xlpm._戻り範囲)
          )
        )
      )
    ),
    ""
  )
)</f>
        <v/>
      </c>
      <c r="AX103" s="223" t="str" cm="1">
        <f t="array" aca="1" ref="AX103" ca="1">IF($C103="","",
  IFERROR(
    _xlfn.LET(
      _xlpm._対象月初,EOMONTH(AX$1,-1)+1,
      _xlpm._今月初,EOMONTH(基準データ!$C$5,-1)+1,
      IF(
        _xlpm._対象月初&gt;_xlpm._今月初,
        IF(
          OR(AW103="",AW103=0),
          "",
          AW103*AX$107
        ),
        _xlfn.LET(
          _xlpm._参照先,
            "'[在庫状況把握_43期_2025-2026.xlsx]月次報告"
            &amp;TEXT(AX$1,"YYMM")
            &amp;"'!",
          _xlpm._戻り範囲,
            IF(
              _xlpm._対象月初=_xlpm._今月初,
              "$AG$1:$AG$300",
              "$G$1:$G$300"
            ),
          _xlfn.XLOOKUP(
            $C103,
            INDIRECT(_xlpm._参照先&amp;"$C$1:$C$300"),
            INDIRECT(_xlpm._参照先&amp;_xlpm._戻り範囲)
          )
        )
      )
    ),
    ""
  )
)</f>
        <v/>
      </c>
      <c r="AY103" s="223" t="str" cm="1">
        <f t="array" aca="1" ref="AY103" ca="1">IF($C103="","",
  IFERROR(
    _xlfn.LET(
      _xlpm._対象月初,EOMONTH(AY$1,-1)+1,
      _xlpm._今月初,EOMONTH(基準データ!$C$5,-1)+1,
      IF(
        _xlpm._対象月初&gt;_xlpm._今月初,
        IF(
          OR(AX103="",AX103=0),
          "",
          AX103*AY$107
        ),
        _xlfn.LET(
          _xlpm._参照先,
            "'[在庫状況把握_43期_2025-2026.xlsx]月次報告"
            &amp;TEXT(AY$1,"YYMM")
            &amp;"'!",
          _xlpm._戻り範囲,
            IF(
              _xlpm._対象月初=_xlpm._今月初,
              "$AG$1:$AG$300",
              "$G$1:$G$300"
            ),
          _xlfn.XLOOKUP(
            $C103,
            INDIRECT(_xlpm._参照先&amp;"$C$1:$C$300"),
            INDIRECT(_xlpm._参照先&amp;_xlpm._戻り範囲)
          )
        )
      )
    ),
    ""
  )
)</f>
        <v/>
      </c>
      <c r="AZ103" s="223" t="str" cm="1">
        <f t="array" aca="1" ref="AZ103" ca="1">IF($C103="","",
  IFERROR(
    _xlfn.LET(
      _xlpm._対象月初,EOMONTH(AZ$1,-1)+1,
      _xlpm._今月初,EOMONTH(基準データ!$C$5,-1)+1,
      IF(
        _xlpm._対象月初&gt;_xlpm._今月初,
        IF(
          OR(AY103="",AY103=0),
          "",
          AY103*AZ$107
        ),
        _xlfn.LET(
          _xlpm._参照先,
            "'[在庫状況把握_43期_2025-2026.xlsx]月次報告"
            &amp;TEXT(AZ$1,"YYMM")
            &amp;"'!",
          _xlpm._戻り範囲,
            IF(
              _xlpm._対象月初=_xlpm._今月初,
              "$AG$1:$AG$300",
              "$G$1:$G$300"
            ),
          _xlfn.XLOOKUP(
            $C103,
            INDIRECT(_xlpm._参照先&amp;"$C$1:$C$300"),
            INDIRECT(_xlpm._参照先&amp;_xlpm._戻り範囲)
          )
        )
      )
    ),
    ""
  )
)</f>
        <v/>
      </c>
      <c r="BA103" s="223" t="str" cm="1">
        <f t="array" aca="1" ref="BA103" ca="1">IF($C103="","",
  IFERROR(
    _xlfn.LET(
      _xlpm._対象月初,EOMONTH(BA$1,-1)+1,
      _xlpm._今月初,EOMONTH(基準データ!$C$5,-1)+1,
      IF(
        _xlpm._対象月初&gt;_xlpm._今月初,
        IF(
          OR(AZ103="",AZ103=0),
          "",
          AZ103*BA$107
        ),
        _xlfn.LET(
          _xlpm._参照先,
            "'[在庫状況把握_43期_2025-2026.xlsx]月次報告"
            &amp;TEXT(BA$1,"YYMM")
            &amp;"'!",
          _xlpm._戻り範囲,
            IF(
              _xlpm._対象月初=_xlpm._今月初,
              "$AG$1:$AG$300",
              "$G$1:$G$300"
            ),
          _xlfn.XLOOKUP(
            $C103,
            INDIRECT(_xlpm._参照先&amp;"$C$1:$C$300"),
            INDIRECT(_xlpm._参照先&amp;_xlpm._戻り範囲)
          )
        )
      )
    ),
    ""
  )
)</f>
        <v/>
      </c>
      <c r="BB103" s="223" t="str" cm="1">
        <f t="array" aca="1" ref="BB103" ca="1">IF($C103="","",
  IFERROR(
    _xlfn.LET(
      _xlpm._対象月初,EOMONTH(BB$1,-1)+1,
      _xlpm._今月初,EOMONTH(基準データ!$C$5,-1)+1,
      IF(
        _xlpm._対象月初&gt;_xlpm._今月初,
        IF(
          OR(BA103="",BA103=0),
          "",
          BA103*BB$107
        ),
        _xlfn.LET(
          _xlpm._参照先,
            "'[在庫状況把握_43期_2025-2026.xlsx]月次報告"
            &amp;TEXT(BB$1,"YYMM")
            &amp;"'!",
          _xlpm._戻り範囲,
            IF(
              _xlpm._対象月初=_xlpm._今月初,
              "$AG$1:$AG$300",
              "$G$1:$G$300"
            ),
          _xlfn.XLOOKUP(
            $C103,
            INDIRECT(_xlpm._参照先&amp;"$C$1:$C$300"),
            INDIRECT(_xlpm._参照先&amp;_xlpm._戻り範囲)
          )
        )
      )
    ),
    ""
  )
)</f>
        <v/>
      </c>
      <c r="BC103" s="223" t="str" cm="1">
        <f t="array" aca="1" ref="BC103" ca="1">IF($C103="","",
  IFERROR(
    _xlfn.LET(
      _xlpm._対象月初,EOMONTH(BC$1,-1)+1,
      _xlpm._今月初,EOMONTH(基準データ!$C$5,-1)+1,
      IF(
        _xlpm._対象月初&gt;_xlpm._今月初,
        IF(
          OR(BB103="",BB103=0),
          "",
          BB103*BC$107
        ),
        _xlfn.LET(
          _xlpm._参照先,
            "'[在庫状況把握_43期_2025-2026.xlsx]月次報告"
            &amp;TEXT(BC$1,"YYMM")
            &amp;"'!",
          _xlpm._戻り範囲,
            IF(
              _xlpm._対象月初=_xlpm._今月初,
              "$AG$1:$AG$300",
              "$G$1:$G$300"
            ),
          _xlfn.XLOOKUP(
            $C103,
            INDIRECT(_xlpm._参照先&amp;"$C$1:$C$300"),
            INDIRECT(_xlpm._参照先&amp;_xlpm._戻り範囲)
          )
        )
      )
    ),
    ""
  )
)</f>
        <v/>
      </c>
      <c r="BD103" s="223" t="str" cm="1">
        <f t="array" aca="1" ref="BD103" ca="1">IF($C103="","",
  IFERROR(
    _xlfn.LET(
      _xlpm._対象月初,EOMONTH(BD$1,-1)+1,
      _xlpm._今月初,EOMONTH(基準データ!$C$5,-1)+1,
      IF(
        _xlpm._対象月初&gt;_xlpm._今月初,
        IF(
          OR(BC103="",BC103=0),
          "",
          BC103*BD$107
        ),
        _xlfn.LET(
          _xlpm._参照先,
            "'[在庫状況把握_43期_2025-2026.xlsx]月次報告"
            &amp;TEXT(BD$1,"YYMM")
            &amp;"'!",
          _xlpm._戻り範囲,
            IF(
              _xlpm._対象月初=_xlpm._今月初,
              "$AG$1:$AG$300",
              "$G$1:$G$300"
            ),
          _xlfn.XLOOKUP(
            $C103,
            INDIRECT(_xlpm._参照先&amp;"$C$1:$C$300"),
            INDIRECT(_xlpm._参照先&amp;_xlpm._戻り範囲)
          )
        )
      )
    ),
    ""
  )
)</f>
        <v/>
      </c>
    </row>
    <row r="104" spans="1:56" ht="18.75" customHeight="1">
      <c r="A104" s="1061" t="s">
        <v>1473</v>
      </c>
      <c r="B104" s="55" t="str">
        <v>CLE-V74-R5-7535HS-L6-TPM-DDR5-TW-BL</v>
      </c>
      <c r="C104" s="56" t="s">
        <v>1662</v>
      </c>
      <c r="D104" s="57" t="s">
        <v>1434</v>
      </c>
      <c r="E104" s="58" t="s">
        <v>438</v>
      </c>
      <c r="F104" s="26" t="s">
        <v>1372</v>
      </c>
      <c r="G104" s="43">
        <v>275</v>
      </c>
      <c r="H104" s="109" cm="1">
        <f t="array" aca="1" ref="H104" ca="1">_xlfn.LET(_xlpm._来月から4ヶ月計画合計,
  SUM(
    OFFSET($A104,0,
      MATCH(
        EDATE(基準データ!$C$5,3),$A$1:$BF$1,1
      )-3,1,4)),
_xlpm._今月計画数,
INDEX($A$1:$BE$223,
  ROW(),
  MATCH(EOMONTH(基準データ!$C$5,-1)+1,$A$1:$BE$1,0)
),
  IFERROR(IF($B104="","",_xlpm._来月から4ヶ月計画合計+_xlpm._今月計画数/2),""
)
)</f>
        <v>0</v>
      </c>
      <c r="I104" s="311"/>
      <c r="J104" s="311"/>
      <c r="K104" s="311"/>
      <c r="L104" s="311"/>
      <c r="M104" s="311"/>
      <c r="N104" s="180"/>
      <c r="O104" s="311"/>
      <c r="P104" s="311"/>
      <c r="Q104" s="298"/>
      <c r="R104" s="298"/>
      <c r="S104" s="298"/>
      <c r="T104" s="219"/>
      <c r="U104" s="224"/>
      <c r="V104" s="237">
        <v>162</v>
      </c>
      <c r="W104" s="333">
        <v>912</v>
      </c>
      <c r="X104" s="333">
        <v>581</v>
      </c>
      <c r="Y104" s="333">
        <v>267</v>
      </c>
      <c r="Z104" s="219">
        <v>368</v>
      </c>
      <c r="AA104" s="219">
        <v>438</v>
      </c>
      <c r="AB104" s="219">
        <v>265</v>
      </c>
      <c r="AC104" s="224">
        <v>374</v>
      </c>
      <c r="AD104" s="224" t="s">
        <v>21</v>
      </c>
      <c r="AE104" s="223" t="s">
        <v>21</v>
      </c>
      <c r="AF104" s="223" t="s">
        <v>21</v>
      </c>
      <c r="AG104" s="223" t="s">
        <v>21</v>
      </c>
      <c r="AH104" s="223">
        <v>0</v>
      </c>
      <c r="AI104" s="223" t="s">
        <v>21</v>
      </c>
      <c r="AJ104" s="223" t="s">
        <v>21</v>
      </c>
      <c r="AK104" s="223">
        <v>0</v>
      </c>
      <c r="AL104" s="223" cm="1">
        <f t="array" aca="1" ref="AL104" ca="1">IF($C104="","",
  IFERROR(
    _xlfn.LET(
      _xlpm._対象月初,EOMONTH(AL$1,-1)+1,
      _xlpm._今月初,EOMONTH(基準データ!$C$5,-1)+1,
      IF(
        _xlpm._対象月初&gt;_xlpm._今月初,
        IF(
          OR(AK104="",AK104=0),
          "",
          AK104*AL$107
        ),
        _xlfn.LET(
          _xlpm._参照先,
            "'[在庫状況把握_43期_2025-2026.xlsx]月次報告"
            &amp;TEXT(AL$1,"YYMM")
            &amp;"'!",
          _xlpm._戻り範囲,
            IF(
              _xlpm._対象月初=_xlpm._今月初,
              "$AG$1:$AG$300",
              "$G$1:$G$300"
            ),
          _xlfn.XLOOKUP(
            $C104,
            INDIRECT(_xlpm._参照先&amp;"$C$1:$C$300"),
            INDIRECT(_xlpm._参照先&amp;_xlpm._戻り範囲)
          )
        )
      )
    ),
    ""
  )
)</f>
        <v>0</v>
      </c>
      <c r="AM104" s="223" cm="1">
        <f t="array" aca="1" ref="AM104" ca="1">IF($C104="","",
  IFERROR(
    _xlfn.LET(
      _xlpm._対象月初,EOMONTH(AM$1,-1)+1,
      _xlpm._今月初,EOMONTH(基準データ!$C$5,-1)+1,
      IF(
        _xlpm._対象月初&gt;_xlpm._今月初,
        IF(
          OR(AL104="",AL104=0),
          "",
          AL104*AM$107
        ),
        _xlfn.LET(
          _xlpm._参照先,
            "'[在庫状況把握_43期_2025-2026.xlsx]月次報告"
            &amp;TEXT(AM$1,"YYMM")
            &amp;"'!",
          _xlpm._戻り範囲,
            IF(
              _xlpm._対象月初=_xlpm._今月初,
              "$AG$1:$AG$300",
              "$G$1:$G$300"
            ),
          _xlfn.XLOOKUP(
            $C104,
            INDIRECT(_xlpm._参照先&amp;"$C$1:$C$300"),
            INDIRECT(_xlpm._参照先&amp;_xlpm._戻り範囲)
          )
        )
      )
    ),
    ""
  )
)</f>
        <v>0</v>
      </c>
      <c r="AN104" s="223" t="str" cm="1">
        <f t="array" aca="1" ref="AN104" ca="1">IF($C104="","",
  IFERROR(
    _xlfn.LET(
      _xlpm._対象月初,EOMONTH(AN$1,-1)+1,
      _xlpm._今月初,EOMONTH(基準データ!$C$5,-1)+1,
      IF(
        _xlpm._対象月初&gt;_xlpm._今月初,
        IF(
          OR(AM104="",AM104=0),
          "",
          AM104*AN$107
        ),
        _xlfn.LET(
          _xlpm._参照先,
            "'[在庫状況把握_43期_2025-2026.xlsx]月次報告"
            &amp;TEXT(AN$1,"YYMM")
            &amp;"'!",
          _xlpm._戻り範囲,
            IF(
              _xlpm._対象月初=_xlpm._今月初,
              "$AG$1:$AG$300",
              "$G$1:$G$300"
            ),
          _xlfn.XLOOKUP(
            $C104,
            INDIRECT(_xlpm._参照先&amp;"$C$1:$C$300"),
            INDIRECT(_xlpm._参照先&amp;_xlpm._戻り範囲)
          )
        )
      )
    ),
    ""
  )
)</f>
        <v/>
      </c>
      <c r="AO104" s="223" t="str" cm="1">
        <f t="array" aca="1" ref="AO104" ca="1">IF($C104="","",
  IFERROR(
    _xlfn.LET(
      _xlpm._対象月初,EOMONTH(AO$1,-1)+1,
      _xlpm._今月初,EOMONTH(基準データ!$C$5,-1)+1,
      IF(
        _xlpm._対象月初&gt;_xlpm._今月初,
        IF(
          OR(AN104="",AN104=0),
          "",
          AN104*AO$107
        ),
        _xlfn.LET(
          _xlpm._参照先,
            "'[在庫状況把握_43期_2025-2026.xlsx]月次報告"
            &amp;TEXT(AO$1,"YYMM")
            &amp;"'!",
          _xlpm._戻り範囲,
            IF(
              _xlpm._対象月初=_xlpm._今月初,
              "$AG$1:$AG$300",
              "$G$1:$G$300"
            ),
          _xlfn.XLOOKUP(
            $C104,
            INDIRECT(_xlpm._参照先&amp;"$C$1:$C$300"),
            INDIRECT(_xlpm._参照先&amp;_xlpm._戻り範囲)
          )
        )
      )
    ),
    ""
  )
)</f>
        <v/>
      </c>
      <c r="AP104" s="223" t="str" cm="1">
        <f t="array" aca="1" ref="AP104" ca="1">IF($C104="","",
  IFERROR(
    _xlfn.LET(
      _xlpm._対象月初,EOMONTH(AP$1,-1)+1,
      _xlpm._今月初,EOMONTH(基準データ!$C$5,-1)+1,
      IF(
        _xlpm._対象月初&gt;_xlpm._今月初,
        IF(
          OR(AO104="",AO104=0),
          "",
          AO104*AP$107
        ),
        _xlfn.LET(
          _xlpm._参照先,
            "'[在庫状況把握_43期_2025-2026.xlsx]月次報告"
            &amp;TEXT(AP$1,"YYMM")
            &amp;"'!",
          _xlpm._戻り範囲,
            IF(
              _xlpm._対象月初=_xlpm._今月初,
              "$AG$1:$AG$300",
              "$G$1:$G$300"
            ),
          _xlfn.XLOOKUP(
            $C104,
            INDIRECT(_xlpm._参照先&amp;"$C$1:$C$300"),
            INDIRECT(_xlpm._参照先&amp;_xlpm._戻り範囲)
          )
        )
      )
    ),
    ""
  )
)</f>
        <v/>
      </c>
      <c r="AQ104" s="223" t="str" cm="1">
        <f t="array" aca="1" ref="AQ104" ca="1">IF($C104="","",
  IFERROR(
    _xlfn.LET(
      _xlpm._対象月初,EOMONTH(AQ$1,-1)+1,
      _xlpm._今月初,EOMONTH(基準データ!$C$5,-1)+1,
      IF(
        _xlpm._対象月初&gt;_xlpm._今月初,
        IF(
          OR(AP104="",AP104=0),
          "",
          AP104*AQ$107
        ),
        _xlfn.LET(
          _xlpm._参照先,
            "'[在庫状況把握_43期_2025-2026.xlsx]月次報告"
            &amp;TEXT(AQ$1,"YYMM")
            &amp;"'!",
          _xlpm._戻り範囲,
            IF(
              _xlpm._対象月初=_xlpm._今月初,
              "$AG$1:$AG$300",
              "$G$1:$G$300"
            ),
          _xlfn.XLOOKUP(
            $C104,
            INDIRECT(_xlpm._参照先&amp;"$C$1:$C$300"),
            INDIRECT(_xlpm._参照先&amp;_xlpm._戻り範囲)
          )
        )
      )
    ),
    ""
  )
)</f>
        <v/>
      </c>
      <c r="AR104" s="223" t="str" cm="1">
        <f t="array" aca="1" ref="AR104" ca="1">IF($C104="","",
  IFERROR(
    _xlfn.LET(
      _xlpm._対象月初,EOMONTH(AR$1,-1)+1,
      _xlpm._今月初,EOMONTH(基準データ!$C$5,-1)+1,
      IF(
        _xlpm._対象月初&gt;_xlpm._今月初,
        IF(
          OR(AQ104="",AQ104=0),
          "",
          AQ104*AR$107
        ),
        _xlfn.LET(
          _xlpm._参照先,
            "'[在庫状況把握_43期_2025-2026.xlsx]月次報告"
            &amp;TEXT(AR$1,"YYMM")
            &amp;"'!",
          _xlpm._戻り範囲,
            IF(
              _xlpm._対象月初=_xlpm._今月初,
              "$AG$1:$AG$300",
              "$G$1:$G$300"
            ),
          _xlfn.XLOOKUP(
            $C104,
            INDIRECT(_xlpm._参照先&amp;"$C$1:$C$300"),
            INDIRECT(_xlpm._参照先&amp;_xlpm._戻り範囲)
          )
        )
      )
    ),
    ""
  )
)</f>
        <v/>
      </c>
      <c r="AS104" s="223" t="str" cm="1">
        <f t="array" aca="1" ref="AS104" ca="1">IF($C104="","",
  IFERROR(
    _xlfn.LET(
      _xlpm._対象月初,EOMONTH(AS$1,-1)+1,
      _xlpm._今月初,EOMONTH(基準データ!$C$5,-1)+1,
      IF(
        _xlpm._対象月初&gt;_xlpm._今月初,
        IF(
          OR(AR104="",AR104=0),
          "",
          AR104*AS$107
        ),
        _xlfn.LET(
          _xlpm._参照先,
            "'[在庫状況把握_43期_2025-2026.xlsx]月次報告"
            &amp;TEXT(AS$1,"YYMM")
            &amp;"'!",
          _xlpm._戻り範囲,
            IF(
              _xlpm._対象月初=_xlpm._今月初,
              "$AG$1:$AG$300",
              "$G$1:$G$300"
            ),
          _xlfn.XLOOKUP(
            $C104,
            INDIRECT(_xlpm._参照先&amp;"$C$1:$C$300"),
            INDIRECT(_xlpm._参照先&amp;_xlpm._戻り範囲)
          )
        )
      )
    ),
    ""
  )
)</f>
        <v/>
      </c>
      <c r="AT104" s="223" t="str" cm="1">
        <f t="array" aca="1" ref="AT104" ca="1">IF($C104="","",
  IFERROR(
    _xlfn.LET(
      _xlpm._対象月初,EOMONTH(AT$1,-1)+1,
      _xlpm._今月初,EOMONTH(基準データ!$C$5,-1)+1,
      IF(
        _xlpm._対象月初&gt;_xlpm._今月初,
        IF(
          OR(AS104="",AS104=0),
          "",
          AS104*AT$107
        ),
        _xlfn.LET(
          _xlpm._参照先,
            "'[在庫状況把握_43期_2025-2026.xlsx]月次報告"
            &amp;TEXT(AT$1,"YYMM")
            &amp;"'!",
          _xlpm._戻り範囲,
            IF(
              _xlpm._対象月初=_xlpm._今月初,
              "$AG$1:$AG$300",
              "$G$1:$G$300"
            ),
          _xlfn.XLOOKUP(
            $C104,
            INDIRECT(_xlpm._参照先&amp;"$C$1:$C$300"),
            INDIRECT(_xlpm._参照先&amp;_xlpm._戻り範囲)
          )
        )
      )
    ),
    ""
  )
)</f>
        <v/>
      </c>
      <c r="AU104" s="223" t="str" cm="1">
        <f t="array" aca="1" ref="AU104" ca="1">IF($C104="","",
  IFERROR(
    _xlfn.LET(
      _xlpm._対象月初,EOMONTH(AU$1,-1)+1,
      _xlpm._今月初,EOMONTH(基準データ!$C$5,-1)+1,
      IF(
        _xlpm._対象月初&gt;_xlpm._今月初,
        IF(
          OR(AT104="",AT104=0),
          "",
          AT104*AU$107
        ),
        _xlfn.LET(
          _xlpm._参照先,
            "'[在庫状況把握_43期_2025-2026.xlsx]月次報告"
            &amp;TEXT(AU$1,"YYMM")
            &amp;"'!",
          _xlpm._戻り範囲,
            IF(
              _xlpm._対象月初=_xlpm._今月初,
              "$AG$1:$AG$300",
              "$G$1:$G$300"
            ),
          _xlfn.XLOOKUP(
            $C104,
            INDIRECT(_xlpm._参照先&amp;"$C$1:$C$300"),
            INDIRECT(_xlpm._参照先&amp;_xlpm._戻り範囲)
          )
        )
      )
    ),
    ""
  )
)</f>
        <v/>
      </c>
      <c r="AV104" s="223" t="str" cm="1">
        <f t="array" aca="1" ref="AV104" ca="1">IF($C104="","",
  IFERROR(
    _xlfn.LET(
      _xlpm._対象月初,EOMONTH(AV$1,-1)+1,
      _xlpm._今月初,EOMONTH(基準データ!$C$5,-1)+1,
      IF(
        _xlpm._対象月初&gt;_xlpm._今月初,
        IF(
          OR(AU104="",AU104=0),
          "",
          AU104*AV$107
        ),
        _xlfn.LET(
          _xlpm._参照先,
            "'[在庫状況把握_43期_2025-2026.xlsx]月次報告"
            &amp;TEXT(AV$1,"YYMM")
            &amp;"'!",
          _xlpm._戻り範囲,
            IF(
              _xlpm._対象月初=_xlpm._今月初,
              "$AG$1:$AG$300",
              "$G$1:$G$300"
            ),
          _xlfn.XLOOKUP(
            $C104,
            INDIRECT(_xlpm._参照先&amp;"$C$1:$C$300"),
            INDIRECT(_xlpm._参照先&amp;_xlpm._戻り範囲)
          )
        )
      )
    ),
    ""
  )
)</f>
        <v/>
      </c>
      <c r="AW104" s="223" t="str" cm="1">
        <f t="array" aca="1" ref="AW104" ca="1">IF($C104="","",
  IFERROR(
    _xlfn.LET(
      _xlpm._対象月初,EOMONTH(AW$1,-1)+1,
      _xlpm._今月初,EOMONTH(基準データ!$C$5,-1)+1,
      IF(
        _xlpm._対象月初&gt;_xlpm._今月初,
        IF(
          OR(AV104="",AV104=0),
          "",
          AV104*AW$107
        ),
        _xlfn.LET(
          _xlpm._参照先,
            "'[在庫状況把握_43期_2025-2026.xlsx]月次報告"
            &amp;TEXT(AW$1,"YYMM")
            &amp;"'!",
          _xlpm._戻り範囲,
            IF(
              _xlpm._対象月初=_xlpm._今月初,
              "$AG$1:$AG$300",
              "$G$1:$G$300"
            ),
          _xlfn.XLOOKUP(
            $C104,
            INDIRECT(_xlpm._参照先&amp;"$C$1:$C$300"),
            INDIRECT(_xlpm._参照先&amp;_xlpm._戻り範囲)
          )
        )
      )
    ),
    ""
  )
)</f>
        <v/>
      </c>
      <c r="AX104" s="223" t="str" cm="1">
        <f t="array" aca="1" ref="AX104" ca="1">IF($C104="","",
  IFERROR(
    _xlfn.LET(
      _xlpm._対象月初,EOMONTH(AX$1,-1)+1,
      _xlpm._今月初,EOMONTH(基準データ!$C$5,-1)+1,
      IF(
        _xlpm._対象月初&gt;_xlpm._今月初,
        IF(
          OR(AW104="",AW104=0),
          "",
          AW104*AX$107
        ),
        _xlfn.LET(
          _xlpm._参照先,
            "'[在庫状況把握_43期_2025-2026.xlsx]月次報告"
            &amp;TEXT(AX$1,"YYMM")
            &amp;"'!",
          _xlpm._戻り範囲,
            IF(
              _xlpm._対象月初=_xlpm._今月初,
              "$AG$1:$AG$300",
              "$G$1:$G$300"
            ),
          _xlfn.XLOOKUP(
            $C104,
            INDIRECT(_xlpm._参照先&amp;"$C$1:$C$300"),
            INDIRECT(_xlpm._参照先&amp;_xlpm._戻り範囲)
          )
        )
      )
    ),
    ""
  )
)</f>
        <v/>
      </c>
      <c r="AY104" s="223" t="str" cm="1">
        <f t="array" aca="1" ref="AY104" ca="1">IF($C104="","",
  IFERROR(
    _xlfn.LET(
      _xlpm._対象月初,EOMONTH(AY$1,-1)+1,
      _xlpm._今月初,EOMONTH(基準データ!$C$5,-1)+1,
      IF(
        _xlpm._対象月初&gt;_xlpm._今月初,
        IF(
          OR(AX104="",AX104=0),
          "",
          AX104*AY$107
        ),
        _xlfn.LET(
          _xlpm._参照先,
            "'[在庫状況把握_43期_2025-2026.xlsx]月次報告"
            &amp;TEXT(AY$1,"YYMM")
            &amp;"'!",
          _xlpm._戻り範囲,
            IF(
              _xlpm._対象月初=_xlpm._今月初,
              "$AG$1:$AG$300",
              "$G$1:$G$300"
            ),
          _xlfn.XLOOKUP(
            $C104,
            INDIRECT(_xlpm._参照先&amp;"$C$1:$C$300"),
            INDIRECT(_xlpm._参照先&amp;_xlpm._戻り範囲)
          )
        )
      )
    ),
    ""
  )
)</f>
        <v/>
      </c>
      <c r="AZ104" s="223" t="str" cm="1">
        <f t="array" aca="1" ref="AZ104" ca="1">IF($C104="","",
  IFERROR(
    _xlfn.LET(
      _xlpm._対象月初,EOMONTH(AZ$1,-1)+1,
      _xlpm._今月初,EOMONTH(基準データ!$C$5,-1)+1,
      IF(
        _xlpm._対象月初&gt;_xlpm._今月初,
        IF(
          OR(AY104="",AY104=0),
          "",
          AY104*AZ$107
        ),
        _xlfn.LET(
          _xlpm._参照先,
            "'[在庫状況把握_43期_2025-2026.xlsx]月次報告"
            &amp;TEXT(AZ$1,"YYMM")
            &amp;"'!",
          _xlpm._戻り範囲,
            IF(
              _xlpm._対象月初=_xlpm._今月初,
              "$AG$1:$AG$300",
              "$G$1:$G$300"
            ),
          _xlfn.XLOOKUP(
            $C104,
            INDIRECT(_xlpm._参照先&amp;"$C$1:$C$300"),
            INDIRECT(_xlpm._参照先&amp;_xlpm._戻り範囲)
          )
        )
      )
    ),
    ""
  )
)</f>
        <v/>
      </c>
      <c r="BA104" s="223" t="str" cm="1">
        <f t="array" aca="1" ref="BA104" ca="1">IF($C104="","",
  IFERROR(
    _xlfn.LET(
      _xlpm._対象月初,EOMONTH(BA$1,-1)+1,
      _xlpm._今月初,EOMONTH(基準データ!$C$5,-1)+1,
      IF(
        _xlpm._対象月初&gt;_xlpm._今月初,
        IF(
          OR(AZ104="",AZ104=0),
          "",
          AZ104*BA$107
        ),
        _xlfn.LET(
          _xlpm._参照先,
            "'[在庫状況把握_43期_2025-2026.xlsx]月次報告"
            &amp;TEXT(BA$1,"YYMM")
            &amp;"'!",
          _xlpm._戻り範囲,
            IF(
              _xlpm._対象月初=_xlpm._今月初,
              "$AG$1:$AG$300",
              "$G$1:$G$300"
            ),
          _xlfn.XLOOKUP(
            $C104,
            INDIRECT(_xlpm._参照先&amp;"$C$1:$C$300"),
            INDIRECT(_xlpm._参照先&amp;_xlpm._戻り範囲)
          )
        )
      )
    ),
    ""
  )
)</f>
        <v/>
      </c>
      <c r="BB104" s="223" t="str" cm="1">
        <f t="array" aca="1" ref="BB104" ca="1">IF($C104="","",
  IFERROR(
    _xlfn.LET(
      _xlpm._対象月初,EOMONTH(BB$1,-1)+1,
      _xlpm._今月初,EOMONTH(基準データ!$C$5,-1)+1,
      IF(
        _xlpm._対象月初&gt;_xlpm._今月初,
        IF(
          OR(BA104="",BA104=0),
          "",
          BA104*BB$107
        ),
        _xlfn.LET(
          _xlpm._参照先,
            "'[在庫状況把握_43期_2025-2026.xlsx]月次報告"
            &amp;TEXT(BB$1,"YYMM")
            &amp;"'!",
          _xlpm._戻り範囲,
            IF(
              _xlpm._対象月初=_xlpm._今月初,
              "$AG$1:$AG$300",
              "$G$1:$G$300"
            ),
          _xlfn.XLOOKUP(
            $C104,
            INDIRECT(_xlpm._参照先&amp;"$C$1:$C$300"),
            INDIRECT(_xlpm._参照先&amp;_xlpm._戻り範囲)
          )
        )
      )
    ),
    ""
  )
)</f>
        <v/>
      </c>
      <c r="BC104" s="223" t="str" cm="1">
        <f t="array" aca="1" ref="BC104" ca="1">IF($C104="","",
  IFERROR(
    _xlfn.LET(
      _xlpm._対象月初,EOMONTH(BC$1,-1)+1,
      _xlpm._今月初,EOMONTH(基準データ!$C$5,-1)+1,
      IF(
        _xlpm._対象月初&gt;_xlpm._今月初,
        IF(
          OR(BB104="",BB104=0),
          "",
          BB104*BC$107
        ),
        _xlfn.LET(
          _xlpm._参照先,
            "'[在庫状況把握_43期_2025-2026.xlsx]月次報告"
            &amp;TEXT(BC$1,"YYMM")
            &amp;"'!",
          _xlpm._戻り範囲,
            IF(
              _xlpm._対象月初=_xlpm._今月初,
              "$AG$1:$AG$300",
              "$G$1:$G$300"
            ),
          _xlfn.XLOOKUP(
            $C104,
            INDIRECT(_xlpm._参照先&amp;"$C$1:$C$300"),
            INDIRECT(_xlpm._参照先&amp;_xlpm._戻り範囲)
          )
        )
      )
    ),
    ""
  )
)</f>
        <v/>
      </c>
      <c r="BD104" s="223" t="str" cm="1">
        <f t="array" aca="1" ref="BD104" ca="1">IF($C104="","",
  IFERROR(
    _xlfn.LET(
      _xlpm._対象月初,EOMONTH(BD$1,-1)+1,
      _xlpm._今月初,EOMONTH(基準データ!$C$5,-1)+1,
      IF(
        _xlpm._対象月初&gt;_xlpm._今月初,
        IF(
          OR(BC104="",BC104=0),
          "",
          BC104*BD$107
        ),
        _xlfn.LET(
          _xlpm._参照先,
            "'[在庫状況把握_43期_2025-2026.xlsx]月次報告"
            &amp;TEXT(BD$1,"YYMM")
            &amp;"'!",
          _xlpm._戻り範囲,
            IF(
              _xlpm._対象月初=_xlpm._今月初,
              "$AG$1:$AG$300",
              "$G$1:$G$300"
            ),
          _xlfn.XLOOKUP(
            $C104,
            INDIRECT(_xlpm._参照先&amp;"$C$1:$C$300"),
            INDIRECT(_xlpm._参照先&amp;_xlpm._戻り範囲)
          )
        )
      )
    ),
    ""
  )
)</f>
        <v/>
      </c>
    </row>
    <row r="105" spans="1:56" ht="18.75" customHeight="1">
      <c r="A105" s="1061" t="s">
        <v>1473</v>
      </c>
      <c r="B105" s="26" t="str">
        <v>CLE-V74-R5-7535HS-L6-TPM-DDR5-TW-RG</v>
      </c>
      <c r="C105" s="86" t="s">
        <v>1663</v>
      </c>
      <c r="D105" s="62" t="s">
        <v>1430</v>
      </c>
      <c r="E105" s="26" t="s">
        <v>1423</v>
      </c>
      <c r="F105" s="26" t="s">
        <v>1372</v>
      </c>
      <c r="G105" s="43">
        <v>266</v>
      </c>
      <c r="H105" s="109" cm="1">
        <f t="array" aca="1" ref="H105" ca="1">_xlfn.LET(_xlpm._来月から4ヶ月計画合計,
  SUM(
    OFFSET($A105,0,
      MATCH(
        EDATE(基準データ!$C$5,3),$A$1:$BF$1,1
      )-3,1,4)),
_xlpm._今月計画数,
INDEX($A$1:$BE$223,
  ROW(),
  MATCH(EOMONTH(基準データ!$C$5,-1)+1,$A$1:$BE$1,0)
),
  IFERROR(IF($B105="","",_xlpm._来月から4ヶ月計画合計+_xlpm._今月計画数/2),""
)
)</f>
        <v>0</v>
      </c>
      <c r="I105" s="311"/>
      <c r="J105" s="311"/>
      <c r="K105" s="311"/>
      <c r="L105" s="311"/>
      <c r="M105" s="311"/>
      <c r="N105" s="180"/>
      <c r="O105" s="311"/>
      <c r="P105" s="311"/>
      <c r="Q105" s="298"/>
      <c r="R105" s="298"/>
      <c r="S105" s="298"/>
      <c r="T105" s="298"/>
      <c r="U105" s="224"/>
      <c r="V105" s="237"/>
      <c r="W105" s="333"/>
      <c r="X105" s="333"/>
      <c r="Y105" s="333" t="str">
        <f>IF(X105*$Y$107=0,"",X105*$Y$107)</f>
        <v/>
      </c>
      <c r="Z105" s="480"/>
      <c r="AA105" s="219" t="str">
        <f>IF(Z105*$AA$107=0,"",Z105*$AA$107)</f>
        <v/>
      </c>
      <c r="AB105" s="557"/>
      <c r="AC105" s="649"/>
      <c r="AD105" s="649" t="s">
        <v>21</v>
      </c>
      <c r="AE105" s="223" t="s">
        <v>21</v>
      </c>
      <c r="AF105" s="223" t="s">
        <v>21</v>
      </c>
      <c r="AG105" s="223" t="s">
        <v>21</v>
      </c>
      <c r="AH105" s="223">
        <v>0</v>
      </c>
      <c r="AI105" s="223" t="s">
        <v>21</v>
      </c>
      <c r="AJ105" s="223" t="s">
        <v>21</v>
      </c>
      <c r="AK105" s="223">
        <v>0</v>
      </c>
      <c r="AL105" s="223" cm="1">
        <f t="array" aca="1" ref="AL105" ca="1">IF($C105="","",
  IFERROR(
    _xlfn.LET(
      _xlpm._対象月初,EOMONTH(AL$1,-1)+1,
      _xlpm._今月初,EOMONTH(基準データ!$C$5,-1)+1,
      IF(
        _xlpm._対象月初&gt;_xlpm._今月初,
        IF(
          OR(AK105="",AK105=0),
          "",
          AK105*AL$107
        ),
        _xlfn.LET(
          _xlpm._参照先,
            "'[在庫状況把握_43期_2025-2026.xlsx]月次報告"
            &amp;TEXT(AL$1,"YYMM")
            &amp;"'!",
          _xlpm._戻り範囲,
            IF(
              _xlpm._対象月初=_xlpm._今月初,
              "$AG$1:$AG$300",
              "$G$1:$G$300"
            ),
          _xlfn.XLOOKUP(
            $C105,
            INDIRECT(_xlpm._参照先&amp;"$C$1:$C$300"),
            INDIRECT(_xlpm._参照先&amp;_xlpm._戻り範囲)
          )
        )
      )
    ),
    ""
  )
)</f>
        <v>0</v>
      </c>
      <c r="AM105" s="223" cm="1">
        <f t="array" aca="1" ref="AM105" ca="1">IF($C105="","",
  IFERROR(
    _xlfn.LET(
      _xlpm._対象月初,EOMONTH(AM$1,-1)+1,
      _xlpm._今月初,EOMONTH(基準データ!$C$5,-1)+1,
      IF(
        _xlpm._対象月初&gt;_xlpm._今月初,
        IF(
          OR(AL105="",AL105=0),
          "",
          AL105*AM$107
        ),
        _xlfn.LET(
          _xlpm._参照先,
            "'[在庫状況把握_43期_2025-2026.xlsx]月次報告"
            &amp;TEXT(AM$1,"YYMM")
            &amp;"'!",
          _xlpm._戻り範囲,
            IF(
              _xlpm._対象月初=_xlpm._今月初,
              "$AG$1:$AG$300",
              "$G$1:$G$300"
            ),
          _xlfn.XLOOKUP(
            $C105,
            INDIRECT(_xlpm._参照先&amp;"$C$1:$C$300"),
            INDIRECT(_xlpm._参照先&amp;_xlpm._戻り範囲)
          )
        )
      )
    ),
    ""
  )
)</f>
        <v>0</v>
      </c>
      <c r="AN105" s="223" t="str" cm="1">
        <f t="array" aca="1" ref="AN105" ca="1">IF($C105="","",
  IFERROR(
    _xlfn.LET(
      _xlpm._対象月初,EOMONTH(AN$1,-1)+1,
      _xlpm._今月初,EOMONTH(基準データ!$C$5,-1)+1,
      IF(
        _xlpm._対象月初&gt;_xlpm._今月初,
        IF(
          OR(AM105="",AM105=0),
          "",
          AM105*AN$107
        ),
        _xlfn.LET(
          _xlpm._参照先,
            "'[在庫状況把握_43期_2025-2026.xlsx]月次報告"
            &amp;TEXT(AN$1,"YYMM")
            &amp;"'!",
          _xlpm._戻り範囲,
            IF(
              _xlpm._対象月初=_xlpm._今月初,
              "$AG$1:$AG$300",
              "$G$1:$G$300"
            ),
          _xlfn.XLOOKUP(
            $C105,
            INDIRECT(_xlpm._参照先&amp;"$C$1:$C$300"),
            INDIRECT(_xlpm._参照先&amp;_xlpm._戻り範囲)
          )
        )
      )
    ),
    ""
  )
)</f>
        <v/>
      </c>
      <c r="AO105" s="223" t="str" cm="1">
        <f t="array" aca="1" ref="AO105" ca="1">IF($C105="","",
  IFERROR(
    _xlfn.LET(
      _xlpm._対象月初,EOMONTH(AO$1,-1)+1,
      _xlpm._今月初,EOMONTH(基準データ!$C$5,-1)+1,
      IF(
        _xlpm._対象月初&gt;_xlpm._今月初,
        IF(
          OR(AN105="",AN105=0),
          "",
          AN105*AO$107
        ),
        _xlfn.LET(
          _xlpm._参照先,
            "'[在庫状況把握_43期_2025-2026.xlsx]月次報告"
            &amp;TEXT(AO$1,"YYMM")
            &amp;"'!",
          _xlpm._戻り範囲,
            IF(
              _xlpm._対象月初=_xlpm._今月初,
              "$AG$1:$AG$300",
              "$G$1:$G$300"
            ),
          _xlfn.XLOOKUP(
            $C105,
            INDIRECT(_xlpm._参照先&amp;"$C$1:$C$300"),
            INDIRECT(_xlpm._参照先&amp;_xlpm._戻り範囲)
          )
        )
      )
    ),
    ""
  )
)</f>
        <v/>
      </c>
      <c r="AP105" s="223" t="str" cm="1">
        <f t="array" aca="1" ref="AP105" ca="1">IF($C105="","",
  IFERROR(
    _xlfn.LET(
      _xlpm._対象月初,EOMONTH(AP$1,-1)+1,
      _xlpm._今月初,EOMONTH(基準データ!$C$5,-1)+1,
      IF(
        _xlpm._対象月初&gt;_xlpm._今月初,
        IF(
          OR(AO105="",AO105=0),
          "",
          AO105*AP$107
        ),
        _xlfn.LET(
          _xlpm._参照先,
            "'[在庫状況把握_43期_2025-2026.xlsx]月次報告"
            &amp;TEXT(AP$1,"YYMM")
            &amp;"'!",
          _xlpm._戻り範囲,
            IF(
              _xlpm._対象月初=_xlpm._今月初,
              "$AG$1:$AG$300",
              "$G$1:$G$300"
            ),
          _xlfn.XLOOKUP(
            $C105,
            INDIRECT(_xlpm._参照先&amp;"$C$1:$C$300"),
            INDIRECT(_xlpm._参照先&amp;_xlpm._戻り範囲)
          )
        )
      )
    ),
    ""
  )
)</f>
        <v/>
      </c>
      <c r="AQ105" s="223" t="str" cm="1">
        <f t="array" aca="1" ref="AQ105" ca="1">IF($C105="","",
  IFERROR(
    _xlfn.LET(
      _xlpm._対象月初,EOMONTH(AQ$1,-1)+1,
      _xlpm._今月初,EOMONTH(基準データ!$C$5,-1)+1,
      IF(
        _xlpm._対象月初&gt;_xlpm._今月初,
        IF(
          OR(AP105="",AP105=0),
          "",
          AP105*AQ$107
        ),
        _xlfn.LET(
          _xlpm._参照先,
            "'[在庫状況把握_43期_2025-2026.xlsx]月次報告"
            &amp;TEXT(AQ$1,"YYMM")
            &amp;"'!",
          _xlpm._戻り範囲,
            IF(
              _xlpm._対象月初=_xlpm._今月初,
              "$AG$1:$AG$300",
              "$G$1:$G$300"
            ),
          _xlfn.XLOOKUP(
            $C105,
            INDIRECT(_xlpm._参照先&amp;"$C$1:$C$300"),
            INDIRECT(_xlpm._参照先&amp;_xlpm._戻り範囲)
          )
        )
      )
    ),
    ""
  )
)</f>
        <v/>
      </c>
      <c r="AR105" s="223" t="str" cm="1">
        <f t="array" aca="1" ref="AR105" ca="1">IF($C105="","",
  IFERROR(
    _xlfn.LET(
      _xlpm._対象月初,EOMONTH(AR$1,-1)+1,
      _xlpm._今月初,EOMONTH(基準データ!$C$5,-1)+1,
      IF(
        _xlpm._対象月初&gt;_xlpm._今月初,
        IF(
          OR(AQ105="",AQ105=0),
          "",
          AQ105*AR$107
        ),
        _xlfn.LET(
          _xlpm._参照先,
            "'[在庫状況把握_43期_2025-2026.xlsx]月次報告"
            &amp;TEXT(AR$1,"YYMM")
            &amp;"'!",
          _xlpm._戻り範囲,
            IF(
              _xlpm._対象月初=_xlpm._今月初,
              "$AG$1:$AG$300",
              "$G$1:$G$300"
            ),
          _xlfn.XLOOKUP(
            $C105,
            INDIRECT(_xlpm._参照先&amp;"$C$1:$C$300"),
            INDIRECT(_xlpm._参照先&amp;_xlpm._戻り範囲)
          )
        )
      )
    ),
    ""
  )
)</f>
        <v/>
      </c>
      <c r="AS105" s="223" t="str" cm="1">
        <f t="array" aca="1" ref="AS105" ca="1">IF($C105="","",
  IFERROR(
    _xlfn.LET(
      _xlpm._対象月初,EOMONTH(AS$1,-1)+1,
      _xlpm._今月初,EOMONTH(基準データ!$C$5,-1)+1,
      IF(
        _xlpm._対象月初&gt;_xlpm._今月初,
        IF(
          OR(AR105="",AR105=0),
          "",
          AR105*AS$107
        ),
        _xlfn.LET(
          _xlpm._参照先,
            "'[在庫状況把握_43期_2025-2026.xlsx]月次報告"
            &amp;TEXT(AS$1,"YYMM")
            &amp;"'!",
          _xlpm._戻り範囲,
            IF(
              _xlpm._対象月初=_xlpm._今月初,
              "$AG$1:$AG$300",
              "$G$1:$G$300"
            ),
          _xlfn.XLOOKUP(
            $C105,
            INDIRECT(_xlpm._参照先&amp;"$C$1:$C$300"),
            INDIRECT(_xlpm._参照先&amp;_xlpm._戻り範囲)
          )
        )
      )
    ),
    ""
  )
)</f>
        <v/>
      </c>
      <c r="AT105" s="223" t="str" cm="1">
        <f t="array" aca="1" ref="AT105" ca="1">IF($C105="","",
  IFERROR(
    _xlfn.LET(
      _xlpm._対象月初,EOMONTH(AT$1,-1)+1,
      _xlpm._今月初,EOMONTH(基準データ!$C$5,-1)+1,
      IF(
        _xlpm._対象月初&gt;_xlpm._今月初,
        IF(
          OR(AS105="",AS105=0),
          "",
          AS105*AT$107
        ),
        _xlfn.LET(
          _xlpm._参照先,
            "'[在庫状況把握_43期_2025-2026.xlsx]月次報告"
            &amp;TEXT(AT$1,"YYMM")
            &amp;"'!",
          _xlpm._戻り範囲,
            IF(
              _xlpm._対象月初=_xlpm._今月初,
              "$AG$1:$AG$300",
              "$G$1:$G$300"
            ),
          _xlfn.XLOOKUP(
            $C105,
            INDIRECT(_xlpm._参照先&amp;"$C$1:$C$300"),
            INDIRECT(_xlpm._参照先&amp;_xlpm._戻り範囲)
          )
        )
      )
    ),
    ""
  )
)</f>
        <v/>
      </c>
      <c r="AU105" s="223" t="str" cm="1">
        <f t="array" aca="1" ref="AU105" ca="1">IF($C105="","",
  IFERROR(
    _xlfn.LET(
      _xlpm._対象月初,EOMONTH(AU$1,-1)+1,
      _xlpm._今月初,EOMONTH(基準データ!$C$5,-1)+1,
      IF(
        _xlpm._対象月初&gt;_xlpm._今月初,
        IF(
          OR(AT105="",AT105=0),
          "",
          AT105*AU$107
        ),
        _xlfn.LET(
          _xlpm._参照先,
            "'[在庫状況把握_43期_2025-2026.xlsx]月次報告"
            &amp;TEXT(AU$1,"YYMM")
            &amp;"'!",
          _xlpm._戻り範囲,
            IF(
              _xlpm._対象月初=_xlpm._今月初,
              "$AG$1:$AG$300",
              "$G$1:$G$300"
            ),
          _xlfn.XLOOKUP(
            $C105,
            INDIRECT(_xlpm._参照先&amp;"$C$1:$C$300"),
            INDIRECT(_xlpm._参照先&amp;_xlpm._戻り範囲)
          )
        )
      )
    ),
    ""
  )
)</f>
        <v/>
      </c>
      <c r="AV105" s="223" t="str" cm="1">
        <f t="array" aca="1" ref="AV105" ca="1">IF($C105="","",
  IFERROR(
    _xlfn.LET(
      _xlpm._対象月初,EOMONTH(AV$1,-1)+1,
      _xlpm._今月初,EOMONTH(基準データ!$C$5,-1)+1,
      IF(
        _xlpm._対象月初&gt;_xlpm._今月初,
        IF(
          OR(AU105="",AU105=0),
          "",
          AU105*AV$107
        ),
        _xlfn.LET(
          _xlpm._参照先,
            "'[在庫状況把握_43期_2025-2026.xlsx]月次報告"
            &amp;TEXT(AV$1,"YYMM")
            &amp;"'!",
          _xlpm._戻り範囲,
            IF(
              _xlpm._対象月初=_xlpm._今月初,
              "$AG$1:$AG$300",
              "$G$1:$G$300"
            ),
          _xlfn.XLOOKUP(
            $C105,
            INDIRECT(_xlpm._参照先&amp;"$C$1:$C$300"),
            INDIRECT(_xlpm._参照先&amp;_xlpm._戻り範囲)
          )
        )
      )
    ),
    ""
  )
)</f>
        <v/>
      </c>
      <c r="AW105" s="223" t="str" cm="1">
        <f t="array" aca="1" ref="AW105" ca="1">IF($C105="","",
  IFERROR(
    _xlfn.LET(
      _xlpm._対象月初,EOMONTH(AW$1,-1)+1,
      _xlpm._今月初,EOMONTH(基準データ!$C$5,-1)+1,
      IF(
        _xlpm._対象月初&gt;_xlpm._今月初,
        IF(
          OR(AV105="",AV105=0),
          "",
          AV105*AW$107
        ),
        _xlfn.LET(
          _xlpm._参照先,
            "'[在庫状況把握_43期_2025-2026.xlsx]月次報告"
            &amp;TEXT(AW$1,"YYMM")
            &amp;"'!",
          _xlpm._戻り範囲,
            IF(
              _xlpm._対象月初=_xlpm._今月初,
              "$AG$1:$AG$300",
              "$G$1:$G$300"
            ),
          _xlfn.XLOOKUP(
            $C105,
            INDIRECT(_xlpm._参照先&amp;"$C$1:$C$300"),
            INDIRECT(_xlpm._参照先&amp;_xlpm._戻り範囲)
          )
        )
      )
    ),
    ""
  )
)</f>
        <v/>
      </c>
      <c r="AX105" s="223" t="str" cm="1">
        <f t="array" aca="1" ref="AX105" ca="1">IF($C105="","",
  IFERROR(
    _xlfn.LET(
      _xlpm._対象月初,EOMONTH(AX$1,-1)+1,
      _xlpm._今月初,EOMONTH(基準データ!$C$5,-1)+1,
      IF(
        _xlpm._対象月初&gt;_xlpm._今月初,
        IF(
          OR(AW105="",AW105=0),
          "",
          AW105*AX$107
        ),
        _xlfn.LET(
          _xlpm._参照先,
            "'[在庫状況把握_43期_2025-2026.xlsx]月次報告"
            &amp;TEXT(AX$1,"YYMM")
            &amp;"'!",
          _xlpm._戻り範囲,
            IF(
              _xlpm._対象月初=_xlpm._今月初,
              "$AG$1:$AG$300",
              "$G$1:$G$300"
            ),
          _xlfn.XLOOKUP(
            $C105,
            INDIRECT(_xlpm._参照先&amp;"$C$1:$C$300"),
            INDIRECT(_xlpm._参照先&amp;_xlpm._戻り範囲)
          )
        )
      )
    ),
    ""
  )
)</f>
        <v/>
      </c>
      <c r="AY105" s="223" t="str" cm="1">
        <f t="array" aca="1" ref="AY105" ca="1">IF($C105="","",
  IFERROR(
    _xlfn.LET(
      _xlpm._対象月初,EOMONTH(AY$1,-1)+1,
      _xlpm._今月初,EOMONTH(基準データ!$C$5,-1)+1,
      IF(
        _xlpm._対象月初&gt;_xlpm._今月初,
        IF(
          OR(AX105="",AX105=0),
          "",
          AX105*AY$107
        ),
        _xlfn.LET(
          _xlpm._参照先,
            "'[在庫状況把握_43期_2025-2026.xlsx]月次報告"
            &amp;TEXT(AY$1,"YYMM")
            &amp;"'!",
          _xlpm._戻り範囲,
            IF(
              _xlpm._対象月初=_xlpm._今月初,
              "$AG$1:$AG$300",
              "$G$1:$G$300"
            ),
          _xlfn.XLOOKUP(
            $C105,
            INDIRECT(_xlpm._参照先&amp;"$C$1:$C$300"),
            INDIRECT(_xlpm._参照先&amp;_xlpm._戻り範囲)
          )
        )
      )
    ),
    ""
  )
)</f>
        <v/>
      </c>
      <c r="AZ105" s="223" t="str" cm="1">
        <f t="array" aca="1" ref="AZ105" ca="1">IF($C105="","",
  IFERROR(
    _xlfn.LET(
      _xlpm._対象月初,EOMONTH(AZ$1,-1)+1,
      _xlpm._今月初,EOMONTH(基準データ!$C$5,-1)+1,
      IF(
        _xlpm._対象月初&gt;_xlpm._今月初,
        IF(
          OR(AY105="",AY105=0),
          "",
          AY105*AZ$107
        ),
        _xlfn.LET(
          _xlpm._参照先,
            "'[在庫状況把握_43期_2025-2026.xlsx]月次報告"
            &amp;TEXT(AZ$1,"YYMM")
            &amp;"'!",
          _xlpm._戻り範囲,
            IF(
              _xlpm._対象月初=_xlpm._今月初,
              "$AG$1:$AG$300",
              "$G$1:$G$300"
            ),
          _xlfn.XLOOKUP(
            $C105,
            INDIRECT(_xlpm._参照先&amp;"$C$1:$C$300"),
            INDIRECT(_xlpm._参照先&amp;_xlpm._戻り範囲)
          )
        )
      )
    ),
    ""
  )
)</f>
        <v/>
      </c>
      <c r="BA105" s="223" t="str" cm="1">
        <f t="array" aca="1" ref="BA105" ca="1">IF($C105="","",
  IFERROR(
    _xlfn.LET(
      _xlpm._対象月初,EOMONTH(BA$1,-1)+1,
      _xlpm._今月初,EOMONTH(基準データ!$C$5,-1)+1,
      IF(
        _xlpm._対象月初&gt;_xlpm._今月初,
        IF(
          OR(AZ105="",AZ105=0),
          "",
          AZ105*BA$107
        ),
        _xlfn.LET(
          _xlpm._参照先,
            "'[在庫状況把握_43期_2025-2026.xlsx]月次報告"
            &amp;TEXT(BA$1,"YYMM")
            &amp;"'!",
          _xlpm._戻り範囲,
            IF(
              _xlpm._対象月初=_xlpm._今月初,
              "$AG$1:$AG$300",
              "$G$1:$G$300"
            ),
          _xlfn.XLOOKUP(
            $C105,
            INDIRECT(_xlpm._参照先&amp;"$C$1:$C$300"),
            INDIRECT(_xlpm._参照先&amp;_xlpm._戻り範囲)
          )
        )
      )
    ),
    ""
  )
)</f>
        <v/>
      </c>
      <c r="BB105" s="223" t="str" cm="1">
        <f t="array" aca="1" ref="BB105" ca="1">IF($C105="","",
  IFERROR(
    _xlfn.LET(
      _xlpm._対象月初,EOMONTH(BB$1,-1)+1,
      _xlpm._今月初,EOMONTH(基準データ!$C$5,-1)+1,
      IF(
        _xlpm._対象月初&gt;_xlpm._今月初,
        IF(
          OR(BA105="",BA105=0),
          "",
          BA105*BB$107
        ),
        _xlfn.LET(
          _xlpm._参照先,
            "'[在庫状況把握_43期_2025-2026.xlsx]月次報告"
            &amp;TEXT(BB$1,"YYMM")
            &amp;"'!",
          _xlpm._戻り範囲,
            IF(
              _xlpm._対象月初=_xlpm._今月初,
              "$AG$1:$AG$300",
              "$G$1:$G$300"
            ),
          _xlfn.XLOOKUP(
            $C105,
            INDIRECT(_xlpm._参照先&amp;"$C$1:$C$300"),
            INDIRECT(_xlpm._参照先&amp;_xlpm._戻り範囲)
          )
        )
      )
    ),
    ""
  )
)</f>
        <v/>
      </c>
      <c r="BC105" s="223" t="str" cm="1">
        <f t="array" aca="1" ref="BC105" ca="1">IF($C105="","",
  IFERROR(
    _xlfn.LET(
      _xlpm._対象月初,EOMONTH(BC$1,-1)+1,
      _xlpm._今月初,EOMONTH(基準データ!$C$5,-1)+1,
      IF(
        _xlpm._対象月初&gt;_xlpm._今月初,
        IF(
          OR(BB105="",BB105=0),
          "",
          BB105*BC$107
        ),
        _xlfn.LET(
          _xlpm._参照先,
            "'[在庫状況把握_43期_2025-2026.xlsx]月次報告"
            &amp;TEXT(BC$1,"YYMM")
            &amp;"'!",
          _xlpm._戻り範囲,
            IF(
              _xlpm._対象月初=_xlpm._今月初,
              "$AG$1:$AG$300",
              "$G$1:$G$300"
            ),
          _xlfn.XLOOKUP(
            $C105,
            INDIRECT(_xlpm._参照先&amp;"$C$1:$C$300"),
            INDIRECT(_xlpm._参照先&amp;_xlpm._戻り範囲)
          )
        )
      )
    ),
    ""
  )
)</f>
        <v/>
      </c>
      <c r="BD105" s="223" t="str" cm="1">
        <f t="array" aca="1" ref="BD105" ca="1">IF($C105="","",
  IFERROR(
    _xlfn.LET(
      _xlpm._対象月初,EOMONTH(BD$1,-1)+1,
      _xlpm._今月初,EOMONTH(基準データ!$C$5,-1)+1,
      IF(
        _xlpm._対象月初&gt;_xlpm._今月初,
        IF(
          OR(BC105="",BC105=0),
          "",
          BC105*BD$107
        ),
        _xlfn.LET(
          _xlpm._参照先,
            "'[在庫状況把握_43期_2025-2026.xlsx]月次報告"
            &amp;TEXT(BD$1,"YYMM")
            &amp;"'!",
          _xlpm._戻り範囲,
            IF(
              _xlpm._対象月初=_xlpm._今月初,
              "$AG$1:$AG$300",
              "$G$1:$G$300"
            ),
          _xlfn.XLOOKUP(
            $C105,
            INDIRECT(_xlpm._参照先&amp;"$C$1:$C$300"),
            INDIRECT(_xlpm._参照先&amp;_xlpm._戻り範囲)
          )
        )
      )
    ),
    ""
  )
)</f>
        <v/>
      </c>
    </row>
    <row r="106" spans="1:56">
      <c r="A106" s="1059"/>
      <c r="B106" s="26" t="str">
        <v/>
      </c>
      <c r="C106" s="86"/>
      <c r="D106" s="62"/>
      <c r="E106" s="26"/>
      <c r="F106" s="26"/>
      <c r="G106" s="43" t="str">
        <v/>
      </c>
      <c r="H106" s="109" t="str" cm="1">
        <f t="array" aca="1" ref="H106" ca="1">_xlfn.LET(_xlpm._来月から4ヶ月計画合計,
  SUM(
    OFFSET($A106,0,
      MATCH(
        EDATE(基準データ!$C$5,3),$A$1:$BF$1,1
      )-3,1,4)),
_xlpm._今月計画数,
INDEX($A$1:$BE$223,
  ROW(),
  MATCH(EOMONTH(基準データ!$C$5,-1)+1,$A$1:$BE$1,0)
),
  IFERROR(IF($B106="","",_xlpm._来月から4ヶ月計画合計+_xlpm._今月計画数/2),""
)
)</f>
        <v/>
      </c>
      <c r="I106" s="311"/>
      <c r="J106" s="311"/>
      <c r="K106" s="311"/>
      <c r="L106" s="311"/>
      <c r="M106" s="311"/>
      <c r="N106" s="180"/>
      <c r="O106" s="311"/>
      <c r="P106" s="311"/>
      <c r="Q106" s="298"/>
      <c r="R106" s="298"/>
      <c r="S106" s="298"/>
      <c r="T106" s="298"/>
      <c r="U106" s="224"/>
      <c r="V106" s="237"/>
      <c r="W106" s="219"/>
      <c r="X106" s="219"/>
      <c r="Y106" s="480"/>
      <c r="Z106" s="480"/>
      <c r="AA106" s="480"/>
      <c r="AB106" s="557"/>
      <c r="AC106" s="649"/>
      <c r="AD106" s="649" t="s">
        <v>21</v>
      </c>
      <c r="AE106" s="223" t="s">
        <v>21</v>
      </c>
      <c r="AF106" s="223" t="s">
        <v>21</v>
      </c>
      <c r="AG106" s="223" t="s">
        <v>21</v>
      </c>
      <c r="AH106" s="223" t="s">
        <v>21</v>
      </c>
      <c r="AI106" s="223" t="s">
        <v>21</v>
      </c>
      <c r="AJ106" s="223" t="s">
        <v>21</v>
      </c>
      <c r="AK106" s="223" t="s">
        <v>21</v>
      </c>
      <c r="AL106" s="223" t="str" cm="1">
        <f t="array" aca="1" ref="AL106" ca="1">IF($C106="","",
  IFERROR(
    _xlfn.LET(
      _xlpm._対象月初,EOMONTH(AL$1,-1)+1,
      _xlpm._今月初,EOMONTH(基準データ!$C$5,-1)+1,
      IF(
        _xlpm._対象月初&gt;_xlpm._今月初,
        IF(
          OR(AK106="",AK106=0),
          "",
          AK106*AL$107
        ),
        _xlfn.LET(
          _xlpm._参照先,
            "'[在庫状況把握_43期_2025-2026.xlsx]月次報告"
            &amp;TEXT(AL$1,"YYMM")
            &amp;"'!",
          _xlpm._戻り範囲,
            IF(
              _xlpm._対象月初=_xlpm._今月初,
              "$AG$1:$AG$300",
              "$G$1:$G$300"
            ),
          _xlfn.XLOOKUP(
            $C106,
            INDIRECT(_xlpm._参照先&amp;"$C$1:$C$300"),
            INDIRECT(_xlpm._参照先&amp;_xlpm._戻り範囲)
          )
        )
      )
    ),
    ""
  )
)</f>
        <v/>
      </c>
      <c r="AM106" s="223" t="str" cm="1">
        <f t="array" aca="1" ref="AM106" ca="1">IF($C106="","",
  IFERROR(
    _xlfn.LET(
      _xlpm._対象月初,EOMONTH(AM$1,-1)+1,
      _xlpm._今月初,EOMONTH(基準データ!$C$5,-1)+1,
      IF(
        _xlpm._対象月初&gt;_xlpm._今月初,
        IF(
          OR(AL106="",AL106=0),
          "",
          AL106*AM$107
        ),
        _xlfn.LET(
          _xlpm._参照先,
            "'[在庫状況把握_43期_2025-2026.xlsx]月次報告"
            &amp;TEXT(AM$1,"YYMM")
            &amp;"'!",
          _xlpm._戻り範囲,
            IF(
              _xlpm._対象月初=_xlpm._今月初,
              "$AG$1:$AG$300",
              "$G$1:$G$300"
            ),
          _xlfn.XLOOKUP(
            $C106,
            INDIRECT(_xlpm._参照先&amp;"$C$1:$C$300"),
            INDIRECT(_xlpm._参照先&amp;_xlpm._戻り範囲)
          )
        )
      )
    ),
    ""
  )
)</f>
        <v/>
      </c>
      <c r="AN106" s="223" t="str" cm="1">
        <f t="array" aca="1" ref="AN106" ca="1">IF($C106="","",
  IFERROR(
    _xlfn.LET(
      _xlpm._対象月初,EOMONTH(AN$1,-1)+1,
      _xlpm._今月初,EOMONTH(基準データ!$C$5,-1)+1,
      IF(
        _xlpm._対象月初&gt;_xlpm._今月初,
        IF(
          OR(AM106="",AM106=0),
          "",
          AM106*AN$107
        ),
        _xlfn.LET(
          _xlpm._参照先,
            "'[在庫状況把握_43期_2025-2026.xlsx]月次報告"
            &amp;TEXT(AN$1,"YYMM")
            &amp;"'!",
          _xlpm._戻り範囲,
            IF(
              _xlpm._対象月初=_xlpm._今月初,
              "$AG$1:$AG$300",
              "$G$1:$G$300"
            ),
          _xlfn.XLOOKUP(
            $C106,
            INDIRECT(_xlpm._参照先&amp;"$C$1:$C$300"),
            INDIRECT(_xlpm._参照先&amp;_xlpm._戻り範囲)
          )
        )
      )
    ),
    ""
  )
)</f>
        <v/>
      </c>
      <c r="AO106" s="223" t="str" cm="1">
        <f t="array" aca="1" ref="AO106" ca="1">IF($C106="","",
  IFERROR(
    _xlfn.LET(
      _xlpm._対象月初,EOMONTH(AO$1,-1)+1,
      _xlpm._今月初,EOMONTH(基準データ!$C$5,-1)+1,
      IF(
        _xlpm._対象月初&gt;_xlpm._今月初,
        IF(
          OR(AN106="",AN106=0),
          "",
          AN106*AO$107
        ),
        _xlfn.LET(
          _xlpm._参照先,
            "'[在庫状況把握_43期_2025-2026.xlsx]月次報告"
            &amp;TEXT(AO$1,"YYMM")
            &amp;"'!",
          _xlpm._戻り範囲,
            IF(
              _xlpm._対象月初=_xlpm._今月初,
              "$AG$1:$AG$300",
              "$G$1:$G$300"
            ),
          _xlfn.XLOOKUP(
            $C106,
            INDIRECT(_xlpm._参照先&amp;"$C$1:$C$300"),
            INDIRECT(_xlpm._参照先&amp;_xlpm._戻り範囲)
          )
        )
      )
    ),
    ""
  )
)</f>
        <v/>
      </c>
      <c r="AP106" s="223" t="str" cm="1">
        <f t="array" aca="1" ref="AP106" ca="1">IF($C106="","",
  IFERROR(
    _xlfn.LET(
      _xlpm._対象月初,EOMONTH(AP$1,-1)+1,
      _xlpm._今月初,EOMONTH(基準データ!$C$5,-1)+1,
      IF(
        _xlpm._対象月初&gt;_xlpm._今月初,
        IF(
          OR(AO106="",AO106=0),
          "",
          AO106*AP$107
        ),
        _xlfn.LET(
          _xlpm._参照先,
            "'[在庫状況把握_43期_2025-2026.xlsx]月次報告"
            &amp;TEXT(AP$1,"YYMM")
            &amp;"'!",
          _xlpm._戻り範囲,
            IF(
              _xlpm._対象月初=_xlpm._今月初,
              "$AG$1:$AG$300",
              "$G$1:$G$300"
            ),
          _xlfn.XLOOKUP(
            $C106,
            INDIRECT(_xlpm._参照先&amp;"$C$1:$C$300"),
            INDIRECT(_xlpm._参照先&amp;_xlpm._戻り範囲)
          )
        )
      )
    ),
    ""
  )
)</f>
        <v/>
      </c>
      <c r="AQ106" s="223" t="str" cm="1">
        <f t="array" aca="1" ref="AQ106" ca="1">IF($C106="","",
  IFERROR(
    _xlfn.LET(
      _xlpm._対象月初,EOMONTH(AQ$1,-1)+1,
      _xlpm._今月初,EOMONTH(基準データ!$C$5,-1)+1,
      IF(
        _xlpm._対象月初&gt;_xlpm._今月初,
        IF(
          OR(AP106="",AP106=0),
          "",
          AP106*AQ$107
        ),
        _xlfn.LET(
          _xlpm._参照先,
            "'[在庫状況把握_43期_2025-2026.xlsx]月次報告"
            &amp;TEXT(AQ$1,"YYMM")
            &amp;"'!",
          _xlpm._戻り範囲,
            IF(
              _xlpm._対象月初=_xlpm._今月初,
              "$AG$1:$AG$300",
              "$G$1:$G$300"
            ),
          _xlfn.XLOOKUP(
            $C106,
            INDIRECT(_xlpm._参照先&amp;"$C$1:$C$300"),
            INDIRECT(_xlpm._参照先&amp;_xlpm._戻り範囲)
          )
        )
      )
    ),
    ""
  )
)</f>
        <v/>
      </c>
      <c r="AR106" s="223" t="str" cm="1">
        <f t="array" aca="1" ref="AR106" ca="1">IF($C106="","",
  IFERROR(
    _xlfn.LET(
      _xlpm._対象月初,EOMONTH(AR$1,-1)+1,
      _xlpm._今月初,EOMONTH(基準データ!$C$5,-1)+1,
      IF(
        _xlpm._対象月初&gt;_xlpm._今月初,
        IF(
          OR(AQ106="",AQ106=0),
          "",
          AQ106*AR$107
        ),
        _xlfn.LET(
          _xlpm._参照先,
            "'[在庫状況把握_43期_2025-2026.xlsx]月次報告"
            &amp;TEXT(AR$1,"YYMM")
            &amp;"'!",
          _xlpm._戻り範囲,
            IF(
              _xlpm._対象月初=_xlpm._今月初,
              "$AG$1:$AG$300",
              "$G$1:$G$300"
            ),
          _xlfn.XLOOKUP(
            $C106,
            INDIRECT(_xlpm._参照先&amp;"$C$1:$C$300"),
            INDIRECT(_xlpm._参照先&amp;_xlpm._戻り範囲)
          )
        )
      )
    ),
    ""
  )
)</f>
        <v/>
      </c>
      <c r="AS106" s="223" t="str" cm="1">
        <f t="array" aca="1" ref="AS106" ca="1">IF($C106="","",
  IFERROR(
    _xlfn.LET(
      _xlpm._対象月初,EOMONTH(AS$1,-1)+1,
      _xlpm._今月初,EOMONTH(基準データ!$C$5,-1)+1,
      IF(
        _xlpm._対象月初&gt;_xlpm._今月初,
        IF(
          OR(AR106="",AR106=0),
          "",
          AR106*AS$107
        ),
        _xlfn.LET(
          _xlpm._参照先,
            "'[在庫状況把握_43期_2025-2026.xlsx]月次報告"
            &amp;TEXT(AS$1,"YYMM")
            &amp;"'!",
          _xlpm._戻り範囲,
            IF(
              _xlpm._対象月初=_xlpm._今月初,
              "$AG$1:$AG$300",
              "$G$1:$G$300"
            ),
          _xlfn.XLOOKUP(
            $C106,
            INDIRECT(_xlpm._参照先&amp;"$C$1:$C$300"),
            INDIRECT(_xlpm._参照先&amp;_xlpm._戻り範囲)
          )
        )
      )
    ),
    ""
  )
)</f>
        <v/>
      </c>
      <c r="AT106" s="223" t="str" cm="1">
        <f t="array" aca="1" ref="AT106" ca="1">IF($C106="","",
  IFERROR(
    _xlfn.LET(
      _xlpm._対象月初,EOMONTH(AT$1,-1)+1,
      _xlpm._今月初,EOMONTH(基準データ!$C$5,-1)+1,
      IF(
        _xlpm._対象月初&gt;_xlpm._今月初,
        IF(
          OR(AS106="",AS106=0),
          "",
          AS106*AT$107
        ),
        _xlfn.LET(
          _xlpm._参照先,
            "'[在庫状況把握_43期_2025-2026.xlsx]月次報告"
            &amp;TEXT(AT$1,"YYMM")
            &amp;"'!",
          _xlpm._戻り範囲,
            IF(
              _xlpm._対象月初=_xlpm._今月初,
              "$AG$1:$AG$300",
              "$G$1:$G$300"
            ),
          _xlfn.XLOOKUP(
            $C106,
            INDIRECT(_xlpm._参照先&amp;"$C$1:$C$300"),
            INDIRECT(_xlpm._参照先&amp;_xlpm._戻り範囲)
          )
        )
      )
    ),
    ""
  )
)</f>
        <v/>
      </c>
      <c r="AU106" s="223" t="str" cm="1">
        <f t="array" aca="1" ref="AU106" ca="1">IF($C106="","",
  IFERROR(
    _xlfn.LET(
      _xlpm._対象月初,EOMONTH(AU$1,-1)+1,
      _xlpm._今月初,EOMONTH(基準データ!$C$5,-1)+1,
      IF(
        _xlpm._対象月初&gt;_xlpm._今月初,
        IF(
          OR(AT106="",AT106=0),
          "",
          AT106*AU$107
        ),
        _xlfn.LET(
          _xlpm._参照先,
            "'[在庫状況把握_43期_2025-2026.xlsx]月次報告"
            &amp;TEXT(AU$1,"YYMM")
            &amp;"'!",
          _xlpm._戻り範囲,
            IF(
              _xlpm._対象月初=_xlpm._今月初,
              "$AG$1:$AG$300",
              "$G$1:$G$300"
            ),
          _xlfn.XLOOKUP(
            $C106,
            INDIRECT(_xlpm._参照先&amp;"$C$1:$C$300"),
            INDIRECT(_xlpm._参照先&amp;_xlpm._戻り範囲)
          )
        )
      )
    ),
    ""
  )
)</f>
        <v/>
      </c>
      <c r="AV106" s="223" t="str" cm="1">
        <f t="array" aca="1" ref="AV106" ca="1">IF($C106="","",
  IFERROR(
    _xlfn.LET(
      _xlpm._対象月初,EOMONTH(AV$1,-1)+1,
      _xlpm._今月初,EOMONTH(基準データ!$C$5,-1)+1,
      IF(
        _xlpm._対象月初&gt;_xlpm._今月初,
        IF(
          OR(AU106="",AU106=0),
          "",
          AU106*AV$107
        ),
        _xlfn.LET(
          _xlpm._参照先,
            "'[在庫状況把握_43期_2025-2026.xlsx]月次報告"
            &amp;TEXT(AV$1,"YYMM")
            &amp;"'!",
          _xlpm._戻り範囲,
            IF(
              _xlpm._対象月初=_xlpm._今月初,
              "$AG$1:$AG$300",
              "$G$1:$G$300"
            ),
          _xlfn.XLOOKUP(
            $C106,
            INDIRECT(_xlpm._参照先&amp;"$C$1:$C$300"),
            INDIRECT(_xlpm._参照先&amp;_xlpm._戻り範囲)
          )
        )
      )
    ),
    ""
  )
)</f>
        <v/>
      </c>
      <c r="AW106" s="223" t="str" cm="1">
        <f t="array" aca="1" ref="AW106" ca="1">IF($C106="","",
  IFERROR(
    _xlfn.LET(
      _xlpm._対象月初,EOMONTH(AW$1,-1)+1,
      _xlpm._今月初,EOMONTH(基準データ!$C$5,-1)+1,
      IF(
        _xlpm._対象月初&gt;_xlpm._今月初,
        IF(
          OR(AV106="",AV106=0),
          "",
          AV106*AW$107
        ),
        _xlfn.LET(
          _xlpm._参照先,
            "'[在庫状況把握_43期_2025-2026.xlsx]月次報告"
            &amp;TEXT(AW$1,"YYMM")
            &amp;"'!",
          _xlpm._戻り範囲,
            IF(
              _xlpm._対象月初=_xlpm._今月初,
              "$AG$1:$AG$300",
              "$G$1:$G$300"
            ),
          _xlfn.XLOOKUP(
            $C106,
            INDIRECT(_xlpm._参照先&amp;"$C$1:$C$300"),
            INDIRECT(_xlpm._参照先&amp;_xlpm._戻り範囲)
          )
        )
      )
    ),
    ""
  )
)</f>
        <v/>
      </c>
      <c r="AX106" s="223" t="str" cm="1">
        <f t="array" aca="1" ref="AX106" ca="1">IF($C106="","",
  IFERROR(
    _xlfn.LET(
      _xlpm._対象月初,EOMONTH(AX$1,-1)+1,
      _xlpm._今月初,EOMONTH(基準データ!$C$5,-1)+1,
      IF(
        _xlpm._対象月初&gt;_xlpm._今月初,
        IF(
          OR(AW106="",AW106=0),
          "",
          AW106*AX$107
        ),
        _xlfn.LET(
          _xlpm._参照先,
            "'[在庫状況把握_43期_2025-2026.xlsx]月次報告"
            &amp;TEXT(AX$1,"YYMM")
            &amp;"'!",
          _xlpm._戻り範囲,
            IF(
              _xlpm._対象月初=_xlpm._今月初,
              "$AG$1:$AG$300",
              "$G$1:$G$300"
            ),
          _xlfn.XLOOKUP(
            $C106,
            INDIRECT(_xlpm._参照先&amp;"$C$1:$C$300"),
            INDIRECT(_xlpm._参照先&amp;_xlpm._戻り範囲)
          )
        )
      )
    ),
    ""
  )
)</f>
        <v/>
      </c>
      <c r="AY106" s="223" t="str" cm="1">
        <f t="array" aca="1" ref="AY106" ca="1">IF($C106="","",
  IFERROR(
    _xlfn.LET(
      _xlpm._対象月初,EOMONTH(AY$1,-1)+1,
      _xlpm._今月初,EOMONTH(基準データ!$C$5,-1)+1,
      IF(
        _xlpm._対象月初&gt;_xlpm._今月初,
        IF(
          OR(AX106="",AX106=0),
          "",
          AX106*AY$107
        ),
        _xlfn.LET(
          _xlpm._参照先,
            "'[在庫状況把握_43期_2025-2026.xlsx]月次報告"
            &amp;TEXT(AY$1,"YYMM")
            &amp;"'!",
          _xlpm._戻り範囲,
            IF(
              _xlpm._対象月初=_xlpm._今月初,
              "$AG$1:$AG$300",
              "$G$1:$G$300"
            ),
          _xlfn.XLOOKUP(
            $C106,
            INDIRECT(_xlpm._参照先&amp;"$C$1:$C$300"),
            INDIRECT(_xlpm._参照先&amp;_xlpm._戻り範囲)
          )
        )
      )
    ),
    ""
  )
)</f>
        <v/>
      </c>
      <c r="AZ106" s="223" t="str" cm="1">
        <f t="array" aca="1" ref="AZ106" ca="1">IF($C106="","",
  IFERROR(
    _xlfn.LET(
      _xlpm._対象月初,EOMONTH(AZ$1,-1)+1,
      _xlpm._今月初,EOMONTH(基準データ!$C$5,-1)+1,
      IF(
        _xlpm._対象月初&gt;_xlpm._今月初,
        IF(
          OR(AY106="",AY106=0),
          "",
          AY106*AZ$107
        ),
        _xlfn.LET(
          _xlpm._参照先,
            "'[在庫状況把握_43期_2025-2026.xlsx]月次報告"
            &amp;TEXT(AZ$1,"YYMM")
            &amp;"'!",
          _xlpm._戻り範囲,
            IF(
              _xlpm._対象月初=_xlpm._今月初,
              "$AG$1:$AG$300",
              "$G$1:$G$300"
            ),
          _xlfn.XLOOKUP(
            $C106,
            INDIRECT(_xlpm._参照先&amp;"$C$1:$C$300"),
            INDIRECT(_xlpm._参照先&amp;_xlpm._戻り範囲)
          )
        )
      )
    ),
    ""
  )
)</f>
        <v/>
      </c>
      <c r="BA106" s="223" t="str" cm="1">
        <f t="array" aca="1" ref="BA106" ca="1">IF($C106="","",
  IFERROR(
    _xlfn.LET(
      _xlpm._対象月初,EOMONTH(BA$1,-1)+1,
      _xlpm._今月初,EOMONTH(基準データ!$C$5,-1)+1,
      IF(
        _xlpm._対象月初&gt;_xlpm._今月初,
        IF(
          OR(AZ106="",AZ106=0),
          "",
          AZ106*BA$107
        ),
        _xlfn.LET(
          _xlpm._参照先,
            "'[在庫状況把握_43期_2025-2026.xlsx]月次報告"
            &amp;TEXT(BA$1,"YYMM")
            &amp;"'!",
          _xlpm._戻り範囲,
            IF(
              _xlpm._対象月初=_xlpm._今月初,
              "$AG$1:$AG$300",
              "$G$1:$G$300"
            ),
          _xlfn.XLOOKUP(
            $C106,
            INDIRECT(_xlpm._参照先&amp;"$C$1:$C$300"),
            INDIRECT(_xlpm._参照先&amp;_xlpm._戻り範囲)
          )
        )
      )
    ),
    ""
  )
)</f>
        <v/>
      </c>
      <c r="BB106" s="223" t="str" cm="1">
        <f t="array" aca="1" ref="BB106" ca="1">IF($C106="","",
  IFERROR(
    _xlfn.LET(
      _xlpm._対象月初,EOMONTH(BB$1,-1)+1,
      _xlpm._今月初,EOMONTH(基準データ!$C$5,-1)+1,
      IF(
        _xlpm._対象月初&gt;_xlpm._今月初,
        IF(
          OR(BA106="",BA106=0),
          "",
          BA106*BB$107
        ),
        _xlfn.LET(
          _xlpm._参照先,
            "'[在庫状況把握_43期_2025-2026.xlsx]月次報告"
            &amp;TEXT(BB$1,"YYMM")
            &amp;"'!",
          _xlpm._戻り範囲,
            IF(
              _xlpm._対象月初=_xlpm._今月初,
              "$AG$1:$AG$300",
              "$G$1:$G$300"
            ),
          _xlfn.XLOOKUP(
            $C106,
            INDIRECT(_xlpm._参照先&amp;"$C$1:$C$300"),
            INDIRECT(_xlpm._参照先&amp;_xlpm._戻り範囲)
          )
        )
      )
    ),
    ""
  )
)</f>
        <v/>
      </c>
      <c r="BC106" s="223" t="str" cm="1">
        <f t="array" aca="1" ref="BC106" ca="1">IF($C106="","",
  IFERROR(
    _xlfn.LET(
      _xlpm._対象月初,EOMONTH(BC$1,-1)+1,
      _xlpm._今月初,EOMONTH(基準データ!$C$5,-1)+1,
      IF(
        _xlpm._対象月初&gt;_xlpm._今月初,
        IF(
          OR(BB106="",BB106=0),
          "",
          BB106*BC$107
        ),
        _xlfn.LET(
          _xlpm._参照先,
            "'[在庫状況把握_43期_2025-2026.xlsx]月次報告"
            &amp;TEXT(BC$1,"YYMM")
            &amp;"'!",
          _xlpm._戻り範囲,
            IF(
              _xlpm._対象月初=_xlpm._今月初,
              "$AG$1:$AG$300",
              "$G$1:$G$300"
            ),
          _xlfn.XLOOKUP(
            $C106,
            INDIRECT(_xlpm._参照先&amp;"$C$1:$C$300"),
            INDIRECT(_xlpm._参照先&amp;_xlpm._戻り範囲)
          )
        )
      )
    ),
    ""
  )
)</f>
        <v/>
      </c>
      <c r="BD106" s="223" t="str" cm="1">
        <f t="array" aca="1" ref="BD106" ca="1">IF($C106="","",
  IFERROR(
    _xlfn.LET(
      _xlpm._対象月初,EOMONTH(BD$1,-1)+1,
      _xlpm._今月初,EOMONTH(基準データ!$C$5,-1)+1,
      IF(
        _xlpm._対象月初&gt;_xlpm._今月初,
        IF(
          OR(BC106="",BC106=0),
          "",
          BC106*BD$107
        ),
        _xlfn.LET(
          _xlpm._参照先,
            "'[在庫状況把握_43期_2025-2026.xlsx]月次報告"
            &amp;TEXT(BD$1,"YYMM")
            &amp;"'!",
          _xlpm._戻り範囲,
            IF(
              _xlpm._対象月初=_xlpm._今月初,
              "$AG$1:$AG$300",
              "$G$1:$G$300"
            ),
          _xlfn.XLOOKUP(
            $C106,
            INDIRECT(_xlpm._参照先&amp;"$C$1:$C$300"),
            INDIRECT(_xlpm._参照先&amp;_xlpm._戻り範囲)
          )
        )
      )
    ),
    ""
  )
)</f>
        <v/>
      </c>
    </row>
    <row r="107" spans="1:56">
      <c r="A107" s="1059"/>
      <c r="B107" s="26"/>
      <c r="C107" s="86"/>
      <c r="D107" s="62"/>
      <c r="E107" s="26"/>
      <c r="F107" s="26"/>
      <c r="G107" s="43"/>
      <c r="H107" s="38"/>
      <c r="I107" s="311"/>
      <c r="J107" s="311"/>
      <c r="K107" s="311"/>
      <c r="L107" s="311"/>
      <c r="M107" s="311"/>
      <c r="N107" s="180"/>
      <c r="O107" s="311"/>
      <c r="P107" s="311"/>
      <c r="Q107" s="298"/>
      <c r="R107" s="298"/>
      <c r="S107" s="298"/>
      <c r="T107" s="298"/>
      <c r="U107" s="440"/>
      <c r="V107" s="440"/>
      <c r="W107" s="440"/>
      <c r="X107" s="440"/>
      <c r="Y107" s="440"/>
      <c r="Z107" s="440"/>
      <c r="AA107" s="440"/>
      <c r="AB107" s="440">
        <v>0.91975910804919359</v>
      </c>
      <c r="AC107" s="440">
        <v>1.0802287788144589</v>
      </c>
      <c r="AD107" s="440">
        <v>1.0768923714802734</v>
      </c>
      <c r="AE107" s="440">
        <v>1.0349498033237103</v>
      </c>
      <c r="AF107" s="440">
        <v>1.4739281732454008</v>
      </c>
      <c r="AG107" s="440">
        <v>0.86296850797679536</v>
      </c>
      <c r="AH107" s="440">
        <v>0.94281256826843862</v>
      </c>
      <c r="AI107" s="440">
        <v>1.4778243112821845</v>
      </c>
      <c r="AJ107" s="440">
        <v>0.61403208895424399</v>
      </c>
      <c r="AK107" s="440">
        <v>0.72523030349579054</v>
      </c>
      <c r="AL107" s="440">
        <v>1.0427097839387063</v>
      </c>
      <c r="AM107" s="440">
        <v>1.0974094002327746</v>
      </c>
      <c r="AN107" s="440">
        <v>0.91975910804919359</v>
      </c>
      <c r="AO107" s="440">
        <v>1.0802287788144589</v>
      </c>
      <c r="AP107" s="440">
        <v>1.0768923714802734</v>
      </c>
      <c r="AQ107" s="440">
        <v>1.0349498033237103</v>
      </c>
      <c r="AR107" s="440">
        <v>1.4739281732454008</v>
      </c>
      <c r="AS107" s="440">
        <v>0.86296850797679536</v>
      </c>
      <c r="AT107" s="440">
        <v>0.94281256826843862</v>
      </c>
      <c r="AU107" s="440">
        <v>1.4778243112821845</v>
      </c>
      <c r="AV107" s="440">
        <v>0.61403208895424399</v>
      </c>
      <c r="AW107" s="440">
        <v>0.72523030349579054</v>
      </c>
      <c r="AX107" s="440">
        <v>1.0427097839387063</v>
      </c>
      <c r="AY107" s="440">
        <v>1.0974094002327746</v>
      </c>
      <c r="AZ107" s="440">
        <v>0.91975910804919359</v>
      </c>
      <c r="BA107" s="440">
        <v>1.0802287788144589</v>
      </c>
      <c r="BB107" s="440">
        <v>1.0768923714802734</v>
      </c>
      <c r="BC107" s="440">
        <v>1.0349498033237103</v>
      </c>
      <c r="BD107" s="440">
        <v>1.4739281732454008</v>
      </c>
    </row>
    <row r="108" spans="1:56">
      <c r="A108" s="1062"/>
      <c r="B108" s="152" t="s">
        <v>1501</v>
      </c>
      <c r="C108" s="153" t="s">
        <v>1664</v>
      </c>
      <c r="D108" s="153"/>
      <c r="E108" s="204"/>
      <c r="F108" s="204"/>
      <c r="G108" s="45">
        <f>SUMIFS(在庫確認!C:C,在庫確認!B:B,'(全体実績+予測）の元データ'!C:C)</f>
        <v>0</v>
      </c>
      <c r="H108" s="45"/>
      <c r="I108" s="45">
        <f t="shared" ref="I108:U108" si="9">SUM(I56:I86)-I179</f>
        <v>0</v>
      </c>
      <c r="J108" s="45">
        <f t="shared" si="9"/>
        <v>0</v>
      </c>
      <c r="K108" s="45">
        <f t="shared" si="9"/>
        <v>0</v>
      </c>
      <c r="L108" s="45">
        <f t="shared" si="9"/>
        <v>0</v>
      </c>
      <c r="M108" s="45">
        <f t="shared" si="9"/>
        <v>0</v>
      </c>
      <c r="N108" s="45">
        <f t="shared" si="9"/>
        <v>0</v>
      </c>
      <c r="O108" s="45">
        <f t="shared" si="9"/>
        <v>0</v>
      </c>
      <c r="P108" s="45">
        <f t="shared" si="9"/>
        <v>0</v>
      </c>
      <c r="Q108" s="45">
        <f t="shared" si="9"/>
        <v>0</v>
      </c>
      <c r="R108" s="45">
        <f t="shared" si="9"/>
        <v>0</v>
      </c>
      <c r="S108" s="45">
        <f t="shared" si="9"/>
        <v>0</v>
      </c>
      <c r="T108" s="45">
        <f t="shared" si="9"/>
        <v>0</v>
      </c>
      <c r="U108" s="45">
        <f t="shared" si="9"/>
        <v>1416</v>
      </c>
      <c r="V108" s="45">
        <f>SUM(V56:V86)</f>
        <v>1276</v>
      </c>
      <c r="W108" s="45">
        <f>SUM(W56:W86)</f>
        <v>3538</v>
      </c>
      <c r="X108" s="45">
        <f>SUM(X56:X86)</f>
        <v>2481</v>
      </c>
      <c r="Y108" s="45">
        <f>SUM(Y54:Y87)</f>
        <v>1716</v>
      </c>
      <c r="Z108" s="45">
        <f>SUM(Z54:Z87)</f>
        <v>2313</v>
      </c>
      <c r="AA108" s="45">
        <f>SUM(AA54:AA87)</f>
        <v>3128</v>
      </c>
      <c r="AB108" s="155">
        <f>SUM(AB52:AB106)</f>
        <v>3330</v>
      </c>
      <c r="AC108" s="155">
        <f>SUM(AC52:AC106)</f>
        <v>3303</v>
      </c>
      <c r="AD108" s="155">
        <v>2215</v>
      </c>
      <c r="AE108" s="155">
        <v>1716</v>
      </c>
      <c r="AF108" s="155">
        <v>1959</v>
      </c>
      <c r="AG108" s="155">
        <v>1935</v>
      </c>
      <c r="AH108" s="155">
        <v>1457</v>
      </c>
      <c r="AI108" s="155">
        <v>3313</v>
      </c>
      <c r="AJ108" s="155">
        <v>2047</v>
      </c>
      <c r="AK108" s="155">
        <v>1606</v>
      </c>
      <c r="AL108" s="155">
        <f t="shared" ref="AL108:BD108" ca="1" si="10">SUM(AL52:AL106)</f>
        <v>2904</v>
      </c>
      <c r="AM108" s="155">
        <f t="shared" ca="1" si="10"/>
        <v>3132.1071428571431</v>
      </c>
      <c r="AN108" s="155">
        <f t="shared" ca="1" si="10"/>
        <v>2880.7840720287936</v>
      </c>
      <c r="AO108" s="155">
        <f t="shared" ca="1" si="10"/>
        <v>3111.9058601558081</v>
      </c>
      <c r="AP108" s="155">
        <f t="shared" ca="1" si="10"/>
        <v>3351.1876815665478</v>
      </c>
      <c r="AQ108" s="155">
        <f t="shared" ca="1" si="10"/>
        <v>3468.3110319381403</v>
      </c>
      <c r="AR108" s="155">
        <f t="shared" ca="1" si="10"/>
        <v>5112.0413435514529</v>
      </c>
      <c r="AS108" s="155">
        <f t="shared" ca="1" si="10"/>
        <v>4411.5306909602905</v>
      </c>
      <c r="AT108" s="155">
        <f t="shared" ca="1" si="10"/>
        <v>4159.246580739311</v>
      </c>
      <c r="AU108" s="155">
        <f t="shared" ca="1" si="10"/>
        <v>6146.6357136338538</v>
      </c>
      <c r="AV108" s="155">
        <f t="shared" ca="1" si="10"/>
        <v>3774.2315672833556</v>
      </c>
      <c r="AW108" s="155">
        <f t="shared" ca="1" si="10"/>
        <v>2737.187105004301</v>
      </c>
      <c r="AX108" s="155">
        <f t="shared" ca="1" si="10"/>
        <v>2854.0917748588472</v>
      </c>
      <c r="AY108" s="155">
        <f t="shared" ca="1" si="10"/>
        <v>3132.1071428571422</v>
      </c>
      <c r="AZ108" s="155">
        <f t="shared" ca="1" si="10"/>
        <v>2880.7840720287936</v>
      </c>
      <c r="BA108" s="155">
        <f t="shared" ca="1" si="10"/>
        <v>3111.9058601558077</v>
      </c>
      <c r="BB108" s="155">
        <f t="shared" ca="1" si="10"/>
        <v>3351.1876815665482</v>
      </c>
      <c r="BC108" s="155">
        <f t="shared" ca="1" si="10"/>
        <v>3468.3110319381399</v>
      </c>
      <c r="BD108" s="155">
        <f t="shared" ca="1" si="10"/>
        <v>5112.0413435514529</v>
      </c>
    </row>
    <row r="109" spans="1:56" ht="19.5" thickBot="1">
      <c r="A109" s="1074"/>
      <c r="B109" s="189" t="s">
        <v>1502</v>
      </c>
      <c r="C109" s="201"/>
      <c r="D109" s="201"/>
      <c r="E109" s="323"/>
      <c r="F109" s="324"/>
      <c r="G109" s="359"/>
      <c r="H109" s="325"/>
      <c r="I109" s="325">
        <v>2621</v>
      </c>
      <c r="J109" s="325">
        <v>2341</v>
      </c>
      <c r="K109" s="325">
        <v>3712</v>
      </c>
      <c r="L109" s="325">
        <v>2266</v>
      </c>
      <c r="M109" s="325">
        <v>2009</v>
      </c>
      <c r="N109" s="325">
        <v>1813</v>
      </c>
      <c r="O109" s="325">
        <v>1934</v>
      </c>
      <c r="P109" s="325">
        <v>1652.2194053316034</v>
      </c>
      <c r="Q109" s="316">
        <v>1967.1459936763054</v>
      </c>
      <c r="R109" s="316">
        <v>1979.3690477656746</v>
      </c>
      <c r="S109" s="316">
        <v>1991.0584366056528</v>
      </c>
      <c r="T109" s="316">
        <v>2702.6014326330587</v>
      </c>
      <c r="U109" s="316">
        <v>2481.2039595584747</v>
      </c>
      <c r="V109" s="317">
        <v>2403.0937640073348</v>
      </c>
      <c r="W109" s="317">
        <v>3270.0091146860723</v>
      </c>
      <c r="X109" s="316">
        <v>2473.5298463530553</v>
      </c>
      <c r="Y109" s="316">
        <v>2211.0713041461254</v>
      </c>
      <c r="Z109" s="316">
        <v>2316.6081945402466</v>
      </c>
      <c r="AA109" s="316">
        <v>2445.3733121718051</v>
      </c>
      <c r="AB109" s="316"/>
      <c r="AC109" s="637"/>
      <c r="AD109" s="637"/>
      <c r="AE109" s="637"/>
      <c r="AF109" s="316"/>
      <c r="AG109" s="316"/>
      <c r="AH109" s="316"/>
      <c r="AI109" s="316"/>
      <c r="AJ109" s="316"/>
      <c r="AK109" s="316"/>
      <c r="AL109" s="637"/>
      <c r="AM109" s="637"/>
      <c r="AN109" s="637"/>
      <c r="AO109" s="637"/>
      <c r="AP109" s="637"/>
      <c r="AQ109" s="637"/>
      <c r="AR109" s="637"/>
      <c r="AS109" s="637"/>
      <c r="AT109" s="637"/>
      <c r="AU109" s="637"/>
      <c r="AV109" s="637"/>
      <c r="AW109" s="637"/>
      <c r="AX109" s="637"/>
      <c r="AY109" s="637"/>
      <c r="AZ109" s="637"/>
      <c r="BA109" s="637"/>
      <c r="BB109" s="637"/>
      <c r="BC109" s="637"/>
      <c r="BD109" s="637"/>
    </row>
    <row r="110" spans="1:56">
      <c r="A110" s="1066"/>
      <c r="B110" s="30" t="s">
        <v>1503</v>
      </c>
      <c r="C110" s="30" t="s">
        <v>10</v>
      </c>
      <c r="D110" s="30" t="s">
        <v>1324</v>
      </c>
      <c r="E110" s="30" t="s">
        <v>1325</v>
      </c>
      <c r="F110" s="30"/>
      <c r="G110" s="40"/>
      <c r="H110" s="311"/>
      <c r="I110" s="41"/>
      <c r="J110" s="41"/>
      <c r="K110" s="41"/>
      <c r="L110" s="41"/>
      <c r="M110" s="41"/>
      <c r="N110" s="41"/>
      <c r="O110" s="41"/>
      <c r="P110" s="41"/>
      <c r="Q110" s="231"/>
      <c r="R110" s="231"/>
      <c r="S110" s="231"/>
      <c r="T110" s="218"/>
      <c r="U110" s="218"/>
      <c r="V110" s="218"/>
      <c r="W110" s="218"/>
      <c r="X110" s="135"/>
      <c r="Y110" s="135"/>
      <c r="Z110" s="135"/>
      <c r="AA110" s="135"/>
      <c r="AB110" s="135"/>
      <c r="AC110" s="338"/>
      <c r="AD110" s="338"/>
      <c r="AE110" s="338"/>
      <c r="AF110" s="135"/>
      <c r="AG110" s="135"/>
      <c r="AH110" s="338"/>
      <c r="AI110" s="338"/>
      <c r="AJ110" s="338"/>
      <c r="AK110" s="338"/>
      <c r="AL110" s="338"/>
      <c r="AM110" s="338"/>
      <c r="AN110" s="338"/>
      <c r="AO110" s="338"/>
      <c r="AP110" s="338"/>
      <c r="AQ110" s="338"/>
      <c r="AR110" s="338"/>
      <c r="AS110" s="338"/>
      <c r="AT110" s="338"/>
      <c r="AU110" s="338"/>
      <c r="AV110" s="338"/>
      <c r="AW110" s="338"/>
      <c r="AX110" s="338"/>
      <c r="AY110" s="338"/>
      <c r="AZ110" s="338"/>
      <c r="BA110" s="338"/>
      <c r="BB110" s="338"/>
      <c r="BC110" s="338"/>
      <c r="BD110" s="338"/>
    </row>
    <row r="111" spans="1:56">
      <c r="A111" s="1075" t="s">
        <v>1504</v>
      </c>
      <c r="B111" s="55" t="s">
        <v>1007</v>
      </c>
      <c r="C111" s="57" t="s">
        <v>1005</v>
      </c>
      <c r="D111" s="55" t="s">
        <v>19</v>
      </c>
      <c r="E111" s="56">
        <v>4070</v>
      </c>
      <c r="F111" s="56" t="s">
        <v>1347</v>
      </c>
      <c r="G111" s="38" cm="1">
        <f t="array" ref="G111:G120">IF($C111:$C120="","",
_xlfn.XLOOKUP($C111:$C120,'在庫使用計画 (ノート全体試算)'!$C$1:$C$122,'在庫使用計画 (ノート全体試算)'!$G$1:$G$122,""))</f>
        <v>0</v>
      </c>
      <c r="H111" s="109" t="str" cm="1">
        <f t="array" aca="1" ref="H111" ca="1">_xlfn.LET(_xlpm._来月から4ヶ月計画合計,
  SUM(
    OFFSET($A111,0,
      MATCH(
        EDATE(基準データ!$C$5,3),$A$1:$BF$1,1
      )-3,1,4)),
_xlpm._今月計画数,
INDEX($A$1:$BE$223,
  ROW(),
  MATCH(EOMONTH(基準データ!$C$5,-1)+1,$A$1:$BE$1,0)
),
  IFERROR(IF($B111="","",_xlpm._来月から4ヶ月計画合計+_xlpm._今月計画数/2),""
)
)</f>
        <v/>
      </c>
      <c r="I111" s="38" t="str">
        <f>IFERROR(IF(SUM(INDEX('在庫使用計画 (一般)'!$A$1:$BF$557,MATCH($C111,'在庫使用計画 (一般)'!$C$1:$C$557,0),MATCH(I$1,'在庫使用計画 (一般)'!$A$1:$BF$1,0)),INDEX('在庫使用計画 (法人)'!$A$1:$AT$578,MATCH($C111,'在庫使用計画 (法人)'!$C$1:$C$578,0),MATCH(I$1,'在庫使用計画 (法人)'!$A$1:$AT$1,0)))=0,"",SUM(INDEX('在庫使用計画 (一般)'!$A$1:$BF$557,MATCH($C111,'在庫使用計画 (一般)'!$C$1:$C$557,0),MATCH(I$1,'在庫使用計画 (一般)'!$A$1:$BF$1,0)),INDEX('在庫使用計画 (法人)'!$A$1:$AT$578,MATCH($C111,'在庫使用計画 (法人)'!$C$1:$C$578,0),MATCH(I$1,'在庫使用計画 (法人)'!$A$1:$AT$1,0)))),"")</f>
        <v/>
      </c>
      <c r="J111" s="38">
        <f>IFERROR(IF(SUM(INDEX('在庫使用計画 (一般)'!$A$1:$BF$557,MATCH($C111,'在庫使用計画 (一般)'!$C$1:$C$557,0),MATCH(J$1,'在庫使用計画 (一般)'!$A$1:$BF$1,0)),INDEX('在庫使用計画 (法人)'!$A$1:$AT$578,MATCH($C111,'在庫使用計画 (法人)'!$C$1:$C$578,0),MATCH(J$1,'在庫使用計画 (法人)'!$A$1:$AT$1,0)))=0,"",SUM(INDEX('在庫使用計画 (一般)'!$A$1:$BF$557,MATCH($C111,'在庫使用計画 (一般)'!$C$1:$C$557,0),MATCH(J$1,'在庫使用計画 (一般)'!$A$1:$BF$1,0)),INDEX('在庫使用計画 (法人)'!$A$1:$AT$578,MATCH($C111,'在庫使用計画 (法人)'!$C$1:$C$578,0),MATCH(J$1,'在庫使用計画 (法人)'!$A$1:$AT$1,0)))),"")</f>
        <v>50</v>
      </c>
      <c r="K111" s="38">
        <f>IFERROR(IF(SUM(INDEX('在庫使用計画 (一般)'!$A$1:$BF$557,MATCH($C111,'在庫使用計画 (一般)'!$C$1:$C$557,0),MATCH(K$1,'在庫使用計画 (一般)'!$A$1:$BF$1,0)),INDEX('在庫使用計画 (法人)'!$A$1:$AT$578,MATCH($C111,'在庫使用計画 (法人)'!$C$1:$C$578,0),MATCH(K$1,'在庫使用計画 (法人)'!$A$1:$AT$1,0)))=0,"",SUM(INDEX('在庫使用計画 (一般)'!$A$1:$BF$557,MATCH($C111,'在庫使用計画 (一般)'!$C$1:$C$557,0),MATCH(K$1,'在庫使用計画 (一般)'!$A$1:$BF$1,0)),INDEX('在庫使用計画 (法人)'!$A$1:$AT$578,MATCH($C111,'在庫使用計画 (法人)'!$C$1:$C$578,0),MATCH(K$1,'在庫使用計画 (法人)'!$A$1:$AT$1,0)))),"")</f>
        <v>4</v>
      </c>
      <c r="L111" s="38">
        <f>IFERROR(IF(SUM(INDEX('在庫使用計画 (一般)'!$A$1:$BF$557,MATCH($C111,'在庫使用計画 (一般)'!$C$1:$C$557,0),MATCH(L$1,'在庫使用計画 (一般)'!$A$1:$BF$1,0)),INDEX('在庫使用計画 (法人)'!$A$1:$AT$578,MATCH($C111,'在庫使用計画 (法人)'!$C$1:$C$578,0),MATCH(L$1,'在庫使用計画 (法人)'!$A$1:$AT$1,0)))=0,"",SUM(INDEX('在庫使用計画 (一般)'!$A$1:$BF$557,MATCH($C111,'在庫使用計画 (一般)'!$C$1:$C$557,0),MATCH(L$1,'在庫使用計画 (一般)'!$A$1:$BF$1,0)),INDEX('在庫使用計画 (法人)'!$A$1:$AT$578,MATCH($C111,'在庫使用計画 (法人)'!$C$1:$C$578,0),MATCH(L$1,'在庫使用計画 (法人)'!$A$1:$AT$1,0)))),"")</f>
        <v>20</v>
      </c>
      <c r="M111" s="38">
        <f>IFERROR(IF(SUM(INDEX('在庫使用計画 (一般)'!$A$1:$BF$557,MATCH($C111,'在庫使用計画 (一般)'!$C$1:$C$557,0),MATCH(M$1,'在庫使用計画 (一般)'!$A$1:$BF$1,0)),INDEX('在庫使用計画 (法人)'!$A$1:$AT$578,MATCH($C111,'在庫使用計画 (法人)'!$C$1:$C$578,0),MATCH(M$1,'在庫使用計画 (法人)'!$A$1:$AT$1,0)))=0,"",SUM(INDEX('在庫使用計画 (一般)'!$A$1:$BF$557,MATCH($C111,'在庫使用計画 (一般)'!$C$1:$C$557,0),MATCH(M$1,'在庫使用計画 (一般)'!$A$1:$BF$1,0)),INDEX('在庫使用計画 (法人)'!$A$1:$AT$578,MATCH($C111,'在庫使用計画 (法人)'!$C$1:$C$578,0),MATCH(M$1,'在庫使用計画 (法人)'!$A$1:$AT$1,0)))),"")</f>
        <v>21</v>
      </c>
      <c r="N111" s="38">
        <f>IFERROR(IF(SUM(INDEX('在庫使用計画 (一般)'!$A$1:$BF$557,MATCH($C111,'在庫使用計画 (一般)'!$C$1:$C$557,0),MATCH(N$1,'在庫使用計画 (一般)'!$A$1:$BF$1,0)),INDEX('在庫使用計画 (法人)'!$A$1:$AT$578,MATCH($C111,'在庫使用計画 (法人)'!$C$1:$C$578,0),MATCH(N$1,'在庫使用計画 (法人)'!$A$1:$AT$1,0)))=0,"",SUM(INDEX('在庫使用計画 (一般)'!$A$1:$BF$557,MATCH($C111,'在庫使用計画 (一般)'!$C$1:$C$557,0),MATCH(N$1,'在庫使用計画 (一般)'!$A$1:$BF$1,0)),INDEX('在庫使用計画 (法人)'!$A$1:$AT$578,MATCH($C111,'在庫使用計画 (法人)'!$C$1:$C$578,0),MATCH(N$1,'在庫使用計画 (法人)'!$A$1:$AT$1,0)))),"")</f>
        <v>22</v>
      </c>
      <c r="O111" s="38">
        <f>IFERROR(IF(SUM(INDEX('在庫使用計画 (一般)'!$A$1:$BF$557,MATCH($C111,'在庫使用計画 (一般)'!$C$1:$C$557,0),MATCH(O$1,'在庫使用計画 (一般)'!$A$1:$BF$1,0)),INDEX('在庫使用計画 (法人)'!$A$1:$AT$578,MATCH($C111,'在庫使用計画 (法人)'!$C$1:$C$578,0),MATCH(O$1,'在庫使用計画 (法人)'!$A$1:$AT$1,0)))=0,"",SUM(INDEX('在庫使用計画 (一般)'!$A$1:$BF$557,MATCH($C111,'在庫使用計画 (一般)'!$C$1:$C$557,0),MATCH(O$1,'在庫使用計画 (一般)'!$A$1:$BF$1,0)),INDEX('在庫使用計画 (法人)'!$A$1:$AT$578,MATCH($C111,'在庫使用計画 (法人)'!$C$1:$C$578,0),MATCH(O$1,'在庫使用計画 (法人)'!$A$1:$AT$1,0)))),"")</f>
        <v>14</v>
      </c>
      <c r="P111" s="38">
        <f>IFERROR(IF(SUM(INDEX('在庫使用計画 (一般)'!$A$1:$BF$557,MATCH($C111,'在庫使用計画 (一般)'!$C$1:$C$557,0),MATCH(P$1,'在庫使用計画 (一般)'!$A$1:$BF$1,0)),INDEX('在庫使用計画 (法人)'!$A$1:$AT$578,MATCH($C111,'在庫使用計画 (法人)'!$C$1:$C$578,0),MATCH(P$1,'在庫使用計画 (法人)'!$A$1:$AT$1,0)))=0,"",SUM(INDEX('在庫使用計画 (一般)'!$A$1:$BF$557,MATCH($C111,'在庫使用計画 (一般)'!$C$1:$C$557,0),MATCH(P$1,'在庫使用計画 (一般)'!$A$1:$BF$1,0)),INDEX('在庫使用計画 (法人)'!$A$1:$AT$578,MATCH($C111,'在庫使用計画 (法人)'!$C$1:$C$578,0),MATCH(P$1,'在庫使用計画 (法人)'!$A$1:$AT$1,0)))),"")</f>
        <v>19</v>
      </c>
      <c r="Q111" s="219">
        <f>IFERROR(IF(SUM(INDEX('在庫使用計画 (一般)'!$A$1:$BF$557,MATCH($C111,'在庫使用計画 (一般)'!$C$1:$C$557,0),MATCH(Q$1,'在庫使用計画 (一般)'!$A$1:$BF$1,0)),INDEX('在庫使用計画 (法人)'!$A$1:$AT$578,MATCH($C111,'在庫使用計画 (法人)'!$C$1:$C$578,0),MATCH(Q$1,'在庫使用計画 (法人)'!$A$1:$AT$1,0)))=0,"",SUM(INDEX('在庫使用計画 (一般)'!$A$1:$BF$557,MATCH($C111,'在庫使用計画 (一般)'!$C$1:$C$557,0),MATCH(Q$1,'在庫使用計画 (一般)'!$A$1:$BF$1,0)),INDEX('在庫使用計画 (法人)'!$A$1:$AT$578,MATCH($C111,'在庫使用計画 (法人)'!$C$1:$C$578,0),MATCH(Q$1,'在庫使用計画 (法人)'!$A$1:$AT$1,0)))),"")</f>
        <v>15</v>
      </c>
      <c r="R111" s="219">
        <f>IFERROR(IF(SUM(INDEX('在庫使用計画 (一般)'!$A$1:$BF$557,MATCH($C111,'在庫使用計画 (一般)'!$C$1:$C$557,0),MATCH(R$1,'在庫使用計画 (一般)'!$A$1:$BF$1,0)),INDEX('在庫使用計画 (法人)'!$A$1:$AT$578,MATCH($C111,'在庫使用計画 (法人)'!$C$1:$C$578,0),MATCH(R$1,'在庫使用計画 (法人)'!$A$1:$AT$1,0)))=0,"",SUM(INDEX('在庫使用計画 (一般)'!$A$1:$BF$557,MATCH($C111,'在庫使用計画 (一般)'!$C$1:$C$557,0),MATCH(R$1,'在庫使用計画 (一般)'!$A$1:$BF$1,0)),INDEX('在庫使用計画 (法人)'!$A$1:$AT$578,MATCH($C111,'在庫使用計画 (法人)'!$C$1:$C$578,0),MATCH(R$1,'在庫使用計画 (法人)'!$A$1:$AT$1,0)))),"")</f>
        <v>17</v>
      </c>
      <c r="S111" s="219" t="str">
        <f>IFERROR(IF(SUM(INDEX('在庫使用計画 (一般)'!$A$1:$BF$557,MATCH($C111,'在庫使用計画 (一般)'!$C$1:$C$557,0),MATCH(S$1,'在庫使用計画 (一般)'!$A$1:$BF$1,0)),INDEX('在庫使用計画 (法人)'!$A$1:$AT$578,MATCH($C111,'在庫使用計画 (法人)'!$C$1:$C$578,0),MATCH(S$1,'在庫使用計画 (法人)'!$A$1:$AT$1,0)))=0,"",SUM(INDEX('在庫使用計画 (一般)'!$A$1:$BF$557,MATCH($C111,'在庫使用計画 (一般)'!$C$1:$C$557,0),MATCH(S$1,'在庫使用計画 (一般)'!$A$1:$BF$1,0)),INDEX('在庫使用計画 (法人)'!$A$1:$AT$578,MATCH($C111,'在庫使用計画 (法人)'!$C$1:$C$578,0),MATCH(S$1,'在庫使用計画 (法人)'!$A$1:$AT$1,0)))),"")</f>
        <v/>
      </c>
      <c r="T111" s="219" t="str">
        <f>IFERROR(IF(SUM(INDEX('在庫使用計画 (一般)'!$A$1:$BF$557,MATCH($C111,'在庫使用計画 (一般)'!$C$1:$C$557,0),MATCH(T$1,'在庫使用計画 (一般)'!$A$1:$BF$1,0)),INDEX('在庫使用計画 (法人)'!$A$1:$AT$578,MATCH($C111,'在庫使用計画 (法人)'!$C$1:$C$578,0),MATCH(T$1,'在庫使用計画 (法人)'!$A$1:$AT$1,0)))=0,"",SUM(INDEX('在庫使用計画 (一般)'!$A$1:$BF$557,MATCH($C111,'在庫使用計画 (一般)'!$C$1:$C$557,0),MATCH(T$1,'在庫使用計画 (一般)'!$A$1:$BF$1,0)),INDEX('在庫使用計画 (法人)'!$A$1:$AT$578,MATCH($C111,'在庫使用計画 (法人)'!$C$1:$C$578,0),MATCH(T$1,'在庫使用計画 (法人)'!$A$1:$AT$1,0)))),"")</f>
        <v/>
      </c>
      <c r="U111" s="224"/>
      <c r="V111" s="224" t="str">
        <f>IFERROR(IF(SUM(INDEX('在庫使用計画 (一般)'!$A$1:$BF$557,MATCH($C111,'在庫使用計画 (一般)'!$C$1:$C$557,0),MATCH(V$1,'在庫使用計画 (一般)'!$A$1:$BF$1,0)),INDEX('在庫使用計画 (法人)'!$A$1:$AT$578,MATCH($C111,'在庫使用計画 (法人)'!$C$1:$C$578,0),MATCH(V$1,'在庫使用計画 (法人)'!$A$1:$AT$1,0)))=0,"",SUM(INDEX('在庫使用計画 (一般)'!$A$1:$BF$557,MATCH($C111,'在庫使用計画 (一般)'!$C$1:$C$557,0),MATCH(V$1,'在庫使用計画 (一般)'!$A$1:$BF$1,0)),INDEX('在庫使用計画 (法人)'!$A$1:$AT$578,MATCH($C111,'在庫使用計画 (法人)'!$C$1:$C$578,0),MATCH(V$1,'在庫使用計画 (法人)'!$A$1:$AT$1,0)))),"")</f>
        <v/>
      </c>
      <c r="W111" s="224" t="str">
        <f>IFERROR(IF(SUM(INDEX('在庫使用計画 (一般)'!$A$1:$BF$557,MATCH($C111,'在庫使用計画 (一般)'!$C$1:$C$557,0),MATCH(W$1,'在庫使用計画 (一般)'!$A$1:$BF$1,0)),INDEX('在庫使用計画 (法人)'!$A$1:$AT$578,MATCH($C111,'在庫使用計画 (法人)'!$C$1:$C$578,0),MATCH(W$1,'在庫使用計画 (法人)'!$A$1:$AT$1,0)))=0,"",SUM(INDEX('在庫使用計画 (一般)'!$A$1:$BF$557,MATCH($C111,'在庫使用計画 (一般)'!$C$1:$C$557,0),MATCH(W$1,'在庫使用計画 (一般)'!$A$1:$BF$1,0)),INDEX('在庫使用計画 (法人)'!$A$1:$AT$578,MATCH($C111,'在庫使用計画 (法人)'!$C$1:$C$578,0),MATCH(W$1,'在庫使用計画 (法人)'!$A$1:$AT$1,0)))),"")</f>
        <v/>
      </c>
      <c r="X111" s="244" t="str">
        <f>IFERROR(IF(SUM(INDEX('在庫使用計画 (一般)'!$A$1:$BF$557,MATCH($C111,'在庫使用計画 (一般)'!$C$1:$C$557,0),MATCH(X$1,'在庫使用計画 (一般)'!$A$1:$BF$1,0)),INDEX('在庫使用計画 (法人)'!$A$1:$AT$578,MATCH($C111,'在庫使用計画 (法人)'!$C$1:$C$578,0),MATCH(X$1,'在庫使用計画 (法人)'!$A$1:$AT$1,0)))=0,"",SUM(INDEX('在庫使用計画 (一般)'!$A$1:$BF$557,MATCH($C111,'在庫使用計画 (一般)'!$C$1:$C$557,0),MATCH(X$1,'在庫使用計画 (一般)'!$A$1:$BF$1,0)),INDEX('在庫使用計画 (法人)'!$A$1:$AT$578,MATCH($C111,'在庫使用計画 (法人)'!$C$1:$C$578,0),MATCH(X$1,'在庫使用計画 (法人)'!$A$1:$AT$1,0)))),"")</f>
        <v/>
      </c>
      <c r="Y111" s="224" t="str">
        <f>IFERROR(IF(SUM(INDEX('在庫使用計画 (一般)'!$A$1:$BF$557,MATCH($C111,'在庫使用計画 (一般)'!$C$1:$C$557,0),MATCH(Y$1,'在庫使用計画 (一般)'!$A$1:$BF$1,0)),INDEX('在庫使用計画 (法人)'!$A$1:$AT$578,MATCH($C111,'在庫使用計画 (法人)'!$C$1:$C$578,0),MATCH(Y$1,'在庫使用計画 (法人)'!$A$1:$AT$1,0)))=0,"",SUM(INDEX('在庫使用計画 (一般)'!$A$1:$BF$557,MATCH($C111,'在庫使用計画 (一般)'!$C$1:$C$557,0),MATCH(Y$1,'在庫使用計画 (一般)'!$A$1:$BF$1,0)),INDEX('在庫使用計画 (法人)'!$A$1:$AT$578,MATCH($C111,'在庫使用計画 (法人)'!$C$1:$C$578,0),MATCH(Y$1,'在庫使用計画 (法人)'!$A$1:$AT$1,0)))),"")</f>
        <v/>
      </c>
      <c r="Z111" s="224" t="str">
        <f>IFERROR(IF(SUM(INDEX('在庫使用計画 (一般)'!$A$1:$BF$557,MATCH($C111,'在庫使用計画 (一般)'!$C$1:$C$557,0),MATCH(Z$1,'在庫使用計画 (一般)'!$A$1:$BF$1,0)),INDEX('在庫使用計画 (法人)'!$A$1:$AT$578,MATCH($C111,'在庫使用計画 (法人)'!$C$1:$C$578,0),MATCH(Z$1,'在庫使用計画 (法人)'!$A$1:$AT$1,0)))=0,"",SUM(INDEX('在庫使用計画 (一般)'!$A$1:$BF$557,MATCH($C111,'在庫使用計画 (一般)'!$C$1:$C$557,0),MATCH(Z$1,'在庫使用計画 (一般)'!$A$1:$BF$1,0)),INDEX('在庫使用計画 (法人)'!$A$1:$AT$578,MATCH($C111,'在庫使用計画 (法人)'!$C$1:$C$578,0),MATCH(Z$1,'在庫使用計画 (法人)'!$A$1:$AT$1,0)))),"")</f>
        <v/>
      </c>
      <c r="AA111" s="224" t="str">
        <f>IFERROR(IF(SUM(INDEX('在庫使用計画 (一般)'!$A$1:$BF$557,MATCH($C111,'在庫使用計画 (一般)'!$C$1:$C$557,0),MATCH(AA$1,'在庫使用計画 (一般)'!$A$1:$BF$1,0)),INDEX('在庫使用計画 (法人)'!$A$1:$AT$578,MATCH($C111,'在庫使用計画 (法人)'!$C$1:$C$578,0),MATCH(AA$1,'在庫使用計画 (法人)'!$A$1:$AT$1,0)))=0,"",SUM(INDEX('在庫使用計画 (一般)'!$A$1:$BF$557,MATCH($C111,'在庫使用計画 (一般)'!$C$1:$C$557,0),MATCH(AA$1,'在庫使用計画 (一般)'!$A$1:$BF$1,0)),INDEX('在庫使用計画 (法人)'!$A$1:$AT$578,MATCH($C111,'在庫使用計画 (法人)'!$C$1:$C$578,0),MATCH(AA$1,'在庫使用計画 (法人)'!$A$1:$AT$1,0)))),"")</f>
        <v/>
      </c>
      <c r="AB111" s="224"/>
      <c r="AC111" s="224" t="str">
        <f>IFERROR(IF(SUM(INDEX('在庫使用計画 (一般)'!$A$1:$BF$557,MATCH($C111,'在庫使用計画 (一般)'!$C$1:$C$557,0),MATCH(AC$1,'在庫使用計画 (一般)'!$A$1:$BF$1,0)),INDEX('在庫使用計画 (法人)'!$A$1:$AT$578,MATCH($C111,'在庫使用計画 (法人)'!$C$1:$C$578,0),MATCH(AC$1,'在庫使用計画 (法人)'!$A$1:$AT$1,0)))=0,"",SUM(INDEX('在庫使用計画 (一般)'!$A$1:$BF$557,MATCH($C111,'在庫使用計画 (一般)'!$C$1:$C$557,0),MATCH(AC$1,'在庫使用計画 (一般)'!$A$1:$BF$1,0)),INDEX('在庫使用計画 (法人)'!$A$1:$AT$578,MATCH($C111,'在庫使用計画 (法人)'!$C$1:$C$578,0),MATCH(AC$1,'在庫使用計画 (法人)'!$A$1:$AT$1,0)))),"")</f>
        <v/>
      </c>
      <c r="AD111" s="224">
        <v>0</v>
      </c>
      <c r="AE111" s="223">
        <v>0</v>
      </c>
      <c r="AF111" s="223">
        <v>0</v>
      </c>
      <c r="AG111" s="223" t="s">
        <v>21</v>
      </c>
      <c r="AH111" s="223" t="s">
        <v>21</v>
      </c>
      <c r="AI111" s="223" t="s">
        <v>21</v>
      </c>
      <c r="AJ111" s="223" t="s">
        <v>21</v>
      </c>
      <c r="AK111" s="223" t="s">
        <v>21</v>
      </c>
      <c r="AL111" s="223" t="str" cm="1">
        <f t="array" aca="1" ref="AL111" ca="1">IF($C111="","",
_xlfn.LET(
_xlpm._参照シート,"'[在庫状況把握_43期_2025-2026.xlsx]月次報告"&amp;TEXT(AL$1,"YYMM")&amp;"'",
_xlpm._実績,
  _xlfn.XLOOKUP($C111,
    INDIRECT(_xlpm._参照シート&amp;"!$C:$C"),
    INDIRECT(_xlpm._参照シート&amp;"!$G:$G")
  ),
_xlpm._着地予測,_xlfn.XLOOKUP($C111,INDIRECT(_xlpm._参照シート&amp;"!$C:$C"),INDIRECT(_xlpm._参照シート&amp;"!$AG:$AG")),
_xlpm._係数予測,IF(OR(AK111=0,AK111=""),"",AK111*AL$123),
_xlpm._今月1日,EOMONTH(基準データ!$C$5,-1)+1,
_xlpm._先月まで実績。今月は着地予測。翌月から係数予測,_xlfn.IFS($C111="","",AL$1&lt;_xlpm._今月1日,_xlpm._実績,AL$1=_xlpm._今月1日,_xlpm._着地予測,"true",_xlpm._係数予測),
IFERROR(_xlpm._先月まで実績。今月は着地予測。翌月から係数予測,"")
))</f>
        <v/>
      </c>
      <c r="AM111" s="223" t="str" cm="1">
        <f t="array" aca="1" ref="AM111" ca="1">IF($C111="","",
_xlfn.LET(
_xlpm._参照シート,"'[在庫状況把握_43期_2025-2026.xlsx]月次報告"&amp;TEXT(AM$1,"YYMM")&amp;"'",
_xlpm._実績,
  _xlfn.XLOOKUP($C111,
    INDIRECT(_xlpm._参照シート&amp;"!$C:$C"),
    INDIRECT(_xlpm._参照シート&amp;"!$G:$G")
  ),
_xlpm._着地予測,_xlfn.XLOOKUP($C111,INDIRECT(_xlpm._参照シート&amp;"!$C:$C"),INDIRECT(_xlpm._参照シート&amp;"!$AG:$AG")),
_xlpm._係数予測,IF(OR(AL111=0,AL111=""),"",AL111*AM$123),
_xlpm._今月1日,EOMONTH(基準データ!$C$5,-1)+1,
_xlpm._先月まで実績。今月は着地予測。翌月から係数予測,_xlfn.IFS($C111="","",AM$1&lt;_xlpm._今月1日,_xlpm._実績,AM$1=_xlpm._今月1日,_xlpm._着地予測,"true",_xlpm._係数予測),
IFERROR(_xlpm._先月まで実績。今月は着地予測。翌月から係数予測,"")
))</f>
        <v/>
      </c>
      <c r="AN111" s="223" t="str" cm="1">
        <f t="array" aca="1" ref="AN111" ca="1">IF($C111="","",
_xlfn.LET(
_xlpm._参照シート,"'[在庫状況把握_43期_2025-2026.xlsx]月次報告"&amp;TEXT(AN$1,"YYMM")&amp;"'",
_xlpm._実績,
  _xlfn.XLOOKUP($C111,
    INDIRECT(_xlpm._参照シート&amp;"!$C:$C"),
    INDIRECT(_xlpm._参照シート&amp;"!$G:$G")
  ),
_xlpm._着地予測,_xlfn.XLOOKUP($C111,INDIRECT(_xlpm._参照シート&amp;"!$C:$C"),INDIRECT(_xlpm._参照シート&amp;"!$AG:$AG")),
_xlpm._係数予測,IF(OR(AM111=0,AM111=""),"",AM111*AN$123),
_xlpm._今月1日,EOMONTH(基準データ!$C$5,-1)+1,
_xlpm._先月まで実績。今月は着地予測。翌月から係数予測,_xlfn.IFS($C111="","",AN$1&lt;_xlpm._今月1日,_xlpm._実績,AN$1=_xlpm._今月1日,_xlpm._着地予測,"true",_xlpm._係数予測),
IFERROR(_xlpm._先月まで実績。今月は着地予測。翌月から係数予測,"")
))</f>
        <v/>
      </c>
      <c r="AO111" s="223" t="str" cm="1">
        <f t="array" aca="1" ref="AO111" ca="1">IF($C111="","",
_xlfn.LET(
_xlpm._参照シート,"'[在庫状況把握_43期_2025-2026.xlsx]月次報告"&amp;TEXT(AO$1,"YYMM")&amp;"'",
_xlpm._実績,
  _xlfn.XLOOKUP($C111,
    INDIRECT(_xlpm._参照シート&amp;"!$C:$C"),
    INDIRECT(_xlpm._参照シート&amp;"!$G:$G")
  ),
_xlpm._着地予測,_xlfn.XLOOKUP($C111,INDIRECT(_xlpm._参照シート&amp;"!$C:$C"),INDIRECT(_xlpm._参照シート&amp;"!$AG:$AG")),
_xlpm._係数予測,IF(OR(AN111=0,AN111=""),"",AN111*AO$123),
_xlpm._今月1日,EOMONTH(基準データ!$C$5,-1)+1,
_xlpm._先月まで実績。今月は着地予測。翌月から係数予測,_xlfn.IFS($C111="","",AO$1&lt;_xlpm._今月1日,_xlpm._実績,AO$1=_xlpm._今月1日,_xlpm._着地予測,"true",_xlpm._係数予測),
IFERROR(_xlpm._先月まで実績。今月は着地予測。翌月から係数予測,"")
))</f>
        <v/>
      </c>
      <c r="AP111" s="223" t="str" cm="1">
        <f t="array" aca="1" ref="AP111" ca="1">IF($C111="","",
_xlfn.LET(
_xlpm._参照シート,"'[在庫状況把握_43期_2025-2026.xlsx]月次報告"&amp;TEXT(AP$1,"YYMM")&amp;"'",
_xlpm._実績,
  _xlfn.XLOOKUP($C111,
    INDIRECT(_xlpm._参照シート&amp;"!$C:$C"),
    INDIRECT(_xlpm._参照シート&amp;"!$G:$G")
  ),
_xlpm._着地予測,_xlfn.XLOOKUP($C111,INDIRECT(_xlpm._参照シート&amp;"!$C:$C"),INDIRECT(_xlpm._参照シート&amp;"!$AG:$AG")),
_xlpm._係数予測,IF(OR(AO111=0,AO111=""),"",AO111*AP$123),
_xlpm._今月1日,EOMONTH(基準データ!$C$5,-1)+1,
_xlpm._先月まで実績。今月は着地予測。翌月から係数予測,_xlfn.IFS($C111="","",AP$1&lt;_xlpm._今月1日,_xlpm._実績,AP$1=_xlpm._今月1日,_xlpm._着地予測,"true",_xlpm._係数予測),
IFERROR(_xlpm._先月まで実績。今月は着地予測。翌月から係数予測,"")
))</f>
        <v/>
      </c>
      <c r="AQ111" s="223" t="str" cm="1">
        <f t="array" aca="1" ref="AQ111" ca="1">IF($C111="","",
_xlfn.LET(
_xlpm._参照シート,"'[在庫状況把握_43期_2025-2026.xlsx]月次報告"&amp;TEXT(AQ$1,"YYMM")&amp;"'",
_xlpm._実績,
  _xlfn.XLOOKUP($C111,
    INDIRECT(_xlpm._参照シート&amp;"!$C:$C"),
    INDIRECT(_xlpm._参照シート&amp;"!$G:$G")
  ),
_xlpm._着地予測,_xlfn.XLOOKUP($C111,INDIRECT(_xlpm._参照シート&amp;"!$C:$C"),INDIRECT(_xlpm._参照シート&amp;"!$AG:$AG")),
_xlpm._係数予測,IF(OR(AP111=0,AP111=""),"",AP111*AQ$123),
_xlpm._今月1日,EOMONTH(基準データ!$C$5,-1)+1,
_xlpm._先月まで実績。今月は着地予測。翌月から係数予測,_xlfn.IFS($C111="","",AQ$1&lt;_xlpm._今月1日,_xlpm._実績,AQ$1=_xlpm._今月1日,_xlpm._着地予測,"true",_xlpm._係数予測),
IFERROR(_xlpm._先月まで実績。今月は着地予測。翌月から係数予測,"")
))</f>
        <v/>
      </c>
      <c r="AR111" s="223" t="str" cm="1">
        <f t="array" aca="1" ref="AR111" ca="1">IF($C111="","",
_xlfn.LET(
_xlpm._参照シート,"'[在庫状況把握_43期_2025-2026.xlsx]月次報告"&amp;TEXT(AR$1,"YYMM")&amp;"'",
_xlpm._実績,
  _xlfn.XLOOKUP($C111,
    INDIRECT(_xlpm._参照シート&amp;"!$C:$C"),
    INDIRECT(_xlpm._参照シート&amp;"!$G:$G")
  ),
_xlpm._着地予測,_xlfn.XLOOKUP($C111,INDIRECT(_xlpm._参照シート&amp;"!$C:$C"),INDIRECT(_xlpm._参照シート&amp;"!$AG:$AG")),
_xlpm._係数予測,IF(OR(AQ111=0,AQ111=""),"",AQ111*AR$123),
_xlpm._今月1日,EOMONTH(基準データ!$C$5,-1)+1,
_xlpm._先月まで実績。今月は着地予測。翌月から係数予測,_xlfn.IFS($C111="","",AR$1&lt;_xlpm._今月1日,_xlpm._実績,AR$1=_xlpm._今月1日,_xlpm._着地予測,"true",_xlpm._係数予測),
IFERROR(_xlpm._先月まで実績。今月は着地予測。翌月から係数予測,"")
))</f>
        <v/>
      </c>
      <c r="AS111" s="223" t="str" cm="1">
        <f t="array" aca="1" ref="AS111" ca="1">IF($C111="","",
_xlfn.LET(
_xlpm._参照シート,"'[在庫状況把握_43期_2025-2026.xlsx]月次報告"&amp;TEXT(AS$1,"YYMM")&amp;"'",
_xlpm._実績,
  _xlfn.XLOOKUP($C111,
    INDIRECT(_xlpm._参照シート&amp;"!$C:$C"),
    INDIRECT(_xlpm._参照シート&amp;"!$G:$G")
  ),
_xlpm._着地予測,_xlfn.XLOOKUP($C111,INDIRECT(_xlpm._参照シート&amp;"!$C:$C"),INDIRECT(_xlpm._参照シート&amp;"!$AG:$AG")),
_xlpm._係数予測,IF(OR(AR111=0,AR111=""),"",AR111*AS$123),
_xlpm._今月1日,EOMONTH(基準データ!$C$5,-1)+1,
_xlpm._先月まで実績。今月は着地予測。翌月から係数予測,_xlfn.IFS($C111="","",AS$1&lt;_xlpm._今月1日,_xlpm._実績,AS$1=_xlpm._今月1日,_xlpm._着地予測,"true",_xlpm._係数予測),
IFERROR(_xlpm._先月まで実績。今月は着地予測。翌月から係数予測,"")
))</f>
        <v/>
      </c>
      <c r="AT111" s="223" t="str" cm="1">
        <f t="array" aca="1" ref="AT111" ca="1">IF($C111="","",
_xlfn.LET(
_xlpm._参照シート,"'[在庫状況把握_43期_2025-2026.xlsx]月次報告"&amp;TEXT(AT$1,"YYMM")&amp;"'",
_xlpm._実績,
  _xlfn.XLOOKUP($C111,
    INDIRECT(_xlpm._参照シート&amp;"!$C:$C"),
    INDIRECT(_xlpm._参照シート&amp;"!$G:$G")
  ),
_xlpm._着地予測,_xlfn.XLOOKUP($C111,INDIRECT(_xlpm._参照シート&amp;"!$C:$C"),INDIRECT(_xlpm._参照シート&amp;"!$AG:$AG")),
_xlpm._係数予測,IF(OR(AS111=0,AS111=""),"",AS111*AT$123),
_xlpm._今月1日,EOMONTH(基準データ!$C$5,-1)+1,
_xlpm._先月まで実績。今月は着地予測。翌月から係数予測,_xlfn.IFS($C111="","",AT$1&lt;_xlpm._今月1日,_xlpm._実績,AT$1=_xlpm._今月1日,_xlpm._着地予測,"true",_xlpm._係数予測),
IFERROR(_xlpm._先月まで実績。今月は着地予測。翌月から係数予測,"")
))</f>
        <v/>
      </c>
      <c r="AU111" s="223" t="str" cm="1">
        <f t="array" aca="1" ref="AU111" ca="1">IF($C111="","",
_xlfn.LET(
_xlpm._参照シート,"'[在庫状況把握_43期_2025-2026.xlsx]月次報告"&amp;TEXT(AU$1,"YYMM")&amp;"'",
_xlpm._実績,
  _xlfn.XLOOKUP($C111,
    INDIRECT(_xlpm._参照シート&amp;"!$C:$C"),
    INDIRECT(_xlpm._参照シート&amp;"!$G:$G")
  ),
_xlpm._着地予測,_xlfn.XLOOKUP($C111,INDIRECT(_xlpm._参照シート&amp;"!$C:$C"),INDIRECT(_xlpm._参照シート&amp;"!$AG:$AG")),
_xlpm._係数予測,IF(OR(AT111=0,AT111=""),"",AT111*AU$123),
_xlpm._今月1日,EOMONTH(基準データ!$C$5,-1)+1,
_xlpm._先月まで実績。今月は着地予測。翌月から係数予測,_xlfn.IFS($C111="","",AU$1&lt;_xlpm._今月1日,_xlpm._実績,AU$1=_xlpm._今月1日,_xlpm._着地予測,"true",_xlpm._係数予測),
IFERROR(_xlpm._先月まで実績。今月は着地予測。翌月から係数予測,"")
))</f>
        <v/>
      </c>
      <c r="AV111" s="223" t="str" cm="1">
        <f t="array" aca="1" ref="AV111" ca="1">IF($C111="","",
_xlfn.LET(
_xlpm._参照シート,"'[在庫状況把握_43期_2025-2026.xlsx]月次報告"&amp;TEXT(AV$1,"YYMM")&amp;"'",
_xlpm._実績,
  _xlfn.XLOOKUP($C111,
    INDIRECT(_xlpm._参照シート&amp;"!$C:$C"),
    INDIRECT(_xlpm._参照シート&amp;"!$G:$G")
  ),
_xlpm._着地予測,_xlfn.XLOOKUP($C111,INDIRECT(_xlpm._参照シート&amp;"!$C:$C"),INDIRECT(_xlpm._参照シート&amp;"!$AG:$AG")),
_xlpm._係数予測,IF(OR(AU111=0,AU111=""),"",AU111*AV$123),
_xlpm._今月1日,EOMONTH(基準データ!$C$5,-1)+1,
_xlpm._先月まで実績。今月は着地予測。翌月から係数予測,_xlfn.IFS($C111="","",AV$1&lt;_xlpm._今月1日,_xlpm._実績,AV$1=_xlpm._今月1日,_xlpm._着地予測,"true",_xlpm._係数予測),
IFERROR(_xlpm._先月まで実績。今月は着地予測。翌月から係数予測,"")
))</f>
        <v/>
      </c>
      <c r="AW111" s="223" t="str" cm="1">
        <f t="array" aca="1" ref="AW111" ca="1">IF($C111="","",
_xlfn.LET(
_xlpm._参照シート,"'[在庫状況把握_43期_2025-2026.xlsx]月次報告"&amp;TEXT(AW$1,"YYMM")&amp;"'",
_xlpm._実績,
  _xlfn.XLOOKUP($C111,
    INDIRECT(_xlpm._参照シート&amp;"!$C:$C"),
    INDIRECT(_xlpm._参照シート&amp;"!$G:$G")
  ),
_xlpm._着地予測,_xlfn.XLOOKUP($C111,INDIRECT(_xlpm._参照シート&amp;"!$C:$C"),INDIRECT(_xlpm._参照シート&amp;"!$AG:$AG")),
_xlpm._係数予測,IF(OR(AV111=0,AV111=""),"",AV111*AW$123),
_xlpm._今月1日,EOMONTH(基準データ!$C$5,-1)+1,
_xlpm._先月まで実績。今月は着地予測。翌月から係数予測,_xlfn.IFS($C111="","",AW$1&lt;_xlpm._今月1日,_xlpm._実績,AW$1=_xlpm._今月1日,_xlpm._着地予測,"true",_xlpm._係数予測),
IFERROR(_xlpm._先月まで実績。今月は着地予測。翌月から係数予測,"")
))</f>
        <v/>
      </c>
      <c r="AX111" s="223" t="str" cm="1">
        <f t="array" aca="1" ref="AX111" ca="1">IF($C111="","",
_xlfn.LET(
_xlpm._参照シート,"'[在庫状況把握_43期_2025-2026.xlsx]月次報告"&amp;TEXT(AX$1,"YYMM")&amp;"'",
_xlpm._実績,
  _xlfn.XLOOKUP($C111,
    INDIRECT(_xlpm._参照シート&amp;"!$C:$C"),
    INDIRECT(_xlpm._参照シート&amp;"!$G:$G")
  ),
_xlpm._着地予測,_xlfn.XLOOKUP($C111,INDIRECT(_xlpm._参照シート&amp;"!$C:$C"),INDIRECT(_xlpm._参照シート&amp;"!$AG:$AG")),
_xlpm._係数予測,IF(OR(AW111=0,AW111=""),"",AW111*AX$123),
_xlpm._今月1日,EOMONTH(基準データ!$C$5,-1)+1,
_xlpm._先月まで実績。今月は着地予測。翌月から係数予測,_xlfn.IFS($C111="","",AX$1&lt;_xlpm._今月1日,_xlpm._実績,AX$1=_xlpm._今月1日,_xlpm._着地予測,"true",_xlpm._係数予測),
IFERROR(_xlpm._先月まで実績。今月は着地予測。翌月から係数予測,"")
))</f>
        <v/>
      </c>
      <c r="AY111" s="223" t="str" cm="1">
        <f t="array" aca="1" ref="AY111" ca="1">IF($C111="","",
_xlfn.LET(
_xlpm._参照シート,"'[在庫状況把握_43期_2025-2026.xlsx]月次報告"&amp;TEXT(AY$1,"YYMM")&amp;"'",
_xlpm._実績,
  _xlfn.XLOOKUP($C111,
    INDIRECT(_xlpm._参照シート&amp;"!$C:$C"),
    INDIRECT(_xlpm._参照シート&amp;"!$G:$G")
  ),
_xlpm._着地予測,_xlfn.XLOOKUP($C111,INDIRECT(_xlpm._参照シート&amp;"!$C:$C"),INDIRECT(_xlpm._参照シート&amp;"!$AG:$AG")),
_xlpm._係数予測,IF(OR(AX111=0,AX111=""),"",AX111*AY$123),
_xlpm._今月1日,EOMONTH(基準データ!$C$5,-1)+1,
_xlpm._先月まで実績。今月は着地予測。翌月から係数予測,_xlfn.IFS($C111="","",AY$1&lt;_xlpm._今月1日,_xlpm._実績,AY$1=_xlpm._今月1日,_xlpm._着地予測,"true",_xlpm._係数予測),
IFERROR(_xlpm._先月まで実績。今月は着地予測。翌月から係数予測,"")
))</f>
        <v/>
      </c>
      <c r="AZ111" s="223" t="str" cm="1">
        <f t="array" aca="1" ref="AZ111" ca="1">IF($C111="","",
_xlfn.LET(
_xlpm._参照シート,"'[在庫状況把握_43期_2025-2026.xlsx]月次報告"&amp;TEXT(AZ$1,"YYMM")&amp;"'",
_xlpm._実績,
  _xlfn.XLOOKUP($C111,
    INDIRECT(_xlpm._参照シート&amp;"!$C:$C"),
    INDIRECT(_xlpm._参照シート&amp;"!$G:$G")
  ),
_xlpm._着地予測,_xlfn.XLOOKUP($C111,INDIRECT(_xlpm._参照シート&amp;"!$C:$C"),INDIRECT(_xlpm._参照シート&amp;"!$AG:$AG")),
_xlpm._係数予測,IF(OR(AY111=0,AY111=""),"",AY111*AZ$123),
_xlpm._今月1日,EOMONTH(基準データ!$C$5,-1)+1,
_xlpm._先月まで実績。今月は着地予測。翌月から係数予測,_xlfn.IFS($C111="","",AZ$1&lt;_xlpm._今月1日,_xlpm._実績,AZ$1=_xlpm._今月1日,_xlpm._着地予測,"true",_xlpm._係数予測),
IFERROR(_xlpm._先月まで実績。今月は着地予測。翌月から係数予測,"")
))</f>
        <v/>
      </c>
      <c r="BA111" s="223" t="str" cm="1">
        <f t="array" aca="1" ref="BA111" ca="1">IF($C111="","",
_xlfn.LET(
_xlpm._参照シート,"'[在庫状況把握_43期_2025-2026.xlsx]月次報告"&amp;TEXT(BA$1,"YYMM")&amp;"'",
_xlpm._実績,
  _xlfn.XLOOKUP($C111,
    INDIRECT(_xlpm._参照シート&amp;"!$C:$C"),
    INDIRECT(_xlpm._参照シート&amp;"!$G:$G")
  ),
_xlpm._着地予測,_xlfn.XLOOKUP($C111,INDIRECT(_xlpm._参照シート&amp;"!$C:$C"),INDIRECT(_xlpm._参照シート&amp;"!$AG:$AG")),
_xlpm._係数予測,IF(OR(AZ111=0,AZ111=""),"",AZ111*BA$123),
_xlpm._今月1日,EOMONTH(基準データ!$C$5,-1)+1,
_xlpm._先月まで実績。今月は着地予測。翌月から係数予測,_xlfn.IFS($C111="","",BA$1&lt;_xlpm._今月1日,_xlpm._実績,BA$1=_xlpm._今月1日,_xlpm._着地予測,"true",_xlpm._係数予測),
IFERROR(_xlpm._先月まで実績。今月は着地予測。翌月から係数予測,"")
))</f>
        <v/>
      </c>
      <c r="BB111" s="223" t="str" cm="1">
        <f t="array" aca="1" ref="BB111" ca="1">IF($C111="","",
_xlfn.LET(
_xlpm._参照シート,"'[在庫状況把握_43期_2025-2026.xlsx]月次報告"&amp;TEXT(BB$1,"YYMM")&amp;"'",
_xlpm._実績,
  _xlfn.XLOOKUP($C111,
    INDIRECT(_xlpm._参照シート&amp;"!$C:$C"),
    INDIRECT(_xlpm._参照シート&amp;"!$G:$G")
  ),
_xlpm._着地予測,_xlfn.XLOOKUP($C111,INDIRECT(_xlpm._参照シート&amp;"!$C:$C"),INDIRECT(_xlpm._参照シート&amp;"!$AG:$AG")),
_xlpm._係数予測,IF(OR(BA111=0,BA111=""),"",BA111*BB$123),
_xlpm._今月1日,EOMONTH(基準データ!$C$5,-1)+1,
_xlpm._先月まで実績。今月は着地予測。翌月から係数予測,_xlfn.IFS($C111="","",BB$1&lt;_xlpm._今月1日,_xlpm._実績,BB$1=_xlpm._今月1日,_xlpm._着地予測,"true",_xlpm._係数予測),
IFERROR(_xlpm._先月まで実績。今月は着地予測。翌月から係数予測,"")
))</f>
        <v/>
      </c>
      <c r="BC111" s="223" t="str" cm="1">
        <f t="array" aca="1" ref="BC111" ca="1">IF($C111="","",
_xlfn.LET(
_xlpm._参照シート,"'[在庫状況把握_43期_2025-2026.xlsx]月次報告"&amp;TEXT(BC$1,"YYMM")&amp;"'",
_xlpm._実績,
  _xlfn.XLOOKUP($C111,
    INDIRECT(_xlpm._参照シート&amp;"!$C:$C"),
    INDIRECT(_xlpm._参照シート&amp;"!$G:$G")
  ),
_xlpm._着地予測,_xlfn.XLOOKUP($C111,INDIRECT(_xlpm._参照シート&amp;"!$C:$C"),INDIRECT(_xlpm._参照シート&amp;"!$AG:$AG")),
_xlpm._係数予測,IF(OR(BB111=0,BB111=""),"",BB111*BC$123),
_xlpm._今月1日,EOMONTH(基準データ!$C$5,-1)+1,
_xlpm._先月まで実績。今月は着地予測。翌月から係数予測,_xlfn.IFS($C111="","",BC$1&lt;_xlpm._今月1日,_xlpm._実績,BC$1=_xlpm._今月1日,_xlpm._着地予測,"true",_xlpm._係数予測),
IFERROR(_xlpm._先月まで実績。今月は着地予測。翌月から係数予測,"")
))</f>
        <v/>
      </c>
      <c r="BD111" s="223" t="str" cm="1">
        <f t="array" aca="1" ref="BD111" ca="1">IF($C111="","",
_xlfn.LET(
_xlpm._参照シート,"'[在庫状況把握_43期_2025-2026.xlsx]月次報告"&amp;TEXT(BD$1,"YYMM")&amp;"'",
_xlpm._実績,
  _xlfn.XLOOKUP($C111,
    INDIRECT(_xlpm._参照シート&amp;"!$C:$C"),
    INDIRECT(_xlpm._参照シート&amp;"!$G:$G")
  ),
_xlpm._着地予測,_xlfn.XLOOKUP($C111,INDIRECT(_xlpm._参照シート&amp;"!$C:$C"),INDIRECT(_xlpm._参照シート&amp;"!$AG:$AG")),
_xlpm._係数予測,IF(OR(BC111=0,BC111=""),"",BC111*BD$123),
_xlpm._今月1日,EOMONTH(基準データ!$C$5,-1)+1,
_xlpm._先月まで実績。今月は着地予測。翌月から係数予測,_xlfn.IFS($C111="","",BD$1&lt;_xlpm._今月1日,_xlpm._実績,BD$1=_xlpm._今月1日,_xlpm._着地予測,"true",_xlpm._係数予測),
IFERROR(_xlpm._先月まで実績。今月は着地予測。翌月から係数予測,"")
))</f>
        <v/>
      </c>
    </row>
    <row r="112" spans="1:56">
      <c r="A112" s="1075" t="s">
        <v>1317</v>
      </c>
      <c r="B112" s="55" t="s">
        <v>1317</v>
      </c>
      <c r="C112" s="57" t="s">
        <v>1317</v>
      </c>
      <c r="D112" s="57" t="s">
        <v>1317</v>
      </c>
      <c r="E112" s="56" t="s">
        <v>1317</v>
      </c>
      <c r="F112" s="56"/>
      <c r="G112" s="38" t="str">
        <v/>
      </c>
      <c r="H112" s="109" t="str" cm="1">
        <f t="array" aca="1" ref="H112" ca="1">_xlfn.LET(_xlpm._来月から4ヶ月計画合計,
  SUM(
    OFFSET($A112,0,
      MATCH(
        EDATE(基準データ!$C$5,3),$A$1:$BF$1,1
      )-3,1,4)),
_xlpm._今月計画数,
INDEX($A$1:$BE$223,
  ROW(),
  MATCH(EOMONTH(基準データ!$C$5,-1)+1,$A$1:$BE$1,0)
),
  IFERROR(IF($B112="","",_xlpm._来月から4ヶ月計画合計+_xlpm._今月計画数/2),""
)
)</f>
        <v/>
      </c>
      <c r="I112" s="57" t="s">
        <v>1317</v>
      </c>
      <c r="J112" s="57" t="s">
        <v>1317</v>
      </c>
      <c r="K112" s="57" t="s">
        <v>1317</v>
      </c>
      <c r="L112" s="57" t="s">
        <v>1317</v>
      </c>
      <c r="M112" s="57" t="s">
        <v>1317</v>
      </c>
      <c r="N112" s="57" t="s">
        <v>1317</v>
      </c>
      <c r="O112" s="57" t="s">
        <v>1317</v>
      </c>
      <c r="P112" s="57" t="s">
        <v>1317</v>
      </c>
      <c r="Q112" s="235" t="s">
        <v>1317</v>
      </c>
      <c r="R112" s="235" t="s">
        <v>1317</v>
      </c>
      <c r="S112" s="235" t="s">
        <v>1317</v>
      </c>
      <c r="T112" s="238" t="s">
        <v>1317</v>
      </c>
      <c r="U112" s="224"/>
      <c r="V112" s="239"/>
      <c r="W112" s="239"/>
      <c r="X112" s="245"/>
      <c r="Y112" s="239"/>
      <c r="Z112" s="239"/>
      <c r="AA112" s="239"/>
      <c r="AB112" s="239"/>
      <c r="AC112" s="239"/>
      <c r="AD112" s="239" t="s">
        <v>21</v>
      </c>
      <c r="AE112" s="223" t="s">
        <v>21</v>
      </c>
      <c r="AF112" s="223" t="s">
        <v>21</v>
      </c>
      <c r="AG112" s="223" t="s">
        <v>21</v>
      </c>
      <c r="AH112" s="223" t="s">
        <v>21</v>
      </c>
      <c r="AI112" s="223" t="s">
        <v>21</v>
      </c>
      <c r="AJ112" s="223" t="s">
        <v>21</v>
      </c>
      <c r="AK112" s="223" t="s">
        <v>21</v>
      </c>
      <c r="AL112" s="223" t="str" cm="1">
        <f t="array" aca="1" ref="AL112" ca="1">IF($C112="","",
_xlfn.LET(
_xlpm._参照シート,"'[在庫状況把握_43期_2025-2026.xlsx]月次報告"&amp;TEXT(AL$1,"YYMM")&amp;"'",
_xlpm._実績,
  _xlfn.XLOOKUP($C112,
    INDIRECT(_xlpm._参照シート&amp;"!$C:$C"),
    INDIRECT(_xlpm._参照シート&amp;"!$G:$G")
  ),
_xlpm._着地予測,_xlfn.XLOOKUP($C112,INDIRECT(_xlpm._参照シート&amp;"!$C:$C"),INDIRECT(_xlpm._参照シート&amp;"!$AG:$AG")),
_xlpm._係数予測,IF(OR(AK112=0,AK112=""),"",AK112*AL$123),
_xlpm._今月1日,EOMONTH(基準データ!$C$5,-1)+1,
_xlpm._先月まで実績。今月は着地予測。翌月から係数予測,_xlfn.IFS($C112="","",AL$1&lt;_xlpm._今月1日,_xlpm._実績,AL$1=_xlpm._今月1日,_xlpm._着地予測,"true",_xlpm._係数予測),
IFERROR(_xlpm._先月まで実績。今月は着地予測。翌月から係数予測,"")
))</f>
        <v/>
      </c>
      <c r="AM112" s="223" t="str" cm="1">
        <f t="array" aca="1" ref="AM112" ca="1">IF($C112="","",
_xlfn.LET(
_xlpm._参照シート,"'[在庫状況把握_43期_2025-2026.xlsx]月次報告"&amp;TEXT(AM$1,"YYMM")&amp;"'",
_xlpm._実績,
  _xlfn.XLOOKUP($C112,
    INDIRECT(_xlpm._参照シート&amp;"!$C:$C"),
    INDIRECT(_xlpm._参照シート&amp;"!$G:$G")
  ),
_xlpm._着地予測,_xlfn.XLOOKUP($C112,INDIRECT(_xlpm._参照シート&amp;"!$C:$C"),INDIRECT(_xlpm._参照シート&amp;"!$AG:$AG")),
_xlpm._係数予測,IF(OR(AL112=0,AL112=""),"",AL112*AM$123),
_xlpm._今月1日,EOMONTH(基準データ!$C$5,-1)+1,
_xlpm._先月まで実績。今月は着地予測。翌月から係数予測,_xlfn.IFS($C112="","",AM$1&lt;_xlpm._今月1日,_xlpm._実績,AM$1=_xlpm._今月1日,_xlpm._着地予測,"true",_xlpm._係数予測),
IFERROR(_xlpm._先月まで実績。今月は着地予測。翌月から係数予測,"")
))</f>
        <v/>
      </c>
      <c r="AN112" s="223" t="str" cm="1">
        <f t="array" aca="1" ref="AN112" ca="1">IF($C112="","",
_xlfn.LET(
_xlpm._参照シート,"'[在庫状況把握_43期_2025-2026.xlsx]月次報告"&amp;TEXT(AN$1,"YYMM")&amp;"'",
_xlpm._実績,
  _xlfn.XLOOKUP($C112,
    INDIRECT(_xlpm._参照シート&amp;"!$C:$C"),
    INDIRECT(_xlpm._参照シート&amp;"!$G:$G")
  ),
_xlpm._着地予測,_xlfn.XLOOKUP($C112,INDIRECT(_xlpm._参照シート&amp;"!$C:$C"),INDIRECT(_xlpm._参照シート&amp;"!$AG:$AG")),
_xlpm._係数予測,IF(OR(AM112=0,AM112=""),"",AM112*AN$123),
_xlpm._今月1日,EOMONTH(基準データ!$C$5,-1)+1,
_xlpm._先月まで実績。今月は着地予測。翌月から係数予測,_xlfn.IFS($C112="","",AN$1&lt;_xlpm._今月1日,_xlpm._実績,AN$1=_xlpm._今月1日,_xlpm._着地予測,"true",_xlpm._係数予測),
IFERROR(_xlpm._先月まで実績。今月は着地予測。翌月から係数予測,"")
))</f>
        <v/>
      </c>
      <c r="AO112" s="223" t="str" cm="1">
        <f t="array" aca="1" ref="AO112" ca="1">IF($C112="","",
_xlfn.LET(
_xlpm._参照シート,"'[在庫状況把握_43期_2025-2026.xlsx]月次報告"&amp;TEXT(AO$1,"YYMM")&amp;"'",
_xlpm._実績,
  _xlfn.XLOOKUP($C112,
    INDIRECT(_xlpm._参照シート&amp;"!$C:$C"),
    INDIRECT(_xlpm._参照シート&amp;"!$G:$G")
  ),
_xlpm._着地予測,_xlfn.XLOOKUP($C112,INDIRECT(_xlpm._参照シート&amp;"!$C:$C"),INDIRECT(_xlpm._参照シート&amp;"!$AG:$AG")),
_xlpm._係数予測,IF(OR(AN112=0,AN112=""),"",AN112*AO$123),
_xlpm._今月1日,EOMONTH(基準データ!$C$5,-1)+1,
_xlpm._先月まで実績。今月は着地予測。翌月から係数予測,_xlfn.IFS($C112="","",AO$1&lt;_xlpm._今月1日,_xlpm._実績,AO$1=_xlpm._今月1日,_xlpm._着地予測,"true",_xlpm._係数予測),
IFERROR(_xlpm._先月まで実績。今月は着地予測。翌月から係数予測,"")
))</f>
        <v/>
      </c>
      <c r="AP112" s="223" t="str" cm="1">
        <f t="array" aca="1" ref="AP112" ca="1">IF($C112="","",
_xlfn.LET(
_xlpm._参照シート,"'[在庫状況把握_43期_2025-2026.xlsx]月次報告"&amp;TEXT(AP$1,"YYMM")&amp;"'",
_xlpm._実績,
  _xlfn.XLOOKUP($C112,
    INDIRECT(_xlpm._参照シート&amp;"!$C:$C"),
    INDIRECT(_xlpm._参照シート&amp;"!$G:$G")
  ),
_xlpm._着地予測,_xlfn.XLOOKUP($C112,INDIRECT(_xlpm._参照シート&amp;"!$C:$C"),INDIRECT(_xlpm._参照シート&amp;"!$AG:$AG")),
_xlpm._係数予測,IF(OR(AO112=0,AO112=""),"",AO112*AP$123),
_xlpm._今月1日,EOMONTH(基準データ!$C$5,-1)+1,
_xlpm._先月まで実績。今月は着地予測。翌月から係数予測,_xlfn.IFS($C112="","",AP$1&lt;_xlpm._今月1日,_xlpm._実績,AP$1=_xlpm._今月1日,_xlpm._着地予測,"true",_xlpm._係数予測),
IFERROR(_xlpm._先月まで実績。今月は着地予測。翌月から係数予測,"")
))</f>
        <v/>
      </c>
      <c r="AQ112" s="223" t="str" cm="1">
        <f t="array" aca="1" ref="AQ112" ca="1">IF($C112="","",
_xlfn.LET(
_xlpm._参照シート,"'[在庫状況把握_43期_2025-2026.xlsx]月次報告"&amp;TEXT(AQ$1,"YYMM")&amp;"'",
_xlpm._実績,
  _xlfn.XLOOKUP($C112,
    INDIRECT(_xlpm._参照シート&amp;"!$C:$C"),
    INDIRECT(_xlpm._参照シート&amp;"!$G:$G")
  ),
_xlpm._着地予測,_xlfn.XLOOKUP($C112,INDIRECT(_xlpm._参照シート&amp;"!$C:$C"),INDIRECT(_xlpm._参照シート&amp;"!$AG:$AG")),
_xlpm._係数予測,IF(OR(AP112=0,AP112=""),"",AP112*AQ$123),
_xlpm._今月1日,EOMONTH(基準データ!$C$5,-1)+1,
_xlpm._先月まで実績。今月は着地予測。翌月から係数予測,_xlfn.IFS($C112="","",AQ$1&lt;_xlpm._今月1日,_xlpm._実績,AQ$1=_xlpm._今月1日,_xlpm._着地予測,"true",_xlpm._係数予測),
IFERROR(_xlpm._先月まで実績。今月は着地予測。翌月から係数予測,"")
))</f>
        <v/>
      </c>
      <c r="AR112" s="223" t="str" cm="1">
        <f t="array" aca="1" ref="AR112" ca="1">IF($C112="","",
_xlfn.LET(
_xlpm._参照シート,"'[在庫状況把握_43期_2025-2026.xlsx]月次報告"&amp;TEXT(AR$1,"YYMM")&amp;"'",
_xlpm._実績,
  _xlfn.XLOOKUP($C112,
    INDIRECT(_xlpm._参照シート&amp;"!$C:$C"),
    INDIRECT(_xlpm._参照シート&amp;"!$G:$G")
  ),
_xlpm._着地予測,_xlfn.XLOOKUP($C112,INDIRECT(_xlpm._参照シート&amp;"!$C:$C"),INDIRECT(_xlpm._参照シート&amp;"!$AG:$AG")),
_xlpm._係数予測,IF(OR(AQ112=0,AQ112=""),"",AQ112*AR$123),
_xlpm._今月1日,EOMONTH(基準データ!$C$5,-1)+1,
_xlpm._先月まで実績。今月は着地予測。翌月から係数予測,_xlfn.IFS($C112="","",AR$1&lt;_xlpm._今月1日,_xlpm._実績,AR$1=_xlpm._今月1日,_xlpm._着地予測,"true",_xlpm._係数予測),
IFERROR(_xlpm._先月まで実績。今月は着地予測。翌月から係数予測,"")
))</f>
        <v/>
      </c>
      <c r="AS112" s="223" t="str" cm="1">
        <f t="array" aca="1" ref="AS112" ca="1">IF($C112="","",
_xlfn.LET(
_xlpm._参照シート,"'[在庫状況把握_43期_2025-2026.xlsx]月次報告"&amp;TEXT(AS$1,"YYMM")&amp;"'",
_xlpm._実績,
  _xlfn.XLOOKUP($C112,
    INDIRECT(_xlpm._参照シート&amp;"!$C:$C"),
    INDIRECT(_xlpm._参照シート&amp;"!$G:$G")
  ),
_xlpm._着地予測,_xlfn.XLOOKUP($C112,INDIRECT(_xlpm._参照シート&amp;"!$C:$C"),INDIRECT(_xlpm._参照シート&amp;"!$AG:$AG")),
_xlpm._係数予測,IF(OR(AR112=0,AR112=""),"",AR112*AS$123),
_xlpm._今月1日,EOMONTH(基準データ!$C$5,-1)+1,
_xlpm._先月まで実績。今月は着地予測。翌月から係数予測,_xlfn.IFS($C112="","",AS$1&lt;_xlpm._今月1日,_xlpm._実績,AS$1=_xlpm._今月1日,_xlpm._着地予測,"true",_xlpm._係数予測),
IFERROR(_xlpm._先月まで実績。今月は着地予測。翌月から係数予測,"")
))</f>
        <v/>
      </c>
      <c r="AT112" s="223" t="str" cm="1">
        <f t="array" aca="1" ref="AT112" ca="1">IF($C112="","",
_xlfn.LET(
_xlpm._参照シート,"'[在庫状況把握_43期_2025-2026.xlsx]月次報告"&amp;TEXT(AT$1,"YYMM")&amp;"'",
_xlpm._実績,
  _xlfn.XLOOKUP($C112,
    INDIRECT(_xlpm._参照シート&amp;"!$C:$C"),
    INDIRECT(_xlpm._参照シート&amp;"!$G:$G")
  ),
_xlpm._着地予測,_xlfn.XLOOKUP($C112,INDIRECT(_xlpm._参照シート&amp;"!$C:$C"),INDIRECT(_xlpm._参照シート&amp;"!$AG:$AG")),
_xlpm._係数予測,IF(OR(AS112=0,AS112=""),"",AS112*AT$123),
_xlpm._今月1日,EOMONTH(基準データ!$C$5,-1)+1,
_xlpm._先月まで実績。今月は着地予測。翌月から係数予測,_xlfn.IFS($C112="","",AT$1&lt;_xlpm._今月1日,_xlpm._実績,AT$1=_xlpm._今月1日,_xlpm._着地予測,"true",_xlpm._係数予測),
IFERROR(_xlpm._先月まで実績。今月は着地予測。翌月から係数予測,"")
))</f>
        <v/>
      </c>
      <c r="AU112" s="223" t="str" cm="1">
        <f t="array" aca="1" ref="AU112" ca="1">IF($C112="","",
_xlfn.LET(
_xlpm._参照シート,"'[在庫状況把握_43期_2025-2026.xlsx]月次報告"&amp;TEXT(AU$1,"YYMM")&amp;"'",
_xlpm._実績,
  _xlfn.XLOOKUP($C112,
    INDIRECT(_xlpm._参照シート&amp;"!$C:$C"),
    INDIRECT(_xlpm._参照シート&amp;"!$G:$G")
  ),
_xlpm._着地予測,_xlfn.XLOOKUP($C112,INDIRECT(_xlpm._参照シート&amp;"!$C:$C"),INDIRECT(_xlpm._参照シート&amp;"!$AG:$AG")),
_xlpm._係数予測,IF(OR(AT112=0,AT112=""),"",AT112*AU$123),
_xlpm._今月1日,EOMONTH(基準データ!$C$5,-1)+1,
_xlpm._先月まで実績。今月は着地予測。翌月から係数予測,_xlfn.IFS($C112="","",AU$1&lt;_xlpm._今月1日,_xlpm._実績,AU$1=_xlpm._今月1日,_xlpm._着地予測,"true",_xlpm._係数予測),
IFERROR(_xlpm._先月まで実績。今月は着地予測。翌月から係数予測,"")
))</f>
        <v/>
      </c>
      <c r="AV112" s="223" t="str" cm="1">
        <f t="array" aca="1" ref="AV112" ca="1">IF($C112="","",
_xlfn.LET(
_xlpm._参照シート,"'[在庫状況把握_43期_2025-2026.xlsx]月次報告"&amp;TEXT(AV$1,"YYMM")&amp;"'",
_xlpm._実績,
  _xlfn.XLOOKUP($C112,
    INDIRECT(_xlpm._参照シート&amp;"!$C:$C"),
    INDIRECT(_xlpm._参照シート&amp;"!$G:$G")
  ),
_xlpm._着地予測,_xlfn.XLOOKUP($C112,INDIRECT(_xlpm._参照シート&amp;"!$C:$C"),INDIRECT(_xlpm._参照シート&amp;"!$AG:$AG")),
_xlpm._係数予測,IF(OR(AU112=0,AU112=""),"",AU112*AV$123),
_xlpm._今月1日,EOMONTH(基準データ!$C$5,-1)+1,
_xlpm._先月まで実績。今月は着地予測。翌月から係数予測,_xlfn.IFS($C112="","",AV$1&lt;_xlpm._今月1日,_xlpm._実績,AV$1=_xlpm._今月1日,_xlpm._着地予測,"true",_xlpm._係数予測),
IFERROR(_xlpm._先月まで実績。今月は着地予測。翌月から係数予測,"")
))</f>
        <v/>
      </c>
      <c r="AW112" s="223" t="str" cm="1">
        <f t="array" aca="1" ref="AW112" ca="1">IF($C112="","",
_xlfn.LET(
_xlpm._参照シート,"'[在庫状況把握_43期_2025-2026.xlsx]月次報告"&amp;TEXT(AW$1,"YYMM")&amp;"'",
_xlpm._実績,
  _xlfn.XLOOKUP($C112,
    INDIRECT(_xlpm._参照シート&amp;"!$C:$C"),
    INDIRECT(_xlpm._参照シート&amp;"!$G:$G")
  ),
_xlpm._着地予測,_xlfn.XLOOKUP($C112,INDIRECT(_xlpm._参照シート&amp;"!$C:$C"),INDIRECT(_xlpm._参照シート&amp;"!$AG:$AG")),
_xlpm._係数予測,IF(OR(AV112=0,AV112=""),"",AV112*AW$123),
_xlpm._今月1日,EOMONTH(基準データ!$C$5,-1)+1,
_xlpm._先月まで実績。今月は着地予測。翌月から係数予測,_xlfn.IFS($C112="","",AW$1&lt;_xlpm._今月1日,_xlpm._実績,AW$1=_xlpm._今月1日,_xlpm._着地予測,"true",_xlpm._係数予測),
IFERROR(_xlpm._先月まで実績。今月は着地予測。翌月から係数予測,"")
))</f>
        <v/>
      </c>
      <c r="AX112" s="223" t="str" cm="1">
        <f t="array" aca="1" ref="AX112" ca="1">IF($C112="","",
_xlfn.LET(
_xlpm._参照シート,"'[在庫状況把握_43期_2025-2026.xlsx]月次報告"&amp;TEXT(AX$1,"YYMM")&amp;"'",
_xlpm._実績,
  _xlfn.XLOOKUP($C112,
    INDIRECT(_xlpm._参照シート&amp;"!$C:$C"),
    INDIRECT(_xlpm._参照シート&amp;"!$G:$G")
  ),
_xlpm._着地予測,_xlfn.XLOOKUP($C112,INDIRECT(_xlpm._参照シート&amp;"!$C:$C"),INDIRECT(_xlpm._参照シート&amp;"!$AG:$AG")),
_xlpm._係数予測,IF(OR(AW112=0,AW112=""),"",AW112*AX$123),
_xlpm._今月1日,EOMONTH(基準データ!$C$5,-1)+1,
_xlpm._先月まで実績。今月は着地予測。翌月から係数予測,_xlfn.IFS($C112="","",AX$1&lt;_xlpm._今月1日,_xlpm._実績,AX$1=_xlpm._今月1日,_xlpm._着地予測,"true",_xlpm._係数予測),
IFERROR(_xlpm._先月まで実績。今月は着地予測。翌月から係数予測,"")
))</f>
        <v/>
      </c>
      <c r="AY112" s="223" t="str" cm="1">
        <f t="array" aca="1" ref="AY112" ca="1">IF($C112="","",
_xlfn.LET(
_xlpm._参照シート,"'[在庫状況把握_43期_2025-2026.xlsx]月次報告"&amp;TEXT(AY$1,"YYMM")&amp;"'",
_xlpm._実績,
  _xlfn.XLOOKUP($C112,
    INDIRECT(_xlpm._参照シート&amp;"!$C:$C"),
    INDIRECT(_xlpm._参照シート&amp;"!$G:$G")
  ),
_xlpm._着地予測,_xlfn.XLOOKUP($C112,INDIRECT(_xlpm._参照シート&amp;"!$C:$C"),INDIRECT(_xlpm._参照シート&amp;"!$AG:$AG")),
_xlpm._係数予測,IF(OR(AX112=0,AX112=""),"",AX112*AY$123),
_xlpm._今月1日,EOMONTH(基準データ!$C$5,-1)+1,
_xlpm._先月まで実績。今月は着地予測。翌月から係数予測,_xlfn.IFS($C112="","",AY$1&lt;_xlpm._今月1日,_xlpm._実績,AY$1=_xlpm._今月1日,_xlpm._着地予測,"true",_xlpm._係数予測),
IFERROR(_xlpm._先月まで実績。今月は着地予測。翌月から係数予測,"")
))</f>
        <v/>
      </c>
      <c r="AZ112" s="223" t="str" cm="1">
        <f t="array" aca="1" ref="AZ112" ca="1">IF($C112="","",
_xlfn.LET(
_xlpm._参照シート,"'[在庫状況把握_43期_2025-2026.xlsx]月次報告"&amp;TEXT(AZ$1,"YYMM")&amp;"'",
_xlpm._実績,
  _xlfn.XLOOKUP($C112,
    INDIRECT(_xlpm._参照シート&amp;"!$C:$C"),
    INDIRECT(_xlpm._参照シート&amp;"!$G:$G")
  ),
_xlpm._着地予測,_xlfn.XLOOKUP($C112,INDIRECT(_xlpm._参照シート&amp;"!$C:$C"),INDIRECT(_xlpm._参照シート&amp;"!$AG:$AG")),
_xlpm._係数予測,IF(OR(AY112=0,AY112=""),"",AY112*AZ$123),
_xlpm._今月1日,EOMONTH(基準データ!$C$5,-1)+1,
_xlpm._先月まで実績。今月は着地予測。翌月から係数予測,_xlfn.IFS($C112="","",AZ$1&lt;_xlpm._今月1日,_xlpm._実績,AZ$1=_xlpm._今月1日,_xlpm._着地予測,"true",_xlpm._係数予測),
IFERROR(_xlpm._先月まで実績。今月は着地予測。翌月から係数予測,"")
))</f>
        <v/>
      </c>
      <c r="BA112" s="223" t="str" cm="1">
        <f t="array" aca="1" ref="BA112" ca="1">IF($C112="","",
_xlfn.LET(
_xlpm._参照シート,"'[在庫状況把握_43期_2025-2026.xlsx]月次報告"&amp;TEXT(BA$1,"YYMM")&amp;"'",
_xlpm._実績,
  _xlfn.XLOOKUP($C112,
    INDIRECT(_xlpm._参照シート&amp;"!$C:$C"),
    INDIRECT(_xlpm._参照シート&amp;"!$G:$G")
  ),
_xlpm._着地予測,_xlfn.XLOOKUP($C112,INDIRECT(_xlpm._参照シート&amp;"!$C:$C"),INDIRECT(_xlpm._参照シート&amp;"!$AG:$AG")),
_xlpm._係数予測,IF(OR(AZ112=0,AZ112=""),"",AZ112*BA$123),
_xlpm._今月1日,EOMONTH(基準データ!$C$5,-1)+1,
_xlpm._先月まで実績。今月は着地予測。翌月から係数予測,_xlfn.IFS($C112="","",BA$1&lt;_xlpm._今月1日,_xlpm._実績,BA$1=_xlpm._今月1日,_xlpm._着地予測,"true",_xlpm._係数予測),
IFERROR(_xlpm._先月まで実績。今月は着地予測。翌月から係数予測,"")
))</f>
        <v/>
      </c>
      <c r="BB112" s="223" t="str" cm="1">
        <f t="array" aca="1" ref="BB112" ca="1">IF($C112="","",
_xlfn.LET(
_xlpm._参照シート,"'[在庫状況把握_43期_2025-2026.xlsx]月次報告"&amp;TEXT(BB$1,"YYMM")&amp;"'",
_xlpm._実績,
  _xlfn.XLOOKUP($C112,
    INDIRECT(_xlpm._参照シート&amp;"!$C:$C"),
    INDIRECT(_xlpm._参照シート&amp;"!$G:$G")
  ),
_xlpm._着地予測,_xlfn.XLOOKUP($C112,INDIRECT(_xlpm._参照シート&amp;"!$C:$C"),INDIRECT(_xlpm._参照シート&amp;"!$AG:$AG")),
_xlpm._係数予測,IF(OR(BA112=0,BA112=""),"",BA112*BB$123),
_xlpm._今月1日,EOMONTH(基準データ!$C$5,-1)+1,
_xlpm._先月まで実績。今月は着地予測。翌月から係数予測,_xlfn.IFS($C112="","",BB$1&lt;_xlpm._今月1日,_xlpm._実績,BB$1=_xlpm._今月1日,_xlpm._着地予測,"true",_xlpm._係数予測),
IFERROR(_xlpm._先月まで実績。今月は着地予測。翌月から係数予測,"")
))</f>
        <v/>
      </c>
      <c r="BC112" s="223" t="str" cm="1">
        <f t="array" aca="1" ref="BC112" ca="1">IF($C112="","",
_xlfn.LET(
_xlpm._参照シート,"'[在庫状況把握_43期_2025-2026.xlsx]月次報告"&amp;TEXT(BC$1,"YYMM")&amp;"'",
_xlpm._実績,
  _xlfn.XLOOKUP($C112,
    INDIRECT(_xlpm._参照シート&amp;"!$C:$C"),
    INDIRECT(_xlpm._参照シート&amp;"!$G:$G")
  ),
_xlpm._着地予測,_xlfn.XLOOKUP($C112,INDIRECT(_xlpm._参照シート&amp;"!$C:$C"),INDIRECT(_xlpm._参照シート&amp;"!$AG:$AG")),
_xlpm._係数予測,IF(OR(BB112=0,BB112=""),"",BB112*BC$123),
_xlpm._今月1日,EOMONTH(基準データ!$C$5,-1)+1,
_xlpm._先月まで実績。今月は着地予測。翌月から係数予測,_xlfn.IFS($C112="","",BC$1&lt;_xlpm._今月1日,_xlpm._実績,BC$1=_xlpm._今月1日,_xlpm._着地予測,"true",_xlpm._係数予測),
IFERROR(_xlpm._先月まで実績。今月は着地予測。翌月から係数予測,"")
))</f>
        <v/>
      </c>
      <c r="BD112" s="223" t="str" cm="1">
        <f t="array" aca="1" ref="BD112" ca="1">IF($C112="","",
_xlfn.LET(
_xlpm._参照シート,"'[在庫状況把握_43期_2025-2026.xlsx]月次報告"&amp;TEXT(BD$1,"YYMM")&amp;"'",
_xlpm._実績,
  _xlfn.XLOOKUP($C112,
    INDIRECT(_xlpm._参照シート&amp;"!$C:$C"),
    INDIRECT(_xlpm._参照シート&amp;"!$G:$G")
  ),
_xlpm._着地予測,_xlfn.XLOOKUP($C112,INDIRECT(_xlpm._参照シート&amp;"!$C:$C"),INDIRECT(_xlpm._参照シート&amp;"!$AG:$AG")),
_xlpm._係数予測,IF(OR(BC112=0,BC112=""),"",BC112*BD$123),
_xlpm._今月1日,EOMONTH(基準データ!$C$5,-1)+1,
_xlpm._先月まで実績。今月は着地予測。翌月から係数予測,_xlfn.IFS($C112="","",BD$1&lt;_xlpm._今月1日,_xlpm._実績,BD$1=_xlpm._今月1日,_xlpm._着地予測,"true",_xlpm._係数予測),
IFERROR(_xlpm._先月まで実績。今月は着地予測。翌月から係数予測,"")
))</f>
        <v/>
      </c>
    </row>
    <row r="113" spans="1:56">
      <c r="A113" s="1076"/>
      <c r="B113" s="55" t="s">
        <v>985</v>
      </c>
      <c r="C113" s="57" t="s">
        <v>1509</v>
      </c>
      <c r="D113" s="57" t="s">
        <v>1505</v>
      </c>
      <c r="E113" s="56" t="s">
        <v>1506</v>
      </c>
      <c r="F113" s="56"/>
      <c r="G113" s="38">
        <v>0</v>
      </c>
      <c r="H113" s="109" t="str" cm="1">
        <f t="array" aca="1" ref="H113" ca="1">_xlfn.LET(_xlpm._来月から4ヶ月計画合計,
  SUM(
    OFFSET($A113,0,
      MATCH(
        EDATE(基準データ!$C$5,3),$A$1:$BF$1,1
      )-3,1,4)),
_xlpm._今月計画数,
INDEX($A$1:$BE$223,
  ROW(),
  MATCH(EOMONTH(基準データ!$C$5,-1)+1,$A$1:$BE$1,0)
),
  IFERROR(IF($B113="","",_xlpm._来月から4ヶ月計画合計+_xlpm._今月計画数/2),""
)
)</f>
        <v/>
      </c>
      <c r="I113" s="57"/>
      <c r="J113" s="57"/>
      <c r="K113" s="57"/>
      <c r="L113" s="57"/>
      <c r="M113" s="57"/>
      <c r="N113" s="57"/>
      <c r="O113" s="57"/>
      <c r="P113" s="57"/>
      <c r="Q113" s="219" t="str">
        <f>IFERROR(IF(SUM(INDEX('在庫使用計画 (一般)'!$A$1:$BF$557,MATCH($C113,'在庫使用計画 (一般)'!$C$1:$C$557,0),MATCH(Q$1,'在庫使用計画 (一般)'!$A$1:$BF$1,0)),INDEX('在庫使用計画 (法人)'!$A$1:$AT$578,MATCH($C113,'在庫使用計画 (法人)'!$C$1:$C$578,0),MATCH(Q$1,'在庫使用計画 (法人)'!$A$1:$AT$1,0)))=0,"",SUM(INDEX('在庫使用計画 (一般)'!$A$1:$BF$557,MATCH($C113,'在庫使用計画 (一般)'!$C$1:$C$557,0),MATCH(Q$1,'在庫使用計画 (一般)'!$A$1:$BF$1,0)),INDEX('在庫使用計画 (法人)'!$A$1:$AT$578,MATCH($C113,'在庫使用計画 (法人)'!$C$1:$C$578,0),MATCH(Q$1,'在庫使用計画 (法人)'!$A$1:$AT$1,0)))),"")</f>
        <v/>
      </c>
      <c r="R113" s="219" t="str">
        <f>IFERROR(IF(SUM(INDEX('在庫使用計画 (一般)'!$A$1:$BF$557,MATCH($C113,'在庫使用計画 (一般)'!$C$1:$C$557,0),MATCH(R$1,'在庫使用計画 (一般)'!$A$1:$BF$1,0)),INDEX('在庫使用計画 (法人)'!$A$1:$AT$578,MATCH($C113,'在庫使用計画 (法人)'!$C$1:$C$578,0),MATCH(R$1,'在庫使用計画 (法人)'!$A$1:$AT$1,0)))=0,"",SUM(INDEX('在庫使用計画 (一般)'!$A$1:$BF$557,MATCH($C113,'在庫使用計画 (一般)'!$C$1:$C$557,0),MATCH(R$1,'在庫使用計画 (一般)'!$A$1:$BF$1,0)),INDEX('在庫使用計画 (法人)'!$A$1:$AT$578,MATCH($C113,'在庫使用計画 (法人)'!$C$1:$C$578,0),MATCH(R$1,'在庫使用計画 (法人)'!$A$1:$AT$1,0)))),"")</f>
        <v/>
      </c>
      <c r="S113" s="219" t="str">
        <f>IFERROR(IF(SUM(INDEX('在庫使用計画 (一般)'!$A$1:$BF$557,MATCH($C113,'在庫使用計画 (一般)'!$C$1:$C$557,0),MATCH(S$1,'在庫使用計画 (一般)'!$A$1:$BF$1,0)),INDEX('在庫使用計画 (法人)'!$A$1:$AT$578,MATCH($C113,'在庫使用計画 (法人)'!$C$1:$C$578,0),MATCH(S$1,'在庫使用計画 (法人)'!$A$1:$AT$1,0)))=0,"",SUM(INDEX('在庫使用計画 (一般)'!$A$1:$BF$557,MATCH($C113,'在庫使用計画 (一般)'!$C$1:$C$557,0),MATCH(S$1,'在庫使用計画 (一般)'!$A$1:$BF$1,0)),INDEX('在庫使用計画 (法人)'!$A$1:$AT$578,MATCH($C113,'在庫使用計画 (法人)'!$C$1:$C$578,0),MATCH(S$1,'在庫使用計画 (法人)'!$A$1:$AT$1,0)))),"")</f>
        <v/>
      </c>
      <c r="T113" s="219" t="str">
        <f>IFERROR(IF(SUM(INDEX('在庫使用計画 (一般)'!$A$1:$BF$557,MATCH($C113,'在庫使用計画 (一般)'!$C$1:$C$557,0),MATCH(T$1,'在庫使用計画 (一般)'!$A$1:$BF$1,0)),INDEX('在庫使用計画 (法人)'!$A$1:$AT$578,MATCH($C113,'在庫使用計画 (法人)'!$C$1:$C$578,0),MATCH(T$1,'在庫使用計画 (法人)'!$A$1:$AT$1,0)))=0,"",SUM(INDEX('在庫使用計画 (一般)'!$A$1:$BF$557,MATCH($C113,'在庫使用計画 (一般)'!$C$1:$C$557,0),MATCH(T$1,'在庫使用計画 (一般)'!$A$1:$BF$1,0)),INDEX('在庫使用計画 (法人)'!$A$1:$AT$578,MATCH($C113,'在庫使用計画 (法人)'!$C$1:$C$578,0),MATCH(T$1,'在庫使用計画 (法人)'!$A$1:$AT$1,0)))),"")</f>
        <v/>
      </c>
      <c r="U113" s="224">
        <v>0</v>
      </c>
      <c r="V113" s="224">
        <v>0</v>
      </c>
      <c r="W113" s="224">
        <v>1</v>
      </c>
      <c r="X113" s="224">
        <v>0</v>
      </c>
      <c r="Y113" s="224">
        <v>1</v>
      </c>
      <c r="Z113" s="224">
        <v>1</v>
      </c>
      <c r="AA113" s="224"/>
      <c r="AB113" s="224">
        <v>0</v>
      </c>
      <c r="AC113" s="224"/>
      <c r="AD113" s="224">
        <v>0</v>
      </c>
      <c r="AE113" s="223">
        <v>0</v>
      </c>
      <c r="AF113" s="223">
        <v>0</v>
      </c>
      <c r="AG113" s="223">
        <v>0</v>
      </c>
      <c r="AH113" s="223">
        <v>0</v>
      </c>
      <c r="AI113" s="223">
        <v>0</v>
      </c>
      <c r="AJ113" s="223" t="s">
        <v>21</v>
      </c>
      <c r="AK113" s="223" t="s">
        <v>21</v>
      </c>
      <c r="AL113" s="223" t="str" cm="1">
        <f t="array" aca="1" ref="AL113" ca="1">IF($C113="","",
_xlfn.LET(
_xlpm._参照シート,"'[在庫状況把握_43期_2025-2026.xlsx]月次報告"&amp;TEXT(AL$1,"YYMM")&amp;"'",
_xlpm._実績,
  _xlfn.XLOOKUP($C113,
    INDIRECT(_xlpm._参照シート&amp;"!$C:$C"),
    INDIRECT(_xlpm._参照シート&amp;"!$G:$G")
  ),
_xlpm._着地予測,_xlfn.XLOOKUP($C113,INDIRECT(_xlpm._参照シート&amp;"!$C:$C"),INDIRECT(_xlpm._参照シート&amp;"!$AG:$AG")),
_xlpm._係数予測,IF(OR(AK113=0,AK113=""),"",AK113*AL$123),
_xlpm._今月1日,EOMONTH(基準データ!$C$5,-1)+1,
_xlpm._先月まで実績。今月は着地予測。翌月から係数予測,_xlfn.IFS($C113="","",AL$1&lt;_xlpm._今月1日,_xlpm._実績,AL$1=_xlpm._今月1日,_xlpm._着地予測,"true",_xlpm._係数予測),
IFERROR(_xlpm._先月まで実績。今月は着地予測。翌月から係数予測,"")
))</f>
        <v/>
      </c>
      <c r="AM113" s="223" t="str" cm="1">
        <f t="array" aca="1" ref="AM113" ca="1">IF($C113="","",
_xlfn.LET(
_xlpm._参照シート,"'[在庫状況把握_43期_2025-2026.xlsx]月次報告"&amp;TEXT(AM$1,"YYMM")&amp;"'",
_xlpm._実績,
  _xlfn.XLOOKUP($C113,
    INDIRECT(_xlpm._参照シート&amp;"!$C:$C"),
    INDIRECT(_xlpm._参照シート&amp;"!$G:$G")
  ),
_xlpm._着地予測,_xlfn.XLOOKUP($C113,INDIRECT(_xlpm._参照シート&amp;"!$C:$C"),INDIRECT(_xlpm._参照シート&amp;"!$AG:$AG")),
_xlpm._係数予測,IF(OR(AL113=0,AL113=""),"",AL113*AM$123),
_xlpm._今月1日,EOMONTH(基準データ!$C$5,-1)+1,
_xlpm._先月まで実績。今月は着地予測。翌月から係数予測,_xlfn.IFS($C113="","",AM$1&lt;_xlpm._今月1日,_xlpm._実績,AM$1=_xlpm._今月1日,_xlpm._着地予測,"true",_xlpm._係数予測),
IFERROR(_xlpm._先月まで実績。今月は着地予測。翌月から係数予測,"")
))</f>
        <v/>
      </c>
      <c r="AN113" s="223" t="str" cm="1">
        <f t="array" aca="1" ref="AN113" ca="1">IF($C113="","",
_xlfn.LET(
_xlpm._参照シート,"'[在庫状況把握_43期_2025-2026.xlsx]月次報告"&amp;TEXT(AN$1,"YYMM")&amp;"'",
_xlpm._実績,
  _xlfn.XLOOKUP($C113,
    INDIRECT(_xlpm._参照シート&amp;"!$C:$C"),
    INDIRECT(_xlpm._参照シート&amp;"!$G:$G")
  ),
_xlpm._着地予測,_xlfn.XLOOKUP($C113,INDIRECT(_xlpm._参照シート&amp;"!$C:$C"),INDIRECT(_xlpm._参照シート&amp;"!$AG:$AG")),
_xlpm._係数予測,IF(OR(AM113=0,AM113=""),"",AM113*AN$123),
_xlpm._今月1日,EOMONTH(基準データ!$C$5,-1)+1,
_xlpm._先月まで実績。今月は着地予測。翌月から係数予測,_xlfn.IFS($C113="","",AN$1&lt;_xlpm._今月1日,_xlpm._実績,AN$1=_xlpm._今月1日,_xlpm._着地予測,"true",_xlpm._係数予測),
IFERROR(_xlpm._先月まで実績。今月は着地予測。翌月から係数予測,"")
))</f>
        <v/>
      </c>
      <c r="AO113" s="223" t="str" cm="1">
        <f t="array" aca="1" ref="AO113" ca="1">IF($C113="","",
_xlfn.LET(
_xlpm._参照シート,"'[在庫状況把握_43期_2025-2026.xlsx]月次報告"&amp;TEXT(AO$1,"YYMM")&amp;"'",
_xlpm._実績,
  _xlfn.XLOOKUP($C113,
    INDIRECT(_xlpm._参照シート&amp;"!$C:$C"),
    INDIRECT(_xlpm._参照シート&amp;"!$G:$G")
  ),
_xlpm._着地予測,_xlfn.XLOOKUP($C113,INDIRECT(_xlpm._参照シート&amp;"!$C:$C"),INDIRECT(_xlpm._参照シート&amp;"!$AG:$AG")),
_xlpm._係数予測,IF(OR(AN113=0,AN113=""),"",AN113*AO$123),
_xlpm._今月1日,EOMONTH(基準データ!$C$5,-1)+1,
_xlpm._先月まで実績。今月は着地予測。翌月から係数予測,_xlfn.IFS($C113="","",AO$1&lt;_xlpm._今月1日,_xlpm._実績,AO$1=_xlpm._今月1日,_xlpm._着地予測,"true",_xlpm._係数予測),
IFERROR(_xlpm._先月まで実績。今月は着地予測。翌月から係数予測,"")
))</f>
        <v/>
      </c>
      <c r="AP113" s="223" t="str" cm="1">
        <f t="array" aca="1" ref="AP113" ca="1">IF($C113="","",
_xlfn.LET(
_xlpm._参照シート,"'[在庫状況把握_43期_2025-2026.xlsx]月次報告"&amp;TEXT(AP$1,"YYMM")&amp;"'",
_xlpm._実績,
  _xlfn.XLOOKUP($C113,
    INDIRECT(_xlpm._参照シート&amp;"!$C:$C"),
    INDIRECT(_xlpm._参照シート&amp;"!$G:$G")
  ),
_xlpm._着地予測,_xlfn.XLOOKUP($C113,INDIRECT(_xlpm._参照シート&amp;"!$C:$C"),INDIRECT(_xlpm._参照シート&amp;"!$AG:$AG")),
_xlpm._係数予測,IF(OR(AO113=0,AO113=""),"",AO113*AP$123),
_xlpm._今月1日,EOMONTH(基準データ!$C$5,-1)+1,
_xlpm._先月まで実績。今月は着地予測。翌月から係数予測,_xlfn.IFS($C113="","",AP$1&lt;_xlpm._今月1日,_xlpm._実績,AP$1=_xlpm._今月1日,_xlpm._着地予測,"true",_xlpm._係数予測),
IFERROR(_xlpm._先月まで実績。今月は着地予測。翌月から係数予測,"")
))</f>
        <v/>
      </c>
      <c r="AQ113" s="223" t="str" cm="1">
        <f t="array" aca="1" ref="AQ113" ca="1">IF($C113="","",
_xlfn.LET(
_xlpm._参照シート,"'[在庫状況把握_43期_2025-2026.xlsx]月次報告"&amp;TEXT(AQ$1,"YYMM")&amp;"'",
_xlpm._実績,
  _xlfn.XLOOKUP($C113,
    INDIRECT(_xlpm._参照シート&amp;"!$C:$C"),
    INDIRECT(_xlpm._参照シート&amp;"!$G:$G")
  ),
_xlpm._着地予測,_xlfn.XLOOKUP($C113,INDIRECT(_xlpm._参照シート&amp;"!$C:$C"),INDIRECT(_xlpm._参照シート&amp;"!$AG:$AG")),
_xlpm._係数予測,IF(OR(AP113=0,AP113=""),"",AP113*AQ$123),
_xlpm._今月1日,EOMONTH(基準データ!$C$5,-1)+1,
_xlpm._先月まで実績。今月は着地予測。翌月から係数予測,_xlfn.IFS($C113="","",AQ$1&lt;_xlpm._今月1日,_xlpm._実績,AQ$1=_xlpm._今月1日,_xlpm._着地予測,"true",_xlpm._係数予測),
IFERROR(_xlpm._先月まで実績。今月は着地予測。翌月から係数予測,"")
))</f>
        <v/>
      </c>
      <c r="AR113" s="223" t="str" cm="1">
        <f t="array" aca="1" ref="AR113" ca="1">IF($C113="","",
_xlfn.LET(
_xlpm._参照シート,"'[在庫状況把握_43期_2025-2026.xlsx]月次報告"&amp;TEXT(AR$1,"YYMM")&amp;"'",
_xlpm._実績,
  _xlfn.XLOOKUP($C113,
    INDIRECT(_xlpm._参照シート&amp;"!$C:$C"),
    INDIRECT(_xlpm._参照シート&amp;"!$G:$G")
  ),
_xlpm._着地予測,_xlfn.XLOOKUP($C113,INDIRECT(_xlpm._参照シート&amp;"!$C:$C"),INDIRECT(_xlpm._参照シート&amp;"!$AG:$AG")),
_xlpm._係数予測,IF(OR(AQ113=0,AQ113=""),"",AQ113*AR$123),
_xlpm._今月1日,EOMONTH(基準データ!$C$5,-1)+1,
_xlpm._先月まで実績。今月は着地予測。翌月から係数予測,_xlfn.IFS($C113="","",AR$1&lt;_xlpm._今月1日,_xlpm._実績,AR$1=_xlpm._今月1日,_xlpm._着地予測,"true",_xlpm._係数予測),
IFERROR(_xlpm._先月まで実績。今月は着地予測。翌月から係数予測,"")
))</f>
        <v/>
      </c>
      <c r="AS113" s="223" t="str" cm="1">
        <f t="array" aca="1" ref="AS113" ca="1">IF($C113="","",
_xlfn.LET(
_xlpm._参照シート,"'[在庫状況把握_43期_2025-2026.xlsx]月次報告"&amp;TEXT(AS$1,"YYMM")&amp;"'",
_xlpm._実績,
  _xlfn.XLOOKUP($C113,
    INDIRECT(_xlpm._参照シート&amp;"!$C:$C"),
    INDIRECT(_xlpm._参照シート&amp;"!$G:$G")
  ),
_xlpm._着地予測,_xlfn.XLOOKUP($C113,INDIRECT(_xlpm._参照シート&amp;"!$C:$C"),INDIRECT(_xlpm._参照シート&amp;"!$AG:$AG")),
_xlpm._係数予測,IF(OR(AR113=0,AR113=""),"",AR113*AS$123),
_xlpm._今月1日,EOMONTH(基準データ!$C$5,-1)+1,
_xlpm._先月まで実績。今月は着地予測。翌月から係数予測,_xlfn.IFS($C113="","",AS$1&lt;_xlpm._今月1日,_xlpm._実績,AS$1=_xlpm._今月1日,_xlpm._着地予測,"true",_xlpm._係数予測),
IFERROR(_xlpm._先月まで実績。今月は着地予測。翌月から係数予測,"")
))</f>
        <v/>
      </c>
      <c r="AT113" s="223" t="str" cm="1">
        <f t="array" aca="1" ref="AT113" ca="1">IF($C113="","",
_xlfn.LET(
_xlpm._参照シート,"'[在庫状況把握_43期_2025-2026.xlsx]月次報告"&amp;TEXT(AT$1,"YYMM")&amp;"'",
_xlpm._実績,
  _xlfn.XLOOKUP($C113,
    INDIRECT(_xlpm._参照シート&amp;"!$C:$C"),
    INDIRECT(_xlpm._参照シート&amp;"!$G:$G")
  ),
_xlpm._着地予測,_xlfn.XLOOKUP($C113,INDIRECT(_xlpm._参照シート&amp;"!$C:$C"),INDIRECT(_xlpm._参照シート&amp;"!$AG:$AG")),
_xlpm._係数予測,IF(OR(AS113=0,AS113=""),"",AS113*AT$123),
_xlpm._今月1日,EOMONTH(基準データ!$C$5,-1)+1,
_xlpm._先月まで実績。今月は着地予測。翌月から係数予測,_xlfn.IFS($C113="","",AT$1&lt;_xlpm._今月1日,_xlpm._実績,AT$1=_xlpm._今月1日,_xlpm._着地予測,"true",_xlpm._係数予測),
IFERROR(_xlpm._先月まで実績。今月は着地予測。翌月から係数予測,"")
))</f>
        <v/>
      </c>
      <c r="AU113" s="223" t="str" cm="1">
        <f t="array" aca="1" ref="AU113" ca="1">IF($C113="","",
_xlfn.LET(
_xlpm._参照シート,"'[在庫状況把握_43期_2025-2026.xlsx]月次報告"&amp;TEXT(AU$1,"YYMM")&amp;"'",
_xlpm._実績,
  _xlfn.XLOOKUP($C113,
    INDIRECT(_xlpm._参照シート&amp;"!$C:$C"),
    INDIRECT(_xlpm._参照シート&amp;"!$G:$G")
  ),
_xlpm._着地予測,_xlfn.XLOOKUP($C113,INDIRECT(_xlpm._参照シート&amp;"!$C:$C"),INDIRECT(_xlpm._参照シート&amp;"!$AG:$AG")),
_xlpm._係数予測,IF(OR(AT113=0,AT113=""),"",AT113*AU$123),
_xlpm._今月1日,EOMONTH(基準データ!$C$5,-1)+1,
_xlpm._先月まで実績。今月は着地予測。翌月から係数予測,_xlfn.IFS($C113="","",AU$1&lt;_xlpm._今月1日,_xlpm._実績,AU$1=_xlpm._今月1日,_xlpm._着地予測,"true",_xlpm._係数予測),
IFERROR(_xlpm._先月まで実績。今月は着地予測。翌月から係数予測,"")
))</f>
        <v/>
      </c>
      <c r="AV113" s="223" t="str" cm="1">
        <f t="array" aca="1" ref="AV113" ca="1">IF($C113="","",
_xlfn.LET(
_xlpm._参照シート,"'[在庫状況把握_43期_2025-2026.xlsx]月次報告"&amp;TEXT(AV$1,"YYMM")&amp;"'",
_xlpm._実績,
  _xlfn.XLOOKUP($C113,
    INDIRECT(_xlpm._参照シート&amp;"!$C:$C"),
    INDIRECT(_xlpm._参照シート&amp;"!$G:$G")
  ),
_xlpm._着地予測,_xlfn.XLOOKUP($C113,INDIRECT(_xlpm._参照シート&amp;"!$C:$C"),INDIRECT(_xlpm._参照シート&amp;"!$AG:$AG")),
_xlpm._係数予測,IF(OR(AU113=0,AU113=""),"",AU113*AV$123),
_xlpm._今月1日,EOMONTH(基準データ!$C$5,-1)+1,
_xlpm._先月まで実績。今月は着地予測。翌月から係数予測,_xlfn.IFS($C113="","",AV$1&lt;_xlpm._今月1日,_xlpm._実績,AV$1=_xlpm._今月1日,_xlpm._着地予測,"true",_xlpm._係数予測),
IFERROR(_xlpm._先月まで実績。今月は着地予測。翌月から係数予測,"")
))</f>
        <v/>
      </c>
      <c r="AW113" s="223" t="str" cm="1">
        <f t="array" aca="1" ref="AW113" ca="1">IF($C113="","",
_xlfn.LET(
_xlpm._参照シート,"'[在庫状況把握_43期_2025-2026.xlsx]月次報告"&amp;TEXT(AW$1,"YYMM")&amp;"'",
_xlpm._実績,
  _xlfn.XLOOKUP($C113,
    INDIRECT(_xlpm._参照シート&amp;"!$C:$C"),
    INDIRECT(_xlpm._参照シート&amp;"!$G:$G")
  ),
_xlpm._着地予測,_xlfn.XLOOKUP($C113,INDIRECT(_xlpm._参照シート&amp;"!$C:$C"),INDIRECT(_xlpm._参照シート&amp;"!$AG:$AG")),
_xlpm._係数予測,IF(OR(AV113=0,AV113=""),"",AV113*AW$123),
_xlpm._今月1日,EOMONTH(基準データ!$C$5,-1)+1,
_xlpm._先月まで実績。今月は着地予測。翌月から係数予測,_xlfn.IFS($C113="","",AW$1&lt;_xlpm._今月1日,_xlpm._実績,AW$1=_xlpm._今月1日,_xlpm._着地予測,"true",_xlpm._係数予測),
IFERROR(_xlpm._先月まで実績。今月は着地予測。翌月から係数予測,"")
))</f>
        <v/>
      </c>
      <c r="AX113" s="223" t="str" cm="1">
        <f t="array" aca="1" ref="AX113" ca="1">IF($C113="","",
_xlfn.LET(
_xlpm._参照シート,"'[在庫状況把握_43期_2025-2026.xlsx]月次報告"&amp;TEXT(AX$1,"YYMM")&amp;"'",
_xlpm._実績,
  _xlfn.XLOOKUP($C113,
    INDIRECT(_xlpm._参照シート&amp;"!$C:$C"),
    INDIRECT(_xlpm._参照シート&amp;"!$G:$G")
  ),
_xlpm._着地予測,_xlfn.XLOOKUP($C113,INDIRECT(_xlpm._参照シート&amp;"!$C:$C"),INDIRECT(_xlpm._参照シート&amp;"!$AG:$AG")),
_xlpm._係数予測,IF(OR(AW113=0,AW113=""),"",AW113*AX$123),
_xlpm._今月1日,EOMONTH(基準データ!$C$5,-1)+1,
_xlpm._先月まで実績。今月は着地予測。翌月から係数予測,_xlfn.IFS($C113="","",AX$1&lt;_xlpm._今月1日,_xlpm._実績,AX$1=_xlpm._今月1日,_xlpm._着地予測,"true",_xlpm._係数予測),
IFERROR(_xlpm._先月まで実績。今月は着地予測。翌月から係数予測,"")
))</f>
        <v/>
      </c>
      <c r="AY113" s="223" t="str" cm="1">
        <f t="array" aca="1" ref="AY113" ca="1">IF($C113="","",
_xlfn.LET(
_xlpm._参照シート,"'[在庫状況把握_43期_2025-2026.xlsx]月次報告"&amp;TEXT(AY$1,"YYMM")&amp;"'",
_xlpm._実績,
  _xlfn.XLOOKUP($C113,
    INDIRECT(_xlpm._参照シート&amp;"!$C:$C"),
    INDIRECT(_xlpm._参照シート&amp;"!$G:$G")
  ),
_xlpm._着地予測,_xlfn.XLOOKUP($C113,INDIRECT(_xlpm._参照シート&amp;"!$C:$C"),INDIRECT(_xlpm._参照シート&amp;"!$AG:$AG")),
_xlpm._係数予測,IF(OR(AX113=0,AX113=""),"",AX113*AY$123),
_xlpm._今月1日,EOMONTH(基準データ!$C$5,-1)+1,
_xlpm._先月まで実績。今月は着地予測。翌月から係数予測,_xlfn.IFS($C113="","",AY$1&lt;_xlpm._今月1日,_xlpm._実績,AY$1=_xlpm._今月1日,_xlpm._着地予測,"true",_xlpm._係数予測),
IFERROR(_xlpm._先月まで実績。今月は着地予測。翌月から係数予測,"")
))</f>
        <v/>
      </c>
      <c r="AZ113" s="223" t="str" cm="1">
        <f t="array" aca="1" ref="AZ113" ca="1">IF($C113="","",
_xlfn.LET(
_xlpm._参照シート,"'[在庫状況把握_43期_2025-2026.xlsx]月次報告"&amp;TEXT(AZ$1,"YYMM")&amp;"'",
_xlpm._実績,
  _xlfn.XLOOKUP($C113,
    INDIRECT(_xlpm._参照シート&amp;"!$C:$C"),
    INDIRECT(_xlpm._参照シート&amp;"!$G:$G")
  ),
_xlpm._着地予測,_xlfn.XLOOKUP($C113,INDIRECT(_xlpm._参照シート&amp;"!$C:$C"),INDIRECT(_xlpm._参照シート&amp;"!$AG:$AG")),
_xlpm._係数予測,IF(OR(AY113=0,AY113=""),"",AY113*AZ$123),
_xlpm._今月1日,EOMONTH(基準データ!$C$5,-1)+1,
_xlpm._先月まで実績。今月は着地予測。翌月から係数予測,_xlfn.IFS($C113="","",AZ$1&lt;_xlpm._今月1日,_xlpm._実績,AZ$1=_xlpm._今月1日,_xlpm._着地予測,"true",_xlpm._係数予測),
IFERROR(_xlpm._先月まで実績。今月は着地予測。翌月から係数予測,"")
))</f>
        <v/>
      </c>
      <c r="BA113" s="223" t="str" cm="1">
        <f t="array" aca="1" ref="BA113" ca="1">IF($C113="","",
_xlfn.LET(
_xlpm._参照シート,"'[在庫状況把握_43期_2025-2026.xlsx]月次報告"&amp;TEXT(BA$1,"YYMM")&amp;"'",
_xlpm._実績,
  _xlfn.XLOOKUP($C113,
    INDIRECT(_xlpm._参照シート&amp;"!$C:$C"),
    INDIRECT(_xlpm._参照シート&amp;"!$G:$G")
  ),
_xlpm._着地予測,_xlfn.XLOOKUP($C113,INDIRECT(_xlpm._参照シート&amp;"!$C:$C"),INDIRECT(_xlpm._参照シート&amp;"!$AG:$AG")),
_xlpm._係数予測,IF(OR(AZ113=0,AZ113=""),"",AZ113*BA$123),
_xlpm._今月1日,EOMONTH(基準データ!$C$5,-1)+1,
_xlpm._先月まで実績。今月は着地予測。翌月から係数予測,_xlfn.IFS($C113="","",BA$1&lt;_xlpm._今月1日,_xlpm._実績,BA$1=_xlpm._今月1日,_xlpm._着地予測,"true",_xlpm._係数予測),
IFERROR(_xlpm._先月まで実績。今月は着地予測。翌月から係数予測,"")
))</f>
        <v/>
      </c>
      <c r="BB113" s="223" t="str" cm="1">
        <f t="array" aca="1" ref="BB113" ca="1">IF($C113="","",
_xlfn.LET(
_xlpm._参照シート,"'[在庫状況把握_43期_2025-2026.xlsx]月次報告"&amp;TEXT(BB$1,"YYMM")&amp;"'",
_xlpm._実績,
  _xlfn.XLOOKUP($C113,
    INDIRECT(_xlpm._参照シート&amp;"!$C:$C"),
    INDIRECT(_xlpm._参照シート&amp;"!$G:$G")
  ),
_xlpm._着地予測,_xlfn.XLOOKUP($C113,INDIRECT(_xlpm._参照シート&amp;"!$C:$C"),INDIRECT(_xlpm._参照シート&amp;"!$AG:$AG")),
_xlpm._係数予測,IF(OR(BA113=0,BA113=""),"",BA113*BB$123),
_xlpm._今月1日,EOMONTH(基準データ!$C$5,-1)+1,
_xlpm._先月まで実績。今月は着地予測。翌月から係数予測,_xlfn.IFS($C113="","",BB$1&lt;_xlpm._今月1日,_xlpm._実績,BB$1=_xlpm._今月1日,_xlpm._着地予測,"true",_xlpm._係数予測),
IFERROR(_xlpm._先月まで実績。今月は着地予測。翌月から係数予測,"")
))</f>
        <v/>
      </c>
      <c r="BC113" s="223" t="str" cm="1">
        <f t="array" aca="1" ref="BC113" ca="1">IF($C113="","",
_xlfn.LET(
_xlpm._参照シート,"'[在庫状況把握_43期_2025-2026.xlsx]月次報告"&amp;TEXT(BC$1,"YYMM")&amp;"'",
_xlpm._実績,
  _xlfn.XLOOKUP($C113,
    INDIRECT(_xlpm._参照シート&amp;"!$C:$C"),
    INDIRECT(_xlpm._参照シート&amp;"!$G:$G")
  ),
_xlpm._着地予測,_xlfn.XLOOKUP($C113,INDIRECT(_xlpm._参照シート&amp;"!$C:$C"),INDIRECT(_xlpm._参照シート&amp;"!$AG:$AG")),
_xlpm._係数予測,IF(OR(BB113=0,BB113=""),"",BB113*BC$123),
_xlpm._今月1日,EOMONTH(基準データ!$C$5,-1)+1,
_xlpm._先月まで実績。今月は着地予測。翌月から係数予測,_xlfn.IFS($C113="","",BC$1&lt;_xlpm._今月1日,_xlpm._実績,BC$1=_xlpm._今月1日,_xlpm._着地予測,"true",_xlpm._係数予測),
IFERROR(_xlpm._先月まで実績。今月は着地予測。翌月から係数予測,"")
))</f>
        <v/>
      </c>
      <c r="BD113" s="223" t="str" cm="1">
        <f t="array" aca="1" ref="BD113" ca="1">IF($C113="","",
_xlfn.LET(
_xlpm._参照シート,"'[在庫状況把握_43期_2025-2026.xlsx]月次報告"&amp;TEXT(BD$1,"YYMM")&amp;"'",
_xlpm._実績,
  _xlfn.XLOOKUP($C113,
    INDIRECT(_xlpm._参照シート&amp;"!$C:$C"),
    INDIRECT(_xlpm._参照シート&amp;"!$G:$G")
  ),
_xlpm._着地予測,_xlfn.XLOOKUP($C113,INDIRECT(_xlpm._参照シート&amp;"!$C:$C"),INDIRECT(_xlpm._参照シート&amp;"!$AG:$AG")),
_xlpm._係数予測,IF(OR(BC113=0,BC113=""),"",BC113*BD$123),
_xlpm._今月1日,EOMONTH(基準データ!$C$5,-1)+1,
_xlpm._先月まで実績。今月は着地予測。翌月から係数予測,_xlfn.IFS($C113="","",BD$1&lt;_xlpm._今月1日,_xlpm._実績,BD$1=_xlpm._今月1日,_xlpm._着地予測,"true",_xlpm._係数予測),
IFERROR(_xlpm._先月まで実績。今月は着地予測。翌月から係数予測,"")
))</f>
        <v/>
      </c>
    </row>
    <row r="114" spans="1:56">
      <c r="A114" s="1075"/>
      <c r="B114" s="55" t="s">
        <v>988</v>
      </c>
      <c r="C114" s="57" t="s">
        <v>986</v>
      </c>
      <c r="D114" s="57" t="s">
        <v>1505</v>
      </c>
      <c r="E114" s="56" t="s">
        <v>1507</v>
      </c>
      <c r="F114" s="56"/>
      <c r="G114" s="38">
        <v>16</v>
      </c>
      <c r="H114" s="109" cm="1">
        <f t="array" aca="1" ref="H114" ca="1">_xlfn.LET(_xlpm._来月から4ヶ月計画合計,
  SUM(
    OFFSET($A114,0,
      MATCH(
        EDATE(基準データ!$C$5,3),$A$1:$BF$1,1
      )-3,1,4)),
_xlpm._今月計画数,
INDEX($A$1:$BE$223,
  ROW(),
  MATCH(EOMONTH(基準データ!$C$5,-1)+1,$A$1:$BE$1,0)
),
  IFERROR(IF($B114="","",_xlpm._来月から4ヶ月計画合計+_xlpm._今月計画数/2),""
)
)</f>
        <v>0</v>
      </c>
      <c r="I114" s="57"/>
      <c r="J114" s="57"/>
      <c r="K114" s="57"/>
      <c r="L114" s="57"/>
      <c r="M114" s="57"/>
      <c r="N114" s="57"/>
      <c r="O114" s="57"/>
      <c r="P114" s="57"/>
      <c r="Q114" s="219" t="str">
        <f>IFERROR(IF(SUM(INDEX('在庫使用計画 (一般)'!$A$1:$BF$557,MATCH($C114,'在庫使用計画 (一般)'!$C$1:$C$557,0),MATCH(Q$1,'在庫使用計画 (一般)'!$A$1:$BF$1,0)),INDEX('在庫使用計画 (法人)'!$A$1:$AT$578,MATCH($C114,'在庫使用計画 (法人)'!$C$1:$C$578,0),MATCH(Q$1,'在庫使用計画 (法人)'!$A$1:$AT$1,0)))=0,"",SUM(INDEX('在庫使用計画 (一般)'!$A$1:$BF$557,MATCH($C114,'在庫使用計画 (一般)'!$C$1:$C$557,0),MATCH(Q$1,'在庫使用計画 (一般)'!$A$1:$BF$1,0)),INDEX('在庫使用計画 (法人)'!$A$1:$AT$578,MATCH($C114,'在庫使用計画 (法人)'!$C$1:$C$578,0),MATCH(Q$1,'在庫使用計画 (法人)'!$A$1:$AT$1,0)))),"")</f>
        <v/>
      </c>
      <c r="R114" s="219" t="str">
        <f>IFERROR(IF(SUM(INDEX('在庫使用計画 (一般)'!$A$1:$BF$557,MATCH($C114,'在庫使用計画 (一般)'!$C$1:$C$557,0),MATCH(R$1,'在庫使用計画 (一般)'!$A$1:$BF$1,0)),INDEX('在庫使用計画 (法人)'!$A$1:$AT$578,MATCH($C114,'在庫使用計画 (法人)'!$C$1:$C$578,0),MATCH(R$1,'在庫使用計画 (法人)'!$A$1:$AT$1,0)))=0,"",SUM(INDEX('在庫使用計画 (一般)'!$A$1:$BF$557,MATCH($C114,'在庫使用計画 (一般)'!$C$1:$C$557,0),MATCH(R$1,'在庫使用計画 (一般)'!$A$1:$BF$1,0)),INDEX('在庫使用計画 (法人)'!$A$1:$AT$578,MATCH($C114,'在庫使用計画 (法人)'!$C$1:$C$578,0),MATCH(R$1,'在庫使用計画 (法人)'!$A$1:$AT$1,0)))),"")</f>
        <v/>
      </c>
      <c r="S114" s="219" t="str">
        <f>IFERROR(IF(SUM(INDEX('在庫使用計画 (一般)'!$A$1:$BF$557,MATCH($C114,'在庫使用計画 (一般)'!$C$1:$C$557,0),MATCH(S$1,'在庫使用計画 (一般)'!$A$1:$BF$1,0)),INDEX('在庫使用計画 (法人)'!$A$1:$AT$578,MATCH($C114,'在庫使用計画 (法人)'!$C$1:$C$578,0),MATCH(S$1,'在庫使用計画 (法人)'!$A$1:$AT$1,0)))=0,"",SUM(INDEX('在庫使用計画 (一般)'!$A$1:$BF$557,MATCH($C114,'在庫使用計画 (一般)'!$C$1:$C$557,0),MATCH(S$1,'在庫使用計画 (一般)'!$A$1:$BF$1,0)),INDEX('在庫使用計画 (法人)'!$A$1:$AT$578,MATCH($C114,'在庫使用計画 (法人)'!$C$1:$C$578,0),MATCH(S$1,'在庫使用計画 (法人)'!$A$1:$AT$1,0)))),"")</f>
        <v/>
      </c>
      <c r="T114" s="219" t="str">
        <f>IFERROR(IF(SUM(INDEX('在庫使用計画 (一般)'!$A$1:$BF$557,MATCH($C114,'在庫使用計画 (一般)'!$C$1:$C$557,0),MATCH(T$1,'在庫使用計画 (一般)'!$A$1:$BF$1,0)),INDEX('在庫使用計画 (法人)'!$A$1:$AT$578,MATCH($C114,'在庫使用計画 (法人)'!$C$1:$C$578,0),MATCH(T$1,'在庫使用計画 (法人)'!$A$1:$AT$1,0)))=0,"",SUM(INDEX('在庫使用計画 (一般)'!$A$1:$BF$557,MATCH($C114,'在庫使用計画 (一般)'!$C$1:$C$557,0),MATCH(T$1,'在庫使用計画 (一般)'!$A$1:$BF$1,0)),INDEX('在庫使用計画 (法人)'!$A$1:$AT$578,MATCH($C114,'在庫使用計画 (法人)'!$C$1:$C$578,0),MATCH(T$1,'在庫使用計画 (法人)'!$A$1:$AT$1,0)))),"")</f>
        <v/>
      </c>
      <c r="U114" s="224">
        <v>1</v>
      </c>
      <c r="V114" s="219">
        <v>9</v>
      </c>
      <c r="W114" s="219">
        <v>11</v>
      </c>
      <c r="X114" s="219">
        <v>0</v>
      </c>
      <c r="Y114" s="224"/>
      <c r="Z114" s="224"/>
      <c r="AA114" s="224">
        <v>6</v>
      </c>
      <c r="AB114" s="224">
        <v>9</v>
      </c>
      <c r="AC114" s="224">
        <v>11</v>
      </c>
      <c r="AD114" s="224">
        <v>16</v>
      </c>
      <c r="AE114" s="223">
        <v>5</v>
      </c>
      <c r="AF114" s="223">
        <v>1</v>
      </c>
      <c r="AG114" s="223">
        <v>0</v>
      </c>
      <c r="AH114" s="223">
        <v>0</v>
      </c>
      <c r="AI114" s="223">
        <v>0</v>
      </c>
      <c r="AJ114" s="223">
        <v>0</v>
      </c>
      <c r="AK114" s="223">
        <v>0</v>
      </c>
      <c r="AL114" s="223" cm="1">
        <f t="array" aca="1" ref="AL114" ca="1">IF($C114="","",
_xlfn.LET(
_xlpm._参照シート,"'[在庫状況把握_43期_2025-2026.xlsx]月次報告"&amp;TEXT(AL$1,"YYMM")&amp;"'",
_xlpm._実績,
  _xlfn.XLOOKUP($C114,
    INDIRECT(_xlpm._参照シート&amp;"!$C:$C"),
    INDIRECT(_xlpm._参照シート&amp;"!$G:$G")
  ),
_xlpm._着地予測,_xlfn.XLOOKUP($C114,INDIRECT(_xlpm._参照シート&amp;"!$C:$C"),INDIRECT(_xlpm._参照シート&amp;"!$AG:$AG")),
_xlpm._係数予測,IF(OR(AK114=0,AK114=""),"",AK114*AL$123),
_xlpm._今月1日,EOMONTH(基準データ!$C$5,-1)+1,
_xlpm._先月まで実績。今月は着地予測。翌月から係数予測,_xlfn.IFS($C114="","",AL$1&lt;_xlpm._今月1日,_xlpm._実績,AL$1=_xlpm._今月1日,_xlpm._着地予測,"true",_xlpm._係数予測),
IFERROR(_xlpm._先月まで実績。今月は着地予測。翌月から係数予測,"")
))</f>
        <v>0</v>
      </c>
      <c r="AM114" s="223" cm="1">
        <f t="array" aca="1" ref="AM114" ca="1">IF($C114="","",
_xlfn.LET(
_xlpm._参照シート,"'[在庫状況把握_43期_2025-2026.xlsx]月次報告"&amp;TEXT(AM$1,"YYMM")&amp;"'",
_xlpm._実績,
  _xlfn.XLOOKUP($C114,
    INDIRECT(_xlpm._参照シート&amp;"!$C:$C"),
    INDIRECT(_xlpm._参照シート&amp;"!$G:$G")
  ),
_xlpm._着地予測,_xlfn.XLOOKUP($C114,INDIRECT(_xlpm._参照シート&amp;"!$C:$C"),INDIRECT(_xlpm._参照シート&amp;"!$AG:$AG")),
_xlpm._係数予測,IF(OR(AL114=0,AL114=""),"",AL114*AM$123),
_xlpm._今月1日,EOMONTH(基準データ!$C$5,-1)+1,
_xlpm._先月まで実績。今月は着地予測。翌月から係数予測,_xlfn.IFS($C114="","",AM$1&lt;_xlpm._今月1日,_xlpm._実績,AM$1=_xlpm._今月1日,_xlpm._着地予測,"true",_xlpm._係数予測),
IFERROR(_xlpm._先月まで実績。今月は着地予測。翌月から係数予測,"")
))</f>
        <v>0</v>
      </c>
      <c r="AN114" s="223" t="str" cm="1">
        <f t="array" aca="1" ref="AN114" ca="1">IF($C114="","",
_xlfn.LET(
_xlpm._参照シート,"'[在庫状況把握_43期_2025-2026.xlsx]月次報告"&amp;TEXT(AN$1,"YYMM")&amp;"'",
_xlpm._実績,
  _xlfn.XLOOKUP($C114,
    INDIRECT(_xlpm._参照シート&amp;"!$C:$C"),
    INDIRECT(_xlpm._参照シート&amp;"!$G:$G")
  ),
_xlpm._着地予測,_xlfn.XLOOKUP($C114,INDIRECT(_xlpm._参照シート&amp;"!$C:$C"),INDIRECT(_xlpm._参照シート&amp;"!$AG:$AG")),
_xlpm._係数予測,IF(OR(AM114=0,AM114=""),"",AM114*AN$123),
_xlpm._今月1日,EOMONTH(基準データ!$C$5,-1)+1,
_xlpm._先月まで実績。今月は着地予測。翌月から係数予測,_xlfn.IFS($C114="","",AN$1&lt;_xlpm._今月1日,_xlpm._実績,AN$1=_xlpm._今月1日,_xlpm._着地予測,"true",_xlpm._係数予測),
IFERROR(_xlpm._先月まで実績。今月は着地予測。翌月から係数予測,"")
))</f>
        <v/>
      </c>
      <c r="AO114" s="223" t="str" cm="1">
        <f t="array" aca="1" ref="AO114" ca="1">IF($C114="","",
_xlfn.LET(
_xlpm._参照シート,"'[在庫状況把握_43期_2025-2026.xlsx]月次報告"&amp;TEXT(AO$1,"YYMM")&amp;"'",
_xlpm._実績,
  _xlfn.XLOOKUP($C114,
    INDIRECT(_xlpm._参照シート&amp;"!$C:$C"),
    INDIRECT(_xlpm._参照シート&amp;"!$G:$G")
  ),
_xlpm._着地予測,_xlfn.XLOOKUP($C114,INDIRECT(_xlpm._参照シート&amp;"!$C:$C"),INDIRECT(_xlpm._参照シート&amp;"!$AG:$AG")),
_xlpm._係数予測,IF(OR(AN114=0,AN114=""),"",AN114*AO$123),
_xlpm._今月1日,EOMONTH(基準データ!$C$5,-1)+1,
_xlpm._先月まで実績。今月は着地予測。翌月から係数予測,_xlfn.IFS($C114="","",AO$1&lt;_xlpm._今月1日,_xlpm._実績,AO$1=_xlpm._今月1日,_xlpm._着地予測,"true",_xlpm._係数予測),
IFERROR(_xlpm._先月まで実績。今月は着地予測。翌月から係数予測,"")
))</f>
        <v/>
      </c>
      <c r="AP114" s="223" t="str" cm="1">
        <f t="array" aca="1" ref="AP114" ca="1">IF($C114="","",
_xlfn.LET(
_xlpm._参照シート,"'[在庫状況把握_43期_2025-2026.xlsx]月次報告"&amp;TEXT(AP$1,"YYMM")&amp;"'",
_xlpm._実績,
  _xlfn.XLOOKUP($C114,
    INDIRECT(_xlpm._参照シート&amp;"!$C:$C"),
    INDIRECT(_xlpm._参照シート&amp;"!$G:$G")
  ),
_xlpm._着地予測,_xlfn.XLOOKUP($C114,INDIRECT(_xlpm._参照シート&amp;"!$C:$C"),INDIRECT(_xlpm._参照シート&amp;"!$AG:$AG")),
_xlpm._係数予測,IF(OR(AO114=0,AO114=""),"",AO114*AP$123),
_xlpm._今月1日,EOMONTH(基準データ!$C$5,-1)+1,
_xlpm._先月まで実績。今月は着地予測。翌月から係数予測,_xlfn.IFS($C114="","",AP$1&lt;_xlpm._今月1日,_xlpm._実績,AP$1=_xlpm._今月1日,_xlpm._着地予測,"true",_xlpm._係数予測),
IFERROR(_xlpm._先月まで実績。今月は着地予測。翌月から係数予測,"")
))</f>
        <v/>
      </c>
      <c r="AQ114" s="223" t="str" cm="1">
        <f t="array" aca="1" ref="AQ114" ca="1">IF($C114="","",
_xlfn.LET(
_xlpm._参照シート,"'[在庫状況把握_43期_2025-2026.xlsx]月次報告"&amp;TEXT(AQ$1,"YYMM")&amp;"'",
_xlpm._実績,
  _xlfn.XLOOKUP($C114,
    INDIRECT(_xlpm._参照シート&amp;"!$C:$C"),
    INDIRECT(_xlpm._参照シート&amp;"!$G:$G")
  ),
_xlpm._着地予測,_xlfn.XLOOKUP($C114,INDIRECT(_xlpm._参照シート&amp;"!$C:$C"),INDIRECT(_xlpm._参照シート&amp;"!$AG:$AG")),
_xlpm._係数予測,IF(OR(AP114=0,AP114=""),"",AP114*AQ$123),
_xlpm._今月1日,EOMONTH(基準データ!$C$5,-1)+1,
_xlpm._先月まで実績。今月は着地予測。翌月から係数予測,_xlfn.IFS($C114="","",AQ$1&lt;_xlpm._今月1日,_xlpm._実績,AQ$1=_xlpm._今月1日,_xlpm._着地予測,"true",_xlpm._係数予測),
IFERROR(_xlpm._先月まで実績。今月は着地予測。翌月から係数予測,"")
))</f>
        <v/>
      </c>
      <c r="AR114" s="223" t="str" cm="1">
        <f t="array" aca="1" ref="AR114" ca="1">IF($C114="","",
_xlfn.LET(
_xlpm._参照シート,"'[在庫状況把握_43期_2025-2026.xlsx]月次報告"&amp;TEXT(AR$1,"YYMM")&amp;"'",
_xlpm._実績,
  _xlfn.XLOOKUP($C114,
    INDIRECT(_xlpm._参照シート&amp;"!$C:$C"),
    INDIRECT(_xlpm._参照シート&amp;"!$G:$G")
  ),
_xlpm._着地予測,_xlfn.XLOOKUP($C114,INDIRECT(_xlpm._参照シート&amp;"!$C:$C"),INDIRECT(_xlpm._参照シート&amp;"!$AG:$AG")),
_xlpm._係数予測,IF(OR(AQ114=0,AQ114=""),"",AQ114*AR$123),
_xlpm._今月1日,EOMONTH(基準データ!$C$5,-1)+1,
_xlpm._先月まで実績。今月は着地予測。翌月から係数予測,_xlfn.IFS($C114="","",AR$1&lt;_xlpm._今月1日,_xlpm._実績,AR$1=_xlpm._今月1日,_xlpm._着地予測,"true",_xlpm._係数予測),
IFERROR(_xlpm._先月まで実績。今月は着地予測。翌月から係数予測,"")
))</f>
        <v/>
      </c>
      <c r="AS114" s="223" t="str" cm="1">
        <f t="array" aca="1" ref="AS114" ca="1">IF($C114="","",
_xlfn.LET(
_xlpm._参照シート,"'[在庫状況把握_43期_2025-2026.xlsx]月次報告"&amp;TEXT(AS$1,"YYMM")&amp;"'",
_xlpm._実績,
  _xlfn.XLOOKUP($C114,
    INDIRECT(_xlpm._参照シート&amp;"!$C:$C"),
    INDIRECT(_xlpm._参照シート&amp;"!$G:$G")
  ),
_xlpm._着地予測,_xlfn.XLOOKUP($C114,INDIRECT(_xlpm._参照シート&amp;"!$C:$C"),INDIRECT(_xlpm._参照シート&amp;"!$AG:$AG")),
_xlpm._係数予測,IF(OR(AR114=0,AR114=""),"",AR114*AS$123),
_xlpm._今月1日,EOMONTH(基準データ!$C$5,-1)+1,
_xlpm._先月まで実績。今月は着地予測。翌月から係数予測,_xlfn.IFS($C114="","",AS$1&lt;_xlpm._今月1日,_xlpm._実績,AS$1=_xlpm._今月1日,_xlpm._着地予測,"true",_xlpm._係数予測),
IFERROR(_xlpm._先月まで実績。今月は着地予測。翌月から係数予測,"")
))</f>
        <v/>
      </c>
      <c r="AT114" s="223" t="str" cm="1">
        <f t="array" aca="1" ref="AT114" ca="1">IF($C114="","",
_xlfn.LET(
_xlpm._参照シート,"'[在庫状況把握_43期_2025-2026.xlsx]月次報告"&amp;TEXT(AT$1,"YYMM")&amp;"'",
_xlpm._実績,
  _xlfn.XLOOKUP($C114,
    INDIRECT(_xlpm._参照シート&amp;"!$C:$C"),
    INDIRECT(_xlpm._参照シート&amp;"!$G:$G")
  ),
_xlpm._着地予測,_xlfn.XLOOKUP($C114,INDIRECT(_xlpm._参照シート&amp;"!$C:$C"),INDIRECT(_xlpm._参照シート&amp;"!$AG:$AG")),
_xlpm._係数予測,IF(OR(AS114=0,AS114=""),"",AS114*AT$123),
_xlpm._今月1日,EOMONTH(基準データ!$C$5,-1)+1,
_xlpm._先月まで実績。今月は着地予測。翌月から係数予測,_xlfn.IFS($C114="","",AT$1&lt;_xlpm._今月1日,_xlpm._実績,AT$1=_xlpm._今月1日,_xlpm._着地予測,"true",_xlpm._係数予測),
IFERROR(_xlpm._先月まで実績。今月は着地予測。翌月から係数予測,"")
))</f>
        <v/>
      </c>
      <c r="AU114" s="223" t="str" cm="1">
        <f t="array" aca="1" ref="AU114" ca="1">IF($C114="","",
_xlfn.LET(
_xlpm._参照シート,"'[在庫状況把握_43期_2025-2026.xlsx]月次報告"&amp;TEXT(AU$1,"YYMM")&amp;"'",
_xlpm._実績,
  _xlfn.XLOOKUP($C114,
    INDIRECT(_xlpm._参照シート&amp;"!$C:$C"),
    INDIRECT(_xlpm._参照シート&amp;"!$G:$G")
  ),
_xlpm._着地予測,_xlfn.XLOOKUP($C114,INDIRECT(_xlpm._参照シート&amp;"!$C:$C"),INDIRECT(_xlpm._参照シート&amp;"!$AG:$AG")),
_xlpm._係数予測,IF(OR(AT114=0,AT114=""),"",AT114*AU$123),
_xlpm._今月1日,EOMONTH(基準データ!$C$5,-1)+1,
_xlpm._先月まで実績。今月は着地予測。翌月から係数予測,_xlfn.IFS($C114="","",AU$1&lt;_xlpm._今月1日,_xlpm._実績,AU$1=_xlpm._今月1日,_xlpm._着地予測,"true",_xlpm._係数予測),
IFERROR(_xlpm._先月まで実績。今月は着地予測。翌月から係数予測,"")
))</f>
        <v/>
      </c>
      <c r="AV114" s="223" t="str" cm="1">
        <f t="array" aca="1" ref="AV114" ca="1">IF($C114="","",
_xlfn.LET(
_xlpm._参照シート,"'[在庫状況把握_43期_2025-2026.xlsx]月次報告"&amp;TEXT(AV$1,"YYMM")&amp;"'",
_xlpm._実績,
  _xlfn.XLOOKUP($C114,
    INDIRECT(_xlpm._参照シート&amp;"!$C:$C"),
    INDIRECT(_xlpm._参照シート&amp;"!$G:$G")
  ),
_xlpm._着地予測,_xlfn.XLOOKUP($C114,INDIRECT(_xlpm._参照シート&amp;"!$C:$C"),INDIRECT(_xlpm._参照シート&amp;"!$AG:$AG")),
_xlpm._係数予測,IF(OR(AU114=0,AU114=""),"",AU114*AV$123),
_xlpm._今月1日,EOMONTH(基準データ!$C$5,-1)+1,
_xlpm._先月まで実績。今月は着地予測。翌月から係数予測,_xlfn.IFS($C114="","",AV$1&lt;_xlpm._今月1日,_xlpm._実績,AV$1=_xlpm._今月1日,_xlpm._着地予測,"true",_xlpm._係数予測),
IFERROR(_xlpm._先月まで実績。今月は着地予測。翌月から係数予測,"")
))</f>
        <v/>
      </c>
      <c r="AW114" s="223" t="str" cm="1">
        <f t="array" aca="1" ref="AW114" ca="1">IF($C114="","",
_xlfn.LET(
_xlpm._参照シート,"'[在庫状況把握_43期_2025-2026.xlsx]月次報告"&amp;TEXT(AW$1,"YYMM")&amp;"'",
_xlpm._実績,
  _xlfn.XLOOKUP($C114,
    INDIRECT(_xlpm._参照シート&amp;"!$C:$C"),
    INDIRECT(_xlpm._参照シート&amp;"!$G:$G")
  ),
_xlpm._着地予測,_xlfn.XLOOKUP($C114,INDIRECT(_xlpm._参照シート&amp;"!$C:$C"),INDIRECT(_xlpm._参照シート&amp;"!$AG:$AG")),
_xlpm._係数予測,IF(OR(AV114=0,AV114=""),"",AV114*AW$123),
_xlpm._今月1日,EOMONTH(基準データ!$C$5,-1)+1,
_xlpm._先月まで実績。今月は着地予測。翌月から係数予測,_xlfn.IFS($C114="","",AW$1&lt;_xlpm._今月1日,_xlpm._実績,AW$1=_xlpm._今月1日,_xlpm._着地予測,"true",_xlpm._係数予測),
IFERROR(_xlpm._先月まで実績。今月は着地予測。翌月から係数予測,"")
))</f>
        <v/>
      </c>
      <c r="AX114" s="223" t="str" cm="1">
        <f t="array" aca="1" ref="AX114" ca="1">IF($C114="","",
_xlfn.LET(
_xlpm._参照シート,"'[在庫状況把握_43期_2025-2026.xlsx]月次報告"&amp;TEXT(AX$1,"YYMM")&amp;"'",
_xlpm._実績,
  _xlfn.XLOOKUP($C114,
    INDIRECT(_xlpm._参照シート&amp;"!$C:$C"),
    INDIRECT(_xlpm._参照シート&amp;"!$G:$G")
  ),
_xlpm._着地予測,_xlfn.XLOOKUP($C114,INDIRECT(_xlpm._参照シート&amp;"!$C:$C"),INDIRECT(_xlpm._参照シート&amp;"!$AG:$AG")),
_xlpm._係数予測,IF(OR(AW114=0,AW114=""),"",AW114*AX$123),
_xlpm._今月1日,EOMONTH(基準データ!$C$5,-1)+1,
_xlpm._先月まで実績。今月は着地予測。翌月から係数予測,_xlfn.IFS($C114="","",AX$1&lt;_xlpm._今月1日,_xlpm._実績,AX$1=_xlpm._今月1日,_xlpm._着地予測,"true",_xlpm._係数予測),
IFERROR(_xlpm._先月まで実績。今月は着地予測。翌月から係数予測,"")
))</f>
        <v/>
      </c>
      <c r="AY114" s="223" t="str" cm="1">
        <f t="array" aca="1" ref="AY114" ca="1">IF($C114="","",
_xlfn.LET(
_xlpm._参照シート,"'[在庫状況把握_43期_2025-2026.xlsx]月次報告"&amp;TEXT(AY$1,"YYMM")&amp;"'",
_xlpm._実績,
  _xlfn.XLOOKUP($C114,
    INDIRECT(_xlpm._参照シート&amp;"!$C:$C"),
    INDIRECT(_xlpm._参照シート&amp;"!$G:$G")
  ),
_xlpm._着地予測,_xlfn.XLOOKUP($C114,INDIRECT(_xlpm._参照シート&amp;"!$C:$C"),INDIRECT(_xlpm._参照シート&amp;"!$AG:$AG")),
_xlpm._係数予測,IF(OR(AX114=0,AX114=""),"",AX114*AY$123),
_xlpm._今月1日,EOMONTH(基準データ!$C$5,-1)+1,
_xlpm._先月まで実績。今月は着地予測。翌月から係数予測,_xlfn.IFS($C114="","",AY$1&lt;_xlpm._今月1日,_xlpm._実績,AY$1=_xlpm._今月1日,_xlpm._着地予測,"true",_xlpm._係数予測),
IFERROR(_xlpm._先月まで実績。今月は着地予測。翌月から係数予測,"")
))</f>
        <v/>
      </c>
      <c r="AZ114" s="223" t="str" cm="1">
        <f t="array" aca="1" ref="AZ114" ca="1">IF($C114="","",
_xlfn.LET(
_xlpm._参照シート,"'[在庫状況把握_43期_2025-2026.xlsx]月次報告"&amp;TEXT(AZ$1,"YYMM")&amp;"'",
_xlpm._実績,
  _xlfn.XLOOKUP($C114,
    INDIRECT(_xlpm._参照シート&amp;"!$C:$C"),
    INDIRECT(_xlpm._参照シート&amp;"!$G:$G")
  ),
_xlpm._着地予測,_xlfn.XLOOKUP($C114,INDIRECT(_xlpm._参照シート&amp;"!$C:$C"),INDIRECT(_xlpm._参照シート&amp;"!$AG:$AG")),
_xlpm._係数予測,IF(OR(AY114=0,AY114=""),"",AY114*AZ$123),
_xlpm._今月1日,EOMONTH(基準データ!$C$5,-1)+1,
_xlpm._先月まで実績。今月は着地予測。翌月から係数予測,_xlfn.IFS($C114="","",AZ$1&lt;_xlpm._今月1日,_xlpm._実績,AZ$1=_xlpm._今月1日,_xlpm._着地予測,"true",_xlpm._係数予測),
IFERROR(_xlpm._先月まで実績。今月は着地予測。翌月から係数予測,"")
))</f>
        <v/>
      </c>
      <c r="BA114" s="223" t="str" cm="1">
        <f t="array" aca="1" ref="BA114" ca="1">IF($C114="","",
_xlfn.LET(
_xlpm._参照シート,"'[在庫状況把握_43期_2025-2026.xlsx]月次報告"&amp;TEXT(BA$1,"YYMM")&amp;"'",
_xlpm._実績,
  _xlfn.XLOOKUP($C114,
    INDIRECT(_xlpm._参照シート&amp;"!$C:$C"),
    INDIRECT(_xlpm._参照シート&amp;"!$G:$G")
  ),
_xlpm._着地予測,_xlfn.XLOOKUP($C114,INDIRECT(_xlpm._参照シート&amp;"!$C:$C"),INDIRECT(_xlpm._参照シート&amp;"!$AG:$AG")),
_xlpm._係数予測,IF(OR(AZ114=0,AZ114=""),"",AZ114*BA$123),
_xlpm._今月1日,EOMONTH(基準データ!$C$5,-1)+1,
_xlpm._先月まで実績。今月は着地予測。翌月から係数予測,_xlfn.IFS($C114="","",BA$1&lt;_xlpm._今月1日,_xlpm._実績,BA$1=_xlpm._今月1日,_xlpm._着地予測,"true",_xlpm._係数予測),
IFERROR(_xlpm._先月まで実績。今月は着地予測。翌月から係数予測,"")
))</f>
        <v/>
      </c>
      <c r="BB114" s="223" t="str" cm="1">
        <f t="array" aca="1" ref="BB114" ca="1">IF($C114="","",
_xlfn.LET(
_xlpm._参照シート,"'[在庫状況把握_43期_2025-2026.xlsx]月次報告"&amp;TEXT(BB$1,"YYMM")&amp;"'",
_xlpm._実績,
  _xlfn.XLOOKUP($C114,
    INDIRECT(_xlpm._参照シート&amp;"!$C:$C"),
    INDIRECT(_xlpm._参照シート&amp;"!$G:$G")
  ),
_xlpm._着地予測,_xlfn.XLOOKUP($C114,INDIRECT(_xlpm._参照シート&amp;"!$C:$C"),INDIRECT(_xlpm._参照シート&amp;"!$AG:$AG")),
_xlpm._係数予測,IF(OR(BA114=0,BA114=""),"",BA114*BB$123),
_xlpm._今月1日,EOMONTH(基準データ!$C$5,-1)+1,
_xlpm._先月まで実績。今月は着地予測。翌月から係数予測,_xlfn.IFS($C114="","",BB$1&lt;_xlpm._今月1日,_xlpm._実績,BB$1=_xlpm._今月1日,_xlpm._着地予測,"true",_xlpm._係数予測),
IFERROR(_xlpm._先月まで実績。今月は着地予測。翌月から係数予測,"")
))</f>
        <v/>
      </c>
      <c r="BC114" s="223" t="str" cm="1">
        <f t="array" aca="1" ref="BC114" ca="1">IF($C114="","",
_xlfn.LET(
_xlpm._参照シート,"'[在庫状況把握_43期_2025-2026.xlsx]月次報告"&amp;TEXT(BC$1,"YYMM")&amp;"'",
_xlpm._実績,
  _xlfn.XLOOKUP($C114,
    INDIRECT(_xlpm._参照シート&amp;"!$C:$C"),
    INDIRECT(_xlpm._参照シート&amp;"!$G:$G")
  ),
_xlpm._着地予測,_xlfn.XLOOKUP($C114,INDIRECT(_xlpm._参照シート&amp;"!$C:$C"),INDIRECT(_xlpm._参照シート&amp;"!$AG:$AG")),
_xlpm._係数予測,IF(OR(BB114=0,BB114=""),"",BB114*BC$123),
_xlpm._今月1日,EOMONTH(基準データ!$C$5,-1)+1,
_xlpm._先月まで実績。今月は着地予測。翌月から係数予測,_xlfn.IFS($C114="","",BC$1&lt;_xlpm._今月1日,_xlpm._実績,BC$1=_xlpm._今月1日,_xlpm._着地予測,"true",_xlpm._係数予測),
IFERROR(_xlpm._先月まで実績。今月は着地予測。翌月から係数予測,"")
))</f>
        <v/>
      </c>
      <c r="BD114" s="223" t="str" cm="1">
        <f t="array" aca="1" ref="BD114" ca="1">IF($C114="","",
_xlfn.LET(
_xlpm._参照シート,"'[在庫状況把握_43期_2025-2026.xlsx]月次報告"&amp;TEXT(BD$1,"YYMM")&amp;"'",
_xlpm._実績,
  _xlfn.XLOOKUP($C114,
    INDIRECT(_xlpm._参照シート&amp;"!$C:$C"),
    INDIRECT(_xlpm._参照シート&amp;"!$G:$G")
  ),
_xlpm._着地予測,_xlfn.XLOOKUP($C114,INDIRECT(_xlpm._参照シート&amp;"!$C:$C"),INDIRECT(_xlpm._参照シート&amp;"!$AG:$AG")),
_xlpm._係数予測,IF(OR(BC114=0,BC114=""),"",BC114*BD$123),
_xlpm._今月1日,EOMONTH(基準データ!$C$5,-1)+1,
_xlpm._先月まで実績。今月は着地予測。翌月から係数予測,_xlfn.IFS($C114="","",BD$1&lt;_xlpm._今月1日,_xlpm._実績,BD$1=_xlpm._今月1日,_xlpm._着地予測,"true",_xlpm._係数予測),
IFERROR(_xlpm._先月まで実績。今月は着地予測。翌月から係数予測,"")
))</f>
        <v/>
      </c>
    </row>
    <row r="115" spans="1:56">
      <c r="A115" s="1076"/>
      <c r="B115" s="55" t="s">
        <v>1511</v>
      </c>
      <c r="C115" s="57" t="s">
        <v>1512</v>
      </c>
      <c r="D115" s="115" t="s">
        <v>1513</v>
      </c>
      <c r="E115" s="106">
        <v>4060</v>
      </c>
      <c r="F115" s="68" t="s">
        <v>1347</v>
      </c>
      <c r="G115" s="38">
        <v>0</v>
      </c>
      <c r="H115" s="109" t="str" cm="1">
        <f t="array" aca="1" ref="H115" ca="1">_xlfn.LET(_xlpm._来月から4ヶ月計画合計,
  SUM(
    OFFSET($A115,0,
      MATCH(
        EDATE(基準データ!$C$5,3),$A$1:$BF$1,1
      )-3,1,4)),
_xlpm._今月計画数,
INDEX($A$1:$BE$223,
  ROW(),
  MATCH(EOMONTH(基準データ!$C$5,-1)+1,$A$1:$BE$1,0)
),
  IFERROR(IF($B115="","",_xlpm._来月から4ヶ月計画合計+_xlpm._今月計画数/2),""
)
)</f>
        <v/>
      </c>
      <c r="I115" s="38" t="str">
        <f>IFERROR(IF(SUM(INDEX('在庫使用計画 (一般)'!$A$1:$BF$557,MATCH($C115,'在庫使用計画 (一般)'!$C$1:$C$557,0),MATCH(I$1,'在庫使用計画 (一般)'!$A$1:$BF$1,0)),INDEX('在庫使用計画 (法人)'!$A$1:$AT$578,MATCH($C115,'在庫使用計画 (法人)'!$C$1:$C$578,0),MATCH(I$1,'在庫使用計画 (法人)'!$A$1:$AT$1,0)))=0,"",SUM(INDEX('在庫使用計画 (一般)'!$A$1:$BF$557,MATCH($C115,'在庫使用計画 (一般)'!$C$1:$C$557,0),MATCH(I$1,'在庫使用計画 (一般)'!$A$1:$BF$1,0)),INDEX('在庫使用計画 (法人)'!$A$1:$AT$578,MATCH($C115,'在庫使用計画 (法人)'!$C$1:$C$578,0),MATCH(I$1,'在庫使用計画 (法人)'!$A$1:$AT$1,0)))),"")</f>
        <v/>
      </c>
      <c r="J115" s="38" t="str">
        <f>IFERROR(IF(SUM(INDEX('在庫使用計画 (一般)'!$A$1:$BF$557,MATCH($C115,'在庫使用計画 (一般)'!$C$1:$C$557,0),MATCH(J$1,'在庫使用計画 (一般)'!$A$1:$BF$1,0)),INDEX('在庫使用計画 (法人)'!$A$1:$AT$578,MATCH($C115,'在庫使用計画 (法人)'!$C$1:$C$578,0),MATCH(J$1,'在庫使用計画 (法人)'!$A$1:$AT$1,0)))=0,"",SUM(INDEX('在庫使用計画 (一般)'!$A$1:$BF$557,MATCH($C115,'在庫使用計画 (一般)'!$C$1:$C$557,0),MATCH(J$1,'在庫使用計画 (一般)'!$A$1:$BF$1,0)),INDEX('在庫使用計画 (法人)'!$A$1:$AT$578,MATCH($C115,'在庫使用計画 (法人)'!$C$1:$C$578,0),MATCH(J$1,'在庫使用計画 (法人)'!$A$1:$AT$1,0)))),"")</f>
        <v/>
      </c>
      <c r="K115" s="38" t="str">
        <f>IFERROR(IF(SUM(INDEX('在庫使用計画 (一般)'!$A$1:$BF$557,MATCH($C115,'在庫使用計画 (一般)'!$C$1:$C$557,0),MATCH(K$1,'在庫使用計画 (一般)'!$A$1:$BF$1,0)),INDEX('在庫使用計画 (法人)'!$A$1:$AT$578,MATCH($C115,'在庫使用計画 (法人)'!$C$1:$C$578,0),MATCH(K$1,'在庫使用計画 (法人)'!$A$1:$AT$1,0)))=0,"",SUM(INDEX('在庫使用計画 (一般)'!$A$1:$BF$557,MATCH($C115,'在庫使用計画 (一般)'!$C$1:$C$557,0),MATCH(K$1,'在庫使用計画 (一般)'!$A$1:$BF$1,0)),INDEX('在庫使用計画 (法人)'!$A$1:$AT$578,MATCH($C115,'在庫使用計画 (法人)'!$C$1:$C$578,0),MATCH(K$1,'在庫使用計画 (法人)'!$A$1:$AT$1,0)))),"")</f>
        <v/>
      </c>
      <c r="L115" s="38" t="str">
        <f>IFERROR(IF(SUM(INDEX('在庫使用計画 (一般)'!$A$1:$BF$557,MATCH($C115,'在庫使用計画 (一般)'!$C$1:$C$557,0),MATCH(L$1,'在庫使用計画 (一般)'!$A$1:$BF$1,0)),INDEX('在庫使用計画 (法人)'!$A$1:$AT$578,MATCH($C115,'在庫使用計画 (法人)'!$C$1:$C$578,0),MATCH(L$1,'在庫使用計画 (法人)'!$A$1:$AT$1,0)))=0,"",SUM(INDEX('在庫使用計画 (一般)'!$A$1:$BF$557,MATCH($C115,'在庫使用計画 (一般)'!$C$1:$C$557,0),MATCH(L$1,'在庫使用計画 (一般)'!$A$1:$BF$1,0)),INDEX('在庫使用計画 (法人)'!$A$1:$AT$578,MATCH($C115,'在庫使用計画 (法人)'!$C$1:$C$578,0),MATCH(L$1,'在庫使用計画 (法人)'!$A$1:$AT$1,0)))),"")</f>
        <v/>
      </c>
      <c r="M115" s="38" t="str">
        <f>IFERROR(IF(SUM(INDEX('在庫使用計画 (一般)'!$A$1:$BF$557,MATCH($C115,'在庫使用計画 (一般)'!$C$1:$C$557,0),MATCH(M$1,'在庫使用計画 (一般)'!$A$1:$BF$1,0)),INDEX('在庫使用計画 (法人)'!$A$1:$AT$578,MATCH($C115,'在庫使用計画 (法人)'!$C$1:$C$578,0),MATCH(M$1,'在庫使用計画 (法人)'!$A$1:$AT$1,0)))=0,"",SUM(INDEX('在庫使用計画 (一般)'!$A$1:$BF$557,MATCH($C115,'在庫使用計画 (一般)'!$C$1:$C$557,0),MATCH(M$1,'在庫使用計画 (一般)'!$A$1:$BF$1,0)),INDEX('在庫使用計画 (法人)'!$A$1:$AT$578,MATCH($C115,'在庫使用計画 (法人)'!$C$1:$C$578,0),MATCH(M$1,'在庫使用計画 (法人)'!$A$1:$AT$1,0)))),"")</f>
        <v/>
      </c>
      <c r="N115" s="38" t="str">
        <f>IFERROR(IF(SUM(INDEX('在庫使用計画 (一般)'!$A$1:$BF$557,MATCH($C115,'在庫使用計画 (一般)'!$C$1:$C$557,0),MATCH(N$1,'在庫使用計画 (一般)'!$A$1:$BF$1,0)),INDEX('在庫使用計画 (法人)'!$A$1:$AT$578,MATCH($C115,'在庫使用計画 (法人)'!$C$1:$C$578,0),MATCH(N$1,'在庫使用計画 (法人)'!$A$1:$AT$1,0)))=0,"",SUM(INDEX('在庫使用計画 (一般)'!$A$1:$BF$557,MATCH($C115,'在庫使用計画 (一般)'!$C$1:$C$557,0),MATCH(N$1,'在庫使用計画 (一般)'!$A$1:$BF$1,0)),INDEX('在庫使用計画 (法人)'!$A$1:$AT$578,MATCH($C115,'在庫使用計画 (法人)'!$C$1:$C$578,0),MATCH(N$1,'在庫使用計画 (法人)'!$A$1:$AT$1,0)))),"")</f>
        <v/>
      </c>
      <c r="O115" s="38">
        <f>IFERROR(IF(SUM(INDEX('在庫使用計画 (一般)'!$A$1:$BF$557,MATCH($C115,'在庫使用計画 (一般)'!$C$1:$C$557,0),MATCH(O$1,'在庫使用計画 (一般)'!$A$1:$BF$1,0)),INDEX('在庫使用計画 (法人)'!$A$1:$AT$578,MATCH($C115,'在庫使用計画 (法人)'!$C$1:$C$578,0),MATCH(O$1,'在庫使用計画 (法人)'!$A$1:$AT$1,0)))=0,"",SUM(INDEX('在庫使用計画 (一般)'!$A$1:$BF$557,MATCH($C115,'在庫使用計画 (一般)'!$C$1:$C$557,0),MATCH(O$1,'在庫使用計画 (一般)'!$A$1:$BF$1,0)),INDEX('在庫使用計画 (法人)'!$A$1:$AT$578,MATCH($C115,'在庫使用計画 (法人)'!$C$1:$C$578,0),MATCH(O$1,'在庫使用計画 (法人)'!$A$1:$AT$1,0)))),"")</f>
        <v>55</v>
      </c>
      <c r="P115" s="38">
        <f>IFERROR(IF(SUM(INDEX('在庫使用計画 (一般)'!$A$1:$BF$557,MATCH($C115,'在庫使用計画 (一般)'!$C$1:$C$557,0),MATCH(P$1,'在庫使用計画 (一般)'!$A$1:$BF$1,0)),INDEX('在庫使用計画 (法人)'!$A$1:$AT$578,MATCH($C115,'在庫使用計画 (法人)'!$C$1:$C$578,0),MATCH(P$1,'在庫使用計画 (法人)'!$A$1:$AT$1,0)))=0,"",SUM(INDEX('在庫使用計画 (一般)'!$A$1:$BF$557,MATCH($C115,'在庫使用計画 (一般)'!$C$1:$C$557,0),MATCH(P$1,'在庫使用計画 (一般)'!$A$1:$BF$1,0)),INDEX('在庫使用計画 (法人)'!$A$1:$AT$578,MATCH($C115,'在庫使用計画 (法人)'!$C$1:$C$578,0),MATCH(P$1,'在庫使用計画 (法人)'!$A$1:$AT$1,0)))),"")</f>
        <v>17</v>
      </c>
      <c r="Q115" s="219">
        <f>IFERROR(IF(SUM(INDEX('在庫使用計画 (一般)'!$A$1:$BF$557,MATCH($C115,'在庫使用計画 (一般)'!$C$1:$C$557,0),MATCH(Q$1,'在庫使用計画 (一般)'!$A$1:$BF$1,0)),INDEX('在庫使用計画 (法人)'!$A$1:$AT$578,MATCH($C115,'在庫使用計画 (法人)'!$C$1:$C$578,0),MATCH(Q$1,'在庫使用計画 (法人)'!$A$1:$AT$1,0)))=0,"",SUM(INDEX('在庫使用計画 (一般)'!$A$1:$BF$557,MATCH($C115,'在庫使用計画 (一般)'!$C$1:$C$557,0),MATCH(Q$1,'在庫使用計画 (一般)'!$A$1:$BF$1,0)),INDEX('在庫使用計画 (法人)'!$A$1:$AT$578,MATCH($C115,'在庫使用計画 (法人)'!$C$1:$C$578,0),MATCH(Q$1,'在庫使用計画 (法人)'!$A$1:$AT$1,0)))),"")</f>
        <v>70</v>
      </c>
      <c r="R115" s="219">
        <f>IFERROR(IF(SUM(INDEX('在庫使用計画 (一般)'!$A$1:$BF$557,MATCH($C115,'在庫使用計画 (一般)'!$C$1:$C$557,0),MATCH(R$1,'在庫使用計画 (一般)'!$A$1:$BF$1,0)),INDEX('在庫使用計画 (法人)'!$A$1:$AT$578,MATCH($C115,'在庫使用計画 (法人)'!$C$1:$C$578,0),MATCH(R$1,'在庫使用計画 (法人)'!$A$1:$AT$1,0)))=0,"",SUM(INDEX('在庫使用計画 (一般)'!$A$1:$BF$557,MATCH($C115,'在庫使用計画 (一般)'!$C$1:$C$557,0),MATCH(R$1,'在庫使用計画 (一般)'!$A$1:$BF$1,0)),INDEX('在庫使用計画 (法人)'!$A$1:$AT$578,MATCH($C115,'在庫使用計画 (法人)'!$C$1:$C$578,0),MATCH(R$1,'在庫使用計画 (法人)'!$A$1:$AT$1,0)))),"")</f>
        <v>37</v>
      </c>
      <c r="S115" s="219">
        <f>IFERROR(IF(SUM(INDEX('在庫使用計画 (一般)'!$A$1:$BF$557,MATCH($C115,'在庫使用計画 (一般)'!$C$1:$C$557,0),MATCH(S$1,'在庫使用計画 (一般)'!$A$1:$BF$1,0)),INDEX('在庫使用計画 (法人)'!$A$1:$AT$578,MATCH($C115,'在庫使用計画 (法人)'!$C$1:$C$578,0),MATCH(S$1,'在庫使用計画 (法人)'!$A$1:$AT$1,0)))=0,"",SUM(INDEX('在庫使用計画 (一般)'!$A$1:$BF$557,MATCH($C115,'在庫使用計画 (一般)'!$C$1:$C$557,0),MATCH(S$1,'在庫使用計画 (一般)'!$A$1:$BF$1,0)),INDEX('在庫使用計画 (法人)'!$A$1:$AT$578,MATCH($C115,'在庫使用計画 (法人)'!$C$1:$C$578,0),MATCH(S$1,'在庫使用計画 (法人)'!$A$1:$AT$1,0)))),"")</f>
        <v>75</v>
      </c>
      <c r="T115" s="219">
        <f>IFERROR(IF(SUM(INDEX('在庫使用計画 (一般)'!$A$1:$BF$557,MATCH($C115,'在庫使用計画 (一般)'!$C$1:$C$557,0),MATCH(T$1,'在庫使用計画 (一般)'!$A$1:$BF$1,0)),INDEX('在庫使用計画 (法人)'!$A$1:$AT$578,MATCH($C115,'在庫使用計画 (法人)'!$C$1:$C$578,0),MATCH(T$1,'在庫使用計画 (法人)'!$A$1:$AT$1,0)))=0,"",SUM(INDEX('在庫使用計画 (一般)'!$A$1:$BF$557,MATCH($C115,'在庫使用計画 (一般)'!$C$1:$C$557,0),MATCH(T$1,'在庫使用計画 (一般)'!$A$1:$BF$1,0)),INDEX('在庫使用計画 (法人)'!$A$1:$AT$578,MATCH($C115,'在庫使用計画 (法人)'!$C$1:$C$578,0),MATCH(T$1,'在庫使用計画 (法人)'!$A$1:$AT$1,0)))),"")</f>
        <v>47</v>
      </c>
      <c r="U115" s="224">
        <v>89</v>
      </c>
      <c r="V115" s="224">
        <v>28</v>
      </c>
      <c r="W115" s="224">
        <v>29</v>
      </c>
      <c r="X115" s="224">
        <v>41</v>
      </c>
      <c r="Y115" s="224">
        <v>2</v>
      </c>
      <c r="Z115" s="224">
        <v>3</v>
      </c>
      <c r="AA115" s="224"/>
      <c r="AB115" s="224">
        <v>1</v>
      </c>
      <c r="AC115" s="224"/>
      <c r="AD115" s="224">
        <v>0</v>
      </c>
      <c r="AE115" s="223">
        <v>0</v>
      </c>
      <c r="AF115" s="223">
        <v>0</v>
      </c>
      <c r="AG115" s="223">
        <v>0</v>
      </c>
      <c r="AH115" s="223">
        <v>0</v>
      </c>
      <c r="AI115" s="223">
        <v>0</v>
      </c>
      <c r="AJ115" s="223" t="s">
        <v>21</v>
      </c>
      <c r="AK115" s="223" t="s">
        <v>21</v>
      </c>
      <c r="AL115" s="223" t="str" cm="1">
        <f t="array" aca="1" ref="AL115" ca="1">IF($C115="","",
_xlfn.LET(
_xlpm._参照シート,"'[在庫状況把握_43期_2025-2026.xlsx]月次報告"&amp;TEXT(AL$1,"YYMM")&amp;"'",
_xlpm._実績,
  _xlfn.XLOOKUP($C115,
    INDIRECT(_xlpm._参照シート&amp;"!$C:$C"),
    INDIRECT(_xlpm._参照シート&amp;"!$G:$G")
  ),
_xlpm._着地予測,_xlfn.XLOOKUP($C115,INDIRECT(_xlpm._参照シート&amp;"!$C:$C"),INDIRECT(_xlpm._参照シート&amp;"!$AG:$AG")),
_xlpm._係数予測,IF(OR(AK115=0,AK115=""),"",AK115*AL$123),
_xlpm._今月1日,EOMONTH(基準データ!$C$5,-1)+1,
_xlpm._先月まで実績。今月は着地予測。翌月から係数予測,_xlfn.IFS($C115="","",AL$1&lt;_xlpm._今月1日,_xlpm._実績,AL$1=_xlpm._今月1日,_xlpm._着地予測,"true",_xlpm._係数予測),
IFERROR(_xlpm._先月まで実績。今月は着地予測。翌月から係数予測,"")
))</f>
        <v/>
      </c>
      <c r="AM115" s="223" t="str" cm="1">
        <f t="array" aca="1" ref="AM115" ca="1">IF($C115="","",
_xlfn.LET(
_xlpm._参照シート,"'[在庫状況把握_43期_2025-2026.xlsx]月次報告"&amp;TEXT(AM$1,"YYMM")&amp;"'",
_xlpm._実績,
  _xlfn.XLOOKUP($C115,
    INDIRECT(_xlpm._参照シート&amp;"!$C:$C"),
    INDIRECT(_xlpm._参照シート&amp;"!$G:$G")
  ),
_xlpm._着地予測,_xlfn.XLOOKUP($C115,INDIRECT(_xlpm._参照シート&amp;"!$C:$C"),INDIRECT(_xlpm._参照シート&amp;"!$AG:$AG")),
_xlpm._係数予測,IF(OR(AL115=0,AL115=""),"",AL115*AM$123),
_xlpm._今月1日,EOMONTH(基準データ!$C$5,-1)+1,
_xlpm._先月まで実績。今月は着地予測。翌月から係数予測,_xlfn.IFS($C115="","",AM$1&lt;_xlpm._今月1日,_xlpm._実績,AM$1=_xlpm._今月1日,_xlpm._着地予測,"true",_xlpm._係数予測),
IFERROR(_xlpm._先月まで実績。今月は着地予測。翌月から係数予測,"")
))</f>
        <v/>
      </c>
      <c r="AN115" s="223" t="str" cm="1">
        <f t="array" aca="1" ref="AN115" ca="1">IF($C115="","",
_xlfn.LET(
_xlpm._参照シート,"'[在庫状況把握_43期_2025-2026.xlsx]月次報告"&amp;TEXT(AN$1,"YYMM")&amp;"'",
_xlpm._実績,
  _xlfn.XLOOKUP($C115,
    INDIRECT(_xlpm._参照シート&amp;"!$C:$C"),
    INDIRECT(_xlpm._参照シート&amp;"!$G:$G")
  ),
_xlpm._着地予測,_xlfn.XLOOKUP($C115,INDIRECT(_xlpm._参照シート&amp;"!$C:$C"),INDIRECT(_xlpm._参照シート&amp;"!$AG:$AG")),
_xlpm._係数予測,IF(OR(AM115=0,AM115=""),"",AM115*AN$123),
_xlpm._今月1日,EOMONTH(基準データ!$C$5,-1)+1,
_xlpm._先月まで実績。今月は着地予測。翌月から係数予測,_xlfn.IFS($C115="","",AN$1&lt;_xlpm._今月1日,_xlpm._実績,AN$1=_xlpm._今月1日,_xlpm._着地予測,"true",_xlpm._係数予測),
IFERROR(_xlpm._先月まで実績。今月は着地予測。翌月から係数予測,"")
))</f>
        <v/>
      </c>
      <c r="AO115" s="223" t="str" cm="1">
        <f t="array" aca="1" ref="AO115" ca="1">IF($C115="","",
_xlfn.LET(
_xlpm._参照シート,"'[在庫状況把握_43期_2025-2026.xlsx]月次報告"&amp;TEXT(AO$1,"YYMM")&amp;"'",
_xlpm._実績,
  _xlfn.XLOOKUP($C115,
    INDIRECT(_xlpm._参照シート&amp;"!$C:$C"),
    INDIRECT(_xlpm._参照シート&amp;"!$G:$G")
  ),
_xlpm._着地予測,_xlfn.XLOOKUP($C115,INDIRECT(_xlpm._参照シート&amp;"!$C:$C"),INDIRECT(_xlpm._参照シート&amp;"!$AG:$AG")),
_xlpm._係数予測,IF(OR(AN115=0,AN115=""),"",AN115*AO$123),
_xlpm._今月1日,EOMONTH(基準データ!$C$5,-1)+1,
_xlpm._先月まで実績。今月は着地予測。翌月から係数予測,_xlfn.IFS($C115="","",AO$1&lt;_xlpm._今月1日,_xlpm._実績,AO$1=_xlpm._今月1日,_xlpm._着地予測,"true",_xlpm._係数予測),
IFERROR(_xlpm._先月まで実績。今月は着地予測。翌月から係数予測,"")
))</f>
        <v/>
      </c>
      <c r="AP115" s="223" t="str" cm="1">
        <f t="array" aca="1" ref="AP115" ca="1">IF($C115="","",
_xlfn.LET(
_xlpm._参照シート,"'[在庫状況把握_43期_2025-2026.xlsx]月次報告"&amp;TEXT(AP$1,"YYMM")&amp;"'",
_xlpm._実績,
  _xlfn.XLOOKUP($C115,
    INDIRECT(_xlpm._参照シート&amp;"!$C:$C"),
    INDIRECT(_xlpm._参照シート&amp;"!$G:$G")
  ),
_xlpm._着地予測,_xlfn.XLOOKUP($C115,INDIRECT(_xlpm._参照シート&amp;"!$C:$C"),INDIRECT(_xlpm._参照シート&amp;"!$AG:$AG")),
_xlpm._係数予測,IF(OR(AO115=0,AO115=""),"",AO115*AP$123),
_xlpm._今月1日,EOMONTH(基準データ!$C$5,-1)+1,
_xlpm._先月まで実績。今月は着地予測。翌月から係数予測,_xlfn.IFS($C115="","",AP$1&lt;_xlpm._今月1日,_xlpm._実績,AP$1=_xlpm._今月1日,_xlpm._着地予測,"true",_xlpm._係数予測),
IFERROR(_xlpm._先月まで実績。今月は着地予測。翌月から係数予測,"")
))</f>
        <v/>
      </c>
      <c r="AQ115" s="223" t="str" cm="1">
        <f t="array" aca="1" ref="AQ115" ca="1">IF($C115="","",
_xlfn.LET(
_xlpm._参照シート,"'[在庫状況把握_43期_2025-2026.xlsx]月次報告"&amp;TEXT(AQ$1,"YYMM")&amp;"'",
_xlpm._実績,
  _xlfn.XLOOKUP($C115,
    INDIRECT(_xlpm._参照シート&amp;"!$C:$C"),
    INDIRECT(_xlpm._参照シート&amp;"!$G:$G")
  ),
_xlpm._着地予測,_xlfn.XLOOKUP($C115,INDIRECT(_xlpm._参照シート&amp;"!$C:$C"),INDIRECT(_xlpm._参照シート&amp;"!$AG:$AG")),
_xlpm._係数予測,IF(OR(AP115=0,AP115=""),"",AP115*AQ$123),
_xlpm._今月1日,EOMONTH(基準データ!$C$5,-1)+1,
_xlpm._先月まで実績。今月は着地予測。翌月から係数予測,_xlfn.IFS($C115="","",AQ$1&lt;_xlpm._今月1日,_xlpm._実績,AQ$1=_xlpm._今月1日,_xlpm._着地予測,"true",_xlpm._係数予測),
IFERROR(_xlpm._先月まで実績。今月は着地予測。翌月から係数予測,"")
))</f>
        <v/>
      </c>
      <c r="AR115" s="223" t="str" cm="1">
        <f t="array" aca="1" ref="AR115" ca="1">IF($C115="","",
_xlfn.LET(
_xlpm._参照シート,"'[在庫状況把握_43期_2025-2026.xlsx]月次報告"&amp;TEXT(AR$1,"YYMM")&amp;"'",
_xlpm._実績,
  _xlfn.XLOOKUP($C115,
    INDIRECT(_xlpm._参照シート&amp;"!$C:$C"),
    INDIRECT(_xlpm._参照シート&amp;"!$G:$G")
  ),
_xlpm._着地予測,_xlfn.XLOOKUP($C115,INDIRECT(_xlpm._参照シート&amp;"!$C:$C"),INDIRECT(_xlpm._参照シート&amp;"!$AG:$AG")),
_xlpm._係数予測,IF(OR(AQ115=0,AQ115=""),"",AQ115*AR$123),
_xlpm._今月1日,EOMONTH(基準データ!$C$5,-1)+1,
_xlpm._先月まで実績。今月は着地予測。翌月から係数予測,_xlfn.IFS($C115="","",AR$1&lt;_xlpm._今月1日,_xlpm._実績,AR$1=_xlpm._今月1日,_xlpm._着地予測,"true",_xlpm._係数予測),
IFERROR(_xlpm._先月まで実績。今月は着地予測。翌月から係数予測,"")
))</f>
        <v/>
      </c>
      <c r="AS115" s="223" t="str" cm="1">
        <f t="array" aca="1" ref="AS115" ca="1">IF($C115="","",
_xlfn.LET(
_xlpm._参照シート,"'[在庫状況把握_43期_2025-2026.xlsx]月次報告"&amp;TEXT(AS$1,"YYMM")&amp;"'",
_xlpm._実績,
  _xlfn.XLOOKUP($C115,
    INDIRECT(_xlpm._参照シート&amp;"!$C:$C"),
    INDIRECT(_xlpm._参照シート&amp;"!$G:$G")
  ),
_xlpm._着地予測,_xlfn.XLOOKUP($C115,INDIRECT(_xlpm._参照シート&amp;"!$C:$C"),INDIRECT(_xlpm._参照シート&amp;"!$AG:$AG")),
_xlpm._係数予測,IF(OR(AR115=0,AR115=""),"",AR115*AS$123),
_xlpm._今月1日,EOMONTH(基準データ!$C$5,-1)+1,
_xlpm._先月まで実績。今月は着地予測。翌月から係数予測,_xlfn.IFS($C115="","",AS$1&lt;_xlpm._今月1日,_xlpm._実績,AS$1=_xlpm._今月1日,_xlpm._着地予測,"true",_xlpm._係数予測),
IFERROR(_xlpm._先月まで実績。今月は着地予測。翌月から係数予測,"")
))</f>
        <v/>
      </c>
      <c r="AT115" s="223" t="str" cm="1">
        <f t="array" aca="1" ref="AT115" ca="1">IF($C115="","",
_xlfn.LET(
_xlpm._参照シート,"'[在庫状況把握_43期_2025-2026.xlsx]月次報告"&amp;TEXT(AT$1,"YYMM")&amp;"'",
_xlpm._実績,
  _xlfn.XLOOKUP($C115,
    INDIRECT(_xlpm._参照シート&amp;"!$C:$C"),
    INDIRECT(_xlpm._参照シート&amp;"!$G:$G")
  ),
_xlpm._着地予測,_xlfn.XLOOKUP($C115,INDIRECT(_xlpm._参照シート&amp;"!$C:$C"),INDIRECT(_xlpm._参照シート&amp;"!$AG:$AG")),
_xlpm._係数予測,IF(OR(AS115=0,AS115=""),"",AS115*AT$123),
_xlpm._今月1日,EOMONTH(基準データ!$C$5,-1)+1,
_xlpm._先月まで実績。今月は着地予測。翌月から係数予測,_xlfn.IFS($C115="","",AT$1&lt;_xlpm._今月1日,_xlpm._実績,AT$1=_xlpm._今月1日,_xlpm._着地予測,"true",_xlpm._係数予測),
IFERROR(_xlpm._先月まで実績。今月は着地予測。翌月から係数予測,"")
))</f>
        <v/>
      </c>
      <c r="AU115" s="223" t="str" cm="1">
        <f t="array" aca="1" ref="AU115" ca="1">IF($C115="","",
_xlfn.LET(
_xlpm._参照シート,"'[在庫状況把握_43期_2025-2026.xlsx]月次報告"&amp;TEXT(AU$1,"YYMM")&amp;"'",
_xlpm._実績,
  _xlfn.XLOOKUP($C115,
    INDIRECT(_xlpm._参照シート&amp;"!$C:$C"),
    INDIRECT(_xlpm._参照シート&amp;"!$G:$G")
  ),
_xlpm._着地予測,_xlfn.XLOOKUP($C115,INDIRECT(_xlpm._参照シート&amp;"!$C:$C"),INDIRECT(_xlpm._参照シート&amp;"!$AG:$AG")),
_xlpm._係数予測,IF(OR(AT115=0,AT115=""),"",AT115*AU$123),
_xlpm._今月1日,EOMONTH(基準データ!$C$5,-1)+1,
_xlpm._先月まで実績。今月は着地予測。翌月から係数予測,_xlfn.IFS($C115="","",AU$1&lt;_xlpm._今月1日,_xlpm._実績,AU$1=_xlpm._今月1日,_xlpm._着地予測,"true",_xlpm._係数予測),
IFERROR(_xlpm._先月まで実績。今月は着地予測。翌月から係数予測,"")
))</f>
        <v/>
      </c>
      <c r="AV115" s="223" t="str" cm="1">
        <f t="array" aca="1" ref="AV115" ca="1">IF($C115="","",
_xlfn.LET(
_xlpm._参照シート,"'[在庫状況把握_43期_2025-2026.xlsx]月次報告"&amp;TEXT(AV$1,"YYMM")&amp;"'",
_xlpm._実績,
  _xlfn.XLOOKUP($C115,
    INDIRECT(_xlpm._参照シート&amp;"!$C:$C"),
    INDIRECT(_xlpm._参照シート&amp;"!$G:$G")
  ),
_xlpm._着地予測,_xlfn.XLOOKUP($C115,INDIRECT(_xlpm._参照シート&amp;"!$C:$C"),INDIRECT(_xlpm._参照シート&amp;"!$AG:$AG")),
_xlpm._係数予測,IF(OR(AU115=0,AU115=""),"",AU115*AV$123),
_xlpm._今月1日,EOMONTH(基準データ!$C$5,-1)+1,
_xlpm._先月まで実績。今月は着地予測。翌月から係数予測,_xlfn.IFS($C115="","",AV$1&lt;_xlpm._今月1日,_xlpm._実績,AV$1=_xlpm._今月1日,_xlpm._着地予測,"true",_xlpm._係数予測),
IFERROR(_xlpm._先月まで実績。今月は着地予測。翌月から係数予測,"")
))</f>
        <v/>
      </c>
      <c r="AW115" s="223" t="str" cm="1">
        <f t="array" aca="1" ref="AW115" ca="1">IF($C115="","",
_xlfn.LET(
_xlpm._参照シート,"'[在庫状況把握_43期_2025-2026.xlsx]月次報告"&amp;TEXT(AW$1,"YYMM")&amp;"'",
_xlpm._実績,
  _xlfn.XLOOKUP($C115,
    INDIRECT(_xlpm._参照シート&amp;"!$C:$C"),
    INDIRECT(_xlpm._参照シート&amp;"!$G:$G")
  ),
_xlpm._着地予測,_xlfn.XLOOKUP($C115,INDIRECT(_xlpm._参照シート&amp;"!$C:$C"),INDIRECT(_xlpm._参照シート&amp;"!$AG:$AG")),
_xlpm._係数予測,IF(OR(AV115=0,AV115=""),"",AV115*AW$123),
_xlpm._今月1日,EOMONTH(基準データ!$C$5,-1)+1,
_xlpm._先月まで実績。今月は着地予測。翌月から係数予測,_xlfn.IFS($C115="","",AW$1&lt;_xlpm._今月1日,_xlpm._実績,AW$1=_xlpm._今月1日,_xlpm._着地予測,"true",_xlpm._係数予測),
IFERROR(_xlpm._先月まで実績。今月は着地予測。翌月から係数予測,"")
))</f>
        <v/>
      </c>
      <c r="AX115" s="223" t="str" cm="1">
        <f t="array" aca="1" ref="AX115" ca="1">IF($C115="","",
_xlfn.LET(
_xlpm._参照シート,"'[在庫状況把握_43期_2025-2026.xlsx]月次報告"&amp;TEXT(AX$1,"YYMM")&amp;"'",
_xlpm._実績,
  _xlfn.XLOOKUP($C115,
    INDIRECT(_xlpm._参照シート&amp;"!$C:$C"),
    INDIRECT(_xlpm._参照シート&amp;"!$G:$G")
  ),
_xlpm._着地予測,_xlfn.XLOOKUP($C115,INDIRECT(_xlpm._参照シート&amp;"!$C:$C"),INDIRECT(_xlpm._参照シート&amp;"!$AG:$AG")),
_xlpm._係数予測,IF(OR(AW115=0,AW115=""),"",AW115*AX$123),
_xlpm._今月1日,EOMONTH(基準データ!$C$5,-1)+1,
_xlpm._先月まで実績。今月は着地予測。翌月から係数予測,_xlfn.IFS($C115="","",AX$1&lt;_xlpm._今月1日,_xlpm._実績,AX$1=_xlpm._今月1日,_xlpm._着地予測,"true",_xlpm._係数予測),
IFERROR(_xlpm._先月まで実績。今月は着地予測。翌月から係数予測,"")
))</f>
        <v/>
      </c>
      <c r="AY115" s="223" t="str" cm="1">
        <f t="array" aca="1" ref="AY115" ca="1">IF($C115="","",
_xlfn.LET(
_xlpm._参照シート,"'[在庫状況把握_43期_2025-2026.xlsx]月次報告"&amp;TEXT(AY$1,"YYMM")&amp;"'",
_xlpm._実績,
  _xlfn.XLOOKUP($C115,
    INDIRECT(_xlpm._参照シート&amp;"!$C:$C"),
    INDIRECT(_xlpm._参照シート&amp;"!$G:$G")
  ),
_xlpm._着地予測,_xlfn.XLOOKUP($C115,INDIRECT(_xlpm._参照シート&amp;"!$C:$C"),INDIRECT(_xlpm._参照シート&amp;"!$AG:$AG")),
_xlpm._係数予測,IF(OR(AX115=0,AX115=""),"",AX115*AY$123),
_xlpm._今月1日,EOMONTH(基準データ!$C$5,-1)+1,
_xlpm._先月まで実績。今月は着地予測。翌月から係数予測,_xlfn.IFS($C115="","",AY$1&lt;_xlpm._今月1日,_xlpm._実績,AY$1=_xlpm._今月1日,_xlpm._着地予測,"true",_xlpm._係数予測),
IFERROR(_xlpm._先月まで実績。今月は着地予測。翌月から係数予測,"")
))</f>
        <v/>
      </c>
      <c r="AZ115" s="223" t="str" cm="1">
        <f t="array" aca="1" ref="AZ115" ca="1">IF($C115="","",
_xlfn.LET(
_xlpm._参照シート,"'[在庫状況把握_43期_2025-2026.xlsx]月次報告"&amp;TEXT(AZ$1,"YYMM")&amp;"'",
_xlpm._実績,
  _xlfn.XLOOKUP($C115,
    INDIRECT(_xlpm._参照シート&amp;"!$C:$C"),
    INDIRECT(_xlpm._参照シート&amp;"!$G:$G")
  ),
_xlpm._着地予測,_xlfn.XLOOKUP($C115,INDIRECT(_xlpm._参照シート&amp;"!$C:$C"),INDIRECT(_xlpm._参照シート&amp;"!$AG:$AG")),
_xlpm._係数予測,IF(OR(AY115=0,AY115=""),"",AY115*AZ$123),
_xlpm._今月1日,EOMONTH(基準データ!$C$5,-1)+1,
_xlpm._先月まで実績。今月は着地予測。翌月から係数予測,_xlfn.IFS($C115="","",AZ$1&lt;_xlpm._今月1日,_xlpm._実績,AZ$1=_xlpm._今月1日,_xlpm._着地予測,"true",_xlpm._係数予測),
IFERROR(_xlpm._先月まで実績。今月は着地予測。翌月から係数予測,"")
))</f>
        <v/>
      </c>
      <c r="BA115" s="223" t="str" cm="1">
        <f t="array" aca="1" ref="BA115" ca="1">IF($C115="","",
_xlfn.LET(
_xlpm._参照シート,"'[在庫状況把握_43期_2025-2026.xlsx]月次報告"&amp;TEXT(BA$1,"YYMM")&amp;"'",
_xlpm._実績,
  _xlfn.XLOOKUP($C115,
    INDIRECT(_xlpm._参照シート&amp;"!$C:$C"),
    INDIRECT(_xlpm._参照シート&amp;"!$G:$G")
  ),
_xlpm._着地予測,_xlfn.XLOOKUP($C115,INDIRECT(_xlpm._参照シート&amp;"!$C:$C"),INDIRECT(_xlpm._参照シート&amp;"!$AG:$AG")),
_xlpm._係数予測,IF(OR(AZ115=0,AZ115=""),"",AZ115*BA$123),
_xlpm._今月1日,EOMONTH(基準データ!$C$5,-1)+1,
_xlpm._先月まで実績。今月は着地予測。翌月から係数予測,_xlfn.IFS($C115="","",BA$1&lt;_xlpm._今月1日,_xlpm._実績,BA$1=_xlpm._今月1日,_xlpm._着地予測,"true",_xlpm._係数予測),
IFERROR(_xlpm._先月まで実績。今月は着地予測。翌月から係数予測,"")
))</f>
        <v/>
      </c>
      <c r="BB115" s="223" t="str" cm="1">
        <f t="array" aca="1" ref="BB115" ca="1">IF($C115="","",
_xlfn.LET(
_xlpm._参照シート,"'[在庫状況把握_43期_2025-2026.xlsx]月次報告"&amp;TEXT(BB$1,"YYMM")&amp;"'",
_xlpm._実績,
  _xlfn.XLOOKUP($C115,
    INDIRECT(_xlpm._参照シート&amp;"!$C:$C"),
    INDIRECT(_xlpm._参照シート&amp;"!$G:$G")
  ),
_xlpm._着地予測,_xlfn.XLOOKUP($C115,INDIRECT(_xlpm._参照シート&amp;"!$C:$C"),INDIRECT(_xlpm._参照シート&amp;"!$AG:$AG")),
_xlpm._係数予測,IF(OR(BA115=0,BA115=""),"",BA115*BB$123),
_xlpm._今月1日,EOMONTH(基準データ!$C$5,-1)+1,
_xlpm._先月まで実績。今月は着地予測。翌月から係数予測,_xlfn.IFS($C115="","",BB$1&lt;_xlpm._今月1日,_xlpm._実績,BB$1=_xlpm._今月1日,_xlpm._着地予測,"true",_xlpm._係数予測),
IFERROR(_xlpm._先月まで実績。今月は着地予測。翌月から係数予測,"")
))</f>
        <v/>
      </c>
      <c r="BC115" s="223" t="str" cm="1">
        <f t="array" aca="1" ref="BC115" ca="1">IF($C115="","",
_xlfn.LET(
_xlpm._参照シート,"'[在庫状況把握_43期_2025-2026.xlsx]月次報告"&amp;TEXT(BC$1,"YYMM")&amp;"'",
_xlpm._実績,
  _xlfn.XLOOKUP($C115,
    INDIRECT(_xlpm._参照シート&amp;"!$C:$C"),
    INDIRECT(_xlpm._参照シート&amp;"!$G:$G")
  ),
_xlpm._着地予測,_xlfn.XLOOKUP($C115,INDIRECT(_xlpm._参照シート&amp;"!$C:$C"),INDIRECT(_xlpm._参照シート&amp;"!$AG:$AG")),
_xlpm._係数予測,IF(OR(BB115=0,BB115=""),"",BB115*BC$123),
_xlpm._今月1日,EOMONTH(基準データ!$C$5,-1)+1,
_xlpm._先月まで実績。今月は着地予測。翌月から係数予測,_xlfn.IFS($C115="","",BC$1&lt;_xlpm._今月1日,_xlpm._実績,BC$1=_xlpm._今月1日,_xlpm._着地予測,"true",_xlpm._係数予測),
IFERROR(_xlpm._先月まで実績。今月は着地予測。翌月から係数予測,"")
))</f>
        <v/>
      </c>
      <c r="BD115" s="223" t="str" cm="1">
        <f t="array" aca="1" ref="BD115" ca="1">IF($C115="","",
_xlfn.LET(
_xlpm._参照シート,"'[在庫状況把握_43期_2025-2026.xlsx]月次報告"&amp;TEXT(BD$1,"YYMM")&amp;"'",
_xlpm._実績,
  _xlfn.XLOOKUP($C115,
    INDIRECT(_xlpm._参照シート&amp;"!$C:$C"),
    INDIRECT(_xlpm._参照シート&amp;"!$G:$G")
  ),
_xlpm._着地予測,_xlfn.XLOOKUP($C115,INDIRECT(_xlpm._参照シート&amp;"!$C:$C"),INDIRECT(_xlpm._参照シート&amp;"!$AG:$AG")),
_xlpm._係数予測,IF(OR(BC115=0,BC115=""),"",BC115*BD$123),
_xlpm._今月1日,EOMONTH(基準データ!$C$5,-1)+1,
_xlpm._先月まで実績。今月は着地予測。翌月から係数予測,_xlfn.IFS($C115="","",BD$1&lt;_xlpm._今月1日,_xlpm._実績,BD$1=_xlpm._今月1日,_xlpm._着地予測,"true",_xlpm._係数予測),
IFERROR(_xlpm._先月まで実績。今月は着地予測。翌月から係数予測,"")
))</f>
        <v/>
      </c>
    </row>
    <row r="116" spans="1:56">
      <c r="A116" s="1075" t="s">
        <v>1317</v>
      </c>
      <c r="B116" s="55" t="s">
        <v>1317</v>
      </c>
      <c r="C116" s="55" t="s">
        <v>1317</v>
      </c>
      <c r="D116" s="55" t="s">
        <v>1317</v>
      </c>
      <c r="E116" s="58" t="s">
        <v>1317</v>
      </c>
      <c r="F116" s="58"/>
      <c r="G116" s="38" t="str">
        <v/>
      </c>
      <c r="H116" s="109" t="str" cm="1">
        <f t="array" aca="1" ref="H116" ca="1">_xlfn.LET(_xlpm._来月から4ヶ月計画合計,
  SUM(
    OFFSET($A116,0,
      MATCH(
        EDATE(基準データ!$C$5,3),$A$1:$BF$1,1
      )-3,1,4)),
_xlpm._今月計画数,
INDEX($A$1:$BE$223,
  ROW(),
  MATCH(EOMONTH(基準データ!$C$5,-1)+1,$A$1:$BE$1,0)
),
  IFERROR(IF($B116="","",_xlpm._来月から4ヶ月計画合計+_xlpm._今月計画数/2),""
)
)</f>
        <v/>
      </c>
      <c r="I116" s="57" t="s">
        <v>1317</v>
      </c>
      <c r="J116" s="57" t="s">
        <v>1317</v>
      </c>
      <c r="K116" s="57" t="s">
        <v>1317</v>
      </c>
      <c r="L116" s="57" t="s">
        <v>1317</v>
      </c>
      <c r="M116" s="57" t="s">
        <v>1317</v>
      </c>
      <c r="N116" s="57" t="s">
        <v>1317</v>
      </c>
      <c r="O116" s="57" t="s">
        <v>1317</v>
      </c>
      <c r="P116" s="57" t="s">
        <v>1317</v>
      </c>
      <c r="Q116" s="238" t="s">
        <v>1317</v>
      </c>
      <c r="R116" s="238" t="s">
        <v>1317</v>
      </c>
      <c r="S116" s="238" t="s">
        <v>1317</v>
      </c>
      <c r="T116" s="238" t="s">
        <v>1317</v>
      </c>
      <c r="U116" s="239"/>
      <c r="V116" s="239"/>
      <c r="W116" s="239"/>
      <c r="X116" s="239"/>
      <c r="Y116" s="224"/>
      <c r="Z116" s="224"/>
      <c r="AA116" s="224"/>
      <c r="AB116" s="224"/>
      <c r="AC116" s="224"/>
      <c r="AD116" s="224" t="s">
        <v>21</v>
      </c>
      <c r="AE116" s="223" t="s">
        <v>21</v>
      </c>
      <c r="AF116" s="223" t="s">
        <v>21</v>
      </c>
      <c r="AG116" s="223" t="s">
        <v>21</v>
      </c>
      <c r="AH116" s="223" t="s">
        <v>21</v>
      </c>
      <c r="AI116" s="223" t="s">
        <v>21</v>
      </c>
      <c r="AJ116" s="223" t="s">
        <v>21</v>
      </c>
      <c r="AK116" s="223" t="s">
        <v>21</v>
      </c>
      <c r="AL116" s="223" t="str" cm="1">
        <f t="array" aca="1" ref="AL116" ca="1">IF($C116="","",
_xlfn.LET(
_xlpm._参照シート,"'[在庫状況把握_43期_2025-2026.xlsx]月次報告"&amp;TEXT(AL$1,"YYMM")&amp;"'",
_xlpm._実績,
  _xlfn.XLOOKUP($C116,
    INDIRECT(_xlpm._参照シート&amp;"!$C:$C"),
    INDIRECT(_xlpm._参照シート&amp;"!$G:$G")
  ),
_xlpm._着地予測,_xlfn.XLOOKUP($C116,INDIRECT(_xlpm._参照シート&amp;"!$C:$C"),INDIRECT(_xlpm._参照シート&amp;"!$AG:$AG")),
_xlpm._係数予測,IF(OR(AK116=0,AK116=""),"",AK116*AL$123),
_xlpm._今月1日,EOMONTH(基準データ!$C$5,-1)+1,
_xlpm._先月まで実績。今月は着地予測。翌月から係数予測,_xlfn.IFS($C116="","",AL$1&lt;_xlpm._今月1日,_xlpm._実績,AL$1=_xlpm._今月1日,_xlpm._着地予測,"true",_xlpm._係数予測),
IFERROR(_xlpm._先月まで実績。今月は着地予測。翌月から係数予測,"")
))</f>
        <v/>
      </c>
      <c r="AM116" s="223" t="str" cm="1">
        <f t="array" aca="1" ref="AM116" ca="1">IF($C116="","",
_xlfn.LET(
_xlpm._参照シート,"'[在庫状況把握_43期_2025-2026.xlsx]月次報告"&amp;TEXT(AM$1,"YYMM")&amp;"'",
_xlpm._実績,
  _xlfn.XLOOKUP($C116,
    INDIRECT(_xlpm._参照シート&amp;"!$C:$C"),
    INDIRECT(_xlpm._参照シート&amp;"!$G:$G")
  ),
_xlpm._着地予測,_xlfn.XLOOKUP($C116,INDIRECT(_xlpm._参照シート&amp;"!$C:$C"),INDIRECT(_xlpm._参照シート&amp;"!$AG:$AG")),
_xlpm._係数予測,IF(OR(AL116=0,AL116=""),"",AL116*AM$123),
_xlpm._今月1日,EOMONTH(基準データ!$C$5,-1)+1,
_xlpm._先月まで実績。今月は着地予測。翌月から係数予測,_xlfn.IFS($C116="","",AM$1&lt;_xlpm._今月1日,_xlpm._実績,AM$1=_xlpm._今月1日,_xlpm._着地予測,"true",_xlpm._係数予測),
IFERROR(_xlpm._先月まで実績。今月は着地予測。翌月から係数予測,"")
))</f>
        <v/>
      </c>
      <c r="AN116" s="223" t="str" cm="1">
        <f t="array" aca="1" ref="AN116" ca="1">IF($C116="","",
_xlfn.LET(
_xlpm._参照シート,"'[在庫状況把握_43期_2025-2026.xlsx]月次報告"&amp;TEXT(AN$1,"YYMM")&amp;"'",
_xlpm._実績,
  _xlfn.XLOOKUP($C116,
    INDIRECT(_xlpm._参照シート&amp;"!$C:$C"),
    INDIRECT(_xlpm._参照シート&amp;"!$G:$G")
  ),
_xlpm._着地予測,_xlfn.XLOOKUP($C116,INDIRECT(_xlpm._参照シート&amp;"!$C:$C"),INDIRECT(_xlpm._参照シート&amp;"!$AG:$AG")),
_xlpm._係数予測,IF(OR(AM116=0,AM116=""),"",AM116*AN$123),
_xlpm._今月1日,EOMONTH(基準データ!$C$5,-1)+1,
_xlpm._先月まで実績。今月は着地予測。翌月から係数予測,_xlfn.IFS($C116="","",AN$1&lt;_xlpm._今月1日,_xlpm._実績,AN$1=_xlpm._今月1日,_xlpm._着地予測,"true",_xlpm._係数予測),
IFERROR(_xlpm._先月まで実績。今月は着地予測。翌月から係数予測,"")
))</f>
        <v/>
      </c>
      <c r="AO116" s="223" t="str" cm="1">
        <f t="array" aca="1" ref="AO116" ca="1">IF($C116="","",
_xlfn.LET(
_xlpm._参照シート,"'[在庫状況把握_43期_2025-2026.xlsx]月次報告"&amp;TEXT(AO$1,"YYMM")&amp;"'",
_xlpm._実績,
  _xlfn.XLOOKUP($C116,
    INDIRECT(_xlpm._参照シート&amp;"!$C:$C"),
    INDIRECT(_xlpm._参照シート&amp;"!$G:$G")
  ),
_xlpm._着地予測,_xlfn.XLOOKUP($C116,INDIRECT(_xlpm._参照シート&amp;"!$C:$C"),INDIRECT(_xlpm._参照シート&amp;"!$AG:$AG")),
_xlpm._係数予測,IF(OR(AN116=0,AN116=""),"",AN116*AO$123),
_xlpm._今月1日,EOMONTH(基準データ!$C$5,-1)+1,
_xlpm._先月まで実績。今月は着地予測。翌月から係数予測,_xlfn.IFS($C116="","",AO$1&lt;_xlpm._今月1日,_xlpm._実績,AO$1=_xlpm._今月1日,_xlpm._着地予測,"true",_xlpm._係数予測),
IFERROR(_xlpm._先月まで実績。今月は着地予測。翌月から係数予測,"")
))</f>
        <v/>
      </c>
      <c r="AP116" s="223" t="str" cm="1">
        <f t="array" aca="1" ref="AP116" ca="1">IF($C116="","",
_xlfn.LET(
_xlpm._参照シート,"'[在庫状況把握_43期_2025-2026.xlsx]月次報告"&amp;TEXT(AP$1,"YYMM")&amp;"'",
_xlpm._実績,
  _xlfn.XLOOKUP($C116,
    INDIRECT(_xlpm._参照シート&amp;"!$C:$C"),
    INDIRECT(_xlpm._参照シート&amp;"!$G:$G")
  ),
_xlpm._着地予測,_xlfn.XLOOKUP($C116,INDIRECT(_xlpm._参照シート&amp;"!$C:$C"),INDIRECT(_xlpm._参照シート&amp;"!$AG:$AG")),
_xlpm._係数予測,IF(OR(AO116=0,AO116=""),"",AO116*AP$123),
_xlpm._今月1日,EOMONTH(基準データ!$C$5,-1)+1,
_xlpm._先月まで実績。今月は着地予測。翌月から係数予測,_xlfn.IFS($C116="","",AP$1&lt;_xlpm._今月1日,_xlpm._実績,AP$1=_xlpm._今月1日,_xlpm._着地予測,"true",_xlpm._係数予測),
IFERROR(_xlpm._先月まで実績。今月は着地予測。翌月から係数予測,"")
))</f>
        <v/>
      </c>
      <c r="AQ116" s="223" t="str" cm="1">
        <f t="array" aca="1" ref="AQ116" ca="1">IF($C116="","",
_xlfn.LET(
_xlpm._参照シート,"'[在庫状況把握_43期_2025-2026.xlsx]月次報告"&amp;TEXT(AQ$1,"YYMM")&amp;"'",
_xlpm._実績,
  _xlfn.XLOOKUP($C116,
    INDIRECT(_xlpm._参照シート&amp;"!$C:$C"),
    INDIRECT(_xlpm._参照シート&amp;"!$G:$G")
  ),
_xlpm._着地予測,_xlfn.XLOOKUP($C116,INDIRECT(_xlpm._参照シート&amp;"!$C:$C"),INDIRECT(_xlpm._参照シート&amp;"!$AG:$AG")),
_xlpm._係数予測,IF(OR(AP116=0,AP116=""),"",AP116*AQ$123),
_xlpm._今月1日,EOMONTH(基準データ!$C$5,-1)+1,
_xlpm._先月まで実績。今月は着地予測。翌月から係数予測,_xlfn.IFS($C116="","",AQ$1&lt;_xlpm._今月1日,_xlpm._実績,AQ$1=_xlpm._今月1日,_xlpm._着地予測,"true",_xlpm._係数予測),
IFERROR(_xlpm._先月まで実績。今月は着地予測。翌月から係数予測,"")
))</f>
        <v/>
      </c>
      <c r="AR116" s="223" t="str" cm="1">
        <f t="array" aca="1" ref="AR116" ca="1">IF($C116="","",
_xlfn.LET(
_xlpm._参照シート,"'[在庫状況把握_43期_2025-2026.xlsx]月次報告"&amp;TEXT(AR$1,"YYMM")&amp;"'",
_xlpm._実績,
  _xlfn.XLOOKUP($C116,
    INDIRECT(_xlpm._参照シート&amp;"!$C:$C"),
    INDIRECT(_xlpm._参照シート&amp;"!$G:$G")
  ),
_xlpm._着地予測,_xlfn.XLOOKUP($C116,INDIRECT(_xlpm._参照シート&amp;"!$C:$C"),INDIRECT(_xlpm._参照シート&amp;"!$AG:$AG")),
_xlpm._係数予測,IF(OR(AQ116=0,AQ116=""),"",AQ116*AR$123),
_xlpm._今月1日,EOMONTH(基準データ!$C$5,-1)+1,
_xlpm._先月まで実績。今月は着地予測。翌月から係数予測,_xlfn.IFS($C116="","",AR$1&lt;_xlpm._今月1日,_xlpm._実績,AR$1=_xlpm._今月1日,_xlpm._着地予測,"true",_xlpm._係数予測),
IFERROR(_xlpm._先月まで実績。今月は着地予測。翌月から係数予測,"")
))</f>
        <v/>
      </c>
      <c r="AS116" s="223" t="str" cm="1">
        <f t="array" aca="1" ref="AS116" ca="1">IF($C116="","",
_xlfn.LET(
_xlpm._参照シート,"'[在庫状況把握_43期_2025-2026.xlsx]月次報告"&amp;TEXT(AS$1,"YYMM")&amp;"'",
_xlpm._実績,
  _xlfn.XLOOKUP($C116,
    INDIRECT(_xlpm._参照シート&amp;"!$C:$C"),
    INDIRECT(_xlpm._参照シート&amp;"!$G:$G")
  ),
_xlpm._着地予測,_xlfn.XLOOKUP($C116,INDIRECT(_xlpm._参照シート&amp;"!$C:$C"),INDIRECT(_xlpm._参照シート&amp;"!$AG:$AG")),
_xlpm._係数予測,IF(OR(AR116=0,AR116=""),"",AR116*AS$123),
_xlpm._今月1日,EOMONTH(基準データ!$C$5,-1)+1,
_xlpm._先月まで実績。今月は着地予測。翌月から係数予測,_xlfn.IFS($C116="","",AS$1&lt;_xlpm._今月1日,_xlpm._実績,AS$1=_xlpm._今月1日,_xlpm._着地予測,"true",_xlpm._係数予測),
IFERROR(_xlpm._先月まで実績。今月は着地予測。翌月から係数予測,"")
))</f>
        <v/>
      </c>
      <c r="AT116" s="223" t="str" cm="1">
        <f t="array" aca="1" ref="AT116" ca="1">IF($C116="","",
_xlfn.LET(
_xlpm._参照シート,"'[在庫状況把握_43期_2025-2026.xlsx]月次報告"&amp;TEXT(AT$1,"YYMM")&amp;"'",
_xlpm._実績,
  _xlfn.XLOOKUP($C116,
    INDIRECT(_xlpm._参照シート&amp;"!$C:$C"),
    INDIRECT(_xlpm._参照シート&amp;"!$G:$G")
  ),
_xlpm._着地予測,_xlfn.XLOOKUP($C116,INDIRECT(_xlpm._参照シート&amp;"!$C:$C"),INDIRECT(_xlpm._参照シート&amp;"!$AG:$AG")),
_xlpm._係数予測,IF(OR(AS116=0,AS116=""),"",AS116*AT$123),
_xlpm._今月1日,EOMONTH(基準データ!$C$5,-1)+1,
_xlpm._先月まで実績。今月は着地予測。翌月から係数予測,_xlfn.IFS($C116="","",AT$1&lt;_xlpm._今月1日,_xlpm._実績,AT$1=_xlpm._今月1日,_xlpm._着地予測,"true",_xlpm._係数予測),
IFERROR(_xlpm._先月まで実績。今月は着地予測。翌月から係数予測,"")
))</f>
        <v/>
      </c>
      <c r="AU116" s="223" t="str" cm="1">
        <f t="array" aca="1" ref="AU116" ca="1">IF($C116="","",
_xlfn.LET(
_xlpm._参照シート,"'[在庫状況把握_43期_2025-2026.xlsx]月次報告"&amp;TEXT(AU$1,"YYMM")&amp;"'",
_xlpm._実績,
  _xlfn.XLOOKUP($C116,
    INDIRECT(_xlpm._参照シート&amp;"!$C:$C"),
    INDIRECT(_xlpm._参照シート&amp;"!$G:$G")
  ),
_xlpm._着地予測,_xlfn.XLOOKUP($C116,INDIRECT(_xlpm._参照シート&amp;"!$C:$C"),INDIRECT(_xlpm._参照シート&amp;"!$AG:$AG")),
_xlpm._係数予測,IF(OR(AT116=0,AT116=""),"",AT116*AU$123),
_xlpm._今月1日,EOMONTH(基準データ!$C$5,-1)+1,
_xlpm._先月まで実績。今月は着地予測。翌月から係数予測,_xlfn.IFS($C116="","",AU$1&lt;_xlpm._今月1日,_xlpm._実績,AU$1=_xlpm._今月1日,_xlpm._着地予測,"true",_xlpm._係数予測),
IFERROR(_xlpm._先月まで実績。今月は着地予測。翌月から係数予測,"")
))</f>
        <v/>
      </c>
      <c r="AV116" s="223" t="str" cm="1">
        <f t="array" aca="1" ref="AV116" ca="1">IF($C116="","",
_xlfn.LET(
_xlpm._参照シート,"'[在庫状況把握_43期_2025-2026.xlsx]月次報告"&amp;TEXT(AV$1,"YYMM")&amp;"'",
_xlpm._実績,
  _xlfn.XLOOKUP($C116,
    INDIRECT(_xlpm._参照シート&amp;"!$C:$C"),
    INDIRECT(_xlpm._参照シート&amp;"!$G:$G")
  ),
_xlpm._着地予測,_xlfn.XLOOKUP($C116,INDIRECT(_xlpm._参照シート&amp;"!$C:$C"),INDIRECT(_xlpm._参照シート&amp;"!$AG:$AG")),
_xlpm._係数予測,IF(OR(AU116=0,AU116=""),"",AU116*AV$123),
_xlpm._今月1日,EOMONTH(基準データ!$C$5,-1)+1,
_xlpm._先月まで実績。今月は着地予測。翌月から係数予測,_xlfn.IFS($C116="","",AV$1&lt;_xlpm._今月1日,_xlpm._実績,AV$1=_xlpm._今月1日,_xlpm._着地予測,"true",_xlpm._係数予測),
IFERROR(_xlpm._先月まで実績。今月は着地予測。翌月から係数予測,"")
))</f>
        <v/>
      </c>
      <c r="AW116" s="223" t="str" cm="1">
        <f t="array" aca="1" ref="AW116" ca="1">IF($C116="","",
_xlfn.LET(
_xlpm._参照シート,"'[在庫状況把握_43期_2025-2026.xlsx]月次報告"&amp;TEXT(AW$1,"YYMM")&amp;"'",
_xlpm._実績,
  _xlfn.XLOOKUP($C116,
    INDIRECT(_xlpm._参照シート&amp;"!$C:$C"),
    INDIRECT(_xlpm._参照シート&amp;"!$G:$G")
  ),
_xlpm._着地予測,_xlfn.XLOOKUP($C116,INDIRECT(_xlpm._参照シート&amp;"!$C:$C"),INDIRECT(_xlpm._参照シート&amp;"!$AG:$AG")),
_xlpm._係数予測,IF(OR(AV116=0,AV116=""),"",AV116*AW$123),
_xlpm._今月1日,EOMONTH(基準データ!$C$5,-1)+1,
_xlpm._先月まで実績。今月は着地予測。翌月から係数予測,_xlfn.IFS($C116="","",AW$1&lt;_xlpm._今月1日,_xlpm._実績,AW$1=_xlpm._今月1日,_xlpm._着地予測,"true",_xlpm._係数予測),
IFERROR(_xlpm._先月まで実績。今月は着地予測。翌月から係数予測,"")
))</f>
        <v/>
      </c>
      <c r="AX116" s="223" t="str" cm="1">
        <f t="array" aca="1" ref="AX116" ca="1">IF($C116="","",
_xlfn.LET(
_xlpm._参照シート,"'[在庫状況把握_43期_2025-2026.xlsx]月次報告"&amp;TEXT(AX$1,"YYMM")&amp;"'",
_xlpm._実績,
  _xlfn.XLOOKUP($C116,
    INDIRECT(_xlpm._参照シート&amp;"!$C:$C"),
    INDIRECT(_xlpm._参照シート&amp;"!$G:$G")
  ),
_xlpm._着地予測,_xlfn.XLOOKUP($C116,INDIRECT(_xlpm._参照シート&amp;"!$C:$C"),INDIRECT(_xlpm._参照シート&amp;"!$AG:$AG")),
_xlpm._係数予測,IF(OR(AW116=0,AW116=""),"",AW116*AX$123),
_xlpm._今月1日,EOMONTH(基準データ!$C$5,-1)+1,
_xlpm._先月まで実績。今月は着地予測。翌月から係数予測,_xlfn.IFS($C116="","",AX$1&lt;_xlpm._今月1日,_xlpm._実績,AX$1=_xlpm._今月1日,_xlpm._着地予測,"true",_xlpm._係数予測),
IFERROR(_xlpm._先月まで実績。今月は着地予測。翌月から係数予測,"")
))</f>
        <v/>
      </c>
      <c r="AY116" s="223" t="str" cm="1">
        <f t="array" aca="1" ref="AY116" ca="1">IF($C116="","",
_xlfn.LET(
_xlpm._参照シート,"'[在庫状況把握_43期_2025-2026.xlsx]月次報告"&amp;TEXT(AY$1,"YYMM")&amp;"'",
_xlpm._実績,
  _xlfn.XLOOKUP($C116,
    INDIRECT(_xlpm._参照シート&amp;"!$C:$C"),
    INDIRECT(_xlpm._参照シート&amp;"!$G:$G")
  ),
_xlpm._着地予測,_xlfn.XLOOKUP($C116,INDIRECT(_xlpm._参照シート&amp;"!$C:$C"),INDIRECT(_xlpm._参照シート&amp;"!$AG:$AG")),
_xlpm._係数予測,IF(OR(AX116=0,AX116=""),"",AX116*AY$123),
_xlpm._今月1日,EOMONTH(基準データ!$C$5,-1)+1,
_xlpm._先月まで実績。今月は着地予測。翌月から係数予測,_xlfn.IFS($C116="","",AY$1&lt;_xlpm._今月1日,_xlpm._実績,AY$1=_xlpm._今月1日,_xlpm._着地予測,"true",_xlpm._係数予測),
IFERROR(_xlpm._先月まで実績。今月は着地予測。翌月から係数予測,"")
))</f>
        <v/>
      </c>
      <c r="AZ116" s="223" t="str" cm="1">
        <f t="array" aca="1" ref="AZ116" ca="1">IF($C116="","",
_xlfn.LET(
_xlpm._参照シート,"'[在庫状況把握_43期_2025-2026.xlsx]月次報告"&amp;TEXT(AZ$1,"YYMM")&amp;"'",
_xlpm._実績,
  _xlfn.XLOOKUP($C116,
    INDIRECT(_xlpm._参照シート&amp;"!$C:$C"),
    INDIRECT(_xlpm._参照シート&amp;"!$G:$G")
  ),
_xlpm._着地予測,_xlfn.XLOOKUP($C116,INDIRECT(_xlpm._参照シート&amp;"!$C:$C"),INDIRECT(_xlpm._参照シート&amp;"!$AG:$AG")),
_xlpm._係数予測,IF(OR(AY116=0,AY116=""),"",AY116*AZ$123),
_xlpm._今月1日,EOMONTH(基準データ!$C$5,-1)+1,
_xlpm._先月まで実績。今月は着地予測。翌月から係数予測,_xlfn.IFS($C116="","",AZ$1&lt;_xlpm._今月1日,_xlpm._実績,AZ$1=_xlpm._今月1日,_xlpm._着地予測,"true",_xlpm._係数予測),
IFERROR(_xlpm._先月まで実績。今月は着地予測。翌月から係数予測,"")
))</f>
        <v/>
      </c>
      <c r="BA116" s="223" t="str" cm="1">
        <f t="array" aca="1" ref="BA116" ca="1">IF($C116="","",
_xlfn.LET(
_xlpm._参照シート,"'[在庫状況把握_43期_2025-2026.xlsx]月次報告"&amp;TEXT(BA$1,"YYMM")&amp;"'",
_xlpm._実績,
  _xlfn.XLOOKUP($C116,
    INDIRECT(_xlpm._参照シート&amp;"!$C:$C"),
    INDIRECT(_xlpm._参照シート&amp;"!$G:$G")
  ),
_xlpm._着地予測,_xlfn.XLOOKUP($C116,INDIRECT(_xlpm._参照シート&amp;"!$C:$C"),INDIRECT(_xlpm._参照シート&amp;"!$AG:$AG")),
_xlpm._係数予測,IF(OR(AZ116=0,AZ116=""),"",AZ116*BA$123),
_xlpm._今月1日,EOMONTH(基準データ!$C$5,-1)+1,
_xlpm._先月まで実績。今月は着地予測。翌月から係数予測,_xlfn.IFS($C116="","",BA$1&lt;_xlpm._今月1日,_xlpm._実績,BA$1=_xlpm._今月1日,_xlpm._着地予測,"true",_xlpm._係数予測),
IFERROR(_xlpm._先月まで実績。今月は着地予測。翌月から係数予測,"")
))</f>
        <v/>
      </c>
      <c r="BB116" s="223" t="str" cm="1">
        <f t="array" aca="1" ref="BB116" ca="1">IF($C116="","",
_xlfn.LET(
_xlpm._参照シート,"'[在庫状況把握_43期_2025-2026.xlsx]月次報告"&amp;TEXT(BB$1,"YYMM")&amp;"'",
_xlpm._実績,
  _xlfn.XLOOKUP($C116,
    INDIRECT(_xlpm._参照シート&amp;"!$C:$C"),
    INDIRECT(_xlpm._参照シート&amp;"!$G:$G")
  ),
_xlpm._着地予測,_xlfn.XLOOKUP($C116,INDIRECT(_xlpm._参照シート&amp;"!$C:$C"),INDIRECT(_xlpm._参照シート&amp;"!$AG:$AG")),
_xlpm._係数予測,IF(OR(BA116=0,BA116=""),"",BA116*BB$123),
_xlpm._今月1日,EOMONTH(基準データ!$C$5,-1)+1,
_xlpm._先月まで実績。今月は着地予測。翌月から係数予測,_xlfn.IFS($C116="","",BB$1&lt;_xlpm._今月1日,_xlpm._実績,BB$1=_xlpm._今月1日,_xlpm._着地予測,"true",_xlpm._係数予測),
IFERROR(_xlpm._先月まで実績。今月は着地予測。翌月から係数予測,"")
))</f>
        <v/>
      </c>
      <c r="BC116" s="223" t="str" cm="1">
        <f t="array" aca="1" ref="BC116" ca="1">IF($C116="","",
_xlfn.LET(
_xlpm._参照シート,"'[在庫状況把握_43期_2025-2026.xlsx]月次報告"&amp;TEXT(BC$1,"YYMM")&amp;"'",
_xlpm._実績,
  _xlfn.XLOOKUP($C116,
    INDIRECT(_xlpm._参照シート&amp;"!$C:$C"),
    INDIRECT(_xlpm._参照シート&amp;"!$G:$G")
  ),
_xlpm._着地予測,_xlfn.XLOOKUP($C116,INDIRECT(_xlpm._参照シート&amp;"!$C:$C"),INDIRECT(_xlpm._参照シート&amp;"!$AG:$AG")),
_xlpm._係数予測,IF(OR(BB116=0,BB116=""),"",BB116*BC$123),
_xlpm._今月1日,EOMONTH(基準データ!$C$5,-1)+1,
_xlpm._先月まで実績。今月は着地予測。翌月から係数予測,_xlfn.IFS($C116="","",BC$1&lt;_xlpm._今月1日,_xlpm._実績,BC$1=_xlpm._今月1日,_xlpm._着地予測,"true",_xlpm._係数予測),
IFERROR(_xlpm._先月まで実績。今月は着地予測。翌月から係数予測,"")
))</f>
        <v/>
      </c>
      <c r="BD116" s="223" t="str" cm="1">
        <f t="array" aca="1" ref="BD116" ca="1">IF($C116="","",
_xlfn.LET(
_xlpm._参照シート,"'[在庫状況把握_43期_2025-2026.xlsx]月次報告"&amp;TEXT(BD$1,"YYMM")&amp;"'",
_xlpm._実績,
  _xlfn.XLOOKUP($C116,
    INDIRECT(_xlpm._参照シート&amp;"!$C:$C"),
    INDIRECT(_xlpm._参照シート&amp;"!$G:$G")
  ),
_xlpm._着地予測,_xlfn.XLOOKUP($C116,INDIRECT(_xlpm._参照シート&amp;"!$C:$C"),INDIRECT(_xlpm._参照シート&amp;"!$AG:$AG")),
_xlpm._係数予測,IF(OR(BC116=0,BC116=""),"",BC116*BD$123),
_xlpm._今月1日,EOMONTH(基準データ!$C$5,-1)+1,
_xlpm._先月まで実績。今月は着地予測。翌月から係数予測,_xlfn.IFS($C116="","",BD$1&lt;_xlpm._今月1日,_xlpm._実績,BD$1=_xlpm._今月1日,_xlpm._着地予測,"true",_xlpm._係数予測),
IFERROR(_xlpm._先月まで実績。今月は着地予測。翌月から係数予測,"")
))</f>
        <v/>
      </c>
    </row>
    <row r="117" spans="1:56">
      <c r="A117" s="1075" t="s">
        <v>1419</v>
      </c>
      <c r="B117" s="55" t="s">
        <v>1514</v>
      </c>
      <c r="C117" s="57" t="s">
        <v>1515</v>
      </c>
      <c r="D117" s="115" t="s">
        <v>1516</v>
      </c>
      <c r="E117" s="106">
        <v>4060</v>
      </c>
      <c r="F117" s="106" t="s">
        <v>1347</v>
      </c>
      <c r="G117" s="355">
        <v>0</v>
      </c>
      <c r="H117" s="109" t="str" cm="1">
        <f t="array" aca="1" ref="H117" ca="1">_xlfn.LET(_xlpm._来月から4ヶ月計画合計,
  SUM(
    OFFSET($A117,0,
      MATCH(
        EDATE(基準データ!$C$5,3),$A$1:$BF$1,1
      )-3,1,4)),
_xlpm._今月計画数,
INDEX($A$1:$BE$223,
  ROW(),
  MATCH(EOMONTH(基準データ!$C$5,-1)+1,$A$1:$BE$1,0)
),
  IFERROR(IF($B117="","",_xlpm._来月から4ヶ月計画合計+_xlpm._今月計画数/2),""
)
)</f>
        <v/>
      </c>
      <c r="I117" s="38" t="str">
        <f>IFERROR(IF(SUM(INDEX('在庫使用計画 (一般)'!$A$1:$BF$557,MATCH($C117,'在庫使用計画 (一般)'!$C$1:$C$557,0),MATCH(I$1,'在庫使用計画 (一般)'!$A$1:$BF$1,0)),INDEX('在庫使用計画 (法人)'!$A$1:$AT$578,MATCH($C117,'在庫使用計画 (法人)'!$C$1:$C$578,0),MATCH(I$1,'在庫使用計画 (法人)'!$A$1:$AT$1,0)))=0,"",SUM(INDEX('在庫使用計画 (一般)'!$A$1:$BF$557,MATCH($C117,'在庫使用計画 (一般)'!$C$1:$C$557,0),MATCH(I$1,'在庫使用計画 (一般)'!$A$1:$BF$1,0)),INDEX('在庫使用計画 (法人)'!$A$1:$AT$578,MATCH($C117,'在庫使用計画 (法人)'!$C$1:$C$578,0),MATCH(I$1,'在庫使用計画 (法人)'!$A$1:$AT$1,0)))),"")</f>
        <v/>
      </c>
      <c r="J117" s="38" t="str">
        <f>IFERROR(IF(SUM(INDEX('在庫使用計画 (一般)'!$A$1:$BF$557,MATCH($C117,'在庫使用計画 (一般)'!$C$1:$C$557,0),MATCH(J$1,'在庫使用計画 (一般)'!$A$1:$BF$1,0)),INDEX('在庫使用計画 (法人)'!$A$1:$AT$578,MATCH($C117,'在庫使用計画 (法人)'!$C$1:$C$578,0),MATCH(J$1,'在庫使用計画 (法人)'!$A$1:$AT$1,0)))=0,"",SUM(INDEX('在庫使用計画 (一般)'!$A$1:$BF$557,MATCH($C117,'在庫使用計画 (一般)'!$C$1:$C$557,0),MATCH(J$1,'在庫使用計画 (一般)'!$A$1:$BF$1,0)),INDEX('在庫使用計画 (法人)'!$A$1:$AT$578,MATCH($C117,'在庫使用計画 (法人)'!$C$1:$C$578,0),MATCH(J$1,'在庫使用計画 (法人)'!$A$1:$AT$1,0)))),"")</f>
        <v/>
      </c>
      <c r="K117" s="38" t="str">
        <f>IFERROR(IF(SUM(INDEX('在庫使用計画 (一般)'!$A$1:$BF$557,MATCH($C117,'在庫使用計画 (一般)'!$C$1:$C$557,0),MATCH(K$1,'在庫使用計画 (一般)'!$A$1:$BF$1,0)),INDEX('在庫使用計画 (法人)'!$A$1:$AT$578,MATCH($C117,'在庫使用計画 (法人)'!$C$1:$C$578,0),MATCH(K$1,'在庫使用計画 (法人)'!$A$1:$AT$1,0)))=0,"",SUM(INDEX('在庫使用計画 (一般)'!$A$1:$BF$557,MATCH($C117,'在庫使用計画 (一般)'!$C$1:$C$557,0),MATCH(K$1,'在庫使用計画 (一般)'!$A$1:$BF$1,0)),INDEX('在庫使用計画 (法人)'!$A$1:$AT$578,MATCH($C117,'在庫使用計画 (法人)'!$C$1:$C$578,0),MATCH(K$1,'在庫使用計画 (法人)'!$A$1:$AT$1,0)))),"")</f>
        <v/>
      </c>
      <c r="L117" s="38" t="str">
        <f>IFERROR(IF(SUM(INDEX('在庫使用計画 (一般)'!$A$1:$BF$557,MATCH($C117,'在庫使用計画 (一般)'!$C$1:$C$557,0),MATCH(L$1,'在庫使用計画 (一般)'!$A$1:$BF$1,0)),INDEX('在庫使用計画 (法人)'!$A$1:$AT$578,MATCH($C117,'在庫使用計画 (法人)'!$C$1:$C$578,0),MATCH(L$1,'在庫使用計画 (法人)'!$A$1:$AT$1,0)))=0,"",SUM(INDEX('在庫使用計画 (一般)'!$A$1:$BF$557,MATCH($C117,'在庫使用計画 (一般)'!$C$1:$C$557,0),MATCH(L$1,'在庫使用計画 (一般)'!$A$1:$BF$1,0)),INDEX('在庫使用計画 (法人)'!$A$1:$AT$578,MATCH($C117,'在庫使用計画 (法人)'!$C$1:$C$578,0),MATCH(L$1,'在庫使用計画 (法人)'!$A$1:$AT$1,0)))),"")</f>
        <v/>
      </c>
      <c r="M117" s="38">
        <f>IFERROR(IF(SUM(INDEX('在庫使用計画 (一般)'!$A$1:$BF$557,MATCH($C117,'在庫使用計画 (一般)'!$C$1:$C$557,0),MATCH(M$1,'在庫使用計画 (一般)'!$A$1:$BF$1,0)),INDEX('在庫使用計画 (法人)'!$A$1:$AT$578,MATCH($C117,'在庫使用計画 (法人)'!$C$1:$C$578,0),MATCH(M$1,'在庫使用計画 (法人)'!$A$1:$AT$1,0)))=0,"",SUM(INDEX('在庫使用計画 (一般)'!$A$1:$BF$557,MATCH($C117,'在庫使用計画 (一般)'!$C$1:$C$557,0),MATCH(M$1,'在庫使用計画 (一般)'!$A$1:$BF$1,0)),INDEX('在庫使用計画 (法人)'!$A$1:$AT$578,MATCH($C117,'在庫使用計画 (法人)'!$C$1:$C$578,0),MATCH(M$1,'在庫使用計画 (法人)'!$A$1:$AT$1,0)))),"")</f>
        <v>20</v>
      </c>
      <c r="N117" s="38">
        <f>IFERROR(IF(SUM(INDEX('在庫使用計画 (一般)'!$A$1:$BF$557,MATCH($C117,'在庫使用計画 (一般)'!$C$1:$C$557,0),MATCH(N$1,'在庫使用計画 (一般)'!$A$1:$BF$1,0)),INDEX('在庫使用計画 (法人)'!$A$1:$AT$578,MATCH($C117,'在庫使用計画 (法人)'!$C$1:$C$578,0),MATCH(N$1,'在庫使用計画 (法人)'!$A$1:$AT$1,0)))=0,"",SUM(INDEX('在庫使用計画 (一般)'!$A$1:$BF$557,MATCH($C117,'在庫使用計画 (一般)'!$C$1:$C$557,0),MATCH(N$1,'在庫使用計画 (一般)'!$A$1:$BF$1,0)),INDEX('在庫使用計画 (法人)'!$A$1:$AT$578,MATCH($C117,'在庫使用計画 (法人)'!$C$1:$C$578,0),MATCH(N$1,'在庫使用計画 (法人)'!$A$1:$AT$1,0)))),"")</f>
        <v>170</v>
      </c>
      <c r="O117" s="38">
        <f>IFERROR(IF(SUM(INDEX('在庫使用計画 (一般)'!$A$1:$BF$557,MATCH($C117,'在庫使用計画 (一般)'!$C$1:$C$557,0),MATCH(O$1,'在庫使用計画 (一般)'!$A$1:$BF$1,0)),INDEX('在庫使用計画 (法人)'!$A$1:$AT$578,MATCH($C117,'在庫使用計画 (法人)'!$C$1:$C$578,0),MATCH(O$1,'在庫使用計画 (法人)'!$A$1:$AT$1,0)))=0,"",SUM(INDEX('在庫使用計画 (一般)'!$A$1:$BF$557,MATCH($C117,'在庫使用計画 (一般)'!$C$1:$C$557,0),MATCH(O$1,'在庫使用計画 (一般)'!$A$1:$BF$1,0)),INDEX('在庫使用計画 (法人)'!$A$1:$AT$578,MATCH($C117,'在庫使用計画 (法人)'!$C$1:$C$578,0),MATCH(O$1,'在庫使用計画 (法人)'!$A$1:$AT$1,0)))),"")</f>
        <v>120</v>
      </c>
      <c r="P117" s="38">
        <f>IFERROR(IF(SUM(INDEX('在庫使用計画 (一般)'!$A$1:$BF$557,MATCH($C117,'在庫使用計画 (一般)'!$C$1:$C$557,0),MATCH(P$1,'在庫使用計画 (一般)'!$A$1:$BF$1,0)),INDEX('在庫使用計画 (法人)'!$A$1:$AT$578,MATCH($C117,'在庫使用計画 (法人)'!$C$1:$C$578,0),MATCH(P$1,'在庫使用計画 (法人)'!$A$1:$AT$1,0)))=0,"",SUM(INDEX('在庫使用計画 (一般)'!$A$1:$BF$557,MATCH($C117,'在庫使用計画 (一般)'!$C$1:$C$557,0),MATCH(P$1,'在庫使用計画 (一般)'!$A$1:$BF$1,0)),INDEX('在庫使用計画 (法人)'!$A$1:$AT$578,MATCH($C117,'在庫使用計画 (法人)'!$C$1:$C$578,0),MATCH(P$1,'在庫使用計画 (法人)'!$A$1:$AT$1,0)))),"")</f>
        <v>7</v>
      </c>
      <c r="Q117" s="219">
        <f>IFERROR(IF(SUM(INDEX('在庫使用計画 (一般)'!$A$1:$BF$557,MATCH($C117,'在庫使用計画 (一般)'!$C$1:$C$557,0),MATCH(Q$1,'在庫使用計画 (一般)'!$A$1:$BF$1,0)),INDEX('在庫使用計画 (法人)'!$A$1:$AT$578,MATCH($C117,'在庫使用計画 (法人)'!$C$1:$C$578,0),MATCH(Q$1,'在庫使用計画 (法人)'!$A$1:$AT$1,0)))=0,"",SUM(INDEX('在庫使用計画 (一般)'!$A$1:$BF$557,MATCH($C117,'在庫使用計画 (一般)'!$C$1:$C$557,0),MATCH(Q$1,'在庫使用計画 (一般)'!$A$1:$BF$1,0)),INDEX('在庫使用計画 (法人)'!$A$1:$AT$578,MATCH($C117,'在庫使用計画 (法人)'!$C$1:$C$578,0),MATCH(Q$1,'在庫使用計画 (法人)'!$A$1:$AT$1,0)))),"")</f>
        <v>176</v>
      </c>
      <c r="R117" s="219">
        <f>IFERROR(IF(SUM(INDEX('在庫使用計画 (一般)'!$A$1:$BF$557,MATCH($C117,'在庫使用計画 (一般)'!$C$1:$C$557,0),MATCH(R$1,'在庫使用計画 (一般)'!$A$1:$BF$1,0)),INDEX('在庫使用計画 (法人)'!$A$1:$AT$578,MATCH($C117,'在庫使用計画 (法人)'!$C$1:$C$578,0),MATCH(R$1,'在庫使用計画 (法人)'!$A$1:$AT$1,0)))=0,"",SUM(INDEX('在庫使用計画 (一般)'!$A$1:$BF$557,MATCH($C117,'在庫使用計画 (一般)'!$C$1:$C$557,0),MATCH(R$1,'在庫使用計画 (一般)'!$A$1:$BF$1,0)),INDEX('在庫使用計画 (法人)'!$A$1:$AT$578,MATCH($C117,'在庫使用計画 (法人)'!$C$1:$C$578,0),MATCH(R$1,'在庫使用計画 (法人)'!$A$1:$AT$1,0)))),"")</f>
        <v>53</v>
      </c>
      <c r="S117" s="219">
        <f>IFERROR(IF(SUM(INDEX('在庫使用計画 (一般)'!$A$1:$BF$557,MATCH($C117,'在庫使用計画 (一般)'!$C$1:$C$557,0),MATCH(S$1,'在庫使用計画 (一般)'!$A$1:$BF$1,0)),INDEX('在庫使用計画 (法人)'!$A$1:$AT$578,MATCH($C117,'在庫使用計画 (法人)'!$C$1:$C$578,0),MATCH(S$1,'在庫使用計画 (法人)'!$A$1:$AT$1,0)))=0,"",SUM(INDEX('在庫使用計画 (一般)'!$A$1:$BF$557,MATCH($C117,'在庫使用計画 (一般)'!$C$1:$C$557,0),MATCH(S$1,'在庫使用計画 (一般)'!$A$1:$BF$1,0)),INDEX('在庫使用計画 (法人)'!$A$1:$AT$578,MATCH($C117,'在庫使用計画 (法人)'!$C$1:$C$578,0),MATCH(S$1,'在庫使用計画 (法人)'!$A$1:$AT$1,0)))),"")</f>
        <v>97</v>
      </c>
      <c r="T117" s="219">
        <f>IFERROR(IF(SUM(INDEX('在庫使用計画 (一般)'!$A$1:$BF$557,MATCH($C117,'在庫使用計画 (一般)'!$C$1:$C$557,0),MATCH(T$1,'在庫使用計画 (一般)'!$A$1:$BF$1,0)),INDEX('在庫使用計画 (法人)'!$A$1:$AT$578,MATCH($C117,'在庫使用計画 (法人)'!$C$1:$C$578,0),MATCH(T$1,'在庫使用計画 (法人)'!$A$1:$AT$1,0)))=0,"",SUM(INDEX('在庫使用計画 (一般)'!$A$1:$BF$557,MATCH($C117,'在庫使用計画 (一般)'!$C$1:$C$557,0),MATCH(T$1,'在庫使用計画 (一般)'!$A$1:$BF$1,0)),INDEX('在庫使用計画 (法人)'!$A$1:$AT$578,MATCH($C117,'在庫使用計画 (法人)'!$C$1:$C$578,0),MATCH(T$1,'在庫使用計画 (法人)'!$A$1:$AT$1,0)))),"")</f>
        <v>195</v>
      </c>
      <c r="U117" s="224">
        <v>218</v>
      </c>
      <c r="V117" s="224">
        <v>245</v>
      </c>
      <c r="W117" s="224">
        <v>510</v>
      </c>
      <c r="X117" s="224">
        <v>119</v>
      </c>
      <c r="Y117" s="224">
        <v>69</v>
      </c>
      <c r="Z117" s="224">
        <v>11</v>
      </c>
      <c r="AA117" s="224">
        <v>-56</v>
      </c>
      <c r="AB117" s="224">
        <v>4</v>
      </c>
      <c r="AC117" s="224">
        <v>23</v>
      </c>
      <c r="AD117" s="224">
        <v>0</v>
      </c>
      <c r="AE117" s="223">
        <v>0</v>
      </c>
      <c r="AF117" s="223">
        <v>8</v>
      </c>
      <c r="AG117" s="223">
        <v>0</v>
      </c>
      <c r="AH117" s="223">
        <v>0</v>
      </c>
      <c r="AI117" s="223">
        <v>0</v>
      </c>
      <c r="AJ117" s="223" t="s">
        <v>21</v>
      </c>
      <c r="AK117" s="223" t="s">
        <v>21</v>
      </c>
      <c r="AL117" s="223" t="str" cm="1">
        <f t="array" aca="1" ref="AL117" ca="1">IF($C117="","",
_xlfn.LET(
_xlpm._参照シート,"'[在庫状況把握_43期_2025-2026.xlsx]月次報告"&amp;TEXT(AL$1,"YYMM")&amp;"'",
_xlpm._実績,
  _xlfn.XLOOKUP($C117,
    INDIRECT(_xlpm._参照シート&amp;"!$C:$C"),
    INDIRECT(_xlpm._参照シート&amp;"!$G:$G")
  ),
_xlpm._着地予測,_xlfn.XLOOKUP($C117,INDIRECT(_xlpm._参照シート&amp;"!$C:$C"),INDIRECT(_xlpm._参照シート&amp;"!$AG:$AG")),
_xlpm._係数予測,IF(OR(AK117=0,AK117=""),"",AK117*AL$123),
_xlpm._今月1日,EOMONTH(基準データ!$C$5,-1)+1,
_xlpm._先月まで実績。今月は着地予測。翌月から係数予測,_xlfn.IFS($C117="","",AL$1&lt;_xlpm._今月1日,_xlpm._実績,AL$1=_xlpm._今月1日,_xlpm._着地予測,"true",_xlpm._係数予測),
IFERROR(_xlpm._先月まで実績。今月は着地予測。翌月から係数予測,"")
))</f>
        <v/>
      </c>
      <c r="AM117" s="223" t="str" cm="1">
        <f t="array" aca="1" ref="AM117" ca="1">IF($C117="","",
_xlfn.LET(
_xlpm._参照シート,"'[在庫状況把握_43期_2025-2026.xlsx]月次報告"&amp;TEXT(AM$1,"YYMM")&amp;"'",
_xlpm._実績,
  _xlfn.XLOOKUP($C117,
    INDIRECT(_xlpm._参照シート&amp;"!$C:$C"),
    INDIRECT(_xlpm._参照シート&amp;"!$G:$G")
  ),
_xlpm._着地予測,_xlfn.XLOOKUP($C117,INDIRECT(_xlpm._参照シート&amp;"!$C:$C"),INDIRECT(_xlpm._参照シート&amp;"!$AG:$AG")),
_xlpm._係数予測,IF(OR(AL117=0,AL117=""),"",AL117*AM$123),
_xlpm._今月1日,EOMONTH(基準データ!$C$5,-1)+1,
_xlpm._先月まで実績。今月は着地予測。翌月から係数予測,_xlfn.IFS($C117="","",AM$1&lt;_xlpm._今月1日,_xlpm._実績,AM$1=_xlpm._今月1日,_xlpm._着地予測,"true",_xlpm._係数予測),
IFERROR(_xlpm._先月まで実績。今月は着地予測。翌月から係数予測,"")
))</f>
        <v/>
      </c>
      <c r="AN117" s="223" t="str" cm="1">
        <f t="array" aca="1" ref="AN117" ca="1">IF($C117="","",
_xlfn.LET(
_xlpm._参照シート,"'[在庫状況把握_43期_2025-2026.xlsx]月次報告"&amp;TEXT(AN$1,"YYMM")&amp;"'",
_xlpm._実績,
  _xlfn.XLOOKUP($C117,
    INDIRECT(_xlpm._参照シート&amp;"!$C:$C"),
    INDIRECT(_xlpm._参照シート&amp;"!$G:$G")
  ),
_xlpm._着地予測,_xlfn.XLOOKUP($C117,INDIRECT(_xlpm._参照シート&amp;"!$C:$C"),INDIRECT(_xlpm._参照シート&amp;"!$AG:$AG")),
_xlpm._係数予測,IF(OR(AM117=0,AM117=""),"",AM117*AN$123),
_xlpm._今月1日,EOMONTH(基準データ!$C$5,-1)+1,
_xlpm._先月まで実績。今月は着地予測。翌月から係数予測,_xlfn.IFS($C117="","",AN$1&lt;_xlpm._今月1日,_xlpm._実績,AN$1=_xlpm._今月1日,_xlpm._着地予測,"true",_xlpm._係数予測),
IFERROR(_xlpm._先月まで実績。今月は着地予測。翌月から係数予測,"")
))</f>
        <v/>
      </c>
      <c r="AO117" s="223" t="str" cm="1">
        <f t="array" aca="1" ref="AO117" ca="1">IF($C117="","",
_xlfn.LET(
_xlpm._参照シート,"'[在庫状況把握_43期_2025-2026.xlsx]月次報告"&amp;TEXT(AO$1,"YYMM")&amp;"'",
_xlpm._実績,
  _xlfn.XLOOKUP($C117,
    INDIRECT(_xlpm._参照シート&amp;"!$C:$C"),
    INDIRECT(_xlpm._参照シート&amp;"!$G:$G")
  ),
_xlpm._着地予測,_xlfn.XLOOKUP($C117,INDIRECT(_xlpm._参照シート&amp;"!$C:$C"),INDIRECT(_xlpm._参照シート&amp;"!$AG:$AG")),
_xlpm._係数予測,IF(OR(AN117=0,AN117=""),"",AN117*AO$123),
_xlpm._今月1日,EOMONTH(基準データ!$C$5,-1)+1,
_xlpm._先月まで実績。今月は着地予測。翌月から係数予測,_xlfn.IFS($C117="","",AO$1&lt;_xlpm._今月1日,_xlpm._実績,AO$1=_xlpm._今月1日,_xlpm._着地予測,"true",_xlpm._係数予測),
IFERROR(_xlpm._先月まで実績。今月は着地予測。翌月から係数予測,"")
))</f>
        <v/>
      </c>
      <c r="AP117" s="223" t="str" cm="1">
        <f t="array" aca="1" ref="AP117" ca="1">IF($C117="","",
_xlfn.LET(
_xlpm._参照シート,"'[在庫状況把握_43期_2025-2026.xlsx]月次報告"&amp;TEXT(AP$1,"YYMM")&amp;"'",
_xlpm._実績,
  _xlfn.XLOOKUP($C117,
    INDIRECT(_xlpm._参照シート&amp;"!$C:$C"),
    INDIRECT(_xlpm._参照シート&amp;"!$G:$G")
  ),
_xlpm._着地予測,_xlfn.XLOOKUP($C117,INDIRECT(_xlpm._参照シート&amp;"!$C:$C"),INDIRECT(_xlpm._参照シート&amp;"!$AG:$AG")),
_xlpm._係数予測,IF(OR(AO117=0,AO117=""),"",AO117*AP$123),
_xlpm._今月1日,EOMONTH(基準データ!$C$5,-1)+1,
_xlpm._先月まで実績。今月は着地予測。翌月から係数予測,_xlfn.IFS($C117="","",AP$1&lt;_xlpm._今月1日,_xlpm._実績,AP$1=_xlpm._今月1日,_xlpm._着地予測,"true",_xlpm._係数予測),
IFERROR(_xlpm._先月まで実績。今月は着地予測。翌月から係数予測,"")
))</f>
        <v/>
      </c>
      <c r="AQ117" s="223" t="str" cm="1">
        <f t="array" aca="1" ref="AQ117" ca="1">IF($C117="","",
_xlfn.LET(
_xlpm._参照シート,"'[在庫状況把握_43期_2025-2026.xlsx]月次報告"&amp;TEXT(AQ$1,"YYMM")&amp;"'",
_xlpm._実績,
  _xlfn.XLOOKUP($C117,
    INDIRECT(_xlpm._参照シート&amp;"!$C:$C"),
    INDIRECT(_xlpm._参照シート&amp;"!$G:$G")
  ),
_xlpm._着地予測,_xlfn.XLOOKUP($C117,INDIRECT(_xlpm._参照シート&amp;"!$C:$C"),INDIRECT(_xlpm._参照シート&amp;"!$AG:$AG")),
_xlpm._係数予測,IF(OR(AP117=0,AP117=""),"",AP117*AQ$123),
_xlpm._今月1日,EOMONTH(基準データ!$C$5,-1)+1,
_xlpm._先月まで実績。今月は着地予測。翌月から係数予測,_xlfn.IFS($C117="","",AQ$1&lt;_xlpm._今月1日,_xlpm._実績,AQ$1=_xlpm._今月1日,_xlpm._着地予測,"true",_xlpm._係数予測),
IFERROR(_xlpm._先月まで実績。今月は着地予測。翌月から係数予測,"")
))</f>
        <v/>
      </c>
      <c r="AR117" s="223" t="str" cm="1">
        <f t="array" aca="1" ref="AR117" ca="1">IF($C117="","",
_xlfn.LET(
_xlpm._参照シート,"'[在庫状況把握_43期_2025-2026.xlsx]月次報告"&amp;TEXT(AR$1,"YYMM")&amp;"'",
_xlpm._実績,
  _xlfn.XLOOKUP($C117,
    INDIRECT(_xlpm._参照シート&amp;"!$C:$C"),
    INDIRECT(_xlpm._参照シート&amp;"!$G:$G")
  ),
_xlpm._着地予測,_xlfn.XLOOKUP($C117,INDIRECT(_xlpm._参照シート&amp;"!$C:$C"),INDIRECT(_xlpm._参照シート&amp;"!$AG:$AG")),
_xlpm._係数予測,IF(OR(AQ117=0,AQ117=""),"",AQ117*AR$123),
_xlpm._今月1日,EOMONTH(基準データ!$C$5,-1)+1,
_xlpm._先月まで実績。今月は着地予測。翌月から係数予測,_xlfn.IFS($C117="","",AR$1&lt;_xlpm._今月1日,_xlpm._実績,AR$1=_xlpm._今月1日,_xlpm._着地予測,"true",_xlpm._係数予測),
IFERROR(_xlpm._先月まで実績。今月は着地予測。翌月から係数予測,"")
))</f>
        <v/>
      </c>
      <c r="AS117" s="223" t="str" cm="1">
        <f t="array" aca="1" ref="AS117" ca="1">IF($C117="","",
_xlfn.LET(
_xlpm._参照シート,"'[在庫状況把握_43期_2025-2026.xlsx]月次報告"&amp;TEXT(AS$1,"YYMM")&amp;"'",
_xlpm._実績,
  _xlfn.XLOOKUP($C117,
    INDIRECT(_xlpm._参照シート&amp;"!$C:$C"),
    INDIRECT(_xlpm._参照シート&amp;"!$G:$G")
  ),
_xlpm._着地予測,_xlfn.XLOOKUP($C117,INDIRECT(_xlpm._参照シート&amp;"!$C:$C"),INDIRECT(_xlpm._参照シート&amp;"!$AG:$AG")),
_xlpm._係数予測,IF(OR(AR117=0,AR117=""),"",AR117*AS$123),
_xlpm._今月1日,EOMONTH(基準データ!$C$5,-1)+1,
_xlpm._先月まで実績。今月は着地予測。翌月から係数予測,_xlfn.IFS($C117="","",AS$1&lt;_xlpm._今月1日,_xlpm._実績,AS$1=_xlpm._今月1日,_xlpm._着地予測,"true",_xlpm._係数予測),
IFERROR(_xlpm._先月まで実績。今月は着地予測。翌月から係数予測,"")
))</f>
        <v/>
      </c>
      <c r="AT117" s="223" t="str" cm="1">
        <f t="array" aca="1" ref="AT117" ca="1">IF($C117="","",
_xlfn.LET(
_xlpm._参照シート,"'[在庫状況把握_43期_2025-2026.xlsx]月次報告"&amp;TEXT(AT$1,"YYMM")&amp;"'",
_xlpm._実績,
  _xlfn.XLOOKUP($C117,
    INDIRECT(_xlpm._参照シート&amp;"!$C:$C"),
    INDIRECT(_xlpm._参照シート&amp;"!$G:$G")
  ),
_xlpm._着地予測,_xlfn.XLOOKUP($C117,INDIRECT(_xlpm._参照シート&amp;"!$C:$C"),INDIRECT(_xlpm._参照シート&amp;"!$AG:$AG")),
_xlpm._係数予測,IF(OR(AS117=0,AS117=""),"",AS117*AT$123),
_xlpm._今月1日,EOMONTH(基準データ!$C$5,-1)+1,
_xlpm._先月まで実績。今月は着地予測。翌月から係数予測,_xlfn.IFS($C117="","",AT$1&lt;_xlpm._今月1日,_xlpm._実績,AT$1=_xlpm._今月1日,_xlpm._着地予測,"true",_xlpm._係数予測),
IFERROR(_xlpm._先月まで実績。今月は着地予測。翌月から係数予測,"")
))</f>
        <v/>
      </c>
      <c r="AU117" s="223" t="str" cm="1">
        <f t="array" aca="1" ref="AU117" ca="1">IF($C117="","",
_xlfn.LET(
_xlpm._参照シート,"'[在庫状況把握_43期_2025-2026.xlsx]月次報告"&amp;TEXT(AU$1,"YYMM")&amp;"'",
_xlpm._実績,
  _xlfn.XLOOKUP($C117,
    INDIRECT(_xlpm._参照シート&amp;"!$C:$C"),
    INDIRECT(_xlpm._参照シート&amp;"!$G:$G")
  ),
_xlpm._着地予測,_xlfn.XLOOKUP($C117,INDIRECT(_xlpm._参照シート&amp;"!$C:$C"),INDIRECT(_xlpm._参照シート&amp;"!$AG:$AG")),
_xlpm._係数予測,IF(OR(AT117=0,AT117=""),"",AT117*AU$123),
_xlpm._今月1日,EOMONTH(基準データ!$C$5,-1)+1,
_xlpm._先月まで実績。今月は着地予測。翌月から係数予測,_xlfn.IFS($C117="","",AU$1&lt;_xlpm._今月1日,_xlpm._実績,AU$1=_xlpm._今月1日,_xlpm._着地予測,"true",_xlpm._係数予測),
IFERROR(_xlpm._先月まで実績。今月は着地予測。翌月から係数予測,"")
))</f>
        <v/>
      </c>
      <c r="AV117" s="223" t="str" cm="1">
        <f t="array" aca="1" ref="AV117" ca="1">IF($C117="","",
_xlfn.LET(
_xlpm._参照シート,"'[在庫状況把握_43期_2025-2026.xlsx]月次報告"&amp;TEXT(AV$1,"YYMM")&amp;"'",
_xlpm._実績,
  _xlfn.XLOOKUP($C117,
    INDIRECT(_xlpm._参照シート&amp;"!$C:$C"),
    INDIRECT(_xlpm._参照シート&amp;"!$G:$G")
  ),
_xlpm._着地予測,_xlfn.XLOOKUP($C117,INDIRECT(_xlpm._参照シート&amp;"!$C:$C"),INDIRECT(_xlpm._参照シート&amp;"!$AG:$AG")),
_xlpm._係数予測,IF(OR(AU117=0,AU117=""),"",AU117*AV$123),
_xlpm._今月1日,EOMONTH(基準データ!$C$5,-1)+1,
_xlpm._先月まで実績。今月は着地予測。翌月から係数予測,_xlfn.IFS($C117="","",AV$1&lt;_xlpm._今月1日,_xlpm._実績,AV$1=_xlpm._今月1日,_xlpm._着地予測,"true",_xlpm._係数予測),
IFERROR(_xlpm._先月まで実績。今月は着地予測。翌月から係数予測,"")
))</f>
        <v/>
      </c>
      <c r="AW117" s="223" t="str" cm="1">
        <f t="array" aca="1" ref="AW117" ca="1">IF($C117="","",
_xlfn.LET(
_xlpm._参照シート,"'[在庫状況把握_43期_2025-2026.xlsx]月次報告"&amp;TEXT(AW$1,"YYMM")&amp;"'",
_xlpm._実績,
  _xlfn.XLOOKUP($C117,
    INDIRECT(_xlpm._参照シート&amp;"!$C:$C"),
    INDIRECT(_xlpm._参照シート&amp;"!$G:$G")
  ),
_xlpm._着地予測,_xlfn.XLOOKUP($C117,INDIRECT(_xlpm._参照シート&amp;"!$C:$C"),INDIRECT(_xlpm._参照シート&amp;"!$AG:$AG")),
_xlpm._係数予測,IF(OR(AV117=0,AV117=""),"",AV117*AW$123),
_xlpm._今月1日,EOMONTH(基準データ!$C$5,-1)+1,
_xlpm._先月まで実績。今月は着地予測。翌月から係数予測,_xlfn.IFS($C117="","",AW$1&lt;_xlpm._今月1日,_xlpm._実績,AW$1=_xlpm._今月1日,_xlpm._着地予測,"true",_xlpm._係数予測),
IFERROR(_xlpm._先月まで実績。今月は着地予測。翌月から係数予測,"")
))</f>
        <v/>
      </c>
      <c r="AX117" s="223" t="str" cm="1">
        <f t="array" aca="1" ref="AX117" ca="1">IF($C117="","",
_xlfn.LET(
_xlpm._参照シート,"'[在庫状況把握_43期_2025-2026.xlsx]月次報告"&amp;TEXT(AX$1,"YYMM")&amp;"'",
_xlpm._実績,
  _xlfn.XLOOKUP($C117,
    INDIRECT(_xlpm._参照シート&amp;"!$C:$C"),
    INDIRECT(_xlpm._参照シート&amp;"!$G:$G")
  ),
_xlpm._着地予測,_xlfn.XLOOKUP($C117,INDIRECT(_xlpm._参照シート&amp;"!$C:$C"),INDIRECT(_xlpm._参照シート&amp;"!$AG:$AG")),
_xlpm._係数予測,IF(OR(AW117=0,AW117=""),"",AW117*AX$123),
_xlpm._今月1日,EOMONTH(基準データ!$C$5,-1)+1,
_xlpm._先月まで実績。今月は着地予測。翌月から係数予測,_xlfn.IFS($C117="","",AX$1&lt;_xlpm._今月1日,_xlpm._実績,AX$1=_xlpm._今月1日,_xlpm._着地予測,"true",_xlpm._係数予測),
IFERROR(_xlpm._先月まで実績。今月は着地予測。翌月から係数予測,"")
))</f>
        <v/>
      </c>
      <c r="AY117" s="223" t="str" cm="1">
        <f t="array" aca="1" ref="AY117" ca="1">IF($C117="","",
_xlfn.LET(
_xlpm._参照シート,"'[在庫状況把握_43期_2025-2026.xlsx]月次報告"&amp;TEXT(AY$1,"YYMM")&amp;"'",
_xlpm._実績,
  _xlfn.XLOOKUP($C117,
    INDIRECT(_xlpm._参照シート&amp;"!$C:$C"),
    INDIRECT(_xlpm._参照シート&amp;"!$G:$G")
  ),
_xlpm._着地予測,_xlfn.XLOOKUP($C117,INDIRECT(_xlpm._参照シート&amp;"!$C:$C"),INDIRECT(_xlpm._参照シート&amp;"!$AG:$AG")),
_xlpm._係数予測,IF(OR(AX117=0,AX117=""),"",AX117*AY$123),
_xlpm._今月1日,EOMONTH(基準データ!$C$5,-1)+1,
_xlpm._先月まで実績。今月は着地予測。翌月から係数予測,_xlfn.IFS($C117="","",AY$1&lt;_xlpm._今月1日,_xlpm._実績,AY$1=_xlpm._今月1日,_xlpm._着地予測,"true",_xlpm._係数予測),
IFERROR(_xlpm._先月まで実績。今月は着地予測。翌月から係数予測,"")
))</f>
        <v/>
      </c>
      <c r="AZ117" s="223" t="str" cm="1">
        <f t="array" aca="1" ref="AZ117" ca="1">IF($C117="","",
_xlfn.LET(
_xlpm._参照シート,"'[在庫状況把握_43期_2025-2026.xlsx]月次報告"&amp;TEXT(AZ$1,"YYMM")&amp;"'",
_xlpm._実績,
  _xlfn.XLOOKUP($C117,
    INDIRECT(_xlpm._参照シート&amp;"!$C:$C"),
    INDIRECT(_xlpm._参照シート&amp;"!$G:$G")
  ),
_xlpm._着地予測,_xlfn.XLOOKUP($C117,INDIRECT(_xlpm._参照シート&amp;"!$C:$C"),INDIRECT(_xlpm._参照シート&amp;"!$AG:$AG")),
_xlpm._係数予測,IF(OR(AY117=0,AY117=""),"",AY117*AZ$123),
_xlpm._今月1日,EOMONTH(基準データ!$C$5,-1)+1,
_xlpm._先月まで実績。今月は着地予測。翌月から係数予測,_xlfn.IFS($C117="","",AZ$1&lt;_xlpm._今月1日,_xlpm._実績,AZ$1=_xlpm._今月1日,_xlpm._着地予測,"true",_xlpm._係数予測),
IFERROR(_xlpm._先月まで実績。今月は着地予測。翌月から係数予測,"")
))</f>
        <v/>
      </c>
      <c r="BA117" s="223" t="str" cm="1">
        <f t="array" aca="1" ref="BA117" ca="1">IF($C117="","",
_xlfn.LET(
_xlpm._参照シート,"'[在庫状況把握_43期_2025-2026.xlsx]月次報告"&amp;TEXT(BA$1,"YYMM")&amp;"'",
_xlpm._実績,
  _xlfn.XLOOKUP($C117,
    INDIRECT(_xlpm._参照シート&amp;"!$C:$C"),
    INDIRECT(_xlpm._参照シート&amp;"!$G:$G")
  ),
_xlpm._着地予測,_xlfn.XLOOKUP($C117,INDIRECT(_xlpm._参照シート&amp;"!$C:$C"),INDIRECT(_xlpm._参照シート&amp;"!$AG:$AG")),
_xlpm._係数予測,IF(OR(AZ117=0,AZ117=""),"",AZ117*BA$123),
_xlpm._今月1日,EOMONTH(基準データ!$C$5,-1)+1,
_xlpm._先月まで実績。今月は着地予測。翌月から係数予測,_xlfn.IFS($C117="","",BA$1&lt;_xlpm._今月1日,_xlpm._実績,BA$1=_xlpm._今月1日,_xlpm._着地予測,"true",_xlpm._係数予測),
IFERROR(_xlpm._先月まで実績。今月は着地予測。翌月から係数予測,"")
))</f>
        <v/>
      </c>
      <c r="BB117" s="223" t="str" cm="1">
        <f t="array" aca="1" ref="BB117" ca="1">IF($C117="","",
_xlfn.LET(
_xlpm._参照シート,"'[在庫状況把握_43期_2025-2026.xlsx]月次報告"&amp;TEXT(BB$1,"YYMM")&amp;"'",
_xlpm._実績,
  _xlfn.XLOOKUP($C117,
    INDIRECT(_xlpm._参照シート&amp;"!$C:$C"),
    INDIRECT(_xlpm._参照シート&amp;"!$G:$G")
  ),
_xlpm._着地予測,_xlfn.XLOOKUP($C117,INDIRECT(_xlpm._参照シート&amp;"!$C:$C"),INDIRECT(_xlpm._参照シート&amp;"!$AG:$AG")),
_xlpm._係数予測,IF(OR(BA117=0,BA117=""),"",BA117*BB$123),
_xlpm._今月1日,EOMONTH(基準データ!$C$5,-1)+1,
_xlpm._先月まで実績。今月は着地予測。翌月から係数予測,_xlfn.IFS($C117="","",BB$1&lt;_xlpm._今月1日,_xlpm._実績,BB$1=_xlpm._今月1日,_xlpm._着地予測,"true",_xlpm._係数予測),
IFERROR(_xlpm._先月まで実績。今月は着地予測。翌月から係数予測,"")
))</f>
        <v/>
      </c>
      <c r="BC117" s="223" t="str" cm="1">
        <f t="array" aca="1" ref="BC117" ca="1">IF($C117="","",
_xlfn.LET(
_xlpm._参照シート,"'[在庫状況把握_43期_2025-2026.xlsx]月次報告"&amp;TEXT(BC$1,"YYMM")&amp;"'",
_xlpm._実績,
  _xlfn.XLOOKUP($C117,
    INDIRECT(_xlpm._参照シート&amp;"!$C:$C"),
    INDIRECT(_xlpm._参照シート&amp;"!$G:$G")
  ),
_xlpm._着地予測,_xlfn.XLOOKUP($C117,INDIRECT(_xlpm._参照シート&amp;"!$C:$C"),INDIRECT(_xlpm._参照シート&amp;"!$AG:$AG")),
_xlpm._係数予測,IF(OR(BB117=0,BB117=""),"",BB117*BC$123),
_xlpm._今月1日,EOMONTH(基準データ!$C$5,-1)+1,
_xlpm._先月まで実績。今月は着地予測。翌月から係数予測,_xlfn.IFS($C117="","",BC$1&lt;_xlpm._今月1日,_xlpm._実績,BC$1=_xlpm._今月1日,_xlpm._着地予測,"true",_xlpm._係数予測),
IFERROR(_xlpm._先月まで実績。今月は着地予測。翌月から係数予測,"")
))</f>
        <v/>
      </c>
      <c r="BD117" s="223" t="str" cm="1">
        <f t="array" aca="1" ref="BD117" ca="1">IF($C117="","",
_xlfn.LET(
_xlpm._参照シート,"'[在庫状況把握_43期_2025-2026.xlsx]月次報告"&amp;TEXT(BD$1,"YYMM")&amp;"'",
_xlpm._実績,
  _xlfn.XLOOKUP($C117,
    INDIRECT(_xlpm._参照シート&amp;"!$C:$C"),
    INDIRECT(_xlpm._参照シート&amp;"!$G:$G")
  ),
_xlpm._着地予測,_xlfn.XLOOKUP($C117,INDIRECT(_xlpm._参照シート&amp;"!$C:$C"),INDIRECT(_xlpm._参照シート&amp;"!$AG:$AG")),
_xlpm._係数予測,IF(OR(BC117=0,BC117=""),"",BC117*BD$123),
_xlpm._今月1日,EOMONTH(基準データ!$C$5,-1)+1,
_xlpm._先月まで実績。今月は着地予測。翌月から係数予測,_xlfn.IFS($C117="","",BD$1&lt;_xlpm._今月1日,_xlpm._実績,BD$1=_xlpm._今月1日,_xlpm._着地予測,"true",_xlpm._係数予測),
IFERROR(_xlpm._先月まで実績。今月は着地予測。翌月から係数予測,"")
))</f>
        <v/>
      </c>
    </row>
    <row r="118" spans="1:56">
      <c r="A118" s="1076" t="s">
        <v>1317</v>
      </c>
      <c r="B118" s="55" t="s">
        <v>1517</v>
      </c>
      <c r="C118" s="57" t="s">
        <v>1518</v>
      </c>
      <c r="D118" s="115" t="s">
        <v>1516</v>
      </c>
      <c r="E118" s="106">
        <v>3050</v>
      </c>
      <c r="F118" s="106" t="s">
        <v>1347</v>
      </c>
      <c r="G118" s="355">
        <v>0</v>
      </c>
      <c r="H118" s="109" t="str" cm="1">
        <f t="array" aca="1" ref="H118" ca="1">_xlfn.LET(_xlpm._来月から4ヶ月計画合計,
  SUM(
    OFFSET($A118,0,
      MATCH(
        EDATE(基準データ!$C$5,3),$A$1:$BF$1,1
      )-3,1,4)),
_xlpm._今月計画数,
INDEX($A$1:$BE$223,
  ROW(),
  MATCH(EOMONTH(基準データ!$C$5,-1)+1,$A$1:$BE$1,0)
),
  IFERROR(IF($B118="","",_xlpm._来月から4ヶ月計画合計+_xlpm._今月計画数/2),""
)
)</f>
        <v/>
      </c>
      <c r="I118" s="38" t="str">
        <f>IFERROR(IF(SUM(INDEX('在庫使用計画 (一般)'!$A$1:$BF$557,MATCH($C118,'在庫使用計画 (一般)'!$C$1:$C$557,0),MATCH(I$1,'在庫使用計画 (一般)'!$A$1:$BF$1,0)),INDEX('在庫使用計画 (法人)'!$A$1:$AT$578,MATCH($C118,'在庫使用計画 (法人)'!$C$1:$C$578,0),MATCH(I$1,'在庫使用計画 (法人)'!$A$1:$AT$1,0)))=0,"",SUM(INDEX('在庫使用計画 (一般)'!$A$1:$BF$557,MATCH($C118,'在庫使用計画 (一般)'!$C$1:$C$557,0),MATCH(I$1,'在庫使用計画 (一般)'!$A$1:$BF$1,0)),INDEX('在庫使用計画 (法人)'!$A$1:$AT$578,MATCH($C118,'在庫使用計画 (法人)'!$C$1:$C$578,0),MATCH(I$1,'在庫使用計画 (法人)'!$A$1:$AT$1,0)))),"")</f>
        <v/>
      </c>
      <c r="J118" s="38" t="str">
        <f>IFERROR(IF(SUM(INDEX('在庫使用計画 (一般)'!$A$1:$BF$557,MATCH($C118,'在庫使用計画 (一般)'!$C$1:$C$557,0),MATCH(J$1,'在庫使用計画 (一般)'!$A$1:$BF$1,0)),INDEX('在庫使用計画 (法人)'!$A$1:$AT$578,MATCH($C118,'在庫使用計画 (法人)'!$C$1:$C$578,0),MATCH(J$1,'在庫使用計画 (法人)'!$A$1:$AT$1,0)))=0,"",SUM(INDEX('在庫使用計画 (一般)'!$A$1:$BF$557,MATCH($C118,'在庫使用計画 (一般)'!$C$1:$C$557,0),MATCH(J$1,'在庫使用計画 (一般)'!$A$1:$BF$1,0)),INDEX('在庫使用計画 (法人)'!$A$1:$AT$578,MATCH($C118,'在庫使用計画 (法人)'!$C$1:$C$578,0),MATCH(J$1,'在庫使用計画 (法人)'!$A$1:$AT$1,0)))),"")</f>
        <v/>
      </c>
      <c r="K118" s="38" t="str">
        <f>IFERROR(IF(SUM(INDEX('在庫使用計画 (一般)'!$A$1:$BF$557,MATCH($C118,'在庫使用計画 (一般)'!$C$1:$C$557,0),MATCH(K$1,'在庫使用計画 (一般)'!$A$1:$BF$1,0)),INDEX('在庫使用計画 (法人)'!$A$1:$AT$578,MATCH($C118,'在庫使用計画 (法人)'!$C$1:$C$578,0),MATCH(K$1,'在庫使用計画 (法人)'!$A$1:$AT$1,0)))=0,"",SUM(INDEX('在庫使用計画 (一般)'!$A$1:$BF$557,MATCH($C118,'在庫使用計画 (一般)'!$C$1:$C$557,0),MATCH(K$1,'在庫使用計画 (一般)'!$A$1:$BF$1,0)),INDEX('在庫使用計画 (法人)'!$A$1:$AT$578,MATCH($C118,'在庫使用計画 (法人)'!$C$1:$C$578,0),MATCH(K$1,'在庫使用計画 (法人)'!$A$1:$AT$1,0)))),"")</f>
        <v/>
      </c>
      <c r="L118" s="38" t="str">
        <f>IFERROR(IF(SUM(INDEX('在庫使用計画 (一般)'!$A$1:$BF$557,MATCH($C118,'在庫使用計画 (一般)'!$C$1:$C$557,0),MATCH(L$1,'在庫使用計画 (一般)'!$A$1:$BF$1,0)),INDEX('在庫使用計画 (法人)'!$A$1:$AT$578,MATCH($C118,'在庫使用計画 (法人)'!$C$1:$C$578,0),MATCH(L$1,'在庫使用計画 (法人)'!$A$1:$AT$1,0)))=0,"",SUM(INDEX('在庫使用計画 (一般)'!$A$1:$BF$557,MATCH($C118,'在庫使用計画 (一般)'!$C$1:$C$557,0),MATCH(L$1,'在庫使用計画 (一般)'!$A$1:$BF$1,0)),INDEX('在庫使用計画 (法人)'!$A$1:$AT$578,MATCH($C118,'在庫使用計画 (法人)'!$C$1:$C$578,0),MATCH(L$1,'在庫使用計画 (法人)'!$A$1:$AT$1,0)))),"")</f>
        <v/>
      </c>
      <c r="M118" s="38">
        <f>IFERROR(IF(SUM(INDEX('在庫使用計画 (一般)'!$A$1:$BF$557,MATCH($C118,'在庫使用計画 (一般)'!$C$1:$C$557,0),MATCH(M$1,'在庫使用計画 (一般)'!$A$1:$BF$1,0)),INDEX('在庫使用計画 (法人)'!$A$1:$AT$578,MATCH($C118,'在庫使用計画 (法人)'!$C$1:$C$578,0),MATCH(M$1,'在庫使用計画 (法人)'!$A$1:$AT$1,0)))=0,"",SUM(INDEX('在庫使用計画 (一般)'!$A$1:$BF$557,MATCH($C118,'在庫使用計画 (一般)'!$C$1:$C$557,0),MATCH(M$1,'在庫使用計画 (一般)'!$A$1:$BF$1,0)),INDEX('在庫使用計画 (法人)'!$A$1:$AT$578,MATCH($C118,'在庫使用計画 (法人)'!$C$1:$C$578,0),MATCH(M$1,'在庫使用計画 (法人)'!$A$1:$AT$1,0)))),"")</f>
        <v>65</v>
      </c>
      <c r="N118" s="38">
        <f>IFERROR(IF(SUM(INDEX('在庫使用計画 (一般)'!$A$1:$BF$557,MATCH($C118,'在庫使用計画 (一般)'!$C$1:$C$557,0),MATCH(N$1,'在庫使用計画 (一般)'!$A$1:$BF$1,0)),INDEX('在庫使用計画 (法人)'!$A$1:$AT$578,MATCH($C118,'在庫使用計画 (法人)'!$C$1:$C$578,0),MATCH(N$1,'在庫使用計画 (法人)'!$A$1:$AT$1,0)))=0,"",SUM(INDEX('在庫使用計画 (一般)'!$A$1:$BF$557,MATCH($C118,'在庫使用計画 (一般)'!$C$1:$C$557,0),MATCH(N$1,'在庫使用計画 (一般)'!$A$1:$BF$1,0)),INDEX('在庫使用計画 (法人)'!$A$1:$AT$578,MATCH($C118,'在庫使用計画 (法人)'!$C$1:$C$578,0),MATCH(N$1,'在庫使用計画 (法人)'!$A$1:$AT$1,0)))),"")</f>
        <v>100</v>
      </c>
      <c r="O118" s="38">
        <f>IFERROR(IF(SUM(INDEX('在庫使用計画 (一般)'!$A$1:$BF$557,MATCH($C118,'在庫使用計画 (一般)'!$C$1:$C$557,0),MATCH(O$1,'在庫使用計画 (一般)'!$A$1:$BF$1,0)),INDEX('在庫使用計画 (法人)'!$A$1:$AT$578,MATCH($C118,'在庫使用計画 (法人)'!$C$1:$C$578,0),MATCH(O$1,'在庫使用計画 (法人)'!$A$1:$AT$1,0)))=0,"",SUM(INDEX('在庫使用計画 (一般)'!$A$1:$BF$557,MATCH($C118,'在庫使用計画 (一般)'!$C$1:$C$557,0),MATCH(O$1,'在庫使用計画 (一般)'!$A$1:$BF$1,0)),INDEX('在庫使用計画 (法人)'!$A$1:$AT$578,MATCH($C118,'在庫使用計画 (法人)'!$C$1:$C$578,0),MATCH(O$1,'在庫使用計画 (法人)'!$A$1:$AT$1,0)))),"")</f>
        <v>65</v>
      </c>
      <c r="P118" s="38">
        <f>IFERROR(IF(SUM(INDEX('在庫使用計画 (一般)'!$A$1:$BF$557,MATCH($C118,'在庫使用計画 (一般)'!$C$1:$C$557,0),MATCH(P$1,'在庫使用計画 (一般)'!$A$1:$BF$1,0)),INDEX('在庫使用計画 (法人)'!$A$1:$AT$578,MATCH($C118,'在庫使用計画 (法人)'!$C$1:$C$578,0),MATCH(P$1,'在庫使用計画 (法人)'!$A$1:$AT$1,0)))=0,"",SUM(INDEX('在庫使用計画 (一般)'!$A$1:$BF$557,MATCH($C118,'在庫使用計画 (一般)'!$C$1:$C$557,0),MATCH(P$1,'在庫使用計画 (一般)'!$A$1:$BF$1,0)),INDEX('在庫使用計画 (法人)'!$A$1:$AT$578,MATCH($C118,'在庫使用計画 (法人)'!$C$1:$C$578,0),MATCH(P$1,'在庫使用計画 (法人)'!$A$1:$AT$1,0)))),"")</f>
        <v>13</v>
      </c>
      <c r="Q118" s="219">
        <f>IFERROR(IF(SUM(INDEX('在庫使用計画 (一般)'!$A$1:$BF$557,MATCH($C118,'在庫使用計画 (一般)'!$C$1:$C$557,0),MATCH(Q$1,'在庫使用計画 (一般)'!$A$1:$BF$1,0)),INDEX('在庫使用計画 (法人)'!$A$1:$AT$578,MATCH($C118,'在庫使用計画 (法人)'!$C$1:$C$578,0),MATCH(Q$1,'在庫使用計画 (法人)'!$A$1:$AT$1,0)))=0,"",SUM(INDEX('在庫使用計画 (一般)'!$A$1:$BF$557,MATCH($C118,'在庫使用計画 (一般)'!$C$1:$C$557,0),MATCH(Q$1,'在庫使用計画 (一般)'!$A$1:$BF$1,0)),INDEX('在庫使用計画 (法人)'!$A$1:$AT$578,MATCH($C118,'在庫使用計画 (法人)'!$C$1:$C$578,0),MATCH(Q$1,'在庫使用計画 (法人)'!$A$1:$AT$1,0)))),"")</f>
        <v>85</v>
      </c>
      <c r="R118" s="219">
        <f>IFERROR(IF(SUM(INDEX('在庫使用計画 (一般)'!$A$1:$BF$557,MATCH($C118,'在庫使用計画 (一般)'!$C$1:$C$557,0),MATCH(R$1,'在庫使用計画 (一般)'!$A$1:$BF$1,0)),INDEX('在庫使用計画 (法人)'!$A$1:$AT$578,MATCH($C118,'在庫使用計画 (法人)'!$C$1:$C$578,0),MATCH(R$1,'在庫使用計画 (法人)'!$A$1:$AT$1,0)))=0,"",SUM(INDEX('在庫使用計画 (一般)'!$A$1:$BF$557,MATCH($C118,'在庫使用計画 (一般)'!$C$1:$C$557,0),MATCH(R$1,'在庫使用計画 (一般)'!$A$1:$BF$1,0)),INDEX('在庫使用計画 (法人)'!$A$1:$AT$578,MATCH($C118,'在庫使用計画 (法人)'!$C$1:$C$578,0),MATCH(R$1,'在庫使用計画 (法人)'!$A$1:$AT$1,0)))),"")</f>
        <v>75</v>
      </c>
      <c r="S118" s="219">
        <f>IFERROR(IF(SUM(INDEX('在庫使用計画 (一般)'!$A$1:$BF$557,MATCH($C118,'在庫使用計画 (一般)'!$C$1:$C$557,0),MATCH(S$1,'在庫使用計画 (一般)'!$A$1:$BF$1,0)),INDEX('在庫使用計画 (法人)'!$A$1:$AT$578,MATCH($C118,'在庫使用計画 (法人)'!$C$1:$C$578,0),MATCH(S$1,'在庫使用計画 (法人)'!$A$1:$AT$1,0)))=0,"",SUM(INDEX('在庫使用計画 (一般)'!$A$1:$BF$557,MATCH($C118,'在庫使用計画 (一般)'!$C$1:$C$557,0),MATCH(S$1,'在庫使用計画 (一般)'!$A$1:$BF$1,0)),INDEX('在庫使用計画 (法人)'!$A$1:$AT$578,MATCH($C118,'在庫使用計画 (法人)'!$C$1:$C$578,0),MATCH(S$1,'在庫使用計画 (法人)'!$A$1:$AT$1,0)))),"")</f>
        <v>86</v>
      </c>
      <c r="T118" s="219">
        <f>IFERROR(IF(SUM(INDEX('在庫使用計画 (一般)'!$A$1:$BF$557,MATCH($C118,'在庫使用計画 (一般)'!$C$1:$C$557,0),MATCH(T$1,'在庫使用計画 (一般)'!$A$1:$BF$1,0)),INDEX('在庫使用計画 (法人)'!$A$1:$AT$578,MATCH($C118,'在庫使用計画 (法人)'!$C$1:$C$578,0),MATCH(T$1,'在庫使用計画 (法人)'!$A$1:$AT$1,0)))=0,"",SUM(INDEX('在庫使用計画 (一般)'!$A$1:$BF$557,MATCH($C118,'在庫使用計画 (一般)'!$C$1:$C$557,0),MATCH(T$1,'在庫使用計画 (一般)'!$A$1:$BF$1,0)),INDEX('在庫使用計画 (法人)'!$A$1:$AT$578,MATCH($C118,'在庫使用計画 (法人)'!$C$1:$C$578,0),MATCH(T$1,'在庫使用計画 (法人)'!$A$1:$AT$1,0)))),"")</f>
        <v>182</v>
      </c>
      <c r="U118" s="224">
        <v>48</v>
      </c>
      <c r="V118" s="224">
        <v>122</v>
      </c>
      <c r="W118" s="224">
        <v>312</v>
      </c>
      <c r="X118" s="224">
        <v>80</v>
      </c>
      <c r="Y118" s="224">
        <v>98</v>
      </c>
      <c r="Z118" s="224">
        <v>84</v>
      </c>
      <c r="AA118" s="224">
        <v>301</v>
      </c>
      <c r="AB118" s="224">
        <v>187</v>
      </c>
      <c r="AC118" s="224">
        <v>64</v>
      </c>
      <c r="AD118" s="224">
        <v>5</v>
      </c>
      <c r="AE118" s="223">
        <v>0</v>
      </c>
      <c r="AF118" s="223">
        <v>0</v>
      </c>
      <c r="AG118" s="223">
        <v>0</v>
      </c>
      <c r="AH118" s="223">
        <v>0</v>
      </c>
      <c r="AI118" s="223">
        <v>0</v>
      </c>
      <c r="AJ118" s="223" t="s">
        <v>21</v>
      </c>
      <c r="AK118" s="223" t="s">
        <v>21</v>
      </c>
      <c r="AL118" s="223" t="str" cm="1">
        <f t="array" aca="1" ref="AL118" ca="1">IF($C118="","",
_xlfn.LET(
_xlpm._参照シート,"'[在庫状況把握_43期_2025-2026.xlsx]月次報告"&amp;TEXT(AL$1,"YYMM")&amp;"'",
_xlpm._実績,
  _xlfn.XLOOKUP($C118,
    INDIRECT(_xlpm._参照シート&amp;"!$C:$C"),
    INDIRECT(_xlpm._参照シート&amp;"!$G:$G")
  ),
_xlpm._着地予測,_xlfn.XLOOKUP($C118,INDIRECT(_xlpm._参照シート&amp;"!$C:$C"),INDIRECT(_xlpm._参照シート&amp;"!$AG:$AG")),
_xlpm._係数予測,IF(OR(AK118=0,AK118=""),"",AK118*AL$123),
_xlpm._今月1日,EOMONTH(基準データ!$C$5,-1)+1,
_xlpm._先月まで実績。今月は着地予測。翌月から係数予測,_xlfn.IFS($C118="","",AL$1&lt;_xlpm._今月1日,_xlpm._実績,AL$1=_xlpm._今月1日,_xlpm._着地予測,"true",_xlpm._係数予測),
IFERROR(_xlpm._先月まで実績。今月は着地予測。翌月から係数予測,"")
))</f>
        <v/>
      </c>
      <c r="AM118" s="223" t="str" cm="1">
        <f t="array" aca="1" ref="AM118" ca="1">IF($C118="","",
_xlfn.LET(
_xlpm._参照シート,"'[在庫状況把握_43期_2025-2026.xlsx]月次報告"&amp;TEXT(AM$1,"YYMM")&amp;"'",
_xlpm._実績,
  _xlfn.XLOOKUP($C118,
    INDIRECT(_xlpm._参照シート&amp;"!$C:$C"),
    INDIRECT(_xlpm._参照シート&amp;"!$G:$G")
  ),
_xlpm._着地予測,_xlfn.XLOOKUP($C118,INDIRECT(_xlpm._参照シート&amp;"!$C:$C"),INDIRECT(_xlpm._参照シート&amp;"!$AG:$AG")),
_xlpm._係数予測,IF(OR(AL118=0,AL118=""),"",AL118*AM$123),
_xlpm._今月1日,EOMONTH(基準データ!$C$5,-1)+1,
_xlpm._先月まで実績。今月は着地予測。翌月から係数予測,_xlfn.IFS($C118="","",AM$1&lt;_xlpm._今月1日,_xlpm._実績,AM$1=_xlpm._今月1日,_xlpm._着地予測,"true",_xlpm._係数予測),
IFERROR(_xlpm._先月まで実績。今月は着地予測。翌月から係数予測,"")
))</f>
        <v/>
      </c>
      <c r="AN118" s="223" t="str" cm="1">
        <f t="array" aca="1" ref="AN118" ca="1">IF($C118="","",
_xlfn.LET(
_xlpm._参照シート,"'[在庫状況把握_43期_2025-2026.xlsx]月次報告"&amp;TEXT(AN$1,"YYMM")&amp;"'",
_xlpm._実績,
  _xlfn.XLOOKUP($C118,
    INDIRECT(_xlpm._参照シート&amp;"!$C:$C"),
    INDIRECT(_xlpm._参照シート&amp;"!$G:$G")
  ),
_xlpm._着地予測,_xlfn.XLOOKUP($C118,INDIRECT(_xlpm._参照シート&amp;"!$C:$C"),INDIRECT(_xlpm._参照シート&amp;"!$AG:$AG")),
_xlpm._係数予測,IF(OR(AM118=0,AM118=""),"",AM118*AN$123),
_xlpm._今月1日,EOMONTH(基準データ!$C$5,-1)+1,
_xlpm._先月まで実績。今月は着地予測。翌月から係数予測,_xlfn.IFS($C118="","",AN$1&lt;_xlpm._今月1日,_xlpm._実績,AN$1=_xlpm._今月1日,_xlpm._着地予測,"true",_xlpm._係数予測),
IFERROR(_xlpm._先月まで実績。今月は着地予測。翌月から係数予測,"")
))</f>
        <v/>
      </c>
      <c r="AO118" s="223" t="str" cm="1">
        <f t="array" aca="1" ref="AO118" ca="1">IF($C118="","",
_xlfn.LET(
_xlpm._参照シート,"'[在庫状況把握_43期_2025-2026.xlsx]月次報告"&amp;TEXT(AO$1,"YYMM")&amp;"'",
_xlpm._実績,
  _xlfn.XLOOKUP($C118,
    INDIRECT(_xlpm._参照シート&amp;"!$C:$C"),
    INDIRECT(_xlpm._参照シート&amp;"!$G:$G")
  ),
_xlpm._着地予測,_xlfn.XLOOKUP($C118,INDIRECT(_xlpm._参照シート&amp;"!$C:$C"),INDIRECT(_xlpm._参照シート&amp;"!$AG:$AG")),
_xlpm._係数予測,IF(OR(AN118=0,AN118=""),"",AN118*AO$123),
_xlpm._今月1日,EOMONTH(基準データ!$C$5,-1)+1,
_xlpm._先月まで実績。今月は着地予測。翌月から係数予測,_xlfn.IFS($C118="","",AO$1&lt;_xlpm._今月1日,_xlpm._実績,AO$1=_xlpm._今月1日,_xlpm._着地予測,"true",_xlpm._係数予測),
IFERROR(_xlpm._先月まで実績。今月は着地予測。翌月から係数予測,"")
))</f>
        <v/>
      </c>
      <c r="AP118" s="223" t="str" cm="1">
        <f t="array" aca="1" ref="AP118" ca="1">IF($C118="","",
_xlfn.LET(
_xlpm._参照シート,"'[在庫状況把握_43期_2025-2026.xlsx]月次報告"&amp;TEXT(AP$1,"YYMM")&amp;"'",
_xlpm._実績,
  _xlfn.XLOOKUP($C118,
    INDIRECT(_xlpm._参照シート&amp;"!$C:$C"),
    INDIRECT(_xlpm._参照シート&amp;"!$G:$G")
  ),
_xlpm._着地予測,_xlfn.XLOOKUP($C118,INDIRECT(_xlpm._参照シート&amp;"!$C:$C"),INDIRECT(_xlpm._参照シート&amp;"!$AG:$AG")),
_xlpm._係数予測,IF(OR(AO118=0,AO118=""),"",AO118*AP$123),
_xlpm._今月1日,EOMONTH(基準データ!$C$5,-1)+1,
_xlpm._先月まで実績。今月は着地予測。翌月から係数予測,_xlfn.IFS($C118="","",AP$1&lt;_xlpm._今月1日,_xlpm._実績,AP$1=_xlpm._今月1日,_xlpm._着地予測,"true",_xlpm._係数予測),
IFERROR(_xlpm._先月まで実績。今月は着地予測。翌月から係数予測,"")
))</f>
        <v/>
      </c>
      <c r="AQ118" s="223" t="str" cm="1">
        <f t="array" aca="1" ref="AQ118" ca="1">IF($C118="","",
_xlfn.LET(
_xlpm._参照シート,"'[在庫状況把握_43期_2025-2026.xlsx]月次報告"&amp;TEXT(AQ$1,"YYMM")&amp;"'",
_xlpm._実績,
  _xlfn.XLOOKUP($C118,
    INDIRECT(_xlpm._参照シート&amp;"!$C:$C"),
    INDIRECT(_xlpm._参照シート&amp;"!$G:$G")
  ),
_xlpm._着地予測,_xlfn.XLOOKUP($C118,INDIRECT(_xlpm._参照シート&amp;"!$C:$C"),INDIRECT(_xlpm._参照シート&amp;"!$AG:$AG")),
_xlpm._係数予測,IF(OR(AP118=0,AP118=""),"",AP118*AQ$123),
_xlpm._今月1日,EOMONTH(基準データ!$C$5,-1)+1,
_xlpm._先月まで実績。今月は着地予測。翌月から係数予測,_xlfn.IFS($C118="","",AQ$1&lt;_xlpm._今月1日,_xlpm._実績,AQ$1=_xlpm._今月1日,_xlpm._着地予測,"true",_xlpm._係数予測),
IFERROR(_xlpm._先月まで実績。今月は着地予測。翌月から係数予測,"")
))</f>
        <v/>
      </c>
      <c r="AR118" s="223" t="str" cm="1">
        <f t="array" aca="1" ref="AR118" ca="1">IF($C118="","",
_xlfn.LET(
_xlpm._参照シート,"'[在庫状況把握_43期_2025-2026.xlsx]月次報告"&amp;TEXT(AR$1,"YYMM")&amp;"'",
_xlpm._実績,
  _xlfn.XLOOKUP($C118,
    INDIRECT(_xlpm._参照シート&amp;"!$C:$C"),
    INDIRECT(_xlpm._参照シート&amp;"!$G:$G")
  ),
_xlpm._着地予測,_xlfn.XLOOKUP($C118,INDIRECT(_xlpm._参照シート&amp;"!$C:$C"),INDIRECT(_xlpm._参照シート&amp;"!$AG:$AG")),
_xlpm._係数予測,IF(OR(AQ118=0,AQ118=""),"",AQ118*AR$123),
_xlpm._今月1日,EOMONTH(基準データ!$C$5,-1)+1,
_xlpm._先月まで実績。今月は着地予測。翌月から係数予測,_xlfn.IFS($C118="","",AR$1&lt;_xlpm._今月1日,_xlpm._実績,AR$1=_xlpm._今月1日,_xlpm._着地予測,"true",_xlpm._係数予測),
IFERROR(_xlpm._先月まで実績。今月は着地予測。翌月から係数予測,"")
))</f>
        <v/>
      </c>
      <c r="AS118" s="223" t="str" cm="1">
        <f t="array" aca="1" ref="AS118" ca="1">IF($C118="","",
_xlfn.LET(
_xlpm._参照シート,"'[在庫状況把握_43期_2025-2026.xlsx]月次報告"&amp;TEXT(AS$1,"YYMM")&amp;"'",
_xlpm._実績,
  _xlfn.XLOOKUP($C118,
    INDIRECT(_xlpm._参照シート&amp;"!$C:$C"),
    INDIRECT(_xlpm._参照シート&amp;"!$G:$G")
  ),
_xlpm._着地予測,_xlfn.XLOOKUP($C118,INDIRECT(_xlpm._参照シート&amp;"!$C:$C"),INDIRECT(_xlpm._参照シート&amp;"!$AG:$AG")),
_xlpm._係数予測,IF(OR(AR118=0,AR118=""),"",AR118*AS$123),
_xlpm._今月1日,EOMONTH(基準データ!$C$5,-1)+1,
_xlpm._先月まで実績。今月は着地予測。翌月から係数予測,_xlfn.IFS($C118="","",AS$1&lt;_xlpm._今月1日,_xlpm._実績,AS$1=_xlpm._今月1日,_xlpm._着地予測,"true",_xlpm._係数予測),
IFERROR(_xlpm._先月まで実績。今月は着地予測。翌月から係数予測,"")
))</f>
        <v/>
      </c>
      <c r="AT118" s="223" t="str" cm="1">
        <f t="array" aca="1" ref="AT118" ca="1">IF($C118="","",
_xlfn.LET(
_xlpm._参照シート,"'[在庫状況把握_43期_2025-2026.xlsx]月次報告"&amp;TEXT(AT$1,"YYMM")&amp;"'",
_xlpm._実績,
  _xlfn.XLOOKUP($C118,
    INDIRECT(_xlpm._参照シート&amp;"!$C:$C"),
    INDIRECT(_xlpm._参照シート&amp;"!$G:$G")
  ),
_xlpm._着地予測,_xlfn.XLOOKUP($C118,INDIRECT(_xlpm._参照シート&amp;"!$C:$C"),INDIRECT(_xlpm._参照シート&amp;"!$AG:$AG")),
_xlpm._係数予測,IF(OR(AS118=0,AS118=""),"",AS118*AT$123),
_xlpm._今月1日,EOMONTH(基準データ!$C$5,-1)+1,
_xlpm._先月まで実績。今月は着地予測。翌月から係数予測,_xlfn.IFS($C118="","",AT$1&lt;_xlpm._今月1日,_xlpm._実績,AT$1=_xlpm._今月1日,_xlpm._着地予測,"true",_xlpm._係数予測),
IFERROR(_xlpm._先月まで実績。今月は着地予測。翌月から係数予測,"")
))</f>
        <v/>
      </c>
      <c r="AU118" s="223" t="str" cm="1">
        <f t="array" aca="1" ref="AU118" ca="1">IF($C118="","",
_xlfn.LET(
_xlpm._参照シート,"'[在庫状況把握_43期_2025-2026.xlsx]月次報告"&amp;TEXT(AU$1,"YYMM")&amp;"'",
_xlpm._実績,
  _xlfn.XLOOKUP($C118,
    INDIRECT(_xlpm._参照シート&amp;"!$C:$C"),
    INDIRECT(_xlpm._参照シート&amp;"!$G:$G")
  ),
_xlpm._着地予測,_xlfn.XLOOKUP($C118,INDIRECT(_xlpm._参照シート&amp;"!$C:$C"),INDIRECT(_xlpm._参照シート&amp;"!$AG:$AG")),
_xlpm._係数予測,IF(OR(AT118=0,AT118=""),"",AT118*AU$123),
_xlpm._今月1日,EOMONTH(基準データ!$C$5,-1)+1,
_xlpm._先月まで実績。今月は着地予測。翌月から係数予測,_xlfn.IFS($C118="","",AU$1&lt;_xlpm._今月1日,_xlpm._実績,AU$1=_xlpm._今月1日,_xlpm._着地予測,"true",_xlpm._係数予測),
IFERROR(_xlpm._先月まで実績。今月は着地予測。翌月から係数予測,"")
))</f>
        <v/>
      </c>
      <c r="AV118" s="223" t="str" cm="1">
        <f t="array" aca="1" ref="AV118" ca="1">IF($C118="","",
_xlfn.LET(
_xlpm._参照シート,"'[在庫状況把握_43期_2025-2026.xlsx]月次報告"&amp;TEXT(AV$1,"YYMM")&amp;"'",
_xlpm._実績,
  _xlfn.XLOOKUP($C118,
    INDIRECT(_xlpm._参照シート&amp;"!$C:$C"),
    INDIRECT(_xlpm._参照シート&amp;"!$G:$G")
  ),
_xlpm._着地予測,_xlfn.XLOOKUP($C118,INDIRECT(_xlpm._参照シート&amp;"!$C:$C"),INDIRECT(_xlpm._参照シート&amp;"!$AG:$AG")),
_xlpm._係数予測,IF(OR(AU118=0,AU118=""),"",AU118*AV$123),
_xlpm._今月1日,EOMONTH(基準データ!$C$5,-1)+1,
_xlpm._先月まで実績。今月は着地予測。翌月から係数予測,_xlfn.IFS($C118="","",AV$1&lt;_xlpm._今月1日,_xlpm._実績,AV$1=_xlpm._今月1日,_xlpm._着地予測,"true",_xlpm._係数予測),
IFERROR(_xlpm._先月まで実績。今月は着地予測。翌月から係数予測,"")
))</f>
        <v/>
      </c>
      <c r="AW118" s="223" t="str" cm="1">
        <f t="array" aca="1" ref="AW118" ca="1">IF($C118="","",
_xlfn.LET(
_xlpm._参照シート,"'[在庫状況把握_43期_2025-2026.xlsx]月次報告"&amp;TEXT(AW$1,"YYMM")&amp;"'",
_xlpm._実績,
  _xlfn.XLOOKUP($C118,
    INDIRECT(_xlpm._参照シート&amp;"!$C:$C"),
    INDIRECT(_xlpm._参照シート&amp;"!$G:$G")
  ),
_xlpm._着地予測,_xlfn.XLOOKUP($C118,INDIRECT(_xlpm._参照シート&amp;"!$C:$C"),INDIRECT(_xlpm._参照シート&amp;"!$AG:$AG")),
_xlpm._係数予測,IF(OR(AV118=0,AV118=""),"",AV118*AW$123),
_xlpm._今月1日,EOMONTH(基準データ!$C$5,-1)+1,
_xlpm._先月まで実績。今月は着地予測。翌月から係数予測,_xlfn.IFS($C118="","",AW$1&lt;_xlpm._今月1日,_xlpm._実績,AW$1=_xlpm._今月1日,_xlpm._着地予測,"true",_xlpm._係数予測),
IFERROR(_xlpm._先月まで実績。今月は着地予測。翌月から係数予測,"")
))</f>
        <v/>
      </c>
      <c r="AX118" s="223" t="str" cm="1">
        <f t="array" aca="1" ref="AX118" ca="1">IF($C118="","",
_xlfn.LET(
_xlpm._参照シート,"'[在庫状況把握_43期_2025-2026.xlsx]月次報告"&amp;TEXT(AX$1,"YYMM")&amp;"'",
_xlpm._実績,
  _xlfn.XLOOKUP($C118,
    INDIRECT(_xlpm._参照シート&amp;"!$C:$C"),
    INDIRECT(_xlpm._参照シート&amp;"!$G:$G")
  ),
_xlpm._着地予測,_xlfn.XLOOKUP($C118,INDIRECT(_xlpm._参照シート&amp;"!$C:$C"),INDIRECT(_xlpm._参照シート&amp;"!$AG:$AG")),
_xlpm._係数予測,IF(OR(AW118=0,AW118=""),"",AW118*AX$123),
_xlpm._今月1日,EOMONTH(基準データ!$C$5,-1)+1,
_xlpm._先月まで実績。今月は着地予測。翌月から係数予測,_xlfn.IFS($C118="","",AX$1&lt;_xlpm._今月1日,_xlpm._実績,AX$1=_xlpm._今月1日,_xlpm._着地予測,"true",_xlpm._係数予測),
IFERROR(_xlpm._先月まで実績。今月は着地予測。翌月から係数予測,"")
))</f>
        <v/>
      </c>
      <c r="AY118" s="223" t="str" cm="1">
        <f t="array" aca="1" ref="AY118" ca="1">IF($C118="","",
_xlfn.LET(
_xlpm._参照シート,"'[在庫状況把握_43期_2025-2026.xlsx]月次報告"&amp;TEXT(AY$1,"YYMM")&amp;"'",
_xlpm._実績,
  _xlfn.XLOOKUP($C118,
    INDIRECT(_xlpm._参照シート&amp;"!$C:$C"),
    INDIRECT(_xlpm._参照シート&amp;"!$G:$G")
  ),
_xlpm._着地予測,_xlfn.XLOOKUP($C118,INDIRECT(_xlpm._参照シート&amp;"!$C:$C"),INDIRECT(_xlpm._参照シート&amp;"!$AG:$AG")),
_xlpm._係数予測,IF(OR(AX118=0,AX118=""),"",AX118*AY$123),
_xlpm._今月1日,EOMONTH(基準データ!$C$5,-1)+1,
_xlpm._先月まで実績。今月は着地予測。翌月から係数予測,_xlfn.IFS($C118="","",AY$1&lt;_xlpm._今月1日,_xlpm._実績,AY$1=_xlpm._今月1日,_xlpm._着地予測,"true",_xlpm._係数予測),
IFERROR(_xlpm._先月まで実績。今月は着地予測。翌月から係数予測,"")
))</f>
        <v/>
      </c>
      <c r="AZ118" s="223" t="str" cm="1">
        <f t="array" aca="1" ref="AZ118" ca="1">IF($C118="","",
_xlfn.LET(
_xlpm._参照シート,"'[在庫状況把握_43期_2025-2026.xlsx]月次報告"&amp;TEXT(AZ$1,"YYMM")&amp;"'",
_xlpm._実績,
  _xlfn.XLOOKUP($C118,
    INDIRECT(_xlpm._参照シート&amp;"!$C:$C"),
    INDIRECT(_xlpm._参照シート&amp;"!$G:$G")
  ),
_xlpm._着地予測,_xlfn.XLOOKUP($C118,INDIRECT(_xlpm._参照シート&amp;"!$C:$C"),INDIRECT(_xlpm._参照シート&amp;"!$AG:$AG")),
_xlpm._係数予測,IF(OR(AY118=0,AY118=""),"",AY118*AZ$123),
_xlpm._今月1日,EOMONTH(基準データ!$C$5,-1)+1,
_xlpm._先月まで実績。今月は着地予測。翌月から係数予測,_xlfn.IFS($C118="","",AZ$1&lt;_xlpm._今月1日,_xlpm._実績,AZ$1=_xlpm._今月1日,_xlpm._着地予測,"true",_xlpm._係数予測),
IFERROR(_xlpm._先月まで実績。今月は着地予測。翌月から係数予測,"")
))</f>
        <v/>
      </c>
      <c r="BA118" s="223" t="str" cm="1">
        <f t="array" aca="1" ref="BA118" ca="1">IF($C118="","",
_xlfn.LET(
_xlpm._参照シート,"'[在庫状況把握_43期_2025-2026.xlsx]月次報告"&amp;TEXT(BA$1,"YYMM")&amp;"'",
_xlpm._実績,
  _xlfn.XLOOKUP($C118,
    INDIRECT(_xlpm._参照シート&amp;"!$C:$C"),
    INDIRECT(_xlpm._参照シート&amp;"!$G:$G")
  ),
_xlpm._着地予測,_xlfn.XLOOKUP($C118,INDIRECT(_xlpm._参照シート&amp;"!$C:$C"),INDIRECT(_xlpm._参照シート&amp;"!$AG:$AG")),
_xlpm._係数予測,IF(OR(AZ118=0,AZ118=""),"",AZ118*BA$123),
_xlpm._今月1日,EOMONTH(基準データ!$C$5,-1)+1,
_xlpm._先月まで実績。今月は着地予測。翌月から係数予測,_xlfn.IFS($C118="","",BA$1&lt;_xlpm._今月1日,_xlpm._実績,BA$1=_xlpm._今月1日,_xlpm._着地予測,"true",_xlpm._係数予測),
IFERROR(_xlpm._先月まで実績。今月は着地予測。翌月から係数予測,"")
))</f>
        <v/>
      </c>
      <c r="BB118" s="223" t="str" cm="1">
        <f t="array" aca="1" ref="BB118" ca="1">IF($C118="","",
_xlfn.LET(
_xlpm._参照シート,"'[在庫状況把握_43期_2025-2026.xlsx]月次報告"&amp;TEXT(BB$1,"YYMM")&amp;"'",
_xlpm._実績,
  _xlfn.XLOOKUP($C118,
    INDIRECT(_xlpm._参照シート&amp;"!$C:$C"),
    INDIRECT(_xlpm._参照シート&amp;"!$G:$G")
  ),
_xlpm._着地予測,_xlfn.XLOOKUP($C118,INDIRECT(_xlpm._参照シート&amp;"!$C:$C"),INDIRECT(_xlpm._参照シート&amp;"!$AG:$AG")),
_xlpm._係数予測,IF(OR(BA118=0,BA118=""),"",BA118*BB$123),
_xlpm._今月1日,EOMONTH(基準データ!$C$5,-1)+1,
_xlpm._先月まで実績。今月は着地予測。翌月から係数予測,_xlfn.IFS($C118="","",BB$1&lt;_xlpm._今月1日,_xlpm._実績,BB$1=_xlpm._今月1日,_xlpm._着地予測,"true",_xlpm._係数予測),
IFERROR(_xlpm._先月まで実績。今月は着地予測。翌月から係数予測,"")
))</f>
        <v/>
      </c>
      <c r="BC118" s="223" t="str" cm="1">
        <f t="array" aca="1" ref="BC118" ca="1">IF($C118="","",
_xlfn.LET(
_xlpm._参照シート,"'[在庫状況把握_43期_2025-2026.xlsx]月次報告"&amp;TEXT(BC$1,"YYMM")&amp;"'",
_xlpm._実績,
  _xlfn.XLOOKUP($C118,
    INDIRECT(_xlpm._参照シート&amp;"!$C:$C"),
    INDIRECT(_xlpm._参照シート&amp;"!$G:$G")
  ),
_xlpm._着地予測,_xlfn.XLOOKUP($C118,INDIRECT(_xlpm._参照シート&amp;"!$C:$C"),INDIRECT(_xlpm._参照シート&amp;"!$AG:$AG")),
_xlpm._係数予測,IF(OR(BB118=0,BB118=""),"",BB118*BC$123),
_xlpm._今月1日,EOMONTH(基準データ!$C$5,-1)+1,
_xlpm._先月まで実績。今月は着地予測。翌月から係数予測,_xlfn.IFS($C118="","",BC$1&lt;_xlpm._今月1日,_xlpm._実績,BC$1=_xlpm._今月1日,_xlpm._着地予測,"true",_xlpm._係数予測),
IFERROR(_xlpm._先月まで実績。今月は着地予測。翌月から係数予測,"")
))</f>
        <v/>
      </c>
      <c r="BD118" s="223" t="str" cm="1">
        <f t="array" aca="1" ref="BD118" ca="1">IF($C118="","",
_xlfn.LET(
_xlpm._参照シート,"'[在庫状況把握_43期_2025-2026.xlsx]月次報告"&amp;TEXT(BD$1,"YYMM")&amp;"'",
_xlpm._実績,
  _xlfn.XLOOKUP($C118,
    INDIRECT(_xlpm._参照シート&amp;"!$C:$C"),
    INDIRECT(_xlpm._参照シート&amp;"!$G:$G")
  ),
_xlpm._着地予測,_xlfn.XLOOKUP($C118,INDIRECT(_xlpm._参照シート&amp;"!$C:$C"),INDIRECT(_xlpm._参照シート&amp;"!$AG:$AG")),
_xlpm._係数予測,IF(OR(BC118=0,BC118=""),"",BC118*BD$123),
_xlpm._今月1日,EOMONTH(基準データ!$C$5,-1)+1,
_xlpm._先月まで実績。今月は着地予測。翌月から係数予測,_xlfn.IFS($C118="","",BD$1&lt;_xlpm._今月1日,_xlpm._実績,BD$1=_xlpm._今月1日,_xlpm._着地予測,"true",_xlpm._係数予測),
IFERROR(_xlpm._先月まで実績。今月は着地予測。翌月から係数予測,"")
))</f>
        <v/>
      </c>
    </row>
    <row r="119" spans="1:56">
      <c r="A119" s="1075" t="s">
        <v>1317</v>
      </c>
      <c r="B119" s="55" t="s">
        <v>1317</v>
      </c>
      <c r="C119" s="60" t="s">
        <v>1317</v>
      </c>
      <c r="D119" s="60" t="s">
        <v>1317</v>
      </c>
      <c r="E119" s="56" t="s">
        <v>1317</v>
      </c>
      <c r="F119" s="56"/>
      <c r="G119" s="38" t="str">
        <v/>
      </c>
      <c r="H119" s="109" t="str" cm="1">
        <f t="array" aca="1" ref="H119" ca="1">_xlfn.LET(_xlpm._来月から4ヶ月計画合計,
  SUM(
    OFFSET($A119,0,
      MATCH(
        EDATE(基準データ!$C$5,3),$A$1:$BF$1,1
      )-3,1,4)),
_xlpm._今月計画数,
INDEX($A$1:$BE$223,
  ROW(),
  MATCH(EOMONTH(基準データ!$C$5,-1)+1,$A$1:$BE$1,0)
),
  IFERROR(IF($B119="","",_xlpm._来月から4ヶ月計画合計+_xlpm._今月計画数/2),""
)
)</f>
        <v/>
      </c>
      <c r="I119" s="57" t="s">
        <v>1317</v>
      </c>
      <c r="J119" s="57" t="s">
        <v>1317</v>
      </c>
      <c r="K119" s="57" t="s">
        <v>1317</v>
      </c>
      <c r="L119" s="57" t="s">
        <v>1317</v>
      </c>
      <c r="M119" s="57" t="s">
        <v>1317</v>
      </c>
      <c r="N119" s="57" t="s">
        <v>1317</v>
      </c>
      <c r="O119" s="57" t="s">
        <v>1317</v>
      </c>
      <c r="P119" s="57" t="s">
        <v>1317</v>
      </c>
      <c r="Q119" s="238" t="s">
        <v>1317</v>
      </c>
      <c r="R119" s="238" t="s">
        <v>1317</v>
      </c>
      <c r="S119" s="238" t="s">
        <v>1317</v>
      </c>
      <c r="T119" s="238" t="s">
        <v>1317</v>
      </c>
      <c r="U119" s="239"/>
      <c r="V119" s="239"/>
      <c r="W119" s="239"/>
      <c r="X119" s="239"/>
      <c r="Y119" s="224"/>
      <c r="Z119" s="224"/>
      <c r="AA119" s="224"/>
      <c r="AB119" s="224"/>
      <c r="AC119" s="224"/>
      <c r="AD119" s="224" t="s">
        <v>21</v>
      </c>
      <c r="AE119" s="223" t="s">
        <v>21</v>
      </c>
      <c r="AF119" s="223" t="s">
        <v>21</v>
      </c>
      <c r="AG119" s="223" t="s">
        <v>21</v>
      </c>
      <c r="AH119" s="223" t="s">
        <v>21</v>
      </c>
      <c r="AI119" s="223" t="s">
        <v>21</v>
      </c>
      <c r="AJ119" s="223" t="s">
        <v>21</v>
      </c>
      <c r="AK119" s="223" t="s">
        <v>21</v>
      </c>
      <c r="AL119" s="223" t="str" cm="1">
        <f t="array" aca="1" ref="AL119" ca="1">IF($C119="","",
_xlfn.LET(
_xlpm._参照シート,"'[在庫状況把握_43期_2025-2026.xlsx]月次報告"&amp;TEXT(AL$1,"YYMM")&amp;"'",
_xlpm._実績,
  _xlfn.XLOOKUP($C119,
    INDIRECT(_xlpm._参照シート&amp;"!$C:$C"),
    INDIRECT(_xlpm._参照シート&amp;"!$G:$G")
  ),
_xlpm._着地予測,_xlfn.XLOOKUP($C119,INDIRECT(_xlpm._参照シート&amp;"!$C:$C"),INDIRECT(_xlpm._参照シート&amp;"!$AG:$AG")),
_xlpm._係数予測,IF(OR(AK119=0,AK119=""),"",AK119*AL$123),
_xlpm._今月1日,EOMONTH(基準データ!$C$5,-1)+1,
_xlpm._先月まで実績。今月は着地予測。翌月から係数予測,_xlfn.IFS($C119="","",AL$1&lt;_xlpm._今月1日,_xlpm._実績,AL$1=_xlpm._今月1日,_xlpm._着地予測,"true",_xlpm._係数予測),
IFERROR(_xlpm._先月まで実績。今月は着地予測。翌月から係数予測,"")
))</f>
        <v/>
      </c>
      <c r="AM119" s="223" t="str" cm="1">
        <f t="array" aca="1" ref="AM119" ca="1">IF($C119="","",
_xlfn.LET(
_xlpm._参照シート,"'[在庫状況把握_43期_2025-2026.xlsx]月次報告"&amp;TEXT(AM$1,"YYMM")&amp;"'",
_xlpm._実績,
  _xlfn.XLOOKUP($C119,
    INDIRECT(_xlpm._参照シート&amp;"!$C:$C"),
    INDIRECT(_xlpm._参照シート&amp;"!$G:$G")
  ),
_xlpm._着地予測,_xlfn.XLOOKUP($C119,INDIRECT(_xlpm._参照シート&amp;"!$C:$C"),INDIRECT(_xlpm._参照シート&amp;"!$AG:$AG")),
_xlpm._係数予測,IF(OR(AL119=0,AL119=""),"",AL119*AM$123),
_xlpm._今月1日,EOMONTH(基準データ!$C$5,-1)+1,
_xlpm._先月まで実績。今月は着地予測。翌月から係数予測,_xlfn.IFS($C119="","",AM$1&lt;_xlpm._今月1日,_xlpm._実績,AM$1=_xlpm._今月1日,_xlpm._着地予測,"true",_xlpm._係数予測),
IFERROR(_xlpm._先月まで実績。今月は着地予測。翌月から係数予測,"")
))</f>
        <v/>
      </c>
      <c r="AN119" s="223" t="str" cm="1">
        <f t="array" aca="1" ref="AN119" ca="1">IF($C119="","",
_xlfn.LET(
_xlpm._参照シート,"'[在庫状況把握_43期_2025-2026.xlsx]月次報告"&amp;TEXT(AN$1,"YYMM")&amp;"'",
_xlpm._実績,
  _xlfn.XLOOKUP($C119,
    INDIRECT(_xlpm._参照シート&amp;"!$C:$C"),
    INDIRECT(_xlpm._参照シート&amp;"!$G:$G")
  ),
_xlpm._着地予測,_xlfn.XLOOKUP($C119,INDIRECT(_xlpm._参照シート&amp;"!$C:$C"),INDIRECT(_xlpm._参照シート&amp;"!$AG:$AG")),
_xlpm._係数予測,IF(OR(AM119=0,AM119=""),"",AM119*AN$123),
_xlpm._今月1日,EOMONTH(基準データ!$C$5,-1)+1,
_xlpm._先月まで実績。今月は着地予測。翌月から係数予測,_xlfn.IFS($C119="","",AN$1&lt;_xlpm._今月1日,_xlpm._実績,AN$1=_xlpm._今月1日,_xlpm._着地予測,"true",_xlpm._係数予測),
IFERROR(_xlpm._先月まで実績。今月は着地予測。翌月から係数予測,"")
))</f>
        <v/>
      </c>
      <c r="AO119" s="223" t="str" cm="1">
        <f t="array" aca="1" ref="AO119" ca="1">IF($C119="","",
_xlfn.LET(
_xlpm._参照シート,"'[在庫状況把握_43期_2025-2026.xlsx]月次報告"&amp;TEXT(AO$1,"YYMM")&amp;"'",
_xlpm._実績,
  _xlfn.XLOOKUP($C119,
    INDIRECT(_xlpm._参照シート&amp;"!$C:$C"),
    INDIRECT(_xlpm._参照シート&amp;"!$G:$G")
  ),
_xlpm._着地予測,_xlfn.XLOOKUP($C119,INDIRECT(_xlpm._参照シート&amp;"!$C:$C"),INDIRECT(_xlpm._参照シート&amp;"!$AG:$AG")),
_xlpm._係数予測,IF(OR(AN119=0,AN119=""),"",AN119*AO$123),
_xlpm._今月1日,EOMONTH(基準データ!$C$5,-1)+1,
_xlpm._先月まで実績。今月は着地予測。翌月から係数予測,_xlfn.IFS($C119="","",AO$1&lt;_xlpm._今月1日,_xlpm._実績,AO$1=_xlpm._今月1日,_xlpm._着地予測,"true",_xlpm._係数予測),
IFERROR(_xlpm._先月まで実績。今月は着地予測。翌月から係数予測,"")
))</f>
        <v/>
      </c>
      <c r="AP119" s="223" t="str" cm="1">
        <f t="array" aca="1" ref="AP119" ca="1">IF($C119="","",
_xlfn.LET(
_xlpm._参照シート,"'[在庫状況把握_43期_2025-2026.xlsx]月次報告"&amp;TEXT(AP$1,"YYMM")&amp;"'",
_xlpm._実績,
  _xlfn.XLOOKUP($C119,
    INDIRECT(_xlpm._参照シート&amp;"!$C:$C"),
    INDIRECT(_xlpm._参照シート&amp;"!$G:$G")
  ),
_xlpm._着地予測,_xlfn.XLOOKUP($C119,INDIRECT(_xlpm._参照シート&amp;"!$C:$C"),INDIRECT(_xlpm._参照シート&amp;"!$AG:$AG")),
_xlpm._係数予測,IF(OR(AO119=0,AO119=""),"",AO119*AP$123),
_xlpm._今月1日,EOMONTH(基準データ!$C$5,-1)+1,
_xlpm._先月まで実績。今月は着地予測。翌月から係数予測,_xlfn.IFS($C119="","",AP$1&lt;_xlpm._今月1日,_xlpm._実績,AP$1=_xlpm._今月1日,_xlpm._着地予測,"true",_xlpm._係数予測),
IFERROR(_xlpm._先月まで実績。今月は着地予測。翌月から係数予測,"")
))</f>
        <v/>
      </c>
      <c r="AQ119" s="223" t="str" cm="1">
        <f t="array" aca="1" ref="AQ119" ca="1">IF($C119="","",
_xlfn.LET(
_xlpm._参照シート,"'[在庫状況把握_43期_2025-2026.xlsx]月次報告"&amp;TEXT(AQ$1,"YYMM")&amp;"'",
_xlpm._実績,
  _xlfn.XLOOKUP($C119,
    INDIRECT(_xlpm._参照シート&amp;"!$C:$C"),
    INDIRECT(_xlpm._参照シート&amp;"!$G:$G")
  ),
_xlpm._着地予測,_xlfn.XLOOKUP($C119,INDIRECT(_xlpm._参照シート&amp;"!$C:$C"),INDIRECT(_xlpm._参照シート&amp;"!$AG:$AG")),
_xlpm._係数予測,IF(OR(AP119=0,AP119=""),"",AP119*AQ$123),
_xlpm._今月1日,EOMONTH(基準データ!$C$5,-1)+1,
_xlpm._先月まで実績。今月は着地予測。翌月から係数予測,_xlfn.IFS($C119="","",AQ$1&lt;_xlpm._今月1日,_xlpm._実績,AQ$1=_xlpm._今月1日,_xlpm._着地予測,"true",_xlpm._係数予測),
IFERROR(_xlpm._先月まで実績。今月は着地予測。翌月から係数予測,"")
))</f>
        <v/>
      </c>
      <c r="AR119" s="223" t="str" cm="1">
        <f t="array" aca="1" ref="AR119" ca="1">IF($C119="","",
_xlfn.LET(
_xlpm._参照シート,"'[在庫状況把握_43期_2025-2026.xlsx]月次報告"&amp;TEXT(AR$1,"YYMM")&amp;"'",
_xlpm._実績,
  _xlfn.XLOOKUP($C119,
    INDIRECT(_xlpm._参照シート&amp;"!$C:$C"),
    INDIRECT(_xlpm._参照シート&amp;"!$G:$G")
  ),
_xlpm._着地予測,_xlfn.XLOOKUP($C119,INDIRECT(_xlpm._参照シート&amp;"!$C:$C"),INDIRECT(_xlpm._参照シート&amp;"!$AG:$AG")),
_xlpm._係数予測,IF(OR(AQ119=0,AQ119=""),"",AQ119*AR$123),
_xlpm._今月1日,EOMONTH(基準データ!$C$5,-1)+1,
_xlpm._先月まで実績。今月は着地予測。翌月から係数予測,_xlfn.IFS($C119="","",AR$1&lt;_xlpm._今月1日,_xlpm._実績,AR$1=_xlpm._今月1日,_xlpm._着地予測,"true",_xlpm._係数予測),
IFERROR(_xlpm._先月まで実績。今月は着地予測。翌月から係数予測,"")
))</f>
        <v/>
      </c>
      <c r="AS119" s="223" t="str" cm="1">
        <f t="array" aca="1" ref="AS119" ca="1">IF($C119="","",
_xlfn.LET(
_xlpm._参照シート,"'[在庫状況把握_43期_2025-2026.xlsx]月次報告"&amp;TEXT(AS$1,"YYMM")&amp;"'",
_xlpm._実績,
  _xlfn.XLOOKUP($C119,
    INDIRECT(_xlpm._参照シート&amp;"!$C:$C"),
    INDIRECT(_xlpm._参照シート&amp;"!$G:$G")
  ),
_xlpm._着地予測,_xlfn.XLOOKUP($C119,INDIRECT(_xlpm._参照シート&amp;"!$C:$C"),INDIRECT(_xlpm._参照シート&amp;"!$AG:$AG")),
_xlpm._係数予測,IF(OR(AR119=0,AR119=""),"",AR119*AS$123),
_xlpm._今月1日,EOMONTH(基準データ!$C$5,-1)+1,
_xlpm._先月まで実績。今月は着地予測。翌月から係数予測,_xlfn.IFS($C119="","",AS$1&lt;_xlpm._今月1日,_xlpm._実績,AS$1=_xlpm._今月1日,_xlpm._着地予測,"true",_xlpm._係数予測),
IFERROR(_xlpm._先月まで実績。今月は着地予測。翌月から係数予測,"")
))</f>
        <v/>
      </c>
      <c r="AT119" s="223" t="str" cm="1">
        <f t="array" aca="1" ref="AT119" ca="1">IF($C119="","",
_xlfn.LET(
_xlpm._参照シート,"'[在庫状況把握_43期_2025-2026.xlsx]月次報告"&amp;TEXT(AT$1,"YYMM")&amp;"'",
_xlpm._実績,
  _xlfn.XLOOKUP($C119,
    INDIRECT(_xlpm._参照シート&amp;"!$C:$C"),
    INDIRECT(_xlpm._参照シート&amp;"!$G:$G")
  ),
_xlpm._着地予測,_xlfn.XLOOKUP($C119,INDIRECT(_xlpm._参照シート&amp;"!$C:$C"),INDIRECT(_xlpm._参照シート&amp;"!$AG:$AG")),
_xlpm._係数予測,IF(OR(AS119=0,AS119=""),"",AS119*AT$123),
_xlpm._今月1日,EOMONTH(基準データ!$C$5,-1)+1,
_xlpm._先月まで実績。今月は着地予測。翌月から係数予測,_xlfn.IFS($C119="","",AT$1&lt;_xlpm._今月1日,_xlpm._実績,AT$1=_xlpm._今月1日,_xlpm._着地予測,"true",_xlpm._係数予測),
IFERROR(_xlpm._先月まで実績。今月は着地予測。翌月から係数予測,"")
))</f>
        <v/>
      </c>
      <c r="AU119" s="223" t="str" cm="1">
        <f t="array" aca="1" ref="AU119" ca="1">IF($C119="","",
_xlfn.LET(
_xlpm._参照シート,"'[在庫状況把握_43期_2025-2026.xlsx]月次報告"&amp;TEXT(AU$1,"YYMM")&amp;"'",
_xlpm._実績,
  _xlfn.XLOOKUP($C119,
    INDIRECT(_xlpm._参照シート&amp;"!$C:$C"),
    INDIRECT(_xlpm._参照シート&amp;"!$G:$G")
  ),
_xlpm._着地予測,_xlfn.XLOOKUP($C119,INDIRECT(_xlpm._参照シート&amp;"!$C:$C"),INDIRECT(_xlpm._参照シート&amp;"!$AG:$AG")),
_xlpm._係数予測,IF(OR(AT119=0,AT119=""),"",AT119*AU$123),
_xlpm._今月1日,EOMONTH(基準データ!$C$5,-1)+1,
_xlpm._先月まで実績。今月は着地予測。翌月から係数予測,_xlfn.IFS($C119="","",AU$1&lt;_xlpm._今月1日,_xlpm._実績,AU$1=_xlpm._今月1日,_xlpm._着地予測,"true",_xlpm._係数予測),
IFERROR(_xlpm._先月まで実績。今月は着地予測。翌月から係数予測,"")
))</f>
        <v/>
      </c>
      <c r="AV119" s="223" t="str" cm="1">
        <f t="array" aca="1" ref="AV119" ca="1">IF($C119="","",
_xlfn.LET(
_xlpm._参照シート,"'[在庫状況把握_43期_2025-2026.xlsx]月次報告"&amp;TEXT(AV$1,"YYMM")&amp;"'",
_xlpm._実績,
  _xlfn.XLOOKUP($C119,
    INDIRECT(_xlpm._参照シート&amp;"!$C:$C"),
    INDIRECT(_xlpm._参照シート&amp;"!$G:$G")
  ),
_xlpm._着地予測,_xlfn.XLOOKUP($C119,INDIRECT(_xlpm._参照シート&amp;"!$C:$C"),INDIRECT(_xlpm._参照シート&amp;"!$AG:$AG")),
_xlpm._係数予測,IF(OR(AU119=0,AU119=""),"",AU119*AV$123),
_xlpm._今月1日,EOMONTH(基準データ!$C$5,-1)+1,
_xlpm._先月まで実績。今月は着地予測。翌月から係数予測,_xlfn.IFS($C119="","",AV$1&lt;_xlpm._今月1日,_xlpm._実績,AV$1=_xlpm._今月1日,_xlpm._着地予測,"true",_xlpm._係数予測),
IFERROR(_xlpm._先月まで実績。今月は着地予測。翌月から係数予測,"")
))</f>
        <v/>
      </c>
      <c r="AW119" s="223" t="str" cm="1">
        <f t="array" aca="1" ref="AW119" ca="1">IF($C119="","",
_xlfn.LET(
_xlpm._参照シート,"'[在庫状況把握_43期_2025-2026.xlsx]月次報告"&amp;TEXT(AW$1,"YYMM")&amp;"'",
_xlpm._実績,
  _xlfn.XLOOKUP($C119,
    INDIRECT(_xlpm._参照シート&amp;"!$C:$C"),
    INDIRECT(_xlpm._参照シート&amp;"!$G:$G")
  ),
_xlpm._着地予測,_xlfn.XLOOKUP($C119,INDIRECT(_xlpm._参照シート&amp;"!$C:$C"),INDIRECT(_xlpm._参照シート&amp;"!$AG:$AG")),
_xlpm._係数予測,IF(OR(AV119=0,AV119=""),"",AV119*AW$123),
_xlpm._今月1日,EOMONTH(基準データ!$C$5,-1)+1,
_xlpm._先月まで実績。今月は着地予測。翌月から係数予測,_xlfn.IFS($C119="","",AW$1&lt;_xlpm._今月1日,_xlpm._実績,AW$1=_xlpm._今月1日,_xlpm._着地予測,"true",_xlpm._係数予測),
IFERROR(_xlpm._先月まで実績。今月は着地予測。翌月から係数予測,"")
))</f>
        <v/>
      </c>
      <c r="AX119" s="223" t="str" cm="1">
        <f t="array" aca="1" ref="AX119" ca="1">IF($C119="","",
_xlfn.LET(
_xlpm._参照シート,"'[在庫状況把握_43期_2025-2026.xlsx]月次報告"&amp;TEXT(AX$1,"YYMM")&amp;"'",
_xlpm._実績,
  _xlfn.XLOOKUP($C119,
    INDIRECT(_xlpm._参照シート&amp;"!$C:$C"),
    INDIRECT(_xlpm._参照シート&amp;"!$G:$G")
  ),
_xlpm._着地予測,_xlfn.XLOOKUP($C119,INDIRECT(_xlpm._参照シート&amp;"!$C:$C"),INDIRECT(_xlpm._参照シート&amp;"!$AG:$AG")),
_xlpm._係数予測,IF(OR(AW119=0,AW119=""),"",AW119*AX$123),
_xlpm._今月1日,EOMONTH(基準データ!$C$5,-1)+1,
_xlpm._先月まで実績。今月は着地予測。翌月から係数予測,_xlfn.IFS($C119="","",AX$1&lt;_xlpm._今月1日,_xlpm._実績,AX$1=_xlpm._今月1日,_xlpm._着地予測,"true",_xlpm._係数予測),
IFERROR(_xlpm._先月まで実績。今月は着地予測。翌月から係数予測,"")
))</f>
        <v/>
      </c>
      <c r="AY119" s="223" t="str" cm="1">
        <f t="array" aca="1" ref="AY119" ca="1">IF($C119="","",
_xlfn.LET(
_xlpm._参照シート,"'[在庫状況把握_43期_2025-2026.xlsx]月次報告"&amp;TEXT(AY$1,"YYMM")&amp;"'",
_xlpm._実績,
  _xlfn.XLOOKUP($C119,
    INDIRECT(_xlpm._参照シート&amp;"!$C:$C"),
    INDIRECT(_xlpm._参照シート&amp;"!$G:$G")
  ),
_xlpm._着地予測,_xlfn.XLOOKUP($C119,INDIRECT(_xlpm._参照シート&amp;"!$C:$C"),INDIRECT(_xlpm._参照シート&amp;"!$AG:$AG")),
_xlpm._係数予測,IF(OR(AX119=0,AX119=""),"",AX119*AY$123),
_xlpm._今月1日,EOMONTH(基準データ!$C$5,-1)+1,
_xlpm._先月まで実績。今月は着地予測。翌月から係数予測,_xlfn.IFS($C119="","",AY$1&lt;_xlpm._今月1日,_xlpm._実績,AY$1=_xlpm._今月1日,_xlpm._着地予測,"true",_xlpm._係数予測),
IFERROR(_xlpm._先月まで実績。今月は着地予測。翌月から係数予測,"")
))</f>
        <v/>
      </c>
      <c r="AZ119" s="223" t="str" cm="1">
        <f t="array" aca="1" ref="AZ119" ca="1">IF($C119="","",
_xlfn.LET(
_xlpm._参照シート,"'[在庫状況把握_43期_2025-2026.xlsx]月次報告"&amp;TEXT(AZ$1,"YYMM")&amp;"'",
_xlpm._実績,
  _xlfn.XLOOKUP($C119,
    INDIRECT(_xlpm._参照シート&amp;"!$C:$C"),
    INDIRECT(_xlpm._参照シート&amp;"!$G:$G")
  ),
_xlpm._着地予測,_xlfn.XLOOKUP($C119,INDIRECT(_xlpm._参照シート&amp;"!$C:$C"),INDIRECT(_xlpm._参照シート&amp;"!$AG:$AG")),
_xlpm._係数予測,IF(OR(AY119=0,AY119=""),"",AY119*AZ$123),
_xlpm._今月1日,EOMONTH(基準データ!$C$5,-1)+1,
_xlpm._先月まで実績。今月は着地予測。翌月から係数予測,_xlfn.IFS($C119="","",AZ$1&lt;_xlpm._今月1日,_xlpm._実績,AZ$1=_xlpm._今月1日,_xlpm._着地予測,"true",_xlpm._係数予測),
IFERROR(_xlpm._先月まで実績。今月は着地予測。翌月から係数予測,"")
))</f>
        <v/>
      </c>
      <c r="BA119" s="223" t="str" cm="1">
        <f t="array" aca="1" ref="BA119" ca="1">IF($C119="","",
_xlfn.LET(
_xlpm._参照シート,"'[在庫状況把握_43期_2025-2026.xlsx]月次報告"&amp;TEXT(BA$1,"YYMM")&amp;"'",
_xlpm._実績,
  _xlfn.XLOOKUP($C119,
    INDIRECT(_xlpm._参照シート&amp;"!$C:$C"),
    INDIRECT(_xlpm._参照シート&amp;"!$G:$G")
  ),
_xlpm._着地予測,_xlfn.XLOOKUP($C119,INDIRECT(_xlpm._参照シート&amp;"!$C:$C"),INDIRECT(_xlpm._参照シート&amp;"!$AG:$AG")),
_xlpm._係数予測,IF(OR(AZ119=0,AZ119=""),"",AZ119*BA$123),
_xlpm._今月1日,EOMONTH(基準データ!$C$5,-1)+1,
_xlpm._先月まで実績。今月は着地予測。翌月から係数予測,_xlfn.IFS($C119="","",BA$1&lt;_xlpm._今月1日,_xlpm._実績,BA$1=_xlpm._今月1日,_xlpm._着地予測,"true",_xlpm._係数予測),
IFERROR(_xlpm._先月まで実績。今月は着地予測。翌月から係数予測,"")
))</f>
        <v/>
      </c>
      <c r="BB119" s="223" t="str" cm="1">
        <f t="array" aca="1" ref="BB119" ca="1">IF($C119="","",
_xlfn.LET(
_xlpm._参照シート,"'[在庫状況把握_43期_2025-2026.xlsx]月次報告"&amp;TEXT(BB$1,"YYMM")&amp;"'",
_xlpm._実績,
  _xlfn.XLOOKUP($C119,
    INDIRECT(_xlpm._参照シート&amp;"!$C:$C"),
    INDIRECT(_xlpm._参照シート&amp;"!$G:$G")
  ),
_xlpm._着地予測,_xlfn.XLOOKUP($C119,INDIRECT(_xlpm._参照シート&amp;"!$C:$C"),INDIRECT(_xlpm._参照シート&amp;"!$AG:$AG")),
_xlpm._係数予測,IF(OR(BA119=0,BA119=""),"",BA119*BB$123),
_xlpm._今月1日,EOMONTH(基準データ!$C$5,-1)+1,
_xlpm._先月まで実績。今月は着地予測。翌月から係数予測,_xlfn.IFS($C119="","",BB$1&lt;_xlpm._今月1日,_xlpm._実績,BB$1=_xlpm._今月1日,_xlpm._着地予測,"true",_xlpm._係数予測),
IFERROR(_xlpm._先月まで実績。今月は着地予測。翌月から係数予測,"")
))</f>
        <v/>
      </c>
      <c r="BC119" s="223" t="str" cm="1">
        <f t="array" aca="1" ref="BC119" ca="1">IF($C119="","",
_xlfn.LET(
_xlpm._参照シート,"'[在庫状況把握_43期_2025-2026.xlsx]月次報告"&amp;TEXT(BC$1,"YYMM")&amp;"'",
_xlpm._実績,
  _xlfn.XLOOKUP($C119,
    INDIRECT(_xlpm._参照シート&amp;"!$C:$C"),
    INDIRECT(_xlpm._参照シート&amp;"!$G:$G")
  ),
_xlpm._着地予測,_xlfn.XLOOKUP($C119,INDIRECT(_xlpm._参照シート&amp;"!$C:$C"),INDIRECT(_xlpm._参照シート&amp;"!$AG:$AG")),
_xlpm._係数予測,IF(OR(BB119=0,BB119=""),"",BB119*BC$123),
_xlpm._今月1日,EOMONTH(基準データ!$C$5,-1)+1,
_xlpm._先月まで実績。今月は着地予測。翌月から係数予測,_xlfn.IFS($C119="","",BC$1&lt;_xlpm._今月1日,_xlpm._実績,BC$1=_xlpm._今月1日,_xlpm._着地予測,"true",_xlpm._係数予測),
IFERROR(_xlpm._先月まで実績。今月は着地予測。翌月から係数予測,"")
))</f>
        <v/>
      </c>
      <c r="BD119" s="223" t="str" cm="1">
        <f t="array" aca="1" ref="BD119" ca="1">IF($C119="","",
_xlfn.LET(
_xlpm._参照シート,"'[在庫状況把握_43期_2025-2026.xlsx]月次報告"&amp;TEXT(BD$1,"YYMM")&amp;"'",
_xlpm._実績,
  _xlfn.XLOOKUP($C119,
    INDIRECT(_xlpm._参照シート&amp;"!$C:$C"),
    INDIRECT(_xlpm._参照シート&amp;"!$G:$G")
  ),
_xlpm._着地予測,_xlfn.XLOOKUP($C119,INDIRECT(_xlpm._参照シート&amp;"!$C:$C"),INDIRECT(_xlpm._参照シート&amp;"!$AG:$AG")),
_xlpm._係数予測,IF(OR(BC119=0,BC119=""),"",BC119*BD$123),
_xlpm._今月1日,EOMONTH(基準データ!$C$5,-1)+1,
_xlpm._先月まで実績。今月は着地予測。翌月から係数予測,_xlfn.IFS($C119="","",BD$1&lt;_xlpm._今月1日,_xlpm._実績,BD$1=_xlpm._今月1日,_xlpm._着地予測,"true",_xlpm._係数予測),
IFERROR(_xlpm._先月まで実績。今月は着地予測。翌月から係数予測,"")
))</f>
        <v/>
      </c>
    </row>
    <row r="120" spans="1:56">
      <c r="A120" s="1076" t="s">
        <v>1442</v>
      </c>
      <c r="B120" s="55" t="s">
        <v>1519</v>
      </c>
      <c r="C120" s="57" t="s">
        <v>1520</v>
      </c>
      <c r="D120" s="115" t="s">
        <v>1521</v>
      </c>
      <c r="E120" s="106" t="s">
        <v>438</v>
      </c>
      <c r="F120" s="68" t="s">
        <v>1347</v>
      </c>
      <c r="G120" s="355">
        <v>0</v>
      </c>
      <c r="H120" s="109" cm="1">
        <f t="array" aca="1" ref="H120" ca="1">_xlfn.LET(_xlpm._来月から4ヶ月計画合計,
  SUM(
    OFFSET($A120,0,
      MATCH(
        EDATE(基準データ!$C$5,3),$A$1:$BF$1,1
      )-3,1,4)),
_xlpm._今月計画数,
INDEX($A$1:$BE$223,
  ROW(),
  MATCH(EOMONTH(基準データ!$C$5,-1)+1,$A$1:$BE$1,0)
),
  IFERROR(IF($B120="","",_xlpm._来月から4ヶ月計画合計+_xlpm._今月計画数/2),""
)
)</f>
        <v>0</v>
      </c>
      <c r="I120" s="38" t="str">
        <f>IFERROR(IF(SUM(INDEX('在庫使用計画 (一般)'!$A$1:$BF$557,MATCH($C120,'在庫使用計画 (一般)'!$C$1:$C$557,0),MATCH(I$1,'在庫使用計画 (一般)'!$A$1:$BF$1,0)),INDEX('在庫使用計画 (法人)'!$A$1:$AT$578,MATCH($C120,'在庫使用計画 (法人)'!$C$1:$C$578,0),MATCH(I$1,'在庫使用計画 (法人)'!$A$1:$AT$1,0)))=0,"",SUM(INDEX('在庫使用計画 (一般)'!$A$1:$BF$557,MATCH($C120,'在庫使用計画 (一般)'!$C$1:$C$557,0),MATCH(I$1,'在庫使用計画 (一般)'!$A$1:$BF$1,0)),INDEX('在庫使用計画 (法人)'!$A$1:$AT$578,MATCH($C120,'在庫使用計画 (法人)'!$C$1:$C$578,0),MATCH(I$1,'在庫使用計画 (法人)'!$A$1:$AT$1,0)))),"")</f>
        <v/>
      </c>
      <c r="J120" s="38" t="str">
        <f>IFERROR(IF(SUM(INDEX('在庫使用計画 (一般)'!$A$1:$BF$557,MATCH($C120,'在庫使用計画 (一般)'!$C$1:$C$557,0),MATCH(J$1,'在庫使用計画 (一般)'!$A$1:$BF$1,0)),INDEX('在庫使用計画 (法人)'!$A$1:$AT$578,MATCH($C120,'在庫使用計画 (法人)'!$C$1:$C$578,0),MATCH(J$1,'在庫使用計画 (法人)'!$A$1:$AT$1,0)))=0,"",SUM(INDEX('在庫使用計画 (一般)'!$A$1:$BF$557,MATCH($C120,'在庫使用計画 (一般)'!$C$1:$C$557,0),MATCH(J$1,'在庫使用計画 (一般)'!$A$1:$BF$1,0)),INDEX('在庫使用計画 (法人)'!$A$1:$AT$578,MATCH($C120,'在庫使用計画 (法人)'!$C$1:$C$578,0),MATCH(J$1,'在庫使用計画 (法人)'!$A$1:$AT$1,0)))),"")</f>
        <v/>
      </c>
      <c r="K120" s="38" t="str">
        <f>IFERROR(IF(SUM(INDEX('在庫使用計画 (一般)'!$A$1:$BF$557,MATCH($C120,'在庫使用計画 (一般)'!$C$1:$C$557,0),MATCH(K$1,'在庫使用計画 (一般)'!$A$1:$BF$1,0)),INDEX('在庫使用計画 (法人)'!$A$1:$AT$578,MATCH($C120,'在庫使用計画 (法人)'!$C$1:$C$578,0),MATCH(K$1,'在庫使用計画 (法人)'!$A$1:$AT$1,0)))=0,"",SUM(INDEX('在庫使用計画 (一般)'!$A$1:$BF$557,MATCH($C120,'在庫使用計画 (一般)'!$C$1:$C$557,0),MATCH(K$1,'在庫使用計画 (一般)'!$A$1:$BF$1,0)),INDEX('在庫使用計画 (法人)'!$A$1:$AT$578,MATCH($C120,'在庫使用計画 (法人)'!$C$1:$C$578,0),MATCH(K$1,'在庫使用計画 (法人)'!$A$1:$AT$1,0)))),"")</f>
        <v/>
      </c>
      <c r="L120" s="38" t="str">
        <f>IFERROR(IF(SUM(INDEX('在庫使用計画 (一般)'!$A$1:$BF$557,MATCH($C120,'在庫使用計画 (一般)'!$C$1:$C$557,0),MATCH(L$1,'在庫使用計画 (一般)'!$A$1:$BF$1,0)),INDEX('在庫使用計画 (法人)'!$A$1:$AT$578,MATCH($C120,'在庫使用計画 (法人)'!$C$1:$C$578,0),MATCH(L$1,'在庫使用計画 (法人)'!$A$1:$AT$1,0)))=0,"",SUM(INDEX('在庫使用計画 (一般)'!$A$1:$BF$557,MATCH($C120,'在庫使用計画 (一般)'!$C$1:$C$557,0),MATCH(L$1,'在庫使用計画 (一般)'!$A$1:$BF$1,0)),INDEX('在庫使用計画 (法人)'!$A$1:$AT$578,MATCH($C120,'在庫使用計画 (法人)'!$C$1:$C$578,0),MATCH(L$1,'在庫使用計画 (法人)'!$A$1:$AT$1,0)))),"")</f>
        <v/>
      </c>
      <c r="M120" s="38" t="str">
        <f>IFERROR(IF(SUM(INDEX('在庫使用計画 (一般)'!$A$1:$BF$557,MATCH($C120,'在庫使用計画 (一般)'!$C$1:$C$557,0),MATCH(M$1,'在庫使用計画 (一般)'!$A$1:$BF$1,0)),INDEX('在庫使用計画 (法人)'!$A$1:$AT$578,MATCH($C120,'在庫使用計画 (法人)'!$C$1:$C$578,0),MATCH(M$1,'在庫使用計画 (法人)'!$A$1:$AT$1,0)))=0,"",SUM(INDEX('在庫使用計画 (一般)'!$A$1:$BF$557,MATCH($C120,'在庫使用計画 (一般)'!$C$1:$C$557,0),MATCH(M$1,'在庫使用計画 (一般)'!$A$1:$BF$1,0)),INDEX('在庫使用計画 (法人)'!$A$1:$AT$578,MATCH($C120,'在庫使用計画 (法人)'!$C$1:$C$578,0),MATCH(M$1,'在庫使用計画 (法人)'!$A$1:$AT$1,0)))),"")</f>
        <v/>
      </c>
      <c r="N120" s="38" t="str">
        <f>IFERROR(IF(SUM(INDEX('在庫使用計画 (一般)'!$A$1:$BF$557,MATCH($C120,'在庫使用計画 (一般)'!$C$1:$C$557,0),MATCH(N$1,'在庫使用計画 (一般)'!$A$1:$BF$1,0)),INDEX('在庫使用計画 (法人)'!$A$1:$AT$578,MATCH($C120,'在庫使用計画 (法人)'!$C$1:$C$578,0),MATCH(N$1,'在庫使用計画 (法人)'!$A$1:$AT$1,0)))=0,"",SUM(INDEX('在庫使用計画 (一般)'!$A$1:$BF$557,MATCH($C120,'在庫使用計画 (一般)'!$C$1:$C$557,0),MATCH(N$1,'在庫使用計画 (一般)'!$A$1:$BF$1,0)),INDEX('在庫使用計画 (法人)'!$A$1:$AT$578,MATCH($C120,'在庫使用計画 (法人)'!$C$1:$C$578,0),MATCH(N$1,'在庫使用計画 (法人)'!$A$1:$AT$1,0)))),"")</f>
        <v/>
      </c>
      <c r="O120" s="38">
        <f>IFERROR(IF(SUM(INDEX('在庫使用計画 (一般)'!$A$1:$BF$557,MATCH($C120,'在庫使用計画 (一般)'!$C$1:$C$557,0),MATCH(O$1,'在庫使用計画 (一般)'!$A$1:$BF$1,0)),INDEX('在庫使用計画 (法人)'!$A$1:$AT$578,MATCH($C120,'在庫使用計画 (法人)'!$C$1:$C$578,0),MATCH(O$1,'在庫使用計画 (法人)'!$A$1:$AT$1,0)))=0,"",SUM(INDEX('在庫使用計画 (一般)'!$A$1:$BF$557,MATCH($C120,'在庫使用計画 (一般)'!$C$1:$C$557,0),MATCH(O$1,'在庫使用計画 (一般)'!$A$1:$BF$1,0)),INDEX('在庫使用計画 (法人)'!$A$1:$AT$578,MATCH($C120,'在庫使用計画 (法人)'!$C$1:$C$578,0),MATCH(O$1,'在庫使用計画 (法人)'!$A$1:$AT$1,0)))),"")</f>
        <v>25</v>
      </c>
      <c r="P120" s="38">
        <f>IFERROR(IF(SUM(INDEX('在庫使用計画 (一般)'!$A$1:$BF$557,MATCH($C120,'在庫使用計画 (一般)'!$C$1:$C$557,0),MATCH(P$1,'在庫使用計画 (一般)'!$A$1:$BF$1,0)),INDEX('在庫使用計画 (法人)'!$A$1:$AT$578,MATCH($C120,'在庫使用計画 (法人)'!$C$1:$C$578,0),MATCH(P$1,'在庫使用計画 (法人)'!$A$1:$AT$1,0)))=0,"",SUM(INDEX('在庫使用計画 (一般)'!$A$1:$BF$557,MATCH($C120,'在庫使用計画 (一般)'!$C$1:$C$557,0),MATCH(P$1,'在庫使用計画 (一般)'!$A$1:$BF$1,0)),INDEX('在庫使用計画 (法人)'!$A$1:$AT$578,MATCH($C120,'在庫使用計画 (法人)'!$C$1:$C$578,0),MATCH(P$1,'在庫使用計画 (法人)'!$A$1:$AT$1,0)))),"")</f>
        <v>5</v>
      </c>
      <c r="Q120" s="219">
        <f>IFERROR(IF(SUM(INDEX('在庫使用計画 (一般)'!$A$1:$BF$557,MATCH($C120,'在庫使用計画 (一般)'!$C$1:$C$557,0),MATCH(Q$1,'在庫使用計画 (一般)'!$A$1:$BF$1,0)),INDEX('在庫使用計画 (法人)'!$A$1:$AT$578,MATCH($C120,'在庫使用計画 (法人)'!$C$1:$C$578,0),MATCH(Q$1,'在庫使用計画 (法人)'!$A$1:$AT$1,0)))=0,"",SUM(INDEX('在庫使用計画 (一般)'!$A$1:$BF$557,MATCH($C120,'在庫使用計画 (一般)'!$C$1:$C$557,0),MATCH(Q$1,'在庫使用計画 (一般)'!$A$1:$BF$1,0)),INDEX('在庫使用計画 (法人)'!$A$1:$AT$578,MATCH($C120,'在庫使用計画 (法人)'!$C$1:$C$578,0),MATCH(Q$1,'在庫使用計画 (法人)'!$A$1:$AT$1,0)))),"")</f>
        <v>63</v>
      </c>
      <c r="R120" s="219">
        <f>IFERROR(IF(SUM(INDEX('在庫使用計画 (一般)'!$A$1:$BF$557,MATCH($C120,'在庫使用計画 (一般)'!$C$1:$C$557,0),MATCH(R$1,'在庫使用計画 (一般)'!$A$1:$BF$1,0)),INDEX('在庫使用計画 (法人)'!$A$1:$AT$578,MATCH($C120,'在庫使用計画 (法人)'!$C$1:$C$578,0),MATCH(R$1,'在庫使用計画 (法人)'!$A$1:$AT$1,0)))=0,"",SUM(INDEX('在庫使用計画 (一般)'!$A$1:$BF$557,MATCH($C120,'在庫使用計画 (一般)'!$C$1:$C$557,0),MATCH(R$1,'在庫使用計画 (一般)'!$A$1:$BF$1,0)),INDEX('在庫使用計画 (法人)'!$A$1:$AT$578,MATCH($C120,'在庫使用計画 (法人)'!$C$1:$C$578,0),MATCH(R$1,'在庫使用計画 (法人)'!$A$1:$AT$1,0)))),"")</f>
        <v>6</v>
      </c>
      <c r="S120" s="219">
        <f>IFERROR(IF(SUM(INDEX('在庫使用計画 (一般)'!$A$1:$BF$557,MATCH($C120,'在庫使用計画 (一般)'!$C$1:$C$557,0),MATCH(S$1,'在庫使用計画 (一般)'!$A$1:$BF$1,0)),INDEX('在庫使用計画 (法人)'!$A$1:$AT$578,MATCH($C120,'在庫使用計画 (法人)'!$C$1:$C$578,0),MATCH(S$1,'在庫使用計画 (法人)'!$A$1:$AT$1,0)))=0,"",SUM(INDEX('在庫使用計画 (一般)'!$A$1:$BF$557,MATCH($C120,'在庫使用計画 (一般)'!$C$1:$C$557,0),MATCH(S$1,'在庫使用計画 (一般)'!$A$1:$BF$1,0)),INDEX('在庫使用計画 (法人)'!$A$1:$AT$578,MATCH($C120,'在庫使用計画 (法人)'!$C$1:$C$578,0),MATCH(S$1,'在庫使用計画 (法人)'!$A$1:$AT$1,0)))),"")</f>
        <v>35</v>
      </c>
      <c r="T120" s="219">
        <f>IFERROR(IF(SUM(INDEX('在庫使用計画 (一般)'!$A$1:$BF$557,MATCH($C120,'在庫使用計画 (一般)'!$C$1:$C$557,0),MATCH(T$1,'在庫使用計画 (一般)'!$A$1:$BF$1,0)),INDEX('在庫使用計画 (法人)'!$A$1:$AT$578,MATCH($C120,'在庫使用計画 (法人)'!$C$1:$C$578,0),MATCH(T$1,'在庫使用計画 (法人)'!$A$1:$AT$1,0)))=0,"",SUM(INDEX('在庫使用計画 (一般)'!$A$1:$BF$557,MATCH($C120,'在庫使用計画 (一般)'!$C$1:$C$557,0),MATCH(T$1,'在庫使用計画 (一般)'!$A$1:$BF$1,0)),INDEX('在庫使用計画 (法人)'!$A$1:$AT$578,MATCH($C120,'在庫使用計画 (法人)'!$C$1:$C$578,0),MATCH(T$1,'在庫使用計画 (法人)'!$A$1:$AT$1,0)))),"")</f>
        <v>45</v>
      </c>
      <c r="U120" s="224">
        <v>18</v>
      </c>
      <c r="V120" s="224">
        <v>57</v>
      </c>
      <c r="W120" s="224">
        <v>59</v>
      </c>
      <c r="X120" s="224">
        <v>54</v>
      </c>
      <c r="Y120" s="224">
        <v>58</v>
      </c>
      <c r="Z120" s="224">
        <v>57</v>
      </c>
      <c r="AA120" s="224">
        <v>103</v>
      </c>
      <c r="AB120" s="224">
        <v>20</v>
      </c>
      <c r="AC120" s="224">
        <v>25</v>
      </c>
      <c r="AD120" s="224">
        <v>3</v>
      </c>
      <c r="AE120" s="223">
        <v>2</v>
      </c>
      <c r="AF120" s="223">
        <v>2</v>
      </c>
      <c r="AG120" s="223">
        <v>0</v>
      </c>
      <c r="AH120" s="223">
        <v>8</v>
      </c>
      <c r="AI120" s="223">
        <v>2</v>
      </c>
      <c r="AJ120" s="223">
        <v>0</v>
      </c>
      <c r="AK120" s="223">
        <v>0</v>
      </c>
      <c r="AL120" s="223" cm="1">
        <f t="array" aca="1" ref="AL120" ca="1">IF($C120="","",
_xlfn.LET(
_xlpm._参照シート,"'[在庫状況把握_43期_2025-2026.xlsx]月次報告"&amp;TEXT(AL$1,"YYMM")&amp;"'",
_xlpm._実績,
  _xlfn.XLOOKUP($C120,
    INDIRECT(_xlpm._参照シート&amp;"!$C:$C"),
    INDIRECT(_xlpm._参照シート&amp;"!$G:$G")
  ),
_xlpm._着地予測,_xlfn.XLOOKUP($C120,INDIRECT(_xlpm._参照シート&amp;"!$C:$C"),INDIRECT(_xlpm._参照シート&amp;"!$AG:$AG")),
_xlpm._係数予測,IF(OR(AK120=0,AK120=""),"",AK120*AL$123),
_xlpm._今月1日,EOMONTH(基準データ!$C$5,-1)+1,
_xlpm._先月まで実績。今月は着地予測。翌月から係数予測,_xlfn.IFS($C120="","",AL$1&lt;_xlpm._今月1日,_xlpm._実績,AL$1=_xlpm._今月1日,_xlpm._着地予測,"true",_xlpm._係数予測),
IFERROR(_xlpm._先月まで実績。今月は着地予測。翌月から係数予測,"")
))</f>
        <v>0</v>
      </c>
      <c r="AM120" s="223" cm="1">
        <f t="array" aca="1" ref="AM120" ca="1">IF($C120="","",
_xlfn.LET(
_xlpm._参照シート,"'[在庫状況把握_43期_2025-2026.xlsx]月次報告"&amp;TEXT(AM$1,"YYMM")&amp;"'",
_xlpm._実績,
  _xlfn.XLOOKUP($C120,
    INDIRECT(_xlpm._参照シート&amp;"!$C:$C"),
    INDIRECT(_xlpm._参照シート&amp;"!$G:$G")
  ),
_xlpm._着地予測,_xlfn.XLOOKUP($C120,INDIRECT(_xlpm._参照シート&amp;"!$C:$C"),INDIRECT(_xlpm._参照シート&amp;"!$AG:$AG")),
_xlpm._係数予測,IF(OR(AL120=0,AL120=""),"",AL120*AM$123),
_xlpm._今月1日,EOMONTH(基準データ!$C$5,-1)+1,
_xlpm._先月まで実績。今月は着地予測。翌月から係数予測,_xlfn.IFS($C120="","",AM$1&lt;_xlpm._今月1日,_xlpm._実績,AM$1=_xlpm._今月1日,_xlpm._着地予測,"true",_xlpm._係数予測),
IFERROR(_xlpm._先月まで実績。今月は着地予測。翌月から係数予測,"")
))</f>
        <v>0</v>
      </c>
      <c r="AN120" s="223" t="str" cm="1">
        <f t="array" aca="1" ref="AN120" ca="1">IF($C120="","",
_xlfn.LET(
_xlpm._参照シート,"'[在庫状況把握_43期_2025-2026.xlsx]月次報告"&amp;TEXT(AN$1,"YYMM")&amp;"'",
_xlpm._実績,
  _xlfn.XLOOKUP($C120,
    INDIRECT(_xlpm._参照シート&amp;"!$C:$C"),
    INDIRECT(_xlpm._参照シート&amp;"!$G:$G")
  ),
_xlpm._着地予測,_xlfn.XLOOKUP($C120,INDIRECT(_xlpm._参照シート&amp;"!$C:$C"),INDIRECT(_xlpm._参照シート&amp;"!$AG:$AG")),
_xlpm._係数予測,IF(OR(AM120=0,AM120=""),"",AM120*AN$123),
_xlpm._今月1日,EOMONTH(基準データ!$C$5,-1)+1,
_xlpm._先月まで実績。今月は着地予測。翌月から係数予測,_xlfn.IFS($C120="","",AN$1&lt;_xlpm._今月1日,_xlpm._実績,AN$1=_xlpm._今月1日,_xlpm._着地予測,"true",_xlpm._係数予測),
IFERROR(_xlpm._先月まで実績。今月は着地予測。翌月から係数予測,"")
))</f>
        <v/>
      </c>
      <c r="AO120" s="223" t="str" cm="1">
        <f t="array" aca="1" ref="AO120" ca="1">IF($C120="","",
_xlfn.LET(
_xlpm._参照シート,"'[在庫状況把握_43期_2025-2026.xlsx]月次報告"&amp;TEXT(AO$1,"YYMM")&amp;"'",
_xlpm._実績,
  _xlfn.XLOOKUP($C120,
    INDIRECT(_xlpm._参照シート&amp;"!$C:$C"),
    INDIRECT(_xlpm._参照シート&amp;"!$G:$G")
  ),
_xlpm._着地予測,_xlfn.XLOOKUP($C120,INDIRECT(_xlpm._参照シート&amp;"!$C:$C"),INDIRECT(_xlpm._参照シート&amp;"!$AG:$AG")),
_xlpm._係数予測,IF(OR(AN120=0,AN120=""),"",AN120*AO$123),
_xlpm._今月1日,EOMONTH(基準データ!$C$5,-1)+1,
_xlpm._先月まで実績。今月は着地予測。翌月から係数予測,_xlfn.IFS($C120="","",AO$1&lt;_xlpm._今月1日,_xlpm._実績,AO$1=_xlpm._今月1日,_xlpm._着地予測,"true",_xlpm._係数予測),
IFERROR(_xlpm._先月まで実績。今月は着地予測。翌月から係数予測,"")
))</f>
        <v/>
      </c>
      <c r="AP120" s="223" t="str" cm="1">
        <f t="array" aca="1" ref="AP120" ca="1">IF($C120="","",
_xlfn.LET(
_xlpm._参照シート,"'[在庫状況把握_43期_2025-2026.xlsx]月次報告"&amp;TEXT(AP$1,"YYMM")&amp;"'",
_xlpm._実績,
  _xlfn.XLOOKUP($C120,
    INDIRECT(_xlpm._参照シート&amp;"!$C:$C"),
    INDIRECT(_xlpm._参照シート&amp;"!$G:$G")
  ),
_xlpm._着地予測,_xlfn.XLOOKUP($C120,INDIRECT(_xlpm._参照シート&amp;"!$C:$C"),INDIRECT(_xlpm._参照シート&amp;"!$AG:$AG")),
_xlpm._係数予測,IF(OR(AO120=0,AO120=""),"",AO120*AP$123),
_xlpm._今月1日,EOMONTH(基準データ!$C$5,-1)+1,
_xlpm._先月まで実績。今月は着地予測。翌月から係数予測,_xlfn.IFS($C120="","",AP$1&lt;_xlpm._今月1日,_xlpm._実績,AP$1=_xlpm._今月1日,_xlpm._着地予測,"true",_xlpm._係数予測),
IFERROR(_xlpm._先月まで実績。今月は着地予測。翌月から係数予測,"")
))</f>
        <v/>
      </c>
      <c r="AQ120" s="223" t="str" cm="1">
        <f t="array" aca="1" ref="AQ120" ca="1">IF($C120="","",
_xlfn.LET(
_xlpm._参照シート,"'[在庫状況把握_43期_2025-2026.xlsx]月次報告"&amp;TEXT(AQ$1,"YYMM")&amp;"'",
_xlpm._実績,
  _xlfn.XLOOKUP($C120,
    INDIRECT(_xlpm._参照シート&amp;"!$C:$C"),
    INDIRECT(_xlpm._参照シート&amp;"!$G:$G")
  ),
_xlpm._着地予測,_xlfn.XLOOKUP($C120,INDIRECT(_xlpm._参照シート&amp;"!$C:$C"),INDIRECT(_xlpm._参照シート&amp;"!$AG:$AG")),
_xlpm._係数予測,IF(OR(AP120=0,AP120=""),"",AP120*AQ$123),
_xlpm._今月1日,EOMONTH(基準データ!$C$5,-1)+1,
_xlpm._先月まで実績。今月は着地予測。翌月から係数予測,_xlfn.IFS($C120="","",AQ$1&lt;_xlpm._今月1日,_xlpm._実績,AQ$1=_xlpm._今月1日,_xlpm._着地予測,"true",_xlpm._係数予測),
IFERROR(_xlpm._先月まで実績。今月は着地予測。翌月から係数予測,"")
))</f>
        <v/>
      </c>
      <c r="AR120" s="223" t="str" cm="1">
        <f t="array" aca="1" ref="AR120" ca="1">IF($C120="","",
_xlfn.LET(
_xlpm._参照シート,"'[在庫状況把握_43期_2025-2026.xlsx]月次報告"&amp;TEXT(AR$1,"YYMM")&amp;"'",
_xlpm._実績,
  _xlfn.XLOOKUP($C120,
    INDIRECT(_xlpm._参照シート&amp;"!$C:$C"),
    INDIRECT(_xlpm._参照シート&amp;"!$G:$G")
  ),
_xlpm._着地予測,_xlfn.XLOOKUP($C120,INDIRECT(_xlpm._参照シート&amp;"!$C:$C"),INDIRECT(_xlpm._参照シート&amp;"!$AG:$AG")),
_xlpm._係数予測,IF(OR(AQ120=0,AQ120=""),"",AQ120*AR$123),
_xlpm._今月1日,EOMONTH(基準データ!$C$5,-1)+1,
_xlpm._先月まで実績。今月は着地予測。翌月から係数予測,_xlfn.IFS($C120="","",AR$1&lt;_xlpm._今月1日,_xlpm._実績,AR$1=_xlpm._今月1日,_xlpm._着地予測,"true",_xlpm._係数予測),
IFERROR(_xlpm._先月まで実績。今月は着地予測。翌月から係数予測,"")
))</f>
        <v/>
      </c>
      <c r="AS120" s="223" t="str" cm="1">
        <f t="array" aca="1" ref="AS120" ca="1">IF($C120="","",
_xlfn.LET(
_xlpm._参照シート,"'[在庫状況把握_43期_2025-2026.xlsx]月次報告"&amp;TEXT(AS$1,"YYMM")&amp;"'",
_xlpm._実績,
  _xlfn.XLOOKUP($C120,
    INDIRECT(_xlpm._参照シート&amp;"!$C:$C"),
    INDIRECT(_xlpm._参照シート&amp;"!$G:$G")
  ),
_xlpm._着地予測,_xlfn.XLOOKUP($C120,INDIRECT(_xlpm._参照シート&amp;"!$C:$C"),INDIRECT(_xlpm._参照シート&amp;"!$AG:$AG")),
_xlpm._係数予測,IF(OR(AR120=0,AR120=""),"",AR120*AS$123),
_xlpm._今月1日,EOMONTH(基準データ!$C$5,-1)+1,
_xlpm._先月まで実績。今月は着地予測。翌月から係数予測,_xlfn.IFS($C120="","",AS$1&lt;_xlpm._今月1日,_xlpm._実績,AS$1=_xlpm._今月1日,_xlpm._着地予測,"true",_xlpm._係数予測),
IFERROR(_xlpm._先月まで実績。今月は着地予測。翌月から係数予測,"")
))</f>
        <v/>
      </c>
      <c r="AT120" s="223" t="str" cm="1">
        <f t="array" aca="1" ref="AT120" ca="1">IF($C120="","",
_xlfn.LET(
_xlpm._参照シート,"'[在庫状況把握_43期_2025-2026.xlsx]月次報告"&amp;TEXT(AT$1,"YYMM")&amp;"'",
_xlpm._実績,
  _xlfn.XLOOKUP($C120,
    INDIRECT(_xlpm._参照シート&amp;"!$C:$C"),
    INDIRECT(_xlpm._参照シート&amp;"!$G:$G")
  ),
_xlpm._着地予測,_xlfn.XLOOKUP($C120,INDIRECT(_xlpm._参照シート&amp;"!$C:$C"),INDIRECT(_xlpm._参照シート&amp;"!$AG:$AG")),
_xlpm._係数予測,IF(OR(AS120=0,AS120=""),"",AS120*AT$123),
_xlpm._今月1日,EOMONTH(基準データ!$C$5,-1)+1,
_xlpm._先月まで実績。今月は着地予測。翌月から係数予測,_xlfn.IFS($C120="","",AT$1&lt;_xlpm._今月1日,_xlpm._実績,AT$1=_xlpm._今月1日,_xlpm._着地予測,"true",_xlpm._係数予測),
IFERROR(_xlpm._先月まで実績。今月は着地予測。翌月から係数予測,"")
))</f>
        <v/>
      </c>
      <c r="AU120" s="223" t="str" cm="1">
        <f t="array" aca="1" ref="AU120" ca="1">IF($C120="","",
_xlfn.LET(
_xlpm._参照シート,"'[在庫状況把握_43期_2025-2026.xlsx]月次報告"&amp;TEXT(AU$1,"YYMM")&amp;"'",
_xlpm._実績,
  _xlfn.XLOOKUP($C120,
    INDIRECT(_xlpm._参照シート&amp;"!$C:$C"),
    INDIRECT(_xlpm._参照シート&amp;"!$G:$G")
  ),
_xlpm._着地予測,_xlfn.XLOOKUP($C120,INDIRECT(_xlpm._参照シート&amp;"!$C:$C"),INDIRECT(_xlpm._参照シート&amp;"!$AG:$AG")),
_xlpm._係数予測,IF(OR(AT120=0,AT120=""),"",AT120*AU$123),
_xlpm._今月1日,EOMONTH(基準データ!$C$5,-1)+1,
_xlpm._先月まで実績。今月は着地予測。翌月から係数予測,_xlfn.IFS($C120="","",AU$1&lt;_xlpm._今月1日,_xlpm._実績,AU$1=_xlpm._今月1日,_xlpm._着地予測,"true",_xlpm._係数予測),
IFERROR(_xlpm._先月まで実績。今月は着地予測。翌月から係数予測,"")
))</f>
        <v/>
      </c>
      <c r="AV120" s="223" t="str" cm="1">
        <f t="array" aca="1" ref="AV120" ca="1">IF($C120="","",
_xlfn.LET(
_xlpm._参照シート,"'[在庫状況把握_43期_2025-2026.xlsx]月次報告"&amp;TEXT(AV$1,"YYMM")&amp;"'",
_xlpm._実績,
  _xlfn.XLOOKUP($C120,
    INDIRECT(_xlpm._参照シート&amp;"!$C:$C"),
    INDIRECT(_xlpm._参照シート&amp;"!$G:$G")
  ),
_xlpm._着地予測,_xlfn.XLOOKUP($C120,INDIRECT(_xlpm._参照シート&amp;"!$C:$C"),INDIRECT(_xlpm._参照シート&amp;"!$AG:$AG")),
_xlpm._係数予測,IF(OR(AU120=0,AU120=""),"",AU120*AV$123),
_xlpm._今月1日,EOMONTH(基準データ!$C$5,-1)+1,
_xlpm._先月まで実績。今月は着地予測。翌月から係数予測,_xlfn.IFS($C120="","",AV$1&lt;_xlpm._今月1日,_xlpm._実績,AV$1=_xlpm._今月1日,_xlpm._着地予測,"true",_xlpm._係数予測),
IFERROR(_xlpm._先月まで実績。今月は着地予測。翌月から係数予測,"")
))</f>
        <v/>
      </c>
      <c r="AW120" s="223" t="str" cm="1">
        <f t="array" aca="1" ref="AW120" ca="1">IF($C120="","",
_xlfn.LET(
_xlpm._参照シート,"'[在庫状況把握_43期_2025-2026.xlsx]月次報告"&amp;TEXT(AW$1,"YYMM")&amp;"'",
_xlpm._実績,
  _xlfn.XLOOKUP($C120,
    INDIRECT(_xlpm._参照シート&amp;"!$C:$C"),
    INDIRECT(_xlpm._参照シート&amp;"!$G:$G")
  ),
_xlpm._着地予測,_xlfn.XLOOKUP($C120,INDIRECT(_xlpm._参照シート&amp;"!$C:$C"),INDIRECT(_xlpm._参照シート&amp;"!$AG:$AG")),
_xlpm._係数予測,IF(OR(AV120=0,AV120=""),"",AV120*AW$123),
_xlpm._今月1日,EOMONTH(基準データ!$C$5,-1)+1,
_xlpm._先月まで実績。今月は着地予測。翌月から係数予測,_xlfn.IFS($C120="","",AW$1&lt;_xlpm._今月1日,_xlpm._実績,AW$1=_xlpm._今月1日,_xlpm._着地予測,"true",_xlpm._係数予測),
IFERROR(_xlpm._先月まで実績。今月は着地予測。翌月から係数予測,"")
))</f>
        <v/>
      </c>
      <c r="AX120" s="223" t="str" cm="1">
        <f t="array" aca="1" ref="AX120" ca="1">IF($C120="","",
_xlfn.LET(
_xlpm._参照シート,"'[在庫状況把握_43期_2025-2026.xlsx]月次報告"&amp;TEXT(AX$1,"YYMM")&amp;"'",
_xlpm._実績,
  _xlfn.XLOOKUP($C120,
    INDIRECT(_xlpm._参照シート&amp;"!$C:$C"),
    INDIRECT(_xlpm._参照シート&amp;"!$G:$G")
  ),
_xlpm._着地予測,_xlfn.XLOOKUP($C120,INDIRECT(_xlpm._参照シート&amp;"!$C:$C"),INDIRECT(_xlpm._参照シート&amp;"!$AG:$AG")),
_xlpm._係数予測,IF(OR(AW120=0,AW120=""),"",AW120*AX$123),
_xlpm._今月1日,EOMONTH(基準データ!$C$5,-1)+1,
_xlpm._先月まで実績。今月は着地予測。翌月から係数予測,_xlfn.IFS($C120="","",AX$1&lt;_xlpm._今月1日,_xlpm._実績,AX$1=_xlpm._今月1日,_xlpm._着地予測,"true",_xlpm._係数予測),
IFERROR(_xlpm._先月まで実績。今月は着地予測。翌月から係数予測,"")
))</f>
        <v/>
      </c>
      <c r="AY120" s="223" t="str" cm="1">
        <f t="array" aca="1" ref="AY120" ca="1">IF($C120="","",
_xlfn.LET(
_xlpm._参照シート,"'[在庫状況把握_43期_2025-2026.xlsx]月次報告"&amp;TEXT(AY$1,"YYMM")&amp;"'",
_xlpm._実績,
  _xlfn.XLOOKUP($C120,
    INDIRECT(_xlpm._参照シート&amp;"!$C:$C"),
    INDIRECT(_xlpm._参照シート&amp;"!$G:$G")
  ),
_xlpm._着地予測,_xlfn.XLOOKUP($C120,INDIRECT(_xlpm._参照シート&amp;"!$C:$C"),INDIRECT(_xlpm._参照シート&amp;"!$AG:$AG")),
_xlpm._係数予測,IF(OR(AX120=0,AX120=""),"",AX120*AY$123),
_xlpm._今月1日,EOMONTH(基準データ!$C$5,-1)+1,
_xlpm._先月まで実績。今月は着地予測。翌月から係数予測,_xlfn.IFS($C120="","",AY$1&lt;_xlpm._今月1日,_xlpm._実績,AY$1=_xlpm._今月1日,_xlpm._着地予測,"true",_xlpm._係数予測),
IFERROR(_xlpm._先月まで実績。今月は着地予測。翌月から係数予測,"")
))</f>
        <v/>
      </c>
      <c r="AZ120" s="223" t="str" cm="1">
        <f t="array" aca="1" ref="AZ120" ca="1">IF($C120="","",
_xlfn.LET(
_xlpm._参照シート,"'[在庫状況把握_43期_2025-2026.xlsx]月次報告"&amp;TEXT(AZ$1,"YYMM")&amp;"'",
_xlpm._実績,
  _xlfn.XLOOKUP($C120,
    INDIRECT(_xlpm._参照シート&amp;"!$C:$C"),
    INDIRECT(_xlpm._参照シート&amp;"!$G:$G")
  ),
_xlpm._着地予測,_xlfn.XLOOKUP($C120,INDIRECT(_xlpm._参照シート&amp;"!$C:$C"),INDIRECT(_xlpm._参照シート&amp;"!$AG:$AG")),
_xlpm._係数予測,IF(OR(AY120=0,AY120=""),"",AY120*AZ$123),
_xlpm._今月1日,EOMONTH(基準データ!$C$5,-1)+1,
_xlpm._先月まで実績。今月は着地予測。翌月から係数予測,_xlfn.IFS($C120="","",AZ$1&lt;_xlpm._今月1日,_xlpm._実績,AZ$1=_xlpm._今月1日,_xlpm._着地予測,"true",_xlpm._係数予測),
IFERROR(_xlpm._先月まで実績。今月は着地予測。翌月から係数予測,"")
))</f>
        <v/>
      </c>
      <c r="BA120" s="223" t="str" cm="1">
        <f t="array" aca="1" ref="BA120" ca="1">IF($C120="","",
_xlfn.LET(
_xlpm._参照シート,"'[在庫状況把握_43期_2025-2026.xlsx]月次報告"&amp;TEXT(BA$1,"YYMM")&amp;"'",
_xlpm._実績,
  _xlfn.XLOOKUP($C120,
    INDIRECT(_xlpm._参照シート&amp;"!$C:$C"),
    INDIRECT(_xlpm._参照シート&amp;"!$G:$G")
  ),
_xlpm._着地予測,_xlfn.XLOOKUP($C120,INDIRECT(_xlpm._参照シート&amp;"!$C:$C"),INDIRECT(_xlpm._参照シート&amp;"!$AG:$AG")),
_xlpm._係数予測,IF(OR(AZ120=0,AZ120=""),"",AZ120*BA$123),
_xlpm._今月1日,EOMONTH(基準データ!$C$5,-1)+1,
_xlpm._先月まで実績。今月は着地予測。翌月から係数予測,_xlfn.IFS($C120="","",BA$1&lt;_xlpm._今月1日,_xlpm._実績,BA$1=_xlpm._今月1日,_xlpm._着地予測,"true",_xlpm._係数予測),
IFERROR(_xlpm._先月まで実績。今月は着地予測。翌月から係数予測,"")
))</f>
        <v/>
      </c>
      <c r="BB120" s="223" t="str" cm="1">
        <f t="array" aca="1" ref="BB120" ca="1">IF($C120="","",
_xlfn.LET(
_xlpm._参照シート,"'[在庫状況把握_43期_2025-2026.xlsx]月次報告"&amp;TEXT(BB$1,"YYMM")&amp;"'",
_xlpm._実績,
  _xlfn.XLOOKUP($C120,
    INDIRECT(_xlpm._参照シート&amp;"!$C:$C"),
    INDIRECT(_xlpm._参照シート&amp;"!$G:$G")
  ),
_xlpm._着地予測,_xlfn.XLOOKUP($C120,INDIRECT(_xlpm._参照シート&amp;"!$C:$C"),INDIRECT(_xlpm._参照シート&amp;"!$AG:$AG")),
_xlpm._係数予測,IF(OR(BA120=0,BA120=""),"",BA120*BB$123),
_xlpm._今月1日,EOMONTH(基準データ!$C$5,-1)+1,
_xlpm._先月まで実績。今月は着地予測。翌月から係数予測,_xlfn.IFS($C120="","",BB$1&lt;_xlpm._今月1日,_xlpm._実績,BB$1=_xlpm._今月1日,_xlpm._着地予測,"true",_xlpm._係数予測),
IFERROR(_xlpm._先月まで実績。今月は着地予測。翌月から係数予測,"")
))</f>
        <v/>
      </c>
      <c r="BC120" s="223" t="str" cm="1">
        <f t="array" aca="1" ref="BC120" ca="1">IF($C120="","",
_xlfn.LET(
_xlpm._参照シート,"'[在庫状況把握_43期_2025-2026.xlsx]月次報告"&amp;TEXT(BC$1,"YYMM")&amp;"'",
_xlpm._実績,
  _xlfn.XLOOKUP($C120,
    INDIRECT(_xlpm._参照シート&amp;"!$C:$C"),
    INDIRECT(_xlpm._参照シート&amp;"!$G:$G")
  ),
_xlpm._着地予測,_xlfn.XLOOKUP($C120,INDIRECT(_xlpm._参照シート&amp;"!$C:$C"),INDIRECT(_xlpm._参照シート&amp;"!$AG:$AG")),
_xlpm._係数予測,IF(OR(BB120=0,BB120=""),"",BB120*BC$123),
_xlpm._今月1日,EOMONTH(基準データ!$C$5,-1)+1,
_xlpm._先月まで実績。今月は着地予測。翌月から係数予測,_xlfn.IFS($C120="","",BC$1&lt;_xlpm._今月1日,_xlpm._実績,BC$1=_xlpm._今月1日,_xlpm._着地予測,"true",_xlpm._係数予測),
IFERROR(_xlpm._先月まで実績。今月は着地予測。翌月から係数予測,"")
))</f>
        <v/>
      </c>
      <c r="BD120" s="223" t="str" cm="1">
        <f t="array" aca="1" ref="BD120" ca="1">IF($C120="","",
_xlfn.LET(
_xlpm._参照シート,"'[在庫状況把握_43期_2025-2026.xlsx]月次報告"&amp;TEXT(BD$1,"YYMM")&amp;"'",
_xlpm._実績,
  _xlfn.XLOOKUP($C120,
    INDIRECT(_xlpm._参照シート&amp;"!$C:$C"),
    INDIRECT(_xlpm._参照シート&amp;"!$G:$G")
  ),
_xlpm._着地予測,_xlfn.XLOOKUP($C120,INDIRECT(_xlpm._参照シート&amp;"!$C:$C"),INDIRECT(_xlpm._参照シート&amp;"!$AG:$AG")),
_xlpm._係数予測,IF(OR(BC120=0,BC120=""),"",BC120*BD$123),
_xlpm._今月1日,EOMONTH(基準データ!$C$5,-1)+1,
_xlpm._先月まで実績。今月は着地予測。翌月から係数予測,_xlfn.IFS($C120="","",BD$1&lt;_xlpm._今月1日,_xlpm._実績,BD$1=_xlpm._今月1日,_xlpm._着地予測,"true",_xlpm._係数予測),
IFERROR(_xlpm._先月まで実績。今月は着地予測。翌月から係数予測,"")
))</f>
        <v/>
      </c>
    </row>
    <row r="121" spans="1:56">
      <c r="A121" s="1077"/>
      <c r="B121" s="206" t="s">
        <v>1522</v>
      </c>
      <c r="C121" s="206"/>
      <c r="D121" s="205"/>
      <c r="E121" s="205"/>
      <c r="F121" s="205"/>
      <c r="G121" s="207">
        <f>SUMIFS(在庫確認!C:C,在庫確認!B:B,'(全体実績+予測）の元データ'!C:C)</f>
        <v>0</v>
      </c>
      <c r="H121" s="365"/>
      <c r="I121" s="366">
        <f t="shared" ref="I121:AC121" si="11">SUM(I111:I120)</f>
        <v>0</v>
      </c>
      <c r="J121" s="366">
        <f t="shared" si="11"/>
        <v>50</v>
      </c>
      <c r="K121" s="366">
        <f t="shared" si="11"/>
        <v>4</v>
      </c>
      <c r="L121" s="366">
        <f t="shared" si="11"/>
        <v>20</v>
      </c>
      <c r="M121" s="366">
        <f t="shared" si="11"/>
        <v>106</v>
      </c>
      <c r="N121" s="366">
        <f t="shared" si="11"/>
        <v>292</v>
      </c>
      <c r="O121" s="366">
        <f t="shared" si="11"/>
        <v>279</v>
      </c>
      <c r="P121" s="366">
        <f t="shared" si="11"/>
        <v>61</v>
      </c>
      <c r="Q121" s="366">
        <f t="shared" si="11"/>
        <v>409</v>
      </c>
      <c r="R121" s="366">
        <f t="shared" si="11"/>
        <v>188</v>
      </c>
      <c r="S121" s="366">
        <f t="shared" si="11"/>
        <v>293</v>
      </c>
      <c r="T121" s="366">
        <f t="shared" si="11"/>
        <v>469</v>
      </c>
      <c r="U121" s="366">
        <f t="shared" si="11"/>
        <v>374</v>
      </c>
      <c r="V121" s="366">
        <f t="shared" si="11"/>
        <v>461</v>
      </c>
      <c r="W121" s="366">
        <f t="shared" si="11"/>
        <v>922</v>
      </c>
      <c r="X121" s="366">
        <f t="shared" si="11"/>
        <v>294</v>
      </c>
      <c r="Y121" s="366">
        <f t="shared" si="11"/>
        <v>228</v>
      </c>
      <c r="Z121" s="366">
        <f t="shared" si="11"/>
        <v>156</v>
      </c>
      <c r="AA121" s="366">
        <f t="shared" si="11"/>
        <v>354</v>
      </c>
      <c r="AB121" s="366">
        <f t="shared" si="11"/>
        <v>221</v>
      </c>
      <c r="AC121" s="642">
        <f t="shared" si="11"/>
        <v>123</v>
      </c>
      <c r="AD121" s="642">
        <v>24</v>
      </c>
      <c r="AE121" s="642">
        <v>9</v>
      </c>
      <c r="AF121" s="366">
        <v>13</v>
      </c>
      <c r="AG121" s="366">
        <v>0</v>
      </c>
      <c r="AH121" s="642">
        <v>8</v>
      </c>
      <c r="AI121" s="642">
        <v>2</v>
      </c>
      <c r="AJ121" s="642">
        <v>0</v>
      </c>
      <c r="AK121" s="642">
        <v>0</v>
      </c>
      <c r="AL121" s="642">
        <f t="shared" ref="AL121:BD121" ca="1" si="12">SUM(AL111:AL120)</f>
        <v>0</v>
      </c>
      <c r="AM121" s="642">
        <f t="shared" ca="1" si="12"/>
        <v>0</v>
      </c>
      <c r="AN121" s="642">
        <f t="shared" ca="1" si="12"/>
        <v>0</v>
      </c>
      <c r="AO121" s="642">
        <f t="shared" ca="1" si="12"/>
        <v>0</v>
      </c>
      <c r="AP121" s="642">
        <f t="shared" ca="1" si="12"/>
        <v>0</v>
      </c>
      <c r="AQ121" s="642">
        <f t="shared" ca="1" si="12"/>
        <v>0</v>
      </c>
      <c r="AR121" s="642">
        <f t="shared" ca="1" si="12"/>
        <v>0</v>
      </c>
      <c r="AS121" s="642">
        <f t="shared" ca="1" si="12"/>
        <v>0</v>
      </c>
      <c r="AT121" s="642">
        <f t="shared" ca="1" si="12"/>
        <v>0</v>
      </c>
      <c r="AU121" s="642">
        <f t="shared" ca="1" si="12"/>
        <v>0</v>
      </c>
      <c r="AV121" s="642">
        <f t="shared" ca="1" si="12"/>
        <v>0</v>
      </c>
      <c r="AW121" s="642">
        <f t="shared" ca="1" si="12"/>
        <v>0</v>
      </c>
      <c r="AX121" s="642">
        <f t="shared" ca="1" si="12"/>
        <v>0</v>
      </c>
      <c r="AY121" s="642">
        <f t="shared" ca="1" si="12"/>
        <v>0</v>
      </c>
      <c r="AZ121" s="642">
        <f t="shared" ca="1" si="12"/>
        <v>0</v>
      </c>
      <c r="BA121" s="642">
        <f t="shared" ca="1" si="12"/>
        <v>0</v>
      </c>
      <c r="BB121" s="642">
        <f t="shared" ca="1" si="12"/>
        <v>0</v>
      </c>
      <c r="BC121" s="642">
        <f t="shared" ca="1" si="12"/>
        <v>0</v>
      </c>
      <c r="BD121" s="642">
        <f t="shared" ca="1" si="12"/>
        <v>0</v>
      </c>
    </row>
    <row r="122" spans="1:56" ht="19.5" thickBot="1">
      <c r="A122" s="1078"/>
      <c r="B122" s="210" t="s">
        <v>1523</v>
      </c>
      <c r="C122" s="210"/>
      <c r="D122" s="211"/>
      <c r="E122" s="211"/>
      <c r="F122" s="211"/>
      <c r="G122" s="285"/>
      <c r="H122" s="325"/>
      <c r="I122" s="326">
        <v>2330</v>
      </c>
      <c r="J122" s="326">
        <v>2151</v>
      </c>
      <c r="K122" s="326">
        <v>2783</v>
      </c>
      <c r="L122" s="326">
        <v>1861</v>
      </c>
      <c r="M122" s="326">
        <v>1433</v>
      </c>
      <c r="N122" s="326">
        <v>1179</v>
      </c>
      <c r="O122" s="326">
        <v>1175</v>
      </c>
      <c r="P122" s="326">
        <v>983.72870747183322</v>
      </c>
      <c r="Q122" s="327">
        <v>1051.1538846621038</v>
      </c>
      <c r="R122" s="327">
        <v>1051.8028635265428</v>
      </c>
      <c r="S122" s="327">
        <v>1129.0502203031988</v>
      </c>
      <c r="T122" s="327">
        <v>1411.3588985813017</v>
      </c>
      <c r="U122" s="327">
        <v>1377.708661429612</v>
      </c>
      <c r="V122" s="328">
        <v>1606.0711358555175</v>
      </c>
      <c r="W122" s="327">
        <v>1790.838688195653</v>
      </c>
      <c r="X122" s="327">
        <v>1498.3237009929553</v>
      </c>
      <c r="Y122" s="327">
        <v>1292.4816273304011</v>
      </c>
      <c r="Z122" s="327">
        <v>1290.1841465528341</v>
      </c>
      <c r="AA122" s="327">
        <v>1366.2158117693425</v>
      </c>
      <c r="AB122" s="327"/>
      <c r="AC122" s="643"/>
      <c r="AD122" s="643"/>
      <c r="AE122" s="643"/>
      <c r="AF122" s="327"/>
      <c r="AG122" s="329"/>
      <c r="AH122" s="644"/>
      <c r="AI122" s="644"/>
      <c r="AJ122" s="644"/>
      <c r="AK122" s="644"/>
      <c r="AL122" s="644"/>
      <c r="AM122" s="644"/>
      <c r="AN122" s="644"/>
      <c r="AO122" s="644"/>
      <c r="AP122" s="644"/>
      <c r="AQ122" s="644"/>
      <c r="AR122" s="644"/>
      <c r="AS122" s="644"/>
      <c r="AT122" s="644"/>
      <c r="AU122" s="644"/>
      <c r="AV122" s="644"/>
      <c r="AW122" s="644"/>
      <c r="AX122" s="644"/>
      <c r="AY122" s="644"/>
      <c r="AZ122" s="644"/>
      <c r="BA122" s="644"/>
      <c r="BB122" s="644"/>
      <c r="BC122" s="644"/>
      <c r="BD122" s="644"/>
    </row>
    <row r="123" spans="1:56">
      <c r="T123" s="307"/>
      <c r="AC123" s="75"/>
      <c r="AD123" s="75"/>
      <c r="AE123" s="75"/>
    </row>
    <row r="124" spans="1:56">
      <c r="I124" s="20"/>
      <c r="J124" s="20"/>
      <c r="K124" s="20"/>
      <c r="L124" s="20"/>
      <c r="M124" s="20"/>
      <c r="AC124" s="75"/>
      <c r="AD124" s="75"/>
      <c r="AE124" s="75"/>
    </row>
    <row r="125" spans="1:56">
      <c r="B125" s="150" t="s">
        <v>1524</v>
      </c>
      <c r="D125" s="46"/>
      <c r="I125" s="16"/>
      <c r="J125" s="16"/>
      <c r="K125" s="16"/>
      <c r="L125" s="16"/>
      <c r="M125" s="16"/>
      <c r="AC125" s="75"/>
      <c r="AD125" s="75"/>
      <c r="AE125" s="75"/>
    </row>
    <row r="126" spans="1:56">
      <c r="I126" s="16"/>
      <c r="J126" s="16"/>
      <c r="K126" s="16"/>
      <c r="L126" s="16"/>
      <c r="M126" s="16"/>
      <c r="AC126" s="75"/>
      <c r="AD126" s="75"/>
      <c r="AE126" s="75"/>
    </row>
    <row r="127" spans="1:56" ht="19.5" thickBot="1">
      <c r="I127" s="17"/>
      <c r="J127" s="17"/>
      <c r="K127" s="17"/>
      <c r="L127" s="17"/>
      <c r="M127" s="17"/>
      <c r="AC127" s="75"/>
      <c r="AD127" s="75"/>
      <c r="AE127" s="75"/>
    </row>
    <row r="128" spans="1:56" ht="19.5" thickTop="1">
      <c r="I128" s="16"/>
      <c r="J128" s="16"/>
      <c r="K128" s="16"/>
      <c r="L128" s="16"/>
      <c r="M128" s="16"/>
      <c r="N128" s="16"/>
      <c r="AC128" s="75"/>
      <c r="AD128" s="75"/>
      <c r="AE128" s="75"/>
    </row>
    <row r="129" spans="2:31">
      <c r="I129" s="16"/>
      <c r="J129" s="16"/>
      <c r="K129" s="16"/>
      <c r="L129" s="16"/>
      <c r="M129" s="16"/>
      <c r="AC129" s="75"/>
      <c r="AD129" s="75"/>
      <c r="AE129" s="75"/>
    </row>
    <row r="130" spans="2:31">
      <c r="C130"/>
      <c r="M130" s="19"/>
      <c r="AC130" s="75"/>
      <c r="AD130" s="75"/>
      <c r="AE130" s="75"/>
    </row>
    <row r="131" spans="2:31">
      <c r="C131"/>
      <c r="I131" s="16"/>
      <c r="J131" s="16"/>
      <c r="K131" s="16"/>
      <c r="L131" s="16"/>
      <c r="M131" s="16"/>
      <c r="AC131" s="75"/>
      <c r="AD131" s="75"/>
      <c r="AE131" s="75"/>
    </row>
    <row r="132" spans="2:31">
      <c r="C132"/>
      <c r="I132" s="16"/>
      <c r="J132" s="16"/>
      <c r="K132" s="16"/>
      <c r="L132" s="16"/>
      <c r="M132" s="16"/>
      <c r="AC132" s="75"/>
      <c r="AD132" s="75"/>
      <c r="AE132" s="75"/>
    </row>
    <row r="133" spans="2:31" ht="19.5" thickBot="1">
      <c r="C133"/>
      <c r="I133" s="17"/>
      <c r="J133" s="17"/>
      <c r="K133" s="17"/>
      <c r="L133" s="17"/>
      <c r="M133" s="17"/>
      <c r="AC133" s="75"/>
      <c r="AD133" s="75"/>
      <c r="AE133" s="75"/>
    </row>
    <row r="134" spans="2:31" ht="19.5" thickTop="1">
      <c r="C134"/>
      <c r="I134" s="16"/>
      <c r="J134" s="16"/>
      <c r="K134" s="16"/>
      <c r="L134" s="16"/>
      <c r="M134" s="16"/>
      <c r="N134" s="16"/>
      <c r="AC134" s="75"/>
      <c r="AD134" s="75"/>
      <c r="AE134" s="75"/>
    </row>
    <row r="135" spans="2:31">
      <c r="C135"/>
      <c r="AC135" s="75"/>
      <c r="AD135" s="75"/>
      <c r="AE135" s="75"/>
    </row>
    <row r="136" spans="2:31">
      <c r="C136"/>
      <c r="I136" s="16"/>
      <c r="J136" s="16"/>
      <c r="K136" s="16"/>
      <c r="L136" s="16"/>
      <c r="M136" s="16"/>
      <c r="N136" s="16"/>
      <c r="AC136" s="75"/>
      <c r="AD136" s="75"/>
      <c r="AE136" s="75"/>
    </row>
    <row r="137" spans="2:31">
      <c r="I137" s="16"/>
      <c r="J137" s="16"/>
      <c r="K137" s="16"/>
      <c r="L137" s="16"/>
      <c r="M137" s="16"/>
      <c r="N137" s="16"/>
      <c r="AC137" s="75"/>
      <c r="AD137" s="75"/>
      <c r="AE137" s="75"/>
    </row>
    <row r="138" spans="2:31">
      <c r="I138" s="18"/>
      <c r="J138" s="18"/>
      <c r="K138" s="18"/>
      <c r="L138" s="18"/>
      <c r="M138" s="18"/>
      <c r="AC138" s="75"/>
      <c r="AD138" s="75"/>
      <c r="AE138" s="75"/>
    </row>
    <row r="139" spans="2:31">
      <c r="I139" s="16"/>
      <c r="J139" s="16"/>
      <c r="K139" s="16"/>
      <c r="L139" s="16"/>
      <c r="M139" s="16"/>
      <c r="N139" s="16"/>
      <c r="AC139" s="75"/>
      <c r="AD139" s="75"/>
      <c r="AE139" s="75"/>
    </row>
    <row r="140" spans="2:31">
      <c r="I140" s="16"/>
      <c r="J140" s="16"/>
      <c r="K140" s="16"/>
      <c r="L140" s="16"/>
      <c r="M140" s="16"/>
      <c r="N140" s="16"/>
      <c r="AC140" s="75"/>
      <c r="AD140" s="75"/>
      <c r="AE140" s="75"/>
    </row>
    <row r="141" spans="2:31" ht="19.5" thickBot="1">
      <c r="I141" s="17"/>
      <c r="J141" s="17"/>
      <c r="K141" s="17"/>
      <c r="L141" s="17"/>
      <c r="M141" s="17"/>
      <c r="N141" s="16"/>
      <c r="AC141" s="75"/>
      <c r="AD141" s="75"/>
      <c r="AE141" s="75"/>
    </row>
    <row r="142" spans="2:31" ht="19.5" thickTop="1">
      <c r="I142" s="16"/>
      <c r="J142" s="16"/>
      <c r="K142" s="16"/>
      <c r="L142" s="16"/>
      <c r="M142" s="16"/>
      <c r="N142" s="16"/>
      <c r="AC142" s="75"/>
      <c r="AD142" s="75"/>
      <c r="AE142" s="75"/>
    </row>
    <row r="143" spans="2:31">
      <c r="AC143" s="75"/>
      <c r="AD143" s="75"/>
      <c r="AE143" s="75"/>
    </row>
    <row r="144" spans="2:31">
      <c r="B144" s="113" t="s">
        <v>1665</v>
      </c>
      <c r="AC144" s="75"/>
      <c r="AD144" s="75"/>
      <c r="AE144" s="75"/>
    </row>
    <row r="145" spans="1:51">
      <c r="A145" s="1060" t="s">
        <v>1361</v>
      </c>
      <c r="B145" s="26" t="s">
        <v>1666</v>
      </c>
      <c r="C145" s="26" t="s">
        <v>1667</v>
      </c>
      <c r="D145" s="26" t="s">
        <v>1365</v>
      </c>
      <c r="E145" s="26">
        <v>4060</v>
      </c>
      <c r="F145" s="26" t="s">
        <v>1347</v>
      </c>
      <c r="G145" s="43">
        <v>0</v>
      </c>
      <c r="H145" s="109"/>
      <c r="I145" s="38"/>
      <c r="J145" s="38"/>
      <c r="K145" s="38"/>
      <c r="L145" s="38"/>
      <c r="M145" s="38"/>
      <c r="N145" s="38"/>
      <c r="O145" s="38"/>
      <c r="P145" s="38"/>
      <c r="Q145" s="219"/>
      <c r="R145" s="219"/>
      <c r="S145" s="219"/>
      <c r="T145" s="219"/>
      <c r="U145" s="224">
        <v>543</v>
      </c>
      <c r="V145" s="224">
        <v>619</v>
      </c>
      <c r="W145" s="469">
        <v>739</v>
      </c>
      <c r="X145" s="508">
        <v>804</v>
      </c>
      <c r="Y145" s="508">
        <v>695</v>
      </c>
      <c r="Z145" s="508">
        <v>928</v>
      </c>
      <c r="AA145" s="508">
        <v>920</v>
      </c>
      <c r="AB145" s="508">
        <v>57</v>
      </c>
      <c r="AC145" s="241"/>
      <c r="AD145" s="241">
        <v>5</v>
      </c>
      <c r="AE145" s="223">
        <v>4</v>
      </c>
      <c r="AF145" s="223"/>
      <c r="AG145" s="223"/>
      <c r="AH145" s="223"/>
      <c r="AI145" s="223"/>
      <c r="AJ145" s="223"/>
      <c r="AK145" s="223"/>
      <c r="AL145" s="223"/>
      <c r="AM145" s="223"/>
      <c r="AN145" s="223"/>
      <c r="AO145" s="223"/>
      <c r="AP145" s="224" t="s">
        <v>21</v>
      </c>
      <c r="AQ145" s="224" t="s">
        <v>21</v>
      </c>
      <c r="AR145" s="224" t="s">
        <v>21</v>
      </c>
      <c r="AS145" s="21"/>
      <c r="AT145" s="21"/>
      <c r="AU145" s="21"/>
      <c r="AV145" s="21"/>
      <c r="AW145" s="21"/>
      <c r="AX145" s="21"/>
      <c r="AY145" s="21"/>
    </row>
    <row r="146" spans="1:51">
      <c r="A146" s="1059"/>
      <c r="B146" s="26" t="s">
        <v>1668</v>
      </c>
      <c r="C146" s="25" t="s">
        <v>1669</v>
      </c>
      <c r="D146" s="26" t="s">
        <v>1670</v>
      </c>
      <c r="E146" s="24">
        <v>4090</v>
      </c>
      <c r="F146" s="24" t="s">
        <v>1347</v>
      </c>
      <c r="G146" s="38">
        <f>SUMIFS(在庫確認!C:C,在庫確認!B:B,'(全体実績+予測）の元データ'!C:C)</f>
        <v>305</v>
      </c>
      <c r="H146" s="109" t="str">
        <f>IF(SUM(AE146:AH146)=0,"",SUM(AE146:AH146)+AD146/2)</f>
        <v/>
      </c>
      <c r="I146" s="38"/>
      <c r="J146" s="38"/>
      <c r="K146" s="38"/>
      <c r="L146" s="38"/>
      <c r="M146" s="38"/>
      <c r="N146" s="38"/>
      <c r="O146" s="38"/>
      <c r="P146" s="38"/>
      <c r="Q146" s="219"/>
      <c r="R146" s="219"/>
      <c r="S146" s="219"/>
      <c r="T146" s="222"/>
      <c r="U146" s="223">
        <v>57</v>
      </c>
      <c r="V146" s="223">
        <v>27</v>
      </c>
      <c r="W146" s="222">
        <v>6</v>
      </c>
      <c r="X146" s="508">
        <v>28</v>
      </c>
      <c r="Y146" s="508">
        <v>2</v>
      </c>
      <c r="Z146" s="508">
        <v>1</v>
      </c>
      <c r="AA146" s="508">
        <v>2</v>
      </c>
      <c r="AB146" s="508"/>
      <c r="AC146" s="241"/>
      <c r="AD146" s="241" t="s">
        <v>21</v>
      </c>
      <c r="AE146" s="887"/>
      <c r="AF146" s="299"/>
      <c r="AG146" s="299"/>
      <c r="AH146" s="477"/>
      <c r="AI146" s="477"/>
      <c r="AJ146" s="477"/>
      <c r="AK146" s="477"/>
      <c r="AL146" s="477"/>
      <c r="AM146" s="477"/>
      <c r="AN146" s="224"/>
      <c r="AO146" s="224"/>
      <c r="AP146" s="224" t="str">
        <f>IFERROR(IF(SUM(INDEX('在庫使用計画 (一般)'!$A$1:$BF$557,MATCH($C146,'在庫使用計画 (一般)'!$C$1:$C$557,0),MATCH(AP$1,'在庫使用計画 (一般)'!$A$1:$BF$1,0)),INDEX('在庫使用計画 (法人)'!$A$1:$AT$578,MATCH($C146,'在庫使用計画 (法人)'!$C$1:$C$578,0),MATCH(AP$1,'在庫使用計画 (法人)'!$A$1:$AT$1,0)))=0,"",SUM(INDEX('在庫使用計画 (一般)'!$A$1:$BF$557,MATCH($C146,'在庫使用計画 (一般)'!$C$1:$C$557,0),MATCH(AP$1,'在庫使用計画 (一般)'!$A$1:$BF$1,0)),INDEX('在庫使用計画 (法人)'!$A$1:$AT$578,MATCH($C146,'在庫使用計画 (法人)'!$C$1:$C$578,0),MATCH(AP$1,'在庫使用計画 (法人)'!$A$1:$AT$1,0)))),"")</f>
        <v/>
      </c>
      <c r="AQ146" s="224" t="str">
        <f>IFERROR(IF(SUM(INDEX('在庫使用計画 (一般)'!$A$1:$BF$557,MATCH($C146,'在庫使用計画 (一般)'!$C$1:$C$557,0),MATCH(AQ$1,'在庫使用計画 (一般)'!$A$1:$BF$1,0)),INDEX('在庫使用計画 (法人)'!$A$1:$AT$578,MATCH($C146,'在庫使用計画 (法人)'!$C$1:$C$578,0),MATCH(AQ$1,'在庫使用計画 (法人)'!$A$1:$AT$1,0)))=0,"",SUM(INDEX('在庫使用計画 (一般)'!$A$1:$BF$557,MATCH($C146,'在庫使用計画 (一般)'!$C$1:$C$557,0),MATCH(AQ$1,'在庫使用計画 (一般)'!$A$1:$BF$1,0)),INDEX('在庫使用計画 (法人)'!$A$1:$AT$578,MATCH($C146,'在庫使用計画 (法人)'!$C$1:$C$578,0),MATCH(AQ$1,'在庫使用計画 (法人)'!$A$1:$AT$1,0)))),"")</f>
        <v/>
      </c>
      <c r="AR146" s="224" t="str">
        <f>IFERROR(IF(SUM(INDEX('在庫使用計画 (一般)'!$A$1:$BF$557,MATCH($C146,'在庫使用計画 (一般)'!$C$1:$C$557,0),MATCH(AR$1,'在庫使用計画 (一般)'!$A$1:$BF$1,0)),INDEX('在庫使用計画 (法人)'!$A$1:$AT$578,MATCH($C146,'在庫使用計画 (法人)'!$C$1:$C$578,0),MATCH(AR$1,'在庫使用計画 (法人)'!$A$1:$AT$1,0)))=0,"",SUM(INDEX('在庫使用計画 (一般)'!$A$1:$BF$557,MATCH($C146,'在庫使用計画 (一般)'!$C$1:$C$557,0),MATCH(AR$1,'在庫使用計画 (一般)'!$A$1:$BF$1,0)),INDEX('在庫使用計画 (法人)'!$A$1:$AT$578,MATCH($C146,'在庫使用計画 (法人)'!$C$1:$C$578,0),MATCH(AR$1,'在庫使用計画 (法人)'!$A$1:$AT$1,0)))),"")</f>
        <v/>
      </c>
      <c r="AS146" s="21"/>
      <c r="AT146" s="21"/>
      <c r="AU146" s="21"/>
      <c r="AV146" s="21"/>
      <c r="AW146" s="21"/>
      <c r="AX146" s="21"/>
      <c r="AY146" s="21"/>
    </row>
    <row r="147" spans="1:51">
      <c r="A147" s="1080"/>
      <c r="B147" s="87" t="s">
        <v>1671</v>
      </c>
      <c r="C147" s="62" t="s">
        <v>1672</v>
      </c>
      <c r="D147" s="87" t="s">
        <v>1670</v>
      </c>
      <c r="E147" s="86">
        <v>4060</v>
      </c>
      <c r="F147" s="86" t="s">
        <v>1347</v>
      </c>
      <c r="G147" s="74">
        <f>SUMIFS(在庫確認!C:C,在庫確認!B:B,'(全体実績+予測）の元データ'!C:C)</f>
        <v>180</v>
      </c>
      <c r="H147" s="38">
        <f t="shared" ref="H147:H176" si="13">SUM(T147:W147)</f>
        <v>0</v>
      </c>
      <c r="I147" s="74"/>
      <c r="J147" s="74"/>
      <c r="K147" s="74"/>
      <c r="L147" s="74"/>
      <c r="M147" s="74"/>
      <c r="N147" s="74"/>
      <c r="O147" s="74"/>
      <c r="P147" s="74"/>
      <c r="Q147" s="224"/>
      <c r="R147" s="224"/>
      <c r="S147" s="224"/>
      <c r="T147" s="224"/>
      <c r="U147" s="224"/>
      <c r="V147" s="224" t="str">
        <f>IFERROR(IF(SUM(INDEX('在庫使用計画 (一般)'!$A$1:$BF$557,MATCH($C147,'在庫使用計画 (一般)'!$C$1:$C$557,0),MATCH(V$1,'在庫使用計画 (一般)'!$A$1:$BF$1,0)),INDEX('在庫使用計画 (法人)'!$A$1:$AT$578,MATCH($C147,'在庫使用計画 (法人)'!$C$1:$C$578,0),MATCH(V$1,'在庫使用計画 (法人)'!$A$1:$AT$1,0)))=0,"",SUM(INDEX('在庫使用計画 (一般)'!$A$1:$BF$557,MATCH($C147,'在庫使用計画 (一般)'!$C$1:$C$557,0),MATCH(V$1,'在庫使用計画 (一般)'!$A$1:$BF$1,0)),INDEX('在庫使用計画 (法人)'!$A$1:$AT$578,MATCH($C147,'在庫使用計画 (法人)'!$C$1:$C$578,0),MATCH(V$1,'在庫使用計画 (法人)'!$A$1:$AT$1,0)))),"")</f>
        <v/>
      </c>
      <c r="W147" s="224" t="str">
        <f>IFERROR(IF(SUM(INDEX('在庫使用計画 (一般)'!$A$1:$BF$557,MATCH($C147,'在庫使用計画 (一般)'!$C$1:$C$557,0),MATCH(W$1,'在庫使用計画 (一般)'!$A$1:$BF$1,0)),INDEX('在庫使用計画 (法人)'!$A$1:$AT$578,MATCH($C147,'在庫使用計画 (法人)'!$C$1:$C$578,0),MATCH(W$1,'在庫使用計画 (法人)'!$A$1:$AT$1,0)))=0,"",SUM(INDEX('在庫使用計画 (一般)'!$A$1:$BF$557,MATCH($C147,'在庫使用計画 (一般)'!$C$1:$C$557,0),MATCH(W$1,'在庫使用計画 (一般)'!$A$1:$BF$1,0)),INDEX('在庫使用計画 (法人)'!$A$1:$AT$578,MATCH($C147,'在庫使用計画 (法人)'!$C$1:$C$578,0),MATCH(W$1,'在庫使用計画 (法人)'!$A$1:$AT$1,0)))),"")</f>
        <v/>
      </c>
      <c r="X147" s="237" t="str">
        <f>IFERROR(IF(SUM(INDEX('在庫使用計画 (一般)'!$A$1:$BF$557,MATCH($C147,'在庫使用計画 (一般)'!$C$1:$C$557,0),MATCH(X$1,'在庫使用計画 (一般)'!$A$1:$BF$1,0)),INDEX('在庫使用計画 (法人)'!$A$1:$AT$578,MATCH($C147,'在庫使用計画 (法人)'!$C$1:$C$578,0),MATCH(X$1,'在庫使用計画 (法人)'!$A$1:$AT$1,0)))=0,"",SUM(INDEX('在庫使用計画 (一般)'!$A$1:$BF$557,MATCH($C147,'在庫使用計画 (一般)'!$C$1:$C$557,0),MATCH(X$1,'在庫使用計画 (一般)'!$A$1:$BF$1,0)),INDEX('在庫使用計画 (法人)'!$A$1:$AT$578,MATCH($C147,'在庫使用計画 (法人)'!$C$1:$C$578,0),MATCH(X$1,'在庫使用計画 (法人)'!$A$1:$AT$1,0)))),"")</f>
        <v/>
      </c>
      <c r="Y147" s="224" t="str">
        <f>IFERROR(IF(SUM(INDEX('在庫使用計画 (一般)'!$A$1:$BF$557,MATCH($C147,'在庫使用計画 (一般)'!$C$1:$C$557,0),MATCH(Y$1,'在庫使用計画 (一般)'!$A$1:$BF$1,0)),INDEX('在庫使用計画 (法人)'!$A$1:$AT$578,MATCH($C147,'在庫使用計画 (法人)'!$C$1:$C$578,0),MATCH(Y$1,'在庫使用計画 (法人)'!$A$1:$AT$1,0)))=0,"",SUM(INDEX('在庫使用計画 (一般)'!$A$1:$BF$557,MATCH($C147,'在庫使用計画 (一般)'!$C$1:$C$557,0),MATCH(Y$1,'在庫使用計画 (一般)'!$A$1:$BF$1,0)),INDEX('在庫使用計画 (法人)'!$A$1:$AT$578,MATCH($C147,'在庫使用計画 (法人)'!$C$1:$C$578,0),MATCH(Y$1,'在庫使用計画 (法人)'!$A$1:$AT$1,0)))),"")</f>
        <v/>
      </c>
      <c r="Z147" s="224" t="str">
        <f>IFERROR(IF(SUM(INDEX('在庫使用計画 (一般)'!$A$1:$BF$557,MATCH($C147,'在庫使用計画 (一般)'!$C$1:$C$557,0),MATCH(Z$1,'在庫使用計画 (一般)'!$A$1:$BF$1,0)),INDEX('在庫使用計画 (法人)'!$A$1:$AT$578,MATCH($C147,'在庫使用計画 (法人)'!$C$1:$C$578,0),MATCH(Z$1,'在庫使用計画 (法人)'!$A$1:$AT$1,0)))=0,"",SUM(INDEX('在庫使用計画 (一般)'!$A$1:$BF$557,MATCH($C147,'在庫使用計画 (一般)'!$C$1:$C$557,0),MATCH(Z$1,'在庫使用計画 (一般)'!$A$1:$BF$1,0)),INDEX('在庫使用計画 (法人)'!$A$1:$AT$578,MATCH($C147,'在庫使用計画 (法人)'!$C$1:$C$578,0),MATCH(Z$1,'在庫使用計画 (法人)'!$A$1:$AT$1,0)))),"")</f>
        <v/>
      </c>
      <c r="AA147" s="224" t="str">
        <f>IFERROR(IF(SUM(INDEX('在庫使用計画 (一般)'!$A$1:$BF$557,MATCH($C147,'在庫使用計画 (一般)'!$C$1:$C$557,0),MATCH(AA$1,'在庫使用計画 (一般)'!$A$1:$BF$1,0)),INDEX('在庫使用計画 (法人)'!$A$1:$AT$578,MATCH($C147,'在庫使用計画 (法人)'!$C$1:$C$578,0),MATCH(AA$1,'在庫使用計画 (法人)'!$A$1:$AT$1,0)))=0,"",SUM(INDEX('在庫使用計画 (一般)'!$A$1:$BF$557,MATCH($C147,'在庫使用計画 (一般)'!$C$1:$C$557,0),MATCH(AA$1,'在庫使用計画 (一般)'!$A$1:$BF$1,0)),INDEX('在庫使用計画 (法人)'!$A$1:$AT$578,MATCH($C147,'在庫使用計画 (法人)'!$C$1:$C$578,0),MATCH(AA$1,'在庫使用計画 (法人)'!$A$1:$AT$1,0)))),"")</f>
        <v/>
      </c>
      <c r="AB147" s="224" t="str">
        <f>IFERROR(IF(SUM(INDEX('在庫使用計画 (一般)'!$A$1:$BF$557,MATCH($C147,'在庫使用計画 (一般)'!$C$1:$C$557,0),MATCH(AB$1,'在庫使用計画 (一般)'!$A$1:$BF$1,0)),INDEX('在庫使用計画 (法人)'!$A$1:$AT$578,MATCH($C147,'在庫使用計画 (法人)'!$C$1:$C$578,0),MATCH(AB$1,'在庫使用計画 (法人)'!$A$1:$AT$1,0)))=0,"",SUM(INDEX('在庫使用計画 (一般)'!$A$1:$BF$557,MATCH($C147,'在庫使用計画 (一般)'!$C$1:$C$557,0),MATCH(AB$1,'在庫使用計画 (一般)'!$A$1:$BF$1,0)),INDEX('在庫使用計画 (法人)'!$A$1:$AT$578,MATCH($C147,'在庫使用計画 (法人)'!$C$1:$C$578,0),MATCH(AB$1,'在庫使用計画 (法人)'!$A$1:$AT$1,0)))),"")</f>
        <v/>
      </c>
      <c r="AC147" s="224" t="str">
        <f>IFERROR(IF(SUM(INDEX('在庫使用計画 (一般)'!$A$1:$BF$557,MATCH($C147,'在庫使用計画 (一般)'!$C$1:$C$557,0),MATCH(AC$1,'在庫使用計画 (一般)'!$A$1:$BF$1,0)),INDEX('在庫使用計画 (法人)'!$A$1:$AT$578,MATCH($C147,'在庫使用計画 (法人)'!$C$1:$C$578,0),MATCH(AC$1,'在庫使用計画 (法人)'!$A$1:$AT$1,0)))=0,"",SUM(INDEX('在庫使用計画 (一般)'!$A$1:$BF$557,MATCH($C147,'在庫使用計画 (一般)'!$C$1:$C$557,0),MATCH(AC$1,'在庫使用計画 (一般)'!$A$1:$BF$1,0)),INDEX('在庫使用計画 (法人)'!$A$1:$AT$578,MATCH($C147,'在庫使用計画 (法人)'!$C$1:$C$578,0),MATCH(AC$1,'在庫使用計画 (法人)'!$A$1:$AT$1,0)))),"")</f>
        <v/>
      </c>
      <c r="AD147" s="224" t="s">
        <v>21</v>
      </c>
      <c r="AE147" s="224" t="s">
        <v>21</v>
      </c>
      <c r="AF147" s="224" t="s">
        <v>21</v>
      </c>
      <c r="AG147" s="224" t="s">
        <v>21</v>
      </c>
      <c r="AH147" s="224" t="s">
        <v>21</v>
      </c>
      <c r="AI147" s="80"/>
      <c r="AJ147" s="80"/>
      <c r="AK147" s="77"/>
      <c r="AL147" s="77"/>
      <c r="AM147" s="77"/>
      <c r="AN147" s="77"/>
      <c r="AO147" s="77"/>
      <c r="AP147" s="77"/>
      <c r="AQ147" s="77"/>
      <c r="AR147" s="77"/>
      <c r="AS147" s="77"/>
      <c r="AT147" s="77"/>
      <c r="AU147" s="77"/>
      <c r="AV147" s="77"/>
      <c r="AW147" s="77"/>
      <c r="AX147" s="77"/>
      <c r="AY147" s="77"/>
    </row>
    <row r="148" spans="1:51">
      <c r="A148" s="1059"/>
      <c r="B148" s="26" t="s">
        <v>41</v>
      </c>
      <c r="C148" s="26" t="s">
        <v>1673</v>
      </c>
      <c r="D148" s="26" t="s">
        <v>1674</v>
      </c>
      <c r="E148" s="26">
        <v>4050</v>
      </c>
      <c r="F148" s="26"/>
      <c r="G148" s="43">
        <f>SUMIFS(在庫確認!C:C,在庫確認!B:B,'(全体実績+予測）の元データ'!C:C)</f>
        <v>0</v>
      </c>
      <c r="H148" s="38">
        <f t="shared" si="13"/>
        <v>0</v>
      </c>
      <c r="I148" s="38"/>
      <c r="J148" s="38"/>
      <c r="K148" s="38"/>
      <c r="L148" s="38"/>
      <c r="M148" s="38"/>
      <c r="N148" s="38"/>
      <c r="O148" s="38"/>
      <c r="P148" s="38"/>
      <c r="Q148" s="219"/>
      <c r="R148" s="219"/>
      <c r="S148" s="219"/>
      <c r="T148" s="219"/>
      <c r="U148" s="224"/>
      <c r="V148" s="224" t="str">
        <f>IFERROR(IF(SUM(INDEX('在庫使用計画 (一般)'!$A$1:$BF$557,MATCH($C148,'在庫使用計画 (一般)'!$C$1:$C$557,0),MATCH(V$1,'在庫使用計画 (一般)'!$A$1:$BF$1,0)),INDEX('在庫使用計画 (法人)'!$A$1:$AT$578,MATCH($C148,'在庫使用計画 (法人)'!$C$1:$C$578,0),MATCH(V$1,'在庫使用計画 (法人)'!$A$1:$AT$1,0)))=0,"",SUM(INDEX('在庫使用計画 (一般)'!$A$1:$BF$557,MATCH($C148,'在庫使用計画 (一般)'!$C$1:$C$557,0),MATCH(V$1,'在庫使用計画 (一般)'!$A$1:$BF$1,0)),INDEX('在庫使用計画 (法人)'!$A$1:$AT$578,MATCH($C148,'在庫使用計画 (法人)'!$C$1:$C$578,0),MATCH(V$1,'在庫使用計画 (法人)'!$A$1:$AT$1,0)))),"")</f>
        <v/>
      </c>
      <c r="W148" s="224" t="str">
        <f>IFERROR(IF(SUM(INDEX('在庫使用計画 (一般)'!$A$1:$BF$557,MATCH($C148,'在庫使用計画 (一般)'!$C$1:$C$557,0),MATCH(W$1,'在庫使用計画 (一般)'!$A$1:$BF$1,0)),INDEX('在庫使用計画 (法人)'!$A$1:$AT$578,MATCH($C148,'在庫使用計画 (法人)'!$C$1:$C$578,0),MATCH(W$1,'在庫使用計画 (法人)'!$A$1:$AT$1,0)))=0,"",SUM(INDEX('在庫使用計画 (一般)'!$A$1:$BF$557,MATCH($C148,'在庫使用計画 (一般)'!$C$1:$C$557,0),MATCH(W$1,'在庫使用計画 (一般)'!$A$1:$BF$1,0)),INDEX('在庫使用計画 (法人)'!$A$1:$AT$578,MATCH($C148,'在庫使用計画 (法人)'!$C$1:$C$578,0),MATCH(W$1,'在庫使用計画 (法人)'!$A$1:$AT$1,0)))),"")</f>
        <v/>
      </c>
      <c r="X148" s="237" t="str">
        <f>IFERROR(IF(SUM(INDEX('在庫使用計画 (一般)'!$A$1:$BF$557,MATCH($C148,'在庫使用計画 (一般)'!$C$1:$C$557,0),MATCH(X$1,'在庫使用計画 (一般)'!$A$1:$BF$1,0)),INDEX('在庫使用計画 (法人)'!$A$1:$AT$578,MATCH($C148,'在庫使用計画 (法人)'!$C$1:$C$578,0),MATCH(X$1,'在庫使用計画 (法人)'!$A$1:$AT$1,0)))=0,"",SUM(INDEX('在庫使用計画 (一般)'!$A$1:$BF$557,MATCH($C148,'在庫使用計画 (一般)'!$C$1:$C$557,0),MATCH(X$1,'在庫使用計画 (一般)'!$A$1:$BF$1,0)),INDEX('在庫使用計画 (法人)'!$A$1:$AT$578,MATCH($C148,'在庫使用計画 (法人)'!$C$1:$C$578,0),MATCH(X$1,'在庫使用計画 (法人)'!$A$1:$AT$1,0)))),"")</f>
        <v/>
      </c>
      <c r="Y148" s="224" t="str">
        <f>IFERROR(IF(SUM(INDEX('在庫使用計画 (一般)'!$A$1:$BF$557,MATCH($C148,'在庫使用計画 (一般)'!$C$1:$C$557,0),MATCH(Y$1,'在庫使用計画 (一般)'!$A$1:$BF$1,0)),INDEX('在庫使用計画 (法人)'!$A$1:$AT$578,MATCH($C148,'在庫使用計画 (法人)'!$C$1:$C$578,0),MATCH(Y$1,'在庫使用計画 (法人)'!$A$1:$AT$1,0)))=0,"",SUM(INDEX('在庫使用計画 (一般)'!$A$1:$BF$557,MATCH($C148,'在庫使用計画 (一般)'!$C$1:$C$557,0),MATCH(Y$1,'在庫使用計画 (一般)'!$A$1:$BF$1,0)),INDEX('在庫使用計画 (法人)'!$A$1:$AT$578,MATCH($C148,'在庫使用計画 (法人)'!$C$1:$C$578,0),MATCH(Y$1,'在庫使用計画 (法人)'!$A$1:$AT$1,0)))),"")</f>
        <v/>
      </c>
      <c r="Z148" s="238"/>
      <c r="AA148" s="238"/>
      <c r="AB148" s="238"/>
      <c r="AC148" s="239"/>
      <c r="AD148" s="239"/>
      <c r="AE148" s="239"/>
      <c r="AF148" s="238"/>
      <c r="AG148" s="238"/>
      <c r="AH148" s="238"/>
      <c r="AI148" s="23"/>
      <c r="AJ148" s="23"/>
      <c r="AK148" s="21"/>
      <c r="AL148" s="21"/>
      <c r="AM148" s="21"/>
      <c r="AN148" s="21"/>
      <c r="AO148" s="21"/>
      <c r="AP148" s="21"/>
      <c r="AQ148" s="21"/>
      <c r="AR148" s="21"/>
      <c r="AS148" s="21"/>
      <c r="AT148" s="21"/>
      <c r="AU148" s="21"/>
      <c r="AV148" s="21"/>
      <c r="AW148" s="21"/>
      <c r="AX148" s="21"/>
      <c r="AY148" s="21"/>
    </row>
    <row r="149" spans="1:51">
      <c r="A149" s="1059"/>
      <c r="B149" s="26" t="s">
        <v>36</v>
      </c>
      <c r="C149" s="26" t="s">
        <v>1675</v>
      </c>
      <c r="D149" s="26" t="s">
        <v>1674</v>
      </c>
      <c r="E149" s="26">
        <v>4060</v>
      </c>
      <c r="F149" s="26" t="s">
        <v>1347</v>
      </c>
      <c r="G149" s="43">
        <f>SUMIFS(在庫確認!C:C,在庫確認!B:B,'(全体実績+予測）の元データ'!C:C)</f>
        <v>178</v>
      </c>
      <c r="H149" s="38">
        <f t="shared" si="13"/>
        <v>0</v>
      </c>
      <c r="I149" s="38"/>
      <c r="J149" s="38"/>
      <c r="K149" s="38"/>
      <c r="L149" s="38"/>
      <c r="M149" s="38"/>
      <c r="N149" s="38"/>
      <c r="O149" s="38"/>
      <c r="P149" s="38"/>
      <c r="Q149" s="219"/>
      <c r="R149" s="219"/>
      <c r="S149" s="219"/>
      <c r="T149" s="219"/>
      <c r="U149" s="224"/>
      <c r="V149" s="224" t="str">
        <f>IFERROR(IF(SUM(INDEX('在庫使用計画 (一般)'!$A$1:$BF$557,MATCH($C149,'在庫使用計画 (一般)'!$C$1:$C$557,0),MATCH(V$1,'在庫使用計画 (一般)'!$A$1:$BF$1,0)),INDEX('在庫使用計画 (法人)'!$A$1:$AT$578,MATCH($C149,'在庫使用計画 (法人)'!$C$1:$C$578,0),MATCH(V$1,'在庫使用計画 (法人)'!$A$1:$AT$1,0)))=0,"",SUM(INDEX('在庫使用計画 (一般)'!$A$1:$BF$557,MATCH($C149,'在庫使用計画 (一般)'!$C$1:$C$557,0),MATCH(V$1,'在庫使用計画 (一般)'!$A$1:$BF$1,0)),INDEX('在庫使用計画 (法人)'!$A$1:$AT$578,MATCH($C149,'在庫使用計画 (法人)'!$C$1:$C$578,0),MATCH(V$1,'在庫使用計画 (法人)'!$A$1:$AT$1,0)))),"")</f>
        <v/>
      </c>
      <c r="W149" s="224" t="str">
        <f>IFERROR(IF(SUM(INDEX('在庫使用計画 (一般)'!$A$1:$BF$557,MATCH($C149,'在庫使用計画 (一般)'!$C$1:$C$557,0),MATCH(W$1,'在庫使用計画 (一般)'!$A$1:$BF$1,0)),INDEX('在庫使用計画 (法人)'!$A$1:$AT$578,MATCH($C149,'在庫使用計画 (法人)'!$C$1:$C$578,0),MATCH(W$1,'在庫使用計画 (法人)'!$A$1:$AT$1,0)))=0,"",SUM(INDEX('在庫使用計画 (一般)'!$A$1:$BF$557,MATCH($C149,'在庫使用計画 (一般)'!$C$1:$C$557,0),MATCH(W$1,'在庫使用計画 (一般)'!$A$1:$BF$1,0)),INDEX('在庫使用計画 (法人)'!$A$1:$AT$578,MATCH($C149,'在庫使用計画 (法人)'!$C$1:$C$578,0),MATCH(W$1,'在庫使用計画 (法人)'!$A$1:$AT$1,0)))),"")</f>
        <v/>
      </c>
      <c r="X149" s="237" t="str">
        <f>IFERROR(IF(SUM(INDEX('在庫使用計画 (一般)'!$A$1:$BF$557,MATCH($C149,'在庫使用計画 (一般)'!$C$1:$C$557,0),MATCH(X$1,'在庫使用計画 (一般)'!$A$1:$BF$1,0)),INDEX('在庫使用計画 (法人)'!$A$1:$AT$578,MATCH($C149,'在庫使用計画 (法人)'!$C$1:$C$578,0),MATCH(X$1,'在庫使用計画 (法人)'!$A$1:$AT$1,0)))=0,"",SUM(INDEX('在庫使用計画 (一般)'!$A$1:$BF$557,MATCH($C149,'在庫使用計画 (一般)'!$C$1:$C$557,0),MATCH(X$1,'在庫使用計画 (一般)'!$A$1:$BF$1,0)),INDEX('在庫使用計画 (法人)'!$A$1:$AT$578,MATCH($C149,'在庫使用計画 (法人)'!$C$1:$C$578,0),MATCH(X$1,'在庫使用計画 (法人)'!$A$1:$AT$1,0)))),"")</f>
        <v/>
      </c>
      <c r="Y149" s="224" t="str">
        <f>IFERROR(IF(SUM(INDEX('在庫使用計画 (一般)'!$A$1:$BF$557,MATCH($C149,'在庫使用計画 (一般)'!$C$1:$C$557,0),MATCH(Y$1,'在庫使用計画 (一般)'!$A$1:$BF$1,0)),INDEX('在庫使用計画 (法人)'!$A$1:$AT$578,MATCH($C149,'在庫使用計画 (法人)'!$C$1:$C$578,0),MATCH(Y$1,'在庫使用計画 (法人)'!$A$1:$AT$1,0)))=0,"",SUM(INDEX('在庫使用計画 (一般)'!$A$1:$BF$557,MATCH($C149,'在庫使用計画 (一般)'!$C$1:$C$557,0),MATCH(Y$1,'在庫使用計画 (一般)'!$A$1:$BF$1,0)),INDEX('在庫使用計画 (法人)'!$A$1:$AT$578,MATCH($C149,'在庫使用計画 (法人)'!$C$1:$C$578,0),MATCH(Y$1,'在庫使用計画 (法人)'!$A$1:$AT$1,0)))),"")</f>
        <v/>
      </c>
      <c r="Z149" s="238"/>
      <c r="AA149" s="238"/>
      <c r="AB149" s="238"/>
      <c r="AC149" s="239"/>
      <c r="AD149" s="239"/>
      <c r="AE149" s="239"/>
      <c r="AF149" s="238"/>
      <c r="AG149" s="238"/>
      <c r="AH149" s="238"/>
      <c r="AI149" s="23"/>
      <c r="AJ149" s="23"/>
      <c r="AK149" s="21"/>
      <c r="AL149" s="21"/>
      <c r="AM149" s="21"/>
      <c r="AN149" s="21"/>
      <c r="AO149" s="21"/>
      <c r="AP149" s="21"/>
      <c r="AQ149" s="21"/>
      <c r="AR149" s="21"/>
      <c r="AS149" s="21"/>
      <c r="AT149" s="21"/>
      <c r="AU149" s="21"/>
      <c r="AV149" s="21"/>
      <c r="AW149" s="21"/>
      <c r="AX149" s="21"/>
      <c r="AY149" s="21"/>
    </row>
    <row r="150" spans="1:51" ht="16.149999999999999" customHeight="1">
      <c r="A150" s="1059" t="s">
        <v>1676</v>
      </c>
      <c r="B150" s="26" t="s">
        <v>17</v>
      </c>
      <c r="C150" s="25" t="s">
        <v>18</v>
      </c>
      <c r="D150" s="26" t="s">
        <v>1677</v>
      </c>
      <c r="E150" s="24">
        <v>4090</v>
      </c>
      <c r="F150" s="24" t="s">
        <v>1347</v>
      </c>
      <c r="G150" s="38">
        <f>SUMIFS(在庫確認!C:C,在庫確認!B:B,'(全体実績+予測）の元データ'!C:C)</f>
        <v>0</v>
      </c>
      <c r="H150" s="38">
        <f t="shared" si="13"/>
        <v>0</v>
      </c>
      <c r="I150" s="38"/>
      <c r="J150" s="38"/>
      <c r="K150" s="38"/>
      <c r="L150" s="38"/>
      <c r="M150" s="38"/>
      <c r="N150" s="38"/>
      <c r="O150" s="38"/>
      <c r="P150" s="38"/>
      <c r="Q150" s="219"/>
      <c r="R150" s="219"/>
      <c r="S150" s="367"/>
      <c r="T150" s="220"/>
      <c r="U150" s="221"/>
      <c r="V150" s="221"/>
      <c r="W150" s="221"/>
      <c r="X150" s="240"/>
      <c r="Y150" s="221"/>
      <c r="Z150" s="238"/>
      <c r="AA150" s="238"/>
      <c r="AB150" s="238"/>
      <c r="AC150" s="239"/>
      <c r="AD150" s="239"/>
      <c r="AE150" s="239"/>
      <c r="AF150" s="238"/>
      <c r="AG150" s="238"/>
      <c r="AH150" s="238"/>
      <c r="AI150" s="23"/>
      <c r="AJ150" s="23"/>
      <c r="AK150" s="21"/>
      <c r="AL150" s="21"/>
      <c r="AM150" s="21"/>
      <c r="AN150" s="21"/>
      <c r="AO150" s="21"/>
      <c r="AP150" s="21"/>
      <c r="AQ150" s="21"/>
      <c r="AR150" s="21"/>
      <c r="AS150" s="21"/>
      <c r="AT150" s="21"/>
      <c r="AU150" s="21"/>
      <c r="AV150" s="21"/>
      <c r="AW150" s="21"/>
      <c r="AX150" s="21"/>
      <c r="AY150" s="21"/>
    </row>
    <row r="151" spans="1:51">
      <c r="A151" s="1081"/>
      <c r="B151" s="26" t="s">
        <v>1678</v>
      </c>
      <c r="C151" s="25" t="s">
        <v>1679</v>
      </c>
      <c r="D151" s="26" t="s">
        <v>1670</v>
      </c>
      <c r="E151" s="24">
        <v>4070</v>
      </c>
      <c r="F151" s="24" t="s">
        <v>1347</v>
      </c>
      <c r="G151" s="38">
        <f>SUMIFS(在庫確認!C:C,在庫確認!B:B,'(全体実績+予測）の元データ'!C:C)</f>
        <v>990</v>
      </c>
      <c r="H151" s="38"/>
      <c r="I151" s="38"/>
      <c r="J151" s="38"/>
      <c r="K151" s="38"/>
      <c r="L151" s="38"/>
      <c r="M151" s="38"/>
      <c r="N151" s="38"/>
      <c r="O151" s="38"/>
      <c r="P151" s="38"/>
      <c r="Q151" s="219"/>
      <c r="R151" s="219"/>
      <c r="S151" s="219"/>
      <c r="T151" s="219"/>
      <c r="U151" s="224">
        <v>209</v>
      </c>
      <c r="V151" s="224">
        <v>195</v>
      </c>
      <c r="W151" s="222">
        <v>96</v>
      </c>
      <c r="X151" s="508" t="s">
        <v>1665</v>
      </c>
      <c r="Y151" s="219"/>
      <c r="Z151" s="219" t="str">
        <f>IF(Y151*'在庫使用計画 (計画　予測)'!$AB$45=0,"",Y151*'在庫使用計画 (計画　予測)'!$AB$45)</f>
        <v/>
      </c>
      <c r="AA151" s="299"/>
      <c r="AB151" s="299"/>
      <c r="AC151" s="299"/>
      <c r="AD151" s="299"/>
      <c r="AE151" s="299"/>
      <c r="AF151" s="299"/>
      <c r="AG151" s="299"/>
      <c r="AH151" s="224"/>
      <c r="AI151" s="224"/>
      <c r="AJ151" s="224"/>
      <c r="AK151" s="224"/>
      <c r="AL151" s="224"/>
      <c r="AM151" s="224"/>
      <c r="AN151" s="224"/>
      <c r="AO151" s="224"/>
      <c r="AP151" s="224" t="str">
        <f>IFERROR(IF(SUM(INDEX('在庫使用計画 (一般)'!$A$1:$BF$557,MATCH($C151,'在庫使用計画 (一般)'!$C$1:$C$557,0),MATCH(AP$1,'在庫使用計画 (一般)'!$A$1:$BF$1,0)),INDEX('在庫使用計画 (法人)'!$A$1:$AT$578,MATCH($C151,'在庫使用計画 (法人)'!$C$1:$C$578,0),MATCH(AP$1,'在庫使用計画 (法人)'!$A$1:$AT$1,0)))=0,"",SUM(INDEX('在庫使用計画 (一般)'!$A$1:$BF$557,MATCH($C151,'在庫使用計画 (一般)'!$C$1:$C$557,0),MATCH(AP$1,'在庫使用計画 (一般)'!$A$1:$BF$1,0)),INDEX('在庫使用計画 (法人)'!$A$1:$AT$578,MATCH($C151,'在庫使用計画 (法人)'!$C$1:$C$578,0),MATCH(AP$1,'在庫使用計画 (法人)'!$A$1:$AT$1,0)))),"")</f>
        <v/>
      </c>
      <c r="AQ151" s="224" t="str">
        <f>IFERROR(IF(SUM(INDEX('在庫使用計画 (一般)'!$A$1:$BF$557,MATCH($C151,'在庫使用計画 (一般)'!$C$1:$C$557,0),MATCH(AQ$1,'在庫使用計画 (一般)'!$A$1:$BF$1,0)),INDEX('在庫使用計画 (法人)'!$A$1:$AT$578,MATCH($C151,'在庫使用計画 (法人)'!$C$1:$C$578,0),MATCH(AQ$1,'在庫使用計画 (法人)'!$A$1:$AT$1,0)))=0,"",SUM(INDEX('在庫使用計画 (一般)'!$A$1:$BF$557,MATCH($C151,'在庫使用計画 (一般)'!$C$1:$C$557,0),MATCH(AQ$1,'在庫使用計画 (一般)'!$A$1:$BF$1,0)),INDEX('在庫使用計画 (法人)'!$A$1:$AT$578,MATCH($C151,'在庫使用計画 (法人)'!$C$1:$C$578,0),MATCH(AQ$1,'在庫使用計画 (法人)'!$A$1:$AT$1,0)))),"")</f>
        <v/>
      </c>
      <c r="AR151" s="224" t="str">
        <f>IFERROR(IF(SUM(INDEX('在庫使用計画 (一般)'!$A$1:$BF$557,MATCH($C151,'在庫使用計画 (一般)'!$C$1:$C$557,0),MATCH(AR$1,'在庫使用計画 (一般)'!$A$1:$BF$1,0)),INDEX('在庫使用計画 (法人)'!$A$1:$AT$578,MATCH($C151,'在庫使用計画 (法人)'!$C$1:$C$578,0),MATCH(AR$1,'在庫使用計画 (法人)'!$A$1:$AT$1,0)))=0,"",SUM(INDEX('在庫使用計画 (一般)'!$A$1:$BF$557,MATCH($C151,'在庫使用計画 (一般)'!$C$1:$C$557,0),MATCH(AR$1,'在庫使用計画 (一般)'!$A$1:$BF$1,0)),INDEX('在庫使用計画 (法人)'!$A$1:$AT$578,MATCH($C151,'在庫使用計画 (法人)'!$C$1:$C$578,0),MATCH(AR$1,'在庫使用計画 (法人)'!$A$1:$AT$1,0)))),"")</f>
        <v/>
      </c>
      <c r="AS151" s="21"/>
      <c r="AT151" s="21"/>
      <c r="AU151" s="21"/>
      <c r="AV151" s="21"/>
      <c r="AW151" s="21"/>
      <c r="AX151" s="21"/>
      <c r="AY151" s="21"/>
    </row>
    <row r="152" spans="1:51">
      <c r="A152" s="1061"/>
      <c r="B152" s="26" t="s">
        <v>1680</v>
      </c>
      <c r="C152" s="25" t="s">
        <v>1681</v>
      </c>
      <c r="D152" s="68" t="s">
        <v>1375</v>
      </c>
      <c r="E152" s="68">
        <v>4060</v>
      </c>
      <c r="F152" s="68" t="s">
        <v>1347</v>
      </c>
      <c r="G152" s="38">
        <f>SUMIFS(在庫確認!C:C,在庫確認!B:B,'(全体実績+予測）の元データ'!C:C)</f>
        <v>2000</v>
      </c>
      <c r="H152" s="38"/>
      <c r="I152" s="38"/>
      <c r="J152" s="38"/>
      <c r="K152" s="38"/>
      <c r="L152" s="38"/>
      <c r="M152" s="38"/>
      <c r="N152" s="38"/>
      <c r="O152" s="38"/>
      <c r="P152" s="38"/>
      <c r="Q152" s="219"/>
      <c r="R152" s="219"/>
      <c r="S152" s="219"/>
      <c r="T152" s="219"/>
      <c r="U152" s="224">
        <v>150</v>
      </c>
      <c r="V152" s="224">
        <v>135</v>
      </c>
      <c r="W152" s="222">
        <v>444</v>
      </c>
      <c r="X152" s="508">
        <v>123</v>
      </c>
      <c r="Y152" s="508">
        <v>2</v>
      </c>
      <c r="Z152" s="508"/>
      <c r="AA152" s="477"/>
      <c r="AB152" s="477"/>
      <c r="AC152" s="647"/>
      <c r="AD152" s="647"/>
      <c r="AE152" s="888"/>
      <c r="AF152" s="477"/>
      <c r="AG152" s="477"/>
      <c r="AH152" s="224"/>
      <c r="AI152" s="224"/>
      <c r="AJ152" s="224"/>
      <c r="AK152" s="224"/>
      <c r="AL152" s="224"/>
      <c r="AM152" s="224"/>
      <c r="AN152" s="224"/>
      <c r="AO152" s="224"/>
      <c r="AP152" s="224" t="str">
        <f>IFERROR(IF(SUM(INDEX('在庫使用計画 (一般)'!$A$1:$BF$557,MATCH($C152,'在庫使用計画 (一般)'!$C$1:$C$557,0),MATCH(AP$1,'在庫使用計画 (一般)'!$A$1:$BF$1,0)),INDEX('在庫使用計画 (法人)'!$A$1:$AT$578,MATCH($C152,'在庫使用計画 (法人)'!$C$1:$C$578,0),MATCH(AP$1,'在庫使用計画 (法人)'!$A$1:$AT$1,0)))=0,"",SUM(INDEX('在庫使用計画 (一般)'!$A$1:$BF$557,MATCH($C152,'在庫使用計画 (一般)'!$C$1:$C$557,0),MATCH(AP$1,'在庫使用計画 (一般)'!$A$1:$BF$1,0)),INDEX('在庫使用計画 (法人)'!$A$1:$AT$578,MATCH($C152,'在庫使用計画 (法人)'!$C$1:$C$578,0),MATCH(AP$1,'在庫使用計画 (法人)'!$A$1:$AT$1,0)))),"")</f>
        <v/>
      </c>
      <c r="AQ152" s="224" t="str">
        <f>IFERROR(IF(SUM(INDEX('在庫使用計画 (一般)'!$A$1:$BF$557,MATCH($C152,'在庫使用計画 (一般)'!$C$1:$C$557,0),MATCH(AQ$1,'在庫使用計画 (一般)'!$A$1:$BF$1,0)),INDEX('在庫使用計画 (法人)'!$A$1:$AT$578,MATCH($C152,'在庫使用計画 (法人)'!$C$1:$C$578,0),MATCH(AQ$1,'在庫使用計画 (法人)'!$A$1:$AT$1,0)))=0,"",SUM(INDEX('在庫使用計画 (一般)'!$A$1:$BF$557,MATCH($C152,'在庫使用計画 (一般)'!$C$1:$C$557,0),MATCH(AQ$1,'在庫使用計画 (一般)'!$A$1:$BF$1,0)),INDEX('在庫使用計画 (法人)'!$A$1:$AT$578,MATCH($C152,'在庫使用計画 (法人)'!$C$1:$C$578,0),MATCH(AQ$1,'在庫使用計画 (法人)'!$A$1:$AT$1,0)))),"")</f>
        <v/>
      </c>
      <c r="AR152" s="224" t="str">
        <f>IFERROR(IF(SUM(INDEX('在庫使用計画 (一般)'!$A$1:$BF$557,MATCH($C152,'在庫使用計画 (一般)'!$C$1:$C$557,0),MATCH(AR$1,'在庫使用計画 (一般)'!$A$1:$BF$1,0)),INDEX('在庫使用計画 (法人)'!$A$1:$AT$578,MATCH($C152,'在庫使用計画 (法人)'!$C$1:$C$578,0),MATCH(AR$1,'在庫使用計画 (法人)'!$A$1:$AT$1,0)))=0,"",SUM(INDEX('在庫使用計画 (一般)'!$A$1:$BF$557,MATCH($C152,'在庫使用計画 (一般)'!$C$1:$C$557,0),MATCH(AR$1,'在庫使用計画 (一般)'!$A$1:$BF$1,0)),INDEX('在庫使用計画 (法人)'!$A$1:$AT$578,MATCH($C152,'在庫使用計画 (法人)'!$C$1:$C$578,0),MATCH(AR$1,'在庫使用計画 (法人)'!$A$1:$AT$1,0)))),"")</f>
        <v/>
      </c>
      <c r="AS152" s="70"/>
      <c r="AT152" s="70"/>
      <c r="AU152" s="70"/>
      <c r="AV152" s="70"/>
      <c r="AW152" s="70"/>
      <c r="AX152" s="70"/>
      <c r="AY152" s="70"/>
    </row>
    <row r="153" spans="1:51">
      <c r="A153" s="1061"/>
      <c r="B153" s="26" t="s">
        <v>1682</v>
      </c>
      <c r="C153" s="25" t="s">
        <v>1683</v>
      </c>
      <c r="D153" s="68" t="s">
        <v>1375</v>
      </c>
      <c r="E153" s="68">
        <v>4050</v>
      </c>
      <c r="F153" s="26" t="s">
        <v>1347</v>
      </c>
      <c r="G153" s="43">
        <f>SUMIFS(在庫確認!C:C,在庫確認!B:B,'(全体実績+予測）の元データ'!C:C)</f>
        <v>1500</v>
      </c>
      <c r="H153" s="109" t="str">
        <f>IF(SUM(AE153:AH153)=0,"",SUM(AE153:AH153)+AD153/2)</f>
        <v/>
      </c>
      <c r="I153" s="38"/>
      <c r="J153" s="38"/>
      <c r="K153" s="38"/>
      <c r="L153" s="38"/>
      <c r="M153" s="38"/>
      <c r="N153" s="38"/>
      <c r="O153" s="38"/>
      <c r="P153" s="38"/>
      <c r="Q153" s="219"/>
      <c r="R153" s="219"/>
      <c r="S153" s="219"/>
      <c r="T153" s="219"/>
      <c r="U153" s="224">
        <v>105</v>
      </c>
      <c r="V153" s="224">
        <v>75</v>
      </c>
      <c r="W153" s="222">
        <v>315</v>
      </c>
      <c r="X153" s="508">
        <v>343</v>
      </c>
      <c r="Y153" s="508">
        <v>109</v>
      </c>
      <c r="Z153" s="508">
        <v>14</v>
      </c>
      <c r="AA153" s="508"/>
      <c r="AB153" s="508"/>
      <c r="AC153" s="241"/>
      <c r="AD153" s="241" t="s">
        <v>21</v>
      </c>
      <c r="AE153" s="887"/>
      <c r="AF153" s="477"/>
      <c r="AG153" s="477"/>
      <c r="AH153" s="477"/>
      <c r="AI153" s="477"/>
      <c r="AJ153" s="477"/>
      <c r="AK153" s="477"/>
      <c r="AL153" s="477"/>
      <c r="AM153" s="477"/>
      <c r="AN153" s="224"/>
      <c r="AO153" s="224"/>
      <c r="AP153" s="224" t="str">
        <f>IFERROR(IF(SUM(INDEX('在庫使用計画 (一般)'!$A$1:$BF$557,MATCH($C153,'在庫使用計画 (一般)'!$C$1:$C$557,0),MATCH(AP$1,'在庫使用計画 (一般)'!$A$1:$BF$1,0)),INDEX('在庫使用計画 (法人)'!$A$1:$AT$578,MATCH($C153,'在庫使用計画 (法人)'!$C$1:$C$578,0),MATCH(AP$1,'在庫使用計画 (法人)'!$A$1:$AT$1,0)))=0,"",SUM(INDEX('在庫使用計画 (一般)'!$A$1:$BF$557,MATCH($C153,'在庫使用計画 (一般)'!$C$1:$C$557,0),MATCH(AP$1,'在庫使用計画 (一般)'!$A$1:$BF$1,0)),INDEX('在庫使用計画 (法人)'!$A$1:$AT$578,MATCH($C153,'在庫使用計画 (法人)'!$C$1:$C$578,0),MATCH(AP$1,'在庫使用計画 (法人)'!$A$1:$AT$1,0)))),"")</f>
        <v/>
      </c>
      <c r="AQ153" s="224" t="str">
        <f>IFERROR(IF(SUM(INDEX('在庫使用計画 (一般)'!$A$1:$BF$557,MATCH($C153,'在庫使用計画 (一般)'!$C$1:$C$557,0),MATCH(AQ$1,'在庫使用計画 (一般)'!$A$1:$BF$1,0)),INDEX('在庫使用計画 (法人)'!$A$1:$AT$578,MATCH($C153,'在庫使用計画 (法人)'!$C$1:$C$578,0),MATCH(AQ$1,'在庫使用計画 (法人)'!$A$1:$AT$1,0)))=0,"",SUM(INDEX('在庫使用計画 (一般)'!$A$1:$BF$557,MATCH($C153,'在庫使用計画 (一般)'!$C$1:$C$557,0),MATCH(AQ$1,'在庫使用計画 (一般)'!$A$1:$BF$1,0)),INDEX('在庫使用計画 (法人)'!$A$1:$AT$578,MATCH($C153,'在庫使用計画 (法人)'!$C$1:$C$578,0),MATCH(AQ$1,'在庫使用計画 (法人)'!$A$1:$AT$1,0)))),"")</f>
        <v/>
      </c>
      <c r="AR153" s="224" t="str">
        <f>IFERROR(IF(SUM(INDEX('在庫使用計画 (一般)'!$A$1:$BF$557,MATCH($C153,'在庫使用計画 (一般)'!$C$1:$C$557,0),MATCH(AR$1,'在庫使用計画 (一般)'!$A$1:$BF$1,0)),INDEX('在庫使用計画 (法人)'!$A$1:$AT$578,MATCH($C153,'在庫使用計画 (法人)'!$C$1:$C$578,0),MATCH(AR$1,'在庫使用計画 (法人)'!$A$1:$AT$1,0)))=0,"",SUM(INDEX('在庫使用計画 (一般)'!$A$1:$BF$557,MATCH($C153,'在庫使用計画 (一般)'!$C$1:$C$557,0),MATCH(AR$1,'在庫使用計画 (一般)'!$A$1:$BF$1,0)),INDEX('在庫使用計画 (法人)'!$A$1:$AT$578,MATCH($C153,'在庫使用計画 (法人)'!$C$1:$C$578,0),MATCH(AR$1,'在庫使用計画 (法人)'!$A$1:$AT$1,0)))),"")</f>
        <v/>
      </c>
      <c r="AS153" s="70"/>
      <c r="AT153" s="70"/>
      <c r="AU153" s="70"/>
      <c r="AV153" s="70"/>
      <c r="AW153" s="70"/>
      <c r="AX153" s="70"/>
      <c r="AY153" s="70"/>
    </row>
    <row r="154" spans="1:51">
      <c r="A154" s="1059" t="s">
        <v>1684</v>
      </c>
      <c r="B154" s="26" t="s">
        <v>238</v>
      </c>
      <c r="C154" s="26" t="s">
        <v>1685</v>
      </c>
      <c r="D154" s="26" t="s">
        <v>1686</v>
      </c>
      <c r="E154" s="26">
        <v>4070</v>
      </c>
      <c r="F154" s="26" t="s">
        <v>1347</v>
      </c>
      <c r="G154" s="43">
        <f>SUMIFS(在庫確認!C:C,在庫確認!B:B,'(全体実績+予測）の元データ'!C:C)</f>
        <v>0</v>
      </c>
      <c r="H154" s="38">
        <f t="shared" si="13"/>
        <v>0</v>
      </c>
      <c r="I154" s="38"/>
      <c r="J154" s="38"/>
      <c r="K154" s="38"/>
      <c r="L154" s="38"/>
      <c r="M154" s="38"/>
      <c r="N154" s="38"/>
      <c r="O154" s="38"/>
      <c r="P154" s="38"/>
      <c r="Q154" s="219"/>
      <c r="R154" s="219"/>
      <c r="S154" s="219"/>
      <c r="T154" s="219"/>
      <c r="U154" s="224"/>
      <c r="V154" s="224" t="str">
        <f>IFERROR(IF(SUM(INDEX('在庫使用計画 (一般)'!$A$1:$BF$557,MATCH($C154,'在庫使用計画 (一般)'!$C$1:$C$557,0),MATCH(V$1,'在庫使用計画 (一般)'!$A$1:$BF$1,0)),INDEX('在庫使用計画 (法人)'!$A$1:$AT$578,MATCH($C154,'在庫使用計画 (法人)'!$C$1:$C$578,0),MATCH(V$1,'在庫使用計画 (法人)'!$A$1:$AT$1,0)))=0,"",SUM(INDEX('在庫使用計画 (一般)'!$A$1:$BF$557,MATCH($C154,'在庫使用計画 (一般)'!$C$1:$C$557,0),MATCH(V$1,'在庫使用計画 (一般)'!$A$1:$BF$1,0)),INDEX('在庫使用計画 (法人)'!$A$1:$AT$578,MATCH($C154,'在庫使用計画 (法人)'!$C$1:$C$578,0),MATCH(V$1,'在庫使用計画 (法人)'!$A$1:$AT$1,0)))),"")</f>
        <v/>
      </c>
      <c r="W154" s="224" t="str">
        <f>IFERROR(IF(SUM(INDEX('在庫使用計画 (一般)'!$A$1:$BF$557,MATCH($C154,'在庫使用計画 (一般)'!$C$1:$C$557,0),MATCH(W$1,'在庫使用計画 (一般)'!$A$1:$BF$1,0)),INDEX('在庫使用計画 (法人)'!$A$1:$AT$578,MATCH($C154,'在庫使用計画 (法人)'!$C$1:$C$578,0),MATCH(W$1,'在庫使用計画 (法人)'!$A$1:$AT$1,0)))=0,"",SUM(INDEX('在庫使用計画 (一般)'!$A$1:$BF$557,MATCH($C154,'在庫使用計画 (一般)'!$C$1:$C$557,0),MATCH(W$1,'在庫使用計画 (一般)'!$A$1:$BF$1,0)),INDEX('在庫使用計画 (法人)'!$A$1:$AT$578,MATCH($C154,'在庫使用計画 (法人)'!$C$1:$C$578,0),MATCH(W$1,'在庫使用計画 (法人)'!$A$1:$AT$1,0)))),"")</f>
        <v/>
      </c>
      <c r="X154" s="237" t="str">
        <f>IFERROR(IF(SUM(INDEX('在庫使用計画 (一般)'!$A$1:$BF$557,MATCH($C154,'在庫使用計画 (一般)'!$C$1:$C$557,0),MATCH(X$1,'在庫使用計画 (一般)'!$A$1:$BF$1,0)),INDEX('在庫使用計画 (法人)'!$A$1:$AT$578,MATCH($C154,'在庫使用計画 (法人)'!$C$1:$C$578,0),MATCH(X$1,'在庫使用計画 (法人)'!$A$1:$AT$1,0)))=0,"",SUM(INDEX('在庫使用計画 (一般)'!$A$1:$BF$557,MATCH($C154,'在庫使用計画 (一般)'!$C$1:$C$557,0),MATCH(X$1,'在庫使用計画 (一般)'!$A$1:$BF$1,0)),INDEX('在庫使用計画 (法人)'!$A$1:$AT$578,MATCH($C154,'在庫使用計画 (法人)'!$C$1:$C$578,0),MATCH(X$1,'在庫使用計画 (法人)'!$A$1:$AT$1,0)))),"")</f>
        <v/>
      </c>
      <c r="Y154" s="224" t="str">
        <f>IFERROR(IF(SUM(INDEX('在庫使用計画 (一般)'!$A$1:$BF$557,MATCH($C154,'在庫使用計画 (一般)'!$C$1:$C$557,0),MATCH(Y$1,'在庫使用計画 (一般)'!$A$1:$BF$1,0)),INDEX('在庫使用計画 (法人)'!$A$1:$AT$578,MATCH($C154,'在庫使用計画 (法人)'!$C$1:$C$578,0),MATCH(Y$1,'在庫使用計画 (法人)'!$A$1:$AT$1,0)))=0,"",SUM(INDEX('在庫使用計画 (一般)'!$A$1:$BF$557,MATCH($C154,'在庫使用計画 (一般)'!$C$1:$C$557,0),MATCH(Y$1,'在庫使用計画 (一般)'!$A$1:$BF$1,0)),INDEX('在庫使用計画 (法人)'!$A$1:$AT$578,MATCH($C154,'在庫使用計画 (法人)'!$C$1:$C$578,0),MATCH(Y$1,'在庫使用計画 (法人)'!$A$1:$AT$1,0)))),"")</f>
        <v/>
      </c>
      <c r="Z154" s="224" t="str">
        <f>IFERROR(IF(SUM(INDEX('在庫使用計画 (一般)'!$A$1:$BF$557,MATCH($C154,'在庫使用計画 (一般)'!$C$1:$C$557,0),MATCH(Z$1,'在庫使用計画 (一般)'!$A$1:$BF$1,0)),INDEX('在庫使用計画 (法人)'!$A$1:$AT$578,MATCH($C154,'在庫使用計画 (法人)'!$C$1:$C$578,0),MATCH(Z$1,'在庫使用計画 (法人)'!$A$1:$AT$1,0)))=0,"",SUM(INDEX('在庫使用計画 (一般)'!$A$1:$BF$557,MATCH($C154,'在庫使用計画 (一般)'!$C$1:$C$557,0),MATCH(Z$1,'在庫使用計画 (一般)'!$A$1:$BF$1,0)),INDEX('在庫使用計画 (法人)'!$A$1:$AT$578,MATCH($C154,'在庫使用計画 (法人)'!$C$1:$C$578,0),MATCH(Z$1,'在庫使用計画 (法人)'!$A$1:$AT$1,0)))),"")</f>
        <v/>
      </c>
      <c r="AA154" s="224" t="str">
        <f>IFERROR(IF(SUM(INDEX('在庫使用計画 (一般)'!$A$1:$BF$557,MATCH($C154,'在庫使用計画 (一般)'!$C$1:$C$557,0),MATCH(AA$1,'在庫使用計画 (一般)'!$A$1:$BF$1,0)),INDEX('在庫使用計画 (法人)'!$A$1:$AT$578,MATCH($C154,'在庫使用計画 (法人)'!$C$1:$C$578,0),MATCH(AA$1,'在庫使用計画 (法人)'!$A$1:$AT$1,0)))=0,"",SUM(INDEX('在庫使用計画 (一般)'!$A$1:$BF$557,MATCH($C154,'在庫使用計画 (一般)'!$C$1:$C$557,0),MATCH(AA$1,'在庫使用計画 (一般)'!$A$1:$BF$1,0)),INDEX('在庫使用計画 (法人)'!$A$1:$AT$578,MATCH($C154,'在庫使用計画 (法人)'!$C$1:$C$578,0),MATCH(AA$1,'在庫使用計画 (法人)'!$A$1:$AT$1,0)))),"")</f>
        <v/>
      </c>
      <c r="AB154" s="224" t="str">
        <f>IFERROR(IF(SUM(INDEX('在庫使用計画 (一般)'!$A$1:$BF$557,MATCH($C154,'在庫使用計画 (一般)'!$C$1:$C$557,0),MATCH(AB$1,'在庫使用計画 (一般)'!$A$1:$BF$1,0)),INDEX('在庫使用計画 (法人)'!$A$1:$AT$578,MATCH($C154,'在庫使用計画 (法人)'!$C$1:$C$578,0),MATCH(AB$1,'在庫使用計画 (法人)'!$A$1:$AT$1,0)))=0,"",SUM(INDEX('在庫使用計画 (一般)'!$A$1:$BF$557,MATCH($C154,'在庫使用計画 (一般)'!$C$1:$C$557,0),MATCH(AB$1,'在庫使用計画 (一般)'!$A$1:$BF$1,0)),INDEX('在庫使用計画 (法人)'!$A$1:$AT$578,MATCH($C154,'在庫使用計画 (法人)'!$C$1:$C$578,0),MATCH(AB$1,'在庫使用計画 (法人)'!$A$1:$AT$1,0)))),"")</f>
        <v/>
      </c>
      <c r="AC154" s="224" t="str">
        <f>IFERROR(IF(SUM(INDEX('在庫使用計画 (一般)'!$A$1:$BF$557,MATCH($C154,'在庫使用計画 (一般)'!$C$1:$C$557,0),MATCH(AC$1,'在庫使用計画 (一般)'!$A$1:$BF$1,0)),INDEX('在庫使用計画 (法人)'!$A$1:$AT$578,MATCH($C154,'在庫使用計画 (法人)'!$C$1:$C$578,0),MATCH(AC$1,'在庫使用計画 (法人)'!$A$1:$AT$1,0)))=0,"",SUM(INDEX('在庫使用計画 (一般)'!$A$1:$BF$557,MATCH($C154,'在庫使用計画 (一般)'!$C$1:$C$557,0),MATCH(AC$1,'在庫使用計画 (一般)'!$A$1:$BF$1,0)),INDEX('在庫使用計画 (法人)'!$A$1:$AT$578,MATCH($C154,'在庫使用計画 (法人)'!$C$1:$C$578,0),MATCH(AC$1,'在庫使用計画 (法人)'!$A$1:$AT$1,0)))),"")</f>
        <v/>
      </c>
      <c r="AD154" s="224" t="s">
        <v>21</v>
      </c>
      <c r="AE154" s="224" t="s">
        <v>21</v>
      </c>
      <c r="AF154" s="224" t="s">
        <v>21</v>
      </c>
      <c r="AG154" s="224" t="s">
        <v>21</v>
      </c>
      <c r="AH154" s="224" t="s">
        <v>21</v>
      </c>
      <c r="AI154" s="23"/>
      <c r="AJ154" s="23"/>
      <c r="AK154" s="21"/>
      <c r="AL154" s="21"/>
      <c r="AM154" s="21"/>
      <c r="AN154" s="21"/>
      <c r="AO154" s="21"/>
      <c r="AP154" s="21"/>
      <c r="AQ154" s="21"/>
      <c r="AR154" s="21"/>
      <c r="AS154" s="21"/>
      <c r="AT154" s="21"/>
      <c r="AU154" s="21"/>
      <c r="AV154" s="21"/>
      <c r="AW154" s="21"/>
      <c r="AX154" s="21"/>
      <c r="AY154" s="21"/>
    </row>
    <row r="155" spans="1:51">
      <c r="A155" s="1059"/>
      <c r="B155" s="26" t="s">
        <v>1687</v>
      </c>
      <c r="C155" s="26" t="s">
        <v>1688</v>
      </c>
      <c r="D155" s="26" t="s">
        <v>1674</v>
      </c>
      <c r="E155" s="26">
        <v>4060</v>
      </c>
      <c r="F155" s="26" t="s">
        <v>1372</v>
      </c>
      <c r="G155" s="38">
        <f>SUMIFS(在庫確認!C:C,在庫確認!B:B,'(全体実績+予測）の元データ'!C:C)</f>
        <v>100</v>
      </c>
      <c r="H155" s="38">
        <f t="shared" si="13"/>
        <v>0</v>
      </c>
      <c r="I155" s="38"/>
      <c r="J155" s="38"/>
      <c r="K155" s="38"/>
      <c r="L155" s="38"/>
      <c r="M155" s="38"/>
      <c r="N155" s="38"/>
      <c r="O155" s="38"/>
      <c r="P155" s="38"/>
      <c r="Q155" s="219"/>
      <c r="R155" s="219"/>
      <c r="S155" s="219"/>
      <c r="T155" s="219"/>
      <c r="U155" s="224"/>
      <c r="V155" s="224" t="str">
        <f>IFERROR(IF(SUM(INDEX('在庫使用計画 (一般)'!$A$1:$BF$557,MATCH($C155,'在庫使用計画 (一般)'!$C$1:$C$557,0),MATCH(V$1,'在庫使用計画 (一般)'!$A$1:$BF$1,0)),INDEX('在庫使用計画 (法人)'!$A$1:$AT$578,MATCH($C155,'在庫使用計画 (法人)'!$C$1:$C$578,0),MATCH(V$1,'在庫使用計画 (法人)'!$A$1:$AT$1,0)))=0,"",SUM(INDEX('在庫使用計画 (一般)'!$A$1:$BF$557,MATCH($C155,'在庫使用計画 (一般)'!$C$1:$C$557,0),MATCH(V$1,'在庫使用計画 (一般)'!$A$1:$BF$1,0)),INDEX('在庫使用計画 (法人)'!$A$1:$AT$578,MATCH($C155,'在庫使用計画 (法人)'!$C$1:$C$578,0),MATCH(V$1,'在庫使用計画 (法人)'!$A$1:$AT$1,0)))),"")</f>
        <v/>
      </c>
      <c r="W155" s="224" t="str">
        <f>IFERROR(IF(SUM(INDEX('在庫使用計画 (一般)'!$A$1:$BF$557,MATCH($C155,'在庫使用計画 (一般)'!$C$1:$C$557,0),MATCH(W$1,'在庫使用計画 (一般)'!$A$1:$BF$1,0)),INDEX('在庫使用計画 (法人)'!$A$1:$AT$578,MATCH($C155,'在庫使用計画 (法人)'!$C$1:$C$578,0),MATCH(W$1,'在庫使用計画 (法人)'!$A$1:$AT$1,0)))=0,"",SUM(INDEX('在庫使用計画 (一般)'!$A$1:$BF$557,MATCH($C155,'在庫使用計画 (一般)'!$C$1:$C$557,0),MATCH(W$1,'在庫使用計画 (一般)'!$A$1:$BF$1,0)),INDEX('在庫使用計画 (法人)'!$A$1:$AT$578,MATCH($C155,'在庫使用計画 (法人)'!$C$1:$C$578,0),MATCH(W$1,'在庫使用計画 (法人)'!$A$1:$AT$1,0)))),"")</f>
        <v/>
      </c>
      <c r="X155" s="237" t="str">
        <f>IFERROR(IF(SUM(INDEX('在庫使用計画 (一般)'!$A$1:$BF$557,MATCH($C155,'在庫使用計画 (一般)'!$C$1:$C$557,0),MATCH(X$1,'在庫使用計画 (一般)'!$A$1:$BF$1,0)),INDEX('在庫使用計画 (法人)'!$A$1:$AT$578,MATCH($C155,'在庫使用計画 (法人)'!$C$1:$C$578,0),MATCH(X$1,'在庫使用計画 (法人)'!$A$1:$AT$1,0)))=0,"",SUM(INDEX('在庫使用計画 (一般)'!$A$1:$BF$557,MATCH($C155,'在庫使用計画 (一般)'!$C$1:$C$557,0),MATCH(X$1,'在庫使用計画 (一般)'!$A$1:$BF$1,0)),INDEX('在庫使用計画 (法人)'!$A$1:$AT$578,MATCH($C155,'在庫使用計画 (法人)'!$C$1:$C$578,0),MATCH(X$1,'在庫使用計画 (法人)'!$A$1:$AT$1,0)))),"")</f>
        <v/>
      </c>
      <c r="Y155" s="224" t="str">
        <f>IFERROR(IF(SUM(INDEX('在庫使用計画 (一般)'!$A$1:$BF$557,MATCH($C155,'在庫使用計画 (一般)'!$C$1:$C$557,0),MATCH(Y$1,'在庫使用計画 (一般)'!$A$1:$BF$1,0)),INDEX('在庫使用計画 (法人)'!$A$1:$AT$578,MATCH($C155,'在庫使用計画 (法人)'!$C$1:$C$578,0),MATCH(Y$1,'在庫使用計画 (法人)'!$A$1:$AT$1,0)))=0,"",SUM(INDEX('在庫使用計画 (一般)'!$A$1:$BF$557,MATCH($C155,'在庫使用計画 (一般)'!$C$1:$C$557,0),MATCH(Y$1,'在庫使用計画 (一般)'!$A$1:$BF$1,0)),INDEX('在庫使用計画 (法人)'!$A$1:$AT$578,MATCH($C155,'在庫使用計画 (法人)'!$C$1:$C$578,0),MATCH(Y$1,'在庫使用計画 (法人)'!$A$1:$AT$1,0)))),"")</f>
        <v/>
      </c>
      <c r="Z155" s="224" t="str">
        <f>IFERROR(IF(SUM(INDEX('在庫使用計画 (一般)'!$A$1:$BF$557,MATCH($C155,'在庫使用計画 (一般)'!$C$1:$C$557,0),MATCH(Z$1,'在庫使用計画 (一般)'!$A$1:$BF$1,0)),INDEX('在庫使用計画 (法人)'!$A$1:$AT$578,MATCH($C155,'在庫使用計画 (法人)'!$C$1:$C$578,0),MATCH(Z$1,'在庫使用計画 (法人)'!$A$1:$AT$1,0)))=0,"",SUM(INDEX('在庫使用計画 (一般)'!$A$1:$BF$557,MATCH($C155,'在庫使用計画 (一般)'!$C$1:$C$557,0),MATCH(Z$1,'在庫使用計画 (一般)'!$A$1:$BF$1,0)),INDEX('在庫使用計画 (法人)'!$A$1:$AT$578,MATCH($C155,'在庫使用計画 (法人)'!$C$1:$C$578,0),MATCH(Z$1,'在庫使用計画 (法人)'!$A$1:$AT$1,0)))),"")</f>
        <v/>
      </c>
      <c r="AA155" s="224" t="str">
        <f>IFERROR(IF(SUM(INDEX('在庫使用計画 (一般)'!$A$1:$BF$557,MATCH($C155,'在庫使用計画 (一般)'!$C$1:$C$557,0),MATCH(AA$1,'在庫使用計画 (一般)'!$A$1:$BF$1,0)),INDEX('在庫使用計画 (法人)'!$A$1:$AT$578,MATCH($C155,'在庫使用計画 (法人)'!$C$1:$C$578,0),MATCH(AA$1,'在庫使用計画 (法人)'!$A$1:$AT$1,0)))=0,"",SUM(INDEX('在庫使用計画 (一般)'!$A$1:$BF$557,MATCH($C155,'在庫使用計画 (一般)'!$C$1:$C$557,0),MATCH(AA$1,'在庫使用計画 (一般)'!$A$1:$BF$1,0)),INDEX('在庫使用計画 (法人)'!$A$1:$AT$578,MATCH($C155,'在庫使用計画 (法人)'!$C$1:$C$578,0),MATCH(AA$1,'在庫使用計画 (法人)'!$A$1:$AT$1,0)))),"")</f>
        <v/>
      </c>
      <c r="AB155" s="224" t="str">
        <f>IFERROR(IF(SUM(INDEX('在庫使用計画 (一般)'!$A$1:$BF$557,MATCH($C155,'在庫使用計画 (一般)'!$C$1:$C$557,0),MATCH(AB$1,'在庫使用計画 (一般)'!$A$1:$BF$1,0)),INDEX('在庫使用計画 (法人)'!$A$1:$AT$578,MATCH($C155,'在庫使用計画 (法人)'!$C$1:$C$578,0),MATCH(AB$1,'在庫使用計画 (法人)'!$A$1:$AT$1,0)))=0,"",SUM(INDEX('在庫使用計画 (一般)'!$A$1:$BF$557,MATCH($C155,'在庫使用計画 (一般)'!$C$1:$C$557,0),MATCH(AB$1,'在庫使用計画 (一般)'!$A$1:$BF$1,0)),INDEX('在庫使用計画 (法人)'!$A$1:$AT$578,MATCH($C155,'在庫使用計画 (法人)'!$C$1:$C$578,0),MATCH(AB$1,'在庫使用計画 (法人)'!$A$1:$AT$1,0)))),"")</f>
        <v/>
      </c>
      <c r="AC155" s="224" t="str">
        <f>IFERROR(IF(SUM(INDEX('在庫使用計画 (一般)'!$A$1:$BF$557,MATCH($C155,'在庫使用計画 (一般)'!$C$1:$C$557,0),MATCH(AC$1,'在庫使用計画 (一般)'!$A$1:$BF$1,0)),INDEX('在庫使用計画 (法人)'!$A$1:$AT$578,MATCH($C155,'在庫使用計画 (法人)'!$C$1:$C$578,0),MATCH(AC$1,'在庫使用計画 (法人)'!$A$1:$AT$1,0)))=0,"",SUM(INDEX('在庫使用計画 (一般)'!$A$1:$BF$557,MATCH($C155,'在庫使用計画 (一般)'!$C$1:$C$557,0),MATCH(AC$1,'在庫使用計画 (一般)'!$A$1:$BF$1,0)),INDEX('在庫使用計画 (法人)'!$A$1:$AT$578,MATCH($C155,'在庫使用計画 (法人)'!$C$1:$C$578,0),MATCH(AC$1,'在庫使用計画 (法人)'!$A$1:$AT$1,0)))),"")</f>
        <v/>
      </c>
      <c r="AD155" s="224" t="s">
        <v>21</v>
      </c>
      <c r="AE155" s="224" t="s">
        <v>21</v>
      </c>
      <c r="AF155" s="224" t="s">
        <v>21</v>
      </c>
      <c r="AG155" s="224" t="s">
        <v>21</v>
      </c>
      <c r="AH155" s="224" t="s">
        <v>21</v>
      </c>
      <c r="AI155" s="23"/>
      <c r="AJ155" s="23"/>
      <c r="AK155" s="21"/>
      <c r="AL155" s="21"/>
      <c r="AM155" s="21"/>
      <c r="AN155" s="21"/>
      <c r="AO155" s="21"/>
      <c r="AP155" s="21"/>
      <c r="AQ155" s="21"/>
      <c r="AR155" s="21"/>
      <c r="AS155" s="21"/>
      <c r="AT155" s="21"/>
      <c r="AU155" s="21"/>
      <c r="AV155" s="21"/>
      <c r="AW155" s="21"/>
      <c r="AX155" s="21"/>
      <c r="AY155" s="21"/>
    </row>
    <row r="156" spans="1:51">
      <c r="A156" s="1059"/>
      <c r="B156" s="26" t="s">
        <v>1689</v>
      </c>
      <c r="C156" s="26" t="s">
        <v>1690</v>
      </c>
      <c r="D156" s="26" t="s">
        <v>1674</v>
      </c>
      <c r="E156" s="26">
        <v>4050</v>
      </c>
      <c r="F156" s="26" t="s">
        <v>1372</v>
      </c>
      <c r="G156" s="38">
        <f>SUMIFS(在庫確認!C:C,在庫確認!B:B,'(全体実績+予測）の元データ'!C:C)</f>
        <v>150</v>
      </c>
      <c r="H156" s="38">
        <f t="shared" si="13"/>
        <v>0</v>
      </c>
      <c r="I156" s="38"/>
      <c r="J156" s="38"/>
      <c r="K156" s="38"/>
      <c r="L156" s="38"/>
      <c r="M156" s="38"/>
      <c r="N156" s="38"/>
      <c r="O156" s="38"/>
      <c r="P156" s="38"/>
      <c r="Q156" s="219"/>
      <c r="R156" s="297"/>
      <c r="S156" s="219"/>
      <c r="T156" s="219"/>
      <c r="U156" s="224"/>
      <c r="V156" s="224" t="str">
        <f>IFERROR(IF(SUM(INDEX('在庫使用計画 (一般)'!$A$1:$BF$557,MATCH($C156,'在庫使用計画 (一般)'!$C$1:$C$557,0),MATCH(V$1,'在庫使用計画 (一般)'!$A$1:$BF$1,0)),INDEX('在庫使用計画 (法人)'!$A$1:$AT$578,MATCH($C156,'在庫使用計画 (法人)'!$C$1:$C$578,0),MATCH(V$1,'在庫使用計画 (法人)'!$A$1:$AT$1,0)))=0,"",SUM(INDEX('在庫使用計画 (一般)'!$A$1:$BF$557,MATCH($C156,'在庫使用計画 (一般)'!$C$1:$C$557,0),MATCH(V$1,'在庫使用計画 (一般)'!$A$1:$BF$1,0)),INDEX('在庫使用計画 (法人)'!$A$1:$AT$578,MATCH($C156,'在庫使用計画 (法人)'!$C$1:$C$578,0),MATCH(V$1,'在庫使用計画 (法人)'!$A$1:$AT$1,0)))),"")</f>
        <v/>
      </c>
      <c r="W156" s="224" t="str">
        <f>IFERROR(IF(SUM(INDEX('在庫使用計画 (一般)'!$A$1:$BF$557,MATCH($C156,'在庫使用計画 (一般)'!$C$1:$C$557,0),MATCH(W$1,'在庫使用計画 (一般)'!$A$1:$BF$1,0)),INDEX('在庫使用計画 (法人)'!$A$1:$AT$578,MATCH($C156,'在庫使用計画 (法人)'!$C$1:$C$578,0),MATCH(W$1,'在庫使用計画 (法人)'!$A$1:$AT$1,0)))=0,"",SUM(INDEX('在庫使用計画 (一般)'!$A$1:$BF$557,MATCH($C156,'在庫使用計画 (一般)'!$C$1:$C$557,0),MATCH(W$1,'在庫使用計画 (一般)'!$A$1:$BF$1,0)),INDEX('在庫使用計画 (法人)'!$A$1:$AT$578,MATCH($C156,'在庫使用計画 (法人)'!$C$1:$C$578,0),MATCH(W$1,'在庫使用計画 (法人)'!$A$1:$AT$1,0)))),"")</f>
        <v/>
      </c>
      <c r="X156" s="237" t="str">
        <f>IFERROR(IF(SUM(INDEX('在庫使用計画 (一般)'!$A$1:$BF$557,MATCH($C156,'在庫使用計画 (一般)'!$C$1:$C$557,0),MATCH(X$1,'在庫使用計画 (一般)'!$A$1:$BF$1,0)),INDEX('在庫使用計画 (法人)'!$A$1:$AT$578,MATCH($C156,'在庫使用計画 (法人)'!$C$1:$C$578,0),MATCH(X$1,'在庫使用計画 (法人)'!$A$1:$AT$1,0)))=0,"",SUM(INDEX('在庫使用計画 (一般)'!$A$1:$BF$557,MATCH($C156,'在庫使用計画 (一般)'!$C$1:$C$557,0),MATCH(X$1,'在庫使用計画 (一般)'!$A$1:$BF$1,0)),INDEX('在庫使用計画 (法人)'!$A$1:$AT$578,MATCH($C156,'在庫使用計画 (法人)'!$C$1:$C$578,0),MATCH(X$1,'在庫使用計画 (法人)'!$A$1:$AT$1,0)))),"")</f>
        <v/>
      </c>
      <c r="Y156" s="224" t="str">
        <f>IFERROR(IF(SUM(INDEX('在庫使用計画 (一般)'!$A$1:$BF$557,MATCH($C156,'在庫使用計画 (一般)'!$C$1:$C$557,0),MATCH(Y$1,'在庫使用計画 (一般)'!$A$1:$BF$1,0)),INDEX('在庫使用計画 (法人)'!$A$1:$AT$578,MATCH($C156,'在庫使用計画 (法人)'!$C$1:$C$578,0),MATCH(Y$1,'在庫使用計画 (法人)'!$A$1:$AT$1,0)))=0,"",SUM(INDEX('在庫使用計画 (一般)'!$A$1:$BF$557,MATCH($C156,'在庫使用計画 (一般)'!$C$1:$C$557,0),MATCH(Y$1,'在庫使用計画 (一般)'!$A$1:$BF$1,0)),INDEX('在庫使用計画 (法人)'!$A$1:$AT$578,MATCH($C156,'在庫使用計画 (法人)'!$C$1:$C$578,0),MATCH(Y$1,'在庫使用計画 (法人)'!$A$1:$AT$1,0)))),"")</f>
        <v/>
      </c>
      <c r="Z156" s="224" t="str">
        <f>IFERROR(IF(SUM(INDEX('在庫使用計画 (一般)'!$A$1:$BF$557,MATCH($C156,'在庫使用計画 (一般)'!$C$1:$C$557,0),MATCH(Z$1,'在庫使用計画 (一般)'!$A$1:$BF$1,0)),INDEX('在庫使用計画 (法人)'!$A$1:$AT$578,MATCH($C156,'在庫使用計画 (法人)'!$C$1:$C$578,0),MATCH(Z$1,'在庫使用計画 (法人)'!$A$1:$AT$1,0)))=0,"",SUM(INDEX('在庫使用計画 (一般)'!$A$1:$BF$557,MATCH($C156,'在庫使用計画 (一般)'!$C$1:$C$557,0),MATCH(Z$1,'在庫使用計画 (一般)'!$A$1:$BF$1,0)),INDEX('在庫使用計画 (法人)'!$A$1:$AT$578,MATCH($C156,'在庫使用計画 (法人)'!$C$1:$C$578,0),MATCH(Z$1,'在庫使用計画 (法人)'!$A$1:$AT$1,0)))),"")</f>
        <v/>
      </c>
      <c r="AA156" s="224" t="str">
        <f>IFERROR(IF(SUM(INDEX('在庫使用計画 (一般)'!$A$1:$BF$557,MATCH($C156,'在庫使用計画 (一般)'!$C$1:$C$557,0),MATCH(AA$1,'在庫使用計画 (一般)'!$A$1:$BF$1,0)),INDEX('在庫使用計画 (法人)'!$A$1:$AT$578,MATCH($C156,'在庫使用計画 (法人)'!$C$1:$C$578,0),MATCH(AA$1,'在庫使用計画 (法人)'!$A$1:$AT$1,0)))=0,"",SUM(INDEX('在庫使用計画 (一般)'!$A$1:$BF$557,MATCH($C156,'在庫使用計画 (一般)'!$C$1:$C$557,0),MATCH(AA$1,'在庫使用計画 (一般)'!$A$1:$BF$1,0)),INDEX('在庫使用計画 (法人)'!$A$1:$AT$578,MATCH($C156,'在庫使用計画 (法人)'!$C$1:$C$578,0),MATCH(AA$1,'在庫使用計画 (法人)'!$A$1:$AT$1,0)))),"")</f>
        <v/>
      </c>
      <c r="AB156" s="224" t="str">
        <f>IFERROR(IF(SUM(INDEX('在庫使用計画 (一般)'!$A$1:$BF$557,MATCH($C156,'在庫使用計画 (一般)'!$C$1:$C$557,0),MATCH(AB$1,'在庫使用計画 (一般)'!$A$1:$BF$1,0)),INDEX('在庫使用計画 (法人)'!$A$1:$AT$578,MATCH($C156,'在庫使用計画 (法人)'!$C$1:$C$578,0),MATCH(AB$1,'在庫使用計画 (法人)'!$A$1:$AT$1,0)))=0,"",SUM(INDEX('在庫使用計画 (一般)'!$A$1:$BF$557,MATCH($C156,'在庫使用計画 (一般)'!$C$1:$C$557,0),MATCH(AB$1,'在庫使用計画 (一般)'!$A$1:$BF$1,0)),INDEX('在庫使用計画 (法人)'!$A$1:$AT$578,MATCH($C156,'在庫使用計画 (法人)'!$C$1:$C$578,0),MATCH(AB$1,'在庫使用計画 (法人)'!$A$1:$AT$1,0)))),"")</f>
        <v/>
      </c>
      <c r="AC156" s="224" t="str">
        <f>IFERROR(IF(SUM(INDEX('在庫使用計画 (一般)'!$A$1:$BF$557,MATCH($C156,'在庫使用計画 (一般)'!$C$1:$C$557,0),MATCH(AC$1,'在庫使用計画 (一般)'!$A$1:$BF$1,0)),INDEX('在庫使用計画 (法人)'!$A$1:$AT$578,MATCH($C156,'在庫使用計画 (法人)'!$C$1:$C$578,0),MATCH(AC$1,'在庫使用計画 (法人)'!$A$1:$AT$1,0)))=0,"",SUM(INDEX('在庫使用計画 (一般)'!$A$1:$BF$557,MATCH($C156,'在庫使用計画 (一般)'!$C$1:$C$557,0),MATCH(AC$1,'在庫使用計画 (一般)'!$A$1:$BF$1,0)),INDEX('在庫使用計画 (法人)'!$A$1:$AT$578,MATCH($C156,'在庫使用計画 (法人)'!$C$1:$C$578,0),MATCH(AC$1,'在庫使用計画 (法人)'!$A$1:$AT$1,0)))),"")</f>
        <v/>
      </c>
      <c r="AD156" s="224" t="s">
        <v>21</v>
      </c>
      <c r="AE156" s="224" t="s">
        <v>21</v>
      </c>
      <c r="AF156" s="224" t="s">
        <v>21</v>
      </c>
      <c r="AG156" s="224" t="s">
        <v>21</v>
      </c>
      <c r="AH156" s="224" t="s">
        <v>21</v>
      </c>
      <c r="AI156" s="23"/>
      <c r="AJ156" s="23"/>
      <c r="AK156" s="21"/>
      <c r="AL156" s="21"/>
      <c r="AM156" s="21"/>
      <c r="AN156" s="21"/>
      <c r="AO156" s="21"/>
      <c r="AP156" s="21"/>
      <c r="AQ156" s="21"/>
      <c r="AR156" s="21"/>
      <c r="AS156" s="21"/>
      <c r="AT156" s="21"/>
      <c r="AU156" s="21"/>
      <c r="AV156" s="21"/>
      <c r="AW156" s="21"/>
      <c r="AX156" s="21"/>
      <c r="AY156" s="21"/>
    </row>
    <row r="157" spans="1:51">
      <c r="A157" s="1059"/>
      <c r="B157" s="26" t="s">
        <v>426</v>
      </c>
      <c r="C157" s="26" t="s">
        <v>424</v>
      </c>
      <c r="D157" s="26" t="s">
        <v>38</v>
      </c>
      <c r="E157" s="26">
        <v>4060</v>
      </c>
      <c r="F157" s="26" t="s">
        <v>1347</v>
      </c>
      <c r="G157" s="355">
        <f>SUMIFS(在庫確認!C:C,在庫確認!B:B,'(全体実績+予測）の元データ'!C:C)</f>
        <v>150</v>
      </c>
      <c r="H157" s="38">
        <f t="shared" si="13"/>
        <v>0</v>
      </c>
      <c r="I157" s="38"/>
      <c r="J157" s="38"/>
      <c r="K157" s="38"/>
      <c r="L157" s="38"/>
      <c r="M157" s="38"/>
      <c r="N157" s="38"/>
      <c r="O157" s="38"/>
      <c r="P157" s="38"/>
      <c r="Q157" s="219"/>
      <c r="R157" s="219"/>
      <c r="S157" s="219"/>
      <c r="T157" s="219"/>
      <c r="U157" s="224"/>
      <c r="V157" s="224"/>
      <c r="W157" s="224"/>
      <c r="X157" s="237"/>
      <c r="Y157" s="224"/>
      <c r="Z157" s="224" t="str">
        <f>IFERROR(IF(SUM(INDEX('在庫使用計画 (一般)'!$A$1:$BF$557,MATCH($C157,'在庫使用計画 (一般)'!$C$1:$C$557,0),MATCH(Z$1,'在庫使用計画 (一般)'!$A$1:$BF$1,0)),INDEX('在庫使用計画 (法人)'!$A$1:$AT$578,MATCH($C157,'在庫使用計画 (法人)'!$C$1:$C$578,0),MATCH(Z$1,'在庫使用計画 (法人)'!$A$1:$AT$1,0)))=0,"",SUM(INDEX('在庫使用計画 (一般)'!$A$1:$BF$557,MATCH($C157,'在庫使用計画 (一般)'!$C$1:$C$557,0),MATCH(Z$1,'在庫使用計画 (一般)'!$A$1:$BF$1,0)),INDEX('在庫使用計画 (法人)'!$A$1:$AT$578,MATCH($C157,'在庫使用計画 (法人)'!$C$1:$C$578,0),MATCH(Z$1,'在庫使用計画 (法人)'!$A$1:$AT$1,0)))),"")</f>
        <v/>
      </c>
      <c r="AA157" s="224" t="str">
        <f>IFERROR(IF(SUM(INDEX('在庫使用計画 (一般)'!$A$1:$BF$557,MATCH($C157,'在庫使用計画 (一般)'!$C$1:$C$557,0),MATCH(AA$1,'在庫使用計画 (一般)'!$A$1:$BF$1,0)),INDEX('在庫使用計画 (法人)'!$A$1:$AT$578,MATCH($C157,'在庫使用計画 (法人)'!$C$1:$C$578,0),MATCH(AA$1,'在庫使用計画 (法人)'!$A$1:$AT$1,0)))=0,"",SUM(INDEX('在庫使用計画 (一般)'!$A$1:$BF$557,MATCH($C157,'在庫使用計画 (一般)'!$C$1:$C$557,0),MATCH(AA$1,'在庫使用計画 (一般)'!$A$1:$BF$1,0)),INDEX('在庫使用計画 (法人)'!$A$1:$AT$578,MATCH($C157,'在庫使用計画 (法人)'!$C$1:$C$578,0),MATCH(AA$1,'在庫使用計画 (法人)'!$A$1:$AT$1,0)))),"")</f>
        <v/>
      </c>
      <c r="AB157" s="224" t="str">
        <f>IFERROR(IF(SUM(INDEX('在庫使用計画 (一般)'!$A$1:$BF$557,MATCH($C157,'在庫使用計画 (一般)'!$C$1:$C$557,0),MATCH(AB$1,'在庫使用計画 (一般)'!$A$1:$BF$1,0)),INDEX('在庫使用計画 (法人)'!$A$1:$AT$578,MATCH($C157,'在庫使用計画 (法人)'!$C$1:$C$578,0),MATCH(AB$1,'在庫使用計画 (法人)'!$A$1:$AT$1,0)))=0,"",SUM(INDEX('在庫使用計画 (一般)'!$A$1:$BF$557,MATCH($C157,'在庫使用計画 (一般)'!$C$1:$C$557,0),MATCH(AB$1,'在庫使用計画 (一般)'!$A$1:$BF$1,0)),INDEX('在庫使用計画 (法人)'!$A$1:$AT$578,MATCH($C157,'在庫使用計画 (法人)'!$C$1:$C$578,0),MATCH(AB$1,'在庫使用計画 (法人)'!$A$1:$AT$1,0)))),"")</f>
        <v/>
      </c>
      <c r="AC157" s="224" t="str">
        <f>IFERROR(IF(SUM(INDEX('在庫使用計画 (一般)'!$A$1:$BF$557,MATCH($C157,'在庫使用計画 (一般)'!$C$1:$C$557,0),MATCH(AC$1,'在庫使用計画 (一般)'!$A$1:$BF$1,0)),INDEX('在庫使用計画 (法人)'!$A$1:$AT$578,MATCH($C157,'在庫使用計画 (法人)'!$C$1:$C$578,0),MATCH(AC$1,'在庫使用計画 (法人)'!$A$1:$AT$1,0)))=0,"",SUM(INDEX('在庫使用計画 (一般)'!$A$1:$BF$557,MATCH($C157,'在庫使用計画 (一般)'!$C$1:$C$557,0),MATCH(AC$1,'在庫使用計画 (一般)'!$A$1:$BF$1,0)),INDEX('在庫使用計画 (法人)'!$A$1:$AT$578,MATCH($C157,'在庫使用計画 (法人)'!$C$1:$C$578,0),MATCH(AC$1,'在庫使用計画 (法人)'!$A$1:$AT$1,0)))),"")</f>
        <v/>
      </c>
      <c r="AD157" s="224" t="s">
        <v>21</v>
      </c>
      <c r="AE157" s="224" t="s">
        <v>21</v>
      </c>
      <c r="AF157" s="224" t="s">
        <v>21</v>
      </c>
      <c r="AG157" s="224" t="s">
        <v>21</v>
      </c>
      <c r="AH157" s="224" t="s">
        <v>21</v>
      </c>
      <c r="AI157" s="23"/>
      <c r="AJ157" s="23"/>
      <c r="AK157" s="21"/>
      <c r="AL157" s="21"/>
      <c r="AM157" s="21"/>
      <c r="AN157" s="21"/>
      <c r="AO157" s="21"/>
      <c r="AP157" s="21"/>
      <c r="AQ157" s="21"/>
      <c r="AR157" s="21"/>
      <c r="AS157" s="21"/>
      <c r="AT157" s="21"/>
      <c r="AU157" s="21"/>
      <c r="AV157" s="21"/>
      <c r="AW157" s="21"/>
      <c r="AX157" s="21"/>
      <c r="AY157" s="21"/>
    </row>
    <row r="158" spans="1:51">
      <c r="A158" s="1059"/>
      <c r="B158" s="26" t="s">
        <v>1691</v>
      </c>
      <c r="C158" s="26" t="s">
        <v>1692</v>
      </c>
      <c r="D158" s="26" t="s">
        <v>1674</v>
      </c>
      <c r="E158" s="26">
        <v>4050</v>
      </c>
      <c r="F158" s="26" t="s">
        <v>1372</v>
      </c>
      <c r="G158" s="43">
        <f>SUMIFS(在庫確認!C:C,在庫確認!B:B,'(全体実績+予測）の元データ'!C:C)</f>
        <v>0</v>
      </c>
      <c r="H158" s="38">
        <f t="shared" si="13"/>
        <v>0</v>
      </c>
      <c r="I158" s="38"/>
      <c r="J158" s="38"/>
      <c r="K158" s="38"/>
      <c r="L158" s="38"/>
      <c r="M158" s="38"/>
      <c r="N158" s="38"/>
      <c r="O158" s="38"/>
      <c r="P158" s="38"/>
      <c r="Q158" s="219"/>
      <c r="R158" s="219"/>
      <c r="S158" s="219"/>
      <c r="T158" s="219"/>
      <c r="U158" s="224"/>
      <c r="V158" s="224" t="str">
        <f>IFERROR(IF(SUM(INDEX('在庫使用計画 (一般)'!$A$1:$BF$557,MATCH($C158,'在庫使用計画 (一般)'!$C$1:$C$557,0),MATCH(V$1,'在庫使用計画 (一般)'!$A$1:$BF$1,0)),INDEX('在庫使用計画 (法人)'!$A$1:$AT$578,MATCH($C158,'在庫使用計画 (法人)'!$C$1:$C$578,0),MATCH(V$1,'在庫使用計画 (法人)'!$A$1:$AT$1,0)))=0,"",SUM(INDEX('在庫使用計画 (一般)'!$A$1:$BF$557,MATCH($C158,'在庫使用計画 (一般)'!$C$1:$C$557,0),MATCH(V$1,'在庫使用計画 (一般)'!$A$1:$BF$1,0)),INDEX('在庫使用計画 (法人)'!$A$1:$AT$578,MATCH($C158,'在庫使用計画 (法人)'!$C$1:$C$578,0),MATCH(V$1,'在庫使用計画 (法人)'!$A$1:$AT$1,0)))),"")</f>
        <v/>
      </c>
      <c r="W158" s="224" t="str">
        <f>IFERROR(IF(SUM(INDEX('在庫使用計画 (一般)'!$A$1:$BF$557,MATCH($C158,'在庫使用計画 (一般)'!$C$1:$C$557,0),MATCH(W$1,'在庫使用計画 (一般)'!$A$1:$BF$1,0)),INDEX('在庫使用計画 (法人)'!$A$1:$AT$578,MATCH($C158,'在庫使用計画 (法人)'!$C$1:$C$578,0),MATCH(W$1,'在庫使用計画 (法人)'!$A$1:$AT$1,0)))=0,"",SUM(INDEX('在庫使用計画 (一般)'!$A$1:$BF$557,MATCH($C158,'在庫使用計画 (一般)'!$C$1:$C$557,0),MATCH(W$1,'在庫使用計画 (一般)'!$A$1:$BF$1,0)),INDEX('在庫使用計画 (法人)'!$A$1:$AT$578,MATCH($C158,'在庫使用計画 (法人)'!$C$1:$C$578,0),MATCH(W$1,'在庫使用計画 (法人)'!$A$1:$AT$1,0)))),"")</f>
        <v/>
      </c>
      <c r="X158" s="237" t="str">
        <f>IFERROR(IF(SUM(INDEX('在庫使用計画 (一般)'!$A$1:$BF$557,MATCH($C158,'在庫使用計画 (一般)'!$C$1:$C$557,0),MATCH(X$1,'在庫使用計画 (一般)'!$A$1:$BF$1,0)),INDEX('在庫使用計画 (法人)'!$A$1:$AT$578,MATCH($C158,'在庫使用計画 (法人)'!$C$1:$C$578,0),MATCH(X$1,'在庫使用計画 (法人)'!$A$1:$AT$1,0)))=0,"",SUM(INDEX('在庫使用計画 (一般)'!$A$1:$BF$557,MATCH($C158,'在庫使用計画 (一般)'!$C$1:$C$557,0),MATCH(X$1,'在庫使用計画 (一般)'!$A$1:$BF$1,0)),INDEX('在庫使用計画 (法人)'!$A$1:$AT$578,MATCH($C158,'在庫使用計画 (法人)'!$C$1:$C$578,0),MATCH(X$1,'在庫使用計画 (法人)'!$A$1:$AT$1,0)))),"")</f>
        <v/>
      </c>
      <c r="Y158" s="224" t="str">
        <f>IFERROR(IF(SUM(INDEX('在庫使用計画 (一般)'!$A$1:$BF$557,MATCH($C158,'在庫使用計画 (一般)'!$C$1:$C$557,0),MATCH(Y$1,'在庫使用計画 (一般)'!$A$1:$BF$1,0)),INDEX('在庫使用計画 (法人)'!$A$1:$AT$578,MATCH($C158,'在庫使用計画 (法人)'!$C$1:$C$578,0),MATCH(Y$1,'在庫使用計画 (法人)'!$A$1:$AT$1,0)))=0,"",SUM(INDEX('在庫使用計画 (一般)'!$A$1:$BF$557,MATCH($C158,'在庫使用計画 (一般)'!$C$1:$C$557,0),MATCH(Y$1,'在庫使用計画 (一般)'!$A$1:$BF$1,0)),INDEX('在庫使用計画 (法人)'!$A$1:$AT$578,MATCH($C158,'在庫使用計画 (法人)'!$C$1:$C$578,0),MATCH(Y$1,'在庫使用計画 (法人)'!$A$1:$AT$1,0)))),"")</f>
        <v/>
      </c>
      <c r="Z158" s="224" t="str">
        <f>IFERROR(IF(SUM(INDEX('在庫使用計画 (一般)'!$A$1:$BF$557,MATCH($C158,'在庫使用計画 (一般)'!$C$1:$C$557,0),MATCH(Z$1,'在庫使用計画 (一般)'!$A$1:$BF$1,0)),INDEX('在庫使用計画 (法人)'!$A$1:$AT$578,MATCH($C158,'在庫使用計画 (法人)'!$C$1:$C$578,0),MATCH(Z$1,'在庫使用計画 (法人)'!$A$1:$AT$1,0)))=0,"",SUM(INDEX('在庫使用計画 (一般)'!$A$1:$BF$557,MATCH($C158,'在庫使用計画 (一般)'!$C$1:$C$557,0),MATCH(Z$1,'在庫使用計画 (一般)'!$A$1:$BF$1,0)),INDEX('在庫使用計画 (法人)'!$A$1:$AT$578,MATCH($C158,'在庫使用計画 (法人)'!$C$1:$C$578,0),MATCH(Z$1,'在庫使用計画 (法人)'!$A$1:$AT$1,0)))),"")</f>
        <v/>
      </c>
      <c r="AA158" s="224" t="str">
        <f>IFERROR(IF(SUM(INDEX('在庫使用計画 (一般)'!$A$1:$BF$557,MATCH($C158,'在庫使用計画 (一般)'!$C$1:$C$557,0),MATCH(AA$1,'在庫使用計画 (一般)'!$A$1:$BF$1,0)),INDEX('在庫使用計画 (法人)'!$A$1:$AT$578,MATCH($C158,'在庫使用計画 (法人)'!$C$1:$C$578,0),MATCH(AA$1,'在庫使用計画 (法人)'!$A$1:$AT$1,0)))=0,"",SUM(INDEX('在庫使用計画 (一般)'!$A$1:$BF$557,MATCH($C158,'在庫使用計画 (一般)'!$C$1:$C$557,0),MATCH(AA$1,'在庫使用計画 (一般)'!$A$1:$BF$1,0)),INDEX('在庫使用計画 (法人)'!$A$1:$AT$578,MATCH($C158,'在庫使用計画 (法人)'!$C$1:$C$578,0),MATCH(AA$1,'在庫使用計画 (法人)'!$A$1:$AT$1,0)))),"")</f>
        <v/>
      </c>
      <c r="AB158" s="224" t="str">
        <f>IFERROR(IF(SUM(INDEX('在庫使用計画 (一般)'!$A$1:$BF$557,MATCH($C158,'在庫使用計画 (一般)'!$C$1:$C$557,0),MATCH(AB$1,'在庫使用計画 (一般)'!$A$1:$BF$1,0)),INDEX('在庫使用計画 (法人)'!$A$1:$AT$578,MATCH($C158,'在庫使用計画 (法人)'!$C$1:$C$578,0),MATCH(AB$1,'在庫使用計画 (法人)'!$A$1:$AT$1,0)))=0,"",SUM(INDEX('在庫使用計画 (一般)'!$A$1:$BF$557,MATCH($C158,'在庫使用計画 (一般)'!$C$1:$C$557,0),MATCH(AB$1,'在庫使用計画 (一般)'!$A$1:$BF$1,0)),INDEX('在庫使用計画 (法人)'!$A$1:$AT$578,MATCH($C158,'在庫使用計画 (法人)'!$C$1:$C$578,0),MATCH(AB$1,'在庫使用計画 (法人)'!$A$1:$AT$1,0)))),"")</f>
        <v/>
      </c>
      <c r="AC158" s="224" t="str">
        <f>IFERROR(IF(SUM(INDEX('在庫使用計画 (一般)'!$A$1:$BF$557,MATCH($C158,'在庫使用計画 (一般)'!$C$1:$C$557,0),MATCH(AC$1,'在庫使用計画 (一般)'!$A$1:$BF$1,0)),INDEX('在庫使用計画 (法人)'!$A$1:$AT$578,MATCH($C158,'在庫使用計画 (法人)'!$C$1:$C$578,0),MATCH(AC$1,'在庫使用計画 (法人)'!$A$1:$AT$1,0)))=0,"",SUM(INDEX('在庫使用計画 (一般)'!$A$1:$BF$557,MATCH($C158,'在庫使用計画 (一般)'!$C$1:$C$557,0),MATCH(AC$1,'在庫使用計画 (一般)'!$A$1:$BF$1,0)),INDEX('在庫使用計画 (法人)'!$A$1:$AT$578,MATCH($C158,'在庫使用計画 (法人)'!$C$1:$C$578,0),MATCH(AC$1,'在庫使用計画 (法人)'!$A$1:$AT$1,0)))),"")</f>
        <v/>
      </c>
      <c r="AD158" s="224" t="s">
        <v>21</v>
      </c>
      <c r="AE158" s="224" t="s">
        <v>21</v>
      </c>
      <c r="AF158" s="224" t="s">
        <v>21</v>
      </c>
      <c r="AG158" s="224" t="s">
        <v>21</v>
      </c>
      <c r="AH158" s="224" t="s">
        <v>21</v>
      </c>
      <c r="AI158" s="23"/>
      <c r="AJ158" s="23"/>
      <c r="AK158" s="21"/>
      <c r="AL158" s="21"/>
      <c r="AM158" s="21"/>
      <c r="AN158" s="21"/>
      <c r="AO158" s="21"/>
      <c r="AP158" s="21"/>
      <c r="AQ158" s="21"/>
      <c r="AR158" s="21"/>
      <c r="AS158" s="21"/>
      <c r="AT158" s="21"/>
      <c r="AU158" s="21"/>
      <c r="AV158" s="21"/>
      <c r="AW158" s="21"/>
      <c r="AX158" s="21"/>
      <c r="AY158" s="21"/>
    </row>
    <row r="159" spans="1:51">
      <c r="A159" s="1059"/>
      <c r="B159" s="26" t="s">
        <v>1693</v>
      </c>
      <c r="C159" s="55" t="s">
        <v>1694</v>
      </c>
      <c r="D159" s="26" t="s">
        <v>1695</v>
      </c>
      <c r="E159" s="26">
        <v>3050</v>
      </c>
      <c r="F159" s="26" t="s">
        <v>1372</v>
      </c>
      <c r="G159" s="74">
        <f>SUMIFS(在庫確認!C:C,在庫確認!B:B,'(全体実績+予測）の元データ'!C:C)</f>
        <v>0</v>
      </c>
      <c r="H159" s="38">
        <f t="shared" si="13"/>
        <v>0</v>
      </c>
      <c r="I159" s="38"/>
      <c r="J159" s="38"/>
      <c r="K159" s="38"/>
      <c r="L159" s="38"/>
      <c r="M159" s="38"/>
      <c r="N159" s="38"/>
      <c r="O159" s="38"/>
      <c r="P159" s="38"/>
      <c r="Q159" s="219"/>
      <c r="R159" s="219"/>
      <c r="S159" s="219"/>
      <c r="T159" s="219"/>
      <c r="U159" s="224"/>
      <c r="V159" s="224" t="str">
        <f>IFERROR(IF(SUM(INDEX('在庫使用計画 (一般)'!$A$1:$BF$557,MATCH($C159,'在庫使用計画 (一般)'!$C$1:$C$557,0),MATCH(V$1,'在庫使用計画 (一般)'!$A$1:$BF$1,0)),INDEX('在庫使用計画 (法人)'!$A$1:$AT$578,MATCH($C159,'在庫使用計画 (法人)'!$C$1:$C$578,0),MATCH(V$1,'在庫使用計画 (法人)'!$A$1:$AT$1,0)))=0,"",SUM(INDEX('在庫使用計画 (一般)'!$A$1:$BF$557,MATCH($C159,'在庫使用計画 (一般)'!$C$1:$C$557,0),MATCH(V$1,'在庫使用計画 (一般)'!$A$1:$BF$1,0)),INDEX('在庫使用計画 (法人)'!$A$1:$AT$578,MATCH($C159,'在庫使用計画 (法人)'!$C$1:$C$578,0),MATCH(V$1,'在庫使用計画 (法人)'!$A$1:$AT$1,0)))),"")</f>
        <v/>
      </c>
      <c r="W159" s="224" t="str">
        <f>IFERROR(IF(SUM(INDEX('在庫使用計画 (一般)'!$A$1:$BF$557,MATCH($C159,'在庫使用計画 (一般)'!$C$1:$C$557,0),MATCH(W$1,'在庫使用計画 (一般)'!$A$1:$BF$1,0)),INDEX('在庫使用計画 (法人)'!$A$1:$AT$578,MATCH($C159,'在庫使用計画 (法人)'!$C$1:$C$578,0),MATCH(W$1,'在庫使用計画 (法人)'!$A$1:$AT$1,0)))=0,"",SUM(INDEX('在庫使用計画 (一般)'!$A$1:$BF$557,MATCH($C159,'在庫使用計画 (一般)'!$C$1:$C$557,0),MATCH(W$1,'在庫使用計画 (一般)'!$A$1:$BF$1,0)),INDEX('在庫使用計画 (法人)'!$A$1:$AT$578,MATCH($C159,'在庫使用計画 (法人)'!$C$1:$C$578,0),MATCH(W$1,'在庫使用計画 (法人)'!$A$1:$AT$1,0)))),"")</f>
        <v/>
      </c>
      <c r="X159" s="237" t="str">
        <f>IFERROR(IF(SUM(INDEX('在庫使用計画 (一般)'!$A$1:$BF$557,MATCH($C159,'在庫使用計画 (一般)'!$C$1:$C$557,0),MATCH(X$1,'在庫使用計画 (一般)'!$A$1:$BF$1,0)),INDEX('在庫使用計画 (法人)'!$A$1:$AT$578,MATCH($C159,'在庫使用計画 (法人)'!$C$1:$C$578,0),MATCH(X$1,'在庫使用計画 (法人)'!$A$1:$AT$1,0)))=0,"",SUM(INDEX('在庫使用計画 (一般)'!$A$1:$BF$557,MATCH($C159,'在庫使用計画 (一般)'!$C$1:$C$557,0),MATCH(X$1,'在庫使用計画 (一般)'!$A$1:$BF$1,0)),INDEX('在庫使用計画 (法人)'!$A$1:$AT$578,MATCH($C159,'在庫使用計画 (法人)'!$C$1:$C$578,0),MATCH(X$1,'在庫使用計画 (法人)'!$A$1:$AT$1,0)))),"")</f>
        <v/>
      </c>
      <c r="Y159" s="224" t="str">
        <f>IFERROR(IF(SUM(INDEX('在庫使用計画 (一般)'!$A$1:$BF$557,MATCH($C159,'在庫使用計画 (一般)'!$C$1:$C$557,0),MATCH(Y$1,'在庫使用計画 (一般)'!$A$1:$BF$1,0)),INDEX('在庫使用計画 (法人)'!$A$1:$AT$578,MATCH($C159,'在庫使用計画 (法人)'!$C$1:$C$578,0),MATCH(Y$1,'在庫使用計画 (法人)'!$A$1:$AT$1,0)))=0,"",SUM(INDEX('在庫使用計画 (一般)'!$A$1:$BF$557,MATCH($C159,'在庫使用計画 (一般)'!$C$1:$C$557,0),MATCH(Y$1,'在庫使用計画 (一般)'!$A$1:$BF$1,0)),INDEX('在庫使用計画 (法人)'!$A$1:$AT$578,MATCH($C159,'在庫使用計画 (法人)'!$C$1:$C$578,0),MATCH(Y$1,'在庫使用計画 (法人)'!$A$1:$AT$1,0)))),"")</f>
        <v/>
      </c>
      <c r="Z159" s="224" t="str">
        <f>IFERROR(IF(SUM(INDEX('在庫使用計画 (一般)'!$A$1:$BF$557,MATCH($C159,'在庫使用計画 (一般)'!$C$1:$C$557,0),MATCH(Z$1,'在庫使用計画 (一般)'!$A$1:$BF$1,0)),INDEX('在庫使用計画 (法人)'!$A$1:$AT$578,MATCH($C159,'在庫使用計画 (法人)'!$C$1:$C$578,0),MATCH(Z$1,'在庫使用計画 (法人)'!$A$1:$AT$1,0)))=0,"",SUM(INDEX('在庫使用計画 (一般)'!$A$1:$BF$557,MATCH($C159,'在庫使用計画 (一般)'!$C$1:$C$557,0),MATCH(Z$1,'在庫使用計画 (一般)'!$A$1:$BF$1,0)),INDEX('在庫使用計画 (法人)'!$A$1:$AT$578,MATCH($C159,'在庫使用計画 (法人)'!$C$1:$C$578,0),MATCH(Z$1,'在庫使用計画 (法人)'!$A$1:$AT$1,0)))),"")</f>
        <v/>
      </c>
      <c r="AA159" s="224" t="str">
        <f>IFERROR(IF(SUM(INDEX('在庫使用計画 (一般)'!$A$1:$BF$557,MATCH($C159,'在庫使用計画 (一般)'!$C$1:$C$557,0),MATCH(AA$1,'在庫使用計画 (一般)'!$A$1:$BF$1,0)),INDEX('在庫使用計画 (法人)'!$A$1:$AT$578,MATCH($C159,'在庫使用計画 (法人)'!$C$1:$C$578,0),MATCH(AA$1,'在庫使用計画 (法人)'!$A$1:$AT$1,0)))=0,"",SUM(INDEX('在庫使用計画 (一般)'!$A$1:$BF$557,MATCH($C159,'在庫使用計画 (一般)'!$C$1:$C$557,0),MATCH(AA$1,'在庫使用計画 (一般)'!$A$1:$BF$1,0)),INDEX('在庫使用計画 (法人)'!$A$1:$AT$578,MATCH($C159,'在庫使用計画 (法人)'!$C$1:$C$578,0),MATCH(AA$1,'在庫使用計画 (法人)'!$A$1:$AT$1,0)))),"")</f>
        <v/>
      </c>
      <c r="AB159" s="224" t="str">
        <f>IFERROR(IF(SUM(INDEX('在庫使用計画 (一般)'!$A$1:$BF$557,MATCH($C159,'在庫使用計画 (一般)'!$C$1:$C$557,0),MATCH(AB$1,'在庫使用計画 (一般)'!$A$1:$BF$1,0)),INDEX('在庫使用計画 (法人)'!$A$1:$AT$578,MATCH($C159,'在庫使用計画 (法人)'!$C$1:$C$578,0),MATCH(AB$1,'在庫使用計画 (法人)'!$A$1:$AT$1,0)))=0,"",SUM(INDEX('在庫使用計画 (一般)'!$A$1:$BF$557,MATCH($C159,'在庫使用計画 (一般)'!$C$1:$C$557,0),MATCH(AB$1,'在庫使用計画 (一般)'!$A$1:$BF$1,0)),INDEX('在庫使用計画 (法人)'!$A$1:$AT$578,MATCH($C159,'在庫使用計画 (法人)'!$C$1:$C$578,0),MATCH(AB$1,'在庫使用計画 (法人)'!$A$1:$AT$1,0)))),"")</f>
        <v/>
      </c>
      <c r="AC159" s="224" t="str">
        <f>IFERROR(IF(SUM(INDEX('在庫使用計画 (一般)'!$A$1:$BF$557,MATCH($C159,'在庫使用計画 (一般)'!$C$1:$C$557,0),MATCH(AC$1,'在庫使用計画 (一般)'!$A$1:$BF$1,0)),INDEX('在庫使用計画 (法人)'!$A$1:$AT$578,MATCH($C159,'在庫使用計画 (法人)'!$C$1:$C$578,0),MATCH(AC$1,'在庫使用計画 (法人)'!$A$1:$AT$1,0)))=0,"",SUM(INDEX('在庫使用計画 (一般)'!$A$1:$BF$557,MATCH($C159,'在庫使用計画 (一般)'!$C$1:$C$557,0),MATCH(AC$1,'在庫使用計画 (一般)'!$A$1:$BF$1,0)),INDEX('在庫使用計画 (法人)'!$A$1:$AT$578,MATCH($C159,'在庫使用計画 (法人)'!$C$1:$C$578,0),MATCH(AC$1,'在庫使用計画 (法人)'!$A$1:$AT$1,0)))),"")</f>
        <v/>
      </c>
      <c r="AD159" s="224" t="s">
        <v>21</v>
      </c>
      <c r="AE159" s="224" t="s">
        <v>21</v>
      </c>
      <c r="AF159" s="224" t="s">
        <v>21</v>
      </c>
      <c r="AG159" s="224" t="s">
        <v>21</v>
      </c>
      <c r="AH159" s="224" t="s">
        <v>21</v>
      </c>
      <c r="AI159" s="23"/>
      <c r="AJ159" s="23"/>
      <c r="AK159" s="21"/>
      <c r="AL159" s="21"/>
      <c r="AM159" s="21"/>
      <c r="AN159" s="21"/>
      <c r="AO159" s="21"/>
      <c r="AP159" s="21"/>
      <c r="AQ159" s="21"/>
      <c r="AR159" s="21"/>
      <c r="AS159" s="21"/>
      <c r="AT159" s="21"/>
      <c r="AU159" s="21"/>
      <c r="AV159" s="21"/>
      <c r="AW159" s="21"/>
      <c r="AX159" s="21"/>
      <c r="AY159" s="21"/>
    </row>
    <row r="160" spans="1:51">
      <c r="A160" s="1059"/>
      <c r="B160" s="26" t="s">
        <v>43</v>
      </c>
      <c r="C160" s="26" t="s">
        <v>44</v>
      </c>
      <c r="D160" s="26" t="s">
        <v>1674</v>
      </c>
      <c r="E160" s="26">
        <v>4050</v>
      </c>
      <c r="F160" s="26" t="s">
        <v>1347</v>
      </c>
      <c r="G160" s="43">
        <f>SUMIFS(在庫確認!C:C,在庫確認!B:B,'(全体実績+予測）の元データ'!C:C)</f>
        <v>0</v>
      </c>
      <c r="H160" s="38">
        <f t="shared" si="13"/>
        <v>0</v>
      </c>
      <c r="I160" s="38"/>
      <c r="J160" s="38"/>
      <c r="K160" s="38"/>
      <c r="L160" s="38"/>
      <c r="M160" s="38"/>
      <c r="N160" s="38"/>
      <c r="O160" s="38"/>
      <c r="P160" s="38"/>
      <c r="Q160" s="219"/>
      <c r="R160" s="219"/>
      <c r="S160" s="219"/>
      <c r="T160" s="219"/>
      <c r="U160" s="224"/>
      <c r="V160" s="224" t="str">
        <f>IFERROR(IF(SUM(INDEX('在庫使用計画 (一般)'!$A$1:$BF$557,MATCH($C160,'在庫使用計画 (一般)'!$C$1:$C$557,0),MATCH(V$1,'在庫使用計画 (一般)'!$A$1:$BF$1,0)),INDEX('在庫使用計画 (法人)'!$A$1:$AT$578,MATCH($C160,'在庫使用計画 (法人)'!$C$1:$C$578,0),MATCH(V$1,'在庫使用計画 (法人)'!$A$1:$AT$1,0)))=0,"",SUM(INDEX('在庫使用計画 (一般)'!$A$1:$BF$557,MATCH($C160,'在庫使用計画 (一般)'!$C$1:$C$557,0),MATCH(V$1,'在庫使用計画 (一般)'!$A$1:$BF$1,0)),INDEX('在庫使用計画 (法人)'!$A$1:$AT$578,MATCH($C160,'在庫使用計画 (法人)'!$C$1:$C$578,0),MATCH(V$1,'在庫使用計画 (法人)'!$A$1:$AT$1,0)))),"")</f>
        <v/>
      </c>
      <c r="W160" s="224" t="str">
        <f>IFERROR(IF(SUM(INDEX('在庫使用計画 (一般)'!$A$1:$BF$557,MATCH($C160,'在庫使用計画 (一般)'!$C$1:$C$557,0),MATCH(W$1,'在庫使用計画 (一般)'!$A$1:$BF$1,0)),INDEX('在庫使用計画 (法人)'!$A$1:$AT$578,MATCH($C160,'在庫使用計画 (法人)'!$C$1:$C$578,0),MATCH(W$1,'在庫使用計画 (法人)'!$A$1:$AT$1,0)))=0,"",SUM(INDEX('在庫使用計画 (一般)'!$A$1:$BF$557,MATCH($C160,'在庫使用計画 (一般)'!$C$1:$C$557,0),MATCH(W$1,'在庫使用計画 (一般)'!$A$1:$BF$1,0)),INDEX('在庫使用計画 (法人)'!$A$1:$AT$578,MATCH($C160,'在庫使用計画 (法人)'!$C$1:$C$578,0),MATCH(W$1,'在庫使用計画 (法人)'!$A$1:$AT$1,0)))),"")</f>
        <v/>
      </c>
      <c r="X160" s="237" t="str">
        <f>IFERROR(IF(SUM(INDEX('在庫使用計画 (一般)'!$A$1:$BF$557,MATCH($C160,'在庫使用計画 (一般)'!$C$1:$C$557,0),MATCH(X$1,'在庫使用計画 (一般)'!$A$1:$BF$1,0)),INDEX('在庫使用計画 (法人)'!$A$1:$AT$578,MATCH($C160,'在庫使用計画 (法人)'!$C$1:$C$578,0),MATCH(X$1,'在庫使用計画 (法人)'!$A$1:$AT$1,0)))=0,"",SUM(INDEX('在庫使用計画 (一般)'!$A$1:$BF$557,MATCH($C160,'在庫使用計画 (一般)'!$C$1:$C$557,0),MATCH(X$1,'在庫使用計画 (一般)'!$A$1:$BF$1,0)),INDEX('在庫使用計画 (法人)'!$A$1:$AT$578,MATCH($C160,'在庫使用計画 (法人)'!$C$1:$C$578,0),MATCH(X$1,'在庫使用計画 (法人)'!$A$1:$AT$1,0)))),"")</f>
        <v/>
      </c>
      <c r="Y160" s="224" t="str">
        <f>IFERROR(IF(SUM(INDEX('在庫使用計画 (一般)'!$A$1:$BF$557,MATCH($C160,'在庫使用計画 (一般)'!$C$1:$C$557,0),MATCH(Y$1,'在庫使用計画 (一般)'!$A$1:$BF$1,0)),INDEX('在庫使用計画 (法人)'!$A$1:$AT$578,MATCH($C160,'在庫使用計画 (法人)'!$C$1:$C$578,0),MATCH(Y$1,'在庫使用計画 (法人)'!$A$1:$AT$1,0)))=0,"",SUM(INDEX('在庫使用計画 (一般)'!$A$1:$BF$557,MATCH($C160,'在庫使用計画 (一般)'!$C$1:$C$557,0),MATCH(Y$1,'在庫使用計画 (一般)'!$A$1:$BF$1,0)),INDEX('在庫使用計画 (法人)'!$A$1:$AT$578,MATCH($C160,'在庫使用計画 (法人)'!$C$1:$C$578,0),MATCH(Y$1,'在庫使用計画 (法人)'!$A$1:$AT$1,0)))),"")</f>
        <v/>
      </c>
      <c r="Z160" s="224" t="str">
        <f>IFERROR(IF(SUM(INDEX('在庫使用計画 (一般)'!$A$1:$BF$557,MATCH($C160,'在庫使用計画 (一般)'!$C$1:$C$557,0),MATCH(Z$1,'在庫使用計画 (一般)'!$A$1:$BF$1,0)),INDEX('在庫使用計画 (法人)'!$A$1:$AT$578,MATCH($C160,'在庫使用計画 (法人)'!$C$1:$C$578,0),MATCH(Z$1,'在庫使用計画 (法人)'!$A$1:$AT$1,0)))=0,"",SUM(INDEX('在庫使用計画 (一般)'!$A$1:$BF$557,MATCH($C160,'在庫使用計画 (一般)'!$C$1:$C$557,0),MATCH(Z$1,'在庫使用計画 (一般)'!$A$1:$BF$1,0)),INDEX('在庫使用計画 (法人)'!$A$1:$AT$578,MATCH($C160,'在庫使用計画 (法人)'!$C$1:$C$578,0),MATCH(Z$1,'在庫使用計画 (法人)'!$A$1:$AT$1,0)))),"")</f>
        <v/>
      </c>
      <c r="AA160" s="224" t="str">
        <f>IFERROR(IF(SUM(INDEX('在庫使用計画 (一般)'!$A$1:$BF$557,MATCH($C160,'在庫使用計画 (一般)'!$C$1:$C$557,0),MATCH(AA$1,'在庫使用計画 (一般)'!$A$1:$BF$1,0)),INDEX('在庫使用計画 (法人)'!$A$1:$AT$578,MATCH($C160,'在庫使用計画 (法人)'!$C$1:$C$578,0),MATCH(AA$1,'在庫使用計画 (法人)'!$A$1:$AT$1,0)))=0,"",SUM(INDEX('在庫使用計画 (一般)'!$A$1:$BF$557,MATCH($C160,'在庫使用計画 (一般)'!$C$1:$C$557,0),MATCH(AA$1,'在庫使用計画 (一般)'!$A$1:$BF$1,0)),INDEX('在庫使用計画 (法人)'!$A$1:$AT$578,MATCH($C160,'在庫使用計画 (法人)'!$C$1:$C$578,0),MATCH(AA$1,'在庫使用計画 (法人)'!$A$1:$AT$1,0)))),"")</f>
        <v/>
      </c>
      <c r="AB160" s="224" t="str">
        <f>IFERROR(IF(SUM(INDEX('在庫使用計画 (一般)'!$A$1:$BF$557,MATCH($C160,'在庫使用計画 (一般)'!$C$1:$C$557,0),MATCH(AB$1,'在庫使用計画 (一般)'!$A$1:$BF$1,0)),INDEX('在庫使用計画 (法人)'!$A$1:$AT$578,MATCH($C160,'在庫使用計画 (法人)'!$C$1:$C$578,0),MATCH(AB$1,'在庫使用計画 (法人)'!$A$1:$AT$1,0)))=0,"",SUM(INDEX('在庫使用計画 (一般)'!$A$1:$BF$557,MATCH($C160,'在庫使用計画 (一般)'!$C$1:$C$557,0),MATCH(AB$1,'在庫使用計画 (一般)'!$A$1:$BF$1,0)),INDEX('在庫使用計画 (法人)'!$A$1:$AT$578,MATCH($C160,'在庫使用計画 (法人)'!$C$1:$C$578,0),MATCH(AB$1,'在庫使用計画 (法人)'!$A$1:$AT$1,0)))),"")</f>
        <v/>
      </c>
      <c r="AC160" s="224" t="str">
        <f>IFERROR(IF(SUM(INDEX('在庫使用計画 (一般)'!$A$1:$BF$557,MATCH($C160,'在庫使用計画 (一般)'!$C$1:$C$557,0),MATCH(AC$1,'在庫使用計画 (一般)'!$A$1:$BF$1,0)),INDEX('在庫使用計画 (法人)'!$A$1:$AT$578,MATCH($C160,'在庫使用計画 (法人)'!$C$1:$C$578,0),MATCH(AC$1,'在庫使用計画 (法人)'!$A$1:$AT$1,0)))=0,"",SUM(INDEX('在庫使用計画 (一般)'!$A$1:$BF$557,MATCH($C160,'在庫使用計画 (一般)'!$C$1:$C$557,0),MATCH(AC$1,'在庫使用計画 (一般)'!$A$1:$BF$1,0)),INDEX('在庫使用計画 (法人)'!$A$1:$AT$578,MATCH($C160,'在庫使用計画 (法人)'!$C$1:$C$578,0),MATCH(AC$1,'在庫使用計画 (法人)'!$A$1:$AT$1,0)))),"")</f>
        <v/>
      </c>
      <c r="AD160" s="224" t="s">
        <v>21</v>
      </c>
      <c r="AE160" s="224" t="s">
        <v>21</v>
      </c>
      <c r="AF160" s="224" t="s">
        <v>21</v>
      </c>
      <c r="AG160" s="224" t="s">
        <v>21</v>
      </c>
      <c r="AH160" s="224" t="s">
        <v>21</v>
      </c>
      <c r="AI160" s="23"/>
      <c r="AJ160" s="23"/>
      <c r="AK160" s="21"/>
      <c r="AL160" s="21"/>
      <c r="AM160" s="21"/>
      <c r="AN160" s="21"/>
      <c r="AO160" s="21"/>
      <c r="AP160" s="21"/>
      <c r="AQ160" s="21"/>
      <c r="AR160" s="21"/>
      <c r="AS160" s="21"/>
      <c r="AT160" s="21"/>
      <c r="AU160" s="21"/>
      <c r="AV160" s="21"/>
      <c r="AW160" s="21"/>
      <c r="AX160" s="21"/>
      <c r="AY160" s="21"/>
    </row>
    <row r="161" spans="1:51">
      <c r="A161" s="1059"/>
      <c r="B161" s="26" t="s">
        <v>381</v>
      </c>
      <c r="C161" s="26" t="s">
        <v>379</v>
      </c>
      <c r="D161" s="26" t="s">
        <v>1696</v>
      </c>
      <c r="E161" s="26">
        <v>1650</v>
      </c>
      <c r="F161" s="26" t="s">
        <v>1347</v>
      </c>
      <c r="G161" s="355">
        <f>SUMIFS(在庫確認!C:C,在庫確認!B:B,'(全体実績+予測）の元データ'!C:C)</f>
        <v>0</v>
      </c>
      <c r="H161" s="38"/>
      <c r="I161" s="38"/>
      <c r="J161" s="38"/>
      <c r="K161" s="38"/>
      <c r="L161" s="38"/>
      <c r="M161" s="38"/>
      <c r="N161" s="38"/>
      <c r="O161" s="38"/>
      <c r="P161" s="38"/>
      <c r="Q161" s="219"/>
      <c r="R161" s="219"/>
      <c r="S161" s="219"/>
      <c r="T161" s="219"/>
      <c r="U161" s="224"/>
      <c r="V161" s="224" t="str">
        <f>IFERROR(IF(SUM(INDEX('在庫使用計画 (一般)'!$A$1:$BF$557,MATCH($C161,'在庫使用計画 (一般)'!$C$1:$C$557,0),MATCH(V$1,'在庫使用計画 (一般)'!$A$1:$BF$1,0)),INDEX('在庫使用計画 (法人)'!$A$1:$AT$578,MATCH($C161,'在庫使用計画 (法人)'!$C$1:$C$578,0),MATCH(V$1,'在庫使用計画 (法人)'!$A$1:$AT$1,0)))=0,"",SUM(INDEX('在庫使用計画 (一般)'!$A$1:$BF$557,MATCH($C161,'在庫使用計画 (一般)'!$C$1:$C$557,0),MATCH(V$1,'在庫使用計画 (一般)'!$A$1:$BF$1,0)),INDEX('在庫使用計画 (法人)'!$A$1:$AT$578,MATCH($C161,'在庫使用計画 (法人)'!$C$1:$C$578,0),MATCH(V$1,'在庫使用計画 (法人)'!$A$1:$AT$1,0)))),"")</f>
        <v/>
      </c>
      <c r="W161" s="224" t="str">
        <f>IFERROR(IF(SUM(INDEX('在庫使用計画 (一般)'!$A$1:$BF$557,MATCH($C161,'在庫使用計画 (一般)'!$C$1:$C$557,0),MATCH(W$1,'在庫使用計画 (一般)'!$A$1:$BF$1,0)),INDEX('在庫使用計画 (法人)'!$A$1:$AT$578,MATCH($C161,'在庫使用計画 (法人)'!$C$1:$C$578,0),MATCH(W$1,'在庫使用計画 (法人)'!$A$1:$AT$1,0)))=0,"",SUM(INDEX('在庫使用計画 (一般)'!$A$1:$BF$557,MATCH($C161,'在庫使用計画 (一般)'!$C$1:$C$557,0),MATCH(W$1,'在庫使用計画 (一般)'!$A$1:$BF$1,0)),INDEX('在庫使用計画 (法人)'!$A$1:$AT$578,MATCH($C161,'在庫使用計画 (法人)'!$C$1:$C$578,0),MATCH(W$1,'在庫使用計画 (法人)'!$A$1:$AT$1,0)))),"")</f>
        <v/>
      </c>
      <c r="X161" s="237" t="str">
        <f>IFERROR(IF(SUM(INDEX('在庫使用計画 (一般)'!$A$1:$BF$557,MATCH($C161,'在庫使用計画 (一般)'!$C$1:$C$557,0),MATCH(X$1,'在庫使用計画 (一般)'!$A$1:$BF$1,0)),INDEX('在庫使用計画 (法人)'!$A$1:$AT$578,MATCH($C161,'在庫使用計画 (法人)'!$C$1:$C$578,0),MATCH(X$1,'在庫使用計画 (法人)'!$A$1:$AT$1,0)))=0,"",SUM(INDEX('在庫使用計画 (一般)'!$A$1:$BF$557,MATCH($C161,'在庫使用計画 (一般)'!$C$1:$C$557,0),MATCH(X$1,'在庫使用計画 (一般)'!$A$1:$BF$1,0)),INDEX('在庫使用計画 (法人)'!$A$1:$AT$578,MATCH($C161,'在庫使用計画 (法人)'!$C$1:$C$578,0),MATCH(X$1,'在庫使用計画 (法人)'!$A$1:$AT$1,0)))),"")</f>
        <v/>
      </c>
      <c r="Y161" s="224" t="str">
        <f>IFERROR(IF(SUM(INDEX('在庫使用計画 (一般)'!$A$1:$BF$557,MATCH($C161,'在庫使用計画 (一般)'!$C$1:$C$557,0),MATCH(Y$1,'在庫使用計画 (一般)'!$A$1:$BF$1,0)),INDEX('在庫使用計画 (法人)'!$A$1:$AT$578,MATCH($C161,'在庫使用計画 (法人)'!$C$1:$C$578,0),MATCH(Y$1,'在庫使用計画 (法人)'!$A$1:$AT$1,0)))=0,"",SUM(INDEX('在庫使用計画 (一般)'!$A$1:$BF$557,MATCH($C161,'在庫使用計画 (一般)'!$C$1:$C$557,0),MATCH(Y$1,'在庫使用計画 (一般)'!$A$1:$BF$1,0)),INDEX('在庫使用計画 (法人)'!$A$1:$AT$578,MATCH($C161,'在庫使用計画 (法人)'!$C$1:$C$578,0),MATCH(Y$1,'在庫使用計画 (法人)'!$A$1:$AT$1,0)))),"")</f>
        <v/>
      </c>
      <c r="Z161" s="224" t="str">
        <f>IFERROR(IF(SUM(INDEX('在庫使用計画 (一般)'!$A$1:$BF$557,MATCH($C161,'在庫使用計画 (一般)'!$C$1:$C$557,0),MATCH(Z$1,'在庫使用計画 (一般)'!$A$1:$BF$1,0)),INDEX('在庫使用計画 (法人)'!$A$1:$AT$578,MATCH($C161,'在庫使用計画 (法人)'!$C$1:$C$578,0),MATCH(Z$1,'在庫使用計画 (法人)'!$A$1:$AT$1,0)))=0,"",SUM(INDEX('在庫使用計画 (一般)'!$A$1:$BF$557,MATCH($C161,'在庫使用計画 (一般)'!$C$1:$C$557,0),MATCH(Z$1,'在庫使用計画 (一般)'!$A$1:$BF$1,0)),INDEX('在庫使用計画 (法人)'!$A$1:$AT$578,MATCH($C161,'在庫使用計画 (法人)'!$C$1:$C$578,0),MATCH(Z$1,'在庫使用計画 (法人)'!$A$1:$AT$1,0)))),"")</f>
        <v/>
      </c>
      <c r="AA161" s="224" t="str">
        <f>IFERROR(IF(SUM(INDEX('在庫使用計画 (一般)'!$A$1:$BF$557,MATCH($C161,'在庫使用計画 (一般)'!$C$1:$C$557,0),MATCH(AA$1,'在庫使用計画 (一般)'!$A$1:$BF$1,0)),INDEX('在庫使用計画 (法人)'!$A$1:$AT$578,MATCH($C161,'在庫使用計画 (法人)'!$C$1:$C$578,0),MATCH(AA$1,'在庫使用計画 (法人)'!$A$1:$AT$1,0)))=0,"",SUM(INDEX('在庫使用計画 (一般)'!$A$1:$BF$557,MATCH($C161,'在庫使用計画 (一般)'!$C$1:$C$557,0),MATCH(AA$1,'在庫使用計画 (一般)'!$A$1:$BF$1,0)),INDEX('在庫使用計画 (法人)'!$A$1:$AT$578,MATCH($C161,'在庫使用計画 (法人)'!$C$1:$C$578,0),MATCH(AA$1,'在庫使用計画 (法人)'!$A$1:$AT$1,0)))),"")</f>
        <v/>
      </c>
      <c r="AB161" s="224" t="str">
        <f>IFERROR(IF(SUM(INDEX('在庫使用計画 (一般)'!$A$1:$BF$557,MATCH($C161,'在庫使用計画 (一般)'!$C$1:$C$557,0),MATCH(AB$1,'在庫使用計画 (一般)'!$A$1:$BF$1,0)),INDEX('在庫使用計画 (法人)'!$A$1:$AT$578,MATCH($C161,'在庫使用計画 (法人)'!$C$1:$C$578,0),MATCH(AB$1,'在庫使用計画 (法人)'!$A$1:$AT$1,0)))=0,"",SUM(INDEX('在庫使用計画 (一般)'!$A$1:$BF$557,MATCH($C161,'在庫使用計画 (一般)'!$C$1:$C$557,0),MATCH(AB$1,'在庫使用計画 (一般)'!$A$1:$BF$1,0)),INDEX('在庫使用計画 (法人)'!$A$1:$AT$578,MATCH($C161,'在庫使用計画 (法人)'!$C$1:$C$578,0),MATCH(AB$1,'在庫使用計画 (法人)'!$A$1:$AT$1,0)))),"")</f>
        <v/>
      </c>
      <c r="AC161" s="224" t="str">
        <f>IFERROR(IF(SUM(INDEX('在庫使用計画 (一般)'!$A$1:$BF$557,MATCH($C161,'在庫使用計画 (一般)'!$C$1:$C$557,0),MATCH(AC$1,'在庫使用計画 (一般)'!$A$1:$BF$1,0)),INDEX('在庫使用計画 (法人)'!$A$1:$AT$578,MATCH($C161,'在庫使用計画 (法人)'!$C$1:$C$578,0),MATCH(AC$1,'在庫使用計画 (法人)'!$A$1:$AT$1,0)))=0,"",SUM(INDEX('在庫使用計画 (一般)'!$A$1:$BF$557,MATCH($C161,'在庫使用計画 (一般)'!$C$1:$C$557,0),MATCH(AC$1,'在庫使用計画 (一般)'!$A$1:$BF$1,0)),INDEX('在庫使用計画 (法人)'!$A$1:$AT$578,MATCH($C161,'在庫使用計画 (法人)'!$C$1:$C$578,0),MATCH(AC$1,'在庫使用計画 (法人)'!$A$1:$AT$1,0)))),"")</f>
        <v/>
      </c>
      <c r="AD161" s="224" t="s">
        <v>21</v>
      </c>
      <c r="AE161" s="224" t="s">
        <v>21</v>
      </c>
      <c r="AF161" s="224" t="s">
        <v>21</v>
      </c>
      <c r="AG161" s="224" t="s">
        <v>21</v>
      </c>
      <c r="AH161" s="224" t="s">
        <v>21</v>
      </c>
      <c r="AI161" s="224" t="s">
        <v>21</v>
      </c>
      <c r="AJ161" s="224" t="s">
        <v>21</v>
      </c>
      <c r="AK161" s="224" t="s">
        <v>21</v>
      </c>
      <c r="AL161" s="224" t="str">
        <f>IFERROR(IF(SUM(INDEX('在庫使用計画 (一般)'!$A$1:$BF$557,MATCH($C161,'在庫使用計画 (一般)'!$C$1:$C$557,0),MATCH(AL$1,'在庫使用計画 (一般)'!$A$1:$BF$1,0)),INDEX('在庫使用計画 (法人)'!$A$1:$AT$578,MATCH($C161,'在庫使用計画 (法人)'!$C$1:$C$578,0),MATCH(AL$1,'在庫使用計画 (法人)'!$A$1:$AT$1,0)))=0,"",SUM(INDEX('在庫使用計画 (一般)'!$A$1:$BF$557,MATCH($C161,'在庫使用計画 (一般)'!$C$1:$C$557,0),MATCH(AL$1,'在庫使用計画 (一般)'!$A$1:$BF$1,0)),INDEX('在庫使用計画 (法人)'!$A$1:$AT$578,MATCH($C161,'在庫使用計画 (法人)'!$C$1:$C$578,0),MATCH(AL$1,'在庫使用計画 (法人)'!$A$1:$AT$1,0)))),"")</f>
        <v/>
      </c>
      <c r="AM161" s="224" t="str">
        <f>IFERROR(IF(SUM(INDEX('在庫使用計画 (一般)'!$A$1:$BF$557,MATCH($C161,'在庫使用計画 (一般)'!$C$1:$C$557,0),MATCH(AM$1,'在庫使用計画 (一般)'!$A$1:$BF$1,0)),INDEX('在庫使用計画 (法人)'!$A$1:$AT$578,MATCH($C161,'在庫使用計画 (法人)'!$C$1:$C$578,0),MATCH(AM$1,'在庫使用計画 (法人)'!$A$1:$AT$1,0)))=0,"",SUM(INDEX('在庫使用計画 (一般)'!$A$1:$BF$557,MATCH($C161,'在庫使用計画 (一般)'!$C$1:$C$557,0),MATCH(AM$1,'在庫使用計画 (一般)'!$A$1:$BF$1,0)),INDEX('在庫使用計画 (法人)'!$A$1:$AT$578,MATCH($C161,'在庫使用計画 (法人)'!$C$1:$C$578,0),MATCH(AM$1,'在庫使用計画 (法人)'!$A$1:$AT$1,0)))),"")</f>
        <v/>
      </c>
      <c r="AN161" s="224" t="str">
        <f>IFERROR(IF(SUM(INDEX('在庫使用計画 (一般)'!$A$1:$BF$557,MATCH($C161,'在庫使用計画 (一般)'!$C$1:$C$557,0),MATCH(AN$1,'在庫使用計画 (一般)'!$A$1:$BF$1,0)),INDEX('在庫使用計画 (法人)'!$A$1:$AT$578,MATCH($C161,'在庫使用計画 (法人)'!$C$1:$C$578,0),MATCH(AN$1,'在庫使用計画 (法人)'!$A$1:$AT$1,0)))=0,"",SUM(INDEX('在庫使用計画 (一般)'!$A$1:$BF$557,MATCH($C161,'在庫使用計画 (一般)'!$C$1:$C$557,0),MATCH(AN$1,'在庫使用計画 (一般)'!$A$1:$BF$1,0)),INDEX('在庫使用計画 (法人)'!$A$1:$AT$578,MATCH($C161,'在庫使用計画 (法人)'!$C$1:$C$578,0),MATCH(AN$1,'在庫使用計画 (法人)'!$A$1:$AT$1,0)))),"")</f>
        <v/>
      </c>
      <c r="AO161" s="224" t="str">
        <f>IFERROR(IF(SUM(INDEX('在庫使用計画 (一般)'!$A$1:$BF$557,MATCH($C161,'在庫使用計画 (一般)'!$C$1:$C$557,0),MATCH(AO$1,'在庫使用計画 (一般)'!$A$1:$BF$1,0)),INDEX('在庫使用計画 (法人)'!$A$1:$AT$578,MATCH($C161,'在庫使用計画 (法人)'!$C$1:$C$578,0),MATCH(AO$1,'在庫使用計画 (法人)'!$A$1:$AT$1,0)))=0,"",SUM(INDEX('在庫使用計画 (一般)'!$A$1:$BF$557,MATCH($C161,'在庫使用計画 (一般)'!$C$1:$C$557,0),MATCH(AO$1,'在庫使用計画 (一般)'!$A$1:$BF$1,0)),INDEX('在庫使用計画 (法人)'!$A$1:$AT$578,MATCH($C161,'在庫使用計画 (法人)'!$C$1:$C$578,0),MATCH(AO$1,'在庫使用計画 (法人)'!$A$1:$AT$1,0)))),"")</f>
        <v/>
      </c>
      <c r="AP161" s="224" t="str">
        <f>IFERROR(IF(SUM(INDEX('在庫使用計画 (一般)'!$A$1:$BF$557,MATCH($C161,'在庫使用計画 (一般)'!$C$1:$C$557,0),MATCH(AP$1,'在庫使用計画 (一般)'!$A$1:$BF$1,0)),INDEX('在庫使用計画 (法人)'!$A$1:$AT$578,MATCH($C161,'在庫使用計画 (法人)'!$C$1:$C$578,0),MATCH(AP$1,'在庫使用計画 (法人)'!$A$1:$AT$1,0)))=0,"",SUM(INDEX('在庫使用計画 (一般)'!$A$1:$BF$557,MATCH($C161,'在庫使用計画 (一般)'!$C$1:$C$557,0),MATCH(AP$1,'在庫使用計画 (一般)'!$A$1:$BF$1,0)),INDEX('在庫使用計画 (法人)'!$A$1:$AT$578,MATCH($C161,'在庫使用計画 (法人)'!$C$1:$C$578,0),MATCH(AP$1,'在庫使用計画 (法人)'!$A$1:$AT$1,0)))),"")</f>
        <v/>
      </c>
      <c r="AQ161" s="224" t="str">
        <f>IFERROR(IF(SUM(INDEX('在庫使用計画 (一般)'!$A$1:$BF$557,MATCH($C161,'在庫使用計画 (一般)'!$C$1:$C$557,0),MATCH(AQ$1,'在庫使用計画 (一般)'!$A$1:$BF$1,0)),INDEX('在庫使用計画 (法人)'!$A$1:$AT$578,MATCH($C161,'在庫使用計画 (法人)'!$C$1:$C$578,0),MATCH(AQ$1,'在庫使用計画 (法人)'!$A$1:$AT$1,0)))=0,"",SUM(INDEX('在庫使用計画 (一般)'!$A$1:$BF$557,MATCH($C161,'在庫使用計画 (一般)'!$C$1:$C$557,0),MATCH(AQ$1,'在庫使用計画 (一般)'!$A$1:$BF$1,0)),INDEX('在庫使用計画 (法人)'!$A$1:$AT$578,MATCH($C161,'在庫使用計画 (法人)'!$C$1:$C$578,0),MATCH(AQ$1,'在庫使用計画 (法人)'!$A$1:$AT$1,0)))),"")</f>
        <v/>
      </c>
      <c r="AR161" s="224" t="str">
        <f>IFERROR(IF(SUM(INDEX('在庫使用計画 (一般)'!$A$1:$BF$557,MATCH($C161,'在庫使用計画 (一般)'!$C$1:$C$557,0),MATCH(AR$1,'在庫使用計画 (一般)'!$A$1:$BF$1,0)),INDEX('在庫使用計画 (法人)'!$A$1:$AT$578,MATCH($C161,'在庫使用計画 (法人)'!$C$1:$C$578,0),MATCH(AR$1,'在庫使用計画 (法人)'!$A$1:$AT$1,0)))=0,"",SUM(INDEX('在庫使用計画 (一般)'!$A$1:$BF$557,MATCH($C161,'在庫使用計画 (一般)'!$C$1:$C$557,0),MATCH(AR$1,'在庫使用計画 (一般)'!$A$1:$BF$1,0)),INDEX('在庫使用計画 (法人)'!$A$1:$AT$578,MATCH($C161,'在庫使用計画 (法人)'!$C$1:$C$578,0),MATCH(AR$1,'在庫使用計画 (法人)'!$A$1:$AT$1,0)))),"")</f>
        <v/>
      </c>
      <c r="AS161" s="21"/>
      <c r="AT161" s="21"/>
      <c r="AU161" s="21"/>
      <c r="AV161" s="21"/>
      <c r="AW161" s="21"/>
      <c r="AX161" s="21"/>
      <c r="AY161" s="21"/>
    </row>
    <row r="162" spans="1:51">
      <c r="A162" s="1061" t="s">
        <v>1373</v>
      </c>
      <c r="B162" s="26" t="s">
        <v>366</v>
      </c>
      <c r="C162" s="25" t="s">
        <v>1374</v>
      </c>
      <c r="D162" s="68" t="s">
        <v>1375</v>
      </c>
      <c r="E162" s="68">
        <v>4050</v>
      </c>
      <c r="F162" s="68" t="s">
        <v>1347</v>
      </c>
      <c r="G162" s="355">
        <f>SUMIFS(在庫確認!C:C,在庫確認!B:B,'(全体実績+予測）の元データ'!C:C)</f>
        <v>1250</v>
      </c>
      <c r="H162" s="38"/>
      <c r="I162" s="38"/>
      <c r="J162" s="38"/>
      <c r="K162" s="38"/>
      <c r="L162" s="38"/>
      <c r="M162" s="38"/>
      <c r="N162" s="38"/>
      <c r="O162" s="38"/>
      <c r="P162" s="38"/>
      <c r="Q162" s="219"/>
      <c r="R162" s="219"/>
      <c r="S162" s="219"/>
      <c r="T162" s="219"/>
      <c r="U162" s="224">
        <v>79</v>
      </c>
      <c r="V162" s="224">
        <v>56</v>
      </c>
      <c r="W162" s="222">
        <v>232</v>
      </c>
      <c r="X162" s="508">
        <v>213</v>
      </c>
      <c r="Y162" s="508">
        <v>99</v>
      </c>
      <c r="Z162" s="527">
        <v>78</v>
      </c>
      <c r="AA162" s="477">
        <v>12</v>
      </c>
      <c r="AB162" s="477"/>
      <c r="AC162" s="647"/>
      <c r="AD162" s="647"/>
      <c r="AE162" s="888"/>
      <c r="AF162" s="477"/>
      <c r="AG162" s="477"/>
      <c r="AH162" s="224"/>
      <c r="AI162" s="224"/>
      <c r="AJ162" s="224"/>
      <c r="AK162" s="224"/>
      <c r="AL162" s="224"/>
      <c r="AM162" s="224"/>
      <c r="AN162" s="224"/>
      <c r="AO162" s="224"/>
      <c r="AP162" s="224" t="str">
        <f>IFERROR(IF(SUM(INDEX('在庫使用計画 (一般)'!$A$1:$BF$557,MATCH($C162,'在庫使用計画 (一般)'!$C$1:$C$557,0),MATCH(AP$1,'在庫使用計画 (一般)'!$A$1:$BF$1,0)),INDEX('在庫使用計画 (法人)'!$A$1:$AT$578,MATCH($C162,'在庫使用計画 (法人)'!$C$1:$C$578,0),MATCH(AP$1,'在庫使用計画 (法人)'!$A$1:$AT$1,0)))=0,"",SUM(INDEX('在庫使用計画 (一般)'!$A$1:$BF$557,MATCH($C162,'在庫使用計画 (一般)'!$C$1:$C$557,0),MATCH(AP$1,'在庫使用計画 (一般)'!$A$1:$BF$1,0)),INDEX('在庫使用計画 (法人)'!$A$1:$AT$578,MATCH($C162,'在庫使用計画 (法人)'!$C$1:$C$578,0),MATCH(AP$1,'在庫使用計画 (法人)'!$A$1:$AT$1,0)))),"")</f>
        <v/>
      </c>
      <c r="AQ162" s="224" t="str">
        <f>IFERROR(IF(SUM(INDEX('在庫使用計画 (一般)'!$A$1:$BF$557,MATCH($C162,'在庫使用計画 (一般)'!$C$1:$C$557,0),MATCH(AQ$1,'在庫使用計画 (一般)'!$A$1:$BF$1,0)),INDEX('在庫使用計画 (法人)'!$A$1:$AT$578,MATCH($C162,'在庫使用計画 (法人)'!$C$1:$C$578,0),MATCH(AQ$1,'在庫使用計画 (法人)'!$A$1:$AT$1,0)))=0,"",SUM(INDEX('在庫使用計画 (一般)'!$A$1:$BF$557,MATCH($C162,'在庫使用計画 (一般)'!$C$1:$C$557,0),MATCH(AQ$1,'在庫使用計画 (一般)'!$A$1:$BF$1,0)),INDEX('在庫使用計画 (法人)'!$A$1:$AT$578,MATCH($C162,'在庫使用計画 (法人)'!$C$1:$C$578,0),MATCH(AQ$1,'在庫使用計画 (法人)'!$A$1:$AT$1,0)))),"")</f>
        <v/>
      </c>
      <c r="AR162" s="224" t="str">
        <f>IFERROR(IF(SUM(INDEX('在庫使用計画 (一般)'!$A$1:$BF$557,MATCH($C162,'在庫使用計画 (一般)'!$C$1:$C$557,0),MATCH(AR$1,'在庫使用計画 (一般)'!$A$1:$BF$1,0)),INDEX('在庫使用計画 (法人)'!$A$1:$AT$578,MATCH($C162,'在庫使用計画 (法人)'!$C$1:$C$578,0),MATCH(AR$1,'在庫使用計画 (法人)'!$A$1:$AT$1,0)))=0,"",SUM(INDEX('在庫使用計画 (一般)'!$A$1:$BF$557,MATCH($C162,'在庫使用計画 (一般)'!$C$1:$C$557,0),MATCH(AR$1,'在庫使用計画 (一般)'!$A$1:$BF$1,0)),INDEX('在庫使用計画 (法人)'!$A$1:$AT$578,MATCH($C162,'在庫使用計画 (法人)'!$C$1:$C$578,0),MATCH(AR$1,'在庫使用計画 (法人)'!$A$1:$AT$1,0)))),"")</f>
        <v/>
      </c>
      <c r="AS162" s="70"/>
      <c r="AT162" s="70"/>
      <c r="AU162" s="70"/>
      <c r="AV162" s="70"/>
      <c r="AW162" s="70"/>
      <c r="AX162" s="70"/>
      <c r="AY162" s="70"/>
    </row>
    <row r="163" spans="1:51">
      <c r="A163" s="1059"/>
      <c r="B163" s="26" t="s">
        <v>1697</v>
      </c>
      <c r="C163" s="26" t="s">
        <v>1698</v>
      </c>
      <c r="D163" s="26" t="s">
        <v>1674</v>
      </c>
      <c r="E163" s="26" t="s">
        <v>1423</v>
      </c>
      <c r="F163" s="26" t="s">
        <v>1347</v>
      </c>
      <c r="G163" s="43">
        <f>SUMIFS(在庫確認!C:C,在庫確認!B:B,'(全体実績+予測）の元データ'!C:C)</f>
        <v>0</v>
      </c>
      <c r="H163" s="38">
        <f t="shared" si="13"/>
        <v>0</v>
      </c>
      <c r="I163" s="38"/>
      <c r="J163" s="38"/>
      <c r="K163" s="38"/>
      <c r="L163" s="38"/>
      <c r="M163" s="38"/>
      <c r="N163" s="38"/>
      <c r="O163" s="38"/>
      <c r="P163" s="38"/>
      <c r="Q163" s="219"/>
      <c r="R163" s="219"/>
      <c r="S163" s="219"/>
      <c r="T163" s="219"/>
      <c r="U163" s="224"/>
      <c r="V163" s="224" t="str">
        <f>IFERROR(IF(SUM(INDEX('在庫使用計画 (一般)'!$A$1:$BF$557,MATCH($C163,'在庫使用計画 (一般)'!$C$1:$C$557,0),MATCH(V$1,'在庫使用計画 (一般)'!$A$1:$BF$1,0)),INDEX('在庫使用計画 (法人)'!$A$1:$AT$578,MATCH($C163,'在庫使用計画 (法人)'!$C$1:$C$578,0),MATCH(V$1,'在庫使用計画 (法人)'!$A$1:$AT$1,0)))=0,"",SUM(INDEX('在庫使用計画 (一般)'!$A$1:$BF$557,MATCH($C163,'在庫使用計画 (一般)'!$C$1:$C$557,0),MATCH(V$1,'在庫使用計画 (一般)'!$A$1:$BF$1,0)),INDEX('在庫使用計画 (法人)'!$A$1:$AT$578,MATCH($C163,'在庫使用計画 (法人)'!$C$1:$C$578,0),MATCH(V$1,'在庫使用計画 (法人)'!$A$1:$AT$1,0)))),"")</f>
        <v/>
      </c>
      <c r="W163" s="224" t="str">
        <f>IFERROR(IF(SUM(INDEX('在庫使用計画 (一般)'!$A$1:$BF$557,MATCH($C163,'在庫使用計画 (一般)'!$C$1:$C$557,0),MATCH(W$1,'在庫使用計画 (一般)'!$A$1:$BF$1,0)),INDEX('在庫使用計画 (法人)'!$A$1:$AT$578,MATCH($C163,'在庫使用計画 (法人)'!$C$1:$C$578,0),MATCH(W$1,'在庫使用計画 (法人)'!$A$1:$AT$1,0)))=0,"",SUM(INDEX('在庫使用計画 (一般)'!$A$1:$BF$557,MATCH($C163,'在庫使用計画 (一般)'!$C$1:$C$557,0),MATCH(W$1,'在庫使用計画 (一般)'!$A$1:$BF$1,0)),INDEX('在庫使用計画 (法人)'!$A$1:$AT$578,MATCH($C163,'在庫使用計画 (法人)'!$C$1:$C$578,0),MATCH(W$1,'在庫使用計画 (法人)'!$A$1:$AT$1,0)))),"")</f>
        <v/>
      </c>
      <c r="X163" s="237" t="str">
        <f>IFERROR(IF(SUM(INDEX('在庫使用計画 (一般)'!$A$1:$BF$557,MATCH($C163,'在庫使用計画 (一般)'!$C$1:$C$557,0),MATCH(X$1,'在庫使用計画 (一般)'!$A$1:$BF$1,0)),INDEX('在庫使用計画 (法人)'!$A$1:$AT$578,MATCH($C163,'在庫使用計画 (法人)'!$C$1:$C$578,0),MATCH(X$1,'在庫使用計画 (法人)'!$A$1:$AT$1,0)))=0,"",SUM(INDEX('在庫使用計画 (一般)'!$A$1:$BF$557,MATCH($C163,'在庫使用計画 (一般)'!$C$1:$C$557,0),MATCH(X$1,'在庫使用計画 (一般)'!$A$1:$BF$1,0)),INDEX('在庫使用計画 (法人)'!$A$1:$AT$578,MATCH($C163,'在庫使用計画 (法人)'!$C$1:$C$578,0),MATCH(X$1,'在庫使用計画 (法人)'!$A$1:$AT$1,0)))),"")</f>
        <v/>
      </c>
      <c r="Y163" s="224" t="str">
        <f>IFERROR(IF(SUM(INDEX('在庫使用計画 (一般)'!$A$1:$BF$557,MATCH($C163,'在庫使用計画 (一般)'!$C$1:$C$557,0),MATCH(Y$1,'在庫使用計画 (一般)'!$A$1:$BF$1,0)),INDEX('在庫使用計画 (法人)'!$A$1:$AT$578,MATCH($C163,'在庫使用計画 (法人)'!$C$1:$C$578,0),MATCH(Y$1,'在庫使用計画 (法人)'!$A$1:$AT$1,0)))=0,"",SUM(INDEX('在庫使用計画 (一般)'!$A$1:$BF$557,MATCH($C163,'在庫使用計画 (一般)'!$C$1:$C$557,0),MATCH(Y$1,'在庫使用計画 (一般)'!$A$1:$BF$1,0)),INDEX('在庫使用計画 (法人)'!$A$1:$AT$578,MATCH($C163,'在庫使用計画 (法人)'!$C$1:$C$578,0),MATCH(Y$1,'在庫使用計画 (法人)'!$A$1:$AT$1,0)))),"")</f>
        <v/>
      </c>
      <c r="Z163" s="224" t="str">
        <f>IFERROR(IF(SUM(INDEX('在庫使用計画 (一般)'!$A$1:$BF$557,MATCH($C163,'在庫使用計画 (一般)'!$C$1:$C$557,0),MATCH(Z$1,'在庫使用計画 (一般)'!$A$1:$BF$1,0)),INDEX('在庫使用計画 (法人)'!$A$1:$AT$578,MATCH($C163,'在庫使用計画 (法人)'!$C$1:$C$578,0),MATCH(Z$1,'在庫使用計画 (法人)'!$A$1:$AT$1,0)))=0,"",SUM(INDEX('在庫使用計画 (一般)'!$A$1:$BF$557,MATCH($C163,'在庫使用計画 (一般)'!$C$1:$C$557,0),MATCH(Z$1,'在庫使用計画 (一般)'!$A$1:$BF$1,0)),INDEX('在庫使用計画 (法人)'!$A$1:$AT$578,MATCH($C163,'在庫使用計画 (法人)'!$C$1:$C$578,0),MATCH(Z$1,'在庫使用計画 (法人)'!$A$1:$AT$1,0)))),"")</f>
        <v/>
      </c>
      <c r="AA163" s="224" t="str">
        <f>IFERROR(IF(SUM(INDEX('在庫使用計画 (一般)'!$A$1:$BF$557,MATCH($C163,'在庫使用計画 (一般)'!$C$1:$C$557,0),MATCH(AA$1,'在庫使用計画 (一般)'!$A$1:$BF$1,0)),INDEX('在庫使用計画 (法人)'!$A$1:$AT$578,MATCH($C163,'在庫使用計画 (法人)'!$C$1:$C$578,0),MATCH(AA$1,'在庫使用計画 (法人)'!$A$1:$AT$1,0)))=0,"",SUM(INDEX('在庫使用計画 (一般)'!$A$1:$BF$557,MATCH($C163,'在庫使用計画 (一般)'!$C$1:$C$557,0),MATCH(AA$1,'在庫使用計画 (一般)'!$A$1:$BF$1,0)),INDEX('在庫使用計画 (法人)'!$A$1:$AT$578,MATCH($C163,'在庫使用計画 (法人)'!$C$1:$C$578,0),MATCH(AA$1,'在庫使用計画 (法人)'!$A$1:$AT$1,0)))),"")</f>
        <v/>
      </c>
      <c r="AB163" s="224" t="str">
        <f>IFERROR(IF(SUM(INDEX('在庫使用計画 (一般)'!$A$1:$BF$557,MATCH($C163,'在庫使用計画 (一般)'!$C$1:$C$557,0),MATCH(AB$1,'在庫使用計画 (一般)'!$A$1:$BF$1,0)),INDEX('在庫使用計画 (法人)'!$A$1:$AT$578,MATCH($C163,'在庫使用計画 (法人)'!$C$1:$C$578,0),MATCH(AB$1,'在庫使用計画 (法人)'!$A$1:$AT$1,0)))=0,"",SUM(INDEX('在庫使用計画 (一般)'!$A$1:$BF$557,MATCH($C163,'在庫使用計画 (一般)'!$C$1:$C$557,0),MATCH(AB$1,'在庫使用計画 (一般)'!$A$1:$BF$1,0)),INDEX('在庫使用計画 (法人)'!$A$1:$AT$578,MATCH($C163,'在庫使用計画 (法人)'!$C$1:$C$578,0),MATCH(AB$1,'在庫使用計画 (法人)'!$A$1:$AT$1,0)))),"")</f>
        <v/>
      </c>
      <c r="AC163" s="224" t="str">
        <f>IFERROR(IF(SUM(INDEX('在庫使用計画 (一般)'!$A$1:$BF$557,MATCH($C163,'在庫使用計画 (一般)'!$C$1:$C$557,0),MATCH(AC$1,'在庫使用計画 (一般)'!$A$1:$BF$1,0)),INDEX('在庫使用計画 (法人)'!$A$1:$AT$578,MATCH($C163,'在庫使用計画 (法人)'!$C$1:$C$578,0),MATCH(AC$1,'在庫使用計画 (法人)'!$A$1:$AT$1,0)))=0,"",SUM(INDEX('在庫使用計画 (一般)'!$A$1:$BF$557,MATCH($C163,'在庫使用計画 (一般)'!$C$1:$C$557,0),MATCH(AC$1,'在庫使用計画 (一般)'!$A$1:$BF$1,0)),INDEX('在庫使用計画 (法人)'!$A$1:$AT$578,MATCH($C163,'在庫使用計画 (法人)'!$C$1:$C$578,0),MATCH(AC$1,'在庫使用計画 (法人)'!$A$1:$AT$1,0)))),"")</f>
        <v/>
      </c>
      <c r="AD163" s="224" t="s">
        <v>21</v>
      </c>
      <c r="AE163" s="224" t="s">
        <v>21</v>
      </c>
      <c r="AF163" s="224" t="s">
        <v>21</v>
      </c>
      <c r="AG163" s="224" t="s">
        <v>21</v>
      </c>
      <c r="AH163" s="224" t="s">
        <v>21</v>
      </c>
      <c r="AI163" s="23"/>
      <c r="AJ163" s="23"/>
      <c r="AK163" s="21"/>
      <c r="AL163" s="21"/>
      <c r="AM163" s="21"/>
      <c r="AN163" s="21"/>
      <c r="AO163" s="21"/>
      <c r="AP163" s="21"/>
      <c r="AQ163" s="21"/>
      <c r="AR163" s="21"/>
      <c r="AS163" s="21"/>
      <c r="AT163" s="21"/>
      <c r="AU163" s="21"/>
      <c r="AV163" s="21"/>
      <c r="AW163" s="21"/>
      <c r="AX163" s="21"/>
      <c r="AY163" s="21"/>
    </row>
    <row r="164" spans="1:51">
      <c r="A164" s="1061" t="s">
        <v>1699</v>
      </c>
      <c r="B164" s="26" t="s">
        <v>1700</v>
      </c>
      <c r="C164" s="25" t="s">
        <v>415</v>
      </c>
      <c r="D164" s="26" t="s">
        <v>1638</v>
      </c>
      <c r="E164" s="34">
        <v>4070</v>
      </c>
      <c r="F164" s="24" t="s">
        <v>1347</v>
      </c>
      <c r="G164" s="69">
        <f>SUMIFS(在庫確認!C:C,在庫確認!B:B,'(全体実績+予測）の元データ'!C:C)</f>
        <v>80</v>
      </c>
      <c r="H164" s="38">
        <f>SUM(X164:AA164)</f>
        <v>5</v>
      </c>
      <c r="I164" s="38"/>
      <c r="J164" s="38"/>
      <c r="K164" s="38"/>
      <c r="L164" s="38"/>
      <c r="M164" s="38"/>
      <c r="N164" s="38"/>
      <c r="O164" s="38"/>
      <c r="P164" s="38"/>
      <c r="Q164" s="219"/>
      <c r="R164" s="219"/>
      <c r="S164" s="219"/>
      <c r="T164" s="219"/>
      <c r="U164" s="224">
        <v>36</v>
      </c>
      <c r="V164" s="224">
        <v>43</v>
      </c>
      <c r="W164" s="219">
        <v>45</v>
      </c>
      <c r="X164" s="480">
        <v>4</v>
      </c>
      <c r="Y164" s="219">
        <v>0</v>
      </c>
      <c r="Z164" s="468">
        <v>1</v>
      </c>
      <c r="AA164" s="476"/>
      <c r="AB164" s="476"/>
      <c r="AC164" s="478"/>
      <c r="AD164" s="478"/>
      <c r="AE164" s="299"/>
      <c r="AF164" s="476"/>
      <c r="AG164" s="476"/>
      <c r="AH164" s="224"/>
      <c r="AI164" s="224"/>
      <c r="AJ164" s="224"/>
      <c r="AK164" s="224"/>
      <c r="AL164" s="224"/>
      <c r="AM164" s="224"/>
      <c r="AN164" s="224" t="str">
        <f>IFERROR(IF(SUM(INDEX('在庫使用計画 (一般)'!$A$1:$BF$557,MATCH($C164,'在庫使用計画 (一般)'!$C$1:$C$557,0),MATCH(AN$1,'在庫使用計画 (一般)'!$A$1:$BF$1,0)),INDEX('在庫使用計画 (法人)'!$A$1:$AT$578,MATCH($C164,'在庫使用計画 (法人)'!$C$1:$C$578,0),MATCH(AN$1,'在庫使用計画 (法人)'!$A$1:$AT$1,0)))=0,"",SUM(INDEX('在庫使用計画 (一般)'!$A$1:$BF$557,MATCH($C164,'在庫使用計画 (一般)'!$C$1:$C$557,0),MATCH(AN$1,'在庫使用計画 (一般)'!$A$1:$BF$1,0)),INDEX('在庫使用計画 (法人)'!$A$1:$AT$578,MATCH($C164,'在庫使用計画 (法人)'!$C$1:$C$578,0),MATCH(AN$1,'在庫使用計画 (法人)'!$A$1:$AT$1,0)))),"")</f>
        <v/>
      </c>
      <c r="AO164" s="224" t="str">
        <f>IFERROR(IF(SUM(INDEX('在庫使用計画 (一般)'!$A$1:$BF$557,MATCH($C164,'在庫使用計画 (一般)'!$C$1:$C$557,0),MATCH(AO$1,'在庫使用計画 (一般)'!$A$1:$BF$1,0)),INDEX('在庫使用計画 (法人)'!$A$1:$AT$578,MATCH($C164,'在庫使用計画 (法人)'!$C$1:$C$578,0),MATCH(AO$1,'在庫使用計画 (法人)'!$A$1:$AT$1,0)))=0,"",SUM(INDEX('在庫使用計画 (一般)'!$A$1:$BF$557,MATCH($C164,'在庫使用計画 (一般)'!$C$1:$C$557,0),MATCH(AO$1,'在庫使用計画 (一般)'!$A$1:$BF$1,0)),INDEX('在庫使用計画 (法人)'!$A$1:$AT$578,MATCH($C164,'在庫使用計画 (法人)'!$C$1:$C$578,0),MATCH(AO$1,'在庫使用計画 (法人)'!$A$1:$AT$1,0)))),"")</f>
        <v/>
      </c>
      <c r="AP164" s="224" t="str">
        <f>IFERROR(IF(SUM(INDEX('在庫使用計画 (一般)'!$A$1:$BF$557,MATCH($C164,'在庫使用計画 (一般)'!$C$1:$C$557,0),MATCH(AP$1,'在庫使用計画 (一般)'!$A$1:$BF$1,0)),INDEX('在庫使用計画 (法人)'!$A$1:$AT$578,MATCH($C164,'在庫使用計画 (法人)'!$C$1:$C$578,0),MATCH(AP$1,'在庫使用計画 (法人)'!$A$1:$AT$1,0)))=0,"",SUM(INDEX('在庫使用計画 (一般)'!$A$1:$BF$557,MATCH($C164,'在庫使用計画 (一般)'!$C$1:$C$557,0),MATCH(AP$1,'在庫使用計画 (一般)'!$A$1:$BF$1,0)),INDEX('在庫使用計画 (法人)'!$A$1:$AT$578,MATCH($C164,'在庫使用計画 (法人)'!$C$1:$C$578,0),MATCH(AP$1,'在庫使用計画 (法人)'!$A$1:$AT$1,0)))),"")</f>
        <v/>
      </c>
      <c r="AQ164" s="224" t="str">
        <f>IFERROR(IF(SUM(INDEX('在庫使用計画 (一般)'!$A$1:$BF$557,MATCH($C164,'在庫使用計画 (一般)'!$C$1:$C$557,0),MATCH(AQ$1,'在庫使用計画 (一般)'!$A$1:$BF$1,0)),INDEX('在庫使用計画 (法人)'!$A$1:$AT$578,MATCH($C164,'在庫使用計画 (法人)'!$C$1:$C$578,0),MATCH(AQ$1,'在庫使用計画 (法人)'!$A$1:$AT$1,0)))=0,"",SUM(INDEX('在庫使用計画 (一般)'!$A$1:$BF$557,MATCH($C164,'在庫使用計画 (一般)'!$C$1:$C$557,0),MATCH(AQ$1,'在庫使用計画 (一般)'!$A$1:$BF$1,0)),INDEX('在庫使用計画 (法人)'!$A$1:$AT$578,MATCH($C164,'在庫使用計画 (法人)'!$C$1:$C$578,0),MATCH(AQ$1,'在庫使用計画 (法人)'!$A$1:$AT$1,0)))),"")</f>
        <v/>
      </c>
      <c r="AR164" s="224" t="str">
        <f>IFERROR(IF(SUM(INDEX('在庫使用計画 (一般)'!$A$1:$BF$557,MATCH($C164,'在庫使用計画 (一般)'!$C$1:$C$557,0),MATCH(AR$1,'在庫使用計画 (一般)'!$A$1:$BF$1,0)),INDEX('在庫使用計画 (法人)'!$A$1:$AT$578,MATCH($C164,'在庫使用計画 (法人)'!$C$1:$C$578,0),MATCH(AR$1,'在庫使用計画 (法人)'!$A$1:$AT$1,0)))=0,"",SUM(INDEX('在庫使用計画 (一般)'!$A$1:$BF$557,MATCH($C164,'在庫使用計画 (一般)'!$C$1:$C$557,0),MATCH(AR$1,'在庫使用計画 (一般)'!$A$1:$BF$1,0)),INDEX('在庫使用計画 (法人)'!$A$1:$AT$578,MATCH($C164,'在庫使用計画 (法人)'!$C$1:$C$578,0),MATCH(AR$1,'在庫使用計画 (法人)'!$A$1:$AT$1,0)))),"")</f>
        <v/>
      </c>
      <c r="AS164" s="70"/>
      <c r="AT164" s="70"/>
      <c r="AU164" s="70"/>
      <c r="AV164" s="70"/>
      <c r="AW164" s="70"/>
      <c r="AX164" s="70"/>
      <c r="AY164" s="70"/>
    </row>
    <row r="165" spans="1:51">
      <c r="A165" s="1059" t="s">
        <v>1701</v>
      </c>
      <c r="B165" s="26" t="s">
        <v>1702</v>
      </c>
      <c r="C165" s="25" t="s">
        <v>1703</v>
      </c>
      <c r="D165" s="26" t="s">
        <v>1670</v>
      </c>
      <c r="E165" s="24">
        <v>4090</v>
      </c>
      <c r="F165" s="24" t="s">
        <v>1347</v>
      </c>
      <c r="G165" s="38">
        <f>SUMIFS(在庫確認!C:C,在庫確認!B:B,'(全体実績+予測）の元データ'!C:C)</f>
        <v>165</v>
      </c>
      <c r="H165" s="38">
        <f>SUM(X165:AA165)</f>
        <v>1</v>
      </c>
      <c r="I165" s="38"/>
      <c r="J165" s="38"/>
      <c r="K165" s="38"/>
      <c r="L165" s="38"/>
      <c r="M165" s="38"/>
      <c r="N165" s="38"/>
      <c r="O165" s="38"/>
      <c r="P165" s="38"/>
      <c r="Q165" s="219"/>
      <c r="R165" s="219"/>
      <c r="S165" s="219"/>
      <c r="T165" s="219"/>
      <c r="U165" s="224">
        <v>12</v>
      </c>
      <c r="V165" s="224">
        <v>32</v>
      </c>
      <c r="W165" s="219">
        <v>12</v>
      </c>
      <c r="X165" s="480">
        <v>0</v>
      </c>
      <c r="Y165" s="219">
        <v>1</v>
      </c>
      <c r="Z165" s="468" t="s">
        <v>1665</v>
      </c>
      <c r="AA165" s="476"/>
      <c r="AB165" s="476" t="str">
        <f>IF(AA165*$AB$46=0,"",AA165*$AB$46)</f>
        <v/>
      </c>
      <c r="AC165" s="478"/>
      <c r="AD165" s="478"/>
      <c r="AE165" s="299"/>
      <c r="AF165" s="476"/>
      <c r="AG165" s="476"/>
      <c r="AH165" s="224"/>
      <c r="AI165" s="224"/>
      <c r="AJ165" s="224"/>
      <c r="AK165" s="224"/>
      <c r="AL165" s="224"/>
      <c r="AM165" s="224"/>
      <c r="AN165" s="224" t="str">
        <f>IFERROR(IF(SUM(INDEX('在庫使用計画 (一般)'!$A$1:$BF$557,MATCH($C165,'在庫使用計画 (一般)'!$C$1:$C$557,0),MATCH(AN$1,'在庫使用計画 (一般)'!$A$1:$BF$1,0)),INDEX('在庫使用計画 (法人)'!$A$1:$AT$578,MATCH($C165,'在庫使用計画 (法人)'!$C$1:$C$578,0),MATCH(AN$1,'在庫使用計画 (法人)'!$A$1:$AT$1,0)))=0,"",SUM(INDEX('在庫使用計画 (一般)'!$A$1:$BF$557,MATCH($C165,'在庫使用計画 (一般)'!$C$1:$C$557,0),MATCH(AN$1,'在庫使用計画 (一般)'!$A$1:$BF$1,0)),INDEX('在庫使用計画 (法人)'!$A$1:$AT$578,MATCH($C165,'在庫使用計画 (法人)'!$C$1:$C$578,0),MATCH(AN$1,'在庫使用計画 (法人)'!$A$1:$AT$1,0)))),"")</f>
        <v/>
      </c>
      <c r="AO165" s="224" t="str">
        <f>IFERROR(IF(SUM(INDEX('在庫使用計画 (一般)'!$A$1:$BF$557,MATCH($C165,'在庫使用計画 (一般)'!$C$1:$C$557,0),MATCH(AO$1,'在庫使用計画 (一般)'!$A$1:$BF$1,0)),INDEX('在庫使用計画 (法人)'!$A$1:$AT$578,MATCH($C165,'在庫使用計画 (法人)'!$C$1:$C$578,0),MATCH(AO$1,'在庫使用計画 (法人)'!$A$1:$AT$1,0)))=0,"",SUM(INDEX('在庫使用計画 (一般)'!$A$1:$BF$557,MATCH($C165,'在庫使用計画 (一般)'!$C$1:$C$557,0),MATCH(AO$1,'在庫使用計画 (一般)'!$A$1:$BF$1,0)),INDEX('在庫使用計画 (法人)'!$A$1:$AT$578,MATCH($C165,'在庫使用計画 (法人)'!$C$1:$C$578,0),MATCH(AO$1,'在庫使用計画 (法人)'!$A$1:$AT$1,0)))),"")</f>
        <v/>
      </c>
      <c r="AP165" s="224" t="str">
        <f>IFERROR(IF(SUM(INDEX('在庫使用計画 (一般)'!$A$1:$BF$557,MATCH($C165,'在庫使用計画 (一般)'!$C$1:$C$557,0),MATCH(AP$1,'在庫使用計画 (一般)'!$A$1:$BF$1,0)),INDEX('在庫使用計画 (法人)'!$A$1:$AT$578,MATCH($C165,'在庫使用計画 (法人)'!$C$1:$C$578,0),MATCH(AP$1,'在庫使用計画 (法人)'!$A$1:$AT$1,0)))=0,"",SUM(INDEX('在庫使用計画 (一般)'!$A$1:$BF$557,MATCH($C165,'在庫使用計画 (一般)'!$C$1:$C$557,0),MATCH(AP$1,'在庫使用計画 (一般)'!$A$1:$BF$1,0)),INDEX('在庫使用計画 (法人)'!$A$1:$AT$578,MATCH($C165,'在庫使用計画 (法人)'!$C$1:$C$578,0),MATCH(AP$1,'在庫使用計画 (法人)'!$A$1:$AT$1,0)))),"")</f>
        <v/>
      </c>
      <c r="AQ165" s="224" t="str">
        <f>IFERROR(IF(SUM(INDEX('在庫使用計画 (一般)'!$A$1:$BF$557,MATCH($C165,'在庫使用計画 (一般)'!$C$1:$C$557,0),MATCH(AQ$1,'在庫使用計画 (一般)'!$A$1:$BF$1,0)),INDEX('在庫使用計画 (法人)'!$A$1:$AT$578,MATCH($C165,'在庫使用計画 (法人)'!$C$1:$C$578,0),MATCH(AQ$1,'在庫使用計画 (法人)'!$A$1:$AT$1,0)))=0,"",SUM(INDEX('在庫使用計画 (一般)'!$A$1:$BF$557,MATCH($C165,'在庫使用計画 (一般)'!$C$1:$C$557,0),MATCH(AQ$1,'在庫使用計画 (一般)'!$A$1:$BF$1,0)),INDEX('在庫使用計画 (法人)'!$A$1:$AT$578,MATCH($C165,'在庫使用計画 (法人)'!$C$1:$C$578,0),MATCH(AQ$1,'在庫使用計画 (法人)'!$A$1:$AT$1,0)))),"")</f>
        <v/>
      </c>
      <c r="AR165" s="224" t="str">
        <f>IFERROR(IF(SUM(INDEX('在庫使用計画 (一般)'!$A$1:$BF$557,MATCH($C165,'在庫使用計画 (一般)'!$C$1:$C$557,0),MATCH(AR$1,'在庫使用計画 (一般)'!$A$1:$BF$1,0)),INDEX('在庫使用計画 (法人)'!$A$1:$AT$578,MATCH($C165,'在庫使用計画 (法人)'!$C$1:$C$578,0),MATCH(AR$1,'在庫使用計画 (法人)'!$A$1:$AT$1,0)))=0,"",SUM(INDEX('在庫使用計画 (一般)'!$A$1:$BF$557,MATCH($C165,'在庫使用計画 (一般)'!$C$1:$C$557,0),MATCH(AR$1,'在庫使用計画 (一般)'!$A$1:$BF$1,0)),INDEX('在庫使用計画 (法人)'!$A$1:$AT$578,MATCH($C165,'在庫使用計画 (法人)'!$C$1:$C$578,0),MATCH(AR$1,'在庫使用計画 (法人)'!$A$1:$AT$1,0)))),"")</f>
        <v/>
      </c>
      <c r="AS165" s="21"/>
      <c r="AT165" s="21"/>
      <c r="AU165" s="21"/>
      <c r="AV165" s="21"/>
      <c r="AW165" s="21"/>
      <c r="AX165" s="21"/>
      <c r="AY165" s="21"/>
    </row>
    <row r="166" spans="1:51">
      <c r="A166" s="1061"/>
      <c r="B166" s="26" t="s">
        <v>1704</v>
      </c>
      <c r="C166" s="25" t="s">
        <v>500</v>
      </c>
      <c r="D166" s="68" t="s">
        <v>1375</v>
      </c>
      <c r="E166" s="68" t="s">
        <v>1416</v>
      </c>
      <c r="F166" s="68" t="s">
        <v>1347</v>
      </c>
      <c r="G166" s="355">
        <f>SUMIFS(在庫確認!C:C,在庫確認!B:B,'(全体実績+予測）の元データ'!C:C)</f>
        <v>325</v>
      </c>
      <c r="H166" s="38">
        <f>SUM(X166:AA166)</f>
        <v>0</v>
      </c>
      <c r="I166" s="38"/>
      <c r="J166" s="38"/>
      <c r="K166" s="38"/>
      <c r="L166" s="38"/>
      <c r="M166" s="38"/>
      <c r="N166" s="38"/>
      <c r="O166" s="38"/>
      <c r="P166" s="38"/>
      <c r="Q166" s="219"/>
      <c r="R166" s="219"/>
      <c r="S166" s="219"/>
      <c r="T166" s="219"/>
      <c r="U166" s="224">
        <v>64</v>
      </c>
      <c r="V166" s="224">
        <v>67</v>
      </c>
      <c r="W166" s="219">
        <v>12</v>
      </c>
      <c r="X166" s="480" t="s">
        <v>1665</v>
      </c>
      <c r="Y166" s="219"/>
      <c r="Z166" s="468"/>
      <c r="AA166" s="476"/>
      <c r="AB166" s="476" t="str">
        <f>IF(AA166*$AB$46=0,"",AA166*$AB$46)</f>
        <v/>
      </c>
      <c r="AC166" s="478"/>
      <c r="AD166" s="478"/>
      <c r="AE166" s="299"/>
      <c r="AF166" s="476"/>
      <c r="AG166" s="476"/>
      <c r="AH166" s="224"/>
      <c r="AI166" s="224"/>
      <c r="AJ166" s="224"/>
      <c r="AK166" s="224"/>
      <c r="AL166" s="224"/>
      <c r="AM166" s="224"/>
      <c r="AN166" s="224" t="str">
        <f>IFERROR(IF(SUM(INDEX('在庫使用計画 (一般)'!$A$1:$BF$557,MATCH($C166,'在庫使用計画 (一般)'!$C$1:$C$557,0),MATCH(AN$1,'在庫使用計画 (一般)'!$A$1:$BF$1,0)),INDEX('在庫使用計画 (法人)'!$A$1:$AT$578,MATCH($C166,'在庫使用計画 (法人)'!$C$1:$C$578,0),MATCH(AN$1,'在庫使用計画 (法人)'!$A$1:$AT$1,0)))=0,"",SUM(INDEX('在庫使用計画 (一般)'!$A$1:$BF$557,MATCH($C166,'在庫使用計画 (一般)'!$C$1:$C$557,0),MATCH(AN$1,'在庫使用計画 (一般)'!$A$1:$BF$1,0)),INDEX('在庫使用計画 (法人)'!$A$1:$AT$578,MATCH($C166,'在庫使用計画 (法人)'!$C$1:$C$578,0),MATCH(AN$1,'在庫使用計画 (法人)'!$A$1:$AT$1,0)))),"")</f>
        <v/>
      </c>
      <c r="AO166" s="224" t="str">
        <f>IFERROR(IF(SUM(INDEX('在庫使用計画 (一般)'!$A$1:$BF$557,MATCH($C166,'在庫使用計画 (一般)'!$C$1:$C$557,0),MATCH(AO$1,'在庫使用計画 (一般)'!$A$1:$BF$1,0)),INDEX('在庫使用計画 (法人)'!$A$1:$AT$578,MATCH($C166,'在庫使用計画 (法人)'!$C$1:$C$578,0),MATCH(AO$1,'在庫使用計画 (法人)'!$A$1:$AT$1,0)))=0,"",SUM(INDEX('在庫使用計画 (一般)'!$A$1:$BF$557,MATCH($C166,'在庫使用計画 (一般)'!$C$1:$C$557,0),MATCH(AO$1,'在庫使用計画 (一般)'!$A$1:$BF$1,0)),INDEX('在庫使用計画 (法人)'!$A$1:$AT$578,MATCH($C166,'在庫使用計画 (法人)'!$C$1:$C$578,0),MATCH(AO$1,'在庫使用計画 (法人)'!$A$1:$AT$1,0)))),"")</f>
        <v/>
      </c>
      <c r="AP166" s="224" t="str">
        <f>IFERROR(IF(SUM(INDEX('在庫使用計画 (一般)'!$A$1:$BF$557,MATCH($C166,'在庫使用計画 (一般)'!$C$1:$C$557,0),MATCH(AP$1,'在庫使用計画 (一般)'!$A$1:$BF$1,0)),INDEX('在庫使用計画 (法人)'!$A$1:$AT$578,MATCH($C166,'在庫使用計画 (法人)'!$C$1:$C$578,0),MATCH(AP$1,'在庫使用計画 (法人)'!$A$1:$AT$1,0)))=0,"",SUM(INDEX('在庫使用計画 (一般)'!$A$1:$BF$557,MATCH($C166,'在庫使用計画 (一般)'!$C$1:$C$557,0),MATCH(AP$1,'在庫使用計画 (一般)'!$A$1:$BF$1,0)),INDEX('在庫使用計画 (法人)'!$A$1:$AT$578,MATCH($C166,'在庫使用計画 (法人)'!$C$1:$C$578,0),MATCH(AP$1,'在庫使用計画 (法人)'!$A$1:$AT$1,0)))),"")</f>
        <v/>
      </c>
      <c r="AQ166" s="224" t="str">
        <f>IFERROR(IF(SUM(INDEX('在庫使用計画 (一般)'!$A$1:$BF$557,MATCH($C166,'在庫使用計画 (一般)'!$C$1:$C$557,0),MATCH(AQ$1,'在庫使用計画 (一般)'!$A$1:$BF$1,0)),INDEX('在庫使用計画 (法人)'!$A$1:$AT$578,MATCH($C166,'在庫使用計画 (法人)'!$C$1:$C$578,0),MATCH(AQ$1,'在庫使用計画 (法人)'!$A$1:$AT$1,0)))=0,"",SUM(INDEX('在庫使用計画 (一般)'!$A$1:$BF$557,MATCH($C166,'在庫使用計画 (一般)'!$C$1:$C$557,0),MATCH(AQ$1,'在庫使用計画 (一般)'!$A$1:$BF$1,0)),INDEX('在庫使用計画 (法人)'!$A$1:$AT$578,MATCH($C166,'在庫使用計画 (法人)'!$C$1:$C$578,0),MATCH(AQ$1,'在庫使用計画 (法人)'!$A$1:$AT$1,0)))),"")</f>
        <v/>
      </c>
      <c r="AR166" s="224" t="str">
        <f>IFERROR(IF(SUM(INDEX('在庫使用計画 (一般)'!$A$1:$BF$557,MATCH($C166,'在庫使用計画 (一般)'!$C$1:$C$557,0),MATCH(AR$1,'在庫使用計画 (一般)'!$A$1:$BF$1,0)),INDEX('在庫使用計画 (法人)'!$A$1:$AT$578,MATCH($C166,'在庫使用計画 (法人)'!$C$1:$C$578,0),MATCH(AR$1,'在庫使用計画 (法人)'!$A$1:$AT$1,0)))=0,"",SUM(INDEX('在庫使用計画 (一般)'!$A$1:$BF$557,MATCH($C166,'在庫使用計画 (一般)'!$C$1:$C$557,0),MATCH(AR$1,'在庫使用計画 (一般)'!$A$1:$BF$1,0)),INDEX('在庫使用計画 (法人)'!$A$1:$AT$578,MATCH($C166,'在庫使用計画 (法人)'!$C$1:$C$578,0),MATCH(AR$1,'在庫使用計画 (法人)'!$A$1:$AT$1,0)))),"")</f>
        <v/>
      </c>
      <c r="AS166" s="70"/>
      <c r="AT166" s="70"/>
      <c r="AU166" s="70"/>
      <c r="AV166" s="70"/>
      <c r="AW166" s="70"/>
      <c r="AX166" s="70"/>
      <c r="AY166" s="70"/>
    </row>
    <row r="167" spans="1:51" ht="16.149999999999999" customHeight="1">
      <c r="A167" s="1059"/>
      <c r="B167" s="26"/>
      <c r="C167" s="25"/>
      <c r="D167" s="26"/>
      <c r="E167" s="24"/>
      <c r="F167" s="24"/>
      <c r="G167" s="38"/>
      <c r="H167" s="38"/>
      <c r="I167" s="38"/>
      <c r="J167" s="38"/>
      <c r="K167" s="38"/>
      <c r="L167" s="38"/>
      <c r="M167" s="66"/>
      <c r="N167" s="368"/>
      <c r="O167" s="368"/>
      <c r="P167" s="368"/>
      <c r="Q167" s="367"/>
      <c r="R167" s="367"/>
      <c r="S167" s="367"/>
      <c r="T167" s="220"/>
      <c r="U167" s="221"/>
      <c r="V167" s="221"/>
      <c r="W167" s="221"/>
      <c r="X167" s="240"/>
      <c r="Y167" s="221"/>
      <c r="Z167" s="238"/>
      <c r="AA167" s="238"/>
      <c r="AB167" s="238"/>
      <c r="AC167" s="239"/>
      <c r="AD167" s="239"/>
      <c r="AE167" s="239"/>
      <c r="AF167" s="238"/>
      <c r="AG167" s="238"/>
      <c r="AH167" s="238"/>
      <c r="AI167" s="23"/>
      <c r="AJ167" s="23"/>
      <c r="AK167" s="21"/>
      <c r="AL167" s="21"/>
      <c r="AM167" s="21"/>
      <c r="AN167" s="21"/>
      <c r="AO167" s="21"/>
      <c r="AP167" s="21"/>
      <c r="AQ167" s="21"/>
      <c r="AR167" s="21"/>
      <c r="AS167" s="21"/>
      <c r="AT167" s="21"/>
      <c r="AU167" s="21"/>
      <c r="AV167" s="21"/>
      <c r="AW167" s="21"/>
      <c r="AX167" s="21"/>
      <c r="AY167" s="21"/>
    </row>
    <row r="168" spans="1:51">
      <c r="A168" s="1061" t="s">
        <v>1419</v>
      </c>
      <c r="B168" s="28" t="s">
        <v>1705</v>
      </c>
      <c r="C168" s="25" t="s">
        <v>1706</v>
      </c>
      <c r="D168" s="34" t="s">
        <v>1415</v>
      </c>
      <c r="E168" s="68" t="s">
        <v>1416</v>
      </c>
      <c r="F168" s="68" t="s">
        <v>1347</v>
      </c>
      <c r="G168" s="355">
        <f>SUMIFS(在庫確認!C:C,在庫確認!B:B,'(全体実績+予測）の元データ'!C:C)</f>
        <v>299</v>
      </c>
      <c r="H168" s="38">
        <f>SUM(X168:AA168)</f>
        <v>92</v>
      </c>
      <c r="I168" s="311"/>
      <c r="J168" s="311"/>
      <c r="K168" s="311"/>
      <c r="L168" s="311"/>
      <c r="M168" s="311"/>
      <c r="N168" s="311"/>
      <c r="O168" s="38"/>
      <c r="P168" s="38"/>
      <c r="Q168" s="219"/>
      <c r="R168" s="219"/>
      <c r="S168" s="219"/>
      <c r="T168" s="219"/>
      <c r="U168" s="224">
        <v>24</v>
      </c>
      <c r="V168" s="335">
        <v>10</v>
      </c>
      <c r="W168" s="333">
        <v>47</v>
      </c>
      <c r="X168" s="333">
        <v>47</v>
      </c>
      <c r="Y168" s="333">
        <v>32</v>
      </c>
      <c r="Z168" s="219">
        <v>11</v>
      </c>
      <c r="AA168" s="476">
        <v>2</v>
      </c>
      <c r="AB168" s="476"/>
      <c r="AC168" s="478"/>
      <c r="AD168" s="478"/>
      <c r="AE168" s="299"/>
      <c r="AF168" s="478"/>
      <c r="AG168" s="478"/>
      <c r="AH168" s="224"/>
      <c r="AI168" s="224"/>
      <c r="AJ168" s="224"/>
      <c r="AK168" s="224"/>
      <c r="AL168" s="224"/>
      <c r="AM168" s="224"/>
      <c r="AN168" s="224"/>
      <c r="AO168" s="224"/>
      <c r="AP168" s="224"/>
      <c r="AQ168" s="224"/>
      <c r="AR168" s="224"/>
      <c r="AS168" s="70"/>
      <c r="AT168" s="70"/>
      <c r="AU168" s="70"/>
      <c r="AV168" s="70"/>
      <c r="AW168" s="70"/>
      <c r="AX168" s="70"/>
      <c r="AY168" s="70"/>
    </row>
    <row r="169" spans="1:51">
      <c r="A169" s="1082"/>
      <c r="B169" s="26"/>
      <c r="C169" s="25" t="s">
        <v>1707</v>
      </c>
      <c r="D169" s="24" t="s">
        <v>1708</v>
      </c>
      <c r="E169" s="24" t="s">
        <v>1423</v>
      </c>
      <c r="F169" s="24" t="s">
        <v>1709</v>
      </c>
      <c r="G169" s="38">
        <f>SUMIFS(在庫確認!C:C,在庫確認!B:B,'(全体実績+予測）の元データ'!C:C)</f>
        <v>0</v>
      </c>
      <c r="H169" s="38">
        <f t="shared" si="13"/>
        <v>0</v>
      </c>
      <c r="I169" s="38"/>
      <c r="J169" s="38"/>
      <c r="K169" s="38"/>
      <c r="L169" s="38"/>
      <c r="M169" s="38"/>
      <c r="N169" s="38"/>
      <c r="O169" s="38"/>
      <c r="P169" s="38"/>
      <c r="Q169" s="219"/>
      <c r="R169" s="219"/>
      <c r="S169" s="219"/>
      <c r="T169" s="219"/>
      <c r="U169" s="224"/>
      <c r="V169" s="224" t="str">
        <f>IFERROR(IF(SUM(INDEX('在庫使用計画 (一般)'!$A$1:$BF$557,MATCH($C169,'在庫使用計画 (一般)'!$C$1:$C$557,0),MATCH(V$1,'在庫使用計画 (一般)'!$A$1:$BF$1,0)),INDEX('在庫使用計画 (法人)'!$A$1:$AT$578,MATCH($C169,'在庫使用計画 (法人)'!$C$1:$C$578,0),MATCH(V$1,'在庫使用計画 (法人)'!$A$1:$AT$1,0)))=0,"",SUM(INDEX('在庫使用計画 (一般)'!$A$1:$BF$557,MATCH($C169,'在庫使用計画 (一般)'!$C$1:$C$557,0),MATCH(V$1,'在庫使用計画 (一般)'!$A$1:$BF$1,0)),INDEX('在庫使用計画 (法人)'!$A$1:$AT$578,MATCH($C169,'在庫使用計画 (法人)'!$C$1:$C$578,0),MATCH(V$1,'在庫使用計画 (法人)'!$A$1:$AT$1,0)))),"")</f>
        <v/>
      </c>
      <c r="W169" s="224" t="str">
        <f>IFERROR(IF(SUM(INDEX('在庫使用計画 (一般)'!$A$1:$BF$557,MATCH($C169,'在庫使用計画 (一般)'!$C$1:$C$557,0),MATCH(W$1,'在庫使用計画 (一般)'!$A$1:$BF$1,0)),INDEX('在庫使用計画 (法人)'!$A$1:$AT$578,MATCH($C169,'在庫使用計画 (法人)'!$C$1:$C$578,0),MATCH(W$1,'在庫使用計画 (法人)'!$A$1:$AT$1,0)))=0,"",SUM(INDEX('在庫使用計画 (一般)'!$A$1:$BF$557,MATCH($C169,'在庫使用計画 (一般)'!$C$1:$C$557,0),MATCH(W$1,'在庫使用計画 (一般)'!$A$1:$BF$1,0)),INDEX('在庫使用計画 (法人)'!$A$1:$AT$578,MATCH($C169,'在庫使用計画 (法人)'!$C$1:$C$578,0),MATCH(W$1,'在庫使用計画 (法人)'!$A$1:$AT$1,0)))),"")</f>
        <v/>
      </c>
      <c r="X169" s="224" t="str">
        <f>IFERROR(IF(SUM(INDEX('在庫使用計画 (一般)'!$A$1:$BF$557,MATCH($C169,'在庫使用計画 (一般)'!$C$1:$C$557,0),MATCH(X$1,'在庫使用計画 (一般)'!$A$1:$BF$1,0)),INDEX('在庫使用計画 (法人)'!$A$1:$AT$578,MATCH($C169,'在庫使用計画 (法人)'!$C$1:$C$578,0),MATCH(X$1,'在庫使用計画 (法人)'!$A$1:$AT$1,0)))=0,"",SUM(INDEX('在庫使用計画 (一般)'!$A$1:$BF$557,MATCH($C169,'在庫使用計画 (一般)'!$C$1:$C$557,0),MATCH(X$1,'在庫使用計画 (一般)'!$A$1:$BF$1,0)),INDEX('在庫使用計画 (法人)'!$A$1:$AT$578,MATCH($C169,'在庫使用計画 (法人)'!$C$1:$C$578,0),MATCH(X$1,'在庫使用計画 (法人)'!$A$1:$AT$1,0)))),"")</f>
        <v/>
      </c>
      <c r="Y169" s="224" t="str">
        <f>IFERROR(IF(SUM(INDEX('在庫使用計画 (一般)'!$A$1:$BF$557,MATCH($C169,'在庫使用計画 (一般)'!$C$1:$C$557,0),MATCH(Y$1,'在庫使用計画 (一般)'!$A$1:$BF$1,0)),INDEX('在庫使用計画 (法人)'!$A$1:$AT$578,MATCH($C169,'在庫使用計画 (法人)'!$C$1:$C$578,0),MATCH(Y$1,'在庫使用計画 (法人)'!$A$1:$AT$1,0)))=0,"",SUM(INDEX('在庫使用計画 (一般)'!$A$1:$BF$557,MATCH($C169,'在庫使用計画 (一般)'!$C$1:$C$557,0),MATCH(Y$1,'在庫使用計画 (一般)'!$A$1:$BF$1,0)),INDEX('在庫使用計画 (法人)'!$A$1:$AT$578,MATCH($C169,'在庫使用計画 (法人)'!$C$1:$C$578,0),MATCH(Y$1,'在庫使用計画 (法人)'!$A$1:$AT$1,0)))),"")</f>
        <v/>
      </c>
      <c r="Z169" s="224" t="str">
        <f>IFERROR(IF(SUM(INDEX('在庫使用計画 (一般)'!$A$1:$BF$557,MATCH($C169,'在庫使用計画 (一般)'!$C$1:$C$557,0),MATCH(Z$1,'在庫使用計画 (一般)'!$A$1:$BF$1,0)),INDEX('在庫使用計画 (法人)'!$A$1:$AT$578,MATCH($C169,'在庫使用計画 (法人)'!$C$1:$C$578,0),MATCH(Z$1,'在庫使用計画 (法人)'!$A$1:$AT$1,0)))=0,"",SUM(INDEX('在庫使用計画 (一般)'!$A$1:$BF$557,MATCH($C169,'在庫使用計画 (一般)'!$C$1:$C$557,0),MATCH(Z$1,'在庫使用計画 (一般)'!$A$1:$BF$1,0)),INDEX('在庫使用計画 (法人)'!$A$1:$AT$578,MATCH($C169,'在庫使用計画 (法人)'!$C$1:$C$578,0),MATCH(Z$1,'在庫使用計画 (法人)'!$A$1:$AT$1,0)))),"")</f>
        <v/>
      </c>
      <c r="AA169" s="224" t="str">
        <f>IFERROR(IF(SUM(INDEX('在庫使用計画 (一般)'!$A$1:$BF$557,MATCH($C169,'在庫使用計画 (一般)'!$C$1:$C$557,0),MATCH(AA$1,'在庫使用計画 (一般)'!$A$1:$BF$1,0)),INDEX('在庫使用計画 (法人)'!$A$1:$AT$578,MATCH($C169,'在庫使用計画 (法人)'!$C$1:$C$578,0),MATCH(AA$1,'在庫使用計画 (法人)'!$A$1:$AT$1,0)))=0,"",SUM(INDEX('在庫使用計画 (一般)'!$A$1:$BF$557,MATCH($C169,'在庫使用計画 (一般)'!$C$1:$C$557,0),MATCH(AA$1,'在庫使用計画 (一般)'!$A$1:$BF$1,0)),INDEX('在庫使用計画 (法人)'!$A$1:$AT$578,MATCH($C169,'在庫使用計画 (法人)'!$C$1:$C$578,0),MATCH(AA$1,'在庫使用計画 (法人)'!$A$1:$AT$1,0)))),"")</f>
        <v/>
      </c>
      <c r="AB169" s="224" t="str">
        <f>IFERROR(IF(SUM(INDEX('在庫使用計画 (一般)'!$A$1:$BF$557,MATCH($C169,'在庫使用計画 (一般)'!$C$1:$C$557,0),MATCH(AB$1,'在庫使用計画 (一般)'!$A$1:$BF$1,0)),INDEX('在庫使用計画 (法人)'!$A$1:$AT$578,MATCH($C169,'在庫使用計画 (法人)'!$C$1:$C$578,0),MATCH(AB$1,'在庫使用計画 (法人)'!$A$1:$AT$1,0)))=0,"",SUM(INDEX('在庫使用計画 (一般)'!$A$1:$BF$557,MATCH($C169,'在庫使用計画 (一般)'!$C$1:$C$557,0),MATCH(AB$1,'在庫使用計画 (一般)'!$A$1:$BF$1,0)),INDEX('在庫使用計画 (法人)'!$A$1:$AT$578,MATCH($C169,'在庫使用計画 (法人)'!$C$1:$C$578,0),MATCH(AB$1,'在庫使用計画 (法人)'!$A$1:$AT$1,0)))),"")</f>
        <v/>
      </c>
      <c r="AC169" s="224" t="str">
        <f>IFERROR(IF(SUM(INDEX('在庫使用計画 (一般)'!$A$1:$BF$557,MATCH($C169,'在庫使用計画 (一般)'!$C$1:$C$557,0),MATCH(AC$1,'在庫使用計画 (一般)'!$A$1:$BF$1,0)),INDEX('在庫使用計画 (法人)'!$A$1:$AT$578,MATCH($C169,'在庫使用計画 (法人)'!$C$1:$C$578,0),MATCH(AC$1,'在庫使用計画 (法人)'!$A$1:$AT$1,0)))=0,"",SUM(INDEX('在庫使用計画 (一般)'!$A$1:$BF$557,MATCH($C169,'在庫使用計画 (一般)'!$C$1:$C$557,0),MATCH(AC$1,'在庫使用計画 (一般)'!$A$1:$BF$1,0)),INDEX('在庫使用計画 (法人)'!$A$1:$AT$578,MATCH($C169,'在庫使用計画 (法人)'!$C$1:$C$578,0),MATCH(AC$1,'在庫使用計画 (法人)'!$A$1:$AT$1,0)))),"")</f>
        <v/>
      </c>
      <c r="AD169" s="224" t="s">
        <v>21</v>
      </c>
      <c r="AE169" s="224" t="s">
        <v>21</v>
      </c>
      <c r="AF169" s="224" t="s">
        <v>21</v>
      </c>
      <c r="AG169" s="224" t="s">
        <v>21</v>
      </c>
      <c r="AH169" s="23"/>
      <c r="AI169" s="23"/>
      <c r="AJ169" s="23"/>
      <c r="AK169" s="21"/>
      <c r="AL169" s="21"/>
      <c r="AM169" s="21"/>
      <c r="AN169" s="21"/>
      <c r="AO169" s="21"/>
      <c r="AP169" s="21"/>
      <c r="AQ169" s="21"/>
      <c r="AR169" s="21"/>
      <c r="AS169" s="21"/>
      <c r="AT169" s="21"/>
      <c r="AU169" s="21"/>
      <c r="AV169" s="21"/>
      <c r="AW169" s="21"/>
      <c r="AX169" s="21"/>
      <c r="AY169" s="21"/>
    </row>
    <row r="170" spans="1:51">
      <c r="A170" s="1082"/>
      <c r="B170" s="26"/>
      <c r="C170" s="25" t="s">
        <v>1710</v>
      </c>
      <c r="D170" s="24" t="s">
        <v>1708</v>
      </c>
      <c r="E170" s="24" t="s">
        <v>1423</v>
      </c>
      <c r="F170" s="24" t="s">
        <v>1709</v>
      </c>
      <c r="G170" s="38">
        <f>SUMIFS(在庫確認!C:C,在庫確認!B:B,'(全体実績+予測）の元データ'!C:C)</f>
        <v>0</v>
      </c>
      <c r="H170" s="38">
        <f t="shared" si="13"/>
        <v>0</v>
      </c>
      <c r="I170" s="38"/>
      <c r="J170" s="38"/>
      <c r="K170" s="38"/>
      <c r="L170" s="38"/>
      <c r="M170" s="38"/>
      <c r="N170" s="38"/>
      <c r="O170" s="38"/>
      <c r="P170" s="38"/>
      <c r="Q170" s="219"/>
      <c r="R170" s="219"/>
      <c r="S170" s="219"/>
      <c r="T170" s="219"/>
      <c r="U170" s="224"/>
      <c r="V170" s="224" t="str">
        <f>IFERROR(IF(SUM(INDEX('在庫使用計画 (一般)'!$A$1:$BF$557,MATCH($C170,'在庫使用計画 (一般)'!$C$1:$C$557,0),MATCH(V$1,'在庫使用計画 (一般)'!$A$1:$BF$1,0)),INDEX('在庫使用計画 (法人)'!$A$1:$AT$578,MATCH($C170,'在庫使用計画 (法人)'!$C$1:$C$578,0),MATCH(V$1,'在庫使用計画 (法人)'!$A$1:$AT$1,0)))=0,"",SUM(INDEX('在庫使用計画 (一般)'!$A$1:$BF$557,MATCH($C170,'在庫使用計画 (一般)'!$C$1:$C$557,0),MATCH(V$1,'在庫使用計画 (一般)'!$A$1:$BF$1,0)),INDEX('在庫使用計画 (法人)'!$A$1:$AT$578,MATCH($C170,'在庫使用計画 (法人)'!$C$1:$C$578,0),MATCH(V$1,'在庫使用計画 (法人)'!$A$1:$AT$1,0)))),"")</f>
        <v/>
      </c>
      <c r="W170" s="224" t="str">
        <f>IFERROR(IF(SUM(INDEX('在庫使用計画 (一般)'!$A$1:$BF$557,MATCH($C170,'在庫使用計画 (一般)'!$C$1:$C$557,0),MATCH(W$1,'在庫使用計画 (一般)'!$A$1:$BF$1,0)),INDEX('在庫使用計画 (法人)'!$A$1:$AT$578,MATCH($C170,'在庫使用計画 (法人)'!$C$1:$C$578,0),MATCH(W$1,'在庫使用計画 (法人)'!$A$1:$AT$1,0)))=0,"",SUM(INDEX('在庫使用計画 (一般)'!$A$1:$BF$557,MATCH($C170,'在庫使用計画 (一般)'!$C$1:$C$557,0),MATCH(W$1,'在庫使用計画 (一般)'!$A$1:$BF$1,0)),INDEX('在庫使用計画 (法人)'!$A$1:$AT$578,MATCH($C170,'在庫使用計画 (法人)'!$C$1:$C$578,0),MATCH(W$1,'在庫使用計画 (法人)'!$A$1:$AT$1,0)))),"")</f>
        <v/>
      </c>
      <c r="X170" s="224" t="str">
        <f>IFERROR(IF(SUM(INDEX('在庫使用計画 (一般)'!$A$1:$BF$557,MATCH($C170,'在庫使用計画 (一般)'!$C$1:$C$557,0),MATCH(X$1,'在庫使用計画 (一般)'!$A$1:$BF$1,0)),INDEX('在庫使用計画 (法人)'!$A$1:$AT$578,MATCH($C170,'在庫使用計画 (法人)'!$C$1:$C$578,0),MATCH(X$1,'在庫使用計画 (法人)'!$A$1:$AT$1,0)))=0,"",SUM(INDEX('在庫使用計画 (一般)'!$A$1:$BF$557,MATCH($C170,'在庫使用計画 (一般)'!$C$1:$C$557,0),MATCH(X$1,'在庫使用計画 (一般)'!$A$1:$BF$1,0)),INDEX('在庫使用計画 (法人)'!$A$1:$AT$578,MATCH($C170,'在庫使用計画 (法人)'!$C$1:$C$578,0),MATCH(X$1,'在庫使用計画 (法人)'!$A$1:$AT$1,0)))),"")</f>
        <v/>
      </c>
      <c r="Y170" s="224" t="str">
        <f>IFERROR(IF(SUM(INDEX('在庫使用計画 (一般)'!$A$1:$BF$557,MATCH($C170,'在庫使用計画 (一般)'!$C$1:$C$557,0),MATCH(Y$1,'在庫使用計画 (一般)'!$A$1:$BF$1,0)),INDEX('在庫使用計画 (法人)'!$A$1:$AT$578,MATCH($C170,'在庫使用計画 (法人)'!$C$1:$C$578,0),MATCH(Y$1,'在庫使用計画 (法人)'!$A$1:$AT$1,0)))=0,"",SUM(INDEX('在庫使用計画 (一般)'!$A$1:$BF$557,MATCH($C170,'在庫使用計画 (一般)'!$C$1:$C$557,0),MATCH(Y$1,'在庫使用計画 (一般)'!$A$1:$BF$1,0)),INDEX('在庫使用計画 (法人)'!$A$1:$AT$578,MATCH($C170,'在庫使用計画 (法人)'!$C$1:$C$578,0),MATCH(Y$1,'在庫使用計画 (法人)'!$A$1:$AT$1,0)))),"")</f>
        <v/>
      </c>
      <c r="Z170" s="238"/>
      <c r="AA170" s="238"/>
      <c r="AB170" s="238"/>
      <c r="AC170" s="239"/>
      <c r="AD170" s="239"/>
      <c r="AE170" s="239"/>
      <c r="AF170" s="238"/>
      <c r="AG170" s="238"/>
      <c r="AH170" s="23"/>
      <c r="AI170" s="23"/>
      <c r="AJ170" s="23"/>
      <c r="AK170" s="21"/>
      <c r="AL170" s="21"/>
      <c r="AM170" s="21"/>
      <c r="AN170" s="21"/>
      <c r="AO170" s="21"/>
      <c r="AP170" s="21"/>
      <c r="AQ170" s="21"/>
      <c r="AR170" s="21"/>
      <c r="AS170" s="21"/>
      <c r="AT170" s="21"/>
      <c r="AU170" s="21"/>
      <c r="AV170" s="21"/>
      <c r="AW170" s="21"/>
      <c r="AX170" s="21"/>
      <c r="AY170" s="21"/>
    </row>
    <row r="171" spans="1:51">
      <c r="A171" s="1059" t="s">
        <v>1711</v>
      </c>
      <c r="B171" s="26" t="s">
        <v>714</v>
      </c>
      <c r="C171" s="24" t="s">
        <v>712</v>
      </c>
      <c r="D171" s="24" t="s">
        <v>1422</v>
      </c>
      <c r="E171" s="26" t="s">
        <v>1423</v>
      </c>
      <c r="F171" s="26" t="s">
        <v>1372</v>
      </c>
      <c r="G171" s="43">
        <f>SUMIFS(在庫確認!C:C,在庫確認!B:B,'(全体実績+予測）の元データ'!C:C)</f>
        <v>1120</v>
      </c>
      <c r="H171" s="38">
        <f>SUM(X171:AA171)</f>
        <v>15</v>
      </c>
      <c r="I171" s="38"/>
      <c r="J171" s="38"/>
      <c r="K171" s="38"/>
      <c r="L171" s="38"/>
      <c r="M171" s="38"/>
      <c r="N171" s="74"/>
      <c r="O171" s="38"/>
      <c r="P171" s="38"/>
      <c r="Q171" s="219"/>
      <c r="R171" s="219"/>
      <c r="S171" s="219"/>
      <c r="T171" s="219"/>
      <c r="U171" s="224">
        <v>95</v>
      </c>
      <c r="V171" s="237">
        <v>136</v>
      </c>
      <c r="W171" s="333">
        <v>248</v>
      </c>
      <c r="X171" s="333">
        <v>12</v>
      </c>
      <c r="Y171" s="333">
        <v>2</v>
      </c>
      <c r="Z171" s="219">
        <v>1</v>
      </c>
      <c r="AA171" s="476">
        <v>0</v>
      </c>
      <c r="AB171" s="476" t="str">
        <f>IF(AA171*$AB$107=0,"",AA171*$AB$107)</f>
        <v/>
      </c>
      <c r="AC171" s="478" t="str">
        <f>IFERROR(IF(AB171*$AC$46=0,"",AB171*$AC$46),"")</f>
        <v/>
      </c>
      <c r="AD171" s="478" t="s">
        <v>21</v>
      </c>
      <c r="AE171" s="299" t="s">
        <v>21</v>
      </c>
      <c r="AF171" s="476" t="s">
        <v>21</v>
      </c>
      <c r="AG171" s="476" t="s">
        <v>21</v>
      </c>
      <c r="AH171" s="224" t="s">
        <v>21</v>
      </c>
      <c r="AI171" s="224" t="s">
        <v>21</v>
      </c>
      <c r="AJ171" s="224" t="s">
        <v>21</v>
      </c>
      <c r="AK171" s="224" t="s">
        <v>21</v>
      </c>
      <c r="AL171" s="224" t="str">
        <f>IFERROR(IF(SUM(INDEX('在庫使用計画 (一般)'!$A$1:$BF$557,MATCH($C171,'在庫使用計画 (一般)'!$C$1:$C$557,0),MATCH(AL$1,'在庫使用計画 (一般)'!$A$1:$BF$1,0)),INDEX('在庫使用計画 (法人)'!$A$1:$AT$578,MATCH($C171,'在庫使用計画 (法人)'!$C$1:$C$578,0),MATCH(AL$1,'在庫使用計画 (法人)'!$A$1:$AT$1,0)))=0,"",SUM(INDEX('在庫使用計画 (一般)'!$A$1:$BF$557,MATCH($C171,'在庫使用計画 (一般)'!$C$1:$C$557,0),MATCH(AL$1,'在庫使用計画 (一般)'!$A$1:$BF$1,0)),INDEX('在庫使用計画 (法人)'!$A$1:$AT$578,MATCH($C171,'在庫使用計画 (法人)'!$C$1:$C$578,0),MATCH(AL$1,'在庫使用計画 (法人)'!$A$1:$AT$1,0)))),"")</f>
        <v/>
      </c>
      <c r="AM171" s="224" t="str">
        <f>IFERROR(IF(SUM(INDEX('在庫使用計画 (一般)'!$A$1:$BF$557,MATCH($C171,'在庫使用計画 (一般)'!$C$1:$C$557,0),MATCH(AM$1,'在庫使用計画 (一般)'!$A$1:$BF$1,0)),INDEX('在庫使用計画 (法人)'!$A$1:$AT$578,MATCH($C171,'在庫使用計画 (法人)'!$C$1:$C$578,0),MATCH(AM$1,'在庫使用計画 (法人)'!$A$1:$AT$1,0)))=0,"",SUM(INDEX('在庫使用計画 (一般)'!$A$1:$BF$557,MATCH($C171,'在庫使用計画 (一般)'!$C$1:$C$557,0),MATCH(AM$1,'在庫使用計画 (一般)'!$A$1:$BF$1,0)),INDEX('在庫使用計画 (法人)'!$A$1:$AT$578,MATCH($C171,'在庫使用計画 (法人)'!$C$1:$C$578,0),MATCH(AM$1,'在庫使用計画 (法人)'!$A$1:$AT$1,0)))),"")</f>
        <v/>
      </c>
      <c r="AN171" s="224" t="str">
        <f>IFERROR(IF(SUM(INDEX('在庫使用計画 (一般)'!$A$1:$BF$557,MATCH($C171,'在庫使用計画 (一般)'!$C$1:$C$557,0),MATCH(AN$1,'在庫使用計画 (一般)'!$A$1:$BF$1,0)),INDEX('在庫使用計画 (法人)'!$A$1:$AT$578,MATCH($C171,'在庫使用計画 (法人)'!$C$1:$C$578,0),MATCH(AN$1,'在庫使用計画 (法人)'!$A$1:$AT$1,0)))=0,"",SUM(INDEX('在庫使用計画 (一般)'!$A$1:$BF$557,MATCH($C171,'在庫使用計画 (一般)'!$C$1:$C$557,0),MATCH(AN$1,'在庫使用計画 (一般)'!$A$1:$BF$1,0)),INDEX('在庫使用計画 (法人)'!$A$1:$AT$578,MATCH($C171,'在庫使用計画 (法人)'!$C$1:$C$578,0),MATCH(AN$1,'在庫使用計画 (法人)'!$A$1:$AT$1,0)))),"")</f>
        <v/>
      </c>
      <c r="AO171" s="224" t="str">
        <f>IFERROR(IF(SUM(INDEX('在庫使用計画 (一般)'!$A$1:$BF$557,MATCH($C171,'在庫使用計画 (一般)'!$C$1:$C$557,0),MATCH(AO$1,'在庫使用計画 (一般)'!$A$1:$BF$1,0)),INDEX('在庫使用計画 (法人)'!$A$1:$AT$578,MATCH($C171,'在庫使用計画 (法人)'!$C$1:$C$578,0),MATCH(AO$1,'在庫使用計画 (法人)'!$A$1:$AT$1,0)))=0,"",SUM(INDEX('在庫使用計画 (一般)'!$A$1:$BF$557,MATCH($C171,'在庫使用計画 (一般)'!$C$1:$C$557,0),MATCH(AO$1,'在庫使用計画 (一般)'!$A$1:$BF$1,0)),INDEX('在庫使用計画 (法人)'!$A$1:$AT$578,MATCH($C171,'在庫使用計画 (法人)'!$C$1:$C$578,0),MATCH(AO$1,'在庫使用計画 (法人)'!$A$1:$AT$1,0)))),"")</f>
        <v/>
      </c>
      <c r="AP171" s="224" t="str">
        <f>IFERROR(IF(SUM(INDEX('在庫使用計画 (一般)'!$A$1:$BF$557,MATCH($C171,'在庫使用計画 (一般)'!$C$1:$C$557,0),MATCH(AP$1,'在庫使用計画 (一般)'!$A$1:$BF$1,0)),INDEX('在庫使用計画 (法人)'!$A$1:$AT$578,MATCH($C171,'在庫使用計画 (法人)'!$C$1:$C$578,0),MATCH(AP$1,'在庫使用計画 (法人)'!$A$1:$AT$1,0)))=0,"",SUM(INDEX('在庫使用計画 (一般)'!$A$1:$BF$557,MATCH($C171,'在庫使用計画 (一般)'!$C$1:$C$557,0),MATCH(AP$1,'在庫使用計画 (一般)'!$A$1:$BF$1,0)),INDEX('在庫使用計画 (法人)'!$A$1:$AT$578,MATCH($C171,'在庫使用計画 (法人)'!$C$1:$C$578,0),MATCH(AP$1,'在庫使用計画 (法人)'!$A$1:$AT$1,0)))),"")</f>
        <v/>
      </c>
      <c r="AQ171" s="224" t="str">
        <f>IFERROR(IF(SUM(INDEX('在庫使用計画 (一般)'!$A$1:$BF$557,MATCH($C171,'在庫使用計画 (一般)'!$C$1:$C$557,0),MATCH(AQ$1,'在庫使用計画 (一般)'!$A$1:$BF$1,0)),INDEX('在庫使用計画 (法人)'!$A$1:$AT$578,MATCH($C171,'在庫使用計画 (法人)'!$C$1:$C$578,0),MATCH(AQ$1,'在庫使用計画 (法人)'!$A$1:$AT$1,0)))=0,"",SUM(INDEX('在庫使用計画 (一般)'!$A$1:$BF$557,MATCH($C171,'在庫使用計画 (一般)'!$C$1:$C$557,0),MATCH(AQ$1,'在庫使用計画 (一般)'!$A$1:$BF$1,0)),INDEX('在庫使用計画 (法人)'!$A$1:$AT$578,MATCH($C171,'在庫使用計画 (法人)'!$C$1:$C$578,0),MATCH(AQ$1,'在庫使用計画 (法人)'!$A$1:$AT$1,0)))),"")</f>
        <v/>
      </c>
      <c r="AR171" s="224" t="str">
        <f>IFERROR(IF(SUM(INDEX('在庫使用計画 (一般)'!$A$1:$BF$557,MATCH($C171,'在庫使用計画 (一般)'!$C$1:$C$557,0),MATCH(AR$1,'在庫使用計画 (一般)'!$A$1:$BF$1,0)),INDEX('在庫使用計画 (法人)'!$A$1:$AT$578,MATCH($C171,'在庫使用計画 (法人)'!$C$1:$C$578,0),MATCH(AR$1,'在庫使用計画 (法人)'!$A$1:$AT$1,0)))=0,"",SUM(INDEX('在庫使用計画 (一般)'!$A$1:$BF$557,MATCH($C171,'在庫使用計画 (一般)'!$C$1:$C$557,0),MATCH(AR$1,'在庫使用計画 (一般)'!$A$1:$BF$1,0)),INDEX('在庫使用計画 (法人)'!$A$1:$AT$578,MATCH($C171,'在庫使用計画 (法人)'!$C$1:$C$578,0),MATCH(AR$1,'在庫使用計画 (法人)'!$A$1:$AT$1,0)))),"")</f>
        <v/>
      </c>
      <c r="AS171" s="21"/>
      <c r="AT171" s="21"/>
      <c r="AU171" s="21"/>
      <c r="AV171" s="21"/>
      <c r="AW171" s="21"/>
      <c r="AX171" s="21"/>
      <c r="AY171" s="21"/>
    </row>
    <row r="172" spans="1:51">
      <c r="A172" s="1075" t="s">
        <v>1419</v>
      </c>
      <c r="B172" s="55" t="s">
        <v>1042</v>
      </c>
      <c r="C172" s="57" t="s">
        <v>1040</v>
      </c>
      <c r="D172" s="55" t="s">
        <v>1712</v>
      </c>
      <c r="E172" s="58">
        <v>4060</v>
      </c>
      <c r="F172" s="58" t="s">
        <v>1347</v>
      </c>
      <c r="G172" s="38">
        <f>SUMIFS(在庫確認!C:C,在庫確認!B:B,'(全体実績+予測）の元データ'!C:C)</f>
        <v>0</v>
      </c>
      <c r="H172" s="38">
        <f t="shared" si="13"/>
        <v>0</v>
      </c>
      <c r="I172" s="38"/>
      <c r="J172" s="38"/>
      <c r="K172" s="38"/>
      <c r="L172" s="38"/>
      <c r="M172" s="38"/>
      <c r="N172" s="38"/>
      <c r="O172" s="38"/>
      <c r="P172" s="38"/>
      <c r="Q172" s="219"/>
      <c r="R172" s="219"/>
      <c r="S172" s="219"/>
      <c r="T172" s="219"/>
      <c r="U172" s="224"/>
      <c r="V172" s="224" t="str">
        <f>IFERROR(IF(SUM(INDEX('在庫使用計画 (一般)'!$A$1:$BF$557,MATCH($C172,'在庫使用計画 (一般)'!$C$1:$C$557,0),MATCH(V$1,'在庫使用計画 (一般)'!$A$1:$BF$1,0)),INDEX('在庫使用計画 (法人)'!$A$1:$AT$578,MATCH($C172,'在庫使用計画 (法人)'!$C$1:$C$578,0),MATCH(V$1,'在庫使用計画 (法人)'!$A$1:$AT$1,0)))=0,"",SUM(INDEX('在庫使用計画 (一般)'!$A$1:$BF$557,MATCH($C172,'在庫使用計画 (一般)'!$C$1:$C$557,0),MATCH(V$1,'在庫使用計画 (一般)'!$A$1:$BF$1,0)),INDEX('在庫使用計画 (法人)'!$A$1:$AT$578,MATCH($C172,'在庫使用計画 (法人)'!$C$1:$C$578,0),MATCH(V$1,'在庫使用計画 (法人)'!$A$1:$AT$1,0)))),"")</f>
        <v/>
      </c>
      <c r="W172" s="224" t="str">
        <f>IFERROR(IF(SUM(INDEX('在庫使用計画 (一般)'!$A$1:$BF$557,MATCH($C172,'在庫使用計画 (一般)'!$C$1:$C$557,0),MATCH(W$1,'在庫使用計画 (一般)'!$A$1:$BF$1,0)),INDEX('在庫使用計画 (法人)'!$A$1:$AT$578,MATCH($C172,'在庫使用計画 (法人)'!$C$1:$C$578,0),MATCH(W$1,'在庫使用計画 (法人)'!$A$1:$AT$1,0)))=0,"",SUM(INDEX('在庫使用計画 (一般)'!$A$1:$BF$557,MATCH($C172,'在庫使用計画 (一般)'!$C$1:$C$557,0),MATCH(W$1,'在庫使用計画 (一般)'!$A$1:$BF$1,0)),INDEX('在庫使用計画 (法人)'!$A$1:$AT$578,MATCH($C172,'在庫使用計画 (法人)'!$C$1:$C$578,0),MATCH(W$1,'在庫使用計画 (法人)'!$A$1:$AT$1,0)))),"")</f>
        <v/>
      </c>
      <c r="X172" s="224" t="str">
        <f>IFERROR(IF(SUM(INDEX('在庫使用計画 (一般)'!$A$1:$BF$557,MATCH($C172,'在庫使用計画 (一般)'!$C$1:$C$557,0),MATCH(X$1,'在庫使用計画 (一般)'!$A$1:$BF$1,0)),INDEX('在庫使用計画 (法人)'!$A$1:$AT$578,MATCH($C172,'在庫使用計画 (法人)'!$C$1:$C$578,0),MATCH(X$1,'在庫使用計画 (法人)'!$A$1:$AT$1,0)))=0,"",SUM(INDEX('在庫使用計画 (一般)'!$A$1:$BF$557,MATCH($C172,'在庫使用計画 (一般)'!$C$1:$C$557,0),MATCH(X$1,'在庫使用計画 (一般)'!$A$1:$BF$1,0)),INDEX('在庫使用計画 (法人)'!$A$1:$AT$578,MATCH($C172,'在庫使用計画 (法人)'!$C$1:$C$578,0),MATCH(X$1,'在庫使用計画 (法人)'!$A$1:$AT$1,0)))),"")</f>
        <v/>
      </c>
      <c r="Y172" s="224" t="str">
        <f>IFERROR(IF(SUM(INDEX('在庫使用計画 (一般)'!$A$1:$BF$557,MATCH($C172,'在庫使用計画 (一般)'!$C$1:$C$557,0),MATCH(Y$1,'在庫使用計画 (一般)'!$A$1:$BF$1,0)),INDEX('在庫使用計画 (法人)'!$A$1:$AT$578,MATCH($C172,'在庫使用計画 (法人)'!$C$1:$C$578,0),MATCH(Y$1,'在庫使用計画 (法人)'!$A$1:$AT$1,0)))=0,"",SUM(INDEX('在庫使用計画 (一般)'!$A$1:$BF$557,MATCH($C172,'在庫使用計画 (一般)'!$C$1:$C$557,0),MATCH(Y$1,'在庫使用計画 (一般)'!$A$1:$BF$1,0)),INDEX('在庫使用計画 (法人)'!$A$1:$AT$578,MATCH($C172,'在庫使用計画 (法人)'!$C$1:$C$578,0),MATCH(Y$1,'在庫使用計画 (法人)'!$A$1:$AT$1,0)))),"")</f>
        <v/>
      </c>
      <c r="Z172" s="224" t="str">
        <f>IFERROR(IF(SUM(INDEX('在庫使用計画 (一般)'!$A$1:$BF$557,MATCH($C172,'在庫使用計画 (一般)'!$C$1:$C$557,0),MATCH(Z$1,'在庫使用計画 (一般)'!$A$1:$BF$1,0)),INDEX('在庫使用計画 (法人)'!$A$1:$AT$578,MATCH($C172,'在庫使用計画 (法人)'!$C$1:$C$578,0),MATCH(Z$1,'在庫使用計画 (法人)'!$A$1:$AT$1,0)))=0,"",SUM(INDEX('在庫使用計画 (一般)'!$A$1:$BF$557,MATCH($C172,'在庫使用計画 (一般)'!$C$1:$C$557,0),MATCH(Z$1,'在庫使用計画 (一般)'!$A$1:$BF$1,0)),INDEX('在庫使用計画 (法人)'!$A$1:$AT$578,MATCH($C172,'在庫使用計画 (法人)'!$C$1:$C$578,0),MATCH(Z$1,'在庫使用計画 (法人)'!$A$1:$AT$1,0)))),"")</f>
        <v/>
      </c>
      <c r="AA172" s="224" t="str">
        <f>IFERROR(IF(SUM(INDEX('在庫使用計画 (一般)'!$A$1:$BF$557,MATCH($C172,'在庫使用計画 (一般)'!$C$1:$C$557,0),MATCH(AA$1,'在庫使用計画 (一般)'!$A$1:$BF$1,0)),INDEX('在庫使用計画 (法人)'!$A$1:$AT$578,MATCH($C172,'在庫使用計画 (法人)'!$C$1:$C$578,0),MATCH(AA$1,'在庫使用計画 (法人)'!$A$1:$AT$1,0)))=0,"",SUM(INDEX('在庫使用計画 (一般)'!$A$1:$BF$557,MATCH($C172,'在庫使用計画 (一般)'!$C$1:$C$557,0),MATCH(AA$1,'在庫使用計画 (一般)'!$A$1:$BF$1,0)),INDEX('在庫使用計画 (法人)'!$A$1:$AT$578,MATCH($C172,'在庫使用計画 (法人)'!$C$1:$C$578,0),MATCH(AA$1,'在庫使用計画 (法人)'!$A$1:$AT$1,0)))),"")</f>
        <v/>
      </c>
      <c r="AB172" s="224" t="str">
        <f>IFERROR(IF(SUM(INDEX('在庫使用計画 (一般)'!$A$1:$BF$557,MATCH($C172,'在庫使用計画 (一般)'!$C$1:$C$557,0),MATCH(AB$1,'在庫使用計画 (一般)'!$A$1:$BF$1,0)),INDEX('在庫使用計画 (法人)'!$A$1:$AT$578,MATCH($C172,'在庫使用計画 (法人)'!$C$1:$C$578,0),MATCH(AB$1,'在庫使用計画 (法人)'!$A$1:$AT$1,0)))=0,"",SUM(INDEX('在庫使用計画 (一般)'!$A$1:$BF$557,MATCH($C172,'在庫使用計画 (一般)'!$C$1:$C$557,0),MATCH(AB$1,'在庫使用計画 (一般)'!$A$1:$BF$1,0)),INDEX('在庫使用計画 (法人)'!$A$1:$AT$578,MATCH($C172,'在庫使用計画 (法人)'!$C$1:$C$578,0),MATCH(AB$1,'在庫使用計画 (法人)'!$A$1:$AT$1,0)))),"")</f>
        <v/>
      </c>
      <c r="AC172" s="224" t="str">
        <f>IFERROR(IF(SUM(INDEX('在庫使用計画 (一般)'!$A$1:$BF$557,MATCH($C172,'在庫使用計画 (一般)'!$C$1:$C$557,0),MATCH(AC$1,'在庫使用計画 (一般)'!$A$1:$BF$1,0)),INDEX('在庫使用計画 (法人)'!$A$1:$AT$578,MATCH($C172,'在庫使用計画 (法人)'!$C$1:$C$578,0),MATCH(AC$1,'在庫使用計画 (法人)'!$A$1:$AT$1,0)))=0,"",SUM(INDEX('在庫使用計画 (一般)'!$A$1:$BF$557,MATCH($C172,'在庫使用計画 (一般)'!$C$1:$C$557,0),MATCH(AC$1,'在庫使用計画 (一般)'!$A$1:$BF$1,0)),INDEX('在庫使用計画 (法人)'!$A$1:$AT$578,MATCH($C172,'在庫使用計画 (法人)'!$C$1:$C$578,0),MATCH(AC$1,'在庫使用計画 (法人)'!$A$1:$AT$1,0)))),"")</f>
        <v/>
      </c>
      <c r="AD172" s="224" t="s">
        <v>21</v>
      </c>
      <c r="AE172" s="224" t="s">
        <v>21</v>
      </c>
      <c r="AF172" s="224" t="s">
        <v>21</v>
      </c>
      <c r="AG172" s="224" t="s">
        <v>21</v>
      </c>
      <c r="AH172" s="23"/>
      <c r="AI172" s="23"/>
      <c r="AJ172" s="23"/>
      <c r="AK172" s="21"/>
      <c r="AL172" s="21"/>
      <c r="AM172" s="21"/>
      <c r="AN172" s="21"/>
      <c r="AO172" s="21"/>
      <c r="AP172" s="21"/>
      <c r="AQ172" s="21"/>
      <c r="AR172" s="21"/>
      <c r="AS172" s="21"/>
      <c r="AT172" s="21"/>
      <c r="AU172" s="21"/>
      <c r="AV172" s="21"/>
      <c r="AW172" s="21"/>
      <c r="AX172" s="21"/>
      <c r="AY172" s="21"/>
    </row>
    <row r="173" spans="1:51">
      <c r="A173" s="1075" t="s">
        <v>1317</v>
      </c>
      <c r="B173" s="55" t="s">
        <v>534</v>
      </c>
      <c r="C173" s="57" t="s">
        <v>532</v>
      </c>
      <c r="D173" s="55" t="s">
        <v>38</v>
      </c>
      <c r="E173" s="58">
        <v>4050</v>
      </c>
      <c r="F173" s="58" t="s">
        <v>1372</v>
      </c>
      <c r="G173" s="38">
        <f>SUMIFS(在庫確認!C:C,在庫確認!B:B,'(全体実績+予測）の元データ'!C:C)</f>
        <v>0</v>
      </c>
      <c r="H173" s="38">
        <f t="shared" si="13"/>
        <v>0</v>
      </c>
      <c r="I173" s="38"/>
      <c r="J173" s="38"/>
      <c r="K173" s="38"/>
      <c r="L173" s="38"/>
      <c r="M173" s="38"/>
      <c r="N173" s="38"/>
      <c r="O173" s="38"/>
      <c r="P173" s="38"/>
      <c r="Q173" s="219"/>
      <c r="R173" s="219"/>
      <c r="S173" s="219"/>
      <c r="T173" s="219"/>
      <c r="U173" s="224"/>
      <c r="V173" s="224" t="str">
        <f>IFERROR(IF(SUM(INDEX('在庫使用計画 (一般)'!$A$1:$BF$557,MATCH($C173,'在庫使用計画 (一般)'!$C$1:$C$557,0),MATCH(V$1,'在庫使用計画 (一般)'!$A$1:$BF$1,0)),INDEX('在庫使用計画 (法人)'!$A$1:$AT$578,MATCH($C173,'在庫使用計画 (法人)'!$C$1:$C$578,0),MATCH(V$1,'在庫使用計画 (法人)'!$A$1:$AT$1,0)))=0,"",SUM(INDEX('在庫使用計画 (一般)'!$A$1:$BF$557,MATCH($C173,'在庫使用計画 (一般)'!$C$1:$C$557,0),MATCH(V$1,'在庫使用計画 (一般)'!$A$1:$BF$1,0)),INDEX('在庫使用計画 (法人)'!$A$1:$AT$578,MATCH($C173,'在庫使用計画 (法人)'!$C$1:$C$578,0),MATCH(V$1,'在庫使用計画 (法人)'!$A$1:$AT$1,0)))),"")</f>
        <v/>
      </c>
      <c r="W173" s="224" t="str">
        <f>IFERROR(IF(SUM(INDEX('在庫使用計画 (一般)'!$A$1:$BF$557,MATCH($C173,'在庫使用計画 (一般)'!$C$1:$C$557,0),MATCH(W$1,'在庫使用計画 (一般)'!$A$1:$BF$1,0)),INDEX('在庫使用計画 (法人)'!$A$1:$AT$578,MATCH($C173,'在庫使用計画 (法人)'!$C$1:$C$578,0),MATCH(W$1,'在庫使用計画 (法人)'!$A$1:$AT$1,0)))=0,"",SUM(INDEX('在庫使用計画 (一般)'!$A$1:$BF$557,MATCH($C173,'在庫使用計画 (一般)'!$C$1:$C$557,0),MATCH(W$1,'在庫使用計画 (一般)'!$A$1:$BF$1,0)),INDEX('在庫使用計画 (法人)'!$A$1:$AT$578,MATCH($C173,'在庫使用計画 (法人)'!$C$1:$C$578,0),MATCH(W$1,'在庫使用計画 (法人)'!$A$1:$AT$1,0)))),"")</f>
        <v/>
      </c>
      <c r="X173" s="224" t="str">
        <f>IFERROR(IF(SUM(INDEX('在庫使用計画 (一般)'!$A$1:$BF$557,MATCH($C173,'在庫使用計画 (一般)'!$C$1:$C$557,0),MATCH(X$1,'在庫使用計画 (一般)'!$A$1:$BF$1,0)),INDEX('在庫使用計画 (法人)'!$A$1:$AT$578,MATCH($C173,'在庫使用計画 (法人)'!$C$1:$C$578,0),MATCH(X$1,'在庫使用計画 (法人)'!$A$1:$AT$1,0)))=0,"",SUM(INDEX('在庫使用計画 (一般)'!$A$1:$BF$557,MATCH($C173,'在庫使用計画 (一般)'!$C$1:$C$557,0),MATCH(X$1,'在庫使用計画 (一般)'!$A$1:$BF$1,0)),INDEX('在庫使用計画 (法人)'!$A$1:$AT$578,MATCH($C173,'在庫使用計画 (法人)'!$C$1:$C$578,0),MATCH(X$1,'在庫使用計画 (法人)'!$A$1:$AT$1,0)))),"")</f>
        <v/>
      </c>
      <c r="Y173" s="224" t="str">
        <f>IFERROR(IF(SUM(INDEX('在庫使用計画 (一般)'!$A$1:$BF$557,MATCH($C173,'在庫使用計画 (一般)'!$C$1:$C$557,0),MATCH(Y$1,'在庫使用計画 (一般)'!$A$1:$BF$1,0)),INDEX('在庫使用計画 (法人)'!$A$1:$AT$578,MATCH($C173,'在庫使用計画 (法人)'!$C$1:$C$578,0),MATCH(Y$1,'在庫使用計画 (法人)'!$A$1:$AT$1,0)))=0,"",SUM(INDEX('在庫使用計画 (一般)'!$A$1:$BF$557,MATCH($C173,'在庫使用計画 (一般)'!$C$1:$C$557,0),MATCH(Y$1,'在庫使用計画 (一般)'!$A$1:$BF$1,0)),INDEX('在庫使用計画 (法人)'!$A$1:$AT$578,MATCH($C173,'在庫使用計画 (法人)'!$C$1:$C$578,0),MATCH(Y$1,'在庫使用計画 (法人)'!$A$1:$AT$1,0)))),"")</f>
        <v/>
      </c>
      <c r="Z173" s="224" t="str">
        <f>IFERROR(IF(SUM(INDEX('在庫使用計画 (一般)'!$A$1:$BF$557,MATCH($C173,'在庫使用計画 (一般)'!$C$1:$C$557,0),MATCH(Z$1,'在庫使用計画 (一般)'!$A$1:$BF$1,0)),INDEX('在庫使用計画 (法人)'!$A$1:$AT$578,MATCH($C173,'在庫使用計画 (法人)'!$C$1:$C$578,0),MATCH(Z$1,'在庫使用計画 (法人)'!$A$1:$AT$1,0)))=0,"",SUM(INDEX('在庫使用計画 (一般)'!$A$1:$BF$557,MATCH($C173,'在庫使用計画 (一般)'!$C$1:$C$557,0),MATCH(Z$1,'在庫使用計画 (一般)'!$A$1:$BF$1,0)),INDEX('在庫使用計画 (法人)'!$A$1:$AT$578,MATCH($C173,'在庫使用計画 (法人)'!$C$1:$C$578,0),MATCH(Z$1,'在庫使用計画 (法人)'!$A$1:$AT$1,0)))),"")</f>
        <v/>
      </c>
      <c r="AA173" s="224" t="str">
        <f>IFERROR(IF(SUM(INDEX('在庫使用計画 (一般)'!$A$1:$BF$557,MATCH($C173,'在庫使用計画 (一般)'!$C$1:$C$557,0),MATCH(AA$1,'在庫使用計画 (一般)'!$A$1:$BF$1,0)),INDEX('在庫使用計画 (法人)'!$A$1:$AT$578,MATCH($C173,'在庫使用計画 (法人)'!$C$1:$C$578,0),MATCH(AA$1,'在庫使用計画 (法人)'!$A$1:$AT$1,0)))=0,"",SUM(INDEX('在庫使用計画 (一般)'!$A$1:$BF$557,MATCH($C173,'在庫使用計画 (一般)'!$C$1:$C$557,0),MATCH(AA$1,'在庫使用計画 (一般)'!$A$1:$BF$1,0)),INDEX('在庫使用計画 (法人)'!$A$1:$AT$578,MATCH($C173,'在庫使用計画 (法人)'!$C$1:$C$578,0),MATCH(AA$1,'在庫使用計画 (法人)'!$A$1:$AT$1,0)))),"")</f>
        <v/>
      </c>
      <c r="AB173" s="224" t="str">
        <f>IFERROR(IF(SUM(INDEX('在庫使用計画 (一般)'!$A$1:$BF$557,MATCH($C173,'在庫使用計画 (一般)'!$C$1:$C$557,0),MATCH(AB$1,'在庫使用計画 (一般)'!$A$1:$BF$1,0)),INDEX('在庫使用計画 (法人)'!$A$1:$AT$578,MATCH($C173,'在庫使用計画 (法人)'!$C$1:$C$578,0),MATCH(AB$1,'在庫使用計画 (法人)'!$A$1:$AT$1,0)))=0,"",SUM(INDEX('在庫使用計画 (一般)'!$A$1:$BF$557,MATCH($C173,'在庫使用計画 (一般)'!$C$1:$C$557,0),MATCH(AB$1,'在庫使用計画 (一般)'!$A$1:$BF$1,0)),INDEX('在庫使用計画 (法人)'!$A$1:$AT$578,MATCH($C173,'在庫使用計画 (法人)'!$C$1:$C$578,0),MATCH(AB$1,'在庫使用計画 (法人)'!$A$1:$AT$1,0)))),"")</f>
        <v/>
      </c>
      <c r="AC173" s="224" t="str">
        <f>IFERROR(IF(SUM(INDEX('在庫使用計画 (一般)'!$A$1:$BF$557,MATCH($C173,'在庫使用計画 (一般)'!$C$1:$C$557,0),MATCH(AC$1,'在庫使用計画 (一般)'!$A$1:$BF$1,0)),INDEX('在庫使用計画 (法人)'!$A$1:$AT$578,MATCH($C173,'在庫使用計画 (法人)'!$C$1:$C$578,0),MATCH(AC$1,'在庫使用計画 (法人)'!$A$1:$AT$1,0)))=0,"",SUM(INDEX('在庫使用計画 (一般)'!$A$1:$BF$557,MATCH($C173,'在庫使用計画 (一般)'!$C$1:$C$557,0),MATCH(AC$1,'在庫使用計画 (一般)'!$A$1:$BF$1,0)),INDEX('在庫使用計画 (法人)'!$A$1:$AT$578,MATCH($C173,'在庫使用計画 (法人)'!$C$1:$C$578,0),MATCH(AC$1,'在庫使用計画 (法人)'!$A$1:$AT$1,0)))),"")</f>
        <v/>
      </c>
      <c r="AD173" s="224" t="s">
        <v>21</v>
      </c>
      <c r="AE173" s="224" t="s">
        <v>21</v>
      </c>
      <c r="AF173" s="224" t="s">
        <v>21</v>
      </c>
      <c r="AG173" s="224" t="s">
        <v>21</v>
      </c>
      <c r="AH173" s="23"/>
      <c r="AI173" s="23"/>
      <c r="AJ173" s="23"/>
      <c r="AK173" s="21"/>
      <c r="AL173" s="21"/>
      <c r="AM173" s="21"/>
      <c r="AN173" s="21"/>
      <c r="AO173" s="21"/>
      <c r="AP173" s="21"/>
      <c r="AQ173" s="21"/>
      <c r="AR173" s="21"/>
      <c r="AS173" s="21"/>
      <c r="AT173" s="21"/>
      <c r="AU173" s="21"/>
      <c r="AV173" s="21"/>
      <c r="AW173" s="21"/>
      <c r="AX173" s="21"/>
      <c r="AY173" s="21"/>
    </row>
    <row r="174" spans="1:51">
      <c r="A174" s="1075" t="s">
        <v>1317</v>
      </c>
      <c r="B174" s="55" t="s">
        <v>1317</v>
      </c>
      <c r="C174" s="57" t="s">
        <v>887</v>
      </c>
      <c r="D174" s="55" t="s">
        <v>1713</v>
      </c>
      <c r="E174" s="58">
        <v>3060</v>
      </c>
      <c r="F174" s="58"/>
      <c r="G174" s="38">
        <f>SUMIFS(在庫確認!C:C,在庫確認!B:B,'(全体実績+予測）の元データ'!C:C)</f>
        <v>0</v>
      </c>
      <c r="H174" s="38">
        <f t="shared" si="13"/>
        <v>0</v>
      </c>
      <c r="I174" s="38"/>
      <c r="J174" s="38"/>
      <c r="K174" s="38"/>
      <c r="L174" s="38"/>
      <c r="M174" s="38"/>
      <c r="N174" s="38"/>
      <c r="O174" s="38"/>
      <c r="P174" s="38"/>
      <c r="Q174" s="219"/>
      <c r="R174" s="219"/>
      <c r="S174" s="219"/>
      <c r="T174" s="219"/>
      <c r="U174" s="224"/>
      <c r="V174" s="224" t="str">
        <f>IFERROR(IF(SUM(INDEX('在庫使用計画 (一般)'!$A$1:$BF$557,MATCH($C174,'在庫使用計画 (一般)'!$C$1:$C$557,0),MATCH(V$1,'在庫使用計画 (一般)'!$A$1:$BF$1,0)),INDEX('在庫使用計画 (法人)'!$A$1:$AT$578,MATCH($C174,'在庫使用計画 (法人)'!$C$1:$C$578,0),MATCH(V$1,'在庫使用計画 (法人)'!$A$1:$AT$1,0)))=0,"",SUM(INDEX('在庫使用計画 (一般)'!$A$1:$BF$557,MATCH($C174,'在庫使用計画 (一般)'!$C$1:$C$557,0),MATCH(V$1,'在庫使用計画 (一般)'!$A$1:$BF$1,0)),INDEX('在庫使用計画 (法人)'!$A$1:$AT$578,MATCH($C174,'在庫使用計画 (法人)'!$C$1:$C$578,0),MATCH(V$1,'在庫使用計画 (法人)'!$A$1:$AT$1,0)))),"")</f>
        <v/>
      </c>
      <c r="W174" s="224" t="str">
        <f>IFERROR(IF(SUM(INDEX('在庫使用計画 (一般)'!$A$1:$BF$557,MATCH($C174,'在庫使用計画 (一般)'!$C$1:$C$557,0),MATCH(W$1,'在庫使用計画 (一般)'!$A$1:$BF$1,0)),INDEX('在庫使用計画 (法人)'!$A$1:$AT$578,MATCH($C174,'在庫使用計画 (法人)'!$C$1:$C$578,0),MATCH(W$1,'在庫使用計画 (法人)'!$A$1:$AT$1,0)))=0,"",SUM(INDEX('在庫使用計画 (一般)'!$A$1:$BF$557,MATCH($C174,'在庫使用計画 (一般)'!$C$1:$C$557,0),MATCH(W$1,'在庫使用計画 (一般)'!$A$1:$BF$1,0)),INDEX('在庫使用計画 (法人)'!$A$1:$AT$578,MATCH($C174,'在庫使用計画 (法人)'!$C$1:$C$578,0),MATCH(W$1,'在庫使用計画 (法人)'!$A$1:$AT$1,0)))),"")</f>
        <v/>
      </c>
      <c r="X174" s="224" t="str">
        <f>IFERROR(IF(SUM(INDEX('在庫使用計画 (一般)'!$A$1:$BF$557,MATCH($C174,'在庫使用計画 (一般)'!$C$1:$C$557,0),MATCH(X$1,'在庫使用計画 (一般)'!$A$1:$BF$1,0)),INDEX('在庫使用計画 (法人)'!$A$1:$AT$578,MATCH($C174,'在庫使用計画 (法人)'!$C$1:$C$578,0),MATCH(X$1,'在庫使用計画 (法人)'!$A$1:$AT$1,0)))=0,"",SUM(INDEX('在庫使用計画 (一般)'!$A$1:$BF$557,MATCH($C174,'在庫使用計画 (一般)'!$C$1:$C$557,0),MATCH(X$1,'在庫使用計画 (一般)'!$A$1:$BF$1,0)),INDEX('在庫使用計画 (法人)'!$A$1:$AT$578,MATCH($C174,'在庫使用計画 (法人)'!$C$1:$C$578,0),MATCH(X$1,'在庫使用計画 (法人)'!$A$1:$AT$1,0)))),"")</f>
        <v/>
      </c>
      <c r="Y174" s="224" t="str">
        <f>IFERROR(IF(SUM(INDEX('在庫使用計画 (一般)'!$A$1:$BF$557,MATCH($C174,'在庫使用計画 (一般)'!$C$1:$C$557,0),MATCH(Y$1,'在庫使用計画 (一般)'!$A$1:$BF$1,0)),INDEX('在庫使用計画 (法人)'!$A$1:$AT$578,MATCH($C174,'在庫使用計画 (法人)'!$C$1:$C$578,0),MATCH(Y$1,'在庫使用計画 (法人)'!$A$1:$AT$1,0)))=0,"",SUM(INDEX('在庫使用計画 (一般)'!$A$1:$BF$557,MATCH($C174,'在庫使用計画 (一般)'!$C$1:$C$557,0),MATCH(Y$1,'在庫使用計画 (一般)'!$A$1:$BF$1,0)),INDEX('在庫使用計画 (法人)'!$A$1:$AT$578,MATCH($C174,'在庫使用計画 (法人)'!$C$1:$C$578,0),MATCH(Y$1,'在庫使用計画 (法人)'!$A$1:$AT$1,0)))),"")</f>
        <v/>
      </c>
      <c r="Z174" s="224" t="str">
        <f>IFERROR(IF(SUM(INDEX('在庫使用計画 (一般)'!$A$1:$BF$557,MATCH($C174,'在庫使用計画 (一般)'!$C$1:$C$557,0),MATCH(Z$1,'在庫使用計画 (一般)'!$A$1:$BF$1,0)),INDEX('在庫使用計画 (法人)'!$A$1:$AT$578,MATCH($C174,'在庫使用計画 (法人)'!$C$1:$C$578,0),MATCH(Z$1,'在庫使用計画 (法人)'!$A$1:$AT$1,0)))=0,"",SUM(INDEX('在庫使用計画 (一般)'!$A$1:$BF$557,MATCH($C174,'在庫使用計画 (一般)'!$C$1:$C$557,0),MATCH(Z$1,'在庫使用計画 (一般)'!$A$1:$BF$1,0)),INDEX('在庫使用計画 (法人)'!$A$1:$AT$578,MATCH($C174,'在庫使用計画 (法人)'!$C$1:$C$578,0),MATCH(Z$1,'在庫使用計画 (法人)'!$A$1:$AT$1,0)))),"")</f>
        <v/>
      </c>
      <c r="AA174" s="224" t="str">
        <f>IFERROR(IF(SUM(INDEX('在庫使用計画 (一般)'!$A$1:$BF$557,MATCH($C174,'在庫使用計画 (一般)'!$C$1:$C$557,0),MATCH(AA$1,'在庫使用計画 (一般)'!$A$1:$BF$1,0)),INDEX('在庫使用計画 (法人)'!$A$1:$AT$578,MATCH($C174,'在庫使用計画 (法人)'!$C$1:$C$578,0),MATCH(AA$1,'在庫使用計画 (法人)'!$A$1:$AT$1,0)))=0,"",SUM(INDEX('在庫使用計画 (一般)'!$A$1:$BF$557,MATCH($C174,'在庫使用計画 (一般)'!$C$1:$C$557,0),MATCH(AA$1,'在庫使用計画 (一般)'!$A$1:$BF$1,0)),INDEX('在庫使用計画 (法人)'!$A$1:$AT$578,MATCH($C174,'在庫使用計画 (法人)'!$C$1:$C$578,0),MATCH(AA$1,'在庫使用計画 (法人)'!$A$1:$AT$1,0)))),"")</f>
        <v/>
      </c>
      <c r="AB174" s="224" t="str">
        <f>IFERROR(IF(SUM(INDEX('在庫使用計画 (一般)'!$A$1:$BF$557,MATCH($C174,'在庫使用計画 (一般)'!$C$1:$C$557,0),MATCH(AB$1,'在庫使用計画 (一般)'!$A$1:$BF$1,0)),INDEX('在庫使用計画 (法人)'!$A$1:$AT$578,MATCH($C174,'在庫使用計画 (法人)'!$C$1:$C$578,0),MATCH(AB$1,'在庫使用計画 (法人)'!$A$1:$AT$1,0)))=0,"",SUM(INDEX('在庫使用計画 (一般)'!$A$1:$BF$557,MATCH($C174,'在庫使用計画 (一般)'!$C$1:$C$557,0),MATCH(AB$1,'在庫使用計画 (一般)'!$A$1:$BF$1,0)),INDEX('在庫使用計画 (法人)'!$A$1:$AT$578,MATCH($C174,'在庫使用計画 (法人)'!$C$1:$C$578,0),MATCH(AB$1,'在庫使用計画 (法人)'!$A$1:$AT$1,0)))),"")</f>
        <v/>
      </c>
      <c r="AC174" s="224" t="str">
        <f>IFERROR(IF(SUM(INDEX('在庫使用計画 (一般)'!$A$1:$BF$557,MATCH($C174,'在庫使用計画 (一般)'!$C$1:$C$557,0),MATCH(AC$1,'在庫使用計画 (一般)'!$A$1:$BF$1,0)),INDEX('在庫使用計画 (法人)'!$A$1:$AT$578,MATCH($C174,'在庫使用計画 (法人)'!$C$1:$C$578,0),MATCH(AC$1,'在庫使用計画 (法人)'!$A$1:$AT$1,0)))=0,"",SUM(INDEX('在庫使用計画 (一般)'!$A$1:$BF$557,MATCH($C174,'在庫使用計画 (一般)'!$C$1:$C$557,0),MATCH(AC$1,'在庫使用計画 (一般)'!$A$1:$BF$1,0)),INDEX('在庫使用計画 (法人)'!$A$1:$AT$578,MATCH($C174,'在庫使用計画 (法人)'!$C$1:$C$578,0),MATCH(AC$1,'在庫使用計画 (法人)'!$A$1:$AT$1,0)))),"")</f>
        <v/>
      </c>
      <c r="AD174" s="224" t="s">
        <v>21</v>
      </c>
      <c r="AE174" s="224" t="s">
        <v>21</v>
      </c>
      <c r="AF174" s="224" t="s">
        <v>21</v>
      </c>
      <c r="AG174" s="224" t="s">
        <v>21</v>
      </c>
      <c r="AH174" s="23"/>
      <c r="AI174" s="23"/>
      <c r="AJ174" s="23"/>
      <c r="AK174" s="21"/>
      <c r="AL174" s="21"/>
      <c r="AM174" s="21"/>
      <c r="AN174" s="21"/>
      <c r="AO174" s="21"/>
      <c r="AP174" s="21"/>
      <c r="AQ174" s="21"/>
      <c r="AR174" s="21"/>
      <c r="AS174" s="21"/>
      <c r="AT174" s="21"/>
      <c r="AU174" s="21"/>
      <c r="AV174" s="21"/>
      <c r="AW174" s="21"/>
      <c r="AX174" s="21"/>
      <c r="AY174" s="21"/>
    </row>
    <row r="175" spans="1:51">
      <c r="A175" s="1075"/>
      <c r="B175" s="55" t="s">
        <v>1016</v>
      </c>
      <c r="C175" s="57" t="s">
        <v>1014</v>
      </c>
      <c r="D175" s="55" t="s">
        <v>38</v>
      </c>
      <c r="E175" s="58">
        <v>4060</v>
      </c>
      <c r="F175" s="58" t="s">
        <v>1347</v>
      </c>
      <c r="G175" s="38">
        <f>SUMIFS(在庫確認!C:C,在庫確認!B:B,'(全体実績+予測）の元データ'!C:C)</f>
        <v>0</v>
      </c>
      <c r="H175" s="38">
        <f t="shared" si="13"/>
        <v>0</v>
      </c>
      <c r="I175" s="38"/>
      <c r="J175" s="38"/>
      <c r="K175" s="38"/>
      <c r="L175" s="38"/>
      <c r="M175" s="38"/>
      <c r="N175" s="38"/>
      <c r="O175" s="38"/>
      <c r="P175" s="38"/>
      <c r="Q175" s="219"/>
      <c r="R175" s="219"/>
      <c r="S175" s="219"/>
      <c r="T175" s="219"/>
      <c r="U175" s="224"/>
      <c r="V175" s="224" t="str">
        <f>IFERROR(IF(SUM(INDEX('在庫使用計画 (一般)'!$A$1:$BF$557,MATCH($C175,'在庫使用計画 (一般)'!$C$1:$C$557,0),MATCH(V$1,'在庫使用計画 (一般)'!$A$1:$BF$1,0)),INDEX('在庫使用計画 (法人)'!$A$1:$AT$578,MATCH($C175,'在庫使用計画 (法人)'!$C$1:$C$578,0),MATCH(V$1,'在庫使用計画 (法人)'!$A$1:$AT$1,0)))=0,"",SUM(INDEX('在庫使用計画 (一般)'!$A$1:$BF$557,MATCH($C175,'在庫使用計画 (一般)'!$C$1:$C$557,0),MATCH(V$1,'在庫使用計画 (一般)'!$A$1:$BF$1,0)),INDEX('在庫使用計画 (法人)'!$A$1:$AT$578,MATCH($C175,'在庫使用計画 (法人)'!$C$1:$C$578,0),MATCH(V$1,'在庫使用計画 (法人)'!$A$1:$AT$1,0)))),"")</f>
        <v/>
      </c>
      <c r="W175" s="224" t="str">
        <f>IFERROR(IF(SUM(INDEX('在庫使用計画 (一般)'!$A$1:$BF$557,MATCH($C175,'在庫使用計画 (一般)'!$C$1:$C$557,0),MATCH(W$1,'在庫使用計画 (一般)'!$A$1:$BF$1,0)),INDEX('在庫使用計画 (法人)'!$A$1:$AT$578,MATCH($C175,'在庫使用計画 (法人)'!$C$1:$C$578,0),MATCH(W$1,'在庫使用計画 (法人)'!$A$1:$AT$1,0)))=0,"",SUM(INDEX('在庫使用計画 (一般)'!$A$1:$BF$557,MATCH($C175,'在庫使用計画 (一般)'!$C$1:$C$557,0),MATCH(W$1,'在庫使用計画 (一般)'!$A$1:$BF$1,0)),INDEX('在庫使用計画 (法人)'!$A$1:$AT$578,MATCH($C175,'在庫使用計画 (法人)'!$C$1:$C$578,0),MATCH(W$1,'在庫使用計画 (法人)'!$A$1:$AT$1,0)))),"")</f>
        <v/>
      </c>
      <c r="X175" s="224" t="str">
        <f>IFERROR(IF(SUM(INDEX('在庫使用計画 (一般)'!$A$1:$BF$557,MATCH($C175,'在庫使用計画 (一般)'!$C$1:$C$557,0),MATCH(X$1,'在庫使用計画 (一般)'!$A$1:$BF$1,0)),INDEX('在庫使用計画 (法人)'!$A$1:$AT$578,MATCH($C175,'在庫使用計画 (法人)'!$C$1:$C$578,0),MATCH(X$1,'在庫使用計画 (法人)'!$A$1:$AT$1,0)))=0,"",SUM(INDEX('在庫使用計画 (一般)'!$A$1:$BF$557,MATCH($C175,'在庫使用計画 (一般)'!$C$1:$C$557,0),MATCH(X$1,'在庫使用計画 (一般)'!$A$1:$BF$1,0)),INDEX('在庫使用計画 (法人)'!$A$1:$AT$578,MATCH($C175,'在庫使用計画 (法人)'!$C$1:$C$578,0),MATCH(X$1,'在庫使用計画 (法人)'!$A$1:$AT$1,0)))),"")</f>
        <v/>
      </c>
      <c r="Y175" s="224" t="str">
        <f>IFERROR(IF(SUM(INDEX('在庫使用計画 (一般)'!$A$1:$BF$557,MATCH($C175,'在庫使用計画 (一般)'!$C$1:$C$557,0),MATCH(Y$1,'在庫使用計画 (一般)'!$A$1:$BF$1,0)),INDEX('在庫使用計画 (法人)'!$A$1:$AT$578,MATCH($C175,'在庫使用計画 (法人)'!$C$1:$C$578,0),MATCH(Y$1,'在庫使用計画 (法人)'!$A$1:$AT$1,0)))=0,"",SUM(INDEX('在庫使用計画 (一般)'!$A$1:$BF$557,MATCH($C175,'在庫使用計画 (一般)'!$C$1:$C$557,0),MATCH(Y$1,'在庫使用計画 (一般)'!$A$1:$BF$1,0)),INDEX('在庫使用計画 (法人)'!$A$1:$AT$578,MATCH($C175,'在庫使用計画 (法人)'!$C$1:$C$578,0),MATCH(Y$1,'在庫使用計画 (法人)'!$A$1:$AT$1,0)))),"")</f>
        <v/>
      </c>
      <c r="Z175" s="224" t="str">
        <f>IFERROR(IF(SUM(INDEX('在庫使用計画 (一般)'!$A$1:$BF$557,MATCH($C175,'在庫使用計画 (一般)'!$C$1:$C$557,0),MATCH(Z$1,'在庫使用計画 (一般)'!$A$1:$BF$1,0)),INDEX('在庫使用計画 (法人)'!$A$1:$AT$578,MATCH($C175,'在庫使用計画 (法人)'!$C$1:$C$578,0),MATCH(Z$1,'在庫使用計画 (法人)'!$A$1:$AT$1,0)))=0,"",SUM(INDEX('在庫使用計画 (一般)'!$A$1:$BF$557,MATCH($C175,'在庫使用計画 (一般)'!$C$1:$C$557,0),MATCH(Z$1,'在庫使用計画 (一般)'!$A$1:$BF$1,0)),INDEX('在庫使用計画 (法人)'!$A$1:$AT$578,MATCH($C175,'在庫使用計画 (法人)'!$C$1:$C$578,0),MATCH(Z$1,'在庫使用計画 (法人)'!$A$1:$AT$1,0)))),"")</f>
        <v/>
      </c>
      <c r="AA175" s="224" t="str">
        <f>IFERROR(IF(SUM(INDEX('在庫使用計画 (一般)'!$A$1:$BF$557,MATCH($C175,'在庫使用計画 (一般)'!$C$1:$C$557,0),MATCH(AA$1,'在庫使用計画 (一般)'!$A$1:$BF$1,0)),INDEX('在庫使用計画 (法人)'!$A$1:$AT$578,MATCH($C175,'在庫使用計画 (法人)'!$C$1:$C$578,0),MATCH(AA$1,'在庫使用計画 (法人)'!$A$1:$AT$1,0)))=0,"",SUM(INDEX('在庫使用計画 (一般)'!$A$1:$BF$557,MATCH($C175,'在庫使用計画 (一般)'!$C$1:$C$557,0),MATCH(AA$1,'在庫使用計画 (一般)'!$A$1:$BF$1,0)),INDEX('在庫使用計画 (法人)'!$A$1:$AT$578,MATCH($C175,'在庫使用計画 (法人)'!$C$1:$C$578,0),MATCH(AA$1,'在庫使用計画 (法人)'!$A$1:$AT$1,0)))),"")</f>
        <v/>
      </c>
      <c r="AB175" s="224" t="str">
        <f>IFERROR(IF(SUM(INDEX('在庫使用計画 (一般)'!$A$1:$BF$557,MATCH($C175,'在庫使用計画 (一般)'!$C$1:$C$557,0),MATCH(AB$1,'在庫使用計画 (一般)'!$A$1:$BF$1,0)),INDEX('在庫使用計画 (法人)'!$A$1:$AT$578,MATCH($C175,'在庫使用計画 (法人)'!$C$1:$C$578,0),MATCH(AB$1,'在庫使用計画 (法人)'!$A$1:$AT$1,0)))=0,"",SUM(INDEX('在庫使用計画 (一般)'!$A$1:$BF$557,MATCH($C175,'在庫使用計画 (一般)'!$C$1:$C$557,0),MATCH(AB$1,'在庫使用計画 (一般)'!$A$1:$BF$1,0)),INDEX('在庫使用計画 (法人)'!$A$1:$AT$578,MATCH($C175,'在庫使用計画 (法人)'!$C$1:$C$578,0),MATCH(AB$1,'在庫使用計画 (法人)'!$A$1:$AT$1,0)))),"")</f>
        <v/>
      </c>
      <c r="AC175" s="224" t="str">
        <f>IFERROR(IF(SUM(INDEX('在庫使用計画 (一般)'!$A$1:$BF$557,MATCH($C175,'在庫使用計画 (一般)'!$C$1:$C$557,0),MATCH(AC$1,'在庫使用計画 (一般)'!$A$1:$BF$1,0)),INDEX('在庫使用計画 (法人)'!$A$1:$AT$578,MATCH($C175,'在庫使用計画 (法人)'!$C$1:$C$578,0),MATCH(AC$1,'在庫使用計画 (法人)'!$A$1:$AT$1,0)))=0,"",SUM(INDEX('在庫使用計画 (一般)'!$A$1:$BF$557,MATCH($C175,'在庫使用計画 (一般)'!$C$1:$C$557,0),MATCH(AC$1,'在庫使用計画 (一般)'!$A$1:$BF$1,0)),INDEX('在庫使用計画 (法人)'!$A$1:$AT$578,MATCH($C175,'在庫使用計画 (法人)'!$C$1:$C$578,0),MATCH(AC$1,'在庫使用計画 (法人)'!$A$1:$AT$1,0)))),"")</f>
        <v/>
      </c>
      <c r="AD175" s="224" t="s">
        <v>21</v>
      </c>
      <c r="AE175" s="224" t="s">
        <v>21</v>
      </c>
      <c r="AF175" s="224" t="s">
        <v>21</v>
      </c>
      <c r="AG175" s="224" t="s">
        <v>21</v>
      </c>
      <c r="AH175" s="23"/>
      <c r="AI175" s="23"/>
      <c r="AJ175" s="23"/>
      <c r="AK175" s="21"/>
      <c r="AL175" s="21"/>
      <c r="AM175" s="21"/>
      <c r="AN175" s="21"/>
      <c r="AO175" s="21"/>
      <c r="AP175" s="21"/>
      <c r="AQ175" s="21"/>
      <c r="AR175" s="21"/>
      <c r="AS175" s="21"/>
      <c r="AT175" s="21"/>
      <c r="AU175" s="21"/>
      <c r="AV175" s="21"/>
      <c r="AW175" s="21"/>
      <c r="AX175" s="21"/>
      <c r="AY175" s="21"/>
    </row>
    <row r="176" spans="1:51">
      <c r="A176" s="1075"/>
      <c r="B176" s="55" t="s">
        <v>538</v>
      </c>
      <c r="C176" s="57" t="s">
        <v>535</v>
      </c>
      <c r="D176" s="55" t="s">
        <v>38</v>
      </c>
      <c r="E176" s="58" t="s">
        <v>438</v>
      </c>
      <c r="F176" s="58" t="s">
        <v>1347</v>
      </c>
      <c r="G176" s="38">
        <f>SUMIFS(在庫確認!C:C,在庫確認!B:B,'(全体実績+予測）の元データ'!C:C)</f>
        <v>0</v>
      </c>
      <c r="H176" s="38">
        <f t="shared" si="13"/>
        <v>0</v>
      </c>
      <c r="I176" s="38"/>
      <c r="J176" s="38"/>
      <c r="K176" s="38"/>
      <c r="L176" s="38"/>
      <c r="M176" s="38"/>
      <c r="N176" s="38"/>
      <c r="O176" s="38"/>
      <c r="P176" s="38"/>
      <c r="Q176" s="219"/>
      <c r="R176" s="219"/>
      <c r="S176" s="219"/>
      <c r="T176" s="219"/>
      <c r="U176" s="224"/>
      <c r="V176" s="237" t="str">
        <f>IFERROR(IF(SUM(INDEX('在庫使用計画 (一般)'!$A$1:$BF$557,MATCH($C176,'在庫使用計画 (一般)'!$C$1:$C$557,0),MATCH(V$1,'在庫使用計画 (一般)'!$A$1:$BF$1,0)),INDEX('在庫使用計画 (法人)'!$A$1:$AT$578,MATCH($C176,'在庫使用計画 (法人)'!$C$1:$C$578,0),MATCH(V$1,'在庫使用計画 (法人)'!$A$1:$AT$1,0)))=0,"",SUM(INDEX('在庫使用計画 (一般)'!$A$1:$BF$557,MATCH($C176,'在庫使用計画 (一般)'!$C$1:$C$557,0),MATCH(V$1,'在庫使用計画 (一般)'!$A$1:$BF$1,0)),INDEX('在庫使用計画 (法人)'!$A$1:$AT$578,MATCH($C176,'在庫使用計画 (法人)'!$C$1:$C$578,0),MATCH(V$1,'在庫使用計画 (法人)'!$A$1:$AT$1,0)))),"")</f>
        <v/>
      </c>
      <c r="W176" s="224" t="str">
        <f>IFERROR(IF(SUM(INDEX('在庫使用計画 (一般)'!$A$1:$BF$557,MATCH($C176,'在庫使用計画 (一般)'!$C$1:$C$557,0),MATCH(W$1,'在庫使用計画 (一般)'!$A$1:$BF$1,0)),INDEX('在庫使用計画 (法人)'!$A$1:$AT$578,MATCH($C176,'在庫使用計画 (法人)'!$C$1:$C$578,0),MATCH(W$1,'在庫使用計画 (法人)'!$A$1:$AT$1,0)))=0,"",SUM(INDEX('在庫使用計画 (一般)'!$A$1:$BF$557,MATCH($C176,'在庫使用計画 (一般)'!$C$1:$C$557,0),MATCH(W$1,'在庫使用計画 (一般)'!$A$1:$BF$1,0)),INDEX('在庫使用計画 (法人)'!$A$1:$AT$578,MATCH($C176,'在庫使用計画 (法人)'!$C$1:$C$578,0),MATCH(W$1,'在庫使用計画 (法人)'!$A$1:$AT$1,0)))),"")</f>
        <v/>
      </c>
      <c r="X176" s="224" t="str">
        <f>IFERROR(IF(SUM(INDEX('在庫使用計画 (一般)'!$A$1:$BF$557,MATCH($C176,'在庫使用計画 (一般)'!$C$1:$C$557,0),MATCH(X$1,'在庫使用計画 (一般)'!$A$1:$BF$1,0)),INDEX('在庫使用計画 (法人)'!$A$1:$AT$578,MATCH($C176,'在庫使用計画 (法人)'!$C$1:$C$578,0),MATCH(X$1,'在庫使用計画 (法人)'!$A$1:$AT$1,0)))=0,"",SUM(INDEX('在庫使用計画 (一般)'!$A$1:$BF$557,MATCH($C176,'在庫使用計画 (一般)'!$C$1:$C$557,0),MATCH(X$1,'在庫使用計画 (一般)'!$A$1:$BF$1,0)),INDEX('在庫使用計画 (法人)'!$A$1:$AT$578,MATCH($C176,'在庫使用計画 (法人)'!$C$1:$C$578,0),MATCH(X$1,'在庫使用計画 (法人)'!$A$1:$AT$1,0)))),"")</f>
        <v/>
      </c>
      <c r="Y176" s="224" t="str">
        <f>IFERROR(IF(SUM(INDEX('在庫使用計画 (一般)'!$A$1:$BF$557,MATCH($C176,'在庫使用計画 (一般)'!$C$1:$C$557,0),MATCH(Y$1,'在庫使用計画 (一般)'!$A$1:$BF$1,0)),INDEX('在庫使用計画 (法人)'!$A$1:$AT$578,MATCH($C176,'在庫使用計画 (法人)'!$C$1:$C$578,0),MATCH(Y$1,'在庫使用計画 (法人)'!$A$1:$AT$1,0)))=0,"",SUM(INDEX('在庫使用計画 (一般)'!$A$1:$BF$557,MATCH($C176,'在庫使用計画 (一般)'!$C$1:$C$557,0),MATCH(Y$1,'在庫使用計画 (一般)'!$A$1:$BF$1,0)),INDEX('在庫使用計画 (法人)'!$A$1:$AT$578,MATCH($C176,'在庫使用計画 (法人)'!$C$1:$C$578,0),MATCH(Y$1,'在庫使用計画 (法人)'!$A$1:$AT$1,0)))),"")</f>
        <v/>
      </c>
      <c r="Z176" s="224" t="str">
        <f>IFERROR(IF(SUM(INDEX('在庫使用計画 (一般)'!$A$1:$BF$557,MATCH($C176,'在庫使用計画 (一般)'!$C$1:$C$557,0),MATCH(Z$1,'在庫使用計画 (一般)'!$A$1:$BF$1,0)),INDEX('在庫使用計画 (法人)'!$A$1:$AT$578,MATCH($C176,'在庫使用計画 (法人)'!$C$1:$C$578,0),MATCH(Z$1,'在庫使用計画 (法人)'!$A$1:$AT$1,0)))=0,"",SUM(INDEX('在庫使用計画 (一般)'!$A$1:$BF$557,MATCH($C176,'在庫使用計画 (一般)'!$C$1:$C$557,0),MATCH(Z$1,'在庫使用計画 (一般)'!$A$1:$BF$1,0)),INDEX('在庫使用計画 (法人)'!$A$1:$AT$578,MATCH($C176,'在庫使用計画 (法人)'!$C$1:$C$578,0),MATCH(Z$1,'在庫使用計画 (法人)'!$A$1:$AT$1,0)))),"")</f>
        <v/>
      </c>
      <c r="AA176" s="224" t="str">
        <f>IFERROR(IF(SUM(INDEX('在庫使用計画 (一般)'!$A$1:$BF$557,MATCH($C176,'在庫使用計画 (一般)'!$C$1:$C$557,0),MATCH(AA$1,'在庫使用計画 (一般)'!$A$1:$BF$1,0)),INDEX('在庫使用計画 (法人)'!$A$1:$AT$578,MATCH($C176,'在庫使用計画 (法人)'!$C$1:$C$578,0),MATCH(AA$1,'在庫使用計画 (法人)'!$A$1:$AT$1,0)))=0,"",SUM(INDEX('在庫使用計画 (一般)'!$A$1:$BF$557,MATCH($C176,'在庫使用計画 (一般)'!$C$1:$C$557,0),MATCH(AA$1,'在庫使用計画 (一般)'!$A$1:$BF$1,0)),INDEX('在庫使用計画 (法人)'!$A$1:$AT$578,MATCH($C176,'在庫使用計画 (法人)'!$C$1:$C$578,0),MATCH(AA$1,'在庫使用計画 (法人)'!$A$1:$AT$1,0)))),"")</f>
        <v/>
      </c>
      <c r="AB176" s="224" t="str">
        <f>IFERROR(IF(SUM(INDEX('在庫使用計画 (一般)'!$A$1:$BF$557,MATCH($C176,'在庫使用計画 (一般)'!$C$1:$C$557,0),MATCH(AB$1,'在庫使用計画 (一般)'!$A$1:$BF$1,0)),INDEX('在庫使用計画 (法人)'!$A$1:$AT$578,MATCH($C176,'在庫使用計画 (法人)'!$C$1:$C$578,0),MATCH(AB$1,'在庫使用計画 (法人)'!$A$1:$AT$1,0)))=0,"",SUM(INDEX('在庫使用計画 (一般)'!$A$1:$BF$557,MATCH($C176,'在庫使用計画 (一般)'!$C$1:$C$557,0),MATCH(AB$1,'在庫使用計画 (一般)'!$A$1:$BF$1,0)),INDEX('在庫使用計画 (法人)'!$A$1:$AT$578,MATCH($C176,'在庫使用計画 (法人)'!$C$1:$C$578,0),MATCH(AB$1,'在庫使用計画 (法人)'!$A$1:$AT$1,0)))),"")</f>
        <v/>
      </c>
      <c r="AC176" s="224" t="str">
        <f>IFERROR(IF(SUM(INDEX('在庫使用計画 (一般)'!$A$1:$BF$557,MATCH($C176,'在庫使用計画 (一般)'!$C$1:$C$557,0),MATCH(AC$1,'在庫使用計画 (一般)'!$A$1:$BF$1,0)),INDEX('在庫使用計画 (法人)'!$A$1:$AT$578,MATCH($C176,'在庫使用計画 (法人)'!$C$1:$C$578,0),MATCH(AC$1,'在庫使用計画 (法人)'!$A$1:$AT$1,0)))=0,"",SUM(INDEX('在庫使用計画 (一般)'!$A$1:$BF$557,MATCH($C176,'在庫使用計画 (一般)'!$C$1:$C$557,0),MATCH(AC$1,'在庫使用計画 (一般)'!$A$1:$BF$1,0)),INDEX('在庫使用計画 (法人)'!$A$1:$AT$578,MATCH($C176,'在庫使用計画 (法人)'!$C$1:$C$578,0),MATCH(AC$1,'在庫使用計画 (法人)'!$A$1:$AT$1,0)))),"")</f>
        <v/>
      </c>
      <c r="AD176" s="224" t="s">
        <v>21</v>
      </c>
      <c r="AE176" s="224" t="s">
        <v>21</v>
      </c>
      <c r="AF176" s="224" t="s">
        <v>21</v>
      </c>
      <c r="AG176" s="224" t="s">
        <v>21</v>
      </c>
      <c r="AH176" s="23"/>
      <c r="AI176" s="23"/>
      <c r="AJ176" s="23"/>
      <c r="AK176" s="21"/>
      <c r="AL176" s="21"/>
      <c r="AM176" s="21"/>
      <c r="AN176" s="21"/>
      <c r="AO176" s="21"/>
      <c r="AP176" s="21"/>
      <c r="AQ176" s="21"/>
      <c r="AR176" s="21"/>
      <c r="AS176" s="21"/>
      <c r="AT176" s="21"/>
      <c r="AU176" s="21"/>
      <c r="AV176" s="21"/>
      <c r="AW176" s="21"/>
      <c r="AX176" s="21"/>
      <c r="AY176" s="21"/>
    </row>
    <row r="177" spans="1:51" ht="18.75" customHeight="1">
      <c r="A177" s="1083"/>
      <c r="B177" s="179" t="s">
        <v>1714</v>
      </c>
      <c r="C177" s="177" t="s">
        <v>1715</v>
      </c>
      <c r="D177" s="178" t="s">
        <v>1430</v>
      </c>
      <c r="E177" s="179" t="s">
        <v>1423</v>
      </c>
      <c r="F177" s="342" t="s">
        <v>1347</v>
      </c>
      <c r="G177" s="357">
        <f>SUMIFS(在庫確認!C:C,在庫確認!B:B,'(全体実績+予測）の元データ'!C:C)</f>
        <v>0</v>
      </c>
      <c r="H177" s="311"/>
      <c r="I177" s="311"/>
      <c r="J177" s="311"/>
      <c r="K177" s="311"/>
      <c r="L177" s="311"/>
      <c r="M177" s="311"/>
      <c r="N177" s="311"/>
      <c r="O177" s="311"/>
      <c r="P177" s="311"/>
      <c r="Q177" s="298"/>
      <c r="R177" s="298"/>
      <c r="S177" s="298"/>
      <c r="T177" s="298"/>
      <c r="U177" s="224"/>
      <c r="V177" s="237"/>
      <c r="W177" s="333"/>
      <c r="X177" s="333"/>
      <c r="Y177" s="333" t="str">
        <f>IF(X177*$Y$107=0,"",X177*$Y$107)</f>
        <v/>
      </c>
      <c r="Z177" s="219"/>
      <c r="AA177" s="476"/>
      <c r="AB177" s="476"/>
      <c r="AC177" s="478" t="str">
        <f>IF(AB177*$AC$46=0,"",AB177*$AC$46)</f>
        <v/>
      </c>
      <c r="AD177" s="478"/>
      <c r="AE177" s="299"/>
      <c r="AF177" s="476"/>
      <c r="AG177" s="476"/>
      <c r="AH177" s="224" t="s">
        <v>21</v>
      </c>
      <c r="AI177" s="224" t="s">
        <v>21</v>
      </c>
      <c r="AJ177" s="224" t="s">
        <v>21</v>
      </c>
      <c r="AK177" s="224" t="s">
        <v>21</v>
      </c>
      <c r="AL177" s="224" t="str">
        <f>IFERROR(IF(SUM(INDEX('在庫使用計画 (一般)'!$A$1:$BF$557,MATCH($C177,'在庫使用計画 (一般)'!$C$1:$C$557,0),MATCH(AL$1,'在庫使用計画 (一般)'!$A$1:$BF$1,0)),INDEX('在庫使用計画 (法人)'!$A$1:$AT$578,MATCH($C177,'在庫使用計画 (法人)'!$C$1:$C$578,0),MATCH(AL$1,'在庫使用計画 (法人)'!$A$1:$AT$1,0)))=0,"",SUM(INDEX('在庫使用計画 (一般)'!$A$1:$BF$557,MATCH($C177,'在庫使用計画 (一般)'!$C$1:$C$557,0),MATCH(AL$1,'在庫使用計画 (一般)'!$A$1:$BF$1,0)),INDEX('在庫使用計画 (法人)'!$A$1:$AT$578,MATCH($C177,'在庫使用計画 (法人)'!$C$1:$C$578,0),MATCH(AL$1,'在庫使用計画 (法人)'!$A$1:$AT$1,0)))),"")</f>
        <v/>
      </c>
      <c r="AM177" s="224" t="str">
        <f>IFERROR(IF(SUM(INDEX('在庫使用計画 (一般)'!$A$1:$BF$557,MATCH($C177,'在庫使用計画 (一般)'!$C$1:$C$557,0),MATCH(AM$1,'在庫使用計画 (一般)'!$A$1:$BF$1,0)),INDEX('在庫使用計画 (法人)'!$A$1:$AT$578,MATCH($C177,'在庫使用計画 (法人)'!$C$1:$C$578,0),MATCH(AM$1,'在庫使用計画 (法人)'!$A$1:$AT$1,0)))=0,"",SUM(INDEX('在庫使用計画 (一般)'!$A$1:$BF$557,MATCH($C177,'在庫使用計画 (一般)'!$C$1:$C$557,0),MATCH(AM$1,'在庫使用計画 (一般)'!$A$1:$BF$1,0)),INDEX('在庫使用計画 (法人)'!$A$1:$AT$578,MATCH($C177,'在庫使用計画 (法人)'!$C$1:$C$578,0),MATCH(AM$1,'在庫使用計画 (法人)'!$A$1:$AT$1,0)))),"")</f>
        <v/>
      </c>
      <c r="AN177" s="224" t="str">
        <f>IFERROR(IF(SUM(INDEX('在庫使用計画 (一般)'!$A$1:$BF$557,MATCH($C177,'在庫使用計画 (一般)'!$C$1:$C$557,0),MATCH(AN$1,'在庫使用計画 (一般)'!$A$1:$BF$1,0)),INDEX('在庫使用計画 (法人)'!$A$1:$AT$578,MATCH($C177,'在庫使用計画 (法人)'!$C$1:$C$578,0),MATCH(AN$1,'在庫使用計画 (法人)'!$A$1:$AT$1,0)))=0,"",SUM(INDEX('在庫使用計画 (一般)'!$A$1:$BF$557,MATCH($C177,'在庫使用計画 (一般)'!$C$1:$C$557,0),MATCH(AN$1,'在庫使用計画 (一般)'!$A$1:$BF$1,0)),INDEX('在庫使用計画 (法人)'!$A$1:$AT$578,MATCH($C177,'在庫使用計画 (法人)'!$C$1:$C$578,0),MATCH(AN$1,'在庫使用計画 (法人)'!$A$1:$AT$1,0)))),"")</f>
        <v/>
      </c>
      <c r="AO177" s="224" t="str">
        <f>IFERROR(IF(SUM(INDEX('在庫使用計画 (一般)'!$A$1:$BF$557,MATCH($C177,'在庫使用計画 (一般)'!$C$1:$C$557,0),MATCH(AO$1,'在庫使用計画 (一般)'!$A$1:$BF$1,0)),INDEX('在庫使用計画 (法人)'!$A$1:$AT$578,MATCH($C177,'在庫使用計画 (法人)'!$C$1:$C$578,0),MATCH(AO$1,'在庫使用計画 (法人)'!$A$1:$AT$1,0)))=0,"",SUM(INDEX('在庫使用計画 (一般)'!$A$1:$BF$557,MATCH($C177,'在庫使用計画 (一般)'!$C$1:$C$557,0),MATCH(AO$1,'在庫使用計画 (一般)'!$A$1:$BF$1,0)),INDEX('在庫使用計画 (法人)'!$A$1:$AT$578,MATCH($C177,'在庫使用計画 (法人)'!$C$1:$C$578,0),MATCH(AO$1,'在庫使用計画 (法人)'!$A$1:$AT$1,0)))),"")</f>
        <v/>
      </c>
      <c r="AP177" s="224" t="str">
        <f>IFERROR(IF(SUM(INDEX('在庫使用計画 (一般)'!$A$1:$BF$557,MATCH($C177,'在庫使用計画 (一般)'!$C$1:$C$557,0),MATCH(AP$1,'在庫使用計画 (一般)'!$A$1:$BF$1,0)),INDEX('在庫使用計画 (法人)'!$A$1:$AT$578,MATCH($C177,'在庫使用計画 (法人)'!$C$1:$C$578,0),MATCH(AP$1,'在庫使用計画 (法人)'!$A$1:$AT$1,0)))=0,"",SUM(INDEX('在庫使用計画 (一般)'!$A$1:$BF$557,MATCH($C177,'在庫使用計画 (一般)'!$C$1:$C$557,0),MATCH(AP$1,'在庫使用計画 (一般)'!$A$1:$BF$1,0)),INDEX('在庫使用計画 (法人)'!$A$1:$AT$578,MATCH($C177,'在庫使用計画 (法人)'!$C$1:$C$578,0),MATCH(AP$1,'在庫使用計画 (法人)'!$A$1:$AT$1,0)))),"")</f>
        <v/>
      </c>
      <c r="AQ177" s="224" t="str">
        <f>IFERROR(IF(SUM(INDEX('在庫使用計画 (一般)'!$A$1:$BF$557,MATCH($C177,'在庫使用計画 (一般)'!$C$1:$C$557,0),MATCH(AQ$1,'在庫使用計画 (一般)'!$A$1:$BF$1,0)),INDEX('在庫使用計画 (法人)'!$A$1:$AT$578,MATCH($C177,'在庫使用計画 (法人)'!$C$1:$C$578,0),MATCH(AQ$1,'在庫使用計画 (法人)'!$A$1:$AT$1,0)))=0,"",SUM(INDEX('在庫使用計画 (一般)'!$A$1:$BF$557,MATCH($C177,'在庫使用計画 (一般)'!$C$1:$C$557,0),MATCH(AQ$1,'在庫使用計画 (一般)'!$A$1:$BF$1,0)),INDEX('在庫使用計画 (法人)'!$A$1:$AT$578,MATCH($C177,'在庫使用計画 (法人)'!$C$1:$C$578,0),MATCH(AQ$1,'在庫使用計画 (法人)'!$A$1:$AT$1,0)))),"")</f>
        <v/>
      </c>
      <c r="AR177" s="224" t="str">
        <f>IFERROR(IF(SUM(INDEX('在庫使用計画 (一般)'!$A$1:$BF$557,MATCH($C177,'在庫使用計画 (一般)'!$C$1:$C$557,0),MATCH(AR$1,'在庫使用計画 (一般)'!$A$1:$BF$1,0)),INDEX('在庫使用計画 (法人)'!$A$1:$AT$578,MATCH($C177,'在庫使用計画 (法人)'!$C$1:$C$578,0),MATCH(AR$1,'在庫使用計画 (法人)'!$A$1:$AT$1,0)))=0,"",SUM(INDEX('在庫使用計画 (一般)'!$A$1:$BF$557,MATCH($C177,'在庫使用計画 (一般)'!$C$1:$C$557,0),MATCH(AR$1,'在庫使用計画 (一般)'!$A$1:$BF$1,0)),INDEX('在庫使用計画 (法人)'!$A$1:$AT$578,MATCH($C177,'在庫使用計画 (法人)'!$C$1:$C$578,0),MATCH(AR$1,'在庫使用計画 (法人)'!$A$1:$AT$1,0)))),"")</f>
        <v/>
      </c>
      <c r="AS177" s="21"/>
      <c r="AT177" s="21"/>
      <c r="AU177" s="21"/>
      <c r="AV177" s="21"/>
      <c r="AW177" s="21"/>
      <c r="AX177" s="21"/>
      <c r="AY177" s="21"/>
    </row>
    <row r="178" spans="1:51" ht="18.75" customHeight="1">
      <c r="A178" s="1059"/>
      <c r="B178" s="26" t="s">
        <v>1716</v>
      </c>
      <c r="C178" s="24" t="s">
        <v>1717</v>
      </c>
      <c r="D178" s="25" t="s">
        <v>1430</v>
      </c>
      <c r="E178" s="26" t="s">
        <v>1423</v>
      </c>
      <c r="F178" s="108" t="s">
        <v>1347</v>
      </c>
      <c r="G178" s="43">
        <f>SUMIFS(在庫確認!C:C,在庫確認!B:B,'(全体実績+予測）の元データ'!C:C)</f>
        <v>0</v>
      </c>
      <c r="H178" s="38"/>
      <c r="I178" s="38"/>
      <c r="J178" s="38"/>
      <c r="K178" s="38"/>
      <c r="L178" s="38"/>
      <c r="M178" s="38"/>
      <c r="N178" s="38"/>
      <c r="O178" s="38"/>
      <c r="P178" s="38"/>
      <c r="Q178" s="219"/>
      <c r="R178" s="219"/>
      <c r="S178" s="219"/>
      <c r="T178" s="219"/>
      <c r="U178" s="224"/>
      <c r="V178" s="237"/>
      <c r="W178" s="333"/>
      <c r="X178" s="333"/>
      <c r="Y178" s="333" t="str">
        <f>IF(X178*$Y$107=0,"",X178*$Y$107)</f>
        <v/>
      </c>
      <c r="Z178" s="219"/>
      <c r="AA178" s="476"/>
      <c r="AB178" s="476"/>
      <c r="AC178" s="478" t="str">
        <f>IF(AB178*$AC$46=0,"",AB178*$AC$46)</f>
        <v/>
      </c>
      <c r="AD178" s="478"/>
      <c r="AE178" s="299"/>
      <c r="AF178" s="476"/>
      <c r="AG178" s="476"/>
      <c r="AH178" s="224" t="s">
        <v>21</v>
      </c>
      <c r="AI178" s="224" t="s">
        <v>21</v>
      </c>
      <c r="AJ178" s="224" t="s">
        <v>21</v>
      </c>
      <c r="AK178" s="224" t="s">
        <v>21</v>
      </c>
      <c r="AL178" s="224" t="str">
        <f>IFERROR(IF(SUM(INDEX('在庫使用計画 (一般)'!$A$1:$BF$557,MATCH($C178,'在庫使用計画 (一般)'!$C$1:$C$557,0),MATCH(AL$1,'在庫使用計画 (一般)'!$A$1:$BF$1,0)),INDEX('在庫使用計画 (法人)'!$A$1:$AT$578,MATCH($C178,'在庫使用計画 (法人)'!$C$1:$C$578,0),MATCH(AL$1,'在庫使用計画 (法人)'!$A$1:$AT$1,0)))=0,"",SUM(INDEX('在庫使用計画 (一般)'!$A$1:$BF$557,MATCH($C178,'在庫使用計画 (一般)'!$C$1:$C$557,0),MATCH(AL$1,'在庫使用計画 (一般)'!$A$1:$BF$1,0)),INDEX('在庫使用計画 (法人)'!$A$1:$AT$578,MATCH($C178,'在庫使用計画 (法人)'!$C$1:$C$578,0),MATCH(AL$1,'在庫使用計画 (法人)'!$A$1:$AT$1,0)))),"")</f>
        <v/>
      </c>
      <c r="AM178" s="224" t="str">
        <f>IFERROR(IF(SUM(INDEX('在庫使用計画 (一般)'!$A$1:$BF$557,MATCH($C178,'在庫使用計画 (一般)'!$C$1:$C$557,0),MATCH(AM$1,'在庫使用計画 (一般)'!$A$1:$BF$1,0)),INDEX('在庫使用計画 (法人)'!$A$1:$AT$578,MATCH($C178,'在庫使用計画 (法人)'!$C$1:$C$578,0),MATCH(AM$1,'在庫使用計画 (法人)'!$A$1:$AT$1,0)))=0,"",SUM(INDEX('在庫使用計画 (一般)'!$A$1:$BF$557,MATCH($C178,'在庫使用計画 (一般)'!$C$1:$C$557,0),MATCH(AM$1,'在庫使用計画 (一般)'!$A$1:$BF$1,0)),INDEX('在庫使用計画 (法人)'!$A$1:$AT$578,MATCH($C178,'在庫使用計画 (法人)'!$C$1:$C$578,0),MATCH(AM$1,'在庫使用計画 (法人)'!$A$1:$AT$1,0)))),"")</f>
        <v/>
      </c>
      <c r="AN178" s="224" t="str">
        <f>IFERROR(IF(SUM(INDEX('在庫使用計画 (一般)'!$A$1:$BF$557,MATCH($C178,'在庫使用計画 (一般)'!$C$1:$C$557,0),MATCH(AN$1,'在庫使用計画 (一般)'!$A$1:$BF$1,0)),INDEX('在庫使用計画 (法人)'!$A$1:$AT$578,MATCH($C178,'在庫使用計画 (法人)'!$C$1:$C$578,0),MATCH(AN$1,'在庫使用計画 (法人)'!$A$1:$AT$1,0)))=0,"",SUM(INDEX('在庫使用計画 (一般)'!$A$1:$BF$557,MATCH($C178,'在庫使用計画 (一般)'!$C$1:$C$557,0),MATCH(AN$1,'在庫使用計画 (一般)'!$A$1:$BF$1,0)),INDEX('在庫使用計画 (法人)'!$A$1:$AT$578,MATCH($C178,'在庫使用計画 (法人)'!$C$1:$C$578,0),MATCH(AN$1,'在庫使用計画 (法人)'!$A$1:$AT$1,0)))),"")</f>
        <v/>
      </c>
      <c r="AO178" s="224" t="str">
        <f>IFERROR(IF(SUM(INDEX('在庫使用計画 (一般)'!$A$1:$BF$557,MATCH($C178,'在庫使用計画 (一般)'!$C$1:$C$557,0),MATCH(AO$1,'在庫使用計画 (一般)'!$A$1:$BF$1,0)),INDEX('在庫使用計画 (法人)'!$A$1:$AT$578,MATCH($C178,'在庫使用計画 (法人)'!$C$1:$C$578,0),MATCH(AO$1,'在庫使用計画 (法人)'!$A$1:$AT$1,0)))=0,"",SUM(INDEX('在庫使用計画 (一般)'!$A$1:$BF$557,MATCH($C178,'在庫使用計画 (一般)'!$C$1:$C$557,0),MATCH(AO$1,'在庫使用計画 (一般)'!$A$1:$BF$1,0)),INDEX('在庫使用計画 (法人)'!$A$1:$AT$578,MATCH($C178,'在庫使用計画 (法人)'!$C$1:$C$578,0),MATCH(AO$1,'在庫使用計画 (法人)'!$A$1:$AT$1,0)))),"")</f>
        <v/>
      </c>
      <c r="AP178" s="224" t="str">
        <f>IFERROR(IF(SUM(INDEX('在庫使用計画 (一般)'!$A$1:$BF$557,MATCH($C178,'在庫使用計画 (一般)'!$C$1:$C$557,0),MATCH(AP$1,'在庫使用計画 (一般)'!$A$1:$BF$1,0)),INDEX('在庫使用計画 (法人)'!$A$1:$AT$578,MATCH($C178,'在庫使用計画 (法人)'!$C$1:$C$578,0),MATCH(AP$1,'在庫使用計画 (法人)'!$A$1:$AT$1,0)))=0,"",SUM(INDEX('在庫使用計画 (一般)'!$A$1:$BF$557,MATCH($C178,'在庫使用計画 (一般)'!$C$1:$C$557,0),MATCH(AP$1,'在庫使用計画 (一般)'!$A$1:$BF$1,0)),INDEX('在庫使用計画 (法人)'!$A$1:$AT$578,MATCH($C178,'在庫使用計画 (法人)'!$C$1:$C$578,0),MATCH(AP$1,'在庫使用計画 (法人)'!$A$1:$AT$1,0)))),"")</f>
        <v/>
      </c>
      <c r="AQ178" s="224" t="str">
        <f>IFERROR(IF(SUM(INDEX('在庫使用計画 (一般)'!$A$1:$BF$557,MATCH($C178,'在庫使用計画 (一般)'!$C$1:$C$557,0),MATCH(AQ$1,'在庫使用計画 (一般)'!$A$1:$BF$1,0)),INDEX('在庫使用計画 (法人)'!$A$1:$AT$578,MATCH($C178,'在庫使用計画 (法人)'!$C$1:$C$578,0),MATCH(AQ$1,'在庫使用計画 (法人)'!$A$1:$AT$1,0)))=0,"",SUM(INDEX('在庫使用計画 (一般)'!$A$1:$BF$557,MATCH($C178,'在庫使用計画 (一般)'!$C$1:$C$557,0),MATCH(AQ$1,'在庫使用計画 (一般)'!$A$1:$BF$1,0)),INDEX('在庫使用計画 (法人)'!$A$1:$AT$578,MATCH($C178,'在庫使用計画 (法人)'!$C$1:$C$578,0),MATCH(AQ$1,'在庫使用計画 (法人)'!$A$1:$AT$1,0)))),"")</f>
        <v/>
      </c>
      <c r="AR178" s="224" t="str">
        <f>IFERROR(IF(SUM(INDEX('在庫使用計画 (一般)'!$A$1:$BF$557,MATCH($C178,'在庫使用計画 (一般)'!$C$1:$C$557,0),MATCH(AR$1,'在庫使用計画 (一般)'!$A$1:$BF$1,0)),INDEX('在庫使用計画 (法人)'!$A$1:$AT$578,MATCH($C178,'在庫使用計画 (法人)'!$C$1:$C$578,0),MATCH(AR$1,'在庫使用計画 (法人)'!$A$1:$AT$1,0)))=0,"",SUM(INDEX('在庫使用計画 (一般)'!$A$1:$BF$557,MATCH($C178,'在庫使用計画 (一般)'!$C$1:$C$557,0),MATCH(AR$1,'在庫使用計画 (一般)'!$A$1:$BF$1,0)),INDEX('在庫使用計画 (法人)'!$A$1:$AT$578,MATCH($C178,'在庫使用計画 (法人)'!$C$1:$C$578,0),MATCH(AR$1,'在庫使用計画 (法人)'!$A$1:$AT$1,0)))),"")</f>
        <v/>
      </c>
      <c r="AS178" s="21"/>
      <c r="AT178" s="21"/>
      <c r="AU178" s="21"/>
      <c r="AV178" s="21"/>
      <c r="AW178" s="21"/>
      <c r="AX178" s="21"/>
      <c r="AY178" s="21"/>
    </row>
    <row r="179" spans="1:51">
      <c r="A179" s="1059"/>
      <c r="B179" s="37"/>
      <c r="C179" s="35" t="s">
        <v>1718</v>
      </c>
      <c r="D179" s="36"/>
      <c r="E179" s="37"/>
      <c r="F179" s="37"/>
      <c r="G179" s="358">
        <f>SUMIFS(在庫確認!C:C,在庫確認!B:B,'(全体実績+予測）の元データ'!C:C)</f>
        <v>0</v>
      </c>
      <c r="H179" s="38">
        <f>SUM(X179:AA179)</f>
        <v>0</v>
      </c>
      <c r="I179" s="42"/>
      <c r="J179" s="42"/>
      <c r="K179" s="42"/>
      <c r="L179" s="42"/>
      <c r="M179" s="42"/>
      <c r="N179" s="42"/>
      <c r="O179" s="42"/>
      <c r="P179" s="42"/>
      <c r="Q179" s="234"/>
      <c r="R179" s="234"/>
      <c r="S179" s="234"/>
      <c r="T179" s="234"/>
      <c r="U179" s="219">
        <v>14</v>
      </c>
      <c r="V179" s="219">
        <v>5</v>
      </c>
      <c r="W179" s="333">
        <f t="shared" ref="W179" si="14">V179*$W$107</f>
        <v>0</v>
      </c>
      <c r="X179" s="333">
        <v>0</v>
      </c>
      <c r="Y179" s="333" t="str">
        <f>IF(X179*$Y$107=0,"",X179*$Y$107)</f>
        <v/>
      </c>
      <c r="Z179" s="219"/>
      <c r="AA179" s="476" t="str">
        <f>IF(Z179*$AA$107=0,"",Z179*$AA$107)</f>
        <v/>
      </c>
      <c r="AB179" s="476"/>
      <c r="AC179" s="478"/>
      <c r="AD179" s="478"/>
      <c r="AE179" s="299"/>
      <c r="AF179" s="478"/>
      <c r="AG179" s="478"/>
      <c r="AH179" s="224" t="s">
        <v>21</v>
      </c>
      <c r="AI179" s="224" t="s">
        <v>21</v>
      </c>
      <c r="AJ179" s="224" t="s">
        <v>21</v>
      </c>
      <c r="AK179" s="224" t="s">
        <v>21</v>
      </c>
      <c r="AL179" s="224" t="str">
        <f>IFERROR(IF(SUM(INDEX('在庫使用計画 (一般)'!$A$1:$BF$557,MATCH($C179,'在庫使用計画 (一般)'!$C$1:$C$557,0),MATCH(AL$1,'在庫使用計画 (一般)'!$A$1:$BF$1,0)),INDEX('在庫使用計画 (法人)'!$A$1:$AT$578,MATCH($C179,'在庫使用計画 (法人)'!$C$1:$C$578,0),MATCH(AL$1,'在庫使用計画 (法人)'!$A$1:$AT$1,0)))=0,"",SUM(INDEX('在庫使用計画 (一般)'!$A$1:$BF$557,MATCH($C179,'在庫使用計画 (一般)'!$C$1:$C$557,0),MATCH(AL$1,'在庫使用計画 (一般)'!$A$1:$BF$1,0)),INDEX('在庫使用計画 (法人)'!$A$1:$AT$578,MATCH($C179,'在庫使用計画 (法人)'!$C$1:$C$578,0),MATCH(AL$1,'在庫使用計画 (法人)'!$A$1:$AT$1,0)))),"")</f>
        <v/>
      </c>
      <c r="AM179" s="224" t="str">
        <f>IFERROR(IF(SUM(INDEX('在庫使用計画 (一般)'!$A$1:$BF$557,MATCH($C179,'在庫使用計画 (一般)'!$C$1:$C$557,0),MATCH(AM$1,'在庫使用計画 (一般)'!$A$1:$BF$1,0)),INDEX('在庫使用計画 (法人)'!$A$1:$AT$578,MATCH($C179,'在庫使用計画 (法人)'!$C$1:$C$578,0),MATCH(AM$1,'在庫使用計画 (法人)'!$A$1:$AT$1,0)))=0,"",SUM(INDEX('在庫使用計画 (一般)'!$A$1:$BF$557,MATCH($C179,'在庫使用計画 (一般)'!$C$1:$C$557,0),MATCH(AM$1,'在庫使用計画 (一般)'!$A$1:$BF$1,0)),INDEX('在庫使用計画 (法人)'!$A$1:$AT$578,MATCH($C179,'在庫使用計画 (法人)'!$C$1:$C$578,0),MATCH(AM$1,'在庫使用計画 (法人)'!$A$1:$AT$1,0)))),"")</f>
        <v/>
      </c>
      <c r="AN179" s="224" t="str">
        <f>IFERROR(IF(SUM(INDEX('在庫使用計画 (一般)'!$A$1:$BF$557,MATCH($C179,'在庫使用計画 (一般)'!$C$1:$C$557,0),MATCH(AN$1,'在庫使用計画 (一般)'!$A$1:$BF$1,0)),INDEX('在庫使用計画 (法人)'!$A$1:$AT$578,MATCH($C179,'在庫使用計画 (法人)'!$C$1:$C$578,0),MATCH(AN$1,'在庫使用計画 (法人)'!$A$1:$AT$1,0)))=0,"",SUM(INDEX('在庫使用計画 (一般)'!$A$1:$BF$557,MATCH($C179,'在庫使用計画 (一般)'!$C$1:$C$557,0),MATCH(AN$1,'在庫使用計画 (一般)'!$A$1:$BF$1,0)),INDEX('在庫使用計画 (法人)'!$A$1:$AT$578,MATCH($C179,'在庫使用計画 (法人)'!$C$1:$C$578,0),MATCH(AN$1,'在庫使用計画 (法人)'!$A$1:$AT$1,0)))),"")</f>
        <v/>
      </c>
      <c r="AO179" s="224" t="str">
        <f>IFERROR(IF(SUM(INDEX('在庫使用計画 (一般)'!$A$1:$BF$557,MATCH($C179,'在庫使用計画 (一般)'!$C$1:$C$557,0),MATCH(AO$1,'在庫使用計画 (一般)'!$A$1:$BF$1,0)),INDEX('在庫使用計画 (法人)'!$A$1:$AT$578,MATCH($C179,'在庫使用計画 (法人)'!$C$1:$C$578,0),MATCH(AO$1,'在庫使用計画 (法人)'!$A$1:$AT$1,0)))=0,"",SUM(INDEX('在庫使用計画 (一般)'!$A$1:$BF$557,MATCH($C179,'在庫使用計画 (一般)'!$C$1:$C$557,0),MATCH(AO$1,'在庫使用計画 (一般)'!$A$1:$BF$1,0)),INDEX('在庫使用計画 (法人)'!$A$1:$AT$578,MATCH($C179,'在庫使用計画 (法人)'!$C$1:$C$578,0),MATCH(AO$1,'在庫使用計画 (法人)'!$A$1:$AT$1,0)))),"")</f>
        <v/>
      </c>
      <c r="AP179" s="224" t="str">
        <f>IFERROR(IF(SUM(INDEX('在庫使用計画 (一般)'!$A$1:$BF$557,MATCH($C179,'在庫使用計画 (一般)'!$C$1:$C$557,0),MATCH(AP$1,'在庫使用計画 (一般)'!$A$1:$BF$1,0)),INDEX('在庫使用計画 (法人)'!$A$1:$AT$578,MATCH($C179,'在庫使用計画 (法人)'!$C$1:$C$578,0),MATCH(AP$1,'在庫使用計画 (法人)'!$A$1:$AT$1,0)))=0,"",SUM(INDEX('在庫使用計画 (一般)'!$A$1:$BF$557,MATCH($C179,'在庫使用計画 (一般)'!$C$1:$C$557,0),MATCH(AP$1,'在庫使用計画 (一般)'!$A$1:$BF$1,0)),INDEX('在庫使用計画 (法人)'!$A$1:$AT$578,MATCH($C179,'在庫使用計画 (法人)'!$C$1:$C$578,0),MATCH(AP$1,'在庫使用計画 (法人)'!$A$1:$AT$1,0)))),"")</f>
        <v/>
      </c>
      <c r="AQ179" s="224" t="str">
        <f>IFERROR(IF(SUM(INDEX('在庫使用計画 (一般)'!$A$1:$BF$557,MATCH($C179,'在庫使用計画 (一般)'!$C$1:$C$557,0),MATCH(AQ$1,'在庫使用計画 (一般)'!$A$1:$BF$1,0)),INDEX('在庫使用計画 (法人)'!$A$1:$AT$578,MATCH($C179,'在庫使用計画 (法人)'!$C$1:$C$578,0),MATCH(AQ$1,'在庫使用計画 (法人)'!$A$1:$AT$1,0)))=0,"",SUM(INDEX('在庫使用計画 (一般)'!$A$1:$BF$557,MATCH($C179,'在庫使用計画 (一般)'!$C$1:$C$557,0),MATCH(AQ$1,'在庫使用計画 (一般)'!$A$1:$BF$1,0)),INDEX('在庫使用計画 (法人)'!$A$1:$AT$578,MATCH($C179,'在庫使用計画 (法人)'!$C$1:$C$578,0),MATCH(AQ$1,'在庫使用計画 (法人)'!$A$1:$AT$1,0)))),"")</f>
        <v/>
      </c>
      <c r="AR179" s="224" t="str">
        <f>IFERROR(IF(SUM(INDEX('在庫使用計画 (一般)'!$A$1:$BF$557,MATCH($C179,'在庫使用計画 (一般)'!$C$1:$C$557,0),MATCH(AR$1,'在庫使用計画 (一般)'!$A$1:$BF$1,0)),INDEX('在庫使用計画 (法人)'!$A$1:$AT$578,MATCH($C179,'在庫使用計画 (法人)'!$C$1:$C$578,0),MATCH(AR$1,'在庫使用計画 (法人)'!$A$1:$AT$1,0)))=0,"",SUM(INDEX('在庫使用計画 (一般)'!$A$1:$BF$557,MATCH($C179,'在庫使用計画 (一般)'!$C$1:$C$557,0),MATCH(AR$1,'在庫使用計画 (一般)'!$A$1:$BF$1,0)),INDEX('在庫使用計画 (法人)'!$A$1:$AT$578,MATCH($C179,'在庫使用計画 (法人)'!$C$1:$C$578,0),MATCH(AR$1,'在庫使用計画 (法人)'!$A$1:$AT$1,0)))),"")</f>
        <v/>
      </c>
      <c r="AS179" s="21"/>
      <c r="AT179" s="21"/>
      <c r="AU179" s="21"/>
      <c r="AV179" s="21"/>
      <c r="AW179" s="21"/>
      <c r="AX179" s="21"/>
      <c r="AY179" s="21"/>
    </row>
  </sheetData>
  <phoneticPr fontId="4"/>
  <conditionalFormatting sqref="A1:BD1">
    <cfRule type="timePeriod" dxfId="118" priority="3" timePeriod="thisMonth">
      <formula>AND(MONTH(A1)=MONTH(TODAY()),YEAR(A1)=YEAR(TODAY()))</formula>
    </cfRule>
  </conditionalFormatting>
  <conditionalFormatting sqref="A1:BD122">
    <cfRule type="expression" dxfId="117" priority="5">
      <formula>AND(ISNUMBER(A$1),YEAR(A$1)=YEAR(TODAY()),MONTH(A$1)=MONTH(TODAY()))</formula>
    </cfRule>
  </conditionalFormatting>
  <conditionalFormatting sqref="C24">
    <cfRule type="duplicateValues" dxfId="116" priority="4"/>
  </conditionalFormatting>
  <conditionalFormatting sqref="H1:H189">
    <cfRule type="expression" dxfId="115" priority="6">
      <formula>OFFSET(INDIRECT(ADDRESS(ROW(),COLUMN())), 0, -1)&lt;INDIRECT(ADDRESS(ROW(),COLUMN()))</formula>
    </cfRule>
  </conditionalFormatting>
  <conditionalFormatting sqref="I49:BD49">
    <cfRule type="expression" dxfId="114" priority="9">
      <formula>I$49&lt;I$50</formula>
    </cfRule>
  </conditionalFormatting>
  <conditionalFormatting sqref="I108:BD108">
    <cfRule type="expression" dxfId="113" priority="8">
      <formula>I$108&lt;I$109</formula>
    </cfRule>
  </conditionalFormatting>
  <conditionalFormatting sqref="I121:BD121">
    <cfRule type="expression" dxfId="112" priority="7">
      <formula>L$121&lt;L$122</formula>
    </cfRule>
  </conditionalFormatting>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2CD32-7544-4B16-B08B-562425073500}">
  <sheetPr codeName="Sheet14"/>
  <dimension ref="A1:BD184"/>
  <sheetViews>
    <sheetView zoomScale="85" zoomScaleNormal="85" workbookViewId="0">
      <selection activeCell="AM5" sqref="AM5"/>
    </sheetView>
  </sheetViews>
  <sheetFormatPr defaultColWidth="9" defaultRowHeight="18.75" outlineLevelCol="1"/>
  <cols>
    <col min="1" max="1" width="9" style="1079"/>
    <col min="2" max="2" width="33.75" style="113" customWidth="1"/>
    <col min="3" max="3" width="19.25" style="113" bestFit="1" customWidth="1"/>
    <col min="4" max="4" width="19.75" style="15" hidden="1" customWidth="1" outlineLevel="1"/>
    <col min="5" max="6" width="10.5" style="15" hidden="1" customWidth="1" outlineLevel="1"/>
    <col min="7" max="7" width="10.5" style="110" customWidth="1" collapsed="1"/>
    <col min="8" max="8" width="10.5" style="110" customWidth="1"/>
    <col min="9" max="14" width="9" style="15" hidden="1" customWidth="1" outlineLevel="1"/>
    <col min="15" max="15" width="10.125" style="15" hidden="1" customWidth="1" outlineLevel="1"/>
    <col min="16" max="27" width="9" style="15" hidden="1" customWidth="1" outlineLevel="1"/>
    <col min="28" max="28" width="9.25" style="15" hidden="1" customWidth="1" outlineLevel="1"/>
    <col min="29" max="29" width="9.625" style="15" hidden="1" customWidth="1" outlineLevel="1"/>
    <col min="30" max="30" width="9.625" style="15" hidden="1" customWidth="1" outlineLevel="1" collapsed="1"/>
    <col min="31" max="31" width="9.625" style="15" hidden="1" customWidth="1" outlineLevel="1"/>
    <col min="32" max="36" width="9" style="15" hidden="1" customWidth="1" outlineLevel="1" collapsed="1"/>
    <col min="37" max="37" width="9" style="15" hidden="1" customWidth="1" outlineLevel="1"/>
    <col min="38" max="38" width="9" style="15" collapsed="1"/>
    <col min="39" max="51" width="9" style="15"/>
  </cols>
  <sheetData>
    <row r="1" spans="1:56">
      <c r="A1" s="1066"/>
      <c r="B1" s="30" t="s">
        <v>9</v>
      </c>
      <c r="C1" s="30" t="s">
        <v>10</v>
      </c>
      <c r="D1" s="30" t="s">
        <v>11</v>
      </c>
      <c r="E1" s="30" t="s">
        <v>12</v>
      </c>
      <c r="F1" s="30" t="s">
        <v>13</v>
      </c>
      <c r="G1" s="30" t="s">
        <v>14</v>
      </c>
      <c r="H1" s="312" t="s">
        <v>1627</v>
      </c>
      <c r="I1" s="216">
        <v>45292</v>
      </c>
      <c r="J1" s="216">
        <v>45323</v>
      </c>
      <c r="K1" s="216">
        <v>45352</v>
      </c>
      <c r="L1" s="216">
        <v>45383</v>
      </c>
      <c r="M1" s="216">
        <v>45413</v>
      </c>
      <c r="N1" s="216">
        <v>45444</v>
      </c>
      <c r="O1" s="216">
        <v>45474</v>
      </c>
      <c r="P1" s="216">
        <v>45505</v>
      </c>
      <c r="Q1" s="216">
        <v>45536</v>
      </c>
      <c r="R1" s="216">
        <v>45566</v>
      </c>
      <c r="S1" s="216">
        <v>45597</v>
      </c>
      <c r="T1" s="216">
        <v>45627</v>
      </c>
      <c r="U1" s="216">
        <v>45658</v>
      </c>
      <c r="V1" s="216">
        <v>45689</v>
      </c>
      <c r="W1" s="216">
        <v>45717</v>
      </c>
      <c r="X1" s="216">
        <v>45748</v>
      </c>
      <c r="Y1" s="216">
        <v>45778</v>
      </c>
      <c r="Z1" s="216">
        <v>45809</v>
      </c>
      <c r="AA1" s="216">
        <v>45839</v>
      </c>
      <c r="AB1" s="216">
        <v>45870</v>
      </c>
      <c r="AC1" s="275">
        <v>45901</v>
      </c>
      <c r="AD1" s="275">
        <v>45931</v>
      </c>
      <c r="AE1" s="275">
        <v>45962</v>
      </c>
      <c r="AF1" s="216">
        <v>45992</v>
      </c>
      <c r="AG1" s="216">
        <v>46023</v>
      </c>
      <c r="AH1" s="216">
        <v>46054</v>
      </c>
      <c r="AI1" s="216">
        <v>46082</v>
      </c>
      <c r="AJ1" s="216">
        <v>46113</v>
      </c>
      <c r="AK1" s="216">
        <v>46143</v>
      </c>
      <c r="AL1" s="216">
        <v>46174</v>
      </c>
      <c r="AM1" s="216">
        <v>46204</v>
      </c>
      <c r="AN1" s="216">
        <v>46235</v>
      </c>
      <c r="AO1" s="216">
        <v>46266</v>
      </c>
      <c r="AP1" s="216">
        <v>46296</v>
      </c>
      <c r="AQ1" s="216">
        <v>46327</v>
      </c>
      <c r="AR1" s="216">
        <v>46357</v>
      </c>
      <c r="AS1" s="216">
        <v>46388</v>
      </c>
      <c r="AT1" s="216">
        <v>46419</v>
      </c>
      <c r="AU1" s="216">
        <v>46447</v>
      </c>
      <c r="AV1" s="216">
        <v>46478</v>
      </c>
      <c r="AW1" s="216">
        <v>46508</v>
      </c>
      <c r="AX1" s="216">
        <v>46539</v>
      </c>
      <c r="AY1" s="216">
        <v>46569</v>
      </c>
      <c r="AZ1" s="216">
        <v>46600</v>
      </c>
      <c r="BA1" s="216">
        <v>46631</v>
      </c>
      <c r="BB1" s="216">
        <v>46661</v>
      </c>
      <c r="BC1" s="216">
        <v>46692</v>
      </c>
      <c r="BD1" s="216">
        <v>46722</v>
      </c>
    </row>
    <row r="2" spans="1:56" ht="18.75" customHeight="1">
      <c r="A2" s="1059"/>
      <c r="B2" s="26" t="s">
        <v>21</v>
      </c>
      <c r="C2" s="26"/>
      <c r="D2" s="26"/>
      <c r="E2" s="26"/>
      <c r="F2" s="24"/>
      <c r="G2" s="38" t="s">
        <v>21</v>
      </c>
      <c r="H2" s="109" t="s">
        <v>21</v>
      </c>
      <c r="I2" s="109"/>
      <c r="J2" s="109"/>
      <c r="K2" s="109"/>
      <c r="L2" s="109"/>
      <c r="M2" s="109"/>
      <c r="N2" s="109"/>
      <c r="O2" s="109"/>
      <c r="P2" s="109"/>
      <c r="Q2" s="222"/>
      <c r="R2" s="222"/>
      <c r="S2" s="222"/>
      <c r="T2" s="677"/>
      <c r="U2" s="678"/>
      <c r="V2" s="678"/>
      <c r="W2" s="467"/>
      <c r="X2" s="508"/>
      <c r="Y2" s="508"/>
      <c r="Z2" s="508"/>
      <c r="AA2" s="508"/>
      <c r="AB2" s="508"/>
      <c r="AC2" s="241"/>
      <c r="AD2" s="224"/>
      <c r="AE2" s="223"/>
      <c r="AF2" s="223"/>
      <c r="AG2" s="223"/>
      <c r="AH2" s="223"/>
      <c r="AI2" s="223"/>
      <c r="AJ2" s="223"/>
      <c r="AK2" s="223" t="s">
        <v>21</v>
      </c>
      <c r="AL2" s="223" t="s">
        <v>21</v>
      </c>
      <c r="AM2" s="223" t="s">
        <v>21</v>
      </c>
      <c r="AN2" s="223" t="s">
        <v>21</v>
      </c>
      <c r="AO2" s="223" t="s">
        <v>21</v>
      </c>
      <c r="AP2" s="223" t="s">
        <v>21</v>
      </c>
      <c r="AQ2" s="223" t="s">
        <v>21</v>
      </c>
      <c r="AR2" s="223" t="s">
        <v>21</v>
      </c>
      <c r="AS2" s="223" t="s">
        <v>21</v>
      </c>
      <c r="AT2" s="223" t="s">
        <v>21</v>
      </c>
      <c r="AU2" s="223" t="s">
        <v>21</v>
      </c>
      <c r="AV2" s="223" t="s">
        <v>21</v>
      </c>
      <c r="AW2" s="223" t="s">
        <v>21</v>
      </c>
      <c r="AX2" s="223" t="s">
        <v>21</v>
      </c>
      <c r="AY2" s="223" t="s">
        <v>21</v>
      </c>
      <c r="AZ2" s="223" t="s">
        <v>21</v>
      </c>
      <c r="BA2" s="223" t="s">
        <v>21</v>
      </c>
      <c r="BB2" s="223" t="s">
        <v>21</v>
      </c>
      <c r="BC2" s="223" t="s">
        <v>21</v>
      </c>
      <c r="BD2" s="223" t="s">
        <v>21</v>
      </c>
    </row>
    <row r="3" spans="1:56" ht="18.75" customHeight="1">
      <c r="A3" s="1059" t="s">
        <v>1628</v>
      </c>
      <c r="B3" s="26" t="s">
        <v>152</v>
      </c>
      <c r="C3" s="26" t="s">
        <v>149</v>
      </c>
      <c r="D3" s="26" t="s">
        <v>1629</v>
      </c>
      <c r="E3" s="26">
        <v>5090</v>
      </c>
      <c r="F3" s="24" t="s">
        <v>20</v>
      </c>
      <c r="G3" s="38">
        <v>65</v>
      </c>
      <c r="H3" s="109"/>
      <c r="I3" s="109"/>
      <c r="J3" s="109"/>
      <c r="K3" s="109"/>
      <c r="L3" s="109"/>
      <c r="M3" s="109"/>
      <c r="N3" s="109"/>
      <c r="O3" s="109"/>
      <c r="P3" s="109"/>
      <c r="Q3" s="222"/>
      <c r="R3" s="222"/>
      <c r="S3" s="222"/>
      <c r="T3" s="677"/>
      <c r="U3" s="678"/>
      <c r="V3" s="678"/>
      <c r="W3" s="467"/>
      <c r="X3" s="508">
        <v>18</v>
      </c>
      <c r="Y3" s="508">
        <v>21</v>
      </c>
      <c r="Z3" s="508">
        <v>24</v>
      </c>
      <c r="AA3" s="508">
        <v>29</v>
      </c>
      <c r="AB3" s="508">
        <v>24</v>
      </c>
      <c r="AC3" s="241">
        <v>16</v>
      </c>
      <c r="AD3" s="224">
        <v>20</v>
      </c>
      <c r="AE3" s="223">
        <v>22</v>
      </c>
      <c r="AF3" s="223">
        <v>14</v>
      </c>
      <c r="AG3" s="223">
        <v>20</v>
      </c>
      <c r="AH3" s="223">
        <v>28</v>
      </c>
      <c r="AI3" s="223">
        <v>52</v>
      </c>
      <c r="AJ3" s="223">
        <v>20</v>
      </c>
      <c r="AK3" s="223">
        <v>1</v>
      </c>
      <c r="AL3" s="223">
        <v>0</v>
      </c>
      <c r="AM3" s="223" t="s">
        <v>21</v>
      </c>
      <c r="AN3" s="223" t="s">
        <v>21</v>
      </c>
      <c r="AO3" s="223" t="s">
        <v>21</v>
      </c>
      <c r="AP3" s="223" t="s">
        <v>21</v>
      </c>
      <c r="AQ3" s="223" t="s">
        <v>21</v>
      </c>
      <c r="AR3" s="223" t="s">
        <v>21</v>
      </c>
      <c r="AS3" s="223" t="s">
        <v>21</v>
      </c>
      <c r="AT3" s="223" t="s">
        <v>21</v>
      </c>
      <c r="AU3" s="223" t="s">
        <v>21</v>
      </c>
      <c r="AV3" s="223" t="s">
        <v>21</v>
      </c>
      <c r="AW3" s="223" t="s">
        <v>21</v>
      </c>
      <c r="AX3" s="223" t="s">
        <v>21</v>
      </c>
      <c r="AY3" s="223" t="s">
        <v>21</v>
      </c>
      <c r="AZ3" s="223" t="s">
        <v>21</v>
      </c>
      <c r="BA3" s="223" t="s">
        <v>21</v>
      </c>
      <c r="BB3" s="223" t="s">
        <v>21</v>
      </c>
      <c r="BC3" s="223" t="s">
        <v>21</v>
      </c>
      <c r="BD3" s="223" t="s">
        <v>21</v>
      </c>
    </row>
    <row r="4" spans="1:56">
      <c r="A4" s="1059" t="s">
        <v>1628</v>
      </c>
      <c r="B4" s="26" t="s">
        <v>186</v>
      </c>
      <c r="C4" s="25" t="s">
        <v>184</v>
      </c>
      <c r="D4" s="26" t="s">
        <v>1719</v>
      </c>
      <c r="E4" s="24" t="s">
        <v>200</v>
      </c>
      <c r="F4" s="24" t="s">
        <v>20</v>
      </c>
      <c r="G4" s="38">
        <v>139</v>
      </c>
      <c r="H4" s="109">
        <v>23.398024891298427</v>
      </c>
      <c r="I4" s="38"/>
      <c r="J4" s="38"/>
      <c r="K4" s="38"/>
      <c r="L4" s="38"/>
      <c r="M4" s="38"/>
      <c r="N4" s="38"/>
      <c r="O4" s="38"/>
      <c r="P4" s="38"/>
      <c r="Q4" s="219"/>
      <c r="R4" s="219"/>
      <c r="S4" s="219"/>
      <c r="T4" s="298"/>
      <c r="U4" s="299"/>
      <c r="V4" s="224"/>
      <c r="W4" s="467"/>
      <c r="X4" s="508"/>
      <c r="Y4" s="219">
        <v>27</v>
      </c>
      <c r="Z4" s="219">
        <v>139</v>
      </c>
      <c r="AA4" s="508">
        <v>160</v>
      </c>
      <c r="AB4" s="508">
        <v>85</v>
      </c>
      <c r="AC4" s="241">
        <v>40</v>
      </c>
      <c r="AD4" s="241" t="s">
        <v>21</v>
      </c>
      <c r="AE4" s="223" t="s">
        <v>21</v>
      </c>
      <c r="AF4" s="223" t="s">
        <v>21</v>
      </c>
      <c r="AG4" s="223">
        <v>0</v>
      </c>
      <c r="AH4" s="223">
        <v>0</v>
      </c>
      <c r="AI4" s="223">
        <v>0</v>
      </c>
      <c r="AJ4" s="223">
        <v>1</v>
      </c>
      <c r="AK4" s="223">
        <v>7</v>
      </c>
      <c r="AL4" s="223">
        <v>5.3571428571428577</v>
      </c>
      <c r="AM4" s="223">
        <v>6.795230269862274</v>
      </c>
      <c r="AN4" s="223">
        <v>5.5536466232555401</v>
      </c>
      <c r="AO4" s="223">
        <v>4.477597648193683</v>
      </c>
      <c r="AP4" s="223">
        <v>3.8929789214155028</v>
      </c>
      <c r="AQ4" s="223">
        <v>4.4242835676229868</v>
      </c>
      <c r="AR4" s="223">
        <v>6.9564265797160161</v>
      </c>
      <c r="AS4" s="223">
        <v>5.8168998300143686</v>
      </c>
      <c r="AT4" s="223">
        <v>5.2363517454824668</v>
      </c>
      <c r="AU4" s="223">
        <v>7.5340511927352996</v>
      </c>
      <c r="AV4" s="223">
        <v>5.7993984915991597</v>
      </c>
      <c r="AW4" s="223">
        <v>4.6297639657283307</v>
      </c>
      <c r="AX4" s="223">
        <v>5.3571428571428585</v>
      </c>
      <c r="AY4" s="223">
        <v>6.7952302698622749</v>
      </c>
      <c r="AZ4" s="223">
        <v>5.553646623255541</v>
      </c>
      <c r="BA4" s="223">
        <v>4.477597648193683</v>
      </c>
      <c r="BB4" s="223">
        <v>3.8929789214155028</v>
      </c>
      <c r="BC4" s="223">
        <v>4.4242835676229868</v>
      </c>
      <c r="BD4" s="223">
        <v>6.9564265797160161</v>
      </c>
    </row>
    <row r="5" spans="1:56">
      <c r="A5" s="1059" t="s">
        <v>1630</v>
      </c>
      <c r="B5" s="26" t="s">
        <v>193</v>
      </c>
      <c r="C5" s="25" t="s">
        <v>190</v>
      </c>
      <c r="D5" s="26" t="s">
        <v>1719</v>
      </c>
      <c r="E5" s="24" t="s">
        <v>200</v>
      </c>
      <c r="F5" s="24" t="s">
        <v>20</v>
      </c>
      <c r="G5" s="38">
        <v>353</v>
      </c>
      <c r="H5" s="109">
        <v>201.22301406516644</v>
      </c>
      <c r="I5" s="38"/>
      <c r="J5" s="38"/>
      <c r="K5" s="38"/>
      <c r="L5" s="38"/>
      <c r="M5" s="38"/>
      <c r="N5" s="38"/>
      <c r="O5" s="38"/>
      <c r="P5" s="38"/>
      <c r="Q5" s="219"/>
      <c r="R5" s="219"/>
      <c r="S5" s="219"/>
      <c r="T5" s="298"/>
      <c r="U5" s="299"/>
      <c r="V5" s="224"/>
      <c r="W5" s="467"/>
      <c r="X5" s="508"/>
      <c r="Y5" s="219">
        <v>27</v>
      </c>
      <c r="Z5" s="219">
        <v>139</v>
      </c>
      <c r="AA5" s="508">
        <v>160</v>
      </c>
      <c r="AB5" s="508">
        <v>85</v>
      </c>
      <c r="AC5" s="241">
        <v>40</v>
      </c>
      <c r="AD5" s="241" t="s">
        <v>21</v>
      </c>
      <c r="AE5" s="223" t="s">
        <v>21</v>
      </c>
      <c r="AF5" s="223" t="s">
        <v>21</v>
      </c>
      <c r="AG5" s="223" t="s">
        <v>21</v>
      </c>
      <c r="AH5" s="223" t="s">
        <v>21</v>
      </c>
      <c r="AI5" s="223">
        <v>0</v>
      </c>
      <c r="AJ5" s="223">
        <v>1</v>
      </c>
      <c r="AK5" s="223">
        <v>8</v>
      </c>
      <c r="AL5" s="223">
        <v>46.071428571428577</v>
      </c>
      <c r="AM5" s="223">
        <v>58.438980320815553</v>
      </c>
      <c r="AN5" s="223">
        <v>47.761360959997639</v>
      </c>
      <c r="AO5" s="223">
        <v>38.507339774465663</v>
      </c>
      <c r="AP5" s="223">
        <v>33.479618724173314</v>
      </c>
      <c r="AQ5" s="223">
        <v>38.048838681557676</v>
      </c>
      <c r="AR5" s="223">
        <v>59.825268585557723</v>
      </c>
      <c r="AS5" s="223">
        <v>50.025338538123556</v>
      </c>
      <c r="AT5" s="223">
        <v>45.032625011149207</v>
      </c>
      <c r="AU5" s="223">
        <v>64.792840257523565</v>
      </c>
      <c r="AV5" s="223">
        <v>49.874827027752765</v>
      </c>
      <c r="AW5" s="223">
        <v>39.815970105263638</v>
      </c>
      <c r="AX5" s="223">
        <v>46.071428571428577</v>
      </c>
      <c r="AY5" s="223">
        <v>58.438980320815553</v>
      </c>
      <c r="AZ5" s="223">
        <v>47.761360959997639</v>
      </c>
      <c r="BA5" s="223">
        <v>38.507339774465663</v>
      </c>
      <c r="BB5" s="223">
        <v>33.479618724173314</v>
      </c>
      <c r="BC5" s="223">
        <v>38.048838681557676</v>
      </c>
      <c r="BD5" s="223">
        <v>59.825268585557723</v>
      </c>
    </row>
    <row r="6" spans="1:56">
      <c r="A6" s="1059"/>
      <c r="B6" s="26" t="s">
        <v>21</v>
      </c>
      <c r="C6" s="26"/>
      <c r="D6" s="26"/>
      <c r="E6" s="26"/>
      <c r="F6" s="26"/>
      <c r="G6" s="43" t="s">
        <v>21</v>
      </c>
      <c r="H6" s="109" t="s">
        <v>21</v>
      </c>
      <c r="I6" s="38"/>
      <c r="J6" s="38"/>
      <c r="K6" s="38"/>
      <c r="L6" s="38"/>
      <c r="M6" s="38"/>
      <c r="N6" s="38"/>
      <c r="O6" s="38"/>
      <c r="P6" s="38"/>
      <c r="Q6" s="219"/>
      <c r="R6" s="219"/>
      <c r="S6" s="219"/>
      <c r="T6" s="222"/>
      <c r="U6" s="223"/>
      <c r="V6" s="223"/>
      <c r="W6" s="467"/>
      <c r="X6" s="508"/>
      <c r="Y6" s="219"/>
      <c r="Z6" s="219" t="s">
        <v>21</v>
      </c>
      <c r="AA6" s="219"/>
      <c r="AB6" s="219"/>
      <c r="AC6" s="224"/>
      <c r="AD6" s="224" t="s">
        <v>21</v>
      </c>
      <c r="AE6" s="223" t="s">
        <v>21</v>
      </c>
      <c r="AF6" s="223" t="s">
        <v>21</v>
      </c>
      <c r="AG6" s="223" t="s">
        <v>21</v>
      </c>
      <c r="AH6" s="223" t="s">
        <v>21</v>
      </c>
      <c r="AI6" s="223" t="s">
        <v>21</v>
      </c>
      <c r="AJ6" s="223" t="s">
        <v>21</v>
      </c>
      <c r="AK6" s="223" t="s">
        <v>21</v>
      </c>
      <c r="AL6" s="223" t="s">
        <v>21</v>
      </c>
      <c r="AM6" s="223" t="s">
        <v>21</v>
      </c>
      <c r="AN6" s="223" t="s">
        <v>21</v>
      </c>
      <c r="AO6" s="223" t="s">
        <v>21</v>
      </c>
      <c r="AP6" s="223" t="s">
        <v>21</v>
      </c>
      <c r="AQ6" s="223" t="s">
        <v>21</v>
      </c>
      <c r="AR6" s="223" t="s">
        <v>21</v>
      </c>
      <c r="AS6" s="223" t="s">
        <v>21</v>
      </c>
      <c r="AT6" s="223" t="s">
        <v>21</v>
      </c>
      <c r="AU6" s="223" t="s">
        <v>21</v>
      </c>
      <c r="AV6" s="223" t="s">
        <v>21</v>
      </c>
      <c r="AW6" s="223" t="s">
        <v>21</v>
      </c>
      <c r="AX6" s="223" t="s">
        <v>21</v>
      </c>
      <c r="AY6" s="223" t="s">
        <v>21</v>
      </c>
      <c r="AZ6" s="223" t="s">
        <v>21</v>
      </c>
      <c r="BA6" s="223" t="s">
        <v>21</v>
      </c>
      <c r="BB6" s="223" t="s">
        <v>21</v>
      </c>
      <c r="BC6" s="223" t="s">
        <v>21</v>
      </c>
      <c r="BD6" s="223" t="s">
        <v>21</v>
      </c>
    </row>
    <row r="7" spans="1:56">
      <c r="A7" s="1059" t="s">
        <v>1632</v>
      </c>
      <c r="B7" s="26" t="s">
        <v>198</v>
      </c>
      <c r="C7" s="25" t="s">
        <v>195</v>
      </c>
      <c r="D7" s="26" t="s">
        <v>1719</v>
      </c>
      <c r="E7" s="24" t="s">
        <v>200</v>
      </c>
      <c r="F7" s="24" t="s">
        <v>20</v>
      </c>
      <c r="G7" s="38">
        <v>10</v>
      </c>
      <c r="H7" s="109">
        <v>229.30064393472458</v>
      </c>
      <c r="I7" s="38"/>
      <c r="J7" s="38"/>
      <c r="K7" s="38"/>
      <c r="L7" s="38"/>
      <c r="M7" s="38"/>
      <c r="N7" s="38"/>
      <c r="O7" s="38"/>
      <c r="P7" s="38"/>
      <c r="Q7" s="219"/>
      <c r="R7" s="219"/>
      <c r="S7" s="219"/>
      <c r="T7" s="298"/>
      <c r="U7" s="299"/>
      <c r="V7" s="224"/>
      <c r="W7" s="467"/>
      <c r="X7" s="508"/>
      <c r="Y7" s="219">
        <v>27</v>
      </c>
      <c r="Z7" s="219">
        <v>139</v>
      </c>
      <c r="AA7" s="508">
        <v>160</v>
      </c>
      <c r="AB7" s="508">
        <v>85</v>
      </c>
      <c r="AC7" s="241">
        <v>40</v>
      </c>
      <c r="AD7" s="241">
        <v>46</v>
      </c>
      <c r="AE7" s="223">
        <v>38</v>
      </c>
      <c r="AF7" s="223">
        <v>75</v>
      </c>
      <c r="AG7" s="223">
        <v>41</v>
      </c>
      <c r="AH7" s="223">
        <v>63</v>
      </c>
      <c r="AI7" s="223">
        <v>26</v>
      </c>
      <c r="AJ7" s="223">
        <v>81</v>
      </c>
      <c r="AK7" s="223">
        <v>245</v>
      </c>
      <c r="AL7" s="223">
        <v>52.5</v>
      </c>
      <c r="AM7" s="223">
        <v>66.593256644650282</v>
      </c>
      <c r="AN7" s="223">
        <v>54.425736907904287</v>
      </c>
      <c r="AO7" s="223">
        <v>43.880456952298083</v>
      </c>
      <c r="AP7" s="223">
        <v>38.151193429871917</v>
      </c>
      <c r="AQ7" s="223">
        <v>43.357978962705253</v>
      </c>
      <c r="AR7" s="223">
        <v>68.172980481216925</v>
      </c>
      <c r="AS7" s="223">
        <v>57.005618334140784</v>
      </c>
      <c r="AT7" s="223">
        <v>51.316247105728152</v>
      </c>
      <c r="AU7" s="223">
        <v>73.833701688805903</v>
      </c>
      <c r="AV7" s="223">
        <v>56.834105217671741</v>
      </c>
      <c r="AW7" s="223">
        <v>45.371686864137622</v>
      </c>
      <c r="AX7" s="223">
        <v>52.499999999999993</v>
      </c>
      <c r="AY7" s="223">
        <v>66.593256644650268</v>
      </c>
      <c r="AZ7" s="223">
        <v>54.42573690790428</v>
      </c>
      <c r="BA7" s="223">
        <v>43.880456952298076</v>
      </c>
      <c r="BB7" s="223">
        <v>38.15119342987191</v>
      </c>
      <c r="BC7" s="223">
        <v>43.357978962705246</v>
      </c>
      <c r="BD7" s="223">
        <v>68.172980481216925</v>
      </c>
    </row>
    <row r="8" spans="1:56">
      <c r="A8" s="1059" t="s">
        <v>1632</v>
      </c>
      <c r="B8" s="181" t="s">
        <v>211</v>
      </c>
      <c r="C8" s="25" t="s">
        <v>209</v>
      </c>
      <c r="D8" s="26" t="s">
        <v>1720</v>
      </c>
      <c r="E8" s="24" t="s">
        <v>200</v>
      </c>
      <c r="F8" s="24" t="s">
        <v>20</v>
      </c>
      <c r="G8" s="38">
        <v>550</v>
      </c>
      <c r="H8" s="109">
        <v>9.3592099565193685</v>
      </c>
      <c r="I8" s="38"/>
      <c r="J8" s="38"/>
      <c r="K8" s="38"/>
      <c r="L8" s="38"/>
      <c r="M8" s="38"/>
      <c r="N8" s="38"/>
      <c r="O8" s="38"/>
      <c r="P8" s="38"/>
      <c r="Q8" s="219"/>
      <c r="R8" s="219"/>
      <c r="S8" s="219"/>
      <c r="T8" s="298"/>
      <c r="U8" s="299"/>
      <c r="V8" s="224"/>
      <c r="W8" s="468"/>
      <c r="X8" s="219"/>
      <c r="Y8" s="219"/>
      <c r="Z8" s="219" t="s">
        <v>21</v>
      </c>
      <c r="AA8" s="219"/>
      <c r="AB8" s="219">
        <v>33</v>
      </c>
      <c r="AC8" s="224">
        <v>52</v>
      </c>
      <c r="AD8" s="241">
        <v>52</v>
      </c>
      <c r="AE8" s="223">
        <v>47</v>
      </c>
      <c r="AF8" s="223">
        <v>92</v>
      </c>
      <c r="AG8" s="223">
        <v>51</v>
      </c>
      <c r="AH8" s="223">
        <v>32</v>
      </c>
      <c r="AI8" s="223">
        <v>95</v>
      </c>
      <c r="AJ8" s="223">
        <v>36</v>
      </c>
      <c r="AK8" s="223">
        <v>2</v>
      </c>
      <c r="AL8" s="223">
        <v>2.1428571428571428</v>
      </c>
      <c r="AM8" s="223">
        <v>2.718092107944909</v>
      </c>
      <c r="AN8" s="223">
        <v>2.2214586493022157</v>
      </c>
      <c r="AO8" s="223">
        <v>1.7910390592774728</v>
      </c>
      <c r="AP8" s="223">
        <v>1.5571915685662006</v>
      </c>
      <c r="AQ8" s="223">
        <v>1.7697134270491941</v>
      </c>
      <c r="AR8" s="223">
        <v>2.7825706318864056</v>
      </c>
      <c r="AS8" s="223">
        <v>2.3267599320057468</v>
      </c>
      <c r="AT8" s="223">
        <v>2.0945406981929864</v>
      </c>
      <c r="AU8" s="223">
        <v>3.0136204770941193</v>
      </c>
      <c r="AV8" s="223">
        <v>2.3197593966396632</v>
      </c>
      <c r="AW8" s="223">
        <v>1.8519055862913318</v>
      </c>
      <c r="AX8" s="223">
        <v>2.1428571428571428</v>
      </c>
      <c r="AY8" s="223">
        <v>2.718092107944909</v>
      </c>
      <c r="AZ8" s="223">
        <v>2.2214586493022157</v>
      </c>
      <c r="BA8" s="223">
        <v>1.7910390592774728</v>
      </c>
      <c r="BB8" s="223">
        <v>1.5571915685662006</v>
      </c>
      <c r="BC8" s="223">
        <v>1.7697134270491941</v>
      </c>
      <c r="BD8" s="223">
        <v>2.7825706318864056</v>
      </c>
    </row>
    <row r="9" spans="1:56">
      <c r="A9" s="1059" t="s">
        <v>1632</v>
      </c>
      <c r="B9" s="181" t="s">
        <v>217</v>
      </c>
      <c r="C9" s="25" t="s">
        <v>215</v>
      </c>
      <c r="D9" s="26" t="s">
        <v>1721</v>
      </c>
      <c r="E9" s="24">
        <v>5070</v>
      </c>
      <c r="F9" s="24" t="s">
        <v>20</v>
      </c>
      <c r="G9" s="38">
        <v>294</v>
      </c>
      <c r="H9" s="109">
        <v>486.67891773900726</v>
      </c>
      <c r="I9" s="38"/>
      <c r="J9" s="38"/>
      <c r="K9" s="38"/>
      <c r="L9" s="38"/>
      <c r="M9" s="38"/>
      <c r="N9" s="38"/>
      <c r="O9" s="38"/>
      <c r="P9" s="38"/>
      <c r="Q9" s="219"/>
      <c r="R9" s="219"/>
      <c r="S9" s="219"/>
      <c r="T9" s="298"/>
      <c r="U9" s="299"/>
      <c r="V9" s="224"/>
      <c r="W9" s="468"/>
      <c r="X9" s="219"/>
      <c r="Y9" s="219"/>
      <c r="Z9" s="219" t="s">
        <v>21</v>
      </c>
      <c r="AA9" s="219"/>
      <c r="AB9" s="219">
        <v>21</v>
      </c>
      <c r="AC9" s="224">
        <v>42</v>
      </c>
      <c r="AD9" s="241">
        <v>81</v>
      </c>
      <c r="AE9" s="223">
        <v>102</v>
      </c>
      <c r="AF9" s="223">
        <v>69</v>
      </c>
      <c r="AG9" s="223">
        <v>56</v>
      </c>
      <c r="AH9" s="223">
        <v>62</v>
      </c>
      <c r="AI9" s="223">
        <v>45</v>
      </c>
      <c r="AJ9" s="223">
        <v>49</v>
      </c>
      <c r="AK9" s="223">
        <v>52</v>
      </c>
      <c r="AL9" s="223">
        <v>111.42857142857143</v>
      </c>
      <c r="AM9" s="223">
        <v>141.34078961313529</v>
      </c>
      <c r="AN9" s="223">
        <v>115.51584976371522</v>
      </c>
      <c r="AO9" s="223">
        <v>93.134031082428592</v>
      </c>
      <c r="AP9" s="223">
        <v>80.973961565442437</v>
      </c>
      <c r="AQ9" s="223">
        <v>92.025098206558098</v>
      </c>
      <c r="AR9" s="223">
        <v>144.69367285809309</v>
      </c>
      <c r="AS9" s="223">
        <v>120.99151646429884</v>
      </c>
      <c r="AT9" s="223">
        <v>108.91611630603529</v>
      </c>
      <c r="AU9" s="223">
        <v>156.7082648088942</v>
      </c>
      <c r="AV9" s="223">
        <v>120.6274886252625</v>
      </c>
      <c r="AW9" s="223">
        <v>96.299090487149257</v>
      </c>
      <c r="AX9" s="223">
        <v>111.42857142857143</v>
      </c>
      <c r="AY9" s="223">
        <v>141.34078961313529</v>
      </c>
      <c r="AZ9" s="223">
        <v>115.51584976371522</v>
      </c>
      <c r="BA9" s="223">
        <v>93.134031082428592</v>
      </c>
      <c r="BB9" s="223">
        <v>80.973961565442437</v>
      </c>
      <c r="BC9" s="223">
        <v>92.025098206558098</v>
      </c>
      <c r="BD9" s="223">
        <v>144.69367285809309</v>
      </c>
    </row>
    <row r="10" spans="1:56">
      <c r="A10" s="1059" t="s">
        <v>1632</v>
      </c>
      <c r="B10" s="26" t="s">
        <v>247</v>
      </c>
      <c r="C10" s="25" t="s">
        <v>244</v>
      </c>
      <c r="D10" s="26" t="s">
        <v>1722</v>
      </c>
      <c r="E10" s="24">
        <v>5060</v>
      </c>
      <c r="F10" s="24" t="s">
        <v>20</v>
      </c>
      <c r="G10" s="38">
        <v>0</v>
      </c>
      <c r="H10" s="109">
        <v>9.3592099565193685</v>
      </c>
      <c r="I10" s="311"/>
      <c r="J10" s="311"/>
      <c r="K10" s="311"/>
      <c r="L10" s="311"/>
      <c r="M10" s="311"/>
      <c r="N10" s="311"/>
      <c r="O10" s="311"/>
      <c r="P10" s="311"/>
      <c r="Q10" s="298"/>
      <c r="R10" s="298"/>
      <c r="S10" s="298"/>
      <c r="T10" s="298"/>
      <c r="U10" s="299"/>
      <c r="V10" s="224"/>
      <c r="W10" s="219"/>
      <c r="X10" s="480"/>
      <c r="Y10" s="219">
        <v>8</v>
      </c>
      <c r="Z10" s="219">
        <v>77</v>
      </c>
      <c r="AA10" s="508">
        <v>75</v>
      </c>
      <c r="AB10" s="508">
        <v>65</v>
      </c>
      <c r="AC10" s="241">
        <v>29</v>
      </c>
      <c r="AD10" s="241">
        <v>31</v>
      </c>
      <c r="AE10" s="223">
        <v>56</v>
      </c>
      <c r="AF10" s="223">
        <v>64</v>
      </c>
      <c r="AG10" s="223">
        <v>43</v>
      </c>
      <c r="AH10" s="223">
        <v>28</v>
      </c>
      <c r="AI10" s="223">
        <v>99</v>
      </c>
      <c r="AJ10" s="223">
        <v>85</v>
      </c>
      <c r="AK10" s="223">
        <v>11</v>
      </c>
      <c r="AL10" s="223">
        <v>2.1428571428571428</v>
      </c>
      <c r="AM10" s="223">
        <v>2.718092107944909</v>
      </c>
      <c r="AN10" s="223">
        <v>2.2214586493022157</v>
      </c>
      <c r="AO10" s="223">
        <v>1.7910390592774728</v>
      </c>
      <c r="AP10" s="223">
        <v>1.5571915685662006</v>
      </c>
      <c r="AQ10" s="223">
        <v>1.7697134270491941</v>
      </c>
      <c r="AR10" s="223">
        <v>2.7825706318864056</v>
      </c>
      <c r="AS10" s="223">
        <v>2.3267599320057468</v>
      </c>
      <c r="AT10" s="223">
        <v>2.0945406981929864</v>
      </c>
      <c r="AU10" s="223">
        <v>3.0136204770941193</v>
      </c>
      <c r="AV10" s="223">
        <v>2.3197593966396632</v>
      </c>
      <c r="AW10" s="223">
        <v>1.8519055862913318</v>
      </c>
      <c r="AX10" s="223">
        <v>2.1428571428571428</v>
      </c>
      <c r="AY10" s="223">
        <v>2.718092107944909</v>
      </c>
      <c r="AZ10" s="223">
        <v>2.2214586493022157</v>
      </c>
      <c r="BA10" s="223">
        <v>1.7910390592774728</v>
      </c>
      <c r="BB10" s="223">
        <v>1.5571915685662006</v>
      </c>
      <c r="BC10" s="223">
        <v>1.7697134270491941</v>
      </c>
      <c r="BD10" s="223">
        <v>2.7825706318864056</v>
      </c>
    </row>
    <row r="11" spans="1:56">
      <c r="A11" s="1059" t="s">
        <v>1632</v>
      </c>
      <c r="B11" s="181" t="s">
        <v>259</v>
      </c>
      <c r="C11" s="25" t="s">
        <v>256</v>
      </c>
      <c r="D11" s="26" t="s">
        <v>1721</v>
      </c>
      <c r="E11" s="24">
        <v>5060</v>
      </c>
      <c r="F11" s="24" t="s">
        <v>20</v>
      </c>
      <c r="G11" s="38">
        <v>5</v>
      </c>
      <c r="H11" s="109">
        <v>4.6796049782596842</v>
      </c>
      <c r="I11" s="38"/>
      <c r="J11" s="38"/>
      <c r="K11" s="38"/>
      <c r="L11" s="38"/>
      <c r="M11" s="38"/>
      <c r="N11" s="38"/>
      <c r="O11" s="38"/>
      <c r="P11" s="38"/>
      <c r="Q11" s="219"/>
      <c r="R11" s="219"/>
      <c r="S11" s="219"/>
      <c r="T11" s="298"/>
      <c r="U11" s="299"/>
      <c r="V11" s="224"/>
      <c r="W11" s="468"/>
      <c r="X11" s="480"/>
      <c r="Y11" s="219"/>
      <c r="Z11" s="219"/>
      <c r="AA11" s="508"/>
      <c r="AB11" s="508"/>
      <c r="AC11" s="241">
        <v>2</v>
      </c>
      <c r="AD11" s="241">
        <v>15</v>
      </c>
      <c r="AE11" s="223">
        <v>18</v>
      </c>
      <c r="AF11" s="223">
        <v>9</v>
      </c>
      <c r="AG11" s="223">
        <v>24</v>
      </c>
      <c r="AH11" s="223">
        <v>5</v>
      </c>
      <c r="AI11" s="223">
        <v>19</v>
      </c>
      <c r="AJ11" s="223">
        <v>243</v>
      </c>
      <c r="AK11" s="223">
        <v>346</v>
      </c>
      <c r="AL11" s="223">
        <v>1.0714285714285714</v>
      </c>
      <c r="AM11" s="223">
        <v>1.3590460539724545</v>
      </c>
      <c r="AN11" s="223">
        <v>1.1107293246511079</v>
      </c>
      <c r="AO11" s="223">
        <v>0.89551952963873638</v>
      </c>
      <c r="AP11" s="223">
        <v>0.77859578428310028</v>
      </c>
      <c r="AQ11" s="223">
        <v>0.88485671352459705</v>
      </c>
      <c r="AR11" s="223">
        <v>1.3912853159432028</v>
      </c>
      <c r="AS11" s="223">
        <v>1.1633799660028734</v>
      </c>
      <c r="AT11" s="223">
        <v>1.0472703490964932</v>
      </c>
      <c r="AU11" s="223">
        <v>1.5068102385470596</v>
      </c>
      <c r="AV11" s="223">
        <v>1.1598796983198316</v>
      </c>
      <c r="AW11" s="223">
        <v>0.92595279314566592</v>
      </c>
      <c r="AX11" s="223">
        <v>1.0714285714285714</v>
      </c>
      <c r="AY11" s="223">
        <v>1.3590460539724545</v>
      </c>
      <c r="AZ11" s="223">
        <v>1.1107293246511079</v>
      </c>
      <c r="BA11" s="223">
        <v>0.89551952963873638</v>
      </c>
      <c r="BB11" s="223">
        <v>0.77859578428310028</v>
      </c>
      <c r="BC11" s="223">
        <v>0.88485671352459705</v>
      </c>
      <c r="BD11" s="223">
        <v>1.3912853159432028</v>
      </c>
    </row>
    <row r="12" spans="1:56">
      <c r="A12" s="1059"/>
      <c r="B12" s="26" t="s">
        <v>21</v>
      </c>
      <c r="C12" s="26"/>
      <c r="D12" s="26"/>
      <c r="E12" s="26"/>
      <c r="F12" s="26"/>
      <c r="G12" s="43" t="s">
        <v>21</v>
      </c>
      <c r="H12" s="109" t="s">
        <v>21</v>
      </c>
      <c r="I12" s="38"/>
      <c r="J12" s="38"/>
      <c r="K12" s="38"/>
      <c r="L12" s="38"/>
      <c r="M12" s="38"/>
      <c r="N12" s="38"/>
      <c r="O12" s="38"/>
      <c r="P12" s="38"/>
      <c r="Q12" s="219"/>
      <c r="R12" s="219"/>
      <c r="S12" s="219"/>
      <c r="T12" s="219"/>
      <c r="U12" s="224"/>
      <c r="V12" s="224"/>
      <c r="W12" s="468"/>
      <c r="X12" s="480"/>
      <c r="Y12" s="219"/>
      <c r="Z12" s="219" t="s">
        <v>21</v>
      </c>
      <c r="AA12" s="219"/>
      <c r="AB12" s="219"/>
      <c r="AC12" s="224"/>
      <c r="AD12" s="241" t="s">
        <v>21</v>
      </c>
      <c r="AE12" s="223" t="s">
        <v>21</v>
      </c>
      <c r="AF12" s="223" t="s">
        <v>21</v>
      </c>
      <c r="AG12" s="223" t="s">
        <v>21</v>
      </c>
      <c r="AH12" s="223" t="s">
        <v>21</v>
      </c>
      <c r="AI12" s="223" t="s">
        <v>21</v>
      </c>
      <c r="AJ12" s="223" t="s">
        <v>21</v>
      </c>
      <c r="AK12" s="223" t="s">
        <v>21</v>
      </c>
      <c r="AL12" s="223" t="s">
        <v>21</v>
      </c>
      <c r="AM12" s="223" t="s">
        <v>21</v>
      </c>
      <c r="AN12" s="223" t="s">
        <v>21</v>
      </c>
      <c r="AO12" s="223" t="s">
        <v>21</v>
      </c>
      <c r="AP12" s="223" t="s">
        <v>21</v>
      </c>
      <c r="AQ12" s="223" t="s">
        <v>21</v>
      </c>
      <c r="AR12" s="223" t="s">
        <v>21</v>
      </c>
      <c r="AS12" s="223" t="s">
        <v>21</v>
      </c>
      <c r="AT12" s="223" t="s">
        <v>21</v>
      </c>
      <c r="AU12" s="223" t="s">
        <v>21</v>
      </c>
      <c r="AV12" s="223" t="s">
        <v>21</v>
      </c>
      <c r="AW12" s="223" t="s">
        <v>21</v>
      </c>
      <c r="AX12" s="223" t="s">
        <v>21</v>
      </c>
      <c r="AY12" s="223" t="s">
        <v>21</v>
      </c>
      <c r="AZ12" s="223" t="s">
        <v>21</v>
      </c>
      <c r="BA12" s="223" t="s">
        <v>21</v>
      </c>
      <c r="BB12" s="223" t="s">
        <v>21</v>
      </c>
      <c r="BC12" s="223" t="s">
        <v>21</v>
      </c>
      <c r="BD12" s="223" t="s">
        <v>21</v>
      </c>
    </row>
    <row r="13" spans="1:56">
      <c r="A13" s="1127" t="s">
        <v>1633</v>
      </c>
      <c r="B13" s="26" t="s">
        <v>395</v>
      </c>
      <c r="C13" s="25" t="s">
        <v>394</v>
      </c>
      <c r="D13" s="26" t="s">
        <v>1719</v>
      </c>
      <c r="E13" s="24" t="s">
        <v>200</v>
      </c>
      <c r="F13" s="24" t="s">
        <v>20</v>
      </c>
      <c r="G13" s="38">
        <v>0</v>
      </c>
      <c r="H13" s="109">
        <v>0</v>
      </c>
      <c r="I13" s="38"/>
      <c r="J13" s="38"/>
      <c r="K13" s="38"/>
      <c r="L13" s="38"/>
      <c r="M13" s="38"/>
      <c r="N13" s="38"/>
      <c r="O13" s="38"/>
      <c r="P13" s="38"/>
      <c r="Q13" s="219"/>
      <c r="R13" s="219"/>
      <c r="S13" s="219"/>
      <c r="T13" s="298"/>
      <c r="U13" s="299"/>
      <c r="V13" s="224"/>
      <c r="W13" s="467"/>
      <c r="X13" s="508"/>
      <c r="Y13" s="219">
        <v>27</v>
      </c>
      <c r="Z13" s="219">
        <v>139</v>
      </c>
      <c r="AA13" s="508">
        <v>160</v>
      </c>
      <c r="AB13" s="508">
        <v>85</v>
      </c>
      <c r="AC13" s="241">
        <v>40</v>
      </c>
      <c r="AD13" s="241" t="s">
        <v>21</v>
      </c>
      <c r="AE13" s="223" t="s">
        <v>21</v>
      </c>
      <c r="AF13" s="223" t="s">
        <v>21</v>
      </c>
      <c r="AG13" s="223" t="s">
        <v>21</v>
      </c>
      <c r="AH13" s="223" t="s">
        <v>21</v>
      </c>
      <c r="AI13" s="223" t="s">
        <v>21</v>
      </c>
      <c r="AJ13" s="223">
        <v>0</v>
      </c>
      <c r="AK13" s="223">
        <v>0</v>
      </c>
      <c r="AL13" s="223">
        <v>0</v>
      </c>
      <c r="AM13" s="223" t="s">
        <v>21</v>
      </c>
      <c r="AN13" s="223" t="s">
        <v>21</v>
      </c>
      <c r="AO13" s="223" t="s">
        <v>21</v>
      </c>
      <c r="AP13" s="223" t="s">
        <v>21</v>
      </c>
      <c r="AQ13" s="223" t="s">
        <v>21</v>
      </c>
      <c r="AR13" s="223" t="s">
        <v>21</v>
      </c>
      <c r="AS13" s="223" t="s">
        <v>21</v>
      </c>
      <c r="AT13" s="223" t="s">
        <v>21</v>
      </c>
      <c r="AU13" s="223" t="s">
        <v>21</v>
      </c>
      <c r="AV13" s="223" t="s">
        <v>21</v>
      </c>
      <c r="AW13" s="223" t="s">
        <v>21</v>
      </c>
      <c r="AX13" s="223" t="s">
        <v>21</v>
      </c>
      <c r="AY13" s="223" t="s">
        <v>21</v>
      </c>
      <c r="AZ13" s="223" t="s">
        <v>21</v>
      </c>
      <c r="BA13" s="223" t="s">
        <v>21</v>
      </c>
      <c r="BB13" s="223" t="s">
        <v>21</v>
      </c>
      <c r="BC13" s="223" t="s">
        <v>21</v>
      </c>
      <c r="BD13" s="223" t="s">
        <v>21</v>
      </c>
    </row>
    <row r="14" spans="1:56">
      <c r="A14" s="1060" t="s">
        <v>1633</v>
      </c>
      <c r="B14" s="181" t="s">
        <v>301</v>
      </c>
      <c r="C14" s="26" t="s">
        <v>298</v>
      </c>
      <c r="D14" s="26" t="s">
        <v>1723</v>
      </c>
      <c r="E14" s="26">
        <v>5060</v>
      </c>
      <c r="F14" s="26" t="s">
        <v>20</v>
      </c>
      <c r="G14" s="43">
        <v>179</v>
      </c>
      <c r="H14" s="109">
        <v>2756.2873321949546</v>
      </c>
      <c r="I14" s="38"/>
      <c r="J14" s="38"/>
      <c r="K14" s="38"/>
      <c r="L14" s="38"/>
      <c r="M14" s="38"/>
      <c r="N14" s="38"/>
      <c r="O14" s="38"/>
      <c r="P14" s="38"/>
      <c r="Q14" s="219"/>
      <c r="R14" s="219"/>
      <c r="S14" s="219"/>
      <c r="T14" s="219"/>
      <c r="U14" s="224"/>
      <c r="V14" s="224"/>
      <c r="W14" s="468"/>
      <c r="X14" s="480"/>
      <c r="Y14" s="219"/>
      <c r="Z14" s="219"/>
      <c r="AA14" s="219"/>
      <c r="AB14" s="508"/>
      <c r="AC14" s="241"/>
      <c r="AD14" s="241">
        <v>83</v>
      </c>
      <c r="AE14" s="223">
        <v>134</v>
      </c>
      <c r="AF14" s="223">
        <v>386</v>
      </c>
      <c r="AG14" s="223">
        <v>343</v>
      </c>
      <c r="AH14" s="223">
        <v>285</v>
      </c>
      <c r="AI14" s="223">
        <v>336</v>
      </c>
      <c r="AJ14" s="223">
        <v>317</v>
      </c>
      <c r="AK14" s="223">
        <v>116</v>
      </c>
      <c r="AL14" s="223">
        <v>631.07142857142856</v>
      </c>
      <c r="AM14" s="223">
        <v>800.47812578977573</v>
      </c>
      <c r="AN14" s="223">
        <v>654.21957221950254</v>
      </c>
      <c r="AO14" s="223">
        <v>527.46100295721578</v>
      </c>
      <c r="AP14" s="223">
        <v>458.59291694274617</v>
      </c>
      <c r="AQ14" s="223">
        <v>521.18060426598777</v>
      </c>
      <c r="AR14" s="223">
        <v>819.46705109054653</v>
      </c>
      <c r="AS14" s="223">
        <v>685.23079997569243</v>
      </c>
      <c r="AT14" s="223">
        <v>616.84223561783449</v>
      </c>
      <c r="AU14" s="223">
        <v>887.51123050421813</v>
      </c>
      <c r="AV14" s="223">
        <v>683.16914231038095</v>
      </c>
      <c r="AW14" s="223">
        <v>545.38619516279732</v>
      </c>
      <c r="AX14" s="223">
        <v>631.07142857142867</v>
      </c>
      <c r="AY14" s="223">
        <v>800.47812578977585</v>
      </c>
      <c r="AZ14" s="223">
        <v>654.21957221950265</v>
      </c>
      <c r="BA14" s="223">
        <v>527.46100295721578</v>
      </c>
      <c r="BB14" s="223">
        <v>458.59291694274617</v>
      </c>
      <c r="BC14" s="223">
        <v>521.18060426598777</v>
      </c>
      <c r="BD14" s="223">
        <v>819.46705109054653</v>
      </c>
    </row>
    <row r="15" spans="1:56">
      <c r="A15" s="1127" t="s">
        <v>1633</v>
      </c>
      <c r="B15" s="26" t="s">
        <v>397</v>
      </c>
      <c r="C15" s="25" t="s">
        <v>306</v>
      </c>
      <c r="D15" s="26" t="s">
        <v>1719</v>
      </c>
      <c r="E15" s="24" t="s">
        <v>200</v>
      </c>
      <c r="F15" s="24" t="s">
        <v>20</v>
      </c>
      <c r="G15" s="38">
        <v>1355</v>
      </c>
      <c r="H15" s="109">
        <v>0</v>
      </c>
      <c r="I15" s="38"/>
      <c r="J15" s="38"/>
      <c r="K15" s="38"/>
      <c r="L15" s="38"/>
      <c r="M15" s="38"/>
      <c r="N15" s="38"/>
      <c r="O15" s="38"/>
      <c r="P15" s="38"/>
      <c r="Q15" s="219"/>
      <c r="R15" s="219"/>
      <c r="S15" s="219"/>
      <c r="T15" s="298"/>
      <c r="U15" s="299"/>
      <c r="V15" s="224"/>
      <c r="W15" s="467"/>
      <c r="X15" s="508"/>
      <c r="Y15" s="219">
        <v>27</v>
      </c>
      <c r="Z15" s="219">
        <v>139</v>
      </c>
      <c r="AA15" s="508">
        <v>160</v>
      </c>
      <c r="AB15" s="508">
        <v>85</v>
      </c>
      <c r="AC15" s="241">
        <v>40</v>
      </c>
      <c r="AD15" s="241" t="s">
        <v>21</v>
      </c>
      <c r="AE15" s="223" t="s">
        <v>21</v>
      </c>
      <c r="AF15" s="223" t="s">
        <v>21</v>
      </c>
      <c r="AG15" s="223" t="s">
        <v>21</v>
      </c>
      <c r="AH15" s="223" t="s">
        <v>21</v>
      </c>
      <c r="AI15" s="223" t="s">
        <v>21</v>
      </c>
      <c r="AJ15" s="223">
        <v>0</v>
      </c>
      <c r="AK15" s="223">
        <v>0</v>
      </c>
      <c r="AL15" s="223">
        <v>0</v>
      </c>
      <c r="AM15" s="223" t="s">
        <v>21</v>
      </c>
      <c r="AN15" s="223" t="s">
        <v>21</v>
      </c>
      <c r="AO15" s="223" t="s">
        <v>21</v>
      </c>
      <c r="AP15" s="223" t="s">
        <v>21</v>
      </c>
      <c r="AQ15" s="223" t="s">
        <v>21</v>
      </c>
      <c r="AR15" s="223" t="s">
        <v>21</v>
      </c>
      <c r="AS15" s="223" t="s">
        <v>21</v>
      </c>
      <c r="AT15" s="223" t="s">
        <v>21</v>
      </c>
      <c r="AU15" s="223" t="s">
        <v>21</v>
      </c>
      <c r="AV15" s="223" t="s">
        <v>21</v>
      </c>
      <c r="AW15" s="223" t="s">
        <v>21</v>
      </c>
      <c r="AX15" s="223" t="s">
        <v>21</v>
      </c>
      <c r="AY15" s="223" t="s">
        <v>21</v>
      </c>
      <c r="AZ15" s="223" t="s">
        <v>21</v>
      </c>
      <c r="BA15" s="223" t="s">
        <v>21</v>
      </c>
      <c r="BB15" s="223" t="s">
        <v>21</v>
      </c>
      <c r="BC15" s="223" t="s">
        <v>21</v>
      </c>
      <c r="BD15" s="223" t="s">
        <v>21</v>
      </c>
    </row>
    <row r="16" spans="1:56">
      <c r="A16" s="1060" t="s">
        <v>1633</v>
      </c>
      <c r="B16" s="181" t="s">
        <v>311</v>
      </c>
      <c r="C16" s="26" t="s">
        <v>309</v>
      </c>
      <c r="D16" s="26" t="s">
        <v>1723</v>
      </c>
      <c r="E16" s="26">
        <v>5050</v>
      </c>
      <c r="F16" s="26" t="s">
        <v>20</v>
      </c>
      <c r="G16" s="43">
        <v>744</v>
      </c>
      <c r="H16" s="109">
        <v>350.97037336947631</v>
      </c>
      <c r="I16" s="38"/>
      <c r="J16" s="38"/>
      <c r="K16" s="38"/>
      <c r="L16" s="38"/>
      <c r="M16" s="38"/>
      <c r="N16" s="38"/>
      <c r="O16" s="38"/>
      <c r="P16" s="38"/>
      <c r="Q16" s="219"/>
      <c r="R16" s="219"/>
      <c r="S16" s="219"/>
      <c r="T16" s="219"/>
      <c r="U16" s="224"/>
      <c r="V16" s="224"/>
      <c r="W16" s="468"/>
      <c r="X16" s="480"/>
      <c r="Y16" s="219"/>
      <c r="Z16" s="219">
        <v>1</v>
      </c>
      <c r="AA16" s="219">
        <v>118</v>
      </c>
      <c r="AB16" s="508">
        <v>268</v>
      </c>
      <c r="AC16" s="241">
        <v>304</v>
      </c>
      <c r="AD16" s="241">
        <v>289</v>
      </c>
      <c r="AE16" s="223">
        <v>199</v>
      </c>
      <c r="AF16" s="223">
        <v>429</v>
      </c>
      <c r="AG16" s="223">
        <v>191</v>
      </c>
      <c r="AH16" s="223">
        <v>189</v>
      </c>
      <c r="AI16" s="223">
        <v>254</v>
      </c>
      <c r="AJ16" s="223">
        <v>147</v>
      </c>
      <c r="AK16" s="223">
        <v>87</v>
      </c>
      <c r="AL16" s="223">
        <v>80.357142857142847</v>
      </c>
      <c r="AM16" s="223">
        <v>101.92845404793408</v>
      </c>
      <c r="AN16" s="223">
        <v>83.304699348833083</v>
      </c>
      <c r="AO16" s="223">
        <v>67.16396472290522</v>
      </c>
      <c r="AP16" s="223">
        <v>58.394683821232519</v>
      </c>
      <c r="AQ16" s="223">
        <v>66.364253514344767</v>
      </c>
      <c r="AR16" s="223">
        <v>104.34639869574019</v>
      </c>
      <c r="AS16" s="223">
        <v>87.253497450215491</v>
      </c>
      <c r="AT16" s="223">
        <v>78.545276182236975</v>
      </c>
      <c r="AU16" s="223">
        <v>113.01076789102946</v>
      </c>
      <c r="AV16" s="223">
        <v>86.990977373987363</v>
      </c>
      <c r="AW16" s="223">
        <v>69.446459485924933</v>
      </c>
      <c r="AX16" s="223">
        <v>80.357142857142847</v>
      </c>
      <c r="AY16" s="223">
        <v>101.92845404793408</v>
      </c>
      <c r="AZ16" s="223">
        <v>83.304699348833083</v>
      </c>
      <c r="BA16" s="223">
        <v>67.16396472290522</v>
      </c>
      <c r="BB16" s="223">
        <v>58.394683821232519</v>
      </c>
      <c r="BC16" s="223">
        <v>66.364253514344767</v>
      </c>
      <c r="BD16" s="223">
        <v>104.34639869574019</v>
      </c>
    </row>
    <row r="17" spans="1:56">
      <c r="A17" s="1127" t="s">
        <v>1633</v>
      </c>
      <c r="B17" s="26" t="s">
        <v>393</v>
      </c>
      <c r="C17" s="25" t="s">
        <v>391</v>
      </c>
      <c r="D17" s="26" t="s">
        <v>1719</v>
      </c>
      <c r="E17" s="24" t="s">
        <v>200</v>
      </c>
      <c r="F17" s="24" t="s">
        <v>20</v>
      </c>
      <c r="G17" s="38">
        <v>0</v>
      </c>
      <c r="H17" s="109">
        <v>0</v>
      </c>
      <c r="I17" s="38"/>
      <c r="J17" s="38"/>
      <c r="K17" s="38"/>
      <c r="L17" s="38"/>
      <c r="M17" s="38"/>
      <c r="N17" s="38"/>
      <c r="O17" s="38"/>
      <c r="P17" s="38"/>
      <c r="Q17" s="219"/>
      <c r="R17" s="219"/>
      <c r="S17" s="219"/>
      <c r="T17" s="298"/>
      <c r="U17" s="299"/>
      <c r="V17" s="224"/>
      <c r="W17" s="467"/>
      <c r="X17" s="508"/>
      <c r="Y17" s="219">
        <v>27</v>
      </c>
      <c r="Z17" s="219">
        <v>139</v>
      </c>
      <c r="AA17" s="508">
        <v>160</v>
      </c>
      <c r="AB17" s="508">
        <v>85</v>
      </c>
      <c r="AC17" s="241">
        <v>40</v>
      </c>
      <c r="AD17" s="241" t="s">
        <v>21</v>
      </c>
      <c r="AE17" s="223" t="s">
        <v>21</v>
      </c>
      <c r="AF17" s="223" t="s">
        <v>21</v>
      </c>
      <c r="AG17" s="223" t="s">
        <v>21</v>
      </c>
      <c r="AH17" s="223" t="s">
        <v>21</v>
      </c>
      <c r="AI17" s="223" t="s">
        <v>21</v>
      </c>
      <c r="AJ17" s="223">
        <v>0</v>
      </c>
      <c r="AK17" s="223">
        <v>0</v>
      </c>
      <c r="AL17" s="223">
        <v>0</v>
      </c>
      <c r="AM17" s="223" t="s">
        <v>21</v>
      </c>
      <c r="AN17" s="223" t="s">
        <v>21</v>
      </c>
      <c r="AO17" s="223" t="s">
        <v>21</v>
      </c>
      <c r="AP17" s="223" t="s">
        <v>21</v>
      </c>
      <c r="AQ17" s="223" t="s">
        <v>21</v>
      </c>
      <c r="AR17" s="223" t="s">
        <v>21</v>
      </c>
      <c r="AS17" s="223" t="s">
        <v>21</v>
      </c>
      <c r="AT17" s="223" t="s">
        <v>21</v>
      </c>
      <c r="AU17" s="223" t="s">
        <v>21</v>
      </c>
      <c r="AV17" s="223" t="s">
        <v>21</v>
      </c>
      <c r="AW17" s="223" t="s">
        <v>21</v>
      </c>
      <c r="AX17" s="223" t="s">
        <v>21</v>
      </c>
      <c r="AY17" s="223" t="s">
        <v>21</v>
      </c>
      <c r="AZ17" s="223" t="s">
        <v>21</v>
      </c>
      <c r="BA17" s="223" t="s">
        <v>21</v>
      </c>
      <c r="BB17" s="223" t="s">
        <v>21</v>
      </c>
      <c r="BC17" s="223" t="s">
        <v>21</v>
      </c>
      <c r="BD17" s="223" t="s">
        <v>21</v>
      </c>
    </row>
    <row r="18" spans="1:56">
      <c r="A18" s="1060" t="s">
        <v>1633</v>
      </c>
      <c r="B18" s="26" t="s">
        <v>327</v>
      </c>
      <c r="C18" s="26" t="s">
        <v>324</v>
      </c>
      <c r="D18" s="26" t="s">
        <v>1365</v>
      </c>
      <c r="E18" s="26">
        <v>4050</v>
      </c>
      <c r="F18" s="26" t="s">
        <v>20</v>
      </c>
      <c r="G18" s="43">
        <v>1575</v>
      </c>
      <c r="H18" s="109">
        <v>2087.1038203038192</v>
      </c>
      <c r="I18" s="38"/>
      <c r="J18" s="38"/>
      <c r="K18" s="38"/>
      <c r="L18" s="38"/>
      <c r="M18" s="38"/>
      <c r="N18" s="38"/>
      <c r="O18" s="38"/>
      <c r="P18" s="38"/>
      <c r="Q18" s="219"/>
      <c r="R18" s="219"/>
      <c r="S18" s="219"/>
      <c r="T18" s="219"/>
      <c r="U18" s="224">
        <v>445</v>
      </c>
      <c r="V18" s="224">
        <v>208</v>
      </c>
      <c r="W18" s="222">
        <v>467</v>
      </c>
      <c r="X18" s="508">
        <v>356</v>
      </c>
      <c r="Y18" s="508">
        <v>343</v>
      </c>
      <c r="Z18" s="508">
        <v>479</v>
      </c>
      <c r="AA18" s="508">
        <v>652</v>
      </c>
      <c r="AB18" s="508">
        <v>764</v>
      </c>
      <c r="AC18" s="241">
        <v>664</v>
      </c>
      <c r="AD18" s="241">
        <v>736</v>
      </c>
      <c r="AE18" s="223">
        <v>336</v>
      </c>
      <c r="AF18" s="223">
        <v>710</v>
      </c>
      <c r="AG18" s="223">
        <v>390</v>
      </c>
      <c r="AH18" s="223">
        <v>299</v>
      </c>
      <c r="AI18" s="223">
        <v>503</v>
      </c>
      <c r="AJ18" s="223">
        <v>333</v>
      </c>
      <c r="AK18" s="223">
        <v>325</v>
      </c>
      <c r="AL18" s="223">
        <v>477.85714285714289</v>
      </c>
      <c r="AM18" s="223">
        <v>606.13454007171481</v>
      </c>
      <c r="AN18" s="223">
        <v>495.38527879439414</v>
      </c>
      <c r="AO18" s="223">
        <v>399.40171021887647</v>
      </c>
      <c r="AP18" s="223">
        <v>347.25371979026278</v>
      </c>
      <c r="AQ18" s="223">
        <v>394.64609423197032</v>
      </c>
      <c r="AR18" s="223">
        <v>620.51325091066849</v>
      </c>
      <c r="AS18" s="223">
        <v>518.86746483728155</v>
      </c>
      <c r="AT18" s="223">
        <v>467.08257569703596</v>
      </c>
      <c r="AU18" s="223">
        <v>672.0373663919886</v>
      </c>
      <c r="AV18" s="223">
        <v>517.30634545064493</v>
      </c>
      <c r="AW18" s="223">
        <v>412.97494574296701</v>
      </c>
      <c r="AX18" s="223">
        <v>477.85714285714289</v>
      </c>
      <c r="AY18" s="223">
        <v>606.13454007171481</v>
      </c>
      <c r="AZ18" s="223">
        <v>495.38527879439414</v>
      </c>
      <c r="BA18" s="223">
        <v>399.40171021887647</v>
      </c>
      <c r="BB18" s="223">
        <v>347.25371979026278</v>
      </c>
      <c r="BC18" s="223">
        <v>394.64609423197032</v>
      </c>
      <c r="BD18" s="223">
        <v>620.51325091066849</v>
      </c>
    </row>
    <row r="19" spans="1:56">
      <c r="A19" s="1127" t="s">
        <v>1633</v>
      </c>
      <c r="B19" s="26" t="s">
        <v>399</v>
      </c>
      <c r="C19" s="25" t="s">
        <v>334</v>
      </c>
      <c r="D19" s="26" t="s">
        <v>1719</v>
      </c>
      <c r="E19" s="24" t="s">
        <v>200</v>
      </c>
      <c r="F19" s="24" t="s">
        <v>20</v>
      </c>
      <c r="G19" s="38">
        <v>1805</v>
      </c>
      <c r="H19" s="109">
        <v>0</v>
      </c>
      <c r="I19" s="38"/>
      <c r="J19" s="38"/>
      <c r="K19" s="38"/>
      <c r="L19" s="38"/>
      <c r="M19" s="38"/>
      <c r="N19" s="38"/>
      <c r="O19" s="38"/>
      <c r="P19" s="38"/>
      <c r="Q19" s="219"/>
      <c r="R19" s="219"/>
      <c r="S19" s="219"/>
      <c r="T19" s="298"/>
      <c r="U19" s="299"/>
      <c r="V19" s="224"/>
      <c r="W19" s="467"/>
      <c r="X19" s="508"/>
      <c r="Y19" s="219">
        <v>27</v>
      </c>
      <c r="Z19" s="219">
        <v>139</v>
      </c>
      <c r="AA19" s="508">
        <v>160</v>
      </c>
      <c r="AB19" s="508">
        <v>85</v>
      </c>
      <c r="AC19" s="241">
        <v>40</v>
      </c>
      <c r="AD19" s="241" t="s">
        <v>21</v>
      </c>
      <c r="AE19" s="223" t="s">
        <v>21</v>
      </c>
      <c r="AF19" s="223" t="s">
        <v>21</v>
      </c>
      <c r="AG19" s="223" t="s">
        <v>21</v>
      </c>
      <c r="AH19" s="223" t="s">
        <v>21</v>
      </c>
      <c r="AI19" s="223" t="s">
        <v>21</v>
      </c>
      <c r="AJ19" s="223">
        <v>0</v>
      </c>
      <c r="AK19" s="223">
        <v>0</v>
      </c>
      <c r="AL19" s="223">
        <v>0</v>
      </c>
      <c r="AM19" s="223" t="s">
        <v>21</v>
      </c>
      <c r="AN19" s="223" t="s">
        <v>21</v>
      </c>
      <c r="AO19" s="223" t="s">
        <v>21</v>
      </c>
      <c r="AP19" s="223" t="s">
        <v>21</v>
      </c>
      <c r="AQ19" s="223" t="s">
        <v>21</v>
      </c>
      <c r="AR19" s="223" t="s">
        <v>21</v>
      </c>
      <c r="AS19" s="223" t="s">
        <v>21</v>
      </c>
      <c r="AT19" s="223" t="s">
        <v>21</v>
      </c>
      <c r="AU19" s="223" t="s">
        <v>21</v>
      </c>
      <c r="AV19" s="223" t="s">
        <v>21</v>
      </c>
      <c r="AW19" s="223" t="s">
        <v>21</v>
      </c>
      <c r="AX19" s="223" t="s">
        <v>21</v>
      </c>
      <c r="AY19" s="223" t="s">
        <v>21</v>
      </c>
      <c r="AZ19" s="223" t="s">
        <v>21</v>
      </c>
      <c r="BA19" s="223" t="s">
        <v>21</v>
      </c>
      <c r="BB19" s="223" t="s">
        <v>21</v>
      </c>
      <c r="BC19" s="223" t="s">
        <v>21</v>
      </c>
      <c r="BD19" s="223" t="s">
        <v>21</v>
      </c>
    </row>
    <row r="20" spans="1:56">
      <c r="A20" s="1060" t="s">
        <v>1633</v>
      </c>
      <c r="B20" s="26" t="s">
        <v>338</v>
      </c>
      <c r="C20" s="25" t="s">
        <v>336</v>
      </c>
      <c r="D20" s="68" t="s">
        <v>1365</v>
      </c>
      <c r="E20" s="68">
        <v>3050</v>
      </c>
      <c r="F20" s="68" t="s">
        <v>20</v>
      </c>
      <c r="G20" s="355">
        <v>2186</v>
      </c>
      <c r="H20" s="109">
        <v>4075.9359360641856</v>
      </c>
      <c r="I20" s="38"/>
      <c r="J20" s="38"/>
      <c r="K20" s="38"/>
      <c r="L20" s="38"/>
      <c r="M20" s="38"/>
      <c r="N20" s="38"/>
      <c r="O20" s="38"/>
      <c r="P20" s="38"/>
      <c r="Q20" s="219"/>
      <c r="R20" s="219"/>
      <c r="S20" s="219"/>
      <c r="T20" s="219"/>
      <c r="U20" s="224">
        <v>526</v>
      </c>
      <c r="V20" s="224">
        <v>400</v>
      </c>
      <c r="W20" s="222">
        <v>850</v>
      </c>
      <c r="X20" s="508">
        <v>735</v>
      </c>
      <c r="Y20" s="508">
        <v>689</v>
      </c>
      <c r="Z20" s="508">
        <v>1049</v>
      </c>
      <c r="AA20" s="508">
        <v>1825</v>
      </c>
      <c r="AB20" s="508">
        <v>996</v>
      </c>
      <c r="AC20" s="241">
        <v>1117</v>
      </c>
      <c r="AD20" s="241">
        <v>1192</v>
      </c>
      <c r="AE20" s="223">
        <v>1012</v>
      </c>
      <c r="AF20" s="223">
        <v>963</v>
      </c>
      <c r="AG20" s="223">
        <v>572</v>
      </c>
      <c r="AH20" s="223">
        <v>324</v>
      </c>
      <c r="AI20" s="223">
        <v>510</v>
      </c>
      <c r="AJ20" s="223">
        <v>520</v>
      </c>
      <c r="AK20" s="223">
        <v>970</v>
      </c>
      <c r="AL20" s="223">
        <v>933.21428571428578</v>
      </c>
      <c r="AM20" s="223">
        <v>1183.7291130100079</v>
      </c>
      <c r="AN20" s="223">
        <v>967.44524177111498</v>
      </c>
      <c r="AO20" s="223">
        <v>779.99751031533935</v>
      </c>
      <c r="AP20" s="223">
        <v>678.15692811058034</v>
      </c>
      <c r="AQ20" s="223">
        <v>770.71019747992398</v>
      </c>
      <c r="AR20" s="223">
        <v>1211.8095101865295</v>
      </c>
      <c r="AS20" s="223">
        <v>1013.3039503885026</v>
      </c>
      <c r="AT20" s="223">
        <v>912.17247406304534</v>
      </c>
      <c r="AU20" s="223">
        <v>1312.4317177744886</v>
      </c>
      <c r="AV20" s="223">
        <v>1010.2552172365731</v>
      </c>
      <c r="AW20" s="223">
        <v>806.50488282987476</v>
      </c>
      <c r="AX20" s="223">
        <v>933.21428571428544</v>
      </c>
      <c r="AY20" s="223">
        <v>1183.7291130100077</v>
      </c>
      <c r="AZ20" s="223">
        <v>967.44524177111475</v>
      </c>
      <c r="BA20" s="223">
        <v>779.99751031533924</v>
      </c>
      <c r="BB20" s="223">
        <v>678.15692811058022</v>
      </c>
      <c r="BC20" s="223">
        <v>770.71019747992386</v>
      </c>
      <c r="BD20" s="223">
        <v>1211.8095101865292</v>
      </c>
    </row>
    <row r="21" spans="1:56">
      <c r="A21" s="1060" t="s">
        <v>1633</v>
      </c>
      <c r="B21" s="26" t="s">
        <v>349</v>
      </c>
      <c r="C21" s="100" t="s">
        <v>347</v>
      </c>
      <c r="D21" s="87" t="s">
        <v>1724</v>
      </c>
      <c r="E21" s="87">
        <v>3050</v>
      </c>
      <c r="F21" s="87" t="s">
        <v>1725</v>
      </c>
      <c r="G21" s="355">
        <v>5</v>
      </c>
      <c r="H21" s="109">
        <v>0</v>
      </c>
      <c r="I21" s="38"/>
      <c r="J21" s="38"/>
      <c r="K21" s="38"/>
      <c r="L21" s="38"/>
      <c r="M21" s="38"/>
      <c r="N21" s="38"/>
      <c r="O21" s="38"/>
      <c r="P21" s="38"/>
      <c r="Q21" s="219"/>
      <c r="R21" s="219"/>
      <c r="S21" s="219"/>
      <c r="T21" s="219"/>
      <c r="U21" s="224"/>
      <c r="V21" s="224"/>
      <c r="W21" s="222"/>
      <c r="X21" s="508"/>
      <c r="Y21" s="508"/>
      <c r="Z21" s="508"/>
      <c r="AA21" s="508"/>
      <c r="AB21" s="508"/>
      <c r="AC21" s="241"/>
      <c r="AD21" s="241">
        <v>0</v>
      </c>
      <c r="AE21" s="223">
        <v>23</v>
      </c>
      <c r="AF21" s="223">
        <v>22</v>
      </c>
      <c r="AG21" s="223">
        <v>28</v>
      </c>
      <c r="AH21" s="223">
        <v>12</v>
      </c>
      <c r="AI21" s="223">
        <v>192</v>
      </c>
      <c r="AJ21" s="223">
        <v>189</v>
      </c>
      <c r="AK21" s="223">
        <v>12</v>
      </c>
      <c r="AL21" s="223">
        <v>0</v>
      </c>
      <c r="AM21" s="223" t="s">
        <v>21</v>
      </c>
      <c r="AN21" s="223" t="s">
        <v>21</v>
      </c>
      <c r="AO21" s="223" t="s">
        <v>21</v>
      </c>
      <c r="AP21" s="223" t="s">
        <v>21</v>
      </c>
      <c r="AQ21" s="223" t="s">
        <v>21</v>
      </c>
      <c r="AR21" s="223" t="s">
        <v>21</v>
      </c>
      <c r="AS21" s="223" t="s">
        <v>21</v>
      </c>
      <c r="AT21" s="223" t="s">
        <v>21</v>
      </c>
      <c r="AU21" s="223" t="s">
        <v>21</v>
      </c>
      <c r="AV21" s="223" t="s">
        <v>21</v>
      </c>
      <c r="AW21" s="223" t="s">
        <v>21</v>
      </c>
      <c r="AX21" s="223" t="s">
        <v>21</v>
      </c>
      <c r="AY21" s="223" t="s">
        <v>21</v>
      </c>
      <c r="AZ21" s="223" t="s">
        <v>21</v>
      </c>
      <c r="BA21" s="223" t="s">
        <v>21</v>
      </c>
      <c r="BB21" s="223" t="s">
        <v>21</v>
      </c>
      <c r="BC21" s="223" t="s">
        <v>21</v>
      </c>
      <c r="BD21" s="223" t="s">
        <v>21</v>
      </c>
    </row>
    <row r="22" spans="1:56">
      <c r="A22" s="1060" t="s">
        <v>1633</v>
      </c>
      <c r="B22" s="26" t="s">
        <v>344</v>
      </c>
      <c r="C22" s="55" t="s">
        <v>342</v>
      </c>
      <c r="D22" s="26" t="s">
        <v>1726</v>
      </c>
      <c r="E22" s="26">
        <v>3050</v>
      </c>
      <c r="F22" s="26" t="s">
        <v>1725</v>
      </c>
      <c r="G22" s="43">
        <v>0</v>
      </c>
      <c r="H22" s="109" t="s">
        <v>21</v>
      </c>
      <c r="I22" s="38"/>
      <c r="J22" s="38"/>
      <c r="K22" s="38"/>
      <c r="L22" s="38"/>
      <c r="M22" s="38"/>
      <c r="N22" s="38"/>
      <c r="O22" s="38"/>
      <c r="P22" s="38"/>
      <c r="Q22" s="219"/>
      <c r="R22" s="219"/>
      <c r="S22" s="219"/>
      <c r="T22" s="219"/>
      <c r="U22" s="224">
        <v>136</v>
      </c>
      <c r="V22" s="224">
        <v>110</v>
      </c>
      <c r="W22" s="222">
        <v>24</v>
      </c>
      <c r="X22" s="508">
        <v>44</v>
      </c>
      <c r="Y22" s="508">
        <v>8</v>
      </c>
      <c r="Z22" s="508">
        <v>15</v>
      </c>
      <c r="AA22" s="508">
        <v>10</v>
      </c>
      <c r="AB22" s="508">
        <v>5</v>
      </c>
      <c r="AC22" s="241">
        <v>4</v>
      </c>
      <c r="AD22" s="241">
        <v>9</v>
      </c>
      <c r="AE22" s="223">
        <v>5</v>
      </c>
      <c r="AF22" s="223">
        <v>10</v>
      </c>
      <c r="AG22" s="223">
        <v>14</v>
      </c>
      <c r="AH22" s="223">
        <v>5</v>
      </c>
      <c r="AI22" s="223">
        <v>4</v>
      </c>
      <c r="AJ22" s="223" t="s">
        <v>21</v>
      </c>
      <c r="AK22" s="223" t="s">
        <v>21</v>
      </c>
      <c r="AL22" s="223" t="s">
        <v>21</v>
      </c>
      <c r="AM22" s="223" t="s">
        <v>21</v>
      </c>
      <c r="AN22" s="223" t="s">
        <v>21</v>
      </c>
      <c r="AO22" s="223" t="s">
        <v>21</v>
      </c>
      <c r="AP22" s="223" t="s">
        <v>21</v>
      </c>
      <c r="AQ22" s="223" t="s">
        <v>21</v>
      </c>
      <c r="AR22" s="223" t="s">
        <v>21</v>
      </c>
      <c r="AS22" s="223" t="s">
        <v>21</v>
      </c>
      <c r="AT22" s="223" t="s">
        <v>21</v>
      </c>
      <c r="AU22" s="223" t="s">
        <v>21</v>
      </c>
      <c r="AV22" s="223" t="s">
        <v>21</v>
      </c>
      <c r="AW22" s="223" t="s">
        <v>21</v>
      </c>
      <c r="AX22" s="223" t="s">
        <v>21</v>
      </c>
      <c r="AY22" s="223" t="s">
        <v>21</v>
      </c>
      <c r="AZ22" s="223" t="s">
        <v>21</v>
      </c>
      <c r="BA22" s="223" t="s">
        <v>21</v>
      </c>
      <c r="BB22" s="223" t="s">
        <v>21</v>
      </c>
      <c r="BC22" s="223" t="s">
        <v>21</v>
      </c>
      <c r="BD22" s="223" t="s">
        <v>21</v>
      </c>
    </row>
    <row r="23" spans="1:56">
      <c r="A23" s="1059"/>
      <c r="B23" s="26" t="s">
        <v>21</v>
      </c>
      <c r="C23" s="26"/>
      <c r="D23" s="26"/>
      <c r="E23" s="26"/>
      <c r="F23" s="26"/>
      <c r="G23" s="43" t="s">
        <v>21</v>
      </c>
      <c r="H23" s="109" t="s">
        <v>21</v>
      </c>
      <c r="I23" s="38"/>
      <c r="J23" s="38"/>
      <c r="K23" s="38"/>
      <c r="L23" s="38"/>
      <c r="M23" s="38"/>
      <c r="N23" s="38"/>
      <c r="O23" s="38"/>
      <c r="P23" s="38"/>
      <c r="Q23" s="219"/>
      <c r="R23" s="219"/>
      <c r="S23" s="219"/>
      <c r="T23" s="219"/>
      <c r="U23" s="224"/>
      <c r="V23" s="224"/>
      <c r="W23" s="219"/>
      <c r="X23" s="480"/>
      <c r="Y23" s="219"/>
      <c r="Z23" s="219" t="s">
        <v>21</v>
      </c>
      <c r="AA23" s="224"/>
      <c r="AB23" s="224"/>
      <c r="AC23" s="224"/>
      <c r="AD23" s="241" t="s">
        <v>21</v>
      </c>
      <c r="AE23" s="223" t="s">
        <v>21</v>
      </c>
      <c r="AF23" s="223" t="s">
        <v>21</v>
      </c>
      <c r="AG23" s="223" t="s">
        <v>21</v>
      </c>
      <c r="AH23" s="223" t="s">
        <v>21</v>
      </c>
      <c r="AI23" s="223" t="s">
        <v>21</v>
      </c>
      <c r="AJ23" s="223" t="s">
        <v>21</v>
      </c>
      <c r="AK23" s="223" t="s">
        <v>21</v>
      </c>
      <c r="AL23" s="223" t="s">
        <v>21</v>
      </c>
      <c r="AM23" s="223" t="s">
        <v>21</v>
      </c>
      <c r="AN23" s="223" t="s">
        <v>21</v>
      </c>
      <c r="AO23" s="223" t="s">
        <v>21</v>
      </c>
      <c r="AP23" s="223" t="s">
        <v>21</v>
      </c>
      <c r="AQ23" s="223" t="s">
        <v>21</v>
      </c>
      <c r="AR23" s="223" t="s">
        <v>21</v>
      </c>
      <c r="AS23" s="223" t="s">
        <v>21</v>
      </c>
      <c r="AT23" s="223" t="s">
        <v>21</v>
      </c>
      <c r="AU23" s="223" t="s">
        <v>21</v>
      </c>
      <c r="AV23" s="223" t="s">
        <v>21</v>
      </c>
      <c r="AW23" s="223" t="s">
        <v>21</v>
      </c>
      <c r="AX23" s="223" t="s">
        <v>21</v>
      </c>
      <c r="AY23" s="223" t="s">
        <v>21</v>
      </c>
      <c r="AZ23" s="223" t="s">
        <v>21</v>
      </c>
      <c r="BA23" s="223" t="s">
        <v>21</v>
      </c>
      <c r="BB23" s="223" t="s">
        <v>21</v>
      </c>
      <c r="BC23" s="223" t="s">
        <v>21</v>
      </c>
      <c r="BD23" s="223" t="s">
        <v>21</v>
      </c>
    </row>
    <row r="24" spans="1:56">
      <c r="A24" s="1060" t="s">
        <v>1727</v>
      </c>
      <c r="B24" s="26" t="s">
        <v>358</v>
      </c>
      <c r="C24" s="25" t="s">
        <v>355</v>
      </c>
      <c r="D24" s="26"/>
      <c r="E24" s="26"/>
      <c r="F24" s="26"/>
      <c r="G24" s="43">
        <v>282</v>
      </c>
      <c r="H24" s="109">
        <v>18.718419913038737</v>
      </c>
      <c r="I24" s="38"/>
      <c r="J24" s="38"/>
      <c r="K24" s="38"/>
      <c r="L24" s="38"/>
      <c r="M24" s="38"/>
      <c r="N24" s="38"/>
      <c r="O24" s="38"/>
      <c r="P24" s="38"/>
      <c r="Q24" s="219"/>
      <c r="R24" s="219"/>
      <c r="S24" s="219"/>
      <c r="T24" s="219"/>
      <c r="U24" s="224"/>
      <c r="V24" s="224"/>
      <c r="W24" s="219"/>
      <c r="X24" s="480"/>
      <c r="Y24" s="219"/>
      <c r="Z24" s="219" t="s">
        <v>21</v>
      </c>
      <c r="AA24" s="224"/>
      <c r="AB24" s="224"/>
      <c r="AC24" s="224"/>
      <c r="AD24" s="241">
        <v>0</v>
      </c>
      <c r="AE24" s="223">
        <v>0</v>
      </c>
      <c r="AF24" s="223">
        <v>0</v>
      </c>
      <c r="AG24" s="223">
        <v>0</v>
      </c>
      <c r="AH24" s="223">
        <v>302</v>
      </c>
      <c r="AI24" s="223">
        <v>326</v>
      </c>
      <c r="AJ24" s="223">
        <v>27</v>
      </c>
      <c r="AK24" s="223">
        <v>12</v>
      </c>
      <c r="AL24" s="223">
        <v>4.2857142857142856</v>
      </c>
      <c r="AM24" s="223">
        <v>5.4361842158898179</v>
      </c>
      <c r="AN24" s="223">
        <v>4.4429172986044314</v>
      </c>
      <c r="AO24" s="223">
        <v>3.5820781185549455</v>
      </c>
      <c r="AP24" s="223">
        <v>3.1143831371324011</v>
      </c>
      <c r="AQ24" s="223">
        <v>3.5394268540983882</v>
      </c>
      <c r="AR24" s="223">
        <v>5.5651412637728113</v>
      </c>
      <c r="AS24" s="223">
        <v>4.6535198640114936</v>
      </c>
      <c r="AT24" s="223">
        <v>4.1890813963859728</v>
      </c>
      <c r="AU24" s="223">
        <v>6.0272409541882386</v>
      </c>
      <c r="AV24" s="223">
        <v>4.6395187932793265</v>
      </c>
      <c r="AW24" s="223">
        <v>3.7038111725826637</v>
      </c>
      <c r="AX24" s="223">
        <v>4.2857142857142856</v>
      </c>
      <c r="AY24" s="223">
        <v>5.4361842158898179</v>
      </c>
      <c r="AZ24" s="223">
        <v>4.4429172986044314</v>
      </c>
      <c r="BA24" s="223">
        <v>3.5820781185549455</v>
      </c>
      <c r="BB24" s="223">
        <v>3.1143831371324011</v>
      </c>
      <c r="BC24" s="223">
        <v>3.5394268540983882</v>
      </c>
      <c r="BD24" s="223">
        <v>5.5651412637728113</v>
      </c>
    </row>
    <row r="25" spans="1:56">
      <c r="A25" s="1059"/>
      <c r="B25" s="26" t="s">
        <v>21</v>
      </c>
      <c r="C25" s="26"/>
      <c r="D25" s="26"/>
      <c r="E25" s="26"/>
      <c r="F25" s="26"/>
      <c r="G25" s="43" t="s">
        <v>21</v>
      </c>
      <c r="H25" s="109" t="s">
        <v>21</v>
      </c>
      <c r="I25" s="38"/>
      <c r="J25" s="38"/>
      <c r="K25" s="38"/>
      <c r="L25" s="38"/>
      <c r="M25" s="38"/>
      <c r="N25" s="38"/>
      <c r="O25" s="38"/>
      <c r="P25" s="38"/>
      <c r="Q25" s="219"/>
      <c r="R25" s="219"/>
      <c r="S25" s="219"/>
      <c r="T25" s="219"/>
      <c r="U25" s="224"/>
      <c r="V25" s="224"/>
      <c r="W25" s="468"/>
      <c r="X25" s="480"/>
      <c r="Y25" s="219"/>
      <c r="Z25" s="219" t="s">
        <v>21</v>
      </c>
      <c r="AA25" s="224"/>
      <c r="AB25" s="224"/>
      <c r="AC25" s="224"/>
      <c r="AD25" s="241" t="s">
        <v>21</v>
      </c>
      <c r="AE25" s="223" t="s">
        <v>21</v>
      </c>
      <c r="AF25" s="223" t="s">
        <v>21</v>
      </c>
      <c r="AG25" s="223" t="s">
        <v>21</v>
      </c>
      <c r="AH25" s="223" t="s">
        <v>21</v>
      </c>
      <c r="AI25" s="223" t="s">
        <v>21</v>
      </c>
      <c r="AJ25" s="223" t="s">
        <v>21</v>
      </c>
      <c r="AK25" s="223" t="s">
        <v>21</v>
      </c>
      <c r="AL25" s="223" t="s">
        <v>21</v>
      </c>
      <c r="AM25" s="223" t="s">
        <v>21</v>
      </c>
      <c r="AN25" s="223" t="s">
        <v>21</v>
      </c>
      <c r="AO25" s="223" t="s">
        <v>21</v>
      </c>
      <c r="AP25" s="223" t="s">
        <v>21</v>
      </c>
      <c r="AQ25" s="223" t="s">
        <v>21</v>
      </c>
      <c r="AR25" s="223" t="s">
        <v>21</v>
      </c>
      <c r="AS25" s="223" t="s">
        <v>21</v>
      </c>
      <c r="AT25" s="223" t="s">
        <v>21</v>
      </c>
      <c r="AU25" s="223" t="s">
        <v>21</v>
      </c>
      <c r="AV25" s="223" t="s">
        <v>21</v>
      </c>
      <c r="AW25" s="223" t="s">
        <v>21</v>
      </c>
      <c r="AX25" s="223" t="s">
        <v>21</v>
      </c>
      <c r="AY25" s="223" t="s">
        <v>21</v>
      </c>
      <c r="AZ25" s="223" t="s">
        <v>21</v>
      </c>
      <c r="BA25" s="223" t="s">
        <v>21</v>
      </c>
      <c r="BB25" s="223" t="s">
        <v>21</v>
      </c>
      <c r="BC25" s="223" t="s">
        <v>21</v>
      </c>
      <c r="BD25" s="223" t="s">
        <v>21</v>
      </c>
    </row>
    <row r="26" spans="1:56">
      <c r="U26" s="440"/>
      <c r="V26" s="440"/>
      <c r="W26" s="440"/>
      <c r="X26" s="440"/>
      <c r="Y26" s="440"/>
      <c r="Z26" s="440"/>
      <c r="AA26" s="440"/>
      <c r="AB26" s="563">
        <v>0.81728600837659349</v>
      </c>
      <c r="AC26" s="563">
        <v>0.80624460862238312</v>
      </c>
      <c r="AD26" s="563">
        <v>0.8694347342678227</v>
      </c>
      <c r="AE26" s="563">
        <v>1.1364776580948708</v>
      </c>
      <c r="AF26" s="563">
        <v>1.5723283721286114</v>
      </c>
      <c r="AG26" s="563">
        <v>0.83619078895702703</v>
      </c>
      <c r="AH26" s="563">
        <v>0.9001963070540846</v>
      </c>
      <c r="AI26" s="563">
        <v>1.4387977658748987</v>
      </c>
      <c r="AJ26" s="563">
        <v>0.76975830708334225</v>
      </c>
      <c r="AK26" s="563">
        <v>0.79831795873914724</v>
      </c>
      <c r="AL26" s="563">
        <v>1.1571092817687738</v>
      </c>
      <c r="AM26" s="563">
        <v>1.2684429837076243</v>
      </c>
      <c r="AN26" s="563">
        <v>0.81728600837659349</v>
      </c>
      <c r="AO26" s="563">
        <v>0.80624460862238312</v>
      </c>
      <c r="AP26" s="563">
        <v>0.8694347342678227</v>
      </c>
      <c r="AQ26" s="563">
        <v>1.1364776580948708</v>
      </c>
      <c r="AR26" s="563">
        <v>1.5723283721286114</v>
      </c>
      <c r="AS26" s="563">
        <v>0.83619078895702703</v>
      </c>
      <c r="AT26" s="563">
        <v>0.9001963070540846</v>
      </c>
      <c r="AU26" s="563">
        <v>1.4387977658748987</v>
      </c>
      <c r="AV26" s="563">
        <v>0.76975830708334225</v>
      </c>
      <c r="AW26" s="563">
        <v>0.79831795873914724</v>
      </c>
      <c r="AX26" s="563">
        <v>1.1571092817687738</v>
      </c>
      <c r="AY26" s="563">
        <v>1.2684429837076243</v>
      </c>
      <c r="AZ26" s="563">
        <v>0.81728600837659349</v>
      </c>
      <c r="BA26" s="563">
        <v>0.80624460862238312</v>
      </c>
      <c r="BB26" s="563">
        <v>0.8694347342678227</v>
      </c>
      <c r="BC26" s="563">
        <v>1.1364776580948708</v>
      </c>
      <c r="BD26" s="563">
        <v>1.5723283721286114</v>
      </c>
    </row>
    <row r="27" spans="1:56">
      <c r="A27" s="1062"/>
      <c r="B27" s="152" t="s">
        <v>1376</v>
      </c>
      <c r="C27" s="152" t="s">
        <v>1636</v>
      </c>
      <c r="D27" s="152"/>
      <c r="E27" s="152"/>
      <c r="F27" s="152"/>
      <c r="G27" s="356">
        <v>9547</v>
      </c>
      <c r="H27" s="45"/>
      <c r="I27" s="45">
        <v>0</v>
      </c>
      <c r="J27" s="45">
        <v>0</v>
      </c>
      <c r="K27" s="45">
        <v>0</v>
      </c>
      <c r="L27" s="45">
        <v>0</v>
      </c>
      <c r="M27" s="45">
        <v>0</v>
      </c>
      <c r="N27" s="45">
        <v>0</v>
      </c>
      <c r="O27" s="45">
        <v>0</v>
      </c>
      <c r="P27" s="45">
        <v>0</v>
      </c>
      <c r="Q27" s="45">
        <v>0</v>
      </c>
      <c r="R27" s="45">
        <v>0</v>
      </c>
      <c r="S27" s="45">
        <v>0</v>
      </c>
      <c r="T27" s="45">
        <v>0</v>
      </c>
      <c r="U27" s="45">
        <v>1107</v>
      </c>
      <c r="V27" s="45">
        <v>718</v>
      </c>
      <c r="W27" s="45">
        <v>1341</v>
      </c>
      <c r="X27" s="45">
        <v>1153</v>
      </c>
      <c r="Y27" s="45">
        <v>1258</v>
      </c>
      <c r="Z27" s="45">
        <v>2618</v>
      </c>
      <c r="AA27" s="45">
        <v>3829</v>
      </c>
      <c r="AB27" s="155">
        <v>2771</v>
      </c>
      <c r="AC27" s="155">
        <v>2510</v>
      </c>
      <c r="AD27" s="155">
        <v>2554</v>
      </c>
      <c r="AE27" s="155">
        <v>1992</v>
      </c>
      <c r="AF27" s="45">
        <v>2843</v>
      </c>
      <c r="AG27" s="45">
        <v>1773</v>
      </c>
      <c r="AH27" s="45">
        <v>1634</v>
      </c>
      <c r="AI27" s="45">
        <v>2461</v>
      </c>
      <c r="AJ27" s="45">
        <v>2049</v>
      </c>
      <c r="AK27" s="45">
        <v>2194</v>
      </c>
      <c r="AL27" s="155">
        <v>2347.5</v>
      </c>
      <c r="AM27" s="155">
        <v>2977.6699042536479</v>
      </c>
      <c r="AN27" s="155">
        <v>2433.6079503105771</v>
      </c>
      <c r="AO27" s="155">
        <v>1962.0832894384714</v>
      </c>
      <c r="AP27" s="155">
        <v>1705.9033633642728</v>
      </c>
      <c r="AQ27" s="155">
        <v>1938.7210593323923</v>
      </c>
      <c r="AR27" s="155">
        <v>3048.3061272315572</v>
      </c>
      <c r="AS27" s="155">
        <v>2548.9655055122953</v>
      </c>
      <c r="AT27" s="155">
        <v>2294.5693348704162</v>
      </c>
      <c r="AU27" s="155">
        <v>3301.4212326566071</v>
      </c>
      <c r="AV27" s="155">
        <v>2541.2964190187513</v>
      </c>
      <c r="AW27" s="155">
        <v>2028.7625697821538</v>
      </c>
      <c r="AX27" s="155">
        <v>2347.5</v>
      </c>
      <c r="AY27" s="155">
        <v>2977.6699042536475</v>
      </c>
      <c r="AZ27" s="155">
        <v>2433.6079503105771</v>
      </c>
      <c r="BA27" s="155">
        <v>1962.0832894384714</v>
      </c>
      <c r="BB27" s="155">
        <v>1705.9033633642725</v>
      </c>
      <c r="BC27" s="155">
        <v>1938.7210593323921</v>
      </c>
      <c r="BD27" s="155">
        <v>3048.3061272315567</v>
      </c>
    </row>
    <row r="28" spans="1:56" ht="16.149999999999999" customHeight="1">
      <c r="A28" s="1063"/>
      <c r="B28" s="158" t="s">
        <v>1378</v>
      </c>
      <c r="C28" s="157"/>
      <c r="D28" s="157"/>
      <c r="E28" s="158"/>
      <c r="F28" s="158"/>
      <c r="G28" s="45"/>
      <c r="H28" s="45"/>
      <c r="I28" s="159"/>
      <c r="J28" s="159"/>
      <c r="K28" s="159"/>
      <c r="L28" s="159"/>
      <c r="M28" s="159"/>
      <c r="N28" s="159"/>
      <c r="O28" s="159"/>
      <c r="P28" s="159"/>
      <c r="Q28" s="226"/>
      <c r="R28" s="226"/>
      <c r="S28" s="226"/>
      <c r="T28" s="227"/>
      <c r="U28" s="228"/>
      <c r="V28" s="228"/>
      <c r="W28" s="229"/>
      <c r="X28" s="242"/>
      <c r="Y28" s="199"/>
      <c r="Z28" s="199"/>
      <c r="AA28" s="199"/>
      <c r="AB28" s="199"/>
      <c r="AC28" s="226"/>
      <c r="AD28" s="226"/>
      <c r="AE28" s="226"/>
      <c r="AF28" s="199"/>
      <c r="AG28" s="322"/>
      <c r="AH28" s="322"/>
      <c r="AI28" s="322"/>
      <c r="AJ28" s="322"/>
      <c r="AK28" s="322"/>
      <c r="AL28" s="636"/>
      <c r="AM28" s="636"/>
      <c r="AN28" s="636"/>
      <c r="AO28" s="636"/>
      <c r="AP28" s="636"/>
      <c r="AQ28" s="636"/>
      <c r="AR28" s="636"/>
      <c r="AS28" s="636"/>
      <c r="AT28" s="636"/>
      <c r="AU28" s="636"/>
      <c r="AV28" s="636"/>
      <c r="AW28" s="636"/>
      <c r="AX28" s="636"/>
      <c r="AY28" s="636"/>
      <c r="AZ28" s="636"/>
      <c r="BA28" s="636"/>
      <c r="BB28" s="636"/>
      <c r="BC28" s="636"/>
      <c r="BD28" s="636"/>
    </row>
    <row r="29" spans="1:56">
      <c r="A29" s="1059"/>
      <c r="B29" s="934" t="s">
        <v>21</v>
      </c>
      <c r="C29" s="25"/>
      <c r="D29" s="26"/>
      <c r="E29" s="24"/>
      <c r="F29" s="24"/>
      <c r="G29" s="38" t="s">
        <v>21</v>
      </c>
      <c r="H29" s="109" t="s">
        <v>21</v>
      </c>
      <c r="I29" s="38" t="s">
        <v>21</v>
      </c>
      <c r="J29" s="38" t="s">
        <v>21</v>
      </c>
      <c r="K29" s="38" t="s">
        <v>21</v>
      </c>
      <c r="L29" s="38" t="s">
        <v>21</v>
      </c>
      <c r="M29" s="38" t="s">
        <v>21</v>
      </c>
      <c r="N29" s="38" t="s">
        <v>21</v>
      </c>
      <c r="O29" s="38" t="s">
        <v>21</v>
      </c>
      <c r="P29" s="38" t="s">
        <v>21</v>
      </c>
      <c r="Q29" s="219" t="s">
        <v>21</v>
      </c>
      <c r="R29" s="219" t="s">
        <v>21</v>
      </c>
      <c r="S29" s="219" t="s">
        <v>21</v>
      </c>
      <c r="T29" s="219" t="s">
        <v>21</v>
      </c>
      <c r="U29" s="224" t="s">
        <v>21</v>
      </c>
      <c r="V29" s="224" t="s">
        <v>21</v>
      </c>
      <c r="W29" s="219" t="s">
        <v>21</v>
      </c>
      <c r="X29" s="237" t="s">
        <v>21</v>
      </c>
      <c r="Y29" s="219" t="s">
        <v>21</v>
      </c>
      <c r="Z29" s="468" t="s">
        <v>21</v>
      </c>
      <c r="AA29" s="224" t="s">
        <v>21</v>
      </c>
      <c r="AB29" s="219"/>
      <c r="AC29" s="224"/>
      <c r="AD29" s="224" t="s">
        <v>21</v>
      </c>
      <c r="AE29" s="223" t="s">
        <v>21</v>
      </c>
      <c r="AF29" s="223" t="s">
        <v>21</v>
      </c>
      <c r="AG29" s="223" t="s">
        <v>21</v>
      </c>
      <c r="AH29" s="223" t="s">
        <v>21</v>
      </c>
      <c r="AI29" s="223" t="s">
        <v>21</v>
      </c>
      <c r="AJ29" s="223" t="s">
        <v>21</v>
      </c>
      <c r="AK29" s="223" t="s">
        <v>21</v>
      </c>
      <c r="AL29" s="223" t="s">
        <v>21</v>
      </c>
      <c r="AM29" s="223" t="s">
        <v>21</v>
      </c>
      <c r="AN29" s="223" t="s">
        <v>21</v>
      </c>
      <c r="AO29" s="223" t="s">
        <v>21</v>
      </c>
      <c r="AP29" s="223" t="s">
        <v>21</v>
      </c>
      <c r="AQ29" s="223" t="s">
        <v>21</v>
      </c>
      <c r="AR29" s="223" t="s">
        <v>21</v>
      </c>
      <c r="AS29" s="223" t="s">
        <v>21</v>
      </c>
      <c r="AT29" s="223" t="s">
        <v>21</v>
      </c>
      <c r="AU29" s="223" t="s">
        <v>21</v>
      </c>
      <c r="AV29" s="223" t="s">
        <v>21</v>
      </c>
      <c r="AW29" s="223" t="s">
        <v>21</v>
      </c>
      <c r="AX29" s="223" t="s">
        <v>21</v>
      </c>
      <c r="AY29" s="223" t="s">
        <v>21</v>
      </c>
      <c r="AZ29" s="223" t="s">
        <v>21</v>
      </c>
      <c r="BA29" s="223" t="s">
        <v>21</v>
      </c>
      <c r="BB29" s="223" t="s">
        <v>21</v>
      </c>
      <c r="BC29" s="223" t="s">
        <v>21</v>
      </c>
      <c r="BD29" s="223" t="s">
        <v>21</v>
      </c>
    </row>
    <row r="30" spans="1:56">
      <c r="A30" s="1061" t="s">
        <v>1637</v>
      </c>
      <c r="B30" s="181" t="s">
        <v>411</v>
      </c>
      <c r="C30" s="25" t="s">
        <v>408</v>
      </c>
      <c r="D30" s="26" t="s">
        <v>1381</v>
      </c>
      <c r="E30" s="34">
        <v>5070</v>
      </c>
      <c r="F30" s="24" t="s">
        <v>20</v>
      </c>
      <c r="G30" s="69">
        <v>131</v>
      </c>
      <c r="H30" s="109">
        <v>276.45853232627047</v>
      </c>
      <c r="I30" s="38"/>
      <c r="J30" s="38"/>
      <c r="K30" s="38"/>
      <c r="L30" s="38"/>
      <c r="M30" s="38"/>
      <c r="N30" s="38"/>
      <c r="O30" s="38"/>
      <c r="P30" s="38"/>
      <c r="Q30" s="219"/>
      <c r="R30" s="219"/>
      <c r="S30" s="219"/>
      <c r="T30" s="298"/>
      <c r="U30" s="224"/>
      <c r="V30" s="224"/>
      <c r="W30" s="219"/>
      <c r="X30" s="480"/>
      <c r="Y30" s="480"/>
      <c r="Z30" s="480"/>
      <c r="AA30" s="480">
        <v>37</v>
      </c>
      <c r="AB30" s="219">
        <v>74</v>
      </c>
      <c r="AC30" s="224">
        <v>99</v>
      </c>
      <c r="AD30" s="224">
        <v>93</v>
      </c>
      <c r="AE30" s="223">
        <v>43</v>
      </c>
      <c r="AF30" s="223">
        <v>52</v>
      </c>
      <c r="AG30" s="223">
        <v>41</v>
      </c>
      <c r="AH30" s="223">
        <v>35</v>
      </c>
      <c r="AI30" s="223">
        <v>83</v>
      </c>
      <c r="AJ30" s="223">
        <v>77</v>
      </c>
      <c r="AK30" s="223">
        <v>88</v>
      </c>
      <c r="AL30" s="223">
        <v>57.857142857142861</v>
      </c>
      <c r="AM30" s="223">
        <v>56.835086785066643</v>
      </c>
      <c r="AN30" s="223">
        <v>60.11512540868727</v>
      </c>
      <c r="AO30" s="223">
        <v>64.970238327156878</v>
      </c>
      <c r="AP30" s="223">
        <v>65.609510376788236</v>
      </c>
      <c r="AQ30" s="223">
        <v>66.223161303888759</v>
      </c>
      <c r="AR30" s="223">
        <v>104.08353242566423</v>
      </c>
      <c r="AS30" s="223">
        <v>88.034130898009636</v>
      </c>
      <c r="AT30" s="223">
        <v>58.204606948562223</v>
      </c>
      <c r="AU30" s="223">
        <v>87.101482398318993</v>
      </c>
      <c r="AV30" s="223">
        <v>65.099683242684222</v>
      </c>
      <c r="AW30" s="223">
        <v>55.054710572522389</v>
      </c>
      <c r="AX30" s="223">
        <v>57.857142857142861</v>
      </c>
      <c r="AY30" s="223">
        <v>56.835086785066643</v>
      </c>
      <c r="AZ30" s="223">
        <v>60.11512540868727</v>
      </c>
      <c r="BA30" s="223">
        <v>64.970238327156878</v>
      </c>
      <c r="BB30" s="223">
        <v>65.609510376788236</v>
      </c>
      <c r="BC30" s="223">
        <v>66.223161303888759</v>
      </c>
      <c r="BD30" s="223">
        <v>104.08353242566423</v>
      </c>
    </row>
    <row r="31" spans="1:56">
      <c r="A31" s="1061" t="s">
        <v>1639</v>
      </c>
      <c r="B31" s="26" t="e">
        <v>#N/A</v>
      </c>
      <c r="C31" s="25" t="s">
        <v>1640</v>
      </c>
      <c r="D31" s="26"/>
      <c r="E31" s="34"/>
      <c r="F31" s="24"/>
      <c r="G31" s="69">
        <v>0</v>
      </c>
      <c r="H31" s="109" t="s">
        <v>21</v>
      </c>
      <c r="I31" s="38"/>
      <c r="J31" s="38"/>
      <c r="K31" s="38"/>
      <c r="L31" s="38"/>
      <c r="M31" s="38"/>
      <c r="N31" s="38"/>
      <c r="O31" s="38"/>
      <c r="P31" s="38"/>
      <c r="Q31" s="219"/>
      <c r="R31" s="219"/>
      <c r="S31" s="219"/>
      <c r="T31" s="219"/>
      <c r="U31" s="224"/>
      <c r="V31" s="224"/>
      <c r="W31" s="219"/>
      <c r="X31" s="480"/>
      <c r="Y31" s="219"/>
      <c r="Z31" s="219"/>
      <c r="AA31" s="219"/>
      <c r="AB31" s="219"/>
      <c r="AC31" s="224"/>
      <c r="AD31" s="224" t="s">
        <v>21</v>
      </c>
      <c r="AE31" s="223" t="s">
        <v>21</v>
      </c>
      <c r="AF31" s="223" t="s">
        <v>21</v>
      </c>
      <c r="AG31" s="223" t="s">
        <v>21</v>
      </c>
      <c r="AH31" s="223" t="s">
        <v>21</v>
      </c>
      <c r="AI31" s="223" t="s">
        <v>21</v>
      </c>
      <c r="AJ31" s="223" t="s">
        <v>21</v>
      </c>
      <c r="AK31" s="223" t="s">
        <v>21</v>
      </c>
      <c r="AL31" s="223" t="s">
        <v>21</v>
      </c>
      <c r="AM31" s="223" t="s">
        <v>21</v>
      </c>
      <c r="AN31" s="223" t="s">
        <v>21</v>
      </c>
      <c r="AO31" s="223" t="s">
        <v>21</v>
      </c>
      <c r="AP31" s="223" t="s">
        <v>21</v>
      </c>
      <c r="AQ31" s="223" t="s">
        <v>21</v>
      </c>
      <c r="AR31" s="223" t="s">
        <v>21</v>
      </c>
      <c r="AS31" s="223" t="s">
        <v>21</v>
      </c>
      <c r="AT31" s="223" t="s">
        <v>21</v>
      </c>
      <c r="AU31" s="223" t="s">
        <v>21</v>
      </c>
      <c r="AV31" s="223" t="s">
        <v>21</v>
      </c>
      <c r="AW31" s="223" t="s">
        <v>21</v>
      </c>
      <c r="AX31" s="223" t="s">
        <v>21</v>
      </c>
      <c r="AY31" s="223" t="s">
        <v>21</v>
      </c>
      <c r="AZ31" s="223" t="s">
        <v>21</v>
      </c>
      <c r="BA31" s="223" t="s">
        <v>21</v>
      </c>
      <c r="BB31" s="223" t="s">
        <v>21</v>
      </c>
      <c r="BC31" s="223" t="s">
        <v>21</v>
      </c>
      <c r="BD31" s="223" t="s">
        <v>21</v>
      </c>
    </row>
    <row r="32" spans="1:56">
      <c r="A32" s="1059" t="s">
        <v>1639</v>
      </c>
      <c r="B32" s="26" t="s">
        <v>423</v>
      </c>
      <c r="C32" s="25" t="s">
        <v>420</v>
      </c>
      <c r="D32" s="26" t="s">
        <v>1721</v>
      </c>
      <c r="E32" s="24">
        <v>5060</v>
      </c>
      <c r="F32" s="24" t="s">
        <v>20</v>
      </c>
      <c r="G32" s="38">
        <v>17</v>
      </c>
      <c r="H32" s="109">
        <v>629.71110140983831</v>
      </c>
      <c r="I32" s="38"/>
      <c r="J32" s="38"/>
      <c r="K32" s="38"/>
      <c r="L32" s="38"/>
      <c r="M32" s="38"/>
      <c r="N32" s="38"/>
      <c r="O32" s="38"/>
      <c r="P32" s="38"/>
      <c r="Q32" s="219"/>
      <c r="R32" s="219"/>
      <c r="S32" s="219"/>
      <c r="T32" s="298"/>
      <c r="U32" s="224"/>
      <c r="V32" s="224"/>
      <c r="W32" s="219"/>
      <c r="X32" s="480"/>
      <c r="Y32" s="219"/>
      <c r="Z32" s="219"/>
      <c r="AA32" s="219"/>
      <c r="AB32" s="219"/>
      <c r="AC32" s="224">
        <v>0</v>
      </c>
      <c r="AD32" s="224">
        <v>1</v>
      </c>
      <c r="AE32" s="223">
        <v>10</v>
      </c>
      <c r="AF32" s="223">
        <v>12</v>
      </c>
      <c r="AG32" s="223">
        <v>20</v>
      </c>
      <c r="AH32" s="223">
        <v>11</v>
      </c>
      <c r="AI32" s="223">
        <v>24</v>
      </c>
      <c r="AJ32" s="223">
        <v>109</v>
      </c>
      <c r="AK32" s="223">
        <v>580</v>
      </c>
      <c r="AL32" s="223">
        <v>131.78571428571431</v>
      </c>
      <c r="AM32" s="223">
        <v>129.45769767709626</v>
      </c>
      <c r="AN32" s="223">
        <v>136.92889676423212</v>
      </c>
      <c r="AO32" s="223">
        <v>147.98776507852403</v>
      </c>
      <c r="AP32" s="223">
        <v>149.44388474712878</v>
      </c>
      <c r="AQ32" s="223">
        <v>150.84164519219107</v>
      </c>
      <c r="AR32" s="223">
        <v>237.07915719179076</v>
      </c>
      <c r="AS32" s="223">
        <v>200.52218704546641</v>
      </c>
      <c r="AT32" s="223">
        <v>132.57716027172509</v>
      </c>
      <c r="AU32" s="223">
        <v>198.3978210183933</v>
      </c>
      <c r="AV32" s="223">
        <v>148.28261183055852</v>
      </c>
      <c r="AW32" s="223">
        <v>125.40239630407879</v>
      </c>
      <c r="AX32" s="223">
        <v>131.78571428571431</v>
      </c>
      <c r="AY32" s="223">
        <v>129.45769767709626</v>
      </c>
      <c r="AZ32" s="223">
        <v>136.92889676423212</v>
      </c>
      <c r="BA32" s="223">
        <v>147.98776507852403</v>
      </c>
      <c r="BB32" s="223">
        <v>149.44388474712878</v>
      </c>
      <c r="BC32" s="223">
        <v>150.84164519219107</v>
      </c>
      <c r="BD32" s="223">
        <v>237.07915719179076</v>
      </c>
    </row>
    <row r="33" spans="1:56">
      <c r="A33" s="1061" t="s">
        <v>1639</v>
      </c>
      <c r="B33" s="26" t="s">
        <v>429</v>
      </c>
      <c r="C33" s="57" t="s">
        <v>427</v>
      </c>
      <c r="D33" s="68"/>
      <c r="E33" s="68"/>
      <c r="F33" s="68"/>
      <c r="G33" s="355">
        <v>350</v>
      </c>
      <c r="H33" s="109">
        <v>15.358807351459468</v>
      </c>
      <c r="I33" s="38"/>
      <c r="J33" s="38"/>
      <c r="K33" s="38"/>
      <c r="L33" s="38"/>
      <c r="M33" s="38"/>
      <c r="N33" s="38"/>
      <c r="O33" s="38"/>
      <c r="P33" s="38"/>
      <c r="Q33" s="219"/>
      <c r="R33" s="219"/>
      <c r="S33" s="219"/>
      <c r="T33" s="219"/>
      <c r="U33" s="224"/>
      <c r="V33" s="224"/>
      <c r="W33" s="219"/>
      <c r="X33" s="480"/>
      <c r="Y33" s="219"/>
      <c r="Z33" s="219"/>
      <c r="AA33" s="219"/>
      <c r="AB33" s="219"/>
      <c r="AC33" s="224"/>
      <c r="AD33" s="224" t="s">
        <v>21</v>
      </c>
      <c r="AE33" s="223">
        <v>0</v>
      </c>
      <c r="AF33" s="223">
        <v>0</v>
      </c>
      <c r="AG33" s="223">
        <v>0</v>
      </c>
      <c r="AH33" s="223">
        <v>3</v>
      </c>
      <c r="AI33" s="223">
        <v>3</v>
      </c>
      <c r="AJ33" s="223">
        <v>0</v>
      </c>
      <c r="AK33" s="223">
        <v>1</v>
      </c>
      <c r="AL33" s="223">
        <v>3.214285714285714</v>
      </c>
      <c r="AM33" s="223">
        <v>3.1575048213925907</v>
      </c>
      <c r="AN33" s="223">
        <v>3.3397291893715142</v>
      </c>
      <c r="AO33" s="223">
        <v>3.6094576848420483</v>
      </c>
      <c r="AP33" s="223">
        <v>3.644972798710457</v>
      </c>
      <c r="AQ33" s="223">
        <v>3.6790645168827081</v>
      </c>
      <c r="AR33" s="223">
        <v>5.7824184680924562</v>
      </c>
      <c r="AS33" s="223">
        <v>4.8907850498894234</v>
      </c>
      <c r="AT33" s="223">
        <v>3.2335892749201229</v>
      </c>
      <c r="AU33" s="223">
        <v>4.838971244351054</v>
      </c>
      <c r="AV33" s="223">
        <v>3.6166490690380111</v>
      </c>
      <c r="AW33" s="223">
        <v>3.0585950318067985</v>
      </c>
      <c r="AX33" s="223">
        <v>3.2142857142857135</v>
      </c>
      <c r="AY33" s="223">
        <v>3.1575048213925903</v>
      </c>
      <c r="AZ33" s="223">
        <v>3.3397291893715138</v>
      </c>
      <c r="BA33" s="223">
        <v>3.6094576848420479</v>
      </c>
      <c r="BB33" s="223">
        <v>3.6449727987104565</v>
      </c>
      <c r="BC33" s="223">
        <v>3.6790645168827076</v>
      </c>
      <c r="BD33" s="223">
        <v>5.7824184680924553</v>
      </c>
    </row>
    <row r="34" spans="1:56">
      <c r="A34" s="1061" t="s">
        <v>1639</v>
      </c>
      <c r="B34" s="26" t="s">
        <v>488</v>
      </c>
      <c r="C34" s="57" t="s">
        <v>486</v>
      </c>
      <c r="D34" s="68"/>
      <c r="E34" s="68"/>
      <c r="F34" s="68"/>
      <c r="G34" s="355">
        <v>30</v>
      </c>
      <c r="H34" s="109">
        <v>680.9071259147031</v>
      </c>
      <c r="I34" s="38"/>
      <c r="J34" s="38"/>
      <c r="K34" s="38"/>
      <c r="L34" s="38"/>
      <c r="M34" s="38"/>
      <c r="N34" s="38"/>
      <c r="O34" s="38"/>
      <c r="P34" s="38"/>
      <c r="Q34" s="219"/>
      <c r="R34" s="219"/>
      <c r="S34" s="219"/>
      <c r="T34" s="219"/>
      <c r="U34" s="224"/>
      <c r="V34" s="224"/>
      <c r="W34" s="219"/>
      <c r="X34" s="480"/>
      <c r="Y34" s="219"/>
      <c r="Z34" s="219" t="s">
        <v>21</v>
      </c>
      <c r="AA34" s="219"/>
      <c r="AB34" s="219"/>
      <c r="AC34" s="224"/>
      <c r="AD34" s="224" t="s">
        <v>21</v>
      </c>
      <c r="AE34" s="223">
        <v>97</v>
      </c>
      <c r="AF34" s="223">
        <v>192</v>
      </c>
      <c r="AG34" s="223">
        <v>125</v>
      </c>
      <c r="AH34" s="223">
        <v>29</v>
      </c>
      <c r="AI34" s="223">
        <v>97</v>
      </c>
      <c r="AJ34" s="223">
        <v>168</v>
      </c>
      <c r="AK34" s="223">
        <v>256</v>
      </c>
      <c r="AL34" s="223">
        <v>142.5</v>
      </c>
      <c r="AM34" s="223">
        <v>139.98271374840488</v>
      </c>
      <c r="AN34" s="223">
        <v>148.0613273954705</v>
      </c>
      <c r="AO34" s="223">
        <v>160.01929069466419</v>
      </c>
      <c r="AP34" s="223">
        <v>161.59379407616365</v>
      </c>
      <c r="AQ34" s="223">
        <v>163.10519358180011</v>
      </c>
      <c r="AR34" s="223">
        <v>256.35388541876563</v>
      </c>
      <c r="AS34" s="223">
        <v>216.82480387843117</v>
      </c>
      <c r="AT34" s="223">
        <v>143.35579118812549</v>
      </c>
      <c r="AU34" s="223">
        <v>214.52772516623014</v>
      </c>
      <c r="AV34" s="223">
        <v>160.33810872735188</v>
      </c>
      <c r="AW34" s="223">
        <v>135.59771307676812</v>
      </c>
      <c r="AX34" s="223">
        <v>142.50000000000003</v>
      </c>
      <c r="AY34" s="223">
        <v>139.9827137484049</v>
      </c>
      <c r="AZ34" s="223">
        <v>148.06132739547053</v>
      </c>
      <c r="BA34" s="223">
        <v>160.01929069466422</v>
      </c>
      <c r="BB34" s="223">
        <v>161.59379407616368</v>
      </c>
      <c r="BC34" s="223">
        <v>163.10519358180014</v>
      </c>
      <c r="BD34" s="223">
        <v>256.35388541876569</v>
      </c>
    </row>
    <row r="35" spans="1:56">
      <c r="A35" s="1061" t="s">
        <v>1641</v>
      </c>
      <c r="B35" s="26" t="s">
        <v>437</v>
      </c>
      <c r="C35" s="57" t="s">
        <v>435</v>
      </c>
      <c r="D35" s="68"/>
      <c r="E35" s="68"/>
      <c r="F35" s="68"/>
      <c r="G35" s="355">
        <v>432</v>
      </c>
      <c r="H35" s="109">
        <v>10.239204900972981</v>
      </c>
      <c r="I35" s="38"/>
      <c r="J35" s="38"/>
      <c r="K35" s="38"/>
      <c r="L35" s="38"/>
      <c r="M35" s="38"/>
      <c r="N35" s="38"/>
      <c r="O35" s="38"/>
      <c r="P35" s="38"/>
      <c r="Q35" s="219"/>
      <c r="R35" s="219"/>
      <c r="S35" s="219"/>
      <c r="T35" s="219"/>
      <c r="U35" s="224"/>
      <c r="V35" s="224"/>
      <c r="W35" s="219"/>
      <c r="X35" s="480"/>
      <c r="Y35" s="219"/>
      <c r="Z35" s="219"/>
      <c r="AA35" s="219"/>
      <c r="AB35" s="219"/>
      <c r="AC35" s="224"/>
      <c r="AD35" s="224" t="s">
        <v>21</v>
      </c>
      <c r="AE35" s="223">
        <v>0</v>
      </c>
      <c r="AF35" s="223">
        <v>0</v>
      </c>
      <c r="AG35" s="223">
        <v>0</v>
      </c>
      <c r="AH35" s="223">
        <v>0</v>
      </c>
      <c r="AI35" s="223">
        <v>1</v>
      </c>
      <c r="AJ35" s="223">
        <v>0</v>
      </c>
      <c r="AK35" s="223">
        <v>4</v>
      </c>
      <c r="AL35" s="223">
        <v>2.1428571428571428</v>
      </c>
      <c r="AM35" s="223">
        <v>2.1050032142617274</v>
      </c>
      <c r="AN35" s="223">
        <v>2.2264861262476767</v>
      </c>
      <c r="AO35" s="223">
        <v>2.4063051232280328</v>
      </c>
      <c r="AP35" s="223">
        <v>2.4299818658069716</v>
      </c>
      <c r="AQ35" s="223">
        <v>2.4527096779218058</v>
      </c>
      <c r="AR35" s="223">
        <v>3.8549456453949715</v>
      </c>
      <c r="AS35" s="223">
        <v>3.2605233665929494</v>
      </c>
      <c r="AT35" s="223">
        <v>2.1557261832800823</v>
      </c>
      <c r="AU35" s="223">
        <v>3.2259808295673698</v>
      </c>
      <c r="AV35" s="223">
        <v>2.4110993793586744</v>
      </c>
      <c r="AW35" s="223">
        <v>2.0390633545378658</v>
      </c>
      <c r="AX35" s="223">
        <v>2.1428571428571423</v>
      </c>
      <c r="AY35" s="223">
        <v>2.105003214261727</v>
      </c>
      <c r="AZ35" s="223">
        <v>2.2264861262476758</v>
      </c>
      <c r="BA35" s="223">
        <v>2.4063051232280319</v>
      </c>
      <c r="BB35" s="223">
        <v>2.4299818658069707</v>
      </c>
      <c r="BC35" s="223">
        <v>2.4527096779218049</v>
      </c>
      <c r="BD35" s="223">
        <v>3.8549456453949702</v>
      </c>
    </row>
    <row r="36" spans="1:56">
      <c r="A36" s="1061"/>
      <c r="B36" s="26" t="s">
        <v>21</v>
      </c>
      <c r="C36" s="57"/>
      <c r="D36" s="68"/>
      <c r="E36" s="68"/>
      <c r="F36" s="68"/>
      <c r="G36" s="355" t="s">
        <v>21</v>
      </c>
      <c r="H36" s="109" t="s">
        <v>21</v>
      </c>
      <c r="I36" s="38"/>
      <c r="J36" s="38"/>
      <c r="K36" s="38"/>
      <c r="L36" s="38"/>
      <c r="M36" s="38"/>
      <c r="N36" s="38"/>
      <c r="O36" s="38"/>
      <c r="P36" s="38"/>
      <c r="Q36" s="219"/>
      <c r="R36" s="219"/>
      <c r="S36" s="219"/>
      <c r="T36" s="219"/>
      <c r="U36" s="224"/>
      <c r="V36" s="224"/>
      <c r="W36" s="219"/>
      <c r="X36" s="480"/>
      <c r="Y36" s="219"/>
      <c r="Z36" s="219" t="s">
        <v>21</v>
      </c>
      <c r="AA36" s="219"/>
      <c r="AB36" s="219"/>
      <c r="AC36" s="224"/>
      <c r="AD36" s="224" t="s">
        <v>21</v>
      </c>
      <c r="AE36" s="223" t="s">
        <v>21</v>
      </c>
      <c r="AF36" s="223" t="s">
        <v>21</v>
      </c>
      <c r="AG36" s="223" t="s">
        <v>21</v>
      </c>
      <c r="AH36" s="223" t="s">
        <v>21</v>
      </c>
      <c r="AI36" s="223" t="s">
        <v>21</v>
      </c>
      <c r="AJ36" s="223" t="s">
        <v>21</v>
      </c>
      <c r="AK36" s="223" t="s">
        <v>21</v>
      </c>
      <c r="AL36" s="223" t="s">
        <v>21</v>
      </c>
      <c r="AM36" s="223" t="s">
        <v>21</v>
      </c>
      <c r="AN36" s="223" t="s">
        <v>21</v>
      </c>
      <c r="AO36" s="223" t="s">
        <v>21</v>
      </c>
      <c r="AP36" s="223" t="s">
        <v>21</v>
      </c>
      <c r="AQ36" s="223" t="s">
        <v>21</v>
      </c>
      <c r="AR36" s="223" t="s">
        <v>21</v>
      </c>
      <c r="AS36" s="223" t="s">
        <v>21</v>
      </c>
      <c r="AT36" s="223" t="s">
        <v>21</v>
      </c>
      <c r="AU36" s="223" t="s">
        <v>21</v>
      </c>
      <c r="AV36" s="223" t="s">
        <v>21</v>
      </c>
      <c r="AW36" s="223" t="s">
        <v>21</v>
      </c>
      <c r="AX36" s="223" t="s">
        <v>21</v>
      </c>
      <c r="AY36" s="223" t="s">
        <v>21</v>
      </c>
      <c r="AZ36" s="223" t="s">
        <v>21</v>
      </c>
      <c r="BA36" s="223" t="s">
        <v>21</v>
      </c>
      <c r="BB36" s="223" t="s">
        <v>21</v>
      </c>
      <c r="BC36" s="223" t="s">
        <v>21</v>
      </c>
      <c r="BD36" s="223" t="s">
        <v>21</v>
      </c>
    </row>
    <row r="37" spans="1:56">
      <c r="A37" s="1061" t="s">
        <v>1642</v>
      </c>
      <c r="B37" s="105" t="s">
        <v>446</v>
      </c>
      <c r="C37" s="57" t="s">
        <v>444</v>
      </c>
      <c r="D37" s="68"/>
      <c r="E37" s="68"/>
      <c r="F37" s="68"/>
      <c r="G37" s="355">
        <v>552</v>
      </c>
      <c r="H37" s="109">
        <v>337.89376173210837</v>
      </c>
      <c r="I37" s="38"/>
      <c r="J37" s="38"/>
      <c r="K37" s="38"/>
      <c r="L37" s="38"/>
      <c r="M37" s="38"/>
      <c r="N37" s="38"/>
      <c r="O37" s="38"/>
      <c r="P37" s="38"/>
      <c r="Q37" s="219"/>
      <c r="R37" s="219"/>
      <c r="S37" s="219"/>
      <c r="T37" s="219"/>
      <c r="U37" s="224"/>
      <c r="V37" s="224"/>
      <c r="W37" s="219"/>
      <c r="X37" s="480"/>
      <c r="Y37" s="219"/>
      <c r="Z37" s="219">
        <v>2</v>
      </c>
      <c r="AA37" s="219">
        <v>70</v>
      </c>
      <c r="AB37" s="219">
        <v>180</v>
      </c>
      <c r="AC37" s="224">
        <v>229</v>
      </c>
      <c r="AD37" s="224">
        <v>189</v>
      </c>
      <c r="AE37" s="223">
        <v>161</v>
      </c>
      <c r="AF37" s="223">
        <v>238</v>
      </c>
      <c r="AG37" s="223">
        <v>160</v>
      </c>
      <c r="AH37" s="223">
        <v>141</v>
      </c>
      <c r="AI37" s="223">
        <v>141</v>
      </c>
      <c r="AJ37" s="223">
        <v>71</v>
      </c>
      <c r="AK37" s="223">
        <v>56</v>
      </c>
      <c r="AL37" s="223">
        <v>70.714285714285722</v>
      </c>
      <c r="AM37" s="223">
        <v>69.465106070637006</v>
      </c>
      <c r="AN37" s="223">
        <v>73.474042166173319</v>
      </c>
      <c r="AO37" s="223">
        <v>79.408069066525073</v>
      </c>
      <c r="AP37" s="223">
        <v>80.189401571630057</v>
      </c>
      <c r="AQ37" s="223">
        <v>80.939419371419575</v>
      </c>
      <c r="AR37" s="223">
        <v>127.21320629803402</v>
      </c>
      <c r="AS37" s="223">
        <v>107.5972710975673</v>
      </c>
      <c r="AT37" s="223">
        <v>71.138964048242698</v>
      </c>
      <c r="AU37" s="223">
        <v>106.45736737572318</v>
      </c>
      <c r="AV37" s="223">
        <v>79.56627951883624</v>
      </c>
      <c r="AW37" s="223">
        <v>67.289090699749565</v>
      </c>
      <c r="AX37" s="223">
        <v>70.714285714285694</v>
      </c>
      <c r="AY37" s="223">
        <v>69.465106070636978</v>
      </c>
      <c r="AZ37" s="223">
        <v>73.474042166173291</v>
      </c>
      <c r="BA37" s="223">
        <v>79.408069066525044</v>
      </c>
      <c r="BB37" s="223">
        <v>80.189401571630029</v>
      </c>
      <c r="BC37" s="223">
        <v>80.939419371419547</v>
      </c>
      <c r="BD37" s="223">
        <v>127.21320629803398</v>
      </c>
    </row>
    <row r="38" spans="1:56">
      <c r="A38" s="1061" t="s">
        <v>1643</v>
      </c>
      <c r="B38" s="26" t="s">
        <v>475</v>
      </c>
      <c r="C38" s="57" t="s">
        <v>448</v>
      </c>
      <c r="D38" s="68"/>
      <c r="E38" s="68"/>
      <c r="F38" s="68"/>
      <c r="G38" s="355">
        <v>1100</v>
      </c>
      <c r="H38" s="109">
        <v>0</v>
      </c>
      <c r="I38" s="38"/>
      <c r="J38" s="38"/>
      <c r="K38" s="38"/>
      <c r="L38" s="38"/>
      <c r="M38" s="38"/>
      <c r="N38" s="38"/>
      <c r="O38" s="38"/>
      <c r="P38" s="38"/>
      <c r="Q38" s="219"/>
      <c r="R38" s="219"/>
      <c r="S38" s="219"/>
      <c r="T38" s="219"/>
      <c r="U38" s="224"/>
      <c r="V38" s="224"/>
      <c r="W38" s="219"/>
      <c r="X38" s="480"/>
      <c r="Y38" s="219"/>
      <c r="Z38" s="219" t="s">
        <v>21</v>
      </c>
      <c r="AA38" s="219"/>
      <c r="AB38" s="219"/>
      <c r="AC38" s="224"/>
      <c r="AD38" s="224" t="s">
        <v>21</v>
      </c>
      <c r="AE38" s="223">
        <v>0</v>
      </c>
      <c r="AF38" s="223">
        <v>0</v>
      </c>
      <c r="AG38" s="223">
        <v>0</v>
      </c>
      <c r="AH38" s="223">
        <v>0</v>
      </c>
      <c r="AI38" s="223">
        <v>0</v>
      </c>
      <c r="AJ38" s="223">
        <v>0</v>
      </c>
      <c r="AK38" s="223">
        <v>0</v>
      </c>
      <c r="AL38" s="223">
        <v>0</v>
      </c>
      <c r="AM38" s="223" t="s">
        <v>21</v>
      </c>
      <c r="AN38" s="223" t="s">
        <v>21</v>
      </c>
      <c r="AO38" s="223" t="s">
        <v>21</v>
      </c>
      <c r="AP38" s="223" t="s">
        <v>21</v>
      </c>
      <c r="AQ38" s="223" t="s">
        <v>21</v>
      </c>
      <c r="AR38" s="223" t="s">
        <v>21</v>
      </c>
      <c r="AS38" s="223" t="s">
        <v>21</v>
      </c>
      <c r="AT38" s="223" t="s">
        <v>21</v>
      </c>
      <c r="AU38" s="223" t="s">
        <v>21</v>
      </c>
      <c r="AV38" s="223" t="s">
        <v>21</v>
      </c>
      <c r="AW38" s="223" t="s">
        <v>21</v>
      </c>
      <c r="AX38" s="223" t="s">
        <v>21</v>
      </c>
      <c r="AY38" s="223" t="s">
        <v>21</v>
      </c>
      <c r="AZ38" s="223" t="s">
        <v>21</v>
      </c>
      <c r="BA38" s="223" t="s">
        <v>21</v>
      </c>
      <c r="BB38" s="223" t="s">
        <v>21</v>
      </c>
      <c r="BC38" s="223" t="s">
        <v>21</v>
      </c>
      <c r="BD38" s="223" t="s">
        <v>21</v>
      </c>
    </row>
    <row r="39" spans="1:56">
      <c r="A39" s="1061" t="s">
        <v>1642</v>
      </c>
      <c r="B39" s="105" t="s">
        <v>451</v>
      </c>
      <c r="C39" s="57" t="s">
        <v>449</v>
      </c>
      <c r="D39" s="68"/>
      <c r="E39" s="68"/>
      <c r="F39" s="68"/>
      <c r="G39" s="355">
        <v>73</v>
      </c>
      <c r="H39" s="109">
        <v>640.29161314084354</v>
      </c>
      <c r="I39" s="38"/>
      <c r="J39" s="38"/>
      <c r="K39" s="38"/>
      <c r="L39" s="38"/>
      <c r="M39" s="38"/>
      <c r="N39" s="38"/>
      <c r="O39" s="38"/>
      <c r="P39" s="38"/>
      <c r="Q39" s="219"/>
      <c r="R39" s="219"/>
      <c r="S39" s="219"/>
      <c r="T39" s="219"/>
      <c r="U39" s="224"/>
      <c r="V39" s="224"/>
      <c r="W39" s="219"/>
      <c r="X39" s="480"/>
      <c r="Y39" s="219"/>
      <c r="Z39" s="219"/>
      <c r="AA39" s="219">
        <v>69</v>
      </c>
      <c r="AB39" s="219">
        <v>114</v>
      </c>
      <c r="AC39" s="224">
        <v>138</v>
      </c>
      <c r="AD39" s="224">
        <v>189</v>
      </c>
      <c r="AE39" s="223">
        <v>99</v>
      </c>
      <c r="AF39" s="223">
        <v>141</v>
      </c>
      <c r="AG39" s="223">
        <v>106</v>
      </c>
      <c r="AH39" s="223">
        <v>57</v>
      </c>
      <c r="AI39" s="223">
        <v>126</v>
      </c>
      <c r="AJ39" s="223">
        <v>76</v>
      </c>
      <c r="AK39" s="223">
        <v>44</v>
      </c>
      <c r="AL39" s="223">
        <v>134</v>
      </c>
      <c r="AM39" s="223">
        <v>131.63286766516669</v>
      </c>
      <c r="AN39" s="223">
        <v>139.22959909468804</v>
      </c>
      <c r="AO39" s="223">
        <v>150.47428037252629</v>
      </c>
      <c r="AP39" s="223">
        <v>151.9548660084626</v>
      </c>
      <c r="AQ39" s="223">
        <v>153.37611185937689</v>
      </c>
      <c r="AR39" s="223">
        <v>241.0626010253655</v>
      </c>
      <c r="AS39" s="223">
        <v>203.89139452427906</v>
      </c>
      <c r="AT39" s="223">
        <v>134.80474399444779</v>
      </c>
      <c r="AU39" s="223">
        <v>201.73133454227951</v>
      </c>
      <c r="AV39" s="223">
        <v>150.77408118922909</v>
      </c>
      <c r="AW39" s="223">
        <v>127.50942843710121</v>
      </c>
      <c r="AX39" s="223">
        <v>133.99999999999997</v>
      </c>
      <c r="AY39" s="223">
        <v>131.63286766516666</v>
      </c>
      <c r="AZ39" s="223">
        <v>139.22959909468801</v>
      </c>
      <c r="BA39" s="223">
        <v>150.47428037252627</v>
      </c>
      <c r="BB39" s="223">
        <v>151.95486600846257</v>
      </c>
      <c r="BC39" s="223">
        <v>153.37611185937686</v>
      </c>
      <c r="BD39" s="223">
        <v>241.06260102536544</v>
      </c>
    </row>
    <row r="40" spans="1:56">
      <c r="A40" s="1061" t="s">
        <v>1643</v>
      </c>
      <c r="B40" s="26" t="s">
        <v>478</v>
      </c>
      <c r="C40" s="57" t="s">
        <v>453</v>
      </c>
      <c r="D40" s="68"/>
      <c r="E40" s="68"/>
      <c r="F40" s="68"/>
      <c r="G40" s="355">
        <v>730</v>
      </c>
      <c r="H40" s="109">
        <v>0</v>
      </c>
      <c r="I40" s="38"/>
      <c r="J40" s="38"/>
      <c r="K40" s="38"/>
      <c r="L40" s="38"/>
      <c r="M40" s="38"/>
      <c r="N40" s="38"/>
      <c r="O40" s="38"/>
      <c r="P40" s="38"/>
      <c r="Q40" s="219"/>
      <c r="R40" s="219"/>
      <c r="S40" s="219"/>
      <c r="T40" s="219"/>
      <c r="U40" s="224"/>
      <c r="V40" s="224"/>
      <c r="W40" s="219"/>
      <c r="X40" s="480"/>
      <c r="Y40" s="219"/>
      <c r="Z40" s="219" t="s">
        <v>21</v>
      </c>
      <c r="AA40" s="219"/>
      <c r="AB40" s="219"/>
      <c r="AC40" s="224"/>
      <c r="AD40" s="224" t="s">
        <v>21</v>
      </c>
      <c r="AE40" s="223">
        <v>0</v>
      </c>
      <c r="AF40" s="223">
        <v>0</v>
      </c>
      <c r="AG40" s="223">
        <v>0</v>
      </c>
      <c r="AH40" s="223">
        <v>0</v>
      </c>
      <c r="AI40" s="223">
        <v>0</v>
      </c>
      <c r="AJ40" s="223">
        <v>0</v>
      </c>
      <c r="AK40" s="223">
        <v>0</v>
      </c>
      <c r="AL40" s="223">
        <v>0</v>
      </c>
      <c r="AM40" s="223" t="s">
        <v>21</v>
      </c>
      <c r="AN40" s="223" t="s">
        <v>21</v>
      </c>
      <c r="AO40" s="223" t="s">
        <v>21</v>
      </c>
      <c r="AP40" s="223" t="s">
        <v>21</v>
      </c>
      <c r="AQ40" s="223" t="s">
        <v>21</v>
      </c>
      <c r="AR40" s="223" t="s">
        <v>21</v>
      </c>
      <c r="AS40" s="223" t="s">
        <v>21</v>
      </c>
      <c r="AT40" s="223" t="s">
        <v>21</v>
      </c>
      <c r="AU40" s="223" t="s">
        <v>21</v>
      </c>
      <c r="AV40" s="223" t="s">
        <v>21</v>
      </c>
      <c r="AW40" s="223" t="s">
        <v>21</v>
      </c>
      <c r="AX40" s="223" t="s">
        <v>21</v>
      </c>
      <c r="AY40" s="223" t="s">
        <v>21</v>
      </c>
      <c r="AZ40" s="223" t="s">
        <v>21</v>
      </c>
      <c r="BA40" s="223" t="s">
        <v>21</v>
      </c>
      <c r="BB40" s="223" t="s">
        <v>21</v>
      </c>
      <c r="BC40" s="223" t="s">
        <v>21</v>
      </c>
      <c r="BD40" s="223" t="s">
        <v>21</v>
      </c>
    </row>
    <row r="41" spans="1:56">
      <c r="A41" s="1061" t="s">
        <v>1642</v>
      </c>
      <c r="B41" s="26" t="s">
        <v>460</v>
      </c>
      <c r="C41" s="25" t="s">
        <v>458</v>
      </c>
      <c r="D41" s="68" t="s">
        <v>1365</v>
      </c>
      <c r="E41" s="68">
        <v>4050</v>
      </c>
      <c r="F41" s="68" t="s">
        <v>20</v>
      </c>
      <c r="G41" s="355">
        <v>606</v>
      </c>
      <c r="H41" s="109">
        <v>895.93042883513556</v>
      </c>
      <c r="I41" s="38"/>
      <c r="J41" s="38"/>
      <c r="K41" s="38"/>
      <c r="L41" s="38"/>
      <c r="M41" s="38"/>
      <c r="N41" s="38"/>
      <c r="O41" s="38"/>
      <c r="P41" s="38"/>
      <c r="Q41" s="219"/>
      <c r="R41" s="224"/>
      <c r="S41" s="224"/>
      <c r="T41" s="219"/>
      <c r="U41" s="224">
        <v>176</v>
      </c>
      <c r="V41" s="224">
        <v>79</v>
      </c>
      <c r="W41" s="219">
        <v>106</v>
      </c>
      <c r="X41" s="480">
        <v>105</v>
      </c>
      <c r="Y41" s="219">
        <v>73</v>
      </c>
      <c r="Z41" s="219">
        <v>112</v>
      </c>
      <c r="AA41" s="219">
        <v>157</v>
      </c>
      <c r="AB41" s="219">
        <v>276</v>
      </c>
      <c r="AC41" s="224">
        <v>181</v>
      </c>
      <c r="AD41" s="224">
        <v>218</v>
      </c>
      <c r="AE41" s="223">
        <v>103</v>
      </c>
      <c r="AF41" s="223">
        <v>163</v>
      </c>
      <c r="AG41" s="223">
        <v>88</v>
      </c>
      <c r="AH41" s="223">
        <v>44</v>
      </c>
      <c r="AI41" s="223">
        <v>90</v>
      </c>
      <c r="AJ41" s="223">
        <v>117</v>
      </c>
      <c r="AK41" s="223">
        <v>64</v>
      </c>
      <c r="AL41" s="223">
        <v>187.5</v>
      </c>
      <c r="AM41" s="223">
        <v>184.18778124790114</v>
      </c>
      <c r="AN41" s="223">
        <v>194.81753604667168</v>
      </c>
      <c r="AO41" s="223">
        <v>210.55169828245283</v>
      </c>
      <c r="AP41" s="223">
        <v>212.62341325810999</v>
      </c>
      <c r="AQ41" s="223">
        <v>214.61209681815797</v>
      </c>
      <c r="AR41" s="223">
        <v>337.30774397205994</v>
      </c>
      <c r="AS41" s="223">
        <v>285.29579457688305</v>
      </c>
      <c r="AT41" s="223">
        <v>188.62604103700718</v>
      </c>
      <c r="AU41" s="223">
        <v>282.27332258714483</v>
      </c>
      <c r="AV41" s="223">
        <v>210.971195693884</v>
      </c>
      <c r="AW41" s="223">
        <v>178.41804352206327</v>
      </c>
      <c r="AX41" s="223">
        <v>187.5</v>
      </c>
      <c r="AY41" s="223">
        <v>184.18778124790114</v>
      </c>
      <c r="AZ41" s="223">
        <v>194.81753604667168</v>
      </c>
      <c r="BA41" s="223">
        <v>210.55169828245283</v>
      </c>
      <c r="BB41" s="223">
        <v>212.62341325810999</v>
      </c>
      <c r="BC41" s="223">
        <v>214.61209681815797</v>
      </c>
      <c r="BD41" s="223">
        <v>337.30774397205994</v>
      </c>
    </row>
    <row r="42" spans="1:56">
      <c r="A42" s="1061" t="s">
        <v>1642</v>
      </c>
      <c r="B42" s="26" t="s">
        <v>465</v>
      </c>
      <c r="C42" s="25" t="s">
        <v>463</v>
      </c>
      <c r="D42" s="68" t="s">
        <v>1365</v>
      </c>
      <c r="E42" s="68">
        <v>3050</v>
      </c>
      <c r="F42" s="68" t="s">
        <v>20</v>
      </c>
      <c r="G42" s="355">
        <v>11</v>
      </c>
      <c r="H42" s="109">
        <v>153.58807351459467</v>
      </c>
      <c r="I42" s="38"/>
      <c r="J42" s="38"/>
      <c r="K42" s="38"/>
      <c r="L42" s="38"/>
      <c r="M42" s="38"/>
      <c r="N42" s="38"/>
      <c r="O42" s="38"/>
      <c r="P42" s="38"/>
      <c r="Q42" s="219"/>
      <c r="R42" s="224"/>
      <c r="S42" s="224"/>
      <c r="T42" s="219"/>
      <c r="U42" s="224">
        <v>349</v>
      </c>
      <c r="V42" s="224">
        <v>201</v>
      </c>
      <c r="W42" s="219">
        <v>248</v>
      </c>
      <c r="X42" s="480">
        <v>220</v>
      </c>
      <c r="Y42" s="219">
        <v>197</v>
      </c>
      <c r="Z42" s="219">
        <v>242</v>
      </c>
      <c r="AA42" s="219">
        <v>378</v>
      </c>
      <c r="AB42" s="219">
        <v>534</v>
      </c>
      <c r="AC42" s="224">
        <v>439</v>
      </c>
      <c r="AD42" s="224">
        <v>280</v>
      </c>
      <c r="AE42" s="223">
        <v>112</v>
      </c>
      <c r="AF42" s="223">
        <v>309</v>
      </c>
      <c r="AG42" s="223">
        <v>184</v>
      </c>
      <c r="AH42" s="223">
        <v>85</v>
      </c>
      <c r="AI42" s="223">
        <v>105</v>
      </c>
      <c r="AJ42" s="223">
        <v>97</v>
      </c>
      <c r="AK42" s="223">
        <v>85</v>
      </c>
      <c r="AL42" s="223">
        <v>32.142857142857139</v>
      </c>
      <c r="AM42" s="223">
        <v>31.575048213925907</v>
      </c>
      <c r="AN42" s="223">
        <v>33.397291893715142</v>
      </c>
      <c r="AO42" s="223">
        <v>36.094576848420481</v>
      </c>
      <c r="AP42" s="223">
        <v>36.449727987104566</v>
      </c>
      <c r="AQ42" s="223">
        <v>36.790645168827076</v>
      </c>
      <c r="AR42" s="223">
        <v>57.824184680924553</v>
      </c>
      <c r="AS42" s="223">
        <v>48.907850498894227</v>
      </c>
      <c r="AT42" s="223">
        <v>32.335892749201228</v>
      </c>
      <c r="AU42" s="223">
        <v>48.38971244351054</v>
      </c>
      <c r="AV42" s="223">
        <v>36.166490690380108</v>
      </c>
      <c r="AW42" s="223">
        <v>30.585950318067983</v>
      </c>
      <c r="AX42" s="223">
        <v>32.142857142857132</v>
      </c>
      <c r="AY42" s="223">
        <v>31.5750482139259</v>
      </c>
      <c r="AZ42" s="223">
        <v>33.397291893715135</v>
      </c>
      <c r="BA42" s="223">
        <v>36.094576848420473</v>
      </c>
      <c r="BB42" s="223">
        <v>36.449727987104559</v>
      </c>
      <c r="BC42" s="223">
        <v>36.790645168827069</v>
      </c>
      <c r="BD42" s="223">
        <v>57.824184680924539</v>
      </c>
    </row>
    <row r="43" spans="1:56">
      <c r="A43" s="1061" t="s">
        <v>1644</v>
      </c>
      <c r="B43" s="26" t="s">
        <v>485</v>
      </c>
      <c r="C43" s="25" t="s">
        <v>483</v>
      </c>
      <c r="D43" s="68"/>
      <c r="E43" s="68"/>
      <c r="F43" s="68"/>
      <c r="G43" s="355">
        <v>555</v>
      </c>
      <c r="H43" s="109">
        <v>0</v>
      </c>
      <c r="I43" s="38"/>
      <c r="J43" s="38"/>
      <c r="K43" s="38"/>
      <c r="L43" s="38"/>
      <c r="M43" s="38"/>
      <c r="N43" s="38"/>
      <c r="O43" s="38"/>
      <c r="P43" s="38"/>
      <c r="Q43" s="219"/>
      <c r="R43" s="219"/>
      <c r="S43" s="219"/>
      <c r="T43" s="219"/>
      <c r="U43" s="224"/>
      <c r="V43" s="224"/>
      <c r="W43" s="219"/>
      <c r="X43" s="480"/>
      <c r="Y43" s="219"/>
      <c r="Z43" s="219" t="s">
        <v>21</v>
      </c>
      <c r="AA43" s="219"/>
      <c r="AB43" s="219"/>
      <c r="AC43" s="224"/>
      <c r="AD43" s="224" t="s">
        <v>21</v>
      </c>
      <c r="AE43" s="223">
        <v>0</v>
      </c>
      <c r="AF43" s="223">
        <v>0</v>
      </c>
      <c r="AG43" s="223">
        <v>0</v>
      </c>
      <c r="AH43" s="223">
        <v>0</v>
      </c>
      <c r="AI43" s="223">
        <v>0</v>
      </c>
      <c r="AJ43" s="223"/>
      <c r="AK43" s="223" t="s">
        <v>21</v>
      </c>
      <c r="AL43" s="223">
        <v>0</v>
      </c>
      <c r="AM43" s="223" t="s">
        <v>21</v>
      </c>
      <c r="AN43" s="223" t="s">
        <v>21</v>
      </c>
      <c r="AO43" s="223" t="s">
        <v>21</v>
      </c>
      <c r="AP43" s="223" t="s">
        <v>21</v>
      </c>
      <c r="AQ43" s="223" t="s">
        <v>21</v>
      </c>
      <c r="AR43" s="223" t="s">
        <v>21</v>
      </c>
      <c r="AS43" s="223" t="s">
        <v>21</v>
      </c>
      <c r="AT43" s="223" t="s">
        <v>21</v>
      </c>
      <c r="AU43" s="223" t="s">
        <v>21</v>
      </c>
      <c r="AV43" s="223" t="s">
        <v>21</v>
      </c>
      <c r="AW43" s="223" t="s">
        <v>21</v>
      </c>
      <c r="AX43" s="223" t="s">
        <v>21</v>
      </c>
      <c r="AY43" s="223" t="s">
        <v>21</v>
      </c>
      <c r="AZ43" s="223" t="s">
        <v>21</v>
      </c>
      <c r="BA43" s="223" t="s">
        <v>21</v>
      </c>
      <c r="BB43" s="223" t="s">
        <v>21</v>
      </c>
      <c r="BC43" s="223" t="s">
        <v>21</v>
      </c>
      <c r="BD43" s="223" t="s">
        <v>21</v>
      </c>
    </row>
    <row r="44" spans="1:56">
      <c r="A44" s="1061" t="s">
        <v>1644</v>
      </c>
      <c r="B44" s="26" t="s">
        <v>482</v>
      </c>
      <c r="C44" s="25" t="s">
        <v>479</v>
      </c>
      <c r="D44" s="68" t="s">
        <v>35</v>
      </c>
      <c r="E44" s="68" t="s">
        <v>438</v>
      </c>
      <c r="F44" s="68" t="s">
        <v>20</v>
      </c>
      <c r="G44" s="355">
        <v>505</v>
      </c>
      <c r="H44" s="109">
        <v>0</v>
      </c>
      <c r="I44" s="38"/>
      <c r="J44" s="38"/>
      <c r="K44" s="38"/>
      <c r="L44" s="38"/>
      <c r="M44" s="38"/>
      <c r="N44" s="38"/>
      <c r="O44" s="38"/>
      <c r="P44" s="38"/>
      <c r="Q44" s="219"/>
      <c r="R44" s="224"/>
      <c r="S44" s="224"/>
      <c r="T44" s="224"/>
      <c r="U44" s="224">
        <v>274</v>
      </c>
      <c r="V44" s="224">
        <v>112</v>
      </c>
      <c r="W44" s="219">
        <v>187</v>
      </c>
      <c r="X44" s="480">
        <v>70</v>
      </c>
      <c r="Y44" s="219">
        <v>34</v>
      </c>
      <c r="Z44" s="219">
        <v>2</v>
      </c>
      <c r="AA44" s="529">
        <v>3</v>
      </c>
      <c r="AB44" s="219"/>
      <c r="AC44" s="224">
        <v>1</v>
      </c>
      <c r="AD44" s="224">
        <v>1</v>
      </c>
      <c r="AE44" s="223" t="s">
        <v>21</v>
      </c>
      <c r="AF44" s="223" t="s">
        <v>21</v>
      </c>
      <c r="AG44" s="223" t="s">
        <v>21</v>
      </c>
      <c r="AH44" s="223" t="s">
        <v>21</v>
      </c>
      <c r="AI44" s="223" t="s">
        <v>21</v>
      </c>
      <c r="AJ44" s="223" t="s">
        <v>21</v>
      </c>
      <c r="AK44" s="223" t="s">
        <v>21</v>
      </c>
      <c r="AL44" s="223">
        <v>0</v>
      </c>
      <c r="AM44" s="223" t="s">
        <v>21</v>
      </c>
      <c r="AN44" s="223" t="s">
        <v>21</v>
      </c>
      <c r="AO44" s="223" t="s">
        <v>21</v>
      </c>
      <c r="AP44" s="223" t="s">
        <v>21</v>
      </c>
      <c r="AQ44" s="223" t="s">
        <v>21</v>
      </c>
      <c r="AR44" s="223" t="s">
        <v>21</v>
      </c>
      <c r="AS44" s="223" t="s">
        <v>21</v>
      </c>
      <c r="AT44" s="223" t="s">
        <v>21</v>
      </c>
      <c r="AU44" s="223" t="s">
        <v>21</v>
      </c>
      <c r="AV44" s="223" t="s">
        <v>21</v>
      </c>
      <c r="AW44" s="223" t="s">
        <v>21</v>
      </c>
      <c r="AX44" s="223" t="s">
        <v>21</v>
      </c>
      <c r="AY44" s="223" t="s">
        <v>21</v>
      </c>
      <c r="AZ44" s="223" t="s">
        <v>21</v>
      </c>
      <c r="BA44" s="223" t="s">
        <v>21</v>
      </c>
      <c r="BB44" s="223" t="s">
        <v>21</v>
      </c>
      <c r="BC44" s="223" t="s">
        <v>21</v>
      </c>
      <c r="BD44" s="223" t="s">
        <v>21</v>
      </c>
    </row>
    <row r="45" spans="1:56">
      <c r="A45" s="1059"/>
      <c r="B45" s="26" t="s">
        <v>21</v>
      </c>
      <c r="C45" s="26"/>
      <c r="D45" s="26"/>
      <c r="E45" s="26"/>
      <c r="F45" s="26"/>
      <c r="G45" s="43" t="s">
        <v>21</v>
      </c>
      <c r="H45" s="109" t="s">
        <v>21</v>
      </c>
      <c r="I45" s="38"/>
      <c r="J45" s="38"/>
      <c r="K45" s="38"/>
      <c r="L45" s="38"/>
      <c r="M45" s="38"/>
      <c r="N45" s="38"/>
      <c r="O45" s="38"/>
      <c r="P45" s="38"/>
      <c r="Q45" s="219"/>
      <c r="R45" s="219"/>
      <c r="S45" s="219"/>
      <c r="T45" s="219"/>
      <c r="U45" s="224"/>
      <c r="V45" s="224"/>
      <c r="W45" s="219"/>
      <c r="X45" s="480"/>
      <c r="Y45" s="219"/>
      <c r="Z45" s="468"/>
      <c r="AA45" s="468"/>
      <c r="AB45" s="219"/>
      <c r="AC45" s="224"/>
      <c r="AD45" s="224" t="s">
        <v>21</v>
      </c>
      <c r="AE45" s="223" t="s">
        <v>21</v>
      </c>
      <c r="AF45" s="223" t="s">
        <v>21</v>
      </c>
      <c r="AG45" s="223" t="s">
        <v>21</v>
      </c>
      <c r="AH45" s="223" t="s">
        <v>21</v>
      </c>
      <c r="AI45" s="223" t="s">
        <v>21</v>
      </c>
      <c r="AJ45" s="223" t="s">
        <v>21</v>
      </c>
      <c r="AK45" s="223" t="s">
        <v>21</v>
      </c>
      <c r="AL45" s="223" t="s">
        <v>21</v>
      </c>
      <c r="AM45" s="223" t="s">
        <v>21</v>
      </c>
      <c r="AN45" s="223" t="s">
        <v>21</v>
      </c>
      <c r="AO45" s="223" t="s">
        <v>21</v>
      </c>
      <c r="AP45" s="223" t="s">
        <v>21</v>
      </c>
      <c r="AQ45" s="223" t="s">
        <v>21</v>
      </c>
      <c r="AR45" s="223" t="s">
        <v>21</v>
      </c>
      <c r="AS45" s="223" t="s">
        <v>21</v>
      </c>
      <c r="AT45" s="223" t="s">
        <v>21</v>
      </c>
      <c r="AU45" s="223" t="s">
        <v>21</v>
      </c>
      <c r="AV45" s="223" t="s">
        <v>21</v>
      </c>
      <c r="AW45" s="223" t="s">
        <v>21</v>
      </c>
      <c r="AX45" s="223" t="s">
        <v>21</v>
      </c>
      <c r="AY45" s="223" t="s">
        <v>21</v>
      </c>
      <c r="AZ45" s="223" t="s">
        <v>21</v>
      </c>
      <c r="BA45" s="223" t="s">
        <v>21</v>
      </c>
      <c r="BB45" s="223" t="s">
        <v>21</v>
      </c>
      <c r="BC45" s="223" t="s">
        <v>21</v>
      </c>
      <c r="BD45" s="223" t="s">
        <v>21</v>
      </c>
    </row>
    <row r="46" spans="1:56">
      <c r="A46" s="1059"/>
      <c r="B46" s="26" t="s">
        <v>1647</v>
      </c>
      <c r="C46" s="26"/>
      <c r="D46" s="26"/>
      <c r="E46" s="26"/>
      <c r="F46" s="26"/>
      <c r="G46" s="43"/>
      <c r="H46" s="38"/>
      <c r="I46" s="38"/>
      <c r="J46" s="38"/>
      <c r="K46" s="38"/>
      <c r="L46" s="38"/>
      <c r="M46" s="38"/>
      <c r="N46" s="38"/>
      <c r="O46" s="38"/>
      <c r="P46" s="38"/>
      <c r="Q46" s="219"/>
      <c r="R46" s="219"/>
      <c r="S46" s="219"/>
      <c r="T46" s="219"/>
      <c r="U46" s="440"/>
      <c r="V46" s="440"/>
      <c r="W46" s="440"/>
      <c r="X46" s="440"/>
      <c r="Y46" s="440"/>
      <c r="Z46" s="440"/>
      <c r="AA46" s="440"/>
      <c r="AB46" s="440">
        <v>1.0577115090195033</v>
      </c>
      <c r="AC46" s="440">
        <v>1.0807635829662263</v>
      </c>
      <c r="AD46" s="440">
        <v>1.0098394598217773</v>
      </c>
      <c r="AE46" s="440">
        <v>1.0093530788993301</v>
      </c>
      <c r="AF46" s="440">
        <v>1.5717089063151117</v>
      </c>
      <c r="AG46" s="440">
        <v>0.84580268219550514</v>
      </c>
      <c r="AH46" s="440">
        <v>0.66115955658145964</v>
      </c>
      <c r="AI46" s="440">
        <v>1.496470588235294</v>
      </c>
      <c r="AJ46" s="440">
        <v>0.74740040525350004</v>
      </c>
      <c r="AK46" s="440">
        <v>0.84569859375943024</v>
      </c>
      <c r="AL46" s="440">
        <v>1.0509026794524492</v>
      </c>
      <c r="AM46" s="440">
        <v>0.98233483332213944</v>
      </c>
      <c r="AN46" s="440">
        <v>1.0577115090195033</v>
      </c>
      <c r="AO46" s="440">
        <v>1.0807635829662263</v>
      </c>
      <c r="AP46" s="440">
        <v>1.0098394598217773</v>
      </c>
      <c r="AQ46" s="440">
        <v>1.0093530788993301</v>
      </c>
      <c r="AR46" s="440">
        <v>1.5717089063151117</v>
      </c>
      <c r="AS46" s="440">
        <v>0.84580268219550514</v>
      </c>
      <c r="AT46" s="440">
        <v>0.66115955658145964</v>
      </c>
      <c r="AU46" s="440">
        <v>1.496470588235294</v>
      </c>
      <c r="AV46" s="440">
        <v>0.74740040525350004</v>
      </c>
      <c r="AW46" s="440">
        <v>0.84569859375943024</v>
      </c>
      <c r="AX46" s="440">
        <v>1.0509026794524492</v>
      </c>
      <c r="AY46" s="440">
        <v>0.98233483332213944</v>
      </c>
      <c r="AZ46" s="440">
        <v>1.0577115090195033</v>
      </c>
      <c r="BA46" s="440">
        <v>1.0807635829662263</v>
      </c>
      <c r="BB46" s="440">
        <v>1.0098394598217773</v>
      </c>
      <c r="BC46" s="440">
        <v>1.0093530788993301</v>
      </c>
      <c r="BD46" s="440">
        <v>1.5717089063151117</v>
      </c>
    </row>
    <row r="47" spans="1:56">
      <c r="A47" s="1062"/>
      <c r="B47" s="364" t="s">
        <v>1390</v>
      </c>
      <c r="C47" s="152" t="s">
        <v>1648</v>
      </c>
      <c r="D47" s="152"/>
      <c r="E47" s="152"/>
      <c r="F47" s="152"/>
      <c r="G47" s="356">
        <v>0</v>
      </c>
      <c r="H47" s="45"/>
      <c r="I47" s="45">
        <v>0</v>
      </c>
      <c r="J47" s="45">
        <v>0</v>
      </c>
      <c r="K47" s="45">
        <v>0</v>
      </c>
      <c r="L47" s="45">
        <v>0</v>
      </c>
      <c r="M47" s="45">
        <v>0</v>
      </c>
      <c r="N47" s="45">
        <v>0</v>
      </c>
      <c r="O47" s="45">
        <v>0</v>
      </c>
      <c r="P47" s="45">
        <v>0</v>
      </c>
      <c r="Q47" s="45">
        <v>0</v>
      </c>
      <c r="R47" s="45">
        <v>0</v>
      </c>
      <c r="S47" s="45">
        <v>0</v>
      </c>
      <c r="T47" s="45">
        <v>0</v>
      </c>
      <c r="U47" s="45">
        <v>799</v>
      </c>
      <c r="V47" s="45">
        <v>392</v>
      </c>
      <c r="W47" s="45">
        <v>541</v>
      </c>
      <c r="X47" s="45">
        <v>395</v>
      </c>
      <c r="Y47" s="45">
        <v>304</v>
      </c>
      <c r="Z47" s="45">
        <v>358</v>
      </c>
      <c r="AA47" s="45">
        <v>714</v>
      </c>
      <c r="AB47" s="45">
        <v>1178</v>
      </c>
      <c r="AC47" s="155">
        <v>1087</v>
      </c>
      <c r="AD47" s="155">
        <v>1890</v>
      </c>
      <c r="AE47" s="155">
        <v>625</v>
      </c>
      <c r="AF47" s="155">
        <v>1107</v>
      </c>
      <c r="AG47" s="45">
        <v>724</v>
      </c>
      <c r="AH47" s="45">
        <v>405</v>
      </c>
      <c r="AI47" s="45">
        <v>670</v>
      </c>
      <c r="AJ47" s="45">
        <v>715</v>
      </c>
      <c r="AK47" s="45">
        <v>1178</v>
      </c>
      <c r="AL47" s="155">
        <v>761.85714285714289</v>
      </c>
      <c r="AM47" s="155">
        <v>748.39880944385288</v>
      </c>
      <c r="AN47" s="155">
        <v>791.59003408525723</v>
      </c>
      <c r="AO47" s="155">
        <v>855.52168147833981</v>
      </c>
      <c r="AP47" s="155">
        <v>863.93955268990533</v>
      </c>
      <c r="AQ47" s="155">
        <v>872.02004749046591</v>
      </c>
      <c r="AR47" s="155">
        <v>1370.5616751260923</v>
      </c>
      <c r="AS47" s="155">
        <v>1159.2247409360132</v>
      </c>
      <c r="AT47" s="155">
        <v>766.43251569551194</v>
      </c>
      <c r="AU47" s="155">
        <v>1146.9437176055187</v>
      </c>
      <c r="AV47" s="155">
        <v>857.22619934132092</v>
      </c>
      <c r="AW47" s="155">
        <v>724.9549913166959</v>
      </c>
      <c r="AX47" s="155">
        <v>761.85714285714289</v>
      </c>
      <c r="AY47" s="155">
        <v>748.39880944385288</v>
      </c>
      <c r="AZ47" s="155">
        <v>791.59003408525723</v>
      </c>
      <c r="BA47" s="155">
        <v>855.52168147833981</v>
      </c>
      <c r="BB47" s="155">
        <v>863.93955268990521</v>
      </c>
      <c r="BC47" s="155">
        <v>872.02004749046591</v>
      </c>
      <c r="BD47" s="155">
        <v>1370.5616751260923</v>
      </c>
    </row>
    <row r="48" spans="1:56">
      <c r="A48" s="1064"/>
      <c r="B48" s="152" t="s">
        <v>1392</v>
      </c>
      <c r="C48" s="191"/>
      <c r="D48" s="191"/>
      <c r="E48" s="152"/>
      <c r="F48" s="152"/>
      <c r="G48" s="45"/>
      <c r="H48" s="45"/>
      <c r="I48" s="185"/>
      <c r="J48" s="185"/>
      <c r="K48" s="185"/>
      <c r="L48" s="185"/>
      <c r="M48" s="185"/>
      <c r="N48" s="185"/>
      <c r="O48" s="185"/>
      <c r="P48" s="185"/>
      <c r="Q48" s="230"/>
      <c r="R48" s="230"/>
      <c r="S48" s="230"/>
      <c r="T48" s="230"/>
      <c r="U48" s="226"/>
      <c r="V48" s="226"/>
      <c r="W48" s="199"/>
      <c r="X48" s="243"/>
      <c r="Y48" s="199"/>
      <c r="Z48" s="322"/>
      <c r="AA48" s="322"/>
      <c r="AB48" s="322"/>
      <c r="AC48" s="636"/>
      <c r="AD48" s="636"/>
      <c r="AE48" s="636"/>
      <c r="AF48" s="636"/>
      <c r="AG48" s="322"/>
      <c r="AH48" s="322"/>
      <c r="AI48" s="322"/>
      <c r="AJ48" s="322"/>
      <c r="AK48" s="322"/>
      <c r="AL48" s="636"/>
      <c r="AM48" s="636"/>
      <c r="AN48" s="636"/>
      <c r="AO48" s="636"/>
      <c r="AP48" s="636"/>
      <c r="AQ48" s="636"/>
      <c r="AR48" s="636"/>
      <c r="AS48" s="636"/>
      <c r="AT48" s="636"/>
      <c r="AU48" s="636"/>
      <c r="AV48" s="636"/>
      <c r="AW48" s="636"/>
      <c r="AX48" s="636"/>
      <c r="AY48" s="636"/>
      <c r="AZ48" s="636"/>
      <c r="BA48" s="636"/>
      <c r="BB48" s="636"/>
      <c r="BC48" s="636"/>
      <c r="BD48" s="636"/>
    </row>
    <row r="49" spans="1:56">
      <c r="A49" s="1062"/>
      <c r="B49" s="152" t="s">
        <v>1393</v>
      </c>
      <c r="C49" s="152"/>
      <c r="D49" s="152"/>
      <c r="E49" s="152"/>
      <c r="F49" s="152"/>
      <c r="G49" s="356">
        <v>0</v>
      </c>
      <c r="H49" s="45"/>
      <c r="I49" s="45">
        <v>0</v>
      </c>
      <c r="J49" s="45">
        <v>0</v>
      </c>
      <c r="K49" s="45">
        <v>0</v>
      </c>
      <c r="L49" s="45">
        <v>0</v>
      </c>
      <c r="M49" s="45">
        <v>0</v>
      </c>
      <c r="N49" s="45">
        <v>0</v>
      </c>
      <c r="O49" s="45">
        <v>0</v>
      </c>
      <c r="P49" s="45">
        <v>0</v>
      </c>
      <c r="Q49" s="45">
        <v>0</v>
      </c>
      <c r="R49" s="45">
        <v>0</v>
      </c>
      <c r="S49" s="45">
        <v>0</v>
      </c>
      <c r="T49" s="365">
        <v>0</v>
      </c>
      <c r="U49" s="45">
        <v>1906</v>
      </c>
      <c r="V49" s="45">
        <v>1110</v>
      </c>
      <c r="W49" s="45">
        <v>1882</v>
      </c>
      <c r="X49" s="45">
        <v>1548</v>
      </c>
      <c r="Y49" s="45">
        <v>1562</v>
      </c>
      <c r="Z49" s="45">
        <v>2976</v>
      </c>
      <c r="AA49" s="45">
        <v>4543</v>
      </c>
      <c r="AB49" s="45">
        <v>3949</v>
      </c>
      <c r="AC49" s="155">
        <v>3597</v>
      </c>
      <c r="AD49" s="155">
        <v>4444</v>
      </c>
      <c r="AE49" s="155">
        <v>2617</v>
      </c>
      <c r="AF49" s="155">
        <v>3950</v>
      </c>
      <c r="AG49" s="45">
        <v>2497</v>
      </c>
      <c r="AH49" s="45">
        <v>2039</v>
      </c>
      <c r="AI49" s="45">
        <v>3131</v>
      </c>
      <c r="AJ49" s="45">
        <v>2764</v>
      </c>
      <c r="AK49" s="45">
        <v>3372</v>
      </c>
      <c r="AL49" s="155">
        <v>3109.3571428571431</v>
      </c>
      <c r="AM49" s="155">
        <v>3726.0687136975007</v>
      </c>
      <c r="AN49" s="155">
        <v>3225.1979843958343</v>
      </c>
      <c r="AO49" s="155">
        <v>2817.604970916811</v>
      </c>
      <c r="AP49" s="155">
        <v>2569.8429160541782</v>
      </c>
      <c r="AQ49" s="155">
        <v>2810.7411068228585</v>
      </c>
      <c r="AR49" s="155">
        <v>4418.8678023576495</v>
      </c>
      <c r="AS49" s="155">
        <v>3708.1902464483082</v>
      </c>
      <c r="AT49" s="155">
        <v>3061.0018505659282</v>
      </c>
      <c r="AU49" s="155">
        <v>4448.3649502621256</v>
      </c>
      <c r="AV49" s="155">
        <v>3398.5226183600721</v>
      </c>
      <c r="AW49" s="155">
        <v>2753.7175610988497</v>
      </c>
      <c r="AX49" s="155">
        <v>3109.3571428571431</v>
      </c>
      <c r="AY49" s="155">
        <v>3726.0687136975002</v>
      </c>
      <c r="AZ49" s="155">
        <v>3225.1979843958343</v>
      </c>
      <c r="BA49" s="155">
        <v>2817.604970916811</v>
      </c>
      <c r="BB49" s="155">
        <v>2569.8429160541777</v>
      </c>
      <c r="BC49" s="155">
        <v>2810.741106822858</v>
      </c>
      <c r="BD49" s="155">
        <v>4418.8678023576485</v>
      </c>
    </row>
    <row r="50" spans="1:56" ht="19.5" thickBot="1">
      <c r="A50" s="1065"/>
      <c r="B50" s="187" t="s">
        <v>1394</v>
      </c>
      <c r="C50" s="188"/>
      <c r="D50" s="188"/>
      <c r="E50" s="187"/>
      <c r="F50" s="189"/>
      <c r="G50" s="202"/>
      <c r="H50" s="325"/>
      <c r="I50" s="190">
        <v>4019</v>
      </c>
      <c r="J50" s="285">
        <v>3770</v>
      </c>
      <c r="K50" s="285">
        <v>5757</v>
      </c>
      <c r="L50" s="285">
        <v>4872</v>
      </c>
      <c r="M50" s="285">
        <v>3770</v>
      </c>
      <c r="N50" s="285">
        <v>4129</v>
      </c>
      <c r="O50" s="285">
        <v>3824</v>
      </c>
      <c r="P50" s="197">
        <v>2919.1792034122345</v>
      </c>
      <c r="Q50" s="197">
        <v>2806.02065373818</v>
      </c>
      <c r="R50" s="197">
        <v>2719.4458762311187</v>
      </c>
      <c r="S50" s="198">
        <v>2912.4680768635094</v>
      </c>
      <c r="T50" s="339">
        <v>4805.0358755231455</v>
      </c>
      <c r="U50" s="337">
        <v>4440.263414625133</v>
      </c>
      <c r="V50" s="339">
        <v>3200.305112035187</v>
      </c>
      <c r="W50" s="340">
        <v>5548.5262228830134</v>
      </c>
      <c r="X50" s="341">
        <v>4669.2410360134509</v>
      </c>
      <c r="Y50" s="316">
        <v>4226.8807137193162</v>
      </c>
      <c r="Z50" s="330">
        <v>4462.318009570301</v>
      </c>
      <c r="AA50" s="330">
        <v>5010.43818071644</v>
      </c>
      <c r="AB50" s="331"/>
      <c r="AC50" s="332"/>
      <c r="AD50" s="332"/>
      <c r="AE50" s="332"/>
      <c r="AF50" s="332"/>
      <c r="AG50" s="332"/>
      <c r="AH50" s="332"/>
      <c r="AI50" s="332"/>
      <c r="AJ50" s="332"/>
      <c r="AK50" s="332"/>
      <c r="AL50" s="332"/>
      <c r="AM50" s="332"/>
      <c r="AN50" s="332"/>
      <c r="AO50" s="332"/>
      <c r="AP50" s="332"/>
      <c r="AQ50" s="332"/>
      <c r="AR50" s="332"/>
      <c r="AS50" s="332"/>
      <c r="AT50" s="332"/>
      <c r="AU50" s="332"/>
      <c r="AV50" s="332"/>
      <c r="AW50" s="332"/>
      <c r="AX50" s="332"/>
      <c r="AY50" s="332"/>
      <c r="AZ50" s="332"/>
      <c r="BA50" s="332"/>
      <c r="BB50" s="332"/>
      <c r="BC50" s="332"/>
      <c r="BD50" s="332"/>
    </row>
    <row r="51" spans="1:56">
      <c r="A51" s="1066"/>
      <c r="B51" s="30" t="s">
        <v>1728</v>
      </c>
      <c r="C51" s="30" t="s">
        <v>10</v>
      </c>
      <c r="D51" s="30" t="s">
        <v>11</v>
      </c>
      <c r="E51" s="30" t="s">
        <v>12</v>
      </c>
      <c r="F51" s="30"/>
      <c r="G51" s="40"/>
      <c r="H51" s="311"/>
      <c r="I51" s="41"/>
      <c r="J51" s="41"/>
      <c r="K51" s="41"/>
      <c r="L51" s="41"/>
      <c r="M51" s="41"/>
      <c r="N51" s="41"/>
      <c r="O51" s="41"/>
      <c r="P51" s="41"/>
      <c r="Q51" s="231"/>
      <c r="R51" s="231"/>
      <c r="S51" s="231"/>
      <c r="T51" s="231"/>
      <c r="U51" s="231"/>
      <c r="V51" s="135"/>
      <c r="W51" s="135"/>
      <c r="X51" s="135"/>
      <c r="Y51" s="135"/>
      <c r="Z51" s="135"/>
      <c r="AA51" s="135"/>
      <c r="AB51" s="135"/>
      <c r="AC51" s="338"/>
      <c r="AD51" s="338"/>
      <c r="AE51" s="338"/>
      <c r="AF51" s="338"/>
      <c r="AG51" s="338"/>
      <c r="AH51" s="338"/>
      <c r="AI51" s="338"/>
      <c r="AJ51" s="338"/>
      <c r="AK51" s="338"/>
      <c r="AL51" s="338"/>
      <c r="AM51" s="338"/>
      <c r="AN51" s="338"/>
      <c r="AO51" s="338"/>
      <c r="AP51" s="338"/>
      <c r="AQ51" s="338"/>
      <c r="AR51" s="338"/>
      <c r="AS51" s="338"/>
      <c r="AT51" s="338"/>
      <c r="AU51" s="338"/>
      <c r="AV51" s="338"/>
      <c r="AW51" s="338"/>
      <c r="AX51" s="338"/>
      <c r="AY51" s="338"/>
      <c r="AZ51" s="338"/>
      <c r="BA51" s="338"/>
      <c r="BB51" s="338"/>
      <c r="BC51" s="338"/>
      <c r="BD51" s="338"/>
    </row>
    <row r="52" spans="1:56" ht="18.75" customHeight="1">
      <c r="A52" s="1070" t="s">
        <v>1649</v>
      </c>
      <c r="B52" s="934" t="s">
        <v>850</v>
      </c>
      <c r="C52" s="58" t="s">
        <v>847</v>
      </c>
      <c r="D52" s="26" t="s">
        <v>1723</v>
      </c>
      <c r="E52" s="26">
        <v>5060</v>
      </c>
      <c r="F52" s="193"/>
      <c r="G52" s="38">
        <v>177</v>
      </c>
      <c r="H52" s="109">
        <v>0</v>
      </c>
      <c r="I52" s="409"/>
      <c r="J52" s="409"/>
      <c r="K52" s="409"/>
      <c r="L52" s="409"/>
      <c r="M52" s="409"/>
      <c r="N52" s="409"/>
      <c r="O52" s="409"/>
      <c r="P52" s="409"/>
      <c r="Q52" s="497"/>
      <c r="R52" s="497"/>
      <c r="S52" s="497"/>
      <c r="T52" s="497"/>
      <c r="U52" s="497"/>
      <c r="V52" s="498"/>
      <c r="W52" s="333"/>
      <c r="X52" s="333"/>
      <c r="Y52" s="333"/>
      <c r="Z52" s="219"/>
      <c r="AA52" s="219"/>
      <c r="AB52" s="219"/>
      <c r="AC52" s="224"/>
      <c r="AD52" s="224">
        <v>0</v>
      </c>
      <c r="AE52" s="223">
        <v>2</v>
      </c>
      <c r="AF52" s="223">
        <v>1</v>
      </c>
      <c r="AG52" s="223">
        <v>0</v>
      </c>
      <c r="AH52" s="223">
        <v>1</v>
      </c>
      <c r="AI52" s="223">
        <v>1</v>
      </c>
      <c r="AJ52" s="223">
        <v>15</v>
      </c>
      <c r="AK52" s="223">
        <v>0</v>
      </c>
      <c r="AL52" s="223">
        <v>0</v>
      </c>
      <c r="AM52" s="223" t="s">
        <v>21</v>
      </c>
      <c r="AN52" s="223" t="s">
        <v>21</v>
      </c>
      <c r="AO52" s="223" t="s">
        <v>21</v>
      </c>
      <c r="AP52" s="223" t="s">
        <v>21</v>
      </c>
      <c r="AQ52" s="223" t="s">
        <v>21</v>
      </c>
      <c r="AR52" s="223" t="s">
        <v>21</v>
      </c>
      <c r="AS52" s="223" t="s">
        <v>21</v>
      </c>
      <c r="AT52" s="223" t="s">
        <v>21</v>
      </c>
      <c r="AU52" s="223" t="s">
        <v>21</v>
      </c>
      <c r="AV52" s="223" t="s">
        <v>21</v>
      </c>
      <c r="AW52" s="223" t="s">
        <v>21</v>
      </c>
      <c r="AX52" s="223" t="s">
        <v>21</v>
      </c>
      <c r="AY52" s="223" t="s">
        <v>21</v>
      </c>
      <c r="AZ52" s="223" t="s">
        <v>21</v>
      </c>
      <c r="BA52" s="223" t="s">
        <v>21</v>
      </c>
      <c r="BB52" s="223" t="s">
        <v>21</v>
      </c>
      <c r="BC52" s="223" t="s">
        <v>21</v>
      </c>
      <c r="BD52" s="223" t="s">
        <v>21</v>
      </c>
    </row>
    <row r="53" spans="1:56" ht="18.75" customHeight="1">
      <c r="A53" s="1084" t="s">
        <v>1649</v>
      </c>
      <c r="B53" s="193" t="s">
        <v>857</v>
      </c>
      <c r="C53" s="194" t="s">
        <v>854</v>
      </c>
      <c r="D53" s="193"/>
      <c r="E53" s="193"/>
      <c r="F53" s="193"/>
      <c r="G53" s="630">
        <v>36</v>
      </c>
      <c r="H53" s="109">
        <v>88.726569578336935</v>
      </c>
      <c r="I53" s="409"/>
      <c r="J53" s="409"/>
      <c r="K53" s="409"/>
      <c r="L53" s="409"/>
      <c r="M53" s="409"/>
      <c r="N53" s="409"/>
      <c r="O53" s="409"/>
      <c r="P53" s="409"/>
      <c r="Q53" s="497"/>
      <c r="R53" s="497"/>
      <c r="S53" s="497"/>
      <c r="T53" s="497"/>
      <c r="U53" s="497"/>
      <c r="V53" s="498"/>
      <c r="W53" s="333"/>
      <c r="X53" s="333"/>
      <c r="Y53" s="333"/>
      <c r="Z53" s="219"/>
      <c r="AA53" s="219"/>
      <c r="AB53" s="219"/>
      <c r="AC53" s="224"/>
      <c r="AD53" s="224">
        <v>0</v>
      </c>
      <c r="AE53" s="223">
        <v>0</v>
      </c>
      <c r="AF53" s="223">
        <v>1</v>
      </c>
      <c r="AG53" s="223">
        <v>1</v>
      </c>
      <c r="AH53" s="223">
        <v>12</v>
      </c>
      <c r="AI53" s="223">
        <v>10</v>
      </c>
      <c r="AJ53" s="223">
        <v>1</v>
      </c>
      <c r="AK53" s="223">
        <v>4</v>
      </c>
      <c r="AL53" s="223">
        <v>18.214285714285712</v>
      </c>
      <c r="AM53" s="223">
        <v>19.988528361382677</v>
      </c>
      <c r="AN53" s="223">
        <v>18.38463101688134</v>
      </c>
      <c r="AO53" s="223">
        <v>19.859607512320153</v>
      </c>
      <c r="AP53" s="223">
        <v>21.386659830609901</v>
      </c>
      <c r="AQ53" s="223">
        <v>22.134119385440812</v>
      </c>
      <c r="AR53" s="223">
        <v>32.624102152178388</v>
      </c>
      <c r="AS53" s="223">
        <v>28.153572758347941</v>
      </c>
      <c r="AT53" s="223">
        <v>26.543542238230373</v>
      </c>
      <c r="AU53" s="223">
        <v>39.226692027202375</v>
      </c>
      <c r="AV53" s="223">
        <v>24.086447648227864</v>
      </c>
      <c r="AW53" s="223">
        <v>17.468221738059764</v>
      </c>
      <c r="AX53" s="223">
        <v>18.214285714285708</v>
      </c>
      <c r="AY53" s="223">
        <v>19.988528361382674</v>
      </c>
      <c r="AZ53" s="223">
        <v>18.384631016881336</v>
      </c>
      <c r="BA53" s="223">
        <v>19.859607512320149</v>
      </c>
      <c r="BB53" s="223">
        <v>21.386659830609897</v>
      </c>
      <c r="BC53" s="223">
        <v>22.134119385440808</v>
      </c>
      <c r="BD53" s="223">
        <v>32.624102152178388</v>
      </c>
    </row>
    <row r="54" spans="1:56" ht="18.75" customHeight="1">
      <c r="A54" s="1061" t="s">
        <v>1649</v>
      </c>
      <c r="B54" s="28" t="s">
        <v>588</v>
      </c>
      <c r="C54" s="24" t="s">
        <v>586</v>
      </c>
      <c r="D54" s="34" t="s">
        <v>1405</v>
      </c>
      <c r="E54" s="68" t="s">
        <v>438</v>
      </c>
      <c r="F54" s="68" t="s">
        <v>20</v>
      </c>
      <c r="G54" s="355">
        <v>236</v>
      </c>
      <c r="H54" s="109">
        <v>3982.2572110747701</v>
      </c>
      <c r="I54" s="311"/>
      <c r="J54" s="311"/>
      <c r="K54" s="311"/>
      <c r="L54" s="38"/>
      <c r="M54" s="38"/>
      <c r="N54" s="38"/>
      <c r="O54" s="38"/>
      <c r="P54" s="38"/>
      <c r="Q54" s="219"/>
      <c r="R54" s="219"/>
      <c r="S54" s="219"/>
      <c r="T54" s="219"/>
      <c r="U54" s="224"/>
      <c r="V54" s="335"/>
      <c r="W54" s="333"/>
      <c r="X54" s="333"/>
      <c r="Y54" s="333"/>
      <c r="Z54" s="219"/>
      <c r="AA54" s="219"/>
      <c r="AB54" s="219"/>
      <c r="AC54" s="224"/>
      <c r="AD54" s="224" t="s">
        <v>21</v>
      </c>
      <c r="AE54" s="223">
        <v>0</v>
      </c>
      <c r="AF54" s="223">
        <v>0</v>
      </c>
      <c r="AG54" s="223">
        <v>0</v>
      </c>
      <c r="AH54" s="223">
        <v>25</v>
      </c>
      <c r="AI54" s="223">
        <v>373</v>
      </c>
      <c r="AJ54" s="223">
        <v>93</v>
      </c>
      <c r="AK54" s="223">
        <v>28</v>
      </c>
      <c r="AL54" s="223">
        <v>817.5</v>
      </c>
      <c r="AM54" s="223">
        <v>897.13218469029323</v>
      </c>
      <c r="AN54" s="223">
        <v>825.14549799296856</v>
      </c>
      <c r="AO54" s="223">
        <v>891.34591364119296</v>
      </c>
      <c r="AP54" s="223">
        <v>959.88361475031525</v>
      </c>
      <c r="AQ54" s="223">
        <v>993.43135829949085</v>
      </c>
      <c r="AR54" s="223">
        <v>1464.2464671830658</v>
      </c>
      <c r="AS54" s="223">
        <v>1263.5985890952638</v>
      </c>
      <c r="AT54" s="223">
        <v>1191.3366310452811</v>
      </c>
      <c r="AU54" s="223">
        <v>1760.5862362797304</v>
      </c>
      <c r="AV54" s="223">
        <v>1081.056444446933</v>
      </c>
      <c r="AW54" s="223">
        <v>784.01489330232948</v>
      </c>
      <c r="AX54" s="223">
        <v>817.49999999999989</v>
      </c>
      <c r="AY54" s="223">
        <v>897.13218469029312</v>
      </c>
      <c r="AZ54" s="223">
        <v>825.14549799296844</v>
      </c>
      <c r="BA54" s="223">
        <v>891.34591364119285</v>
      </c>
      <c r="BB54" s="223">
        <v>959.88361475031513</v>
      </c>
      <c r="BC54" s="223">
        <v>993.43135829949074</v>
      </c>
      <c r="BD54" s="223">
        <v>1464.2464671830655</v>
      </c>
    </row>
    <row r="55" spans="1:56" ht="18.75" customHeight="1">
      <c r="A55" s="1061"/>
      <c r="B55" s="28" t="s">
        <v>21</v>
      </c>
      <c r="C55" s="24"/>
      <c r="D55" s="34"/>
      <c r="E55" s="68"/>
      <c r="F55" s="68"/>
      <c r="G55" s="355" t="s">
        <v>21</v>
      </c>
      <c r="H55" s="109" t="s">
        <v>21</v>
      </c>
      <c r="I55" s="38"/>
      <c r="J55" s="38"/>
      <c r="K55" s="38"/>
      <c r="L55" s="38"/>
      <c r="M55" s="38"/>
      <c r="N55" s="38"/>
      <c r="O55" s="38"/>
      <c r="P55" s="38"/>
      <c r="Q55" s="219"/>
      <c r="R55" s="219"/>
      <c r="S55" s="219"/>
      <c r="T55" s="219"/>
      <c r="U55" s="224"/>
      <c r="V55" s="335"/>
      <c r="W55" s="333"/>
      <c r="X55" s="333"/>
      <c r="Y55" s="333"/>
      <c r="Z55" s="334"/>
      <c r="AA55" s="219"/>
      <c r="AB55" s="334"/>
      <c r="AC55" s="336"/>
      <c r="AD55" s="336" t="s">
        <v>21</v>
      </c>
      <c r="AE55" s="223" t="s">
        <v>21</v>
      </c>
      <c r="AF55" s="223" t="s">
        <v>21</v>
      </c>
      <c r="AG55" s="223" t="s">
        <v>21</v>
      </c>
      <c r="AH55" s="223" t="s">
        <v>21</v>
      </c>
      <c r="AI55" s="223" t="s">
        <v>21</v>
      </c>
      <c r="AJ55" s="223" t="s">
        <v>21</v>
      </c>
      <c r="AK55" s="223" t="s">
        <v>21</v>
      </c>
      <c r="AL55" s="223" t="s">
        <v>21</v>
      </c>
      <c r="AM55" s="223" t="s">
        <v>21</v>
      </c>
      <c r="AN55" s="223" t="s">
        <v>21</v>
      </c>
      <c r="AO55" s="223" t="s">
        <v>21</v>
      </c>
      <c r="AP55" s="223" t="s">
        <v>21</v>
      </c>
      <c r="AQ55" s="223" t="s">
        <v>21</v>
      </c>
      <c r="AR55" s="223" t="s">
        <v>21</v>
      </c>
      <c r="AS55" s="223" t="s">
        <v>21</v>
      </c>
      <c r="AT55" s="223" t="s">
        <v>21</v>
      </c>
      <c r="AU55" s="223" t="s">
        <v>21</v>
      </c>
      <c r="AV55" s="223" t="s">
        <v>21</v>
      </c>
      <c r="AW55" s="223" t="s">
        <v>21</v>
      </c>
      <c r="AX55" s="223" t="s">
        <v>21</v>
      </c>
      <c r="AY55" s="223" t="s">
        <v>21</v>
      </c>
      <c r="AZ55" s="223" t="s">
        <v>21</v>
      </c>
      <c r="BA55" s="223" t="s">
        <v>21</v>
      </c>
      <c r="BB55" s="223" t="s">
        <v>21</v>
      </c>
      <c r="BC55" s="223" t="s">
        <v>21</v>
      </c>
      <c r="BD55" s="223" t="s">
        <v>21</v>
      </c>
    </row>
    <row r="56" spans="1:56" ht="18.75" customHeight="1">
      <c r="A56" s="1070" t="s">
        <v>1403</v>
      </c>
      <c r="B56" s="300" t="s">
        <v>625</v>
      </c>
      <c r="C56" s="194" t="s">
        <v>623</v>
      </c>
      <c r="D56" s="194" t="s">
        <v>1729</v>
      </c>
      <c r="E56" s="68" t="s">
        <v>1730</v>
      </c>
      <c r="F56" s="195" t="s">
        <v>11</v>
      </c>
      <c r="G56" s="38">
        <v>143</v>
      </c>
      <c r="H56" s="109">
        <v>198.32997905745904</v>
      </c>
      <c r="I56" s="319"/>
      <c r="J56" s="319"/>
      <c r="K56" s="319"/>
      <c r="L56" s="311"/>
      <c r="M56" s="311"/>
      <c r="N56" s="311"/>
      <c r="O56" s="311"/>
      <c r="P56" s="311"/>
      <c r="Q56" s="298"/>
      <c r="R56" s="219"/>
      <c r="S56" s="219"/>
      <c r="T56" s="222"/>
      <c r="U56" s="219">
        <v>13</v>
      </c>
      <c r="V56" s="333">
        <v>11</v>
      </c>
      <c r="W56" s="333">
        <v>18</v>
      </c>
      <c r="X56" s="333">
        <v>16</v>
      </c>
      <c r="Y56" s="333">
        <v>20</v>
      </c>
      <c r="Z56" s="219">
        <v>11</v>
      </c>
      <c r="AA56" s="219">
        <v>10</v>
      </c>
      <c r="AB56" s="219">
        <v>21</v>
      </c>
      <c r="AC56" s="224">
        <v>39</v>
      </c>
      <c r="AD56" s="224">
        <v>0</v>
      </c>
      <c r="AE56" s="223">
        <v>0</v>
      </c>
      <c r="AF56" s="223">
        <v>0</v>
      </c>
      <c r="AG56" s="223">
        <v>0</v>
      </c>
      <c r="AH56" s="223">
        <v>9</v>
      </c>
      <c r="AI56" s="223">
        <v>22</v>
      </c>
      <c r="AJ56" s="223">
        <v>34</v>
      </c>
      <c r="AK56" s="223">
        <v>44</v>
      </c>
      <c r="AL56" s="223">
        <v>40.714285714285715</v>
      </c>
      <c r="AM56" s="223">
        <v>44.680239866620106</v>
      </c>
      <c r="AN56" s="223">
        <v>41.095057567146526</v>
      </c>
      <c r="AO56" s="223">
        <v>44.392063851068578</v>
      </c>
      <c r="AP56" s="223">
        <v>47.805474915480957</v>
      </c>
      <c r="AQ56" s="223">
        <v>49.476266861573585</v>
      </c>
      <c r="AR56" s="223">
        <v>72.924463634281111</v>
      </c>
      <c r="AS56" s="223">
        <v>62.931515577483644</v>
      </c>
      <c r="AT56" s="223">
        <v>59.332623826632606</v>
      </c>
      <c r="AU56" s="223">
        <v>87.683193943158258</v>
      </c>
      <c r="AV56" s="223">
        <v>53.84029474309758</v>
      </c>
      <c r="AW56" s="223">
        <v>39.046613296839475</v>
      </c>
      <c r="AX56" s="223">
        <v>40.714285714285701</v>
      </c>
      <c r="AY56" s="223">
        <v>44.680239866620092</v>
      </c>
      <c r="AZ56" s="223">
        <v>41.095057567146519</v>
      </c>
      <c r="BA56" s="223">
        <v>44.392063851068571</v>
      </c>
      <c r="BB56" s="223">
        <v>47.80547491548095</v>
      </c>
      <c r="BC56" s="223">
        <v>49.476266861573578</v>
      </c>
      <c r="BD56" s="223">
        <v>72.924463634281111</v>
      </c>
    </row>
    <row r="57" spans="1:56" ht="18.75" customHeight="1">
      <c r="A57" s="1070"/>
      <c r="B57" s="300" t="s">
        <v>21</v>
      </c>
      <c r="C57" s="194"/>
      <c r="D57" s="194" t="s">
        <v>1731</v>
      </c>
      <c r="E57" s="68" t="s">
        <v>1730</v>
      </c>
      <c r="F57" s="195" t="s">
        <v>11</v>
      </c>
      <c r="G57" s="38" t="s">
        <v>21</v>
      </c>
      <c r="H57" s="109" t="s">
        <v>21</v>
      </c>
      <c r="I57" s="319"/>
      <c r="J57" s="319"/>
      <c r="K57" s="319"/>
      <c r="L57" s="311"/>
      <c r="M57" s="311"/>
      <c r="N57" s="311"/>
      <c r="O57" s="311"/>
      <c r="P57" s="311"/>
      <c r="Q57" s="298"/>
      <c r="R57" s="298"/>
      <c r="S57" s="298"/>
      <c r="T57" s="219"/>
      <c r="U57" s="219">
        <v>5</v>
      </c>
      <c r="V57" s="333">
        <v>2</v>
      </c>
      <c r="W57" s="333">
        <v>8</v>
      </c>
      <c r="X57" s="333">
        <v>8</v>
      </c>
      <c r="Y57" s="333">
        <v>18</v>
      </c>
      <c r="Z57" s="219">
        <v>20</v>
      </c>
      <c r="AA57" s="219">
        <v>17</v>
      </c>
      <c r="AB57" s="219">
        <v>23</v>
      </c>
      <c r="AC57" s="224">
        <v>23</v>
      </c>
      <c r="AD57" s="224" t="s">
        <v>21</v>
      </c>
      <c r="AE57" s="223" t="s">
        <v>21</v>
      </c>
      <c r="AF57" s="223" t="s">
        <v>21</v>
      </c>
      <c r="AG57" s="223" t="s">
        <v>21</v>
      </c>
      <c r="AH57" s="223" t="s">
        <v>21</v>
      </c>
      <c r="AI57" s="223" t="s">
        <v>21</v>
      </c>
      <c r="AJ57" s="223" t="s">
        <v>21</v>
      </c>
      <c r="AK57" s="223" t="s">
        <v>21</v>
      </c>
      <c r="AL57" s="223" t="s">
        <v>21</v>
      </c>
      <c r="AM57" s="223" t="s">
        <v>21</v>
      </c>
      <c r="AN57" s="223" t="s">
        <v>21</v>
      </c>
      <c r="AO57" s="223" t="s">
        <v>21</v>
      </c>
      <c r="AP57" s="223" t="s">
        <v>21</v>
      </c>
      <c r="AQ57" s="223" t="s">
        <v>21</v>
      </c>
      <c r="AR57" s="223" t="s">
        <v>21</v>
      </c>
      <c r="AS57" s="223" t="s">
        <v>21</v>
      </c>
      <c r="AT57" s="223" t="s">
        <v>21</v>
      </c>
      <c r="AU57" s="223" t="s">
        <v>21</v>
      </c>
      <c r="AV57" s="223" t="s">
        <v>21</v>
      </c>
      <c r="AW57" s="223" t="s">
        <v>21</v>
      </c>
      <c r="AX57" s="223" t="s">
        <v>21</v>
      </c>
      <c r="AY57" s="223" t="s">
        <v>21</v>
      </c>
      <c r="AZ57" s="223" t="s">
        <v>21</v>
      </c>
      <c r="BA57" s="223" t="s">
        <v>21</v>
      </c>
      <c r="BB57" s="223" t="s">
        <v>21</v>
      </c>
      <c r="BC57" s="223" t="s">
        <v>21</v>
      </c>
      <c r="BD57" s="223" t="s">
        <v>21</v>
      </c>
    </row>
    <row r="58" spans="1:56" ht="18.75" customHeight="1">
      <c r="A58" s="1061" t="s">
        <v>1650</v>
      </c>
      <c r="B58" s="28" t="s">
        <v>553</v>
      </c>
      <c r="C58" s="24" t="s">
        <v>552</v>
      </c>
      <c r="D58" s="34" t="s">
        <v>1521</v>
      </c>
      <c r="E58" s="68" t="s">
        <v>438</v>
      </c>
      <c r="F58" s="68" t="s">
        <v>20</v>
      </c>
      <c r="G58" s="355" t="s">
        <v>21</v>
      </c>
      <c r="H58" s="109" t="s">
        <v>21</v>
      </c>
      <c r="I58" s="311"/>
      <c r="J58" s="311"/>
      <c r="K58" s="311"/>
      <c r="L58" s="38"/>
      <c r="M58" s="38"/>
      <c r="N58" s="38"/>
      <c r="O58" s="38"/>
      <c r="P58" s="38"/>
      <c r="Q58" s="219"/>
      <c r="R58" s="219"/>
      <c r="S58" s="219"/>
      <c r="T58" s="219"/>
      <c r="U58" s="224">
        <v>31</v>
      </c>
      <c r="V58" s="335">
        <v>23</v>
      </c>
      <c r="W58" s="333">
        <v>43</v>
      </c>
      <c r="X58" s="333">
        <v>48</v>
      </c>
      <c r="Y58" s="333">
        <v>31</v>
      </c>
      <c r="Z58" s="219">
        <v>32</v>
      </c>
      <c r="AA58" s="219">
        <v>60</v>
      </c>
      <c r="AB58" s="219">
        <v>57</v>
      </c>
      <c r="AC58" s="224">
        <v>85</v>
      </c>
      <c r="AD58" s="224">
        <v>55</v>
      </c>
      <c r="AE58" s="223">
        <v>20</v>
      </c>
      <c r="AF58" s="223">
        <v>38</v>
      </c>
      <c r="AG58" s="223">
        <v>48</v>
      </c>
      <c r="AH58" s="223">
        <v>11</v>
      </c>
      <c r="AI58" s="223">
        <v>0</v>
      </c>
      <c r="AJ58" s="223">
        <v>0</v>
      </c>
      <c r="AK58" s="223">
        <v>0</v>
      </c>
      <c r="AL58" s="223" t="s">
        <v>21</v>
      </c>
      <c r="AM58" s="223" t="s">
        <v>21</v>
      </c>
      <c r="AN58" s="223" t="s">
        <v>21</v>
      </c>
      <c r="AO58" s="223" t="s">
        <v>21</v>
      </c>
      <c r="AP58" s="223" t="s">
        <v>21</v>
      </c>
      <c r="AQ58" s="223" t="s">
        <v>21</v>
      </c>
      <c r="AR58" s="223" t="s">
        <v>21</v>
      </c>
      <c r="AS58" s="223" t="s">
        <v>21</v>
      </c>
      <c r="AT58" s="223" t="s">
        <v>21</v>
      </c>
      <c r="AU58" s="223" t="s">
        <v>21</v>
      </c>
      <c r="AV58" s="223" t="s">
        <v>21</v>
      </c>
      <c r="AW58" s="223" t="s">
        <v>21</v>
      </c>
      <c r="AX58" s="223" t="s">
        <v>21</v>
      </c>
      <c r="AY58" s="223" t="s">
        <v>21</v>
      </c>
      <c r="AZ58" s="223" t="s">
        <v>21</v>
      </c>
      <c r="BA58" s="223" t="s">
        <v>21</v>
      </c>
      <c r="BB58" s="223" t="s">
        <v>21</v>
      </c>
      <c r="BC58" s="223" t="s">
        <v>21</v>
      </c>
      <c r="BD58" s="223" t="s">
        <v>21</v>
      </c>
    </row>
    <row r="59" spans="1:56" ht="18.75" customHeight="1">
      <c r="A59" s="1061" t="s">
        <v>1650</v>
      </c>
      <c r="B59" s="28" t="s">
        <v>630</v>
      </c>
      <c r="C59" s="24" t="s">
        <v>628</v>
      </c>
      <c r="D59" s="24" t="s">
        <v>1426</v>
      </c>
      <c r="E59" s="26" t="s">
        <v>438</v>
      </c>
      <c r="F59" s="26" t="s">
        <v>1725</v>
      </c>
      <c r="G59" s="355" t="s">
        <v>21</v>
      </c>
      <c r="H59" s="109" t="s">
        <v>21</v>
      </c>
      <c r="I59" s="38"/>
      <c r="J59" s="38"/>
      <c r="K59" s="38"/>
      <c r="L59" s="38"/>
      <c r="M59" s="38"/>
      <c r="N59" s="38"/>
      <c r="O59" s="38"/>
      <c r="P59" s="38"/>
      <c r="Q59" s="219"/>
      <c r="R59" s="219"/>
      <c r="S59" s="219"/>
      <c r="T59" s="219"/>
      <c r="U59" s="224">
        <v>214</v>
      </c>
      <c r="V59" s="335">
        <v>144</v>
      </c>
      <c r="W59" s="333">
        <v>546</v>
      </c>
      <c r="X59" s="333">
        <v>248</v>
      </c>
      <c r="Y59" s="333">
        <v>152</v>
      </c>
      <c r="Z59" s="219">
        <v>268</v>
      </c>
      <c r="AA59" s="219">
        <v>7</v>
      </c>
      <c r="AB59" s="219">
        <v>26</v>
      </c>
      <c r="AC59" s="224"/>
      <c r="AD59" s="224">
        <v>28</v>
      </c>
      <c r="AE59" s="223">
        <v>17</v>
      </c>
      <c r="AF59" s="223">
        <v>18</v>
      </c>
      <c r="AG59" s="223">
        <v>35</v>
      </c>
      <c r="AH59" s="223">
        <v>29</v>
      </c>
      <c r="AI59" s="223">
        <v>13</v>
      </c>
      <c r="AJ59" s="223">
        <v>0</v>
      </c>
      <c r="AK59" s="223">
        <v>0</v>
      </c>
      <c r="AL59" s="223" t="s">
        <v>21</v>
      </c>
      <c r="AM59" s="223" t="s">
        <v>21</v>
      </c>
      <c r="AN59" s="223" t="s">
        <v>21</v>
      </c>
      <c r="AO59" s="223" t="s">
        <v>21</v>
      </c>
      <c r="AP59" s="223" t="s">
        <v>21</v>
      </c>
      <c r="AQ59" s="223" t="s">
        <v>21</v>
      </c>
      <c r="AR59" s="223" t="s">
        <v>21</v>
      </c>
      <c r="AS59" s="223" t="s">
        <v>21</v>
      </c>
      <c r="AT59" s="223" t="s">
        <v>21</v>
      </c>
      <c r="AU59" s="223" t="s">
        <v>21</v>
      </c>
      <c r="AV59" s="223" t="s">
        <v>21</v>
      </c>
      <c r="AW59" s="223" t="s">
        <v>21</v>
      </c>
      <c r="AX59" s="223" t="s">
        <v>21</v>
      </c>
      <c r="AY59" s="223" t="s">
        <v>21</v>
      </c>
      <c r="AZ59" s="223" t="s">
        <v>21</v>
      </c>
      <c r="BA59" s="223" t="s">
        <v>21</v>
      </c>
      <c r="BB59" s="223" t="s">
        <v>21</v>
      </c>
      <c r="BC59" s="223" t="s">
        <v>21</v>
      </c>
      <c r="BD59" s="223" t="s">
        <v>21</v>
      </c>
    </row>
    <row r="60" spans="1:56" ht="18.75" customHeight="1">
      <c r="A60" s="1061" t="s">
        <v>1650</v>
      </c>
      <c r="B60" s="28" t="s">
        <v>543</v>
      </c>
      <c r="C60" s="24" t="s">
        <v>540</v>
      </c>
      <c r="D60" s="24" t="s">
        <v>1426</v>
      </c>
      <c r="E60" s="26" t="s">
        <v>438</v>
      </c>
      <c r="F60" s="26" t="s">
        <v>1725</v>
      </c>
      <c r="G60" s="355" t="s">
        <v>21</v>
      </c>
      <c r="H60" s="109" t="s">
        <v>21</v>
      </c>
      <c r="I60" s="38"/>
      <c r="J60" s="38"/>
      <c r="K60" s="38"/>
      <c r="L60" s="38"/>
      <c r="M60" s="38"/>
      <c r="N60" s="38"/>
      <c r="O60" s="38"/>
      <c r="P60" s="38"/>
      <c r="Q60" s="219"/>
      <c r="R60" s="219"/>
      <c r="S60" s="219"/>
      <c r="T60" s="219"/>
      <c r="U60" s="224">
        <v>214</v>
      </c>
      <c r="V60" s="335">
        <v>144</v>
      </c>
      <c r="W60" s="333">
        <v>546</v>
      </c>
      <c r="X60" s="333">
        <v>248</v>
      </c>
      <c r="Y60" s="333">
        <v>152</v>
      </c>
      <c r="Z60" s="219">
        <v>268</v>
      </c>
      <c r="AA60" s="219">
        <v>7</v>
      </c>
      <c r="AB60" s="219">
        <v>26</v>
      </c>
      <c r="AC60" s="224">
        <v>125</v>
      </c>
      <c r="AD60" s="224">
        <v>96</v>
      </c>
      <c r="AE60" s="223">
        <v>53</v>
      </c>
      <c r="AF60" s="223">
        <v>24</v>
      </c>
      <c r="AG60" s="223">
        <v>22</v>
      </c>
      <c r="AH60" s="223">
        <v>9</v>
      </c>
      <c r="AI60" s="223">
        <v>18</v>
      </c>
      <c r="AJ60" s="223">
        <v>0</v>
      </c>
      <c r="AK60" s="223">
        <v>0</v>
      </c>
      <c r="AL60" s="223" t="s">
        <v>21</v>
      </c>
      <c r="AM60" s="223" t="s">
        <v>21</v>
      </c>
      <c r="AN60" s="223" t="s">
        <v>21</v>
      </c>
      <c r="AO60" s="223" t="s">
        <v>21</v>
      </c>
      <c r="AP60" s="223" t="s">
        <v>21</v>
      </c>
      <c r="AQ60" s="223" t="s">
        <v>21</v>
      </c>
      <c r="AR60" s="223" t="s">
        <v>21</v>
      </c>
      <c r="AS60" s="223" t="s">
        <v>21</v>
      </c>
      <c r="AT60" s="223" t="s">
        <v>21</v>
      </c>
      <c r="AU60" s="223" t="s">
        <v>21</v>
      </c>
      <c r="AV60" s="223" t="s">
        <v>21</v>
      </c>
      <c r="AW60" s="223" t="s">
        <v>21</v>
      </c>
      <c r="AX60" s="223" t="s">
        <v>21</v>
      </c>
      <c r="AY60" s="223" t="s">
        <v>21</v>
      </c>
      <c r="AZ60" s="223" t="s">
        <v>21</v>
      </c>
      <c r="BA60" s="223" t="s">
        <v>21</v>
      </c>
      <c r="BB60" s="223" t="s">
        <v>21</v>
      </c>
      <c r="BC60" s="223" t="s">
        <v>21</v>
      </c>
      <c r="BD60" s="223" t="s">
        <v>21</v>
      </c>
    </row>
    <row r="61" spans="1:56" ht="18.75" customHeight="1">
      <c r="A61" s="1061" t="s">
        <v>1650</v>
      </c>
      <c r="B61" s="26" t="s">
        <v>561</v>
      </c>
      <c r="C61" s="24" t="s">
        <v>551</v>
      </c>
      <c r="D61" s="24" t="s">
        <v>1426</v>
      </c>
      <c r="E61" s="26" t="s">
        <v>438</v>
      </c>
      <c r="F61" s="24" t="s">
        <v>1725</v>
      </c>
      <c r="G61" s="355">
        <v>170</v>
      </c>
      <c r="H61" s="109">
        <v>99.164989528729521</v>
      </c>
      <c r="I61" s="311"/>
      <c r="J61" s="311"/>
      <c r="K61" s="311"/>
      <c r="L61" s="311"/>
      <c r="M61" s="311"/>
      <c r="N61" s="311"/>
      <c r="O61" s="311"/>
      <c r="P61" s="298"/>
      <c r="Q61" s="298"/>
      <c r="R61" s="298"/>
      <c r="S61" s="298"/>
      <c r="T61" s="298"/>
      <c r="U61" s="224"/>
      <c r="V61" s="335"/>
      <c r="W61" s="333">
        <v>1</v>
      </c>
      <c r="X61" s="333">
        <v>138</v>
      </c>
      <c r="Y61" s="333">
        <v>173</v>
      </c>
      <c r="Z61" s="219">
        <v>126</v>
      </c>
      <c r="AA61" s="219">
        <v>391</v>
      </c>
      <c r="AB61" s="219">
        <v>292</v>
      </c>
      <c r="AC61" s="224">
        <v>339</v>
      </c>
      <c r="AD61" s="224" t="s">
        <v>21</v>
      </c>
      <c r="AE61" s="223" t="s">
        <v>21</v>
      </c>
      <c r="AF61" s="223">
        <v>0</v>
      </c>
      <c r="AG61" s="223">
        <v>0</v>
      </c>
      <c r="AH61" s="223">
        <v>2</v>
      </c>
      <c r="AI61" s="223">
        <v>2</v>
      </c>
      <c r="AJ61" s="223">
        <v>14</v>
      </c>
      <c r="AK61" s="223">
        <v>22</v>
      </c>
      <c r="AL61" s="223">
        <v>20.357142857142858</v>
      </c>
      <c r="AM61" s="223">
        <v>22.340119933310053</v>
      </c>
      <c r="AN61" s="223">
        <v>20.547528783573263</v>
      </c>
      <c r="AO61" s="223">
        <v>22.196031925534289</v>
      </c>
      <c r="AP61" s="223">
        <v>23.902737457740479</v>
      </c>
      <c r="AQ61" s="223">
        <v>24.738133430786792</v>
      </c>
      <c r="AR61" s="223">
        <v>36.462231817140555</v>
      </c>
      <c r="AS61" s="223">
        <v>31.465757788741822</v>
      </c>
      <c r="AT61" s="223">
        <v>29.666311913316303</v>
      </c>
      <c r="AU61" s="223">
        <v>43.841596971579129</v>
      </c>
      <c r="AV61" s="223">
        <v>26.92014737154879</v>
      </c>
      <c r="AW61" s="223">
        <v>19.523306648419737</v>
      </c>
      <c r="AX61" s="223">
        <v>20.357142857142851</v>
      </c>
      <c r="AY61" s="223">
        <v>22.340119933310046</v>
      </c>
      <c r="AZ61" s="223">
        <v>20.547528783573259</v>
      </c>
      <c r="BA61" s="223">
        <v>22.196031925534285</v>
      </c>
      <c r="BB61" s="223">
        <v>23.902737457740475</v>
      </c>
      <c r="BC61" s="223">
        <v>24.738133430786789</v>
      </c>
      <c r="BD61" s="223">
        <v>36.462231817140555</v>
      </c>
    </row>
    <row r="62" spans="1:56" ht="18.75" customHeight="1">
      <c r="A62" s="1061"/>
      <c r="B62" s="28" t="s">
        <v>21</v>
      </c>
      <c r="C62" s="24"/>
      <c r="D62" s="34" t="s">
        <v>1426</v>
      </c>
      <c r="E62" s="68"/>
      <c r="F62" s="68"/>
      <c r="G62" s="355" t="s">
        <v>21</v>
      </c>
      <c r="H62" s="109" t="s">
        <v>21</v>
      </c>
      <c r="I62" s="180"/>
      <c r="J62" s="180"/>
      <c r="K62" s="180"/>
      <c r="L62" s="180"/>
      <c r="M62" s="180"/>
      <c r="N62" s="180"/>
      <c r="O62" s="180"/>
      <c r="P62" s="299"/>
      <c r="Q62" s="299"/>
      <c r="R62" s="299"/>
      <c r="S62" s="299"/>
      <c r="T62" s="299"/>
      <c r="U62" s="224"/>
      <c r="V62" s="335"/>
      <c r="W62" s="333">
        <v>1</v>
      </c>
      <c r="X62" s="333">
        <v>138</v>
      </c>
      <c r="Y62" s="333">
        <v>173</v>
      </c>
      <c r="Z62" s="224">
        <v>126</v>
      </c>
      <c r="AA62" s="219">
        <v>391</v>
      </c>
      <c r="AB62" s="224">
        <v>292</v>
      </c>
      <c r="AC62" s="224"/>
      <c r="AD62" s="224" t="s">
        <v>21</v>
      </c>
      <c r="AE62" s="223" t="s">
        <v>21</v>
      </c>
      <c r="AF62" s="223" t="s">
        <v>21</v>
      </c>
      <c r="AG62" s="223" t="s">
        <v>21</v>
      </c>
      <c r="AH62" s="223" t="s">
        <v>21</v>
      </c>
      <c r="AI62" s="223" t="s">
        <v>21</v>
      </c>
      <c r="AJ62" s="223" t="s">
        <v>21</v>
      </c>
      <c r="AK62" s="223" t="s">
        <v>21</v>
      </c>
      <c r="AL62" s="223" t="s">
        <v>21</v>
      </c>
      <c r="AM62" s="223" t="s">
        <v>21</v>
      </c>
      <c r="AN62" s="223" t="s">
        <v>21</v>
      </c>
      <c r="AO62" s="223" t="s">
        <v>21</v>
      </c>
      <c r="AP62" s="223" t="s">
        <v>21</v>
      </c>
      <c r="AQ62" s="223" t="s">
        <v>21</v>
      </c>
      <c r="AR62" s="223" t="s">
        <v>21</v>
      </c>
      <c r="AS62" s="223" t="s">
        <v>21</v>
      </c>
      <c r="AT62" s="223" t="s">
        <v>21</v>
      </c>
      <c r="AU62" s="223" t="s">
        <v>21</v>
      </c>
      <c r="AV62" s="223" t="s">
        <v>21</v>
      </c>
      <c r="AW62" s="223" t="s">
        <v>21</v>
      </c>
      <c r="AX62" s="223" t="s">
        <v>21</v>
      </c>
      <c r="AY62" s="223" t="s">
        <v>21</v>
      </c>
      <c r="AZ62" s="223" t="s">
        <v>21</v>
      </c>
      <c r="BA62" s="223" t="s">
        <v>21</v>
      </c>
      <c r="BB62" s="223" t="s">
        <v>21</v>
      </c>
      <c r="BC62" s="223" t="s">
        <v>21</v>
      </c>
      <c r="BD62" s="223" t="s">
        <v>21</v>
      </c>
    </row>
    <row r="63" spans="1:56" ht="18.75" customHeight="1">
      <c r="A63" s="1061" t="s">
        <v>1651</v>
      </c>
      <c r="B63" s="28" t="s">
        <v>583</v>
      </c>
      <c r="C63" s="24" t="s">
        <v>580</v>
      </c>
      <c r="D63" s="25" t="s">
        <v>1732</v>
      </c>
      <c r="E63" s="26" t="s">
        <v>438</v>
      </c>
      <c r="F63" s="26" t="s">
        <v>1725</v>
      </c>
      <c r="G63" s="355">
        <v>104</v>
      </c>
      <c r="H63" s="109">
        <v>0</v>
      </c>
      <c r="I63" s="38"/>
      <c r="J63" s="38"/>
      <c r="K63" s="38"/>
      <c r="L63" s="38"/>
      <c r="M63" s="38"/>
      <c r="N63" s="38"/>
      <c r="O63" s="38"/>
      <c r="P63" s="38"/>
      <c r="Q63" s="219"/>
      <c r="R63" s="219"/>
      <c r="S63" s="219"/>
      <c r="T63" s="219"/>
      <c r="U63" s="224">
        <v>584</v>
      </c>
      <c r="V63" s="335">
        <v>487</v>
      </c>
      <c r="W63" s="333">
        <v>690</v>
      </c>
      <c r="X63" s="333">
        <v>413</v>
      </c>
      <c r="Y63" s="333">
        <v>255</v>
      </c>
      <c r="Z63" s="219">
        <v>379</v>
      </c>
      <c r="AA63" s="219">
        <v>355</v>
      </c>
      <c r="AB63" s="219">
        <v>135</v>
      </c>
      <c r="AC63" s="224">
        <v>15</v>
      </c>
      <c r="AD63" s="224">
        <v>177</v>
      </c>
      <c r="AE63" s="223">
        <v>65</v>
      </c>
      <c r="AF63" s="223">
        <v>83</v>
      </c>
      <c r="AG63" s="223">
        <v>70</v>
      </c>
      <c r="AH63" s="223">
        <v>46</v>
      </c>
      <c r="AI63" s="223">
        <v>458</v>
      </c>
      <c r="AJ63" s="223">
        <v>33</v>
      </c>
      <c r="AK63" s="223">
        <v>0</v>
      </c>
      <c r="AL63" s="223">
        <v>0</v>
      </c>
      <c r="AM63" s="223" t="s">
        <v>21</v>
      </c>
      <c r="AN63" s="223" t="s">
        <v>21</v>
      </c>
      <c r="AO63" s="223" t="s">
        <v>21</v>
      </c>
      <c r="AP63" s="223" t="s">
        <v>21</v>
      </c>
      <c r="AQ63" s="223" t="s">
        <v>21</v>
      </c>
      <c r="AR63" s="223" t="s">
        <v>21</v>
      </c>
      <c r="AS63" s="223" t="s">
        <v>21</v>
      </c>
      <c r="AT63" s="223" t="s">
        <v>21</v>
      </c>
      <c r="AU63" s="223" t="s">
        <v>21</v>
      </c>
      <c r="AV63" s="223" t="s">
        <v>21</v>
      </c>
      <c r="AW63" s="223" t="s">
        <v>21</v>
      </c>
      <c r="AX63" s="223" t="s">
        <v>21</v>
      </c>
      <c r="AY63" s="223" t="s">
        <v>21</v>
      </c>
      <c r="AZ63" s="223" t="s">
        <v>21</v>
      </c>
      <c r="BA63" s="223" t="s">
        <v>21</v>
      </c>
      <c r="BB63" s="223" t="s">
        <v>21</v>
      </c>
      <c r="BC63" s="223" t="s">
        <v>21</v>
      </c>
      <c r="BD63" s="223" t="s">
        <v>21</v>
      </c>
    </row>
    <row r="64" spans="1:56" ht="18.75" customHeight="1">
      <c r="A64" s="1061" t="s">
        <v>1651</v>
      </c>
      <c r="B64" s="26" t="s">
        <v>570</v>
      </c>
      <c r="C64" s="24" t="s">
        <v>567</v>
      </c>
      <c r="D64" s="25" t="s">
        <v>1732</v>
      </c>
      <c r="E64" s="26" t="s">
        <v>438</v>
      </c>
      <c r="F64" s="24" t="s">
        <v>1725</v>
      </c>
      <c r="G64" s="355">
        <v>61</v>
      </c>
      <c r="H64" s="109">
        <v>0</v>
      </c>
      <c r="I64" s="311"/>
      <c r="J64" s="311"/>
      <c r="K64" s="311"/>
      <c r="L64" s="311"/>
      <c r="M64" s="311"/>
      <c r="N64" s="311"/>
      <c r="O64" s="311"/>
      <c r="P64" s="298"/>
      <c r="Q64" s="298"/>
      <c r="R64" s="298"/>
      <c r="S64" s="298"/>
      <c r="T64" s="298"/>
      <c r="U64" s="224"/>
      <c r="V64" s="335"/>
      <c r="W64" s="333"/>
      <c r="X64" s="333"/>
      <c r="Y64" s="333">
        <v>137</v>
      </c>
      <c r="Z64" s="219">
        <v>171</v>
      </c>
      <c r="AA64" s="219">
        <v>410</v>
      </c>
      <c r="AB64" s="219">
        <v>389</v>
      </c>
      <c r="AC64" s="224">
        <v>259</v>
      </c>
      <c r="AD64" s="224">
        <v>226</v>
      </c>
      <c r="AE64" s="223">
        <v>281</v>
      </c>
      <c r="AF64" s="223">
        <v>247</v>
      </c>
      <c r="AG64" s="223">
        <v>360</v>
      </c>
      <c r="AH64" s="223">
        <v>72</v>
      </c>
      <c r="AI64" s="223">
        <v>57</v>
      </c>
      <c r="AJ64" s="223">
        <v>0</v>
      </c>
      <c r="AK64" s="223">
        <v>0</v>
      </c>
      <c r="AL64" s="223">
        <v>0</v>
      </c>
      <c r="AM64" s="223" t="s">
        <v>21</v>
      </c>
      <c r="AN64" s="223" t="s">
        <v>21</v>
      </c>
      <c r="AO64" s="223" t="s">
        <v>21</v>
      </c>
      <c r="AP64" s="223" t="s">
        <v>21</v>
      </c>
      <c r="AQ64" s="223" t="s">
        <v>21</v>
      </c>
      <c r="AR64" s="223" t="s">
        <v>21</v>
      </c>
      <c r="AS64" s="223" t="s">
        <v>21</v>
      </c>
      <c r="AT64" s="223" t="s">
        <v>21</v>
      </c>
      <c r="AU64" s="223" t="s">
        <v>21</v>
      </c>
      <c r="AV64" s="223" t="s">
        <v>21</v>
      </c>
      <c r="AW64" s="223" t="s">
        <v>21</v>
      </c>
      <c r="AX64" s="223" t="s">
        <v>21</v>
      </c>
      <c r="AY64" s="223" t="s">
        <v>21</v>
      </c>
      <c r="AZ64" s="223" t="s">
        <v>21</v>
      </c>
      <c r="BA64" s="223" t="s">
        <v>21</v>
      </c>
      <c r="BB64" s="223" t="s">
        <v>21</v>
      </c>
      <c r="BC64" s="223" t="s">
        <v>21</v>
      </c>
      <c r="BD64" s="223" t="s">
        <v>21</v>
      </c>
    </row>
    <row r="65" spans="1:56" ht="18.75" customHeight="1">
      <c r="A65" s="1061" t="s">
        <v>1651</v>
      </c>
      <c r="B65" s="26" t="s">
        <v>598</v>
      </c>
      <c r="C65" s="24" t="s">
        <v>579</v>
      </c>
      <c r="D65" s="25" t="s">
        <v>1405</v>
      </c>
      <c r="E65" s="26"/>
      <c r="F65" s="24"/>
      <c r="G65" s="355">
        <v>714</v>
      </c>
      <c r="H65" s="109">
        <v>579.33230724678822</v>
      </c>
      <c r="I65" s="311"/>
      <c r="J65" s="311"/>
      <c r="K65" s="311"/>
      <c r="L65" s="311"/>
      <c r="M65" s="311"/>
      <c r="N65" s="311"/>
      <c r="O65" s="311"/>
      <c r="P65" s="298"/>
      <c r="Q65" s="298"/>
      <c r="R65" s="298"/>
      <c r="S65" s="298"/>
      <c r="T65" s="298"/>
      <c r="U65" s="224"/>
      <c r="V65" s="335"/>
      <c r="W65" s="333"/>
      <c r="X65" s="333"/>
      <c r="Y65" s="333"/>
      <c r="Z65" s="219"/>
      <c r="AA65" s="219"/>
      <c r="AB65" s="219"/>
      <c r="AC65" s="224">
        <v>336</v>
      </c>
      <c r="AD65" s="224" t="s">
        <v>21</v>
      </c>
      <c r="AE65" s="223" t="s">
        <v>21</v>
      </c>
      <c r="AF65" s="223">
        <v>0</v>
      </c>
      <c r="AG65" s="223">
        <v>0</v>
      </c>
      <c r="AH65" s="223">
        <v>4</v>
      </c>
      <c r="AI65" s="223">
        <v>133</v>
      </c>
      <c r="AJ65" s="223">
        <v>39</v>
      </c>
      <c r="AK65" s="223">
        <v>67</v>
      </c>
      <c r="AL65" s="223">
        <v>118.92857142857143</v>
      </c>
      <c r="AM65" s="223">
        <v>130.51333224196927</v>
      </c>
      <c r="AN65" s="223">
        <v>120.04082605140171</v>
      </c>
      <c r="AO65" s="223">
        <v>129.67155493338456</v>
      </c>
      <c r="AP65" s="223">
        <v>139.64230830574704</v>
      </c>
      <c r="AQ65" s="223">
        <v>144.52277951670183</v>
      </c>
      <c r="AR65" s="223">
        <v>213.01619640540017</v>
      </c>
      <c r="AS65" s="223">
        <v>183.82626918686017</v>
      </c>
      <c r="AT65" s="223">
        <v>173.31371696726899</v>
      </c>
      <c r="AU65" s="223">
        <v>256.12722441290975</v>
      </c>
      <c r="AV65" s="223">
        <v>157.27033464431142</v>
      </c>
      <c r="AW65" s="223">
        <v>114.05721252497851</v>
      </c>
      <c r="AX65" s="223">
        <v>118.92857142857144</v>
      </c>
      <c r="AY65" s="223">
        <v>130.51333224196927</v>
      </c>
      <c r="AZ65" s="223">
        <v>120.04082605140171</v>
      </c>
      <c r="BA65" s="223">
        <v>129.67155493338456</v>
      </c>
      <c r="BB65" s="223">
        <v>139.64230830574704</v>
      </c>
      <c r="BC65" s="223">
        <v>144.52277951670183</v>
      </c>
      <c r="BD65" s="223">
        <v>213.01619640540017</v>
      </c>
    </row>
    <row r="66" spans="1:56" ht="18.75" customHeight="1">
      <c r="A66" s="1061" t="s">
        <v>1651</v>
      </c>
      <c r="B66" s="26" t="e">
        <v>#N/A</v>
      </c>
      <c r="C66" s="24" t="s">
        <v>1652</v>
      </c>
      <c r="D66" s="25" t="s">
        <v>1405</v>
      </c>
      <c r="E66" s="26"/>
      <c r="F66" s="24"/>
      <c r="G66" s="355" t="s">
        <v>21</v>
      </c>
      <c r="H66" s="109" t="s">
        <v>21</v>
      </c>
      <c r="I66" s="311"/>
      <c r="J66" s="311"/>
      <c r="K66" s="311"/>
      <c r="L66" s="311"/>
      <c r="M66" s="311"/>
      <c r="N66" s="311"/>
      <c r="O66" s="311"/>
      <c r="P66" s="298"/>
      <c r="Q66" s="298"/>
      <c r="R66" s="298"/>
      <c r="S66" s="298"/>
      <c r="T66" s="298"/>
      <c r="U66" s="224"/>
      <c r="V66" s="335"/>
      <c r="W66" s="333"/>
      <c r="X66" s="333"/>
      <c r="Y66" s="333"/>
      <c r="Z66" s="219"/>
      <c r="AA66" s="219"/>
      <c r="AB66" s="219"/>
      <c r="AC66" s="224"/>
      <c r="AD66" s="224" t="s">
        <v>21</v>
      </c>
      <c r="AE66" s="223" t="s">
        <v>21</v>
      </c>
      <c r="AF66" s="223" t="s">
        <v>21</v>
      </c>
      <c r="AG66" s="223" t="s">
        <v>21</v>
      </c>
      <c r="AH66" s="223" t="s">
        <v>21</v>
      </c>
      <c r="AI66" s="223" t="s">
        <v>21</v>
      </c>
      <c r="AJ66" s="223" t="s">
        <v>21</v>
      </c>
      <c r="AK66" s="223" t="s">
        <v>21</v>
      </c>
      <c r="AL66" s="223" t="s">
        <v>21</v>
      </c>
      <c r="AM66" s="223" t="s">
        <v>21</v>
      </c>
      <c r="AN66" s="223" t="s">
        <v>21</v>
      </c>
      <c r="AO66" s="223" t="s">
        <v>21</v>
      </c>
      <c r="AP66" s="223" t="s">
        <v>21</v>
      </c>
      <c r="AQ66" s="223" t="s">
        <v>21</v>
      </c>
      <c r="AR66" s="223" t="s">
        <v>21</v>
      </c>
      <c r="AS66" s="223" t="s">
        <v>21</v>
      </c>
      <c r="AT66" s="223" t="s">
        <v>21</v>
      </c>
      <c r="AU66" s="223" t="s">
        <v>21</v>
      </c>
      <c r="AV66" s="223" t="s">
        <v>21</v>
      </c>
      <c r="AW66" s="223" t="s">
        <v>21</v>
      </c>
      <c r="AX66" s="223" t="s">
        <v>21</v>
      </c>
      <c r="AY66" s="223" t="s">
        <v>21</v>
      </c>
      <c r="AZ66" s="223" t="s">
        <v>21</v>
      </c>
      <c r="BA66" s="223" t="s">
        <v>21</v>
      </c>
      <c r="BB66" s="223" t="s">
        <v>21</v>
      </c>
      <c r="BC66" s="223" t="s">
        <v>21</v>
      </c>
      <c r="BD66" s="223" t="s">
        <v>21</v>
      </c>
    </row>
    <row r="67" spans="1:56" ht="18.75" customHeight="1">
      <c r="A67" s="1061" t="s">
        <v>1651</v>
      </c>
      <c r="B67" s="26" t="s">
        <v>795</v>
      </c>
      <c r="C67" s="1407" t="s">
        <v>792</v>
      </c>
      <c r="D67" s="25" t="s">
        <v>1733</v>
      </c>
      <c r="E67" s="26"/>
      <c r="F67" s="24"/>
      <c r="G67" s="355">
        <v>2201</v>
      </c>
      <c r="H67" s="109">
        <v>0</v>
      </c>
      <c r="I67" s="311"/>
      <c r="J67" s="311"/>
      <c r="K67" s="311"/>
      <c r="L67" s="311"/>
      <c r="M67" s="311"/>
      <c r="N67" s="311"/>
      <c r="O67" s="311"/>
      <c r="P67" s="298"/>
      <c r="Q67" s="298"/>
      <c r="R67" s="298"/>
      <c r="S67" s="298"/>
      <c r="T67" s="298"/>
      <c r="U67" s="224"/>
      <c r="V67" s="335"/>
      <c r="W67" s="333"/>
      <c r="X67" s="333"/>
      <c r="Y67" s="333"/>
      <c r="Z67" s="219"/>
      <c r="AA67" s="219"/>
      <c r="AB67" s="219"/>
      <c r="AC67" s="224"/>
      <c r="AD67" s="224" t="s">
        <v>21</v>
      </c>
      <c r="AE67" s="223" t="s">
        <v>21</v>
      </c>
      <c r="AF67" s="223" t="s">
        <v>21</v>
      </c>
      <c r="AG67" s="223" t="s">
        <v>21</v>
      </c>
      <c r="AH67" s="223" t="s">
        <v>21</v>
      </c>
      <c r="AI67" s="223" t="s">
        <v>21</v>
      </c>
      <c r="AJ67" s="223" t="s">
        <v>21</v>
      </c>
      <c r="AK67" s="223" t="s">
        <v>21</v>
      </c>
      <c r="AL67" s="223">
        <v>0</v>
      </c>
      <c r="AM67" s="223" t="s">
        <v>21</v>
      </c>
      <c r="AN67" s="223" t="s">
        <v>21</v>
      </c>
      <c r="AO67" s="223" t="s">
        <v>21</v>
      </c>
      <c r="AP67" s="223" t="s">
        <v>21</v>
      </c>
      <c r="AQ67" s="223" t="s">
        <v>21</v>
      </c>
      <c r="AR67" s="223" t="s">
        <v>21</v>
      </c>
      <c r="AS67" s="223" t="s">
        <v>21</v>
      </c>
      <c r="AT67" s="223" t="s">
        <v>21</v>
      </c>
      <c r="AU67" s="223" t="s">
        <v>21</v>
      </c>
      <c r="AV67" s="223" t="s">
        <v>21</v>
      </c>
      <c r="AW67" s="223" t="s">
        <v>21</v>
      </c>
      <c r="AX67" s="223" t="s">
        <v>21</v>
      </c>
      <c r="AY67" s="223" t="s">
        <v>21</v>
      </c>
      <c r="AZ67" s="223" t="s">
        <v>21</v>
      </c>
      <c r="BA67" s="223" t="s">
        <v>21</v>
      </c>
      <c r="BB67" s="223" t="s">
        <v>21</v>
      </c>
      <c r="BC67" s="223" t="s">
        <v>21</v>
      </c>
      <c r="BD67" s="223" t="s">
        <v>21</v>
      </c>
    </row>
    <row r="68" spans="1:56" ht="18.75" customHeight="1">
      <c r="A68" s="1061" t="s">
        <v>1651</v>
      </c>
      <c r="B68" s="26" t="s">
        <v>646</v>
      </c>
      <c r="C68" s="24" t="s">
        <v>644</v>
      </c>
      <c r="D68" s="24" t="s">
        <v>1734</v>
      </c>
      <c r="E68" s="24" t="s">
        <v>438</v>
      </c>
      <c r="F68" s="24" t="s">
        <v>1725</v>
      </c>
      <c r="G68" s="38">
        <v>365</v>
      </c>
      <c r="H68" s="109">
        <v>1205.637504270343</v>
      </c>
      <c r="I68" s="38"/>
      <c r="J68" s="38"/>
      <c r="K68" s="38"/>
      <c r="L68" s="38"/>
      <c r="M68" s="38"/>
      <c r="N68" s="38"/>
      <c r="O68" s="38"/>
      <c r="P68" s="38"/>
      <c r="Q68" s="219"/>
      <c r="R68" s="219"/>
      <c r="S68" s="291"/>
      <c r="T68" s="219"/>
      <c r="U68" s="224">
        <v>31</v>
      </c>
      <c r="V68" s="335">
        <v>39</v>
      </c>
      <c r="W68" s="333">
        <v>40</v>
      </c>
      <c r="X68" s="333">
        <v>97</v>
      </c>
      <c r="Y68" s="333">
        <v>46</v>
      </c>
      <c r="Z68" s="219">
        <v>52</v>
      </c>
      <c r="AA68" s="219">
        <v>198</v>
      </c>
      <c r="AB68" s="219">
        <v>174</v>
      </c>
      <c r="AC68" s="224">
        <v>6</v>
      </c>
      <c r="AD68" s="224">
        <v>2</v>
      </c>
      <c r="AE68" s="223">
        <v>16</v>
      </c>
      <c r="AF68" s="223">
        <v>35</v>
      </c>
      <c r="AG68" s="223">
        <v>40</v>
      </c>
      <c r="AH68" s="223">
        <v>27</v>
      </c>
      <c r="AI68" s="223">
        <v>141</v>
      </c>
      <c r="AJ68" s="223">
        <v>45</v>
      </c>
      <c r="AK68" s="223">
        <v>83</v>
      </c>
      <c r="AL68" s="223">
        <v>247.5</v>
      </c>
      <c r="AM68" s="223">
        <v>271.60882655761168</v>
      </c>
      <c r="AN68" s="223">
        <v>249.81469205291705</v>
      </c>
      <c r="AO68" s="223">
        <v>269.85701972623269</v>
      </c>
      <c r="AP68" s="223">
        <v>290.60696593358165</v>
      </c>
      <c r="AQ68" s="223">
        <v>300.76362223746054</v>
      </c>
      <c r="AR68" s="223">
        <v>443.30397630313001</v>
      </c>
      <c r="AS68" s="223">
        <v>382.55737101049277</v>
      </c>
      <c r="AT68" s="223">
        <v>360.67989747242461</v>
      </c>
      <c r="AU68" s="223">
        <v>533.02152107551478</v>
      </c>
      <c r="AV68" s="223">
        <v>327.29231804356692</v>
      </c>
      <c r="AW68" s="223">
        <v>237.36230714657685</v>
      </c>
      <c r="AX68" s="223">
        <v>247.5</v>
      </c>
      <c r="AY68" s="223">
        <v>271.60882655761168</v>
      </c>
      <c r="AZ68" s="223">
        <v>249.81469205291705</v>
      </c>
      <c r="BA68" s="223">
        <v>269.85701972623269</v>
      </c>
      <c r="BB68" s="223">
        <v>290.60696593358165</v>
      </c>
      <c r="BC68" s="223">
        <v>300.76362223746054</v>
      </c>
      <c r="BD68" s="223">
        <v>443.30397630313001</v>
      </c>
    </row>
    <row r="69" spans="1:56" ht="18.75" customHeight="1">
      <c r="A69" s="1061" t="s">
        <v>1651</v>
      </c>
      <c r="B69" s="26" t="s">
        <v>640</v>
      </c>
      <c r="C69" s="24" t="s">
        <v>638</v>
      </c>
      <c r="D69" s="25" t="s">
        <v>1735</v>
      </c>
      <c r="E69" s="24"/>
      <c r="F69" s="24"/>
      <c r="G69" s="38">
        <v>1</v>
      </c>
      <c r="H69" s="109">
        <v>0</v>
      </c>
      <c r="I69" s="38"/>
      <c r="J69" s="38"/>
      <c r="K69" s="38"/>
      <c r="L69" s="38"/>
      <c r="M69" s="38"/>
      <c r="N69" s="38"/>
      <c r="O69" s="38"/>
      <c r="P69" s="38"/>
      <c r="Q69" s="219"/>
      <c r="R69" s="219"/>
      <c r="S69" s="291"/>
      <c r="T69" s="219"/>
      <c r="U69" s="224"/>
      <c r="V69" s="349"/>
      <c r="W69" s="532"/>
      <c r="X69" s="333"/>
      <c r="Y69" s="333"/>
      <c r="Z69" s="219"/>
      <c r="AA69" s="219"/>
      <c r="AB69" s="219"/>
      <c r="AC69" s="224"/>
      <c r="AD69" s="224">
        <v>2</v>
      </c>
      <c r="AE69" s="223">
        <v>-10</v>
      </c>
      <c r="AF69" s="223">
        <v>-21</v>
      </c>
      <c r="AG69" s="223">
        <v>20</v>
      </c>
      <c r="AH69" s="223">
        <v>0</v>
      </c>
      <c r="AI69" s="223">
        <v>0</v>
      </c>
      <c r="AJ69" s="223">
        <v>0</v>
      </c>
      <c r="AK69" s="223">
        <v>0</v>
      </c>
      <c r="AL69" s="223">
        <v>0</v>
      </c>
      <c r="AM69" s="223" t="s">
        <v>21</v>
      </c>
      <c r="AN69" s="223" t="s">
        <v>21</v>
      </c>
      <c r="AO69" s="223" t="s">
        <v>21</v>
      </c>
      <c r="AP69" s="223" t="s">
        <v>21</v>
      </c>
      <c r="AQ69" s="223" t="s">
        <v>21</v>
      </c>
      <c r="AR69" s="223" t="s">
        <v>21</v>
      </c>
      <c r="AS69" s="223" t="s">
        <v>21</v>
      </c>
      <c r="AT69" s="223" t="s">
        <v>21</v>
      </c>
      <c r="AU69" s="223" t="s">
        <v>21</v>
      </c>
      <c r="AV69" s="223" t="s">
        <v>21</v>
      </c>
      <c r="AW69" s="223" t="s">
        <v>21</v>
      </c>
      <c r="AX69" s="223" t="s">
        <v>21</v>
      </c>
      <c r="AY69" s="223" t="s">
        <v>21</v>
      </c>
      <c r="AZ69" s="223" t="s">
        <v>21</v>
      </c>
      <c r="BA69" s="223" t="s">
        <v>21</v>
      </c>
      <c r="BB69" s="223" t="s">
        <v>21</v>
      </c>
      <c r="BC69" s="223" t="s">
        <v>21</v>
      </c>
      <c r="BD69" s="223" t="s">
        <v>21</v>
      </c>
    </row>
    <row r="70" spans="1:56" ht="18.75" customHeight="1">
      <c r="A70" s="1082" t="s">
        <v>1651</v>
      </c>
      <c r="B70" s="26" t="s">
        <v>634</v>
      </c>
      <c r="C70" s="24" t="s">
        <v>632</v>
      </c>
      <c r="D70" s="27" t="s">
        <v>1736</v>
      </c>
      <c r="E70" s="27"/>
      <c r="F70" s="27"/>
      <c r="G70" s="38">
        <v>237</v>
      </c>
      <c r="H70" s="109">
        <v>67.849729677551764</v>
      </c>
      <c r="I70" s="39"/>
      <c r="J70" s="39"/>
      <c r="K70" s="39"/>
      <c r="L70" s="39"/>
      <c r="M70" s="39"/>
      <c r="N70" s="39"/>
      <c r="O70" s="39"/>
      <c r="P70" s="39"/>
      <c r="Q70" s="232"/>
      <c r="R70" s="232"/>
      <c r="S70" s="232"/>
      <c r="T70" s="232"/>
      <c r="U70" s="233"/>
      <c r="V70" s="233"/>
      <c r="W70" s="219"/>
      <c r="X70" s="333"/>
      <c r="Y70" s="333" t="s">
        <v>21</v>
      </c>
      <c r="Z70" s="238"/>
      <c r="AA70" s="219"/>
      <c r="AB70" s="238"/>
      <c r="AC70" s="239" t="s">
        <v>21</v>
      </c>
      <c r="AD70" s="239">
        <v>512</v>
      </c>
      <c r="AE70" s="223">
        <v>530</v>
      </c>
      <c r="AF70" s="223">
        <v>511</v>
      </c>
      <c r="AG70" s="223">
        <v>411</v>
      </c>
      <c r="AH70" s="223">
        <v>256</v>
      </c>
      <c r="AI70" s="223">
        <v>570</v>
      </c>
      <c r="AJ70" s="223">
        <v>50</v>
      </c>
      <c r="AK70" s="223">
        <v>315</v>
      </c>
      <c r="AL70" s="223">
        <v>13.928571428571429</v>
      </c>
      <c r="AM70" s="223">
        <v>15.285345217527931</v>
      </c>
      <c r="AN70" s="223">
        <v>14.058835483497496</v>
      </c>
      <c r="AO70" s="223">
        <v>15.186758685891883</v>
      </c>
      <c r="AP70" s="223">
        <v>16.354504576348749</v>
      </c>
      <c r="AQ70" s="223">
        <v>16.926091294748858</v>
      </c>
      <c r="AR70" s="223">
        <v>24.947842822254064</v>
      </c>
      <c r="AS70" s="223">
        <v>21.529202697560194</v>
      </c>
      <c r="AT70" s="223">
        <v>20.298002888058523</v>
      </c>
      <c r="AU70" s="223">
        <v>29.996882138448878</v>
      </c>
      <c r="AV70" s="223">
        <v>18.419048201586016</v>
      </c>
      <c r="AW70" s="223">
        <v>13.358051917339822</v>
      </c>
      <c r="AX70" s="223">
        <v>13.928571428571427</v>
      </c>
      <c r="AY70" s="223">
        <v>15.285345217527929</v>
      </c>
      <c r="AZ70" s="223">
        <v>14.058835483497495</v>
      </c>
      <c r="BA70" s="223">
        <v>15.186758685891881</v>
      </c>
      <c r="BB70" s="223">
        <v>16.354504576348749</v>
      </c>
      <c r="BC70" s="223">
        <v>16.926091294748858</v>
      </c>
      <c r="BD70" s="223">
        <v>24.947842822254064</v>
      </c>
    </row>
    <row r="71" spans="1:56" ht="18.75" customHeight="1">
      <c r="A71" s="1059" t="s">
        <v>1651</v>
      </c>
      <c r="B71" s="26" t="s">
        <v>658</v>
      </c>
      <c r="C71" s="24" t="s">
        <v>637</v>
      </c>
      <c r="D71" s="25"/>
      <c r="E71" s="24"/>
      <c r="F71" s="24"/>
      <c r="G71" s="38">
        <v>484</v>
      </c>
      <c r="H71" s="109">
        <v>2760.9620768788373</v>
      </c>
      <c r="I71" s="38"/>
      <c r="J71" s="38"/>
      <c r="K71" s="38"/>
      <c r="L71" s="38"/>
      <c r="M71" s="38"/>
      <c r="N71" s="38"/>
      <c r="O71" s="38"/>
      <c r="P71" s="38"/>
      <c r="Q71" s="219"/>
      <c r="R71" s="219"/>
      <c r="S71" s="219"/>
      <c r="T71" s="219"/>
      <c r="U71" s="224"/>
      <c r="V71" s="224"/>
      <c r="W71" s="219"/>
      <c r="X71" s="333"/>
      <c r="Y71" s="333" t="s">
        <v>21</v>
      </c>
      <c r="Z71" s="238"/>
      <c r="AA71" s="219"/>
      <c r="AB71" s="238"/>
      <c r="AC71" s="239" t="s">
        <v>21</v>
      </c>
      <c r="AD71" s="239" t="s">
        <v>21</v>
      </c>
      <c r="AE71" s="223" t="s">
        <v>21</v>
      </c>
      <c r="AF71" s="223">
        <v>0</v>
      </c>
      <c r="AG71" s="223">
        <v>0</v>
      </c>
      <c r="AH71" s="223">
        <v>2</v>
      </c>
      <c r="AI71" s="223">
        <v>12</v>
      </c>
      <c r="AJ71" s="223">
        <v>88</v>
      </c>
      <c r="AK71" s="223">
        <v>117</v>
      </c>
      <c r="AL71" s="223">
        <v>566.78571428571422</v>
      </c>
      <c r="AM71" s="223">
        <v>621.99597077479041</v>
      </c>
      <c r="AN71" s="223">
        <v>572.08645929001352</v>
      </c>
      <c r="AO71" s="223">
        <v>617.98425729513895</v>
      </c>
      <c r="AP71" s="223">
        <v>665.50253237603761</v>
      </c>
      <c r="AQ71" s="223">
        <v>688.7617149940113</v>
      </c>
      <c r="AR71" s="223">
        <v>1015.1852963824924</v>
      </c>
      <c r="AS71" s="223">
        <v>876.07294053918031</v>
      </c>
      <c r="AT71" s="223">
        <v>825.97257906022776</v>
      </c>
      <c r="AU71" s="223">
        <v>1220.6423577876508</v>
      </c>
      <c r="AV71" s="223">
        <v>749.51357681838488</v>
      </c>
      <c r="AW71" s="223">
        <v>543.56995879021281</v>
      </c>
      <c r="AX71" s="223">
        <v>566.78571428571422</v>
      </c>
      <c r="AY71" s="223">
        <v>621.99597077479041</v>
      </c>
      <c r="AZ71" s="223">
        <v>572.08645929001352</v>
      </c>
      <c r="BA71" s="223">
        <v>617.98425729513895</v>
      </c>
      <c r="BB71" s="223">
        <v>665.50253237603761</v>
      </c>
      <c r="BC71" s="223">
        <v>688.7617149940113</v>
      </c>
      <c r="BD71" s="223">
        <v>1015.1852963824924</v>
      </c>
    </row>
    <row r="72" spans="1:56" ht="18.75" customHeight="1">
      <c r="A72" s="1070" t="s">
        <v>1651</v>
      </c>
      <c r="B72" s="300" t="s">
        <v>655</v>
      </c>
      <c r="C72" s="194" t="s">
        <v>653</v>
      </c>
      <c r="D72" s="194" t="s">
        <v>1729</v>
      </c>
      <c r="E72" s="68" t="s">
        <v>1730</v>
      </c>
      <c r="F72" s="195"/>
      <c r="G72" s="38">
        <v>843</v>
      </c>
      <c r="H72" s="109">
        <v>250.52207880942194</v>
      </c>
      <c r="I72" s="319"/>
      <c r="J72" s="319"/>
      <c r="K72" s="319"/>
      <c r="L72" s="320"/>
      <c r="M72" s="311"/>
      <c r="N72" s="311"/>
      <c r="O72" s="311"/>
      <c r="P72" s="311"/>
      <c r="Q72" s="298"/>
      <c r="R72" s="219"/>
      <c r="S72" s="219"/>
      <c r="T72" s="219"/>
      <c r="U72" s="219">
        <v>60</v>
      </c>
      <c r="V72" s="219">
        <v>48</v>
      </c>
      <c r="W72" s="333">
        <v>95</v>
      </c>
      <c r="X72" s="333">
        <v>75</v>
      </c>
      <c r="Y72" s="333">
        <v>30</v>
      </c>
      <c r="Z72" s="219">
        <v>57</v>
      </c>
      <c r="AA72" s="219">
        <v>120</v>
      </c>
      <c r="AB72" s="219">
        <v>113</v>
      </c>
      <c r="AC72" s="224">
        <v>43</v>
      </c>
      <c r="AD72" s="224" t="s">
        <v>21</v>
      </c>
      <c r="AE72" s="223" t="s">
        <v>21</v>
      </c>
      <c r="AF72" s="223" t="s">
        <v>21</v>
      </c>
      <c r="AG72" s="223">
        <v>0</v>
      </c>
      <c r="AH72" s="223">
        <v>0</v>
      </c>
      <c r="AI72" s="223">
        <v>0</v>
      </c>
      <c r="AJ72" s="223">
        <v>0</v>
      </c>
      <c r="AK72" s="223">
        <v>0</v>
      </c>
      <c r="AL72" s="223">
        <v>51.428571428571423</v>
      </c>
      <c r="AM72" s="223">
        <v>56.438197726256973</v>
      </c>
      <c r="AN72" s="223">
        <v>51.909546400606139</v>
      </c>
      <c r="AO72" s="223">
        <v>56.07418591713926</v>
      </c>
      <c r="AP72" s="223">
        <v>60.385863051133846</v>
      </c>
      <c r="AQ72" s="223">
        <v>62.496337088303484</v>
      </c>
      <c r="AR72" s="223">
        <v>92.115111959091948</v>
      </c>
      <c r="AS72" s="223">
        <v>79.492440729453037</v>
      </c>
      <c r="AT72" s="223">
        <v>74.946472202062253</v>
      </c>
      <c r="AU72" s="223">
        <v>110.75771866504203</v>
      </c>
      <c r="AV72" s="223">
        <v>68.008793359702224</v>
      </c>
      <c r="AW72" s="223">
        <v>49.322037848639347</v>
      </c>
      <c r="AX72" s="223">
        <v>51.428571428571431</v>
      </c>
      <c r="AY72" s="223">
        <v>56.438197726256981</v>
      </c>
      <c r="AZ72" s="223">
        <v>51.909546400606146</v>
      </c>
      <c r="BA72" s="223">
        <v>56.074185917139268</v>
      </c>
      <c r="BB72" s="223">
        <v>60.385863051133853</v>
      </c>
      <c r="BC72" s="223">
        <v>62.496337088303491</v>
      </c>
      <c r="BD72" s="223">
        <v>92.115111959091962</v>
      </c>
    </row>
    <row r="73" spans="1:56" ht="18.75" customHeight="1">
      <c r="A73" s="1070" t="s">
        <v>1651</v>
      </c>
      <c r="B73" s="300" t="s">
        <v>651</v>
      </c>
      <c r="C73" s="194" t="s">
        <v>649</v>
      </c>
      <c r="D73" s="194" t="s">
        <v>1729</v>
      </c>
      <c r="E73" s="68" t="s">
        <v>1730</v>
      </c>
      <c r="F73" s="195"/>
      <c r="G73" s="38">
        <v>1331</v>
      </c>
      <c r="H73" s="109">
        <v>563.6746773211994</v>
      </c>
      <c r="I73" s="319"/>
      <c r="J73" s="319"/>
      <c r="K73" s="319"/>
      <c r="L73" s="320"/>
      <c r="M73" s="311"/>
      <c r="N73" s="311"/>
      <c r="O73" s="311"/>
      <c r="P73" s="311"/>
      <c r="Q73" s="298"/>
      <c r="R73" s="219"/>
      <c r="S73" s="219"/>
      <c r="T73" s="219"/>
      <c r="U73" s="219">
        <v>60</v>
      </c>
      <c r="V73" s="219">
        <v>48</v>
      </c>
      <c r="W73" s="333">
        <v>95</v>
      </c>
      <c r="X73" s="333">
        <v>75</v>
      </c>
      <c r="Y73" s="333">
        <v>30</v>
      </c>
      <c r="Z73" s="219">
        <v>57</v>
      </c>
      <c r="AA73" s="219">
        <v>120</v>
      </c>
      <c r="AB73" s="219">
        <v>113</v>
      </c>
      <c r="AC73" s="224">
        <v>43</v>
      </c>
      <c r="AD73" s="224" t="s">
        <v>21</v>
      </c>
      <c r="AE73" s="223" t="s">
        <v>21</v>
      </c>
      <c r="AF73" s="223" t="s">
        <v>21</v>
      </c>
      <c r="AG73" s="223">
        <v>0</v>
      </c>
      <c r="AH73" s="223">
        <v>0</v>
      </c>
      <c r="AI73" s="223">
        <v>0</v>
      </c>
      <c r="AJ73" s="223">
        <v>0</v>
      </c>
      <c r="AK73" s="223">
        <v>0</v>
      </c>
      <c r="AL73" s="223">
        <v>115.71428571428572</v>
      </c>
      <c r="AM73" s="223">
        <v>126.98594488407821</v>
      </c>
      <c r="AN73" s="223">
        <v>116.79647940136383</v>
      </c>
      <c r="AO73" s="223">
        <v>126.16691831356334</v>
      </c>
      <c r="AP73" s="223">
        <v>135.86819186505116</v>
      </c>
      <c r="AQ73" s="223">
        <v>140.61675844868284</v>
      </c>
      <c r="AR73" s="223">
        <v>207.2590019079569</v>
      </c>
      <c r="AS73" s="223">
        <v>178.85799164126934</v>
      </c>
      <c r="AT73" s="223">
        <v>168.62956245464008</v>
      </c>
      <c r="AU73" s="223">
        <v>249.20486699634461</v>
      </c>
      <c r="AV73" s="223">
        <v>153.01978505933002</v>
      </c>
      <c r="AW73" s="223">
        <v>110.97458515943855</v>
      </c>
      <c r="AX73" s="223">
        <v>115.71428571428572</v>
      </c>
      <c r="AY73" s="223">
        <v>126.98594488407821</v>
      </c>
      <c r="AZ73" s="223">
        <v>116.79647940136383</v>
      </c>
      <c r="BA73" s="223">
        <v>126.16691831356334</v>
      </c>
      <c r="BB73" s="223">
        <v>135.86819186505116</v>
      </c>
      <c r="BC73" s="223">
        <v>140.61675844868284</v>
      </c>
      <c r="BD73" s="223">
        <v>207.2590019079569</v>
      </c>
    </row>
    <row r="74" spans="1:56" ht="18.75" customHeight="1">
      <c r="A74" s="1070" t="s">
        <v>1651</v>
      </c>
      <c r="B74" s="300" t="s">
        <v>798</v>
      </c>
      <c r="C74" s="194" t="s">
        <v>797</v>
      </c>
      <c r="D74" s="194" t="s">
        <v>1737</v>
      </c>
      <c r="E74" s="68" t="s">
        <v>1730</v>
      </c>
      <c r="F74" s="195"/>
      <c r="G74" s="38">
        <v>0</v>
      </c>
      <c r="H74" s="109">
        <v>0</v>
      </c>
      <c r="I74" s="319"/>
      <c r="J74" s="319"/>
      <c r="K74" s="319"/>
      <c r="L74" s="320"/>
      <c r="M74" s="311"/>
      <c r="N74" s="311"/>
      <c r="O74" s="311"/>
      <c r="P74" s="311"/>
      <c r="Q74" s="298"/>
      <c r="R74" s="219"/>
      <c r="S74" s="219"/>
      <c r="T74" s="219"/>
      <c r="U74" s="219">
        <v>60</v>
      </c>
      <c r="V74" s="219">
        <v>48</v>
      </c>
      <c r="W74" s="333">
        <v>95</v>
      </c>
      <c r="X74" s="333">
        <v>75</v>
      </c>
      <c r="Y74" s="333">
        <v>30</v>
      </c>
      <c r="Z74" s="219">
        <v>57</v>
      </c>
      <c r="AA74" s="219">
        <v>120</v>
      </c>
      <c r="AB74" s="219">
        <v>113</v>
      </c>
      <c r="AC74" s="224">
        <v>43</v>
      </c>
      <c r="AD74" s="224" t="s">
        <v>21</v>
      </c>
      <c r="AE74" s="223" t="s">
        <v>21</v>
      </c>
      <c r="AF74" s="223" t="s">
        <v>21</v>
      </c>
      <c r="AG74" s="223" t="s">
        <v>21</v>
      </c>
      <c r="AH74" s="223" t="s">
        <v>21</v>
      </c>
      <c r="AI74" s="223" t="s">
        <v>21</v>
      </c>
      <c r="AJ74" s="223" t="s">
        <v>21</v>
      </c>
      <c r="AK74" s="223" t="s">
        <v>21</v>
      </c>
      <c r="AL74" s="223">
        <v>0</v>
      </c>
      <c r="AM74" s="223" t="s">
        <v>21</v>
      </c>
      <c r="AN74" s="223" t="s">
        <v>21</v>
      </c>
      <c r="AO74" s="223" t="s">
        <v>21</v>
      </c>
      <c r="AP74" s="223" t="s">
        <v>21</v>
      </c>
      <c r="AQ74" s="223" t="s">
        <v>21</v>
      </c>
      <c r="AR74" s="223" t="s">
        <v>21</v>
      </c>
      <c r="AS74" s="223" t="s">
        <v>21</v>
      </c>
      <c r="AT74" s="223" t="s">
        <v>21</v>
      </c>
      <c r="AU74" s="223" t="s">
        <v>21</v>
      </c>
      <c r="AV74" s="223" t="s">
        <v>21</v>
      </c>
      <c r="AW74" s="223" t="s">
        <v>21</v>
      </c>
      <c r="AX74" s="223" t="s">
        <v>21</v>
      </c>
      <c r="AY74" s="223" t="s">
        <v>21</v>
      </c>
      <c r="AZ74" s="223" t="s">
        <v>21</v>
      </c>
      <c r="BA74" s="223" t="s">
        <v>21</v>
      </c>
      <c r="BB74" s="223" t="s">
        <v>21</v>
      </c>
      <c r="BC74" s="223" t="s">
        <v>21</v>
      </c>
      <c r="BD74" s="223" t="s">
        <v>21</v>
      </c>
    </row>
    <row r="75" spans="1:56" ht="18.75" customHeight="1">
      <c r="A75" s="1070" t="s">
        <v>1651</v>
      </c>
      <c r="B75" s="300" t="s">
        <v>670</v>
      </c>
      <c r="C75" s="194" t="s">
        <v>668</v>
      </c>
      <c r="D75" s="194" t="s">
        <v>1731</v>
      </c>
      <c r="E75" s="68" t="s">
        <v>1730</v>
      </c>
      <c r="F75" s="195"/>
      <c r="G75" s="38">
        <v>43</v>
      </c>
      <c r="H75" s="109">
        <v>15.657629925588871</v>
      </c>
      <c r="I75" s="319"/>
      <c r="J75" s="319"/>
      <c r="K75" s="319"/>
      <c r="L75" s="320"/>
      <c r="M75" s="311"/>
      <c r="N75" s="311"/>
      <c r="O75" s="311"/>
      <c r="P75" s="311"/>
      <c r="Q75" s="298"/>
      <c r="R75" s="298"/>
      <c r="S75" s="298"/>
      <c r="T75" s="219"/>
      <c r="U75" s="219">
        <v>11</v>
      </c>
      <c r="V75" s="219">
        <v>7</v>
      </c>
      <c r="W75" s="333">
        <v>189</v>
      </c>
      <c r="X75" s="333">
        <v>101</v>
      </c>
      <c r="Y75" s="333">
        <v>23</v>
      </c>
      <c r="Z75" s="219">
        <v>24</v>
      </c>
      <c r="AA75" s="219">
        <v>25</v>
      </c>
      <c r="AB75" s="219">
        <v>22</v>
      </c>
      <c r="AC75" s="224">
        <v>39</v>
      </c>
      <c r="AD75" s="224" t="s">
        <v>21</v>
      </c>
      <c r="AE75" s="223" t="s">
        <v>21</v>
      </c>
      <c r="AF75" s="223">
        <v>34</v>
      </c>
      <c r="AG75" s="223">
        <v>68</v>
      </c>
      <c r="AH75" s="223">
        <v>49</v>
      </c>
      <c r="AI75" s="223">
        <v>116</v>
      </c>
      <c r="AJ75" s="223">
        <v>275</v>
      </c>
      <c r="AK75" s="223">
        <v>365</v>
      </c>
      <c r="AL75" s="223">
        <v>3.214285714285714</v>
      </c>
      <c r="AM75" s="223">
        <v>3.5273873578910608</v>
      </c>
      <c r="AN75" s="223">
        <v>3.2443466500378837</v>
      </c>
      <c r="AO75" s="223">
        <v>3.5046366198212038</v>
      </c>
      <c r="AP75" s="223">
        <v>3.7741164406958654</v>
      </c>
      <c r="AQ75" s="223">
        <v>3.9060210680189678</v>
      </c>
      <c r="AR75" s="223">
        <v>5.7571944974432467</v>
      </c>
      <c r="AS75" s="223">
        <v>4.9682775455908148</v>
      </c>
      <c r="AT75" s="223">
        <v>4.6841545126288908</v>
      </c>
      <c r="AU75" s="223">
        <v>6.9223574165651272</v>
      </c>
      <c r="AV75" s="223">
        <v>4.250549584981389</v>
      </c>
      <c r="AW75" s="223">
        <v>3.0826273655399592</v>
      </c>
      <c r="AX75" s="223">
        <v>3.2142857142857144</v>
      </c>
      <c r="AY75" s="223">
        <v>3.5273873578910613</v>
      </c>
      <c r="AZ75" s="223">
        <v>3.2443466500378841</v>
      </c>
      <c r="BA75" s="223">
        <v>3.5046366198212042</v>
      </c>
      <c r="BB75" s="223">
        <v>3.7741164406958658</v>
      </c>
      <c r="BC75" s="223">
        <v>3.9060210680189682</v>
      </c>
      <c r="BD75" s="223">
        <v>5.7571944974432476</v>
      </c>
    </row>
    <row r="76" spans="1:56" ht="18.75" customHeight="1">
      <c r="A76" s="1070" t="s">
        <v>1651</v>
      </c>
      <c r="B76" s="300" t="s">
        <v>683</v>
      </c>
      <c r="C76" s="194" t="s">
        <v>678</v>
      </c>
      <c r="D76" s="194" t="s">
        <v>1738</v>
      </c>
      <c r="E76" s="68" t="s">
        <v>1730</v>
      </c>
      <c r="F76" s="195"/>
      <c r="G76" s="38">
        <v>442</v>
      </c>
      <c r="H76" s="109">
        <v>36.534469826374036</v>
      </c>
      <c r="I76" s="319"/>
      <c r="J76" s="319"/>
      <c r="K76" s="319"/>
      <c r="L76" s="320"/>
      <c r="M76" s="311"/>
      <c r="N76" s="311"/>
      <c r="O76" s="311"/>
      <c r="P76" s="311"/>
      <c r="Q76" s="298"/>
      <c r="R76" s="219"/>
      <c r="S76" s="219"/>
      <c r="T76" s="219"/>
      <c r="U76" s="219">
        <v>19</v>
      </c>
      <c r="V76" s="219">
        <v>76</v>
      </c>
      <c r="W76" s="333">
        <v>158</v>
      </c>
      <c r="X76" s="333">
        <v>19</v>
      </c>
      <c r="Y76" s="333">
        <v>52</v>
      </c>
      <c r="Z76" s="219">
        <v>169</v>
      </c>
      <c r="AA76" s="219">
        <v>282</v>
      </c>
      <c r="AB76" s="219">
        <v>37</v>
      </c>
      <c r="AC76" s="224">
        <v>13</v>
      </c>
      <c r="AD76" s="224" t="s">
        <v>21</v>
      </c>
      <c r="AE76" s="223" t="s">
        <v>21</v>
      </c>
      <c r="AF76" s="223">
        <v>0</v>
      </c>
      <c r="AG76" s="223">
        <v>0</v>
      </c>
      <c r="AH76" s="223">
        <v>0</v>
      </c>
      <c r="AI76" s="223">
        <v>1</v>
      </c>
      <c r="AJ76" s="223">
        <v>3</v>
      </c>
      <c r="AK76" s="223">
        <v>0</v>
      </c>
      <c r="AL76" s="223">
        <v>7.5</v>
      </c>
      <c r="AM76" s="223">
        <v>8.2305705017458095</v>
      </c>
      <c r="AN76" s="223">
        <v>7.5701421834217291</v>
      </c>
      <c r="AO76" s="223">
        <v>8.1774854462494755</v>
      </c>
      <c r="AP76" s="223">
        <v>8.8062716949570188</v>
      </c>
      <c r="AQ76" s="223">
        <v>9.1140491587109231</v>
      </c>
      <c r="AR76" s="223">
        <v>13.433453827367574</v>
      </c>
      <c r="AS76" s="223">
        <v>11.592647606378566</v>
      </c>
      <c r="AT76" s="223">
        <v>10.929693862800743</v>
      </c>
      <c r="AU76" s="223">
        <v>16.152167305318628</v>
      </c>
      <c r="AV76" s="223">
        <v>9.9179490316232393</v>
      </c>
      <c r="AW76" s="223">
        <v>7.1927971862599041</v>
      </c>
      <c r="AX76" s="223">
        <v>7.4999999999999991</v>
      </c>
      <c r="AY76" s="223">
        <v>8.2305705017458077</v>
      </c>
      <c r="AZ76" s="223">
        <v>7.5701421834217282</v>
      </c>
      <c r="BA76" s="223">
        <v>8.1774854462494755</v>
      </c>
      <c r="BB76" s="223">
        <v>8.8062716949570188</v>
      </c>
      <c r="BC76" s="223">
        <v>9.1140491587109231</v>
      </c>
      <c r="BD76" s="223">
        <v>13.433453827367574</v>
      </c>
    </row>
    <row r="77" spans="1:56" ht="18.75" customHeight="1">
      <c r="A77" s="1070"/>
      <c r="B77" s="304" t="s">
        <v>21</v>
      </c>
      <c r="C77" s="305"/>
      <c r="D77" s="305"/>
      <c r="E77" s="108"/>
      <c r="F77" s="306"/>
      <c r="G77" s="74" t="s">
        <v>21</v>
      </c>
      <c r="H77" s="109" t="s">
        <v>21</v>
      </c>
      <c r="I77" s="268"/>
      <c r="J77" s="268"/>
      <c r="K77" s="268"/>
      <c r="L77" s="269"/>
      <c r="M77" s="180"/>
      <c r="N77" s="180"/>
      <c r="O77" s="180"/>
      <c r="P77" s="180"/>
      <c r="Q77" s="299"/>
      <c r="R77" s="224"/>
      <c r="S77" s="224"/>
      <c r="T77" s="224"/>
      <c r="U77" s="224"/>
      <c r="V77" s="224"/>
      <c r="W77" s="335"/>
      <c r="X77" s="335"/>
      <c r="Y77" s="335"/>
      <c r="Z77" s="224"/>
      <c r="AA77" s="224"/>
      <c r="AB77" s="224"/>
      <c r="AC77" s="224"/>
      <c r="AD77" s="224" t="s">
        <v>21</v>
      </c>
      <c r="AE77" s="223" t="s">
        <v>21</v>
      </c>
      <c r="AF77" s="223" t="s">
        <v>21</v>
      </c>
      <c r="AG77" s="223" t="s">
        <v>21</v>
      </c>
      <c r="AH77" s="223" t="s">
        <v>21</v>
      </c>
      <c r="AI77" s="223" t="s">
        <v>21</v>
      </c>
      <c r="AJ77" s="223" t="s">
        <v>21</v>
      </c>
      <c r="AK77" s="223" t="s">
        <v>21</v>
      </c>
      <c r="AL77" s="223" t="s">
        <v>21</v>
      </c>
      <c r="AM77" s="223" t="s">
        <v>21</v>
      </c>
      <c r="AN77" s="223" t="s">
        <v>21</v>
      </c>
      <c r="AO77" s="223" t="s">
        <v>21</v>
      </c>
      <c r="AP77" s="223" t="s">
        <v>21</v>
      </c>
      <c r="AQ77" s="223" t="s">
        <v>21</v>
      </c>
      <c r="AR77" s="223" t="s">
        <v>21</v>
      </c>
      <c r="AS77" s="223" t="s">
        <v>21</v>
      </c>
      <c r="AT77" s="223" t="s">
        <v>21</v>
      </c>
      <c r="AU77" s="223" t="s">
        <v>21</v>
      </c>
      <c r="AV77" s="223" t="s">
        <v>21</v>
      </c>
      <c r="AW77" s="223" t="s">
        <v>21</v>
      </c>
      <c r="AX77" s="223" t="s">
        <v>21</v>
      </c>
      <c r="AY77" s="223" t="s">
        <v>21</v>
      </c>
      <c r="AZ77" s="223" t="s">
        <v>21</v>
      </c>
      <c r="BA77" s="223" t="s">
        <v>21</v>
      </c>
      <c r="BB77" s="223" t="s">
        <v>21</v>
      </c>
      <c r="BC77" s="223" t="s">
        <v>21</v>
      </c>
      <c r="BD77" s="223" t="s">
        <v>21</v>
      </c>
    </row>
    <row r="78" spans="1:56" ht="18.75" customHeight="1">
      <c r="A78" s="1070" t="s">
        <v>1473</v>
      </c>
      <c r="B78" s="304" t="s">
        <v>726</v>
      </c>
      <c r="C78" s="305" t="s">
        <v>724</v>
      </c>
      <c r="D78" s="305"/>
      <c r="E78" s="108" t="s">
        <v>438</v>
      </c>
      <c r="F78" s="306"/>
      <c r="G78" s="74">
        <v>66</v>
      </c>
      <c r="H78" s="109">
        <v>1356.9945935510357</v>
      </c>
      <c r="I78" s="268"/>
      <c r="J78" s="268"/>
      <c r="K78" s="268"/>
      <c r="L78" s="269"/>
      <c r="M78" s="180"/>
      <c r="N78" s="180"/>
      <c r="O78" s="180"/>
      <c r="P78" s="180"/>
      <c r="Q78" s="299"/>
      <c r="R78" s="299"/>
      <c r="S78" s="299"/>
      <c r="T78" s="224"/>
      <c r="U78" s="224"/>
      <c r="V78" s="224"/>
      <c r="W78" s="335"/>
      <c r="X78" s="335"/>
      <c r="Y78" s="335"/>
      <c r="Z78" s="224"/>
      <c r="AA78" s="224"/>
      <c r="AB78" s="224"/>
      <c r="AC78" s="224"/>
      <c r="AD78" s="224">
        <v>52</v>
      </c>
      <c r="AE78" s="223">
        <v>14</v>
      </c>
      <c r="AF78" s="223">
        <v>46</v>
      </c>
      <c r="AG78" s="223">
        <v>168</v>
      </c>
      <c r="AH78" s="223">
        <v>224</v>
      </c>
      <c r="AI78" s="223">
        <v>39</v>
      </c>
      <c r="AJ78" s="223">
        <v>42</v>
      </c>
      <c r="AK78" s="223">
        <v>91</v>
      </c>
      <c r="AL78" s="223">
        <v>278.57142857142861</v>
      </c>
      <c r="AM78" s="223">
        <v>305.70690435055866</v>
      </c>
      <c r="AN78" s="223">
        <v>281.17670966994996</v>
      </c>
      <c r="AO78" s="223">
        <v>303.73517371783771</v>
      </c>
      <c r="AP78" s="223">
        <v>327.09009152697507</v>
      </c>
      <c r="AQ78" s="223">
        <v>338.52182589497727</v>
      </c>
      <c r="AR78" s="223">
        <v>498.95685644508148</v>
      </c>
      <c r="AS78" s="223">
        <v>430.58405395120406</v>
      </c>
      <c r="AT78" s="223">
        <v>405.96005776117062</v>
      </c>
      <c r="AU78" s="223">
        <v>599.93764276897775</v>
      </c>
      <c r="AV78" s="223">
        <v>368.3809640317204</v>
      </c>
      <c r="AW78" s="223">
        <v>267.16103834679649</v>
      </c>
      <c r="AX78" s="223">
        <v>278.57142857142861</v>
      </c>
      <c r="AY78" s="223">
        <v>305.70690435055866</v>
      </c>
      <c r="AZ78" s="223">
        <v>281.17670966994996</v>
      </c>
      <c r="BA78" s="223">
        <v>303.73517371783771</v>
      </c>
      <c r="BB78" s="223">
        <v>327.09009152697507</v>
      </c>
      <c r="BC78" s="223">
        <v>338.52182589497727</v>
      </c>
      <c r="BD78" s="223">
        <v>498.95685644508148</v>
      </c>
    </row>
    <row r="79" spans="1:56" ht="18.75" customHeight="1">
      <c r="A79" s="1097" t="s">
        <v>1473</v>
      </c>
      <c r="B79" s="304" t="s">
        <v>779</v>
      </c>
      <c r="C79" s="305" t="s">
        <v>777</v>
      </c>
      <c r="D79" s="305"/>
      <c r="E79" s="108" t="s">
        <v>438</v>
      </c>
      <c r="F79" s="306"/>
      <c r="G79" s="74">
        <v>0</v>
      </c>
      <c r="H79" s="109" t="s">
        <v>21</v>
      </c>
      <c r="I79" s="268"/>
      <c r="J79" s="268"/>
      <c r="K79" s="268"/>
      <c r="L79" s="269"/>
      <c r="M79" s="180"/>
      <c r="N79" s="180"/>
      <c r="O79" s="180"/>
      <c r="P79" s="180"/>
      <c r="Q79" s="299"/>
      <c r="R79" s="224"/>
      <c r="S79" s="224"/>
      <c r="T79" s="224"/>
      <c r="U79" s="224"/>
      <c r="V79" s="224"/>
      <c r="W79" s="335"/>
      <c r="X79" s="335"/>
      <c r="Y79" s="335"/>
      <c r="Z79" s="224"/>
      <c r="AA79" s="224"/>
      <c r="AB79" s="224"/>
      <c r="AC79" s="224"/>
      <c r="AD79" s="224">
        <v>62</v>
      </c>
      <c r="AE79" s="223">
        <v>22</v>
      </c>
      <c r="AF79" s="223">
        <v>31</v>
      </c>
      <c r="AG79" s="223">
        <v>2</v>
      </c>
      <c r="AH79" s="223">
        <v>0</v>
      </c>
      <c r="AI79" s="223" t="s">
        <v>21</v>
      </c>
      <c r="AJ79" s="223" t="s">
        <v>21</v>
      </c>
      <c r="AK79" s="223" t="s">
        <v>21</v>
      </c>
      <c r="AL79" s="223" t="s">
        <v>21</v>
      </c>
      <c r="AM79" s="223" t="s">
        <v>21</v>
      </c>
      <c r="AN79" s="223" t="s">
        <v>21</v>
      </c>
      <c r="AO79" s="223" t="s">
        <v>21</v>
      </c>
      <c r="AP79" s="223" t="s">
        <v>21</v>
      </c>
      <c r="AQ79" s="223" t="s">
        <v>21</v>
      </c>
      <c r="AR79" s="223" t="s">
        <v>21</v>
      </c>
      <c r="AS79" s="223" t="s">
        <v>21</v>
      </c>
      <c r="AT79" s="223" t="s">
        <v>21</v>
      </c>
      <c r="AU79" s="223" t="s">
        <v>21</v>
      </c>
      <c r="AV79" s="223" t="s">
        <v>21</v>
      </c>
      <c r="AW79" s="223" t="s">
        <v>21</v>
      </c>
      <c r="AX79" s="223" t="s">
        <v>21</v>
      </c>
      <c r="AY79" s="223" t="s">
        <v>21</v>
      </c>
      <c r="AZ79" s="223" t="s">
        <v>21</v>
      </c>
      <c r="BA79" s="223" t="s">
        <v>21</v>
      </c>
      <c r="BB79" s="223" t="s">
        <v>21</v>
      </c>
      <c r="BC79" s="223" t="s">
        <v>21</v>
      </c>
      <c r="BD79" s="223" t="s">
        <v>21</v>
      </c>
    </row>
    <row r="80" spans="1:56" ht="18.75" customHeight="1">
      <c r="A80" s="1061" t="s">
        <v>1473</v>
      </c>
      <c r="B80" s="26" t="s">
        <v>783</v>
      </c>
      <c r="C80" s="24" t="s">
        <v>781</v>
      </c>
      <c r="D80" s="72" t="s">
        <v>1739</v>
      </c>
      <c r="E80" s="68" t="s">
        <v>438</v>
      </c>
      <c r="F80" s="68" t="s">
        <v>20</v>
      </c>
      <c r="G80" s="355">
        <v>626</v>
      </c>
      <c r="H80" s="109">
        <v>46.972889776766621</v>
      </c>
      <c r="I80" s="311"/>
      <c r="J80" s="311"/>
      <c r="K80" s="311"/>
      <c r="L80" s="311"/>
      <c r="M80" s="38"/>
      <c r="N80" s="38"/>
      <c r="O80" s="38"/>
      <c r="P80" s="38"/>
      <c r="Q80" s="219"/>
      <c r="R80" s="219"/>
      <c r="S80" s="219"/>
      <c r="T80" s="219"/>
      <c r="U80" s="224">
        <v>128</v>
      </c>
      <c r="V80" s="237">
        <v>37</v>
      </c>
      <c r="W80" s="333">
        <v>32</v>
      </c>
      <c r="X80" s="333">
        <v>46</v>
      </c>
      <c r="Y80" s="333">
        <v>9</v>
      </c>
      <c r="Z80" s="219">
        <v>9</v>
      </c>
      <c r="AA80" s="219">
        <v>17</v>
      </c>
      <c r="AB80" s="529">
        <v>14</v>
      </c>
      <c r="AC80" s="648">
        <v>12</v>
      </c>
      <c r="AD80" s="648">
        <v>31</v>
      </c>
      <c r="AE80" s="223">
        <v>31</v>
      </c>
      <c r="AF80" s="223">
        <v>102</v>
      </c>
      <c r="AG80" s="223">
        <v>86</v>
      </c>
      <c r="AH80" s="223">
        <v>53</v>
      </c>
      <c r="AI80" s="223">
        <v>140</v>
      </c>
      <c r="AJ80" s="223">
        <v>255</v>
      </c>
      <c r="AK80" s="223">
        <v>46</v>
      </c>
      <c r="AL80" s="223">
        <v>9.6428571428571441</v>
      </c>
      <c r="AM80" s="223">
        <v>10.582162073673185</v>
      </c>
      <c r="AN80" s="223">
        <v>9.7330399501136533</v>
      </c>
      <c r="AO80" s="223">
        <v>10.513909859463613</v>
      </c>
      <c r="AP80" s="223">
        <v>11.322349322087598</v>
      </c>
      <c r="AQ80" s="223">
        <v>11.718063204056905</v>
      </c>
      <c r="AR80" s="223">
        <v>17.271583492329743</v>
      </c>
      <c r="AS80" s="223">
        <v>14.904832636772447</v>
      </c>
      <c r="AT80" s="223">
        <v>14.052463537886675</v>
      </c>
      <c r="AU80" s="223">
        <v>20.767072249695385</v>
      </c>
      <c r="AV80" s="223">
        <v>12.751648754944169</v>
      </c>
      <c r="AW80" s="223">
        <v>9.2478820966198789</v>
      </c>
      <c r="AX80" s="223">
        <v>9.6428571428571441</v>
      </c>
      <c r="AY80" s="223">
        <v>10.582162073673185</v>
      </c>
      <c r="AZ80" s="223">
        <v>9.7330399501136533</v>
      </c>
      <c r="BA80" s="223">
        <v>10.513909859463613</v>
      </c>
      <c r="BB80" s="223">
        <v>11.322349322087598</v>
      </c>
      <c r="BC80" s="223">
        <v>11.718063204056905</v>
      </c>
      <c r="BD80" s="223">
        <v>17.271583492329743</v>
      </c>
    </row>
    <row r="81" spans="1:56" ht="18.75" customHeight="1">
      <c r="A81" s="1061" t="s">
        <v>1473</v>
      </c>
      <c r="B81" s="26" t="s">
        <v>721</v>
      </c>
      <c r="C81" s="86" t="s">
        <v>718</v>
      </c>
      <c r="D81" s="72" t="s">
        <v>1459</v>
      </c>
      <c r="E81" s="68"/>
      <c r="F81" s="68"/>
      <c r="G81" s="355">
        <v>1005</v>
      </c>
      <c r="H81" s="109">
        <v>276.61812868540341</v>
      </c>
      <c r="I81" s="311"/>
      <c r="J81" s="311"/>
      <c r="K81" s="311"/>
      <c r="L81" s="311"/>
      <c r="M81" s="38"/>
      <c r="N81" s="38"/>
      <c r="O81" s="38"/>
      <c r="P81" s="38"/>
      <c r="Q81" s="219"/>
      <c r="R81" s="219"/>
      <c r="S81" s="219"/>
      <c r="T81" s="219"/>
      <c r="U81" s="224"/>
      <c r="V81" s="237"/>
      <c r="W81" s="333"/>
      <c r="X81" s="333"/>
      <c r="Y81" s="333"/>
      <c r="Z81" s="219"/>
      <c r="AA81" s="219"/>
      <c r="AB81" s="529"/>
      <c r="AC81" s="648"/>
      <c r="AD81" s="648" t="s">
        <v>21</v>
      </c>
      <c r="AE81" s="223" t="s">
        <v>21</v>
      </c>
      <c r="AF81" s="223">
        <v>0</v>
      </c>
      <c r="AG81" s="223">
        <v>0</v>
      </c>
      <c r="AH81" s="223">
        <v>0</v>
      </c>
      <c r="AI81" s="223">
        <v>9</v>
      </c>
      <c r="AJ81" s="223">
        <v>64</v>
      </c>
      <c r="AK81" s="223">
        <v>12</v>
      </c>
      <c r="AL81" s="223">
        <v>56.785714285714285</v>
      </c>
      <c r="AM81" s="223">
        <v>62.317176656075411</v>
      </c>
      <c r="AN81" s="223">
        <v>57.316790817335949</v>
      </c>
      <c r="AO81" s="223">
        <v>61.915246950174605</v>
      </c>
      <c r="AP81" s="223">
        <v>66.676057118960301</v>
      </c>
      <c r="AQ81" s="223">
        <v>69.006372201668441</v>
      </c>
      <c r="AR81" s="223">
        <v>101.71043612149737</v>
      </c>
      <c r="AS81" s="223">
        <v>87.772903305437737</v>
      </c>
      <c r="AT81" s="223">
        <v>82.75339638977708</v>
      </c>
      <c r="AU81" s="223">
        <v>122.29498102598393</v>
      </c>
      <c r="AV81" s="223">
        <v>75.093042668004543</v>
      </c>
      <c r="AW81" s="223">
        <v>54.459750124539283</v>
      </c>
      <c r="AX81" s="223">
        <v>56.785714285714292</v>
      </c>
      <c r="AY81" s="223">
        <v>62.317176656075418</v>
      </c>
      <c r="AZ81" s="223">
        <v>57.316790817335956</v>
      </c>
      <c r="BA81" s="223">
        <v>61.915246950174613</v>
      </c>
      <c r="BB81" s="223">
        <v>66.676057118960301</v>
      </c>
      <c r="BC81" s="223">
        <v>69.006372201668441</v>
      </c>
      <c r="BD81" s="223">
        <v>101.71043612149737</v>
      </c>
    </row>
    <row r="82" spans="1:56" ht="18.75" customHeight="1">
      <c r="A82" s="1061" t="s">
        <v>1473</v>
      </c>
      <c r="B82" s="26" t="s">
        <v>773</v>
      </c>
      <c r="C82" s="86" t="s">
        <v>771</v>
      </c>
      <c r="D82" s="72" t="s">
        <v>1460</v>
      </c>
      <c r="E82" s="68"/>
      <c r="F82" s="68"/>
      <c r="G82" s="355">
        <v>1246</v>
      </c>
      <c r="H82" s="109">
        <v>772.44307632905088</v>
      </c>
      <c r="I82" s="311"/>
      <c r="J82" s="311"/>
      <c r="K82" s="311"/>
      <c r="L82" s="311"/>
      <c r="M82" s="38"/>
      <c r="N82" s="38"/>
      <c r="O82" s="38"/>
      <c r="P82" s="38"/>
      <c r="Q82" s="219"/>
      <c r="R82" s="219"/>
      <c r="S82" s="219"/>
      <c r="T82" s="219"/>
      <c r="U82" s="224"/>
      <c r="V82" s="237"/>
      <c r="W82" s="333"/>
      <c r="X82" s="333"/>
      <c r="Y82" s="333"/>
      <c r="Z82" s="219"/>
      <c r="AA82" s="219"/>
      <c r="AB82" s="529"/>
      <c r="AC82" s="648"/>
      <c r="AD82" s="648" t="s">
        <v>21</v>
      </c>
      <c r="AE82" s="223" t="s">
        <v>21</v>
      </c>
      <c r="AF82" s="223">
        <v>0</v>
      </c>
      <c r="AG82" s="223">
        <v>0</v>
      </c>
      <c r="AH82" s="223">
        <v>0</v>
      </c>
      <c r="AI82" s="223">
        <v>7</v>
      </c>
      <c r="AJ82" s="223">
        <v>13</v>
      </c>
      <c r="AK82" s="223">
        <v>4</v>
      </c>
      <c r="AL82" s="223">
        <v>158.57142857142856</v>
      </c>
      <c r="AM82" s="223">
        <v>174.01777632262565</v>
      </c>
      <c r="AN82" s="223">
        <v>160.05443473520225</v>
      </c>
      <c r="AO82" s="223">
        <v>172.89540657784605</v>
      </c>
      <c r="AP82" s="223">
        <v>186.18974440766269</v>
      </c>
      <c r="AQ82" s="223">
        <v>192.69703935560239</v>
      </c>
      <c r="AR82" s="223">
        <v>284.02159520720011</v>
      </c>
      <c r="AS82" s="223">
        <v>245.10169224914682</v>
      </c>
      <c r="AT82" s="223">
        <v>231.08495595635858</v>
      </c>
      <c r="AU82" s="223">
        <v>341.50296588387954</v>
      </c>
      <c r="AV82" s="223">
        <v>209.69377952574848</v>
      </c>
      <c r="AW82" s="223">
        <v>152.07628336663797</v>
      </c>
      <c r="AX82" s="223">
        <v>158.57142857142856</v>
      </c>
      <c r="AY82" s="223">
        <v>174.01777632262565</v>
      </c>
      <c r="AZ82" s="223">
        <v>160.05443473520225</v>
      </c>
      <c r="BA82" s="223">
        <v>172.89540657784605</v>
      </c>
      <c r="BB82" s="223">
        <v>186.18974440766269</v>
      </c>
      <c r="BC82" s="223">
        <v>192.69703935560239</v>
      </c>
      <c r="BD82" s="223">
        <v>284.02159520720011</v>
      </c>
    </row>
    <row r="83" spans="1:56" ht="18.75" customHeight="1">
      <c r="A83" s="1061"/>
      <c r="B83" s="26" t="s">
        <v>21</v>
      </c>
      <c r="C83" s="56"/>
      <c r="D83" s="72" t="s">
        <v>1466</v>
      </c>
      <c r="E83" s="68"/>
      <c r="F83" s="68" t="s">
        <v>20</v>
      </c>
      <c r="G83" s="355" t="s">
        <v>21</v>
      </c>
      <c r="H83" s="109" t="s">
        <v>21</v>
      </c>
      <c r="I83" s="311"/>
      <c r="J83" s="311"/>
      <c r="K83" s="311"/>
      <c r="L83" s="311"/>
      <c r="M83" s="38"/>
      <c r="N83" s="38"/>
      <c r="O83" s="38"/>
      <c r="P83" s="38"/>
      <c r="Q83" s="219"/>
      <c r="R83" s="219"/>
      <c r="S83" s="219"/>
      <c r="T83" s="219"/>
      <c r="U83" s="224"/>
      <c r="V83" s="237"/>
      <c r="W83" s="333"/>
      <c r="X83" s="333"/>
      <c r="Y83" s="333"/>
      <c r="Z83" s="219"/>
      <c r="AA83" s="219"/>
      <c r="AB83" s="529"/>
      <c r="AC83" s="648"/>
      <c r="AD83" s="648" t="s">
        <v>21</v>
      </c>
      <c r="AE83" s="223" t="s">
        <v>21</v>
      </c>
      <c r="AF83" s="223" t="s">
        <v>21</v>
      </c>
      <c r="AG83" s="223" t="s">
        <v>21</v>
      </c>
      <c r="AH83" s="223" t="s">
        <v>21</v>
      </c>
      <c r="AI83" s="223" t="s">
        <v>21</v>
      </c>
      <c r="AJ83" s="223" t="s">
        <v>21</v>
      </c>
      <c r="AK83" s="223" t="s">
        <v>21</v>
      </c>
      <c r="AL83" s="223" t="s">
        <v>21</v>
      </c>
      <c r="AM83" s="223" t="s">
        <v>21</v>
      </c>
      <c r="AN83" s="223" t="s">
        <v>21</v>
      </c>
      <c r="AO83" s="223" t="s">
        <v>21</v>
      </c>
      <c r="AP83" s="223" t="s">
        <v>21</v>
      </c>
      <c r="AQ83" s="223" t="s">
        <v>21</v>
      </c>
      <c r="AR83" s="223" t="s">
        <v>21</v>
      </c>
      <c r="AS83" s="223" t="s">
        <v>21</v>
      </c>
      <c r="AT83" s="223" t="s">
        <v>21</v>
      </c>
      <c r="AU83" s="223" t="s">
        <v>21</v>
      </c>
      <c r="AV83" s="223" t="s">
        <v>21</v>
      </c>
      <c r="AW83" s="223" t="s">
        <v>21</v>
      </c>
      <c r="AX83" s="223" t="s">
        <v>21</v>
      </c>
      <c r="AY83" s="223" t="s">
        <v>21</v>
      </c>
      <c r="AZ83" s="223" t="s">
        <v>21</v>
      </c>
      <c r="BA83" s="223" t="s">
        <v>21</v>
      </c>
      <c r="BB83" s="223" t="s">
        <v>21</v>
      </c>
      <c r="BC83" s="223" t="s">
        <v>21</v>
      </c>
      <c r="BD83" s="223" t="s">
        <v>21</v>
      </c>
    </row>
    <row r="84" spans="1:56" ht="18.75" customHeight="1">
      <c r="A84" s="1061" t="s">
        <v>1473</v>
      </c>
      <c r="B84" s="26" t="s">
        <v>862</v>
      </c>
      <c r="C84" s="56" t="s">
        <v>860</v>
      </c>
      <c r="D84" s="72" t="s">
        <v>1472</v>
      </c>
      <c r="E84" s="68"/>
      <c r="F84" s="68" t="s">
        <v>20</v>
      </c>
      <c r="G84" s="355">
        <v>0</v>
      </c>
      <c r="H84" s="109">
        <v>0</v>
      </c>
      <c r="I84" s="311"/>
      <c r="J84" s="311"/>
      <c r="K84" s="311"/>
      <c r="L84" s="311"/>
      <c r="M84" s="38"/>
      <c r="N84" s="38"/>
      <c r="O84" s="38"/>
      <c r="P84" s="38"/>
      <c r="Q84" s="219"/>
      <c r="R84" s="219"/>
      <c r="S84" s="219"/>
      <c r="T84" s="219"/>
      <c r="U84" s="224"/>
      <c r="V84" s="237"/>
      <c r="W84" s="333"/>
      <c r="X84" s="333"/>
      <c r="Y84" s="333"/>
      <c r="Z84" s="219"/>
      <c r="AA84" s="219"/>
      <c r="AB84" s="529"/>
      <c r="AC84" s="648"/>
      <c r="AD84" s="648">
        <v>12</v>
      </c>
      <c r="AE84" s="223">
        <v>0</v>
      </c>
      <c r="AF84" s="223">
        <v>0</v>
      </c>
      <c r="AG84" s="223">
        <v>0</v>
      </c>
      <c r="AH84" s="223">
        <v>0</v>
      </c>
      <c r="AI84" s="223">
        <v>5</v>
      </c>
      <c r="AJ84" s="223">
        <v>10</v>
      </c>
      <c r="AK84" s="223">
        <v>3</v>
      </c>
      <c r="AL84" s="223">
        <v>0</v>
      </c>
      <c r="AM84" s="223" t="s">
        <v>21</v>
      </c>
      <c r="AN84" s="223" t="s">
        <v>21</v>
      </c>
      <c r="AO84" s="223" t="s">
        <v>21</v>
      </c>
      <c r="AP84" s="223" t="s">
        <v>21</v>
      </c>
      <c r="AQ84" s="223" t="s">
        <v>21</v>
      </c>
      <c r="AR84" s="223" t="s">
        <v>21</v>
      </c>
      <c r="AS84" s="223" t="s">
        <v>21</v>
      </c>
      <c r="AT84" s="223" t="s">
        <v>21</v>
      </c>
      <c r="AU84" s="223" t="s">
        <v>21</v>
      </c>
      <c r="AV84" s="223" t="s">
        <v>21</v>
      </c>
      <c r="AW84" s="223" t="s">
        <v>21</v>
      </c>
      <c r="AX84" s="223" t="s">
        <v>21</v>
      </c>
      <c r="AY84" s="223" t="s">
        <v>21</v>
      </c>
      <c r="AZ84" s="223" t="s">
        <v>21</v>
      </c>
      <c r="BA84" s="223" t="s">
        <v>21</v>
      </c>
      <c r="BB84" s="223" t="s">
        <v>21</v>
      </c>
      <c r="BC84" s="223" t="s">
        <v>21</v>
      </c>
      <c r="BD84" s="223" t="s">
        <v>21</v>
      </c>
    </row>
    <row r="85" spans="1:56" ht="18.75" customHeight="1">
      <c r="A85" s="1061" t="s">
        <v>1473</v>
      </c>
      <c r="B85" s="26" t="s">
        <v>709</v>
      </c>
      <c r="C85" s="56" t="s">
        <v>707</v>
      </c>
      <c r="D85" s="24" t="s">
        <v>1426</v>
      </c>
      <c r="E85" s="26" t="s">
        <v>438</v>
      </c>
      <c r="F85" s="26" t="s">
        <v>1725</v>
      </c>
      <c r="G85" s="43">
        <v>64</v>
      </c>
      <c r="H85" s="109">
        <v>93.945779553533242</v>
      </c>
      <c r="I85" s="311"/>
      <c r="J85" s="311"/>
      <c r="K85" s="311"/>
      <c r="L85" s="311"/>
      <c r="M85" s="311"/>
      <c r="N85" s="180"/>
      <c r="O85" s="311"/>
      <c r="P85" s="311"/>
      <c r="Q85" s="298"/>
      <c r="R85" s="298"/>
      <c r="S85" s="298"/>
      <c r="T85" s="298"/>
      <c r="U85" s="224"/>
      <c r="V85" s="237"/>
      <c r="W85" s="333">
        <v>69</v>
      </c>
      <c r="X85" s="333">
        <v>155</v>
      </c>
      <c r="Y85" s="333">
        <v>118</v>
      </c>
      <c r="Z85" s="219">
        <v>119</v>
      </c>
      <c r="AA85" s="219">
        <v>160</v>
      </c>
      <c r="AB85" s="219">
        <v>141</v>
      </c>
      <c r="AC85" s="224">
        <v>129</v>
      </c>
      <c r="AD85" s="224" t="s">
        <v>21</v>
      </c>
      <c r="AE85" s="223" t="s">
        <v>21</v>
      </c>
      <c r="AF85" s="223">
        <v>3</v>
      </c>
      <c r="AG85" s="223">
        <v>7</v>
      </c>
      <c r="AH85" s="223">
        <v>18</v>
      </c>
      <c r="AI85" s="223">
        <v>158</v>
      </c>
      <c r="AJ85" s="223">
        <v>6</v>
      </c>
      <c r="AK85" s="223">
        <v>11</v>
      </c>
      <c r="AL85" s="223">
        <v>19.285714285714288</v>
      </c>
      <c r="AM85" s="223">
        <v>21.16432414734637</v>
      </c>
      <c r="AN85" s="223">
        <v>19.466079900227307</v>
      </c>
      <c r="AO85" s="223">
        <v>21.027819718927226</v>
      </c>
      <c r="AP85" s="223">
        <v>22.644698644175197</v>
      </c>
      <c r="AQ85" s="223">
        <v>23.436126408113811</v>
      </c>
      <c r="AR85" s="223">
        <v>34.543166984659486</v>
      </c>
      <c r="AS85" s="223">
        <v>29.809665273544894</v>
      </c>
      <c r="AT85" s="223">
        <v>28.10492707577335</v>
      </c>
      <c r="AU85" s="223">
        <v>41.53414449939077</v>
      </c>
      <c r="AV85" s="223">
        <v>25.503297509888338</v>
      </c>
      <c r="AW85" s="223">
        <v>18.495764193239758</v>
      </c>
      <c r="AX85" s="223">
        <v>19.285714285714288</v>
      </c>
      <c r="AY85" s="223">
        <v>21.16432414734637</v>
      </c>
      <c r="AZ85" s="223">
        <v>19.466079900227307</v>
      </c>
      <c r="BA85" s="223">
        <v>21.027819718927226</v>
      </c>
      <c r="BB85" s="223">
        <v>22.644698644175197</v>
      </c>
      <c r="BC85" s="223">
        <v>23.436126408113811</v>
      </c>
      <c r="BD85" s="223">
        <v>34.543166984659486</v>
      </c>
    </row>
    <row r="86" spans="1:56" ht="18.75" customHeight="1">
      <c r="A86" s="1061" t="s">
        <v>1473</v>
      </c>
      <c r="B86" s="55" t="s">
        <v>765</v>
      </c>
      <c r="C86" s="56" t="s">
        <v>763</v>
      </c>
      <c r="D86" s="57" t="s">
        <v>1405</v>
      </c>
      <c r="E86" s="58" t="s">
        <v>438</v>
      </c>
      <c r="F86" s="26" t="s">
        <v>1725</v>
      </c>
      <c r="G86" s="43">
        <v>360</v>
      </c>
      <c r="H86" s="109">
        <v>99.164989528729521</v>
      </c>
      <c r="I86" s="311"/>
      <c r="J86" s="311"/>
      <c r="K86" s="311"/>
      <c r="L86" s="311"/>
      <c r="M86" s="311"/>
      <c r="N86" s="180"/>
      <c r="O86" s="311"/>
      <c r="P86" s="311"/>
      <c r="Q86" s="298"/>
      <c r="R86" s="298"/>
      <c r="S86" s="298"/>
      <c r="T86" s="219"/>
      <c r="U86" s="224"/>
      <c r="V86" s="237">
        <v>162</v>
      </c>
      <c r="W86" s="333">
        <v>912</v>
      </c>
      <c r="X86" s="333">
        <v>581</v>
      </c>
      <c r="Y86" s="333">
        <v>267</v>
      </c>
      <c r="Z86" s="219">
        <v>368</v>
      </c>
      <c r="AA86" s="219">
        <v>438</v>
      </c>
      <c r="AB86" s="219">
        <v>265</v>
      </c>
      <c r="AC86" s="224">
        <v>374</v>
      </c>
      <c r="AD86" s="224" t="s">
        <v>21</v>
      </c>
      <c r="AE86" s="223" t="s">
        <v>21</v>
      </c>
      <c r="AF86" s="223">
        <v>2</v>
      </c>
      <c r="AG86" s="223">
        <v>58</v>
      </c>
      <c r="AH86" s="223">
        <v>111</v>
      </c>
      <c r="AI86" s="223">
        <v>30</v>
      </c>
      <c r="AJ86" s="223">
        <v>9</v>
      </c>
      <c r="AK86" s="223">
        <v>13</v>
      </c>
      <c r="AL86" s="223">
        <v>20.357142857142858</v>
      </c>
      <c r="AM86" s="223">
        <v>22.340119933310053</v>
      </c>
      <c r="AN86" s="223">
        <v>20.547528783573263</v>
      </c>
      <c r="AO86" s="223">
        <v>22.196031925534289</v>
      </c>
      <c r="AP86" s="223">
        <v>23.902737457740479</v>
      </c>
      <c r="AQ86" s="223">
        <v>24.738133430786792</v>
      </c>
      <c r="AR86" s="223">
        <v>36.462231817140555</v>
      </c>
      <c r="AS86" s="223">
        <v>31.465757788741822</v>
      </c>
      <c r="AT86" s="223">
        <v>29.666311913316303</v>
      </c>
      <c r="AU86" s="223">
        <v>43.841596971579129</v>
      </c>
      <c r="AV86" s="223">
        <v>26.92014737154879</v>
      </c>
      <c r="AW86" s="223">
        <v>19.523306648419737</v>
      </c>
      <c r="AX86" s="223">
        <v>20.357142857142851</v>
      </c>
      <c r="AY86" s="223">
        <v>22.340119933310046</v>
      </c>
      <c r="AZ86" s="223">
        <v>20.547528783573259</v>
      </c>
      <c r="BA86" s="223">
        <v>22.196031925534285</v>
      </c>
      <c r="BB86" s="223">
        <v>23.902737457740475</v>
      </c>
      <c r="BC86" s="223">
        <v>24.738133430786789</v>
      </c>
      <c r="BD86" s="223">
        <v>36.462231817140555</v>
      </c>
    </row>
    <row r="87" spans="1:56" ht="18.75" customHeight="1">
      <c r="A87" s="1061" t="s">
        <v>1473</v>
      </c>
      <c r="B87" s="26" t="s">
        <v>702</v>
      </c>
      <c r="C87" s="86" t="s">
        <v>700</v>
      </c>
      <c r="D87" s="62" t="s">
        <v>1732</v>
      </c>
      <c r="E87" s="26" t="s">
        <v>438</v>
      </c>
      <c r="F87" s="26" t="s">
        <v>1725</v>
      </c>
      <c r="G87" s="43">
        <v>649</v>
      </c>
      <c r="H87" s="109">
        <v>5.2192099751962902</v>
      </c>
      <c r="I87" s="311"/>
      <c r="J87" s="311"/>
      <c r="K87" s="311"/>
      <c r="L87" s="311"/>
      <c r="M87" s="311"/>
      <c r="N87" s="180"/>
      <c r="O87" s="311"/>
      <c r="P87" s="311"/>
      <c r="Q87" s="298"/>
      <c r="R87" s="298"/>
      <c r="S87" s="298"/>
      <c r="T87" s="298"/>
      <c r="U87" s="224"/>
      <c r="V87" s="237"/>
      <c r="W87" s="333"/>
      <c r="X87" s="333"/>
      <c r="Y87" s="333" t="s">
        <v>21</v>
      </c>
      <c r="Z87" s="480"/>
      <c r="AA87" s="219" t="s">
        <v>21</v>
      </c>
      <c r="AB87" s="557"/>
      <c r="AC87" s="649"/>
      <c r="AD87" s="649" t="s">
        <v>21</v>
      </c>
      <c r="AE87" s="223" t="s">
        <v>21</v>
      </c>
      <c r="AF87" s="223">
        <v>0</v>
      </c>
      <c r="AG87" s="223">
        <v>0</v>
      </c>
      <c r="AH87" s="223">
        <v>7</v>
      </c>
      <c r="AI87" s="223">
        <v>15</v>
      </c>
      <c r="AJ87" s="223">
        <v>11</v>
      </c>
      <c r="AK87" s="223">
        <v>4</v>
      </c>
      <c r="AL87" s="223">
        <v>1.0714285714285714</v>
      </c>
      <c r="AM87" s="223">
        <v>1.1757957859636869</v>
      </c>
      <c r="AN87" s="223">
        <v>1.0814488833459612</v>
      </c>
      <c r="AO87" s="223">
        <v>1.1682122066070679</v>
      </c>
      <c r="AP87" s="223">
        <v>1.2580388135652885</v>
      </c>
      <c r="AQ87" s="223">
        <v>1.3020070226729892</v>
      </c>
      <c r="AR87" s="223">
        <v>1.9190648324810822</v>
      </c>
      <c r="AS87" s="223">
        <v>1.6560925151969381</v>
      </c>
      <c r="AT87" s="223">
        <v>1.5613848375429635</v>
      </c>
      <c r="AU87" s="223">
        <v>2.3074524721883756</v>
      </c>
      <c r="AV87" s="223">
        <v>1.4168498616604628</v>
      </c>
      <c r="AW87" s="223">
        <v>1.0275424551799863</v>
      </c>
      <c r="AX87" s="223">
        <v>1.0714285714285714</v>
      </c>
      <c r="AY87" s="223">
        <v>1.1757957859636869</v>
      </c>
      <c r="AZ87" s="223">
        <v>1.0814488833459612</v>
      </c>
      <c r="BA87" s="223">
        <v>1.1682122066070679</v>
      </c>
      <c r="BB87" s="223">
        <v>1.2580388135652885</v>
      </c>
      <c r="BC87" s="223">
        <v>1.3020070226729892</v>
      </c>
      <c r="BD87" s="223">
        <v>1.9190648324810822</v>
      </c>
    </row>
    <row r="88" spans="1:56" ht="18.75" customHeight="1">
      <c r="A88" s="1061" t="s">
        <v>1473</v>
      </c>
      <c r="B88" s="26" t="s">
        <v>758</v>
      </c>
      <c r="C88" s="86" t="s">
        <v>756</v>
      </c>
      <c r="D88" s="72" t="s">
        <v>1460</v>
      </c>
      <c r="E88" s="68"/>
      <c r="F88" s="68"/>
      <c r="G88" s="355">
        <v>1462</v>
      </c>
      <c r="H88" s="109">
        <v>396.65995811491808</v>
      </c>
      <c r="I88" s="311"/>
      <c r="J88" s="311"/>
      <c r="K88" s="311"/>
      <c r="L88" s="311"/>
      <c r="M88" s="38"/>
      <c r="N88" s="38"/>
      <c r="O88" s="38"/>
      <c r="P88" s="38"/>
      <c r="Q88" s="219"/>
      <c r="R88" s="219"/>
      <c r="S88" s="219"/>
      <c r="T88" s="219"/>
      <c r="U88" s="224"/>
      <c r="V88" s="237"/>
      <c r="W88" s="333"/>
      <c r="X88" s="333"/>
      <c r="Y88" s="333"/>
      <c r="Z88" s="219"/>
      <c r="AA88" s="219"/>
      <c r="AB88" s="529"/>
      <c r="AC88" s="648"/>
      <c r="AD88" s="648" t="s">
        <v>21</v>
      </c>
      <c r="AE88" s="223" t="s">
        <v>21</v>
      </c>
      <c r="AF88" s="223">
        <v>0</v>
      </c>
      <c r="AG88" s="223">
        <v>0</v>
      </c>
      <c r="AH88" s="223">
        <v>34</v>
      </c>
      <c r="AI88" s="223">
        <v>154</v>
      </c>
      <c r="AJ88" s="223">
        <v>495</v>
      </c>
      <c r="AK88" s="223">
        <v>46</v>
      </c>
      <c r="AL88" s="223">
        <v>81.428571428571431</v>
      </c>
      <c r="AM88" s="223">
        <v>89.360479733240211</v>
      </c>
      <c r="AN88" s="223">
        <v>82.190115134293052</v>
      </c>
      <c r="AO88" s="223">
        <v>88.784127702137155</v>
      </c>
      <c r="AP88" s="223">
        <v>95.610949830961914</v>
      </c>
      <c r="AQ88" s="223">
        <v>98.95253372314717</v>
      </c>
      <c r="AR88" s="223">
        <v>145.84892726856222</v>
      </c>
      <c r="AS88" s="223">
        <v>125.86303115496729</v>
      </c>
      <c r="AT88" s="223">
        <v>118.66524765326521</v>
      </c>
      <c r="AU88" s="223">
        <v>175.36638788631652</v>
      </c>
      <c r="AV88" s="223">
        <v>107.68058948619516</v>
      </c>
      <c r="AW88" s="223">
        <v>78.093226593678949</v>
      </c>
      <c r="AX88" s="223">
        <v>81.428571428571402</v>
      </c>
      <c r="AY88" s="223">
        <v>89.360479733240183</v>
      </c>
      <c r="AZ88" s="223">
        <v>82.190115134293038</v>
      </c>
      <c r="BA88" s="223">
        <v>88.784127702137141</v>
      </c>
      <c r="BB88" s="223">
        <v>95.6109498309619</v>
      </c>
      <c r="BC88" s="223">
        <v>98.952533723147155</v>
      </c>
      <c r="BD88" s="223">
        <v>145.84892726856222</v>
      </c>
    </row>
    <row r="89" spans="1:56" ht="18.75" customHeight="1">
      <c r="A89" s="1061" t="s">
        <v>1473</v>
      </c>
      <c r="B89" s="26" t="s">
        <v>693</v>
      </c>
      <c r="C89" s="56" t="s">
        <v>691</v>
      </c>
      <c r="D89" s="72" t="s">
        <v>1459</v>
      </c>
      <c r="E89" s="68"/>
      <c r="F89" s="68" t="s">
        <v>20</v>
      </c>
      <c r="G89" s="355">
        <v>0</v>
      </c>
      <c r="H89" s="109">
        <v>0</v>
      </c>
      <c r="I89" s="311"/>
      <c r="J89" s="311"/>
      <c r="K89" s="311"/>
      <c r="L89" s="311"/>
      <c r="M89" s="38"/>
      <c r="N89" s="38"/>
      <c r="O89" s="38"/>
      <c r="P89" s="38"/>
      <c r="Q89" s="219"/>
      <c r="R89" s="219"/>
      <c r="S89" s="219"/>
      <c r="T89" s="219"/>
      <c r="U89" s="224"/>
      <c r="V89" s="237"/>
      <c r="W89" s="333"/>
      <c r="X89" s="333"/>
      <c r="Y89" s="333"/>
      <c r="Z89" s="219"/>
      <c r="AA89" s="219"/>
      <c r="AB89" s="529"/>
      <c r="AC89" s="648"/>
      <c r="AD89" s="648">
        <v>131</v>
      </c>
      <c r="AE89" s="223">
        <v>116</v>
      </c>
      <c r="AF89" s="223">
        <v>74</v>
      </c>
      <c r="AG89" s="223">
        <v>94</v>
      </c>
      <c r="AH89" s="223">
        <v>108</v>
      </c>
      <c r="AI89" s="223">
        <v>117</v>
      </c>
      <c r="AJ89" s="223">
        <v>11</v>
      </c>
      <c r="AK89" s="223">
        <v>0</v>
      </c>
      <c r="AL89" s="223">
        <v>0</v>
      </c>
      <c r="AM89" s="223" t="s">
        <v>21</v>
      </c>
      <c r="AN89" s="223" t="s">
        <v>21</v>
      </c>
      <c r="AO89" s="223" t="s">
        <v>21</v>
      </c>
      <c r="AP89" s="223" t="s">
        <v>21</v>
      </c>
      <c r="AQ89" s="223" t="s">
        <v>21</v>
      </c>
      <c r="AR89" s="223" t="s">
        <v>21</v>
      </c>
      <c r="AS89" s="223" t="s">
        <v>21</v>
      </c>
      <c r="AT89" s="223" t="s">
        <v>21</v>
      </c>
      <c r="AU89" s="223" t="s">
        <v>21</v>
      </c>
      <c r="AV89" s="223" t="s">
        <v>21</v>
      </c>
      <c r="AW89" s="223" t="s">
        <v>21</v>
      </c>
      <c r="AX89" s="223" t="s">
        <v>21</v>
      </c>
      <c r="AY89" s="223" t="s">
        <v>21</v>
      </c>
      <c r="AZ89" s="223" t="s">
        <v>21</v>
      </c>
      <c r="BA89" s="223" t="s">
        <v>21</v>
      </c>
      <c r="BB89" s="223" t="s">
        <v>21</v>
      </c>
      <c r="BC89" s="223" t="s">
        <v>21</v>
      </c>
      <c r="BD89" s="223" t="s">
        <v>21</v>
      </c>
    </row>
    <row r="90" spans="1:56" ht="18.75" customHeight="1">
      <c r="A90" s="1061" t="s">
        <v>1473</v>
      </c>
      <c r="B90" s="26" t="s">
        <v>688</v>
      </c>
      <c r="C90" s="56" t="s">
        <v>685</v>
      </c>
      <c r="D90" s="72" t="s">
        <v>1460</v>
      </c>
      <c r="E90" s="68"/>
      <c r="F90" s="68" t="s">
        <v>20</v>
      </c>
      <c r="G90" s="355">
        <v>169</v>
      </c>
      <c r="H90" s="109">
        <v>292.27575861099228</v>
      </c>
      <c r="I90" s="311"/>
      <c r="J90" s="311"/>
      <c r="K90" s="311"/>
      <c r="L90" s="311"/>
      <c r="M90" s="38"/>
      <c r="N90" s="38"/>
      <c r="O90" s="38"/>
      <c r="P90" s="38"/>
      <c r="Q90" s="219"/>
      <c r="R90" s="219"/>
      <c r="S90" s="219"/>
      <c r="T90" s="219"/>
      <c r="U90" s="224"/>
      <c r="V90" s="237"/>
      <c r="W90" s="333"/>
      <c r="X90" s="333"/>
      <c r="Y90" s="333"/>
      <c r="Z90" s="219"/>
      <c r="AA90" s="219"/>
      <c r="AB90" s="529"/>
      <c r="AC90" s="648"/>
      <c r="AD90" s="648" t="s">
        <v>21</v>
      </c>
      <c r="AE90" s="223" t="s">
        <v>21</v>
      </c>
      <c r="AF90" s="223">
        <v>0</v>
      </c>
      <c r="AG90" s="223">
        <v>0</v>
      </c>
      <c r="AH90" s="223">
        <v>0</v>
      </c>
      <c r="AI90" s="223">
        <v>7</v>
      </c>
      <c r="AJ90" s="223">
        <v>34</v>
      </c>
      <c r="AK90" s="223">
        <v>12</v>
      </c>
      <c r="AL90" s="223">
        <v>60</v>
      </c>
      <c r="AM90" s="223">
        <v>65.844564013966476</v>
      </c>
      <c r="AN90" s="223">
        <v>60.561137467373833</v>
      </c>
      <c r="AO90" s="223">
        <v>65.419883569995804</v>
      </c>
      <c r="AP90" s="223">
        <v>70.45017355965615</v>
      </c>
      <c r="AQ90" s="223">
        <v>72.912393269687385</v>
      </c>
      <c r="AR90" s="223">
        <v>107.46763061894059</v>
      </c>
      <c r="AS90" s="223">
        <v>92.741180851028531</v>
      </c>
      <c r="AT90" s="223">
        <v>87.437550902405945</v>
      </c>
      <c r="AU90" s="223">
        <v>129.21733844254902</v>
      </c>
      <c r="AV90" s="223">
        <v>79.343592252985914</v>
      </c>
      <c r="AW90" s="223">
        <v>57.542377490079232</v>
      </c>
      <c r="AX90" s="223">
        <v>59.999999999999993</v>
      </c>
      <c r="AY90" s="223">
        <v>65.844564013966462</v>
      </c>
      <c r="AZ90" s="223">
        <v>60.561137467373825</v>
      </c>
      <c r="BA90" s="223">
        <v>65.419883569995804</v>
      </c>
      <c r="BB90" s="223">
        <v>70.45017355965615</v>
      </c>
      <c r="BC90" s="223">
        <v>72.912393269687385</v>
      </c>
      <c r="BD90" s="223">
        <v>107.46763061894059</v>
      </c>
    </row>
    <row r="91" spans="1:56" ht="18.75" customHeight="1">
      <c r="A91" s="1061"/>
      <c r="B91" s="26" t="s">
        <v>21</v>
      </c>
      <c r="C91" s="56"/>
      <c r="D91" s="72" t="s">
        <v>1466</v>
      </c>
      <c r="E91" s="68"/>
      <c r="F91" s="68" t="s">
        <v>20</v>
      </c>
      <c r="G91" s="355" t="s">
        <v>21</v>
      </c>
      <c r="H91" s="109" t="s">
        <v>21</v>
      </c>
      <c r="I91" s="311"/>
      <c r="J91" s="311"/>
      <c r="K91" s="311"/>
      <c r="L91" s="311"/>
      <c r="M91" s="38"/>
      <c r="N91" s="38"/>
      <c r="O91" s="38"/>
      <c r="P91" s="38"/>
      <c r="Q91" s="219"/>
      <c r="R91" s="219"/>
      <c r="S91" s="219"/>
      <c r="T91" s="219"/>
      <c r="U91" s="224"/>
      <c r="V91" s="237"/>
      <c r="W91" s="333"/>
      <c r="X91" s="333"/>
      <c r="Y91" s="333"/>
      <c r="Z91" s="219"/>
      <c r="AA91" s="219"/>
      <c r="AB91" s="529"/>
      <c r="AC91" s="648"/>
      <c r="AD91" s="648" t="s">
        <v>21</v>
      </c>
      <c r="AE91" s="223" t="s">
        <v>21</v>
      </c>
      <c r="AF91" s="223" t="s">
        <v>21</v>
      </c>
      <c r="AG91" s="223" t="s">
        <v>21</v>
      </c>
      <c r="AH91" s="223" t="s">
        <v>21</v>
      </c>
      <c r="AI91" s="223" t="s">
        <v>21</v>
      </c>
      <c r="AJ91" s="223" t="s">
        <v>21</v>
      </c>
      <c r="AK91" s="223" t="s">
        <v>21</v>
      </c>
      <c r="AL91" s="223" t="s">
        <v>21</v>
      </c>
      <c r="AM91" s="223" t="s">
        <v>21</v>
      </c>
      <c r="AN91" s="223" t="s">
        <v>21</v>
      </c>
      <c r="AO91" s="223" t="s">
        <v>21</v>
      </c>
      <c r="AP91" s="223" t="s">
        <v>21</v>
      </c>
      <c r="AQ91" s="223" t="s">
        <v>21</v>
      </c>
      <c r="AR91" s="223" t="s">
        <v>21</v>
      </c>
      <c r="AS91" s="223" t="s">
        <v>21</v>
      </c>
      <c r="AT91" s="223" t="s">
        <v>21</v>
      </c>
      <c r="AU91" s="223" t="s">
        <v>21</v>
      </c>
      <c r="AV91" s="223" t="s">
        <v>21</v>
      </c>
      <c r="AW91" s="223" t="s">
        <v>21</v>
      </c>
      <c r="AX91" s="223" t="s">
        <v>21</v>
      </c>
      <c r="AY91" s="223" t="s">
        <v>21</v>
      </c>
      <c r="AZ91" s="223" t="s">
        <v>21</v>
      </c>
      <c r="BA91" s="223" t="s">
        <v>21</v>
      </c>
      <c r="BB91" s="223" t="s">
        <v>21</v>
      </c>
      <c r="BC91" s="223" t="s">
        <v>21</v>
      </c>
      <c r="BD91" s="223" t="s">
        <v>21</v>
      </c>
    </row>
    <row r="92" spans="1:56" ht="18.75" customHeight="1">
      <c r="A92" s="1061" t="s">
        <v>1473</v>
      </c>
      <c r="B92" s="26" t="s">
        <v>748</v>
      </c>
      <c r="C92" s="56" t="s">
        <v>746</v>
      </c>
      <c r="D92" s="72" t="s">
        <v>1472</v>
      </c>
      <c r="E92" s="68"/>
      <c r="F92" s="68" t="s">
        <v>20</v>
      </c>
      <c r="G92" s="355">
        <v>16</v>
      </c>
      <c r="H92" s="109">
        <v>0</v>
      </c>
      <c r="I92" s="311"/>
      <c r="J92" s="311"/>
      <c r="K92" s="311"/>
      <c r="L92" s="311"/>
      <c r="M92" s="38"/>
      <c r="N92" s="38"/>
      <c r="O92" s="38"/>
      <c r="P92" s="38"/>
      <c r="Q92" s="219"/>
      <c r="R92" s="219"/>
      <c r="S92" s="219"/>
      <c r="T92" s="219"/>
      <c r="U92" s="224"/>
      <c r="V92" s="237"/>
      <c r="W92" s="333"/>
      <c r="X92" s="333"/>
      <c r="Y92" s="333"/>
      <c r="Z92" s="219"/>
      <c r="AA92" s="219"/>
      <c r="AB92" s="529"/>
      <c r="AC92" s="648"/>
      <c r="AD92" s="648">
        <v>829</v>
      </c>
      <c r="AE92" s="223">
        <v>372</v>
      </c>
      <c r="AF92" s="223">
        <v>441</v>
      </c>
      <c r="AG92" s="223">
        <v>180</v>
      </c>
      <c r="AH92" s="223">
        <v>54</v>
      </c>
      <c r="AI92" s="223">
        <v>30</v>
      </c>
      <c r="AJ92" s="223">
        <v>0</v>
      </c>
      <c r="AK92" s="223">
        <v>0</v>
      </c>
      <c r="AL92" s="223">
        <v>0</v>
      </c>
      <c r="AM92" s="223" t="s">
        <v>21</v>
      </c>
      <c r="AN92" s="223" t="s">
        <v>21</v>
      </c>
      <c r="AO92" s="223" t="s">
        <v>21</v>
      </c>
      <c r="AP92" s="223" t="s">
        <v>21</v>
      </c>
      <c r="AQ92" s="223" t="s">
        <v>21</v>
      </c>
      <c r="AR92" s="223" t="s">
        <v>21</v>
      </c>
      <c r="AS92" s="223" t="s">
        <v>21</v>
      </c>
      <c r="AT92" s="223" t="s">
        <v>21</v>
      </c>
      <c r="AU92" s="223" t="s">
        <v>21</v>
      </c>
      <c r="AV92" s="223" t="s">
        <v>21</v>
      </c>
      <c r="AW92" s="223" t="s">
        <v>21</v>
      </c>
      <c r="AX92" s="223" t="s">
        <v>21</v>
      </c>
      <c r="AY92" s="223" t="s">
        <v>21</v>
      </c>
      <c r="AZ92" s="223" t="s">
        <v>21</v>
      </c>
      <c r="BA92" s="223" t="s">
        <v>21</v>
      </c>
      <c r="BB92" s="223" t="s">
        <v>21</v>
      </c>
      <c r="BC92" s="223" t="s">
        <v>21</v>
      </c>
      <c r="BD92" s="223" t="s">
        <v>21</v>
      </c>
    </row>
    <row r="93" spans="1:56" ht="18.75" customHeight="1">
      <c r="A93" s="1061" t="s">
        <v>1473</v>
      </c>
      <c r="B93" s="26" t="s">
        <v>741</v>
      </c>
      <c r="C93" s="56" t="s">
        <v>739</v>
      </c>
      <c r="D93" s="24" t="s">
        <v>1426</v>
      </c>
      <c r="E93" s="26" t="s">
        <v>438</v>
      </c>
      <c r="F93" s="26" t="s">
        <v>1725</v>
      </c>
      <c r="G93" s="43">
        <v>0</v>
      </c>
      <c r="H93" s="109">
        <v>5.2192099751962902</v>
      </c>
      <c r="I93" s="311"/>
      <c r="J93" s="311"/>
      <c r="K93" s="311"/>
      <c r="L93" s="311"/>
      <c r="M93" s="311"/>
      <c r="N93" s="180"/>
      <c r="O93" s="311"/>
      <c r="P93" s="311"/>
      <c r="Q93" s="298"/>
      <c r="R93" s="298"/>
      <c r="S93" s="298"/>
      <c r="T93" s="298"/>
      <c r="U93" s="224"/>
      <c r="V93" s="237"/>
      <c r="W93" s="333">
        <v>69</v>
      </c>
      <c r="X93" s="333">
        <v>155</v>
      </c>
      <c r="Y93" s="333">
        <v>118</v>
      </c>
      <c r="Z93" s="219">
        <v>119</v>
      </c>
      <c r="AA93" s="219">
        <v>160</v>
      </c>
      <c r="AB93" s="219">
        <v>141</v>
      </c>
      <c r="AC93" s="224">
        <v>129</v>
      </c>
      <c r="AD93" s="224">
        <v>0</v>
      </c>
      <c r="AE93" s="223">
        <v>123</v>
      </c>
      <c r="AF93" s="223">
        <v>73</v>
      </c>
      <c r="AG93" s="223">
        <v>80</v>
      </c>
      <c r="AH93" s="223">
        <v>94</v>
      </c>
      <c r="AI93" s="223">
        <v>373</v>
      </c>
      <c r="AJ93" s="223">
        <v>202</v>
      </c>
      <c r="AK93" s="223">
        <v>59</v>
      </c>
      <c r="AL93" s="223">
        <v>1.0714285714285714</v>
      </c>
      <c r="AM93" s="223">
        <v>1.1757957859636869</v>
      </c>
      <c r="AN93" s="223">
        <v>1.0814488833459612</v>
      </c>
      <c r="AO93" s="223">
        <v>1.1682122066070679</v>
      </c>
      <c r="AP93" s="223">
        <v>1.2580388135652885</v>
      </c>
      <c r="AQ93" s="223">
        <v>1.3020070226729892</v>
      </c>
      <c r="AR93" s="223">
        <v>1.9190648324810822</v>
      </c>
      <c r="AS93" s="223">
        <v>1.6560925151969381</v>
      </c>
      <c r="AT93" s="223">
        <v>1.5613848375429635</v>
      </c>
      <c r="AU93" s="223">
        <v>2.3074524721883756</v>
      </c>
      <c r="AV93" s="223">
        <v>1.4168498616604628</v>
      </c>
      <c r="AW93" s="223">
        <v>1.0275424551799863</v>
      </c>
      <c r="AX93" s="223">
        <v>1.0714285714285714</v>
      </c>
      <c r="AY93" s="223">
        <v>1.1757957859636869</v>
      </c>
      <c r="AZ93" s="223">
        <v>1.0814488833459612</v>
      </c>
      <c r="BA93" s="223">
        <v>1.1682122066070679</v>
      </c>
      <c r="BB93" s="223">
        <v>1.2580388135652885</v>
      </c>
      <c r="BC93" s="223">
        <v>1.3020070226729892</v>
      </c>
      <c r="BD93" s="223">
        <v>1.9190648324810822</v>
      </c>
    </row>
    <row r="94" spans="1:56" ht="18.75" customHeight="1">
      <c r="A94" s="1061" t="s">
        <v>1473</v>
      </c>
      <c r="B94" s="55" t="s">
        <v>735</v>
      </c>
      <c r="C94" s="56" t="s">
        <v>733</v>
      </c>
      <c r="D94" s="57" t="s">
        <v>1405</v>
      </c>
      <c r="E94" s="58" t="s">
        <v>438</v>
      </c>
      <c r="F94" s="26" t="s">
        <v>1725</v>
      </c>
      <c r="G94" s="43">
        <v>288</v>
      </c>
      <c r="H94" s="109">
        <v>621.08598704835856</v>
      </c>
      <c r="I94" s="311"/>
      <c r="J94" s="311"/>
      <c r="K94" s="311"/>
      <c r="L94" s="311"/>
      <c r="M94" s="311"/>
      <c r="N94" s="180"/>
      <c r="O94" s="311"/>
      <c r="P94" s="311"/>
      <c r="Q94" s="298"/>
      <c r="R94" s="298"/>
      <c r="S94" s="298"/>
      <c r="T94" s="219"/>
      <c r="U94" s="224"/>
      <c r="V94" s="237">
        <v>162</v>
      </c>
      <c r="W94" s="333">
        <v>912</v>
      </c>
      <c r="X94" s="333">
        <v>581</v>
      </c>
      <c r="Y94" s="333">
        <v>267</v>
      </c>
      <c r="Z94" s="219">
        <v>368</v>
      </c>
      <c r="AA94" s="219">
        <v>438</v>
      </c>
      <c r="AB94" s="219">
        <v>265</v>
      </c>
      <c r="AC94" s="224">
        <v>374</v>
      </c>
      <c r="AD94" s="224" t="s">
        <v>21</v>
      </c>
      <c r="AE94" s="223" t="s">
        <v>21</v>
      </c>
      <c r="AF94" s="223">
        <v>0</v>
      </c>
      <c r="AG94" s="223">
        <v>0</v>
      </c>
      <c r="AH94" s="223">
        <v>0</v>
      </c>
      <c r="AI94" s="223">
        <v>0</v>
      </c>
      <c r="AJ94" s="223">
        <v>2</v>
      </c>
      <c r="AK94" s="223">
        <v>16</v>
      </c>
      <c r="AL94" s="223">
        <v>127.5</v>
      </c>
      <c r="AM94" s="223">
        <v>139.91969852967875</v>
      </c>
      <c r="AN94" s="223">
        <v>128.6924171181694</v>
      </c>
      <c r="AO94" s="223">
        <v>139.01725258624109</v>
      </c>
      <c r="AP94" s="223">
        <v>149.70661881426932</v>
      </c>
      <c r="AQ94" s="223">
        <v>154.93883569808571</v>
      </c>
      <c r="AR94" s="223">
        <v>228.36871506524878</v>
      </c>
      <c r="AS94" s="223">
        <v>197.07500930843565</v>
      </c>
      <c r="AT94" s="223">
        <v>185.80479566761267</v>
      </c>
      <c r="AU94" s="223">
        <v>274.58684419041668</v>
      </c>
      <c r="AV94" s="223">
        <v>168.60513353759507</v>
      </c>
      <c r="AW94" s="223">
        <v>122.27755216641836</v>
      </c>
      <c r="AX94" s="223">
        <v>127.49999999999997</v>
      </c>
      <c r="AY94" s="223">
        <v>139.91969852967873</v>
      </c>
      <c r="AZ94" s="223">
        <v>128.69241711816937</v>
      </c>
      <c r="BA94" s="223">
        <v>139.01725258624106</v>
      </c>
      <c r="BB94" s="223">
        <v>149.70661881426929</v>
      </c>
      <c r="BC94" s="223">
        <v>154.93883569808568</v>
      </c>
      <c r="BD94" s="223">
        <v>228.36871506524872</v>
      </c>
    </row>
    <row r="95" spans="1:56" ht="18.75" customHeight="1">
      <c r="A95" s="1061" t="s">
        <v>1473</v>
      </c>
      <c r="B95" s="26" t="s">
        <v>841</v>
      </c>
      <c r="C95" s="86" t="s">
        <v>839</v>
      </c>
      <c r="D95" s="62" t="s">
        <v>1732</v>
      </c>
      <c r="E95" s="26" t="s">
        <v>438</v>
      </c>
      <c r="F95" s="26" t="s">
        <v>1725</v>
      </c>
      <c r="G95" s="43">
        <v>682</v>
      </c>
      <c r="H95" s="109">
        <v>949.89621548572495</v>
      </c>
      <c r="I95" s="311"/>
      <c r="J95" s="311"/>
      <c r="K95" s="311"/>
      <c r="L95" s="311"/>
      <c r="M95" s="311"/>
      <c r="N95" s="180"/>
      <c r="O95" s="311"/>
      <c r="P95" s="311"/>
      <c r="Q95" s="298"/>
      <c r="R95" s="298"/>
      <c r="S95" s="298"/>
      <c r="T95" s="298"/>
      <c r="U95" s="224"/>
      <c r="V95" s="237"/>
      <c r="W95" s="333"/>
      <c r="X95" s="333"/>
      <c r="Y95" s="333" t="s">
        <v>21</v>
      </c>
      <c r="Z95" s="480"/>
      <c r="AA95" s="219" t="s">
        <v>21</v>
      </c>
      <c r="AB95" s="557"/>
      <c r="AC95" s="649"/>
      <c r="AD95" s="649">
        <v>0</v>
      </c>
      <c r="AE95" s="223">
        <v>64</v>
      </c>
      <c r="AF95" s="223">
        <v>216</v>
      </c>
      <c r="AG95" s="223">
        <v>185</v>
      </c>
      <c r="AH95" s="223">
        <v>200</v>
      </c>
      <c r="AI95" s="223">
        <v>302</v>
      </c>
      <c r="AJ95" s="223">
        <v>203</v>
      </c>
      <c r="AK95" s="223">
        <v>244</v>
      </c>
      <c r="AL95" s="223">
        <v>195</v>
      </c>
      <c r="AM95" s="223">
        <v>213.99483304539103</v>
      </c>
      <c r="AN95" s="223">
        <v>196.82369676896496</v>
      </c>
      <c r="AO95" s="223">
        <v>212.61462160248638</v>
      </c>
      <c r="AP95" s="223">
        <v>228.96306406888252</v>
      </c>
      <c r="AQ95" s="223">
        <v>236.96527812648404</v>
      </c>
      <c r="AR95" s="223">
        <v>349.26979951155693</v>
      </c>
      <c r="AS95" s="223">
        <v>301.40883776584275</v>
      </c>
      <c r="AT95" s="223">
        <v>284.17204043281936</v>
      </c>
      <c r="AU95" s="223">
        <v>419.95634993828435</v>
      </c>
      <c r="AV95" s="223">
        <v>257.86667482220423</v>
      </c>
      <c r="AW95" s="223">
        <v>187.0127268427575</v>
      </c>
      <c r="AX95" s="223">
        <v>194.99999999999997</v>
      </c>
      <c r="AY95" s="223">
        <v>213.994833045391</v>
      </c>
      <c r="AZ95" s="223">
        <v>196.82369676896494</v>
      </c>
      <c r="BA95" s="223">
        <v>212.61462160248635</v>
      </c>
      <c r="BB95" s="223">
        <v>228.96306406888249</v>
      </c>
      <c r="BC95" s="223">
        <v>236.96527812648401</v>
      </c>
      <c r="BD95" s="223">
        <v>349.26979951155693</v>
      </c>
    </row>
    <row r="96" spans="1:56" ht="18.75" customHeight="1">
      <c r="A96" s="1061"/>
      <c r="B96" s="55" t="s">
        <v>21</v>
      </c>
      <c r="C96" s="56"/>
      <c r="D96" s="57" t="s">
        <v>1405</v>
      </c>
      <c r="E96" s="58" t="s">
        <v>438</v>
      </c>
      <c r="F96" s="26" t="s">
        <v>1725</v>
      </c>
      <c r="G96" s="43" t="s">
        <v>21</v>
      </c>
      <c r="H96" s="109" t="s">
        <v>21</v>
      </c>
      <c r="I96" s="311"/>
      <c r="J96" s="311"/>
      <c r="K96" s="311"/>
      <c r="L96" s="311"/>
      <c r="M96" s="311"/>
      <c r="N96" s="180"/>
      <c r="O96" s="311"/>
      <c r="P96" s="311"/>
      <c r="Q96" s="298"/>
      <c r="R96" s="298"/>
      <c r="S96" s="298"/>
      <c r="T96" s="219"/>
      <c r="U96" s="224"/>
      <c r="V96" s="237">
        <v>162</v>
      </c>
      <c r="W96" s="333">
        <v>912</v>
      </c>
      <c r="X96" s="333">
        <v>581</v>
      </c>
      <c r="Y96" s="333">
        <v>267</v>
      </c>
      <c r="Z96" s="219">
        <v>368</v>
      </c>
      <c r="AA96" s="219">
        <v>438</v>
      </c>
      <c r="AB96" s="219">
        <v>265</v>
      </c>
      <c r="AC96" s="224">
        <v>374</v>
      </c>
      <c r="AD96" s="224" t="s">
        <v>21</v>
      </c>
      <c r="AE96" s="223" t="s">
        <v>21</v>
      </c>
      <c r="AF96" s="223" t="s">
        <v>21</v>
      </c>
      <c r="AG96" s="223" t="s">
        <v>21</v>
      </c>
      <c r="AH96" s="223" t="s">
        <v>21</v>
      </c>
      <c r="AI96" s="223" t="s">
        <v>21</v>
      </c>
      <c r="AJ96" s="223" t="s">
        <v>21</v>
      </c>
      <c r="AK96" s="223" t="s">
        <v>21</v>
      </c>
      <c r="AL96" s="223" t="s">
        <v>21</v>
      </c>
      <c r="AM96" s="223" t="s">
        <v>21</v>
      </c>
      <c r="AN96" s="223" t="s">
        <v>21</v>
      </c>
      <c r="AO96" s="223" t="s">
        <v>21</v>
      </c>
      <c r="AP96" s="223" t="s">
        <v>21</v>
      </c>
      <c r="AQ96" s="223" t="s">
        <v>21</v>
      </c>
      <c r="AR96" s="223" t="s">
        <v>21</v>
      </c>
      <c r="AS96" s="223" t="s">
        <v>21</v>
      </c>
      <c r="AT96" s="223" t="s">
        <v>21</v>
      </c>
      <c r="AU96" s="223" t="s">
        <v>21</v>
      </c>
      <c r="AV96" s="223" t="s">
        <v>21</v>
      </c>
      <c r="AW96" s="223" t="s">
        <v>21</v>
      </c>
      <c r="AX96" s="223" t="s">
        <v>21</v>
      </c>
      <c r="AY96" s="223" t="s">
        <v>21</v>
      </c>
      <c r="AZ96" s="223" t="s">
        <v>21</v>
      </c>
      <c r="BA96" s="223" t="s">
        <v>21</v>
      </c>
      <c r="BB96" s="223" t="s">
        <v>21</v>
      </c>
      <c r="BC96" s="223" t="s">
        <v>21</v>
      </c>
      <c r="BD96" s="223" t="s">
        <v>21</v>
      </c>
    </row>
    <row r="97" spans="1:56" ht="18.75" customHeight="1">
      <c r="A97" s="1061" t="s">
        <v>1473</v>
      </c>
      <c r="B97" s="26" t="s">
        <v>811</v>
      </c>
      <c r="C97" s="86" t="s">
        <v>809</v>
      </c>
      <c r="D97" s="62" t="s">
        <v>1732</v>
      </c>
      <c r="E97" s="26" t="s">
        <v>438</v>
      </c>
      <c r="F97" s="26" t="s">
        <v>1725</v>
      </c>
      <c r="G97" s="43">
        <v>410</v>
      </c>
      <c r="H97" s="109">
        <v>0</v>
      </c>
      <c r="I97" s="311"/>
      <c r="J97" s="311"/>
      <c r="K97" s="311"/>
      <c r="L97" s="311"/>
      <c r="M97" s="311"/>
      <c r="N97" s="180"/>
      <c r="O97" s="311"/>
      <c r="P97" s="311"/>
      <c r="Q97" s="298"/>
      <c r="R97" s="298"/>
      <c r="S97" s="298"/>
      <c r="T97" s="298"/>
      <c r="U97" s="224"/>
      <c r="V97" s="237"/>
      <c r="W97" s="333"/>
      <c r="X97" s="333"/>
      <c r="Y97" s="333" t="s">
        <v>21</v>
      </c>
      <c r="Z97" s="480"/>
      <c r="AA97" s="219" t="s">
        <v>21</v>
      </c>
      <c r="AB97" s="557"/>
      <c r="AC97" s="649"/>
      <c r="AD97" s="649" t="s">
        <v>21</v>
      </c>
      <c r="AE97" s="223" t="s">
        <v>21</v>
      </c>
      <c r="AF97" s="223" t="s">
        <v>21</v>
      </c>
      <c r="AG97" s="223" t="s">
        <v>21</v>
      </c>
      <c r="AH97" s="223">
        <v>0</v>
      </c>
      <c r="AI97" s="223">
        <v>0</v>
      </c>
      <c r="AJ97" s="223">
        <v>0</v>
      </c>
      <c r="AK97" s="223">
        <v>0</v>
      </c>
      <c r="AL97" s="223">
        <v>0</v>
      </c>
      <c r="AM97" s="223" t="s">
        <v>21</v>
      </c>
      <c r="AN97" s="223" t="s">
        <v>21</v>
      </c>
      <c r="AO97" s="223" t="s">
        <v>21</v>
      </c>
      <c r="AP97" s="223" t="s">
        <v>21</v>
      </c>
      <c r="AQ97" s="223" t="s">
        <v>21</v>
      </c>
      <c r="AR97" s="223" t="s">
        <v>21</v>
      </c>
      <c r="AS97" s="223" t="s">
        <v>21</v>
      </c>
      <c r="AT97" s="223" t="s">
        <v>21</v>
      </c>
      <c r="AU97" s="223" t="s">
        <v>21</v>
      </c>
      <c r="AV97" s="223" t="s">
        <v>21</v>
      </c>
      <c r="AW97" s="223" t="s">
        <v>21</v>
      </c>
      <c r="AX97" s="223" t="s">
        <v>21</v>
      </c>
      <c r="AY97" s="223" t="s">
        <v>21</v>
      </c>
      <c r="AZ97" s="223" t="s">
        <v>21</v>
      </c>
      <c r="BA97" s="223" t="s">
        <v>21</v>
      </c>
      <c r="BB97" s="223" t="s">
        <v>21</v>
      </c>
      <c r="BC97" s="223" t="s">
        <v>21</v>
      </c>
      <c r="BD97" s="223" t="s">
        <v>21</v>
      </c>
    </row>
    <row r="98" spans="1:56" ht="18.75" customHeight="1">
      <c r="A98" s="1061" t="s">
        <v>1473</v>
      </c>
      <c r="B98" s="26" t="s">
        <v>807</v>
      </c>
      <c r="C98" s="86" t="s">
        <v>805</v>
      </c>
      <c r="D98" s="72" t="s">
        <v>1460</v>
      </c>
      <c r="E98" s="68"/>
      <c r="F98" s="68"/>
      <c r="G98" s="355">
        <v>166</v>
      </c>
      <c r="H98" s="109">
        <v>0</v>
      </c>
      <c r="I98" s="311"/>
      <c r="J98" s="311"/>
      <c r="K98" s="311"/>
      <c r="L98" s="311"/>
      <c r="M98" s="38"/>
      <c r="N98" s="38"/>
      <c r="O98" s="38"/>
      <c r="P98" s="38"/>
      <c r="Q98" s="219"/>
      <c r="R98" s="219"/>
      <c r="S98" s="219"/>
      <c r="T98" s="219"/>
      <c r="U98" s="224"/>
      <c r="V98" s="237"/>
      <c r="W98" s="333"/>
      <c r="X98" s="333"/>
      <c r="Y98" s="333"/>
      <c r="Z98" s="219"/>
      <c r="AA98" s="219"/>
      <c r="AB98" s="529"/>
      <c r="AC98" s="648"/>
      <c r="AD98" s="648" t="s">
        <v>21</v>
      </c>
      <c r="AE98" s="223" t="s">
        <v>21</v>
      </c>
      <c r="AF98" s="223" t="s">
        <v>21</v>
      </c>
      <c r="AG98" s="223" t="s">
        <v>21</v>
      </c>
      <c r="AH98" s="223">
        <v>0</v>
      </c>
      <c r="AI98" s="223">
        <v>0</v>
      </c>
      <c r="AJ98" s="223">
        <v>0</v>
      </c>
      <c r="AK98" s="223">
        <v>0</v>
      </c>
      <c r="AL98" s="223">
        <v>0</v>
      </c>
      <c r="AM98" s="223" t="s">
        <v>21</v>
      </c>
      <c r="AN98" s="223" t="s">
        <v>21</v>
      </c>
      <c r="AO98" s="223" t="s">
        <v>21</v>
      </c>
      <c r="AP98" s="223" t="s">
        <v>21</v>
      </c>
      <c r="AQ98" s="223" t="s">
        <v>21</v>
      </c>
      <c r="AR98" s="223" t="s">
        <v>21</v>
      </c>
      <c r="AS98" s="223" t="s">
        <v>21</v>
      </c>
      <c r="AT98" s="223" t="s">
        <v>21</v>
      </c>
      <c r="AU98" s="223" t="s">
        <v>21</v>
      </c>
      <c r="AV98" s="223" t="s">
        <v>21</v>
      </c>
      <c r="AW98" s="223" t="s">
        <v>21</v>
      </c>
      <c r="AX98" s="223" t="s">
        <v>21</v>
      </c>
      <c r="AY98" s="223" t="s">
        <v>21</v>
      </c>
      <c r="AZ98" s="223" t="s">
        <v>21</v>
      </c>
      <c r="BA98" s="223" t="s">
        <v>21</v>
      </c>
      <c r="BB98" s="223" t="s">
        <v>21</v>
      </c>
      <c r="BC98" s="223" t="s">
        <v>21</v>
      </c>
      <c r="BD98" s="223" t="s">
        <v>21</v>
      </c>
    </row>
    <row r="99" spans="1:56" ht="18.75" customHeight="1">
      <c r="A99" s="1061" t="s">
        <v>1473</v>
      </c>
      <c r="B99" s="26" t="s">
        <v>803</v>
      </c>
      <c r="C99" s="56" t="s">
        <v>800</v>
      </c>
      <c r="D99" s="72" t="s">
        <v>1459</v>
      </c>
      <c r="E99" s="68"/>
      <c r="F99" s="68" t="s">
        <v>20</v>
      </c>
      <c r="G99" s="355">
        <v>172</v>
      </c>
      <c r="H99" s="109">
        <v>0</v>
      </c>
      <c r="I99" s="311"/>
      <c r="J99" s="311"/>
      <c r="K99" s="311"/>
      <c r="L99" s="311"/>
      <c r="M99" s="38"/>
      <c r="N99" s="38"/>
      <c r="O99" s="38"/>
      <c r="P99" s="38"/>
      <c r="Q99" s="219"/>
      <c r="R99" s="219"/>
      <c r="S99" s="219"/>
      <c r="T99" s="219"/>
      <c r="U99" s="224"/>
      <c r="V99" s="237"/>
      <c r="W99" s="333"/>
      <c r="X99" s="333"/>
      <c r="Y99" s="333"/>
      <c r="Z99" s="219"/>
      <c r="AA99" s="219"/>
      <c r="AB99" s="529"/>
      <c r="AC99" s="648"/>
      <c r="AD99" s="648" t="s">
        <v>21</v>
      </c>
      <c r="AE99" s="223" t="s">
        <v>21</v>
      </c>
      <c r="AF99" s="223" t="s">
        <v>21</v>
      </c>
      <c r="AG99" s="223" t="s">
        <v>21</v>
      </c>
      <c r="AH99" s="223">
        <v>0</v>
      </c>
      <c r="AI99" s="223">
        <v>0</v>
      </c>
      <c r="AJ99" s="223">
        <v>0</v>
      </c>
      <c r="AK99" s="223">
        <v>0</v>
      </c>
      <c r="AL99" s="223">
        <v>0</v>
      </c>
      <c r="AM99" s="223" t="s">
        <v>21</v>
      </c>
      <c r="AN99" s="223" t="s">
        <v>21</v>
      </c>
      <c r="AO99" s="223" t="s">
        <v>21</v>
      </c>
      <c r="AP99" s="223" t="s">
        <v>21</v>
      </c>
      <c r="AQ99" s="223" t="s">
        <v>21</v>
      </c>
      <c r="AR99" s="223" t="s">
        <v>21</v>
      </c>
      <c r="AS99" s="223" t="s">
        <v>21</v>
      </c>
      <c r="AT99" s="223" t="s">
        <v>21</v>
      </c>
      <c r="AU99" s="223" t="s">
        <v>21</v>
      </c>
      <c r="AV99" s="223" t="s">
        <v>21</v>
      </c>
      <c r="AW99" s="223" t="s">
        <v>21</v>
      </c>
      <c r="AX99" s="223" t="s">
        <v>21</v>
      </c>
      <c r="AY99" s="223" t="s">
        <v>21</v>
      </c>
      <c r="AZ99" s="223" t="s">
        <v>21</v>
      </c>
      <c r="BA99" s="223" t="s">
        <v>21</v>
      </c>
      <c r="BB99" s="223" t="s">
        <v>21</v>
      </c>
      <c r="BC99" s="223" t="s">
        <v>21</v>
      </c>
      <c r="BD99" s="223" t="s">
        <v>21</v>
      </c>
    </row>
    <row r="100" spans="1:56" ht="18.75" customHeight="1">
      <c r="A100" s="1061" t="s">
        <v>1473</v>
      </c>
      <c r="B100" s="26" t="s">
        <v>824</v>
      </c>
      <c r="C100" s="56" t="s">
        <v>822</v>
      </c>
      <c r="D100" s="72" t="s">
        <v>1460</v>
      </c>
      <c r="E100" s="68"/>
      <c r="F100" s="68" t="s">
        <v>20</v>
      </c>
      <c r="G100" s="355">
        <v>463</v>
      </c>
      <c r="H100" s="109">
        <v>0</v>
      </c>
      <c r="I100" s="311"/>
      <c r="J100" s="311"/>
      <c r="K100" s="311"/>
      <c r="L100" s="311"/>
      <c r="M100" s="38"/>
      <c r="N100" s="38"/>
      <c r="O100" s="38"/>
      <c r="P100" s="38"/>
      <c r="Q100" s="219"/>
      <c r="R100" s="219"/>
      <c r="S100" s="219"/>
      <c r="T100" s="219"/>
      <c r="U100" s="224"/>
      <c r="V100" s="237"/>
      <c r="W100" s="333"/>
      <c r="X100" s="333"/>
      <c r="Y100" s="333"/>
      <c r="Z100" s="219"/>
      <c r="AA100" s="219"/>
      <c r="AB100" s="529"/>
      <c r="AC100" s="648"/>
      <c r="AD100" s="648" t="s">
        <v>21</v>
      </c>
      <c r="AE100" s="223" t="s">
        <v>21</v>
      </c>
      <c r="AF100" s="223" t="s">
        <v>21</v>
      </c>
      <c r="AG100" s="223" t="s">
        <v>21</v>
      </c>
      <c r="AH100" s="223">
        <v>0</v>
      </c>
      <c r="AI100" s="223">
        <v>0</v>
      </c>
      <c r="AJ100" s="223">
        <v>0</v>
      </c>
      <c r="AK100" s="223">
        <v>0</v>
      </c>
      <c r="AL100" s="223">
        <v>0</v>
      </c>
      <c r="AM100" s="223" t="s">
        <v>21</v>
      </c>
      <c r="AN100" s="223" t="s">
        <v>21</v>
      </c>
      <c r="AO100" s="223" t="s">
        <v>21</v>
      </c>
      <c r="AP100" s="223" t="s">
        <v>21</v>
      </c>
      <c r="AQ100" s="223" t="s">
        <v>21</v>
      </c>
      <c r="AR100" s="223" t="s">
        <v>21</v>
      </c>
      <c r="AS100" s="223" t="s">
        <v>21</v>
      </c>
      <c r="AT100" s="223" t="s">
        <v>21</v>
      </c>
      <c r="AU100" s="223" t="s">
        <v>21</v>
      </c>
      <c r="AV100" s="223" t="s">
        <v>21</v>
      </c>
      <c r="AW100" s="223" t="s">
        <v>21</v>
      </c>
      <c r="AX100" s="223" t="s">
        <v>21</v>
      </c>
      <c r="AY100" s="223" t="s">
        <v>21</v>
      </c>
      <c r="AZ100" s="223" t="s">
        <v>21</v>
      </c>
      <c r="BA100" s="223" t="s">
        <v>21</v>
      </c>
      <c r="BB100" s="223" t="s">
        <v>21</v>
      </c>
      <c r="BC100" s="223" t="s">
        <v>21</v>
      </c>
      <c r="BD100" s="223" t="s">
        <v>21</v>
      </c>
    </row>
    <row r="101" spans="1:56" ht="18.75" customHeight="1">
      <c r="A101" s="1061" t="s">
        <v>1473</v>
      </c>
      <c r="B101" s="26" t="s">
        <v>820</v>
      </c>
      <c r="C101" s="56" t="s">
        <v>818</v>
      </c>
      <c r="D101" s="72" t="s">
        <v>1466</v>
      </c>
      <c r="E101" s="68"/>
      <c r="F101" s="68" t="s">
        <v>20</v>
      </c>
      <c r="G101" s="355">
        <v>222</v>
      </c>
      <c r="H101" s="109">
        <v>0</v>
      </c>
      <c r="I101" s="311"/>
      <c r="J101" s="311"/>
      <c r="K101" s="311"/>
      <c r="L101" s="311"/>
      <c r="M101" s="38"/>
      <c r="N101" s="38"/>
      <c r="O101" s="38"/>
      <c r="P101" s="38"/>
      <c r="Q101" s="219"/>
      <c r="R101" s="219"/>
      <c r="S101" s="219"/>
      <c r="T101" s="219"/>
      <c r="U101" s="224"/>
      <c r="V101" s="237"/>
      <c r="W101" s="333"/>
      <c r="X101" s="333"/>
      <c r="Y101" s="333"/>
      <c r="Z101" s="219"/>
      <c r="AA101" s="219"/>
      <c r="AB101" s="529"/>
      <c r="AC101" s="648"/>
      <c r="AD101" s="648" t="s">
        <v>21</v>
      </c>
      <c r="AE101" s="223" t="s">
        <v>21</v>
      </c>
      <c r="AF101" s="223" t="s">
        <v>21</v>
      </c>
      <c r="AG101" s="223" t="s">
        <v>21</v>
      </c>
      <c r="AH101" s="223">
        <v>0</v>
      </c>
      <c r="AI101" s="223">
        <v>0</v>
      </c>
      <c r="AJ101" s="223">
        <v>0</v>
      </c>
      <c r="AK101" s="223">
        <v>0</v>
      </c>
      <c r="AL101" s="223">
        <v>0</v>
      </c>
      <c r="AM101" s="223" t="s">
        <v>21</v>
      </c>
      <c r="AN101" s="223" t="s">
        <v>21</v>
      </c>
      <c r="AO101" s="223" t="s">
        <v>21</v>
      </c>
      <c r="AP101" s="223" t="s">
        <v>21</v>
      </c>
      <c r="AQ101" s="223" t="s">
        <v>21</v>
      </c>
      <c r="AR101" s="223" t="s">
        <v>21</v>
      </c>
      <c r="AS101" s="223" t="s">
        <v>21</v>
      </c>
      <c r="AT101" s="223" t="s">
        <v>21</v>
      </c>
      <c r="AU101" s="223" t="s">
        <v>21</v>
      </c>
      <c r="AV101" s="223" t="s">
        <v>21</v>
      </c>
      <c r="AW101" s="223" t="s">
        <v>21</v>
      </c>
      <c r="AX101" s="223" t="s">
        <v>21</v>
      </c>
      <c r="AY101" s="223" t="s">
        <v>21</v>
      </c>
      <c r="AZ101" s="223" t="s">
        <v>21</v>
      </c>
      <c r="BA101" s="223" t="s">
        <v>21</v>
      </c>
      <c r="BB101" s="223" t="s">
        <v>21</v>
      </c>
      <c r="BC101" s="223" t="s">
        <v>21</v>
      </c>
      <c r="BD101" s="223" t="s">
        <v>21</v>
      </c>
    </row>
    <row r="102" spans="1:56" ht="18.75" customHeight="1">
      <c r="A102" s="1061" t="s">
        <v>1473</v>
      </c>
      <c r="B102" s="26" t="s">
        <v>815</v>
      </c>
      <c r="C102" s="56" t="s">
        <v>813</v>
      </c>
      <c r="D102" s="72" t="s">
        <v>1472</v>
      </c>
      <c r="E102" s="68"/>
      <c r="F102" s="68" t="s">
        <v>20</v>
      </c>
      <c r="G102" s="355">
        <v>227</v>
      </c>
      <c r="H102" s="109">
        <v>0</v>
      </c>
      <c r="I102" s="311"/>
      <c r="J102" s="311"/>
      <c r="K102" s="311"/>
      <c r="L102" s="311"/>
      <c r="M102" s="38"/>
      <c r="N102" s="38"/>
      <c r="O102" s="38"/>
      <c r="P102" s="38"/>
      <c r="Q102" s="219"/>
      <c r="R102" s="219"/>
      <c r="S102" s="219"/>
      <c r="T102" s="219"/>
      <c r="U102" s="224"/>
      <c r="V102" s="237"/>
      <c r="W102" s="333"/>
      <c r="X102" s="333"/>
      <c r="Y102" s="333"/>
      <c r="Z102" s="219"/>
      <c r="AA102" s="219"/>
      <c r="AB102" s="529"/>
      <c r="AC102" s="648"/>
      <c r="AD102" s="648" t="s">
        <v>21</v>
      </c>
      <c r="AE102" s="223" t="s">
        <v>21</v>
      </c>
      <c r="AF102" s="223" t="s">
        <v>21</v>
      </c>
      <c r="AG102" s="223" t="s">
        <v>21</v>
      </c>
      <c r="AH102" s="223">
        <v>0</v>
      </c>
      <c r="AI102" s="223">
        <v>0</v>
      </c>
      <c r="AJ102" s="223">
        <v>0</v>
      </c>
      <c r="AK102" s="223">
        <v>0</v>
      </c>
      <c r="AL102" s="223">
        <v>0</v>
      </c>
      <c r="AM102" s="223" t="s">
        <v>21</v>
      </c>
      <c r="AN102" s="223" t="s">
        <v>21</v>
      </c>
      <c r="AO102" s="223" t="s">
        <v>21</v>
      </c>
      <c r="AP102" s="223" t="s">
        <v>21</v>
      </c>
      <c r="AQ102" s="223" t="s">
        <v>21</v>
      </c>
      <c r="AR102" s="223" t="s">
        <v>21</v>
      </c>
      <c r="AS102" s="223" t="s">
        <v>21</v>
      </c>
      <c r="AT102" s="223" t="s">
        <v>21</v>
      </c>
      <c r="AU102" s="223" t="s">
        <v>21</v>
      </c>
      <c r="AV102" s="223" t="s">
        <v>21</v>
      </c>
      <c r="AW102" s="223" t="s">
        <v>21</v>
      </c>
      <c r="AX102" s="223" t="s">
        <v>21</v>
      </c>
      <c r="AY102" s="223" t="s">
        <v>21</v>
      </c>
      <c r="AZ102" s="223" t="s">
        <v>21</v>
      </c>
      <c r="BA102" s="223" t="s">
        <v>21</v>
      </c>
      <c r="BB102" s="223" t="s">
        <v>21</v>
      </c>
      <c r="BC102" s="223" t="s">
        <v>21</v>
      </c>
      <c r="BD102" s="223" t="s">
        <v>21</v>
      </c>
    </row>
    <row r="103" spans="1:56" ht="18.75" customHeight="1">
      <c r="A103" s="1061" t="s">
        <v>1473</v>
      </c>
      <c r="B103" s="26" t="s">
        <v>837</v>
      </c>
      <c r="C103" s="56" t="s">
        <v>835</v>
      </c>
      <c r="D103" s="24" t="s">
        <v>1426</v>
      </c>
      <c r="E103" s="26" t="s">
        <v>438</v>
      </c>
      <c r="F103" s="26" t="s">
        <v>1725</v>
      </c>
      <c r="G103" s="43">
        <v>437</v>
      </c>
      <c r="H103" s="109">
        <v>0</v>
      </c>
      <c r="I103" s="311"/>
      <c r="J103" s="311"/>
      <c r="K103" s="311"/>
      <c r="L103" s="311"/>
      <c r="M103" s="311"/>
      <c r="N103" s="180"/>
      <c r="O103" s="311"/>
      <c r="P103" s="311"/>
      <c r="Q103" s="298"/>
      <c r="R103" s="298"/>
      <c r="S103" s="298"/>
      <c r="T103" s="298"/>
      <c r="U103" s="224"/>
      <c r="V103" s="237"/>
      <c r="W103" s="333">
        <v>69</v>
      </c>
      <c r="X103" s="333">
        <v>155</v>
      </c>
      <c r="Y103" s="333">
        <v>118</v>
      </c>
      <c r="Z103" s="219">
        <v>119</v>
      </c>
      <c r="AA103" s="219">
        <v>160</v>
      </c>
      <c r="AB103" s="219">
        <v>141</v>
      </c>
      <c r="AC103" s="224">
        <v>129</v>
      </c>
      <c r="AD103" s="224" t="s">
        <v>21</v>
      </c>
      <c r="AE103" s="223" t="s">
        <v>21</v>
      </c>
      <c r="AF103" s="223" t="s">
        <v>21</v>
      </c>
      <c r="AG103" s="223" t="s">
        <v>21</v>
      </c>
      <c r="AH103" s="223">
        <v>0</v>
      </c>
      <c r="AI103" s="223" t="s">
        <v>21</v>
      </c>
      <c r="AJ103" s="223" t="s">
        <v>21</v>
      </c>
      <c r="AK103" s="223">
        <v>0</v>
      </c>
      <c r="AL103" s="223">
        <v>0</v>
      </c>
      <c r="AM103" s="223" t="s">
        <v>21</v>
      </c>
      <c r="AN103" s="223" t="s">
        <v>21</v>
      </c>
      <c r="AO103" s="223" t="s">
        <v>21</v>
      </c>
      <c r="AP103" s="223" t="s">
        <v>21</v>
      </c>
      <c r="AQ103" s="223" t="s">
        <v>21</v>
      </c>
      <c r="AR103" s="223" t="s">
        <v>21</v>
      </c>
      <c r="AS103" s="223" t="s">
        <v>21</v>
      </c>
      <c r="AT103" s="223" t="s">
        <v>21</v>
      </c>
      <c r="AU103" s="223" t="s">
        <v>21</v>
      </c>
      <c r="AV103" s="223" t="s">
        <v>21</v>
      </c>
      <c r="AW103" s="223" t="s">
        <v>21</v>
      </c>
      <c r="AX103" s="223" t="s">
        <v>21</v>
      </c>
      <c r="AY103" s="223" t="s">
        <v>21</v>
      </c>
      <c r="AZ103" s="223" t="s">
        <v>21</v>
      </c>
      <c r="BA103" s="223" t="s">
        <v>21</v>
      </c>
      <c r="BB103" s="223" t="s">
        <v>21</v>
      </c>
      <c r="BC103" s="223" t="s">
        <v>21</v>
      </c>
      <c r="BD103" s="223" t="s">
        <v>21</v>
      </c>
    </row>
    <row r="104" spans="1:56" ht="18.75" customHeight="1">
      <c r="A104" s="1061" t="s">
        <v>1473</v>
      </c>
      <c r="B104" s="55" t="s">
        <v>833</v>
      </c>
      <c r="C104" s="56" t="s">
        <v>831</v>
      </c>
      <c r="D104" s="57" t="s">
        <v>1405</v>
      </c>
      <c r="E104" s="58" t="s">
        <v>438</v>
      </c>
      <c r="F104" s="26" t="s">
        <v>1725</v>
      </c>
      <c r="G104" s="43">
        <v>275</v>
      </c>
      <c r="H104" s="109">
        <v>0</v>
      </c>
      <c r="I104" s="311"/>
      <c r="J104" s="311"/>
      <c r="K104" s="311"/>
      <c r="L104" s="311"/>
      <c r="M104" s="311"/>
      <c r="N104" s="180"/>
      <c r="O104" s="311"/>
      <c r="P104" s="311"/>
      <c r="Q104" s="298"/>
      <c r="R104" s="298"/>
      <c r="S104" s="298"/>
      <c r="T104" s="219"/>
      <c r="U104" s="224"/>
      <c r="V104" s="237">
        <v>162</v>
      </c>
      <c r="W104" s="333">
        <v>912</v>
      </c>
      <c r="X104" s="333">
        <v>581</v>
      </c>
      <c r="Y104" s="333">
        <v>267</v>
      </c>
      <c r="Z104" s="219">
        <v>368</v>
      </c>
      <c r="AA104" s="219">
        <v>438</v>
      </c>
      <c r="AB104" s="219">
        <v>265</v>
      </c>
      <c r="AC104" s="224">
        <v>374</v>
      </c>
      <c r="AD104" s="224" t="s">
        <v>21</v>
      </c>
      <c r="AE104" s="223" t="s">
        <v>21</v>
      </c>
      <c r="AF104" s="223" t="s">
        <v>21</v>
      </c>
      <c r="AG104" s="223" t="s">
        <v>21</v>
      </c>
      <c r="AH104" s="223">
        <v>0</v>
      </c>
      <c r="AI104" s="223" t="s">
        <v>21</v>
      </c>
      <c r="AJ104" s="223" t="s">
        <v>21</v>
      </c>
      <c r="AK104" s="223">
        <v>0</v>
      </c>
      <c r="AL104" s="223">
        <v>0</v>
      </c>
      <c r="AM104" s="223" t="s">
        <v>21</v>
      </c>
      <c r="AN104" s="223" t="s">
        <v>21</v>
      </c>
      <c r="AO104" s="223" t="s">
        <v>21</v>
      </c>
      <c r="AP104" s="223" t="s">
        <v>21</v>
      </c>
      <c r="AQ104" s="223" t="s">
        <v>21</v>
      </c>
      <c r="AR104" s="223" t="s">
        <v>21</v>
      </c>
      <c r="AS104" s="223" t="s">
        <v>21</v>
      </c>
      <c r="AT104" s="223" t="s">
        <v>21</v>
      </c>
      <c r="AU104" s="223" t="s">
        <v>21</v>
      </c>
      <c r="AV104" s="223" t="s">
        <v>21</v>
      </c>
      <c r="AW104" s="223" t="s">
        <v>21</v>
      </c>
      <c r="AX104" s="223" t="s">
        <v>21</v>
      </c>
      <c r="AY104" s="223" t="s">
        <v>21</v>
      </c>
      <c r="AZ104" s="223" t="s">
        <v>21</v>
      </c>
      <c r="BA104" s="223" t="s">
        <v>21</v>
      </c>
      <c r="BB104" s="223" t="s">
        <v>21</v>
      </c>
      <c r="BC104" s="223" t="s">
        <v>21</v>
      </c>
      <c r="BD104" s="223" t="s">
        <v>21</v>
      </c>
    </row>
    <row r="105" spans="1:56" ht="18.75" customHeight="1">
      <c r="A105" s="1061" t="s">
        <v>1473</v>
      </c>
      <c r="B105" s="26" t="s">
        <v>828</v>
      </c>
      <c r="C105" s="86" t="s">
        <v>826</v>
      </c>
      <c r="D105" s="62" t="s">
        <v>1732</v>
      </c>
      <c r="E105" s="26" t="s">
        <v>438</v>
      </c>
      <c r="F105" s="26" t="s">
        <v>1725</v>
      </c>
      <c r="G105" s="43">
        <v>266</v>
      </c>
      <c r="H105" s="109">
        <v>0</v>
      </c>
      <c r="I105" s="311"/>
      <c r="J105" s="311"/>
      <c r="K105" s="311"/>
      <c r="L105" s="311"/>
      <c r="M105" s="311"/>
      <c r="N105" s="180"/>
      <c r="O105" s="311"/>
      <c r="P105" s="311"/>
      <c r="Q105" s="298"/>
      <c r="R105" s="298"/>
      <c r="S105" s="298"/>
      <c r="T105" s="298"/>
      <c r="U105" s="224"/>
      <c r="V105" s="237"/>
      <c r="W105" s="333"/>
      <c r="X105" s="333"/>
      <c r="Y105" s="333" t="s">
        <v>21</v>
      </c>
      <c r="Z105" s="480"/>
      <c r="AA105" s="219" t="s">
        <v>21</v>
      </c>
      <c r="AB105" s="557"/>
      <c r="AC105" s="649"/>
      <c r="AD105" s="649" t="s">
        <v>21</v>
      </c>
      <c r="AE105" s="223" t="s">
        <v>21</v>
      </c>
      <c r="AF105" s="223" t="s">
        <v>21</v>
      </c>
      <c r="AG105" s="223" t="s">
        <v>21</v>
      </c>
      <c r="AH105" s="223">
        <v>0</v>
      </c>
      <c r="AI105" s="223" t="s">
        <v>21</v>
      </c>
      <c r="AJ105" s="223" t="s">
        <v>21</v>
      </c>
      <c r="AK105" s="223">
        <v>0</v>
      </c>
      <c r="AL105" s="223">
        <v>0</v>
      </c>
      <c r="AM105" s="223" t="s">
        <v>21</v>
      </c>
      <c r="AN105" s="223" t="s">
        <v>21</v>
      </c>
      <c r="AO105" s="223" t="s">
        <v>21</v>
      </c>
      <c r="AP105" s="223" t="s">
        <v>21</v>
      </c>
      <c r="AQ105" s="223" t="s">
        <v>21</v>
      </c>
      <c r="AR105" s="223" t="s">
        <v>21</v>
      </c>
      <c r="AS105" s="223" t="s">
        <v>21</v>
      </c>
      <c r="AT105" s="223" t="s">
        <v>21</v>
      </c>
      <c r="AU105" s="223" t="s">
        <v>21</v>
      </c>
      <c r="AV105" s="223" t="s">
        <v>21</v>
      </c>
      <c r="AW105" s="223" t="s">
        <v>21</v>
      </c>
      <c r="AX105" s="223" t="s">
        <v>21</v>
      </c>
      <c r="AY105" s="223" t="s">
        <v>21</v>
      </c>
      <c r="AZ105" s="223" t="s">
        <v>21</v>
      </c>
      <c r="BA105" s="223" t="s">
        <v>21</v>
      </c>
      <c r="BB105" s="223" t="s">
        <v>21</v>
      </c>
      <c r="BC105" s="223" t="s">
        <v>21</v>
      </c>
      <c r="BD105" s="223" t="s">
        <v>21</v>
      </c>
    </row>
    <row r="106" spans="1:56">
      <c r="A106" s="1059"/>
      <c r="B106" s="26" t="s">
        <v>21</v>
      </c>
      <c r="C106" s="86"/>
      <c r="D106" s="62"/>
      <c r="E106" s="26"/>
      <c r="F106" s="26"/>
      <c r="G106" s="43" t="s">
        <v>21</v>
      </c>
      <c r="H106" s="109" t="s">
        <v>21</v>
      </c>
      <c r="I106" s="311"/>
      <c r="J106" s="311"/>
      <c r="K106" s="311"/>
      <c r="L106" s="311"/>
      <c r="M106" s="311"/>
      <c r="N106" s="180"/>
      <c r="O106" s="311"/>
      <c r="P106" s="311"/>
      <c r="Q106" s="298"/>
      <c r="R106" s="298"/>
      <c r="S106" s="298"/>
      <c r="T106" s="298"/>
      <c r="U106" s="224"/>
      <c r="V106" s="237"/>
      <c r="W106" s="219"/>
      <c r="X106" s="219"/>
      <c r="Y106" s="480"/>
      <c r="Z106" s="480"/>
      <c r="AA106" s="480"/>
      <c r="AB106" s="557"/>
      <c r="AC106" s="649"/>
      <c r="AD106" s="649" t="s">
        <v>21</v>
      </c>
      <c r="AE106" s="223" t="s">
        <v>21</v>
      </c>
      <c r="AF106" s="223" t="s">
        <v>21</v>
      </c>
      <c r="AG106" s="223" t="s">
        <v>21</v>
      </c>
      <c r="AH106" s="223" t="s">
        <v>21</v>
      </c>
      <c r="AI106" s="223" t="s">
        <v>21</v>
      </c>
      <c r="AJ106" s="223" t="s">
        <v>21</v>
      </c>
      <c r="AK106" s="223" t="s">
        <v>21</v>
      </c>
      <c r="AL106" s="223" t="s">
        <v>21</v>
      </c>
      <c r="AM106" s="223" t="s">
        <v>21</v>
      </c>
      <c r="AN106" s="223" t="s">
        <v>21</v>
      </c>
      <c r="AO106" s="223" t="s">
        <v>21</v>
      </c>
      <c r="AP106" s="223" t="s">
        <v>21</v>
      </c>
      <c r="AQ106" s="223" t="s">
        <v>21</v>
      </c>
      <c r="AR106" s="223" t="s">
        <v>21</v>
      </c>
      <c r="AS106" s="223" t="s">
        <v>21</v>
      </c>
      <c r="AT106" s="223" t="s">
        <v>21</v>
      </c>
      <c r="AU106" s="223" t="s">
        <v>21</v>
      </c>
      <c r="AV106" s="223" t="s">
        <v>21</v>
      </c>
      <c r="AW106" s="223" t="s">
        <v>21</v>
      </c>
      <c r="AX106" s="223" t="s">
        <v>21</v>
      </c>
      <c r="AY106" s="223" t="s">
        <v>21</v>
      </c>
      <c r="AZ106" s="223" t="s">
        <v>21</v>
      </c>
      <c r="BA106" s="223" t="s">
        <v>21</v>
      </c>
      <c r="BB106" s="223" t="s">
        <v>21</v>
      </c>
      <c r="BC106" s="223" t="s">
        <v>21</v>
      </c>
      <c r="BD106" s="223" t="s">
        <v>21</v>
      </c>
    </row>
    <row r="107" spans="1:56">
      <c r="A107" s="1059"/>
      <c r="B107" s="26"/>
      <c r="C107" s="86"/>
      <c r="D107" s="62"/>
      <c r="E107" s="26"/>
      <c r="F107" s="26"/>
      <c r="G107" s="43"/>
      <c r="H107" s="38"/>
      <c r="I107" s="311"/>
      <c r="J107" s="311"/>
      <c r="K107" s="311"/>
      <c r="L107" s="311"/>
      <c r="M107" s="311"/>
      <c r="N107" s="180"/>
      <c r="O107" s="311"/>
      <c r="P107" s="311"/>
      <c r="Q107" s="298"/>
      <c r="R107" s="298"/>
      <c r="S107" s="298"/>
      <c r="T107" s="298"/>
      <c r="U107" s="440"/>
      <c r="V107" s="440"/>
      <c r="W107" s="440"/>
      <c r="X107" s="440"/>
      <c r="Y107" s="440"/>
      <c r="Z107" s="440"/>
      <c r="AA107" s="440"/>
      <c r="AB107" s="440">
        <v>0.91975910804919359</v>
      </c>
      <c r="AC107" s="440">
        <v>1.0802287788144589</v>
      </c>
      <c r="AD107" s="440">
        <v>1.0768923714802734</v>
      </c>
      <c r="AE107" s="440">
        <v>1.0349498033237103</v>
      </c>
      <c r="AF107" s="440">
        <v>1.4739281732454008</v>
      </c>
      <c r="AG107" s="440">
        <v>0.86296850797679536</v>
      </c>
      <c r="AH107" s="440">
        <v>0.94281256826843862</v>
      </c>
      <c r="AI107" s="440">
        <v>1.4778243112821845</v>
      </c>
      <c r="AJ107" s="440">
        <v>0.61403208895424399</v>
      </c>
      <c r="AK107" s="440">
        <v>0.72523030349579054</v>
      </c>
      <c r="AL107" s="440">
        <v>1.0427097839387063</v>
      </c>
      <c r="AM107" s="440">
        <v>1.0974094002327746</v>
      </c>
      <c r="AN107" s="440">
        <v>0.91975910804919359</v>
      </c>
      <c r="AO107" s="440">
        <v>1.0802287788144589</v>
      </c>
      <c r="AP107" s="440">
        <v>1.0768923714802734</v>
      </c>
      <c r="AQ107" s="440">
        <v>1.0349498033237103</v>
      </c>
      <c r="AR107" s="440">
        <v>1.4739281732454008</v>
      </c>
      <c r="AS107" s="440">
        <v>0.86296850797679536</v>
      </c>
      <c r="AT107" s="440">
        <v>0.94281256826843862</v>
      </c>
      <c r="AU107" s="440">
        <v>1.4778243112821845</v>
      </c>
      <c r="AV107" s="440">
        <v>0.61403208895424399</v>
      </c>
      <c r="AW107" s="440">
        <v>0.72523030349579054</v>
      </c>
      <c r="AX107" s="440">
        <v>1.0427097839387063</v>
      </c>
      <c r="AY107" s="440">
        <v>1.0974094002327746</v>
      </c>
      <c r="AZ107" s="440">
        <v>0.91975910804919359</v>
      </c>
      <c r="BA107" s="440">
        <v>1.0802287788144589</v>
      </c>
      <c r="BB107" s="440">
        <v>1.0768923714802734</v>
      </c>
      <c r="BC107" s="440">
        <v>1.0349498033237103</v>
      </c>
      <c r="BD107" s="440">
        <v>1.4739281732454008</v>
      </c>
    </row>
    <row r="108" spans="1:56">
      <c r="A108" s="1062"/>
      <c r="B108" s="152" t="s">
        <v>1501</v>
      </c>
      <c r="C108" s="153" t="s">
        <v>1664</v>
      </c>
      <c r="D108" s="153"/>
      <c r="E108" s="204"/>
      <c r="F108" s="204"/>
      <c r="G108" s="45">
        <v>0</v>
      </c>
      <c r="H108" s="45"/>
      <c r="I108" s="45">
        <v>0</v>
      </c>
      <c r="J108" s="45">
        <v>0</v>
      </c>
      <c r="K108" s="45">
        <v>0</v>
      </c>
      <c r="L108" s="45">
        <v>0</v>
      </c>
      <c r="M108" s="45">
        <v>0</v>
      </c>
      <c r="N108" s="45">
        <v>0</v>
      </c>
      <c r="O108" s="45">
        <v>0</v>
      </c>
      <c r="P108" s="45">
        <v>0</v>
      </c>
      <c r="Q108" s="45">
        <v>0</v>
      </c>
      <c r="R108" s="45">
        <v>0</v>
      </c>
      <c r="S108" s="45">
        <v>0</v>
      </c>
      <c r="T108" s="45">
        <v>0</v>
      </c>
      <c r="U108" s="45">
        <v>1416</v>
      </c>
      <c r="V108" s="45">
        <v>1276</v>
      </c>
      <c r="W108" s="45">
        <v>3538</v>
      </c>
      <c r="X108" s="45">
        <v>2481</v>
      </c>
      <c r="Y108" s="45">
        <v>1716</v>
      </c>
      <c r="Z108" s="45">
        <v>2313</v>
      </c>
      <c r="AA108" s="45">
        <v>3128</v>
      </c>
      <c r="AB108" s="155">
        <v>3330</v>
      </c>
      <c r="AC108" s="155">
        <v>3303</v>
      </c>
      <c r="AD108" s="155">
        <v>2215</v>
      </c>
      <c r="AE108" s="155">
        <v>1716</v>
      </c>
      <c r="AF108" s="155">
        <v>1959</v>
      </c>
      <c r="AG108" s="155">
        <v>1935</v>
      </c>
      <c r="AH108" s="155">
        <v>1457</v>
      </c>
      <c r="AI108" s="155">
        <v>3313</v>
      </c>
      <c r="AJ108" s="155">
        <v>2047</v>
      </c>
      <c r="AK108" s="155">
        <v>1606</v>
      </c>
      <c r="AL108" s="155">
        <v>3031.071428571428</v>
      </c>
      <c r="AM108" s="155">
        <v>3326.3262784912704</v>
      </c>
      <c r="AN108" s="155">
        <v>3059.4188909857253</v>
      </c>
      <c r="AO108" s="155">
        <v>3304.8723324913963</v>
      </c>
      <c r="AP108" s="155">
        <v>3558.9918035762016</v>
      </c>
      <c r="AQ108" s="155">
        <v>3683.3778671418868</v>
      </c>
      <c r="AR108" s="155">
        <v>5429.0344110889819</v>
      </c>
      <c r="AS108" s="155">
        <v>4685.0857254921384</v>
      </c>
      <c r="AT108" s="155">
        <v>4417.157705409043</v>
      </c>
      <c r="AU108" s="155">
        <v>6527.7830438209148</v>
      </c>
      <c r="AV108" s="155">
        <v>4008.2682586374503</v>
      </c>
      <c r="AW108" s="155">
        <v>2906.9176057041814</v>
      </c>
      <c r="AX108" s="155">
        <v>3031.071428571428</v>
      </c>
      <c r="AY108" s="155">
        <v>3326.3262784912704</v>
      </c>
      <c r="AZ108" s="155">
        <v>3059.4188909857253</v>
      </c>
      <c r="BA108" s="155">
        <v>3304.8723324913963</v>
      </c>
      <c r="BB108" s="155">
        <v>3558.9918035762007</v>
      </c>
      <c r="BC108" s="155">
        <v>3683.3778671418868</v>
      </c>
      <c r="BD108" s="155">
        <v>5429.0344110889819</v>
      </c>
    </row>
    <row r="109" spans="1:56" ht="19.5" thickBot="1">
      <c r="A109" s="1074"/>
      <c r="B109" s="189" t="s">
        <v>1502</v>
      </c>
      <c r="C109" s="201"/>
      <c r="D109" s="201"/>
      <c r="E109" s="323"/>
      <c r="F109" s="324"/>
      <c r="G109" s="359"/>
      <c r="H109" s="325"/>
      <c r="I109" s="325">
        <v>2621</v>
      </c>
      <c r="J109" s="325">
        <v>2341</v>
      </c>
      <c r="K109" s="325">
        <v>3712</v>
      </c>
      <c r="L109" s="325">
        <v>2266</v>
      </c>
      <c r="M109" s="325">
        <v>2009</v>
      </c>
      <c r="N109" s="325">
        <v>1813</v>
      </c>
      <c r="O109" s="325">
        <v>1934</v>
      </c>
      <c r="P109" s="325">
        <v>1652.2194053316034</v>
      </c>
      <c r="Q109" s="316">
        <v>1967.1459936763054</v>
      </c>
      <c r="R109" s="316">
        <v>1979.3690477656746</v>
      </c>
      <c r="S109" s="316">
        <v>1991.0584366056528</v>
      </c>
      <c r="T109" s="316">
        <v>2702.6014326330587</v>
      </c>
      <c r="U109" s="316">
        <v>2481.2039595584747</v>
      </c>
      <c r="V109" s="317">
        <v>2403.0937640073348</v>
      </c>
      <c r="W109" s="317">
        <v>3270.0091146860723</v>
      </c>
      <c r="X109" s="316">
        <v>2473.5298463530553</v>
      </c>
      <c r="Y109" s="316">
        <v>2211.0713041461254</v>
      </c>
      <c r="Z109" s="316">
        <v>2316.6081945402466</v>
      </c>
      <c r="AA109" s="316">
        <v>2445.3733121718051</v>
      </c>
      <c r="AB109" s="316"/>
      <c r="AC109" s="637"/>
      <c r="AD109" s="637"/>
      <c r="AE109" s="637"/>
      <c r="AF109" s="316"/>
      <c r="AG109" s="316"/>
      <c r="AH109" s="316"/>
      <c r="AI109" s="316"/>
      <c r="AJ109" s="316"/>
      <c r="AK109" s="316"/>
      <c r="AL109" s="637"/>
      <c r="AM109" s="637"/>
      <c r="AN109" s="637"/>
      <c r="AO109" s="637"/>
      <c r="AP109" s="637"/>
      <c r="AQ109" s="637"/>
      <c r="AR109" s="637"/>
      <c r="AS109" s="637"/>
      <c r="AT109" s="637"/>
      <c r="AU109" s="637"/>
      <c r="AV109" s="637"/>
      <c r="AW109" s="637"/>
      <c r="AX109" s="637"/>
      <c r="AY109" s="637"/>
      <c r="AZ109" s="637"/>
      <c r="BA109" s="637"/>
      <c r="BB109" s="637"/>
      <c r="BC109" s="637"/>
      <c r="BD109" s="637"/>
    </row>
    <row r="110" spans="1:56">
      <c r="A110" s="1066"/>
      <c r="B110" s="30" t="s">
        <v>982</v>
      </c>
      <c r="C110" s="30" t="s">
        <v>10</v>
      </c>
      <c r="D110" s="30" t="s">
        <v>11</v>
      </c>
      <c r="E110" s="30" t="s">
        <v>12</v>
      </c>
      <c r="F110" s="30"/>
      <c r="G110" s="40"/>
      <c r="H110" s="311"/>
      <c r="I110" s="41"/>
      <c r="J110" s="41"/>
      <c r="K110" s="41"/>
      <c r="L110" s="41"/>
      <c r="M110" s="41"/>
      <c r="N110" s="41"/>
      <c r="O110" s="41"/>
      <c r="P110" s="41"/>
      <c r="Q110" s="231"/>
      <c r="R110" s="231"/>
      <c r="S110" s="231"/>
      <c r="T110" s="218"/>
      <c r="U110" s="218"/>
      <c r="V110" s="218"/>
      <c r="W110" s="218"/>
      <c r="X110" s="135"/>
      <c r="Y110" s="135"/>
      <c r="Z110" s="135"/>
      <c r="AA110" s="135"/>
      <c r="AB110" s="135"/>
      <c r="AC110" s="338"/>
      <c r="AD110" s="338"/>
      <c r="AE110" s="338"/>
      <c r="AF110" s="135"/>
      <c r="AG110" s="135"/>
      <c r="AH110" s="338"/>
      <c r="AI110" s="338"/>
      <c r="AJ110" s="338"/>
      <c r="AK110" s="338"/>
      <c r="AL110" s="338"/>
      <c r="AM110" s="338"/>
      <c r="AN110" s="338"/>
      <c r="AO110" s="338"/>
      <c r="AP110" s="338"/>
      <c r="AQ110" s="338"/>
      <c r="AR110" s="338"/>
      <c r="AS110" s="338"/>
      <c r="AT110" s="338"/>
      <c r="AU110" s="338"/>
      <c r="AV110" s="338"/>
      <c r="AW110" s="338"/>
      <c r="AX110" s="338"/>
      <c r="AY110" s="338"/>
      <c r="AZ110" s="338"/>
      <c r="BA110" s="338"/>
      <c r="BB110" s="338"/>
      <c r="BC110" s="338"/>
      <c r="BD110" s="338"/>
    </row>
    <row r="111" spans="1:56">
      <c r="A111" s="1075" t="s">
        <v>1740</v>
      </c>
      <c r="B111" s="55" t="s">
        <v>1007</v>
      </c>
      <c r="C111" s="57" t="s">
        <v>1005</v>
      </c>
      <c r="D111" s="55" t="s">
        <v>19</v>
      </c>
      <c r="E111" s="56">
        <v>4070</v>
      </c>
      <c r="F111" s="56" t="s">
        <v>20</v>
      </c>
      <c r="G111" s="38">
        <v>0</v>
      </c>
      <c r="H111" s="109" t="s">
        <v>21</v>
      </c>
      <c r="I111" s="38" t="s">
        <v>21</v>
      </c>
      <c r="J111" s="38">
        <v>50</v>
      </c>
      <c r="K111" s="38">
        <v>4</v>
      </c>
      <c r="L111" s="38">
        <v>20</v>
      </c>
      <c r="M111" s="38">
        <v>21</v>
      </c>
      <c r="N111" s="38">
        <v>22</v>
      </c>
      <c r="O111" s="38">
        <v>14</v>
      </c>
      <c r="P111" s="38">
        <v>19</v>
      </c>
      <c r="Q111" s="219">
        <v>15</v>
      </c>
      <c r="R111" s="219">
        <v>17</v>
      </c>
      <c r="S111" s="219" t="s">
        <v>21</v>
      </c>
      <c r="T111" s="219" t="s">
        <v>21</v>
      </c>
      <c r="U111" s="224"/>
      <c r="V111" s="224" t="s">
        <v>21</v>
      </c>
      <c r="W111" s="224" t="s">
        <v>21</v>
      </c>
      <c r="X111" s="244" t="s">
        <v>21</v>
      </c>
      <c r="Y111" s="224" t="s">
        <v>21</v>
      </c>
      <c r="Z111" s="224" t="s">
        <v>21</v>
      </c>
      <c r="AA111" s="224" t="s">
        <v>21</v>
      </c>
      <c r="AB111" s="224"/>
      <c r="AC111" s="224" t="s">
        <v>21</v>
      </c>
      <c r="AD111" s="224">
        <v>0</v>
      </c>
      <c r="AE111" s="223">
        <v>0</v>
      </c>
      <c r="AF111" s="223">
        <v>0</v>
      </c>
      <c r="AG111" s="223" t="s">
        <v>21</v>
      </c>
      <c r="AH111" s="223" t="s">
        <v>21</v>
      </c>
      <c r="AI111" s="223" t="s">
        <v>21</v>
      </c>
      <c r="AJ111" s="223" t="s">
        <v>21</v>
      </c>
      <c r="AK111" s="223" t="s">
        <v>21</v>
      </c>
      <c r="AL111" s="223" t="s">
        <v>21</v>
      </c>
      <c r="AM111" s="223" t="s">
        <v>21</v>
      </c>
      <c r="AN111" s="223" t="s">
        <v>21</v>
      </c>
      <c r="AO111" s="223" t="s">
        <v>21</v>
      </c>
      <c r="AP111" s="223" t="s">
        <v>21</v>
      </c>
      <c r="AQ111" s="223" t="s">
        <v>21</v>
      </c>
      <c r="AR111" s="223" t="s">
        <v>21</v>
      </c>
      <c r="AS111" s="223" t="s">
        <v>21</v>
      </c>
      <c r="AT111" s="223" t="s">
        <v>21</v>
      </c>
      <c r="AU111" s="223" t="s">
        <v>21</v>
      </c>
      <c r="AV111" s="223" t="s">
        <v>21</v>
      </c>
      <c r="AW111" s="223" t="s">
        <v>21</v>
      </c>
      <c r="AX111" s="223" t="s">
        <v>21</v>
      </c>
      <c r="AY111" s="223" t="s">
        <v>21</v>
      </c>
      <c r="AZ111" s="223" t="s">
        <v>21</v>
      </c>
      <c r="BA111" s="223" t="s">
        <v>21</v>
      </c>
      <c r="BB111" s="223" t="s">
        <v>21</v>
      </c>
      <c r="BC111" s="223" t="s">
        <v>21</v>
      </c>
      <c r="BD111" s="223" t="s">
        <v>21</v>
      </c>
    </row>
    <row r="112" spans="1:56">
      <c r="A112" s="1075" t="s">
        <v>1317</v>
      </c>
      <c r="B112" s="55" t="s">
        <v>1317</v>
      </c>
      <c r="C112" s="57" t="s">
        <v>1317</v>
      </c>
      <c r="D112" s="57" t="s">
        <v>1317</v>
      </c>
      <c r="E112" s="56" t="s">
        <v>1317</v>
      </c>
      <c r="F112" s="56"/>
      <c r="G112" s="38" t="s">
        <v>21</v>
      </c>
      <c r="H112" s="109" t="s">
        <v>21</v>
      </c>
      <c r="I112" s="57" t="s">
        <v>1317</v>
      </c>
      <c r="J112" s="57" t="s">
        <v>1317</v>
      </c>
      <c r="K112" s="57" t="s">
        <v>1317</v>
      </c>
      <c r="L112" s="57" t="s">
        <v>1317</v>
      </c>
      <c r="M112" s="57" t="s">
        <v>1317</v>
      </c>
      <c r="N112" s="57" t="s">
        <v>1317</v>
      </c>
      <c r="O112" s="57" t="s">
        <v>1317</v>
      </c>
      <c r="P112" s="57" t="s">
        <v>1317</v>
      </c>
      <c r="Q112" s="235" t="s">
        <v>1317</v>
      </c>
      <c r="R112" s="235" t="s">
        <v>1317</v>
      </c>
      <c r="S112" s="235" t="s">
        <v>1317</v>
      </c>
      <c r="T112" s="238" t="s">
        <v>1317</v>
      </c>
      <c r="U112" s="224"/>
      <c r="V112" s="239"/>
      <c r="W112" s="239"/>
      <c r="X112" s="245"/>
      <c r="Y112" s="239"/>
      <c r="Z112" s="239"/>
      <c r="AA112" s="239"/>
      <c r="AB112" s="239"/>
      <c r="AC112" s="239"/>
      <c r="AD112" s="239" t="s">
        <v>21</v>
      </c>
      <c r="AE112" s="223" t="s">
        <v>21</v>
      </c>
      <c r="AF112" s="223" t="s">
        <v>21</v>
      </c>
      <c r="AG112" s="223" t="s">
        <v>21</v>
      </c>
      <c r="AH112" s="223" t="s">
        <v>21</v>
      </c>
      <c r="AI112" s="223" t="s">
        <v>21</v>
      </c>
      <c r="AJ112" s="223" t="s">
        <v>21</v>
      </c>
      <c r="AK112" s="223" t="s">
        <v>21</v>
      </c>
      <c r="AL112" s="223" t="s">
        <v>21</v>
      </c>
      <c r="AM112" s="223" t="s">
        <v>21</v>
      </c>
      <c r="AN112" s="223" t="s">
        <v>21</v>
      </c>
      <c r="AO112" s="223" t="s">
        <v>21</v>
      </c>
      <c r="AP112" s="223" t="s">
        <v>21</v>
      </c>
      <c r="AQ112" s="223" t="s">
        <v>21</v>
      </c>
      <c r="AR112" s="223" t="s">
        <v>21</v>
      </c>
      <c r="AS112" s="223" t="s">
        <v>21</v>
      </c>
      <c r="AT112" s="223" t="s">
        <v>21</v>
      </c>
      <c r="AU112" s="223" t="s">
        <v>21</v>
      </c>
      <c r="AV112" s="223" t="s">
        <v>21</v>
      </c>
      <c r="AW112" s="223" t="s">
        <v>21</v>
      </c>
      <c r="AX112" s="223" t="s">
        <v>21</v>
      </c>
      <c r="AY112" s="223" t="s">
        <v>21</v>
      </c>
      <c r="AZ112" s="223" t="s">
        <v>21</v>
      </c>
      <c r="BA112" s="223" t="s">
        <v>21</v>
      </c>
      <c r="BB112" s="223" t="s">
        <v>21</v>
      </c>
      <c r="BC112" s="223" t="s">
        <v>21</v>
      </c>
      <c r="BD112" s="223" t="s">
        <v>21</v>
      </c>
    </row>
    <row r="113" spans="1:56">
      <c r="A113" s="1076"/>
      <c r="B113" s="55" t="s">
        <v>985</v>
      </c>
      <c r="C113" s="57" t="s">
        <v>983</v>
      </c>
      <c r="D113" s="57" t="s">
        <v>1741</v>
      </c>
      <c r="E113" s="56" t="s">
        <v>1506</v>
      </c>
      <c r="F113" s="56"/>
      <c r="G113" s="38">
        <v>0</v>
      </c>
      <c r="H113" s="109" t="s">
        <v>21</v>
      </c>
      <c r="I113" s="57"/>
      <c r="J113" s="57"/>
      <c r="K113" s="57"/>
      <c r="L113" s="57"/>
      <c r="M113" s="57"/>
      <c r="N113" s="57"/>
      <c r="O113" s="57"/>
      <c r="P113" s="57"/>
      <c r="Q113" s="219" t="s">
        <v>21</v>
      </c>
      <c r="R113" s="219" t="s">
        <v>21</v>
      </c>
      <c r="S113" s="219" t="s">
        <v>21</v>
      </c>
      <c r="T113" s="219" t="s">
        <v>21</v>
      </c>
      <c r="U113" s="224">
        <v>0</v>
      </c>
      <c r="V113" s="224">
        <v>0</v>
      </c>
      <c r="W113" s="224">
        <v>1</v>
      </c>
      <c r="X113" s="224">
        <v>0</v>
      </c>
      <c r="Y113" s="224">
        <v>1</v>
      </c>
      <c r="Z113" s="224">
        <v>1</v>
      </c>
      <c r="AA113" s="224"/>
      <c r="AB113" s="224">
        <v>0</v>
      </c>
      <c r="AC113" s="224"/>
      <c r="AD113" s="224">
        <v>0</v>
      </c>
      <c r="AE113" s="223">
        <v>0</v>
      </c>
      <c r="AF113" s="223">
        <v>0</v>
      </c>
      <c r="AG113" s="223">
        <v>0</v>
      </c>
      <c r="AH113" s="223">
        <v>0</v>
      </c>
      <c r="AI113" s="223">
        <v>0</v>
      </c>
      <c r="AJ113" s="223" t="s">
        <v>21</v>
      </c>
      <c r="AK113" s="223" t="s">
        <v>21</v>
      </c>
      <c r="AL113" s="223" t="s">
        <v>21</v>
      </c>
      <c r="AM113" s="223" t="s">
        <v>21</v>
      </c>
      <c r="AN113" s="223" t="s">
        <v>21</v>
      </c>
      <c r="AO113" s="223" t="s">
        <v>21</v>
      </c>
      <c r="AP113" s="223" t="s">
        <v>21</v>
      </c>
      <c r="AQ113" s="223" t="s">
        <v>21</v>
      </c>
      <c r="AR113" s="223" t="s">
        <v>21</v>
      </c>
      <c r="AS113" s="223" t="s">
        <v>21</v>
      </c>
      <c r="AT113" s="223" t="s">
        <v>21</v>
      </c>
      <c r="AU113" s="223" t="s">
        <v>21</v>
      </c>
      <c r="AV113" s="223" t="s">
        <v>21</v>
      </c>
      <c r="AW113" s="223" t="s">
        <v>21</v>
      </c>
      <c r="AX113" s="223" t="s">
        <v>21</v>
      </c>
      <c r="AY113" s="223" t="s">
        <v>21</v>
      </c>
      <c r="AZ113" s="223" t="s">
        <v>21</v>
      </c>
      <c r="BA113" s="223" t="s">
        <v>21</v>
      </c>
      <c r="BB113" s="223" t="s">
        <v>21</v>
      </c>
      <c r="BC113" s="223" t="s">
        <v>21</v>
      </c>
      <c r="BD113" s="223" t="s">
        <v>21</v>
      </c>
    </row>
    <row r="114" spans="1:56">
      <c r="A114" s="1075"/>
      <c r="B114" s="55" t="s">
        <v>988</v>
      </c>
      <c r="C114" s="57" t="s">
        <v>986</v>
      </c>
      <c r="D114" s="57" t="s">
        <v>1741</v>
      </c>
      <c r="E114" s="56" t="s">
        <v>1507</v>
      </c>
      <c r="F114" s="56"/>
      <c r="G114" s="38">
        <v>16</v>
      </c>
      <c r="H114" s="109">
        <v>0</v>
      </c>
      <c r="I114" s="57"/>
      <c r="J114" s="57"/>
      <c r="K114" s="57"/>
      <c r="L114" s="57"/>
      <c r="M114" s="57"/>
      <c r="N114" s="57"/>
      <c r="O114" s="57"/>
      <c r="P114" s="57"/>
      <c r="Q114" s="219" t="s">
        <v>21</v>
      </c>
      <c r="R114" s="219" t="s">
        <v>21</v>
      </c>
      <c r="S114" s="219" t="s">
        <v>21</v>
      </c>
      <c r="T114" s="219" t="s">
        <v>21</v>
      </c>
      <c r="U114" s="224">
        <v>1</v>
      </c>
      <c r="V114" s="219">
        <v>9</v>
      </c>
      <c r="W114" s="219">
        <v>11</v>
      </c>
      <c r="X114" s="219">
        <v>0</v>
      </c>
      <c r="Y114" s="224"/>
      <c r="Z114" s="224"/>
      <c r="AA114" s="224">
        <v>6</v>
      </c>
      <c r="AB114" s="224">
        <v>9</v>
      </c>
      <c r="AC114" s="224">
        <v>11</v>
      </c>
      <c r="AD114" s="224">
        <v>16</v>
      </c>
      <c r="AE114" s="223">
        <v>5</v>
      </c>
      <c r="AF114" s="223">
        <v>1</v>
      </c>
      <c r="AG114" s="223">
        <v>0</v>
      </c>
      <c r="AH114" s="223">
        <v>0</v>
      </c>
      <c r="AI114" s="223">
        <v>0</v>
      </c>
      <c r="AJ114" s="223">
        <v>0</v>
      </c>
      <c r="AK114" s="223">
        <v>0</v>
      </c>
      <c r="AL114" s="223">
        <v>0</v>
      </c>
      <c r="AM114" s="223" t="s">
        <v>21</v>
      </c>
      <c r="AN114" s="223" t="s">
        <v>21</v>
      </c>
      <c r="AO114" s="223" t="s">
        <v>21</v>
      </c>
      <c r="AP114" s="223" t="s">
        <v>21</v>
      </c>
      <c r="AQ114" s="223" t="s">
        <v>21</v>
      </c>
      <c r="AR114" s="223" t="s">
        <v>21</v>
      </c>
      <c r="AS114" s="223" t="s">
        <v>21</v>
      </c>
      <c r="AT114" s="223" t="s">
        <v>21</v>
      </c>
      <c r="AU114" s="223" t="s">
        <v>21</v>
      </c>
      <c r="AV114" s="223" t="s">
        <v>21</v>
      </c>
      <c r="AW114" s="223" t="s">
        <v>21</v>
      </c>
      <c r="AX114" s="223" t="s">
        <v>21</v>
      </c>
      <c r="AY114" s="223" t="s">
        <v>21</v>
      </c>
      <c r="AZ114" s="223" t="s">
        <v>21</v>
      </c>
      <c r="BA114" s="223" t="s">
        <v>21</v>
      </c>
      <c r="BB114" s="223" t="s">
        <v>21</v>
      </c>
      <c r="BC114" s="223" t="s">
        <v>21</v>
      </c>
      <c r="BD114" s="223" t="s">
        <v>21</v>
      </c>
    </row>
    <row r="115" spans="1:56">
      <c r="A115" s="1076"/>
      <c r="B115" s="55" t="s">
        <v>1020</v>
      </c>
      <c r="C115" s="57" t="s">
        <v>1017</v>
      </c>
      <c r="D115" s="115" t="s">
        <v>1742</v>
      </c>
      <c r="E115" s="106">
        <v>4060</v>
      </c>
      <c r="F115" s="68" t="s">
        <v>20</v>
      </c>
      <c r="G115" s="38">
        <v>0</v>
      </c>
      <c r="H115" s="109" t="s">
        <v>21</v>
      </c>
      <c r="I115" s="38" t="s">
        <v>21</v>
      </c>
      <c r="J115" s="38" t="s">
        <v>21</v>
      </c>
      <c r="K115" s="38" t="s">
        <v>21</v>
      </c>
      <c r="L115" s="38" t="s">
        <v>21</v>
      </c>
      <c r="M115" s="38" t="s">
        <v>21</v>
      </c>
      <c r="N115" s="38" t="s">
        <v>21</v>
      </c>
      <c r="O115" s="38">
        <v>55</v>
      </c>
      <c r="P115" s="38">
        <v>17</v>
      </c>
      <c r="Q115" s="219">
        <v>70</v>
      </c>
      <c r="R115" s="219">
        <v>37</v>
      </c>
      <c r="S115" s="219">
        <v>75</v>
      </c>
      <c r="T115" s="219">
        <v>47</v>
      </c>
      <c r="U115" s="224">
        <v>89</v>
      </c>
      <c r="V115" s="224">
        <v>28</v>
      </c>
      <c r="W115" s="224">
        <v>29</v>
      </c>
      <c r="X115" s="224">
        <v>41</v>
      </c>
      <c r="Y115" s="224">
        <v>2</v>
      </c>
      <c r="Z115" s="224">
        <v>3</v>
      </c>
      <c r="AA115" s="224"/>
      <c r="AB115" s="224">
        <v>1</v>
      </c>
      <c r="AC115" s="224"/>
      <c r="AD115" s="224">
        <v>0</v>
      </c>
      <c r="AE115" s="223">
        <v>0</v>
      </c>
      <c r="AF115" s="223">
        <v>0</v>
      </c>
      <c r="AG115" s="223">
        <v>0</v>
      </c>
      <c r="AH115" s="223">
        <v>0</v>
      </c>
      <c r="AI115" s="223">
        <v>0</v>
      </c>
      <c r="AJ115" s="223" t="s">
        <v>21</v>
      </c>
      <c r="AK115" s="223" t="s">
        <v>21</v>
      </c>
      <c r="AL115" s="223" t="s">
        <v>21</v>
      </c>
      <c r="AM115" s="223" t="s">
        <v>21</v>
      </c>
      <c r="AN115" s="223" t="s">
        <v>21</v>
      </c>
      <c r="AO115" s="223" t="s">
        <v>21</v>
      </c>
      <c r="AP115" s="223" t="s">
        <v>21</v>
      </c>
      <c r="AQ115" s="223" t="s">
        <v>21</v>
      </c>
      <c r="AR115" s="223" t="s">
        <v>21</v>
      </c>
      <c r="AS115" s="223" t="s">
        <v>21</v>
      </c>
      <c r="AT115" s="223" t="s">
        <v>21</v>
      </c>
      <c r="AU115" s="223" t="s">
        <v>21</v>
      </c>
      <c r="AV115" s="223" t="s">
        <v>21</v>
      </c>
      <c r="AW115" s="223" t="s">
        <v>21</v>
      </c>
      <c r="AX115" s="223" t="s">
        <v>21</v>
      </c>
      <c r="AY115" s="223" t="s">
        <v>21</v>
      </c>
      <c r="AZ115" s="223" t="s">
        <v>21</v>
      </c>
      <c r="BA115" s="223" t="s">
        <v>21</v>
      </c>
      <c r="BB115" s="223" t="s">
        <v>21</v>
      </c>
      <c r="BC115" s="223" t="s">
        <v>21</v>
      </c>
      <c r="BD115" s="223" t="s">
        <v>21</v>
      </c>
    </row>
    <row r="116" spans="1:56">
      <c r="A116" s="1075" t="s">
        <v>1317</v>
      </c>
      <c r="B116" s="55" t="s">
        <v>1317</v>
      </c>
      <c r="C116" s="55" t="s">
        <v>1317</v>
      </c>
      <c r="D116" s="55" t="s">
        <v>1317</v>
      </c>
      <c r="E116" s="58" t="s">
        <v>1317</v>
      </c>
      <c r="F116" s="58"/>
      <c r="G116" s="38" t="s">
        <v>21</v>
      </c>
      <c r="H116" s="109" t="s">
        <v>21</v>
      </c>
      <c r="I116" s="57" t="s">
        <v>1317</v>
      </c>
      <c r="J116" s="57" t="s">
        <v>1317</v>
      </c>
      <c r="K116" s="57" t="s">
        <v>1317</v>
      </c>
      <c r="L116" s="57" t="s">
        <v>1317</v>
      </c>
      <c r="M116" s="57" t="s">
        <v>1317</v>
      </c>
      <c r="N116" s="57" t="s">
        <v>1317</v>
      </c>
      <c r="O116" s="57" t="s">
        <v>1317</v>
      </c>
      <c r="P116" s="57" t="s">
        <v>1317</v>
      </c>
      <c r="Q116" s="238" t="s">
        <v>1317</v>
      </c>
      <c r="R116" s="238" t="s">
        <v>1317</v>
      </c>
      <c r="S116" s="238" t="s">
        <v>1317</v>
      </c>
      <c r="T116" s="238" t="s">
        <v>1317</v>
      </c>
      <c r="U116" s="239"/>
      <c r="V116" s="239"/>
      <c r="W116" s="239"/>
      <c r="X116" s="239"/>
      <c r="Y116" s="224"/>
      <c r="Z116" s="224"/>
      <c r="AA116" s="224"/>
      <c r="AB116" s="224"/>
      <c r="AC116" s="224"/>
      <c r="AD116" s="224" t="s">
        <v>21</v>
      </c>
      <c r="AE116" s="223" t="s">
        <v>21</v>
      </c>
      <c r="AF116" s="223" t="s">
        <v>21</v>
      </c>
      <c r="AG116" s="223" t="s">
        <v>21</v>
      </c>
      <c r="AH116" s="223" t="s">
        <v>21</v>
      </c>
      <c r="AI116" s="223" t="s">
        <v>21</v>
      </c>
      <c r="AJ116" s="223" t="s">
        <v>21</v>
      </c>
      <c r="AK116" s="223" t="s">
        <v>21</v>
      </c>
      <c r="AL116" s="223" t="s">
        <v>21</v>
      </c>
      <c r="AM116" s="223" t="s">
        <v>21</v>
      </c>
      <c r="AN116" s="223" t="s">
        <v>21</v>
      </c>
      <c r="AO116" s="223" t="s">
        <v>21</v>
      </c>
      <c r="AP116" s="223" t="s">
        <v>21</v>
      </c>
      <c r="AQ116" s="223" t="s">
        <v>21</v>
      </c>
      <c r="AR116" s="223" t="s">
        <v>21</v>
      </c>
      <c r="AS116" s="223" t="s">
        <v>21</v>
      </c>
      <c r="AT116" s="223" t="s">
        <v>21</v>
      </c>
      <c r="AU116" s="223" t="s">
        <v>21</v>
      </c>
      <c r="AV116" s="223" t="s">
        <v>21</v>
      </c>
      <c r="AW116" s="223" t="s">
        <v>21</v>
      </c>
      <c r="AX116" s="223" t="s">
        <v>21</v>
      </c>
      <c r="AY116" s="223" t="s">
        <v>21</v>
      </c>
      <c r="AZ116" s="223" t="s">
        <v>21</v>
      </c>
      <c r="BA116" s="223" t="s">
        <v>21</v>
      </c>
      <c r="BB116" s="223" t="s">
        <v>21</v>
      </c>
      <c r="BC116" s="223" t="s">
        <v>21</v>
      </c>
      <c r="BD116" s="223" t="s">
        <v>21</v>
      </c>
    </row>
    <row r="117" spans="1:56">
      <c r="A117" s="1075" t="s">
        <v>1651</v>
      </c>
      <c r="B117" s="55" t="s">
        <v>1037</v>
      </c>
      <c r="C117" s="57" t="s">
        <v>1035</v>
      </c>
      <c r="D117" s="115" t="s">
        <v>1516</v>
      </c>
      <c r="E117" s="106">
        <v>4060</v>
      </c>
      <c r="F117" s="106" t="s">
        <v>20</v>
      </c>
      <c r="G117" s="355">
        <v>0</v>
      </c>
      <c r="H117" s="109" t="s">
        <v>21</v>
      </c>
      <c r="I117" s="38" t="s">
        <v>21</v>
      </c>
      <c r="J117" s="38" t="s">
        <v>21</v>
      </c>
      <c r="K117" s="38" t="s">
        <v>21</v>
      </c>
      <c r="L117" s="38" t="s">
        <v>21</v>
      </c>
      <c r="M117" s="38">
        <v>20</v>
      </c>
      <c r="N117" s="38">
        <v>170</v>
      </c>
      <c r="O117" s="38">
        <v>120</v>
      </c>
      <c r="P117" s="38">
        <v>7</v>
      </c>
      <c r="Q117" s="219">
        <v>176</v>
      </c>
      <c r="R117" s="219">
        <v>53</v>
      </c>
      <c r="S117" s="219">
        <v>97</v>
      </c>
      <c r="T117" s="219">
        <v>195</v>
      </c>
      <c r="U117" s="224">
        <v>218</v>
      </c>
      <c r="V117" s="224">
        <v>245</v>
      </c>
      <c r="W117" s="224">
        <v>510</v>
      </c>
      <c r="X117" s="224">
        <v>119</v>
      </c>
      <c r="Y117" s="224">
        <v>69</v>
      </c>
      <c r="Z117" s="224">
        <v>11</v>
      </c>
      <c r="AA117" s="224">
        <v>-56</v>
      </c>
      <c r="AB117" s="224">
        <v>4</v>
      </c>
      <c r="AC117" s="224">
        <v>23</v>
      </c>
      <c r="AD117" s="224">
        <v>0</v>
      </c>
      <c r="AE117" s="223">
        <v>0</v>
      </c>
      <c r="AF117" s="223">
        <v>8</v>
      </c>
      <c r="AG117" s="223">
        <v>0</v>
      </c>
      <c r="AH117" s="223">
        <v>0</v>
      </c>
      <c r="AI117" s="223">
        <v>0</v>
      </c>
      <c r="AJ117" s="223" t="s">
        <v>21</v>
      </c>
      <c r="AK117" s="223" t="s">
        <v>21</v>
      </c>
      <c r="AL117" s="223" t="s">
        <v>21</v>
      </c>
      <c r="AM117" s="223" t="s">
        <v>21</v>
      </c>
      <c r="AN117" s="223" t="s">
        <v>21</v>
      </c>
      <c r="AO117" s="223" t="s">
        <v>21</v>
      </c>
      <c r="AP117" s="223" t="s">
        <v>21</v>
      </c>
      <c r="AQ117" s="223" t="s">
        <v>21</v>
      </c>
      <c r="AR117" s="223" t="s">
        <v>21</v>
      </c>
      <c r="AS117" s="223" t="s">
        <v>21</v>
      </c>
      <c r="AT117" s="223" t="s">
        <v>21</v>
      </c>
      <c r="AU117" s="223" t="s">
        <v>21</v>
      </c>
      <c r="AV117" s="223" t="s">
        <v>21</v>
      </c>
      <c r="AW117" s="223" t="s">
        <v>21</v>
      </c>
      <c r="AX117" s="223" t="s">
        <v>21</v>
      </c>
      <c r="AY117" s="223" t="s">
        <v>21</v>
      </c>
      <c r="AZ117" s="223" t="s">
        <v>21</v>
      </c>
      <c r="BA117" s="223" t="s">
        <v>21</v>
      </c>
      <c r="BB117" s="223" t="s">
        <v>21</v>
      </c>
      <c r="BC117" s="223" t="s">
        <v>21</v>
      </c>
      <c r="BD117" s="223" t="s">
        <v>21</v>
      </c>
    </row>
    <row r="118" spans="1:56">
      <c r="A118" s="1076" t="s">
        <v>1317</v>
      </c>
      <c r="B118" s="55" t="s">
        <v>1046</v>
      </c>
      <c r="C118" s="57" t="s">
        <v>1044</v>
      </c>
      <c r="D118" s="115" t="s">
        <v>1516</v>
      </c>
      <c r="E118" s="106">
        <v>3050</v>
      </c>
      <c r="F118" s="106" t="s">
        <v>20</v>
      </c>
      <c r="G118" s="355">
        <v>0</v>
      </c>
      <c r="H118" s="109" t="s">
        <v>21</v>
      </c>
      <c r="I118" s="38" t="s">
        <v>21</v>
      </c>
      <c r="J118" s="38" t="s">
        <v>21</v>
      </c>
      <c r="K118" s="38" t="s">
        <v>21</v>
      </c>
      <c r="L118" s="38" t="s">
        <v>21</v>
      </c>
      <c r="M118" s="38">
        <v>65</v>
      </c>
      <c r="N118" s="38">
        <v>100</v>
      </c>
      <c r="O118" s="38">
        <v>65</v>
      </c>
      <c r="P118" s="38">
        <v>13</v>
      </c>
      <c r="Q118" s="219">
        <v>85</v>
      </c>
      <c r="R118" s="219">
        <v>75</v>
      </c>
      <c r="S118" s="219">
        <v>86</v>
      </c>
      <c r="T118" s="219">
        <v>182</v>
      </c>
      <c r="U118" s="224">
        <v>48</v>
      </c>
      <c r="V118" s="224">
        <v>122</v>
      </c>
      <c r="W118" s="224">
        <v>312</v>
      </c>
      <c r="X118" s="224">
        <v>80</v>
      </c>
      <c r="Y118" s="224">
        <v>98</v>
      </c>
      <c r="Z118" s="224">
        <v>84</v>
      </c>
      <c r="AA118" s="224">
        <v>301</v>
      </c>
      <c r="AB118" s="224">
        <v>187</v>
      </c>
      <c r="AC118" s="224">
        <v>64</v>
      </c>
      <c r="AD118" s="224">
        <v>5</v>
      </c>
      <c r="AE118" s="223">
        <v>0</v>
      </c>
      <c r="AF118" s="223">
        <v>0</v>
      </c>
      <c r="AG118" s="223">
        <v>0</v>
      </c>
      <c r="AH118" s="223">
        <v>0</v>
      </c>
      <c r="AI118" s="223">
        <v>0</v>
      </c>
      <c r="AJ118" s="223" t="s">
        <v>21</v>
      </c>
      <c r="AK118" s="223" t="s">
        <v>21</v>
      </c>
      <c r="AL118" s="223" t="s">
        <v>21</v>
      </c>
      <c r="AM118" s="223" t="s">
        <v>21</v>
      </c>
      <c r="AN118" s="223" t="s">
        <v>21</v>
      </c>
      <c r="AO118" s="223" t="s">
        <v>21</v>
      </c>
      <c r="AP118" s="223" t="s">
        <v>21</v>
      </c>
      <c r="AQ118" s="223" t="s">
        <v>21</v>
      </c>
      <c r="AR118" s="223" t="s">
        <v>21</v>
      </c>
      <c r="AS118" s="223" t="s">
        <v>21</v>
      </c>
      <c r="AT118" s="223" t="s">
        <v>21</v>
      </c>
      <c r="AU118" s="223" t="s">
        <v>21</v>
      </c>
      <c r="AV118" s="223" t="s">
        <v>21</v>
      </c>
      <c r="AW118" s="223" t="s">
        <v>21</v>
      </c>
      <c r="AX118" s="223" t="s">
        <v>21</v>
      </c>
      <c r="AY118" s="223" t="s">
        <v>21</v>
      </c>
      <c r="AZ118" s="223" t="s">
        <v>21</v>
      </c>
      <c r="BA118" s="223" t="s">
        <v>21</v>
      </c>
      <c r="BB118" s="223" t="s">
        <v>21</v>
      </c>
      <c r="BC118" s="223" t="s">
        <v>21</v>
      </c>
      <c r="BD118" s="223" t="s">
        <v>21</v>
      </c>
    </row>
    <row r="119" spans="1:56">
      <c r="A119" s="1075" t="s">
        <v>1317</v>
      </c>
      <c r="B119" s="55" t="s">
        <v>1317</v>
      </c>
      <c r="C119" s="60" t="s">
        <v>1317</v>
      </c>
      <c r="D119" s="60" t="s">
        <v>1317</v>
      </c>
      <c r="E119" s="56" t="s">
        <v>1317</v>
      </c>
      <c r="F119" s="56"/>
      <c r="G119" s="38" t="s">
        <v>21</v>
      </c>
      <c r="H119" s="109" t="s">
        <v>21</v>
      </c>
      <c r="I119" s="57" t="s">
        <v>1317</v>
      </c>
      <c r="J119" s="57" t="s">
        <v>1317</v>
      </c>
      <c r="K119" s="57" t="s">
        <v>1317</v>
      </c>
      <c r="L119" s="57" t="s">
        <v>1317</v>
      </c>
      <c r="M119" s="57" t="s">
        <v>1317</v>
      </c>
      <c r="N119" s="57" t="s">
        <v>1317</v>
      </c>
      <c r="O119" s="57" t="s">
        <v>1317</v>
      </c>
      <c r="P119" s="57" t="s">
        <v>1317</v>
      </c>
      <c r="Q119" s="238" t="s">
        <v>1317</v>
      </c>
      <c r="R119" s="238" t="s">
        <v>1317</v>
      </c>
      <c r="S119" s="238" t="s">
        <v>1317</v>
      </c>
      <c r="T119" s="238" t="s">
        <v>1317</v>
      </c>
      <c r="U119" s="239"/>
      <c r="V119" s="239"/>
      <c r="W119" s="239"/>
      <c r="X119" s="239"/>
      <c r="Y119" s="224"/>
      <c r="Z119" s="224"/>
      <c r="AA119" s="224"/>
      <c r="AB119" s="224"/>
      <c r="AC119" s="224"/>
      <c r="AD119" s="224" t="s">
        <v>21</v>
      </c>
      <c r="AE119" s="223" t="s">
        <v>21</v>
      </c>
      <c r="AF119" s="223" t="s">
        <v>21</v>
      </c>
      <c r="AG119" s="223" t="s">
        <v>21</v>
      </c>
      <c r="AH119" s="223" t="s">
        <v>21</v>
      </c>
      <c r="AI119" s="223" t="s">
        <v>21</v>
      </c>
      <c r="AJ119" s="223" t="s">
        <v>21</v>
      </c>
      <c r="AK119" s="223" t="s">
        <v>21</v>
      </c>
      <c r="AL119" s="223" t="s">
        <v>21</v>
      </c>
      <c r="AM119" s="223" t="s">
        <v>21</v>
      </c>
      <c r="AN119" s="223" t="s">
        <v>21</v>
      </c>
      <c r="AO119" s="223" t="s">
        <v>21</v>
      </c>
      <c r="AP119" s="223" t="s">
        <v>21</v>
      </c>
      <c r="AQ119" s="223" t="s">
        <v>21</v>
      </c>
      <c r="AR119" s="223" t="s">
        <v>21</v>
      </c>
      <c r="AS119" s="223" t="s">
        <v>21</v>
      </c>
      <c r="AT119" s="223" t="s">
        <v>21</v>
      </c>
      <c r="AU119" s="223" t="s">
        <v>21</v>
      </c>
      <c r="AV119" s="223" t="s">
        <v>21</v>
      </c>
      <c r="AW119" s="223" t="s">
        <v>21</v>
      </c>
      <c r="AX119" s="223" t="s">
        <v>21</v>
      </c>
      <c r="AY119" s="223" t="s">
        <v>21</v>
      </c>
      <c r="AZ119" s="223" t="s">
        <v>21</v>
      </c>
      <c r="BA119" s="223" t="s">
        <v>21</v>
      </c>
      <c r="BB119" s="223" t="s">
        <v>21</v>
      </c>
      <c r="BC119" s="223" t="s">
        <v>21</v>
      </c>
      <c r="BD119" s="223" t="s">
        <v>21</v>
      </c>
    </row>
    <row r="120" spans="1:56">
      <c r="A120" s="1076" t="s">
        <v>1473</v>
      </c>
      <c r="B120" s="55" t="s">
        <v>992</v>
      </c>
      <c r="C120" s="57" t="s">
        <v>990</v>
      </c>
      <c r="D120" s="115" t="s">
        <v>1521</v>
      </c>
      <c r="E120" s="106" t="s">
        <v>438</v>
      </c>
      <c r="F120" s="68" t="s">
        <v>20</v>
      </c>
      <c r="G120" s="355">
        <v>0</v>
      </c>
      <c r="H120" s="109">
        <v>0</v>
      </c>
      <c r="I120" s="38" t="s">
        <v>21</v>
      </c>
      <c r="J120" s="38" t="s">
        <v>21</v>
      </c>
      <c r="K120" s="38" t="s">
        <v>21</v>
      </c>
      <c r="L120" s="38" t="s">
        <v>21</v>
      </c>
      <c r="M120" s="38" t="s">
        <v>21</v>
      </c>
      <c r="N120" s="38" t="s">
        <v>21</v>
      </c>
      <c r="O120" s="38">
        <v>25</v>
      </c>
      <c r="P120" s="38">
        <v>5</v>
      </c>
      <c r="Q120" s="219">
        <v>63</v>
      </c>
      <c r="R120" s="219">
        <v>6</v>
      </c>
      <c r="S120" s="219">
        <v>35</v>
      </c>
      <c r="T120" s="219">
        <v>45</v>
      </c>
      <c r="U120" s="224">
        <v>18</v>
      </c>
      <c r="V120" s="224">
        <v>57</v>
      </c>
      <c r="W120" s="224">
        <v>59</v>
      </c>
      <c r="X120" s="224">
        <v>54</v>
      </c>
      <c r="Y120" s="224">
        <v>58</v>
      </c>
      <c r="Z120" s="224">
        <v>57</v>
      </c>
      <c r="AA120" s="224">
        <v>103</v>
      </c>
      <c r="AB120" s="224">
        <v>20</v>
      </c>
      <c r="AC120" s="224">
        <v>25</v>
      </c>
      <c r="AD120" s="224">
        <v>3</v>
      </c>
      <c r="AE120" s="223">
        <v>2</v>
      </c>
      <c r="AF120" s="223">
        <v>2</v>
      </c>
      <c r="AG120" s="223">
        <v>0</v>
      </c>
      <c r="AH120" s="223">
        <v>8</v>
      </c>
      <c r="AI120" s="223">
        <v>2</v>
      </c>
      <c r="AJ120" s="223">
        <v>0</v>
      </c>
      <c r="AK120" s="223">
        <v>0</v>
      </c>
      <c r="AL120" s="223">
        <v>0</v>
      </c>
      <c r="AM120" s="223" t="s">
        <v>21</v>
      </c>
      <c r="AN120" s="223" t="s">
        <v>21</v>
      </c>
      <c r="AO120" s="223" t="s">
        <v>21</v>
      </c>
      <c r="AP120" s="223" t="s">
        <v>21</v>
      </c>
      <c r="AQ120" s="223" t="s">
        <v>21</v>
      </c>
      <c r="AR120" s="223" t="s">
        <v>21</v>
      </c>
      <c r="AS120" s="223" t="s">
        <v>21</v>
      </c>
      <c r="AT120" s="223" t="s">
        <v>21</v>
      </c>
      <c r="AU120" s="223" t="s">
        <v>21</v>
      </c>
      <c r="AV120" s="223" t="s">
        <v>21</v>
      </c>
      <c r="AW120" s="223" t="s">
        <v>21</v>
      </c>
      <c r="AX120" s="223" t="s">
        <v>21</v>
      </c>
      <c r="AY120" s="223" t="s">
        <v>21</v>
      </c>
      <c r="AZ120" s="223" t="s">
        <v>21</v>
      </c>
      <c r="BA120" s="223" t="s">
        <v>21</v>
      </c>
      <c r="BB120" s="223" t="s">
        <v>21</v>
      </c>
      <c r="BC120" s="223" t="s">
        <v>21</v>
      </c>
      <c r="BD120" s="223" t="s">
        <v>21</v>
      </c>
    </row>
    <row r="121" spans="1:56">
      <c r="A121" s="1077"/>
      <c r="B121" s="206" t="s">
        <v>1522</v>
      </c>
      <c r="C121" s="206"/>
      <c r="D121" s="205"/>
      <c r="E121" s="205"/>
      <c r="F121" s="205"/>
      <c r="G121" s="207">
        <v>0</v>
      </c>
      <c r="H121" s="365"/>
      <c r="I121" s="366">
        <v>0</v>
      </c>
      <c r="J121" s="366">
        <v>50</v>
      </c>
      <c r="K121" s="366">
        <v>4</v>
      </c>
      <c r="L121" s="366">
        <v>20</v>
      </c>
      <c r="M121" s="366">
        <v>106</v>
      </c>
      <c r="N121" s="366">
        <v>292</v>
      </c>
      <c r="O121" s="366">
        <v>279</v>
      </c>
      <c r="P121" s="366">
        <v>61</v>
      </c>
      <c r="Q121" s="366">
        <v>409</v>
      </c>
      <c r="R121" s="366">
        <v>188</v>
      </c>
      <c r="S121" s="366">
        <v>293</v>
      </c>
      <c r="T121" s="366">
        <v>469</v>
      </c>
      <c r="U121" s="366">
        <v>374</v>
      </c>
      <c r="V121" s="366">
        <v>461</v>
      </c>
      <c r="W121" s="366">
        <v>922</v>
      </c>
      <c r="X121" s="366">
        <v>294</v>
      </c>
      <c r="Y121" s="366">
        <v>228</v>
      </c>
      <c r="Z121" s="366">
        <v>156</v>
      </c>
      <c r="AA121" s="366">
        <v>354</v>
      </c>
      <c r="AB121" s="366">
        <v>221</v>
      </c>
      <c r="AC121" s="642">
        <v>123</v>
      </c>
      <c r="AD121" s="642">
        <v>24</v>
      </c>
      <c r="AE121" s="642">
        <v>9</v>
      </c>
      <c r="AF121" s="366">
        <v>13</v>
      </c>
      <c r="AG121" s="366">
        <v>0</v>
      </c>
      <c r="AH121" s="642">
        <v>8</v>
      </c>
      <c r="AI121" s="642">
        <v>2</v>
      </c>
      <c r="AJ121" s="642">
        <v>0</v>
      </c>
      <c r="AK121" s="642">
        <v>0</v>
      </c>
      <c r="AL121" s="642">
        <v>0</v>
      </c>
      <c r="AM121" s="642">
        <v>0</v>
      </c>
      <c r="AN121" s="642">
        <v>0</v>
      </c>
      <c r="AO121" s="642">
        <v>0</v>
      </c>
      <c r="AP121" s="642">
        <v>0</v>
      </c>
      <c r="AQ121" s="642">
        <v>0</v>
      </c>
      <c r="AR121" s="642">
        <v>0</v>
      </c>
      <c r="AS121" s="642">
        <v>0</v>
      </c>
      <c r="AT121" s="642">
        <v>0</v>
      </c>
      <c r="AU121" s="642">
        <v>0</v>
      </c>
      <c r="AV121" s="642">
        <v>0</v>
      </c>
      <c r="AW121" s="642">
        <v>0</v>
      </c>
      <c r="AX121" s="642">
        <v>0</v>
      </c>
      <c r="AY121" s="642">
        <v>0</v>
      </c>
      <c r="AZ121" s="642">
        <v>0</v>
      </c>
      <c r="BA121" s="642">
        <v>0</v>
      </c>
      <c r="BB121" s="642">
        <v>0</v>
      </c>
      <c r="BC121" s="642">
        <v>0</v>
      </c>
      <c r="BD121" s="642">
        <v>0</v>
      </c>
    </row>
    <row r="122" spans="1:56" ht="19.5" thickBot="1">
      <c r="A122" s="1078"/>
      <c r="B122" s="210" t="s">
        <v>1523</v>
      </c>
      <c r="C122" s="210"/>
      <c r="D122" s="211"/>
      <c r="E122" s="211"/>
      <c r="F122" s="211"/>
      <c r="G122" s="285"/>
      <c r="H122" s="325"/>
      <c r="I122" s="326">
        <v>2330</v>
      </c>
      <c r="J122" s="326">
        <v>2151</v>
      </c>
      <c r="K122" s="326">
        <v>2783</v>
      </c>
      <c r="L122" s="326">
        <v>1861</v>
      </c>
      <c r="M122" s="326">
        <v>1433</v>
      </c>
      <c r="N122" s="326">
        <v>1179</v>
      </c>
      <c r="O122" s="326">
        <v>1175</v>
      </c>
      <c r="P122" s="326">
        <v>983.72870747183322</v>
      </c>
      <c r="Q122" s="327">
        <v>1051.1538846621038</v>
      </c>
      <c r="R122" s="327">
        <v>1051.8028635265428</v>
      </c>
      <c r="S122" s="327">
        <v>1129.0502203031988</v>
      </c>
      <c r="T122" s="327">
        <v>1411.3588985813017</v>
      </c>
      <c r="U122" s="327">
        <v>1377.708661429612</v>
      </c>
      <c r="V122" s="328">
        <v>1606.0711358555175</v>
      </c>
      <c r="W122" s="327">
        <v>1790.838688195653</v>
      </c>
      <c r="X122" s="327">
        <v>1498.3237009929553</v>
      </c>
      <c r="Y122" s="327">
        <v>1292.4816273304011</v>
      </c>
      <c r="Z122" s="327">
        <v>1290.1841465528341</v>
      </c>
      <c r="AA122" s="327">
        <v>1366.2158117693425</v>
      </c>
      <c r="AB122" s="327"/>
      <c r="AC122" s="643"/>
      <c r="AD122" s="643"/>
      <c r="AE122" s="643"/>
      <c r="AF122" s="327"/>
      <c r="AG122" s="329"/>
      <c r="AH122" s="644"/>
      <c r="AI122" s="644"/>
      <c r="AJ122" s="644"/>
      <c r="AK122" s="644"/>
      <c r="AL122" s="644"/>
      <c r="AM122" s="644"/>
      <c r="AN122" s="644"/>
      <c r="AO122" s="644"/>
      <c r="AP122" s="644"/>
      <c r="AQ122" s="644"/>
      <c r="AR122" s="644"/>
      <c r="AS122" s="644"/>
      <c r="AT122" s="644"/>
      <c r="AU122" s="644"/>
      <c r="AV122" s="644"/>
      <c r="AW122" s="644"/>
      <c r="AX122" s="644"/>
      <c r="AY122" s="644"/>
      <c r="AZ122" s="644"/>
      <c r="BA122" s="644"/>
      <c r="BB122" s="644"/>
      <c r="BC122" s="644"/>
      <c r="BD122" s="644"/>
    </row>
    <row r="123" spans="1:56">
      <c r="T123" s="307"/>
      <c r="AC123" s="75"/>
      <c r="AD123" s="75"/>
      <c r="AE123" s="75"/>
    </row>
    <row r="124" spans="1:56">
      <c r="I124" s="20"/>
      <c r="J124" s="20"/>
      <c r="K124" s="20"/>
      <c r="L124" s="20"/>
      <c r="M124" s="20"/>
      <c r="AC124" s="75"/>
      <c r="AD124" s="75"/>
      <c r="AE124" s="75"/>
    </row>
    <row r="125" spans="1:56">
      <c r="B125" s="150" t="s">
        <v>1524</v>
      </c>
      <c r="D125" s="46"/>
      <c r="I125" s="16"/>
      <c r="J125" s="16"/>
      <c r="K125" s="16"/>
      <c r="L125" s="16"/>
      <c r="M125" s="16"/>
      <c r="AC125" s="75"/>
      <c r="AD125" s="75"/>
      <c r="AE125" s="75"/>
    </row>
    <row r="126" spans="1:56">
      <c r="I126" s="16"/>
      <c r="J126" s="16"/>
      <c r="K126" s="16"/>
      <c r="L126" s="16"/>
      <c r="M126" s="16"/>
      <c r="AC126" s="75"/>
      <c r="AD126" s="75"/>
      <c r="AE126" s="75"/>
    </row>
    <row r="127" spans="1:56" ht="19.5" thickBot="1">
      <c r="I127" s="17"/>
      <c r="J127" s="17"/>
      <c r="K127" s="17"/>
      <c r="L127" s="17"/>
      <c r="M127" s="17"/>
      <c r="AC127" s="75"/>
      <c r="AD127" s="75"/>
      <c r="AE127" s="75"/>
    </row>
    <row r="128" spans="1:56" ht="19.5" thickTop="1">
      <c r="I128" s="16"/>
      <c r="J128" s="16"/>
      <c r="K128" s="16"/>
      <c r="L128" s="16"/>
      <c r="M128" s="16"/>
      <c r="N128" s="16"/>
      <c r="AC128" s="75"/>
      <c r="AD128" s="75"/>
      <c r="AE128" s="75"/>
    </row>
    <row r="129" spans="2:31">
      <c r="I129" s="16"/>
      <c r="J129" s="16"/>
      <c r="K129" s="16"/>
      <c r="L129" s="16"/>
      <c r="M129" s="16"/>
      <c r="AC129" s="75"/>
      <c r="AD129" s="75"/>
      <c r="AE129" s="75"/>
    </row>
    <row r="130" spans="2:31">
      <c r="C130"/>
      <c r="M130" s="19"/>
      <c r="AC130" s="75"/>
      <c r="AD130" s="75"/>
      <c r="AE130" s="75"/>
    </row>
    <row r="131" spans="2:31">
      <c r="C131"/>
      <c r="I131" s="16"/>
      <c r="J131" s="16"/>
      <c r="K131" s="16"/>
      <c r="L131" s="16"/>
      <c r="M131" s="16"/>
      <c r="AC131" s="75"/>
      <c r="AD131" s="75"/>
      <c r="AE131" s="75"/>
    </row>
    <row r="132" spans="2:31">
      <c r="C132"/>
      <c r="I132" s="16"/>
      <c r="J132" s="16"/>
      <c r="K132" s="16"/>
      <c r="L132" s="16"/>
      <c r="M132" s="16"/>
      <c r="AC132" s="75"/>
      <c r="AD132" s="75"/>
      <c r="AE132" s="75"/>
    </row>
    <row r="133" spans="2:31" ht="19.5" thickBot="1">
      <c r="C133"/>
      <c r="I133" s="17"/>
      <c r="J133" s="17"/>
      <c r="K133" s="17"/>
      <c r="L133" s="17"/>
      <c r="M133" s="17"/>
      <c r="AC133" s="75"/>
      <c r="AD133" s="75"/>
      <c r="AE133" s="75"/>
    </row>
    <row r="134" spans="2:31" ht="19.5" thickTop="1">
      <c r="C134"/>
      <c r="I134" s="16"/>
      <c r="J134" s="16"/>
      <c r="K134" s="16"/>
      <c r="L134" s="16"/>
      <c r="M134" s="16"/>
      <c r="N134" s="16"/>
      <c r="AC134" s="75"/>
      <c r="AD134" s="75"/>
      <c r="AE134" s="75"/>
    </row>
    <row r="135" spans="2:31">
      <c r="C135"/>
      <c r="AC135" s="75"/>
      <c r="AD135" s="75"/>
      <c r="AE135" s="75"/>
    </row>
    <row r="136" spans="2:31">
      <c r="C136"/>
      <c r="I136" s="16"/>
      <c r="J136" s="16"/>
      <c r="K136" s="16"/>
      <c r="L136" s="16"/>
      <c r="M136" s="16"/>
      <c r="N136" s="16"/>
      <c r="AC136" s="75"/>
      <c r="AD136" s="75"/>
      <c r="AE136" s="75"/>
    </row>
    <row r="137" spans="2:31">
      <c r="I137" s="16"/>
      <c r="J137" s="16"/>
      <c r="K137" s="16"/>
      <c r="L137" s="16"/>
      <c r="M137" s="16"/>
      <c r="N137" s="16"/>
      <c r="AC137" s="75"/>
      <c r="AD137" s="75"/>
      <c r="AE137" s="75"/>
    </row>
    <row r="138" spans="2:31">
      <c r="I138" s="18"/>
      <c r="J138" s="18"/>
      <c r="K138" s="18"/>
      <c r="L138" s="18"/>
      <c r="M138" s="18"/>
      <c r="AC138" s="75"/>
      <c r="AD138" s="75"/>
      <c r="AE138" s="75"/>
    </row>
    <row r="139" spans="2:31">
      <c r="I139" s="16"/>
      <c r="J139" s="16"/>
      <c r="K139" s="16"/>
      <c r="L139" s="16"/>
      <c r="M139" s="16"/>
      <c r="N139" s="16"/>
      <c r="AC139" s="75"/>
      <c r="AD139" s="75"/>
      <c r="AE139" s="75"/>
    </row>
    <row r="140" spans="2:31">
      <c r="I140" s="16"/>
      <c r="J140" s="16"/>
      <c r="K140" s="16"/>
      <c r="L140" s="16"/>
      <c r="M140" s="16"/>
      <c r="N140" s="16"/>
      <c r="AC140" s="75"/>
      <c r="AD140" s="75"/>
      <c r="AE140" s="75"/>
    </row>
    <row r="141" spans="2:31" ht="19.5" thickBot="1">
      <c r="I141" s="17"/>
      <c r="J141" s="17"/>
      <c r="K141" s="17"/>
      <c r="L141" s="17"/>
      <c r="M141" s="17"/>
      <c r="N141" s="16"/>
      <c r="AC141" s="75"/>
      <c r="AD141" s="75"/>
      <c r="AE141" s="75"/>
    </row>
    <row r="142" spans="2:31" ht="19.5" thickTop="1">
      <c r="I142" s="16"/>
      <c r="J142" s="16"/>
      <c r="K142" s="16"/>
      <c r="L142" s="16"/>
      <c r="M142" s="16"/>
      <c r="N142" s="16"/>
      <c r="AC142" s="75"/>
      <c r="AD142" s="75"/>
      <c r="AE142" s="75"/>
    </row>
    <row r="143" spans="2:31">
      <c r="AC143" s="75"/>
      <c r="AD143" s="75"/>
      <c r="AE143" s="75"/>
    </row>
    <row r="144" spans="2:31">
      <c r="B144" s="113" t="s">
        <v>914</v>
      </c>
      <c r="AC144" s="75"/>
      <c r="AD144" s="75"/>
      <c r="AE144" s="75"/>
    </row>
    <row r="145" spans="1:51">
      <c r="A145" s="1060" t="s">
        <v>1361</v>
      </c>
      <c r="B145" s="26" t="s">
        <v>1743</v>
      </c>
      <c r="C145" s="26" t="s">
        <v>315</v>
      </c>
      <c r="D145" s="26" t="s">
        <v>1365</v>
      </c>
      <c r="E145" s="26">
        <v>4060</v>
      </c>
      <c r="F145" s="26" t="s">
        <v>20</v>
      </c>
      <c r="G145" s="43">
        <v>0</v>
      </c>
      <c r="H145" s="109"/>
      <c r="I145" s="38"/>
      <c r="J145" s="38"/>
      <c r="K145" s="38"/>
      <c r="L145" s="38"/>
      <c r="M145" s="38"/>
      <c r="N145" s="38"/>
      <c r="O145" s="38"/>
      <c r="P145" s="38"/>
      <c r="Q145" s="219"/>
      <c r="R145" s="219"/>
      <c r="S145" s="219"/>
      <c r="T145" s="219"/>
      <c r="U145" s="224">
        <v>543</v>
      </c>
      <c r="V145" s="224">
        <v>619</v>
      </c>
      <c r="W145" s="469">
        <v>739</v>
      </c>
      <c r="X145" s="508">
        <v>804</v>
      </c>
      <c r="Y145" s="508">
        <v>695</v>
      </c>
      <c r="Z145" s="508">
        <v>928</v>
      </c>
      <c r="AA145" s="508">
        <v>920</v>
      </c>
      <c r="AB145" s="508">
        <v>57</v>
      </c>
      <c r="AC145" s="241"/>
      <c r="AD145" s="241">
        <v>5</v>
      </c>
      <c r="AE145" s="223">
        <v>4</v>
      </c>
      <c r="AF145" s="223"/>
      <c r="AG145" s="223"/>
      <c r="AH145" s="223"/>
      <c r="AI145" s="223"/>
      <c r="AJ145" s="223"/>
      <c r="AK145" s="223"/>
      <c r="AL145" s="223"/>
      <c r="AM145" s="223"/>
      <c r="AN145" s="223"/>
      <c r="AO145" s="223"/>
      <c r="AP145" s="224" t="s">
        <v>21</v>
      </c>
      <c r="AQ145" s="224" t="s">
        <v>21</v>
      </c>
      <c r="AR145" s="224" t="s">
        <v>21</v>
      </c>
      <c r="AS145" s="21"/>
      <c r="AT145" s="21"/>
      <c r="AU145" s="21"/>
      <c r="AV145" s="21"/>
      <c r="AW145" s="21"/>
      <c r="AX145" s="21"/>
      <c r="AY145" s="21"/>
    </row>
    <row r="146" spans="1:51">
      <c r="A146" s="1059"/>
      <c r="B146" s="26" t="s">
        <v>163</v>
      </c>
      <c r="C146" s="25" t="s">
        <v>24</v>
      </c>
      <c r="D146" s="26" t="s">
        <v>25</v>
      </c>
      <c r="E146" s="24">
        <v>4090</v>
      </c>
      <c r="F146" s="24" t="s">
        <v>20</v>
      </c>
      <c r="G146" s="38">
        <v>0</v>
      </c>
      <c r="H146" s="109" t="s">
        <v>21</v>
      </c>
      <c r="I146" s="38"/>
      <c r="J146" s="38"/>
      <c r="K146" s="38"/>
      <c r="L146" s="38"/>
      <c r="M146" s="38"/>
      <c r="N146" s="38"/>
      <c r="O146" s="38"/>
      <c r="P146" s="38"/>
      <c r="Q146" s="219"/>
      <c r="R146" s="219"/>
      <c r="S146" s="219"/>
      <c r="T146" s="222"/>
      <c r="U146" s="223">
        <v>57</v>
      </c>
      <c r="V146" s="223">
        <v>27</v>
      </c>
      <c r="W146" s="222">
        <v>6</v>
      </c>
      <c r="X146" s="508">
        <v>28</v>
      </c>
      <c r="Y146" s="508">
        <v>2</v>
      </c>
      <c r="Z146" s="508">
        <v>1</v>
      </c>
      <c r="AA146" s="508">
        <v>2</v>
      </c>
      <c r="AB146" s="508"/>
      <c r="AC146" s="241"/>
      <c r="AD146" s="241" t="s">
        <v>21</v>
      </c>
      <c r="AE146" s="887"/>
      <c r="AF146" s="299"/>
      <c r="AG146" s="299"/>
      <c r="AH146" s="477"/>
      <c r="AI146" s="477"/>
      <c r="AJ146" s="477"/>
      <c r="AK146" s="477"/>
      <c r="AL146" s="477"/>
      <c r="AM146" s="477"/>
      <c r="AN146" s="224"/>
      <c r="AO146" s="224"/>
      <c r="AP146" s="224" t="s">
        <v>21</v>
      </c>
      <c r="AQ146" s="224" t="s">
        <v>21</v>
      </c>
      <c r="AR146" s="224" t="s">
        <v>21</v>
      </c>
      <c r="AS146" s="21"/>
      <c r="AT146" s="21"/>
      <c r="AU146" s="21"/>
      <c r="AV146" s="21"/>
      <c r="AW146" s="21"/>
      <c r="AX146" s="21"/>
      <c r="AY146" s="21"/>
    </row>
    <row r="147" spans="1:51">
      <c r="A147" s="1080"/>
      <c r="B147" s="87" t="s">
        <v>31</v>
      </c>
      <c r="C147" s="62" t="s">
        <v>32</v>
      </c>
      <c r="D147" s="87" t="s">
        <v>25</v>
      </c>
      <c r="E147" s="86">
        <v>4060</v>
      </c>
      <c r="F147" s="86" t="s">
        <v>20</v>
      </c>
      <c r="G147" s="74">
        <v>0</v>
      </c>
      <c r="H147" s="38">
        <v>0</v>
      </c>
      <c r="I147" s="74"/>
      <c r="J147" s="74"/>
      <c r="K147" s="74"/>
      <c r="L147" s="74"/>
      <c r="M147" s="74"/>
      <c r="N147" s="74"/>
      <c r="O147" s="74"/>
      <c r="P147" s="74"/>
      <c r="Q147" s="224"/>
      <c r="R147" s="224"/>
      <c r="S147" s="224"/>
      <c r="T147" s="224"/>
      <c r="U147" s="224"/>
      <c r="V147" s="224" t="s">
        <v>21</v>
      </c>
      <c r="W147" s="224" t="s">
        <v>21</v>
      </c>
      <c r="X147" s="237" t="s">
        <v>21</v>
      </c>
      <c r="Y147" s="224" t="s">
        <v>21</v>
      </c>
      <c r="Z147" s="224" t="s">
        <v>21</v>
      </c>
      <c r="AA147" s="224" t="s">
        <v>21</v>
      </c>
      <c r="AB147" s="224" t="s">
        <v>21</v>
      </c>
      <c r="AC147" s="224" t="s">
        <v>21</v>
      </c>
      <c r="AD147" s="224" t="s">
        <v>21</v>
      </c>
      <c r="AE147" s="224" t="s">
        <v>21</v>
      </c>
      <c r="AF147" s="224" t="s">
        <v>21</v>
      </c>
      <c r="AG147" s="224" t="s">
        <v>21</v>
      </c>
      <c r="AH147" s="224" t="s">
        <v>21</v>
      </c>
      <c r="AI147" s="80"/>
      <c r="AJ147" s="80"/>
      <c r="AK147" s="77"/>
      <c r="AL147" s="77"/>
      <c r="AM147" s="77"/>
      <c r="AN147" s="77"/>
      <c r="AO147" s="77"/>
      <c r="AP147" s="77"/>
      <c r="AQ147" s="77"/>
      <c r="AR147" s="77"/>
      <c r="AS147" s="77"/>
      <c r="AT147" s="77"/>
      <c r="AU147" s="77"/>
      <c r="AV147" s="77"/>
      <c r="AW147" s="77"/>
      <c r="AX147" s="77"/>
      <c r="AY147" s="77"/>
    </row>
    <row r="148" spans="1:51">
      <c r="A148" s="1059"/>
      <c r="B148" s="26" t="s">
        <v>41</v>
      </c>
      <c r="C148" s="26" t="s">
        <v>42</v>
      </c>
      <c r="D148" s="26" t="s">
        <v>38</v>
      </c>
      <c r="E148" s="26">
        <v>4050</v>
      </c>
      <c r="F148" s="26"/>
      <c r="G148" s="43">
        <v>0</v>
      </c>
      <c r="H148" s="38">
        <v>0</v>
      </c>
      <c r="I148" s="38"/>
      <c r="J148" s="38"/>
      <c r="K148" s="38"/>
      <c r="L148" s="38"/>
      <c r="M148" s="38"/>
      <c r="N148" s="38"/>
      <c r="O148" s="38"/>
      <c r="P148" s="38"/>
      <c r="Q148" s="219"/>
      <c r="R148" s="219"/>
      <c r="S148" s="219"/>
      <c r="T148" s="219"/>
      <c r="U148" s="224"/>
      <c r="V148" s="224" t="s">
        <v>21</v>
      </c>
      <c r="W148" s="224" t="s">
        <v>21</v>
      </c>
      <c r="X148" s="237" t="s">
        <v>21</v>
      </c>
      <c r="Y148" s="224" t="s">
        <v>21</v>
      </c>
      <c r="Z148" s="238"/>
      <c r="AA148" s="238"/>
      <c r="AB148" s="238"/>
      <c r="AC148" s="239"/>
      <c r="AD148" s="239"/>
      <c r="AE148" s="239"/>
      <c r="AF148" s="238"/>
      <c r="AG148" s="238"/>
      <c r="AH148" s="238"/>
      <c r="AI148" s="23"/>
      <c r="AJ148" s="23"/>
      <c r="AK148" s="21"/>
      <c r="AL148" s="21"/>
      <c r="AM148" s="21"/>
      <c r="AN148" s="21"/>
      <c r="AO148" s="21"/>
      <c r="AP148" s="21"/>
      <c r="AQ148" s="21"/>
      <c r="AR148" s="21"/>
      <c r="AS148" s="21"/>
      <c r="AT148" s="21"/>
      <c r="AU148" s="21"/>
      <c r="AV148" s="21"/>
      <c r="AW148" s="21"/>
      <c r="AX148" s="21"/>
      <c r="AY148" s="21"/>
    </row>
    <row r="149" spans="1:51">
      <c r="A149" s="1059"/>
      <c r="B149" s="26" t="s">
        <v>36</v>
      </c>
      <c r="C149" s="26" t="s">
        <v>37</v>
      </c>
      <c r="D149" s="26" t="s">
        <v>38</v>
      </c>
      <c r="E149" s="26">
        <v>4060</v>
      </c>
      <c r="F149" s="26" t="s">
        <v>20</v>
      </c>
      <c r="G149" s="43">
        <v>0</v>
      </c>
      <c r="H149" s="38">
        <v>0</v>
      </c>
      <c r="I149" s="38"/>
      <c r="J149" s="38"/>
      <c r="K149" s="38"/>
      <c r="L149" s="38"/>
      <c r="M149" s="38"/>
      <c r="N149" s="38"/>
      <c r="O149" s="38"/>
      <c r="P149" s="38"/>
      <c r="Q149" s="219"/>
      <c r="R149" s="219"/>
      <c r="S149" s="219"/>
      <c r="T149" s="219"/>
      <c r="U149" s="224"/>
      <c r="V149" s="224" t="s">
        <v>21</v>
      </c>
      <c r="W149" s="224" t="s">
        <v>21</v>
      </c>
      <c r="X149" s="237" t="s">
        <v>21</v>
      </c>
      <c r="Y149" s="224" t="s">
        <v>21</v>
      </c>
      <c r="Z149" s="238"/>
      <c r="AA149" s="238"/>
      <c r="AB149" s="238"/>
      <c r="AC149" s="239"/>
      <c r="AD149" s="239"/>
      <c r="AE149" s="239"/>
      <c r="AF149" s="238"/>
      <c r="AG149" s="238"/>
      <c r="AH149" s="238"/>
      <c r="AI149" s="23"/>
      <c r="AJ149" s="23"/>
      <c r="AK149" s="21"/>
      <c r="AL149" s="21"/>
      <c r="AM149" s="21"/>
      <c r="AN149" s="21"/>
      <c r="AO149" s="21"/>
      <c r="AP149" s="21"/>
      <c r="AQ149" s="21"/>
      <c r="AR149" s="21"/>
      <c r="AS149" s="21"/>
      <c r="AT149" s="21"/>
      <c r="AU149" s="21"/>
      <c r="AV149" s="21"/>
      <c r="AW149" s="21"/>
      <c r="AX149" s="21"/>
      <c r="AY149" s="21"/>
    </row>
    <row r="150" spans="1:51" ht="16.149999999999999" customHeight="1">
      <c r="A150" s="1059" t="s">
        <v>16</v>
      </c>
      <c r="B150" s="26" t="s">
        <v>17</v>
      </c>
      <c r="C150" s="25" t="s">
        <v>18</v>
      </c>
      <c r="D150" s="26" t="s">
        <v>19</v>
      </c>
      <c r="E150" s="24">
        <v>4090</v>
      </c>
      <c r="F150" s="24" t="s">
        <v>20</v>
      </c>
      <c r="G150" s="38">
        <v>0</v>
      </c>
      <c r="H150" s="38">
        <v>0</v>
      </c>
      <c r="I150" s="38"/>
      <c r="J150" s="38"/>
      <c r="K150" s="38"/>
      <c r="L150" s="38"/>
      <c r="M150" s="38"/>
      <c r="N150" s="38"/>
      <c r="O150" s="38"/>
      <c r="P150" s="38"/>
      <c r="Q150" s="219"/>
      <c r="R150" s="219"/>
      <c r="S150" s="367"/>
      <c r="T150" s="220"/>
      <c r="U150" s="221"/>
      <c r="V150" s="221"/>
      <c r="W150" s="221"/>
      <c r="X150" s="240"/>
      <c r="Y150" s="221"/>
      <c r="Z150" s="238"/>
      <c r="AA150" s="238"/>
      <c r="AB150" s="238"/>
      <c r="AC150" s="239"/>
      <c r="AD150" s="239"/>
      <c r="AE150" s="239"/>
      <c r="AF150" s="238"/>
      <c r="AG150" s="238"/>
      <c r="AH150" s="238"/>
      <c r="AI150" s="23"/>
      <c r="AJ150" s="23"/>
      <c r="AK150" s="21"/>
      <c r="AL150" s="21"/>
      <c r="AM150" s="21"/>
      <c r="AN150" s="21"/>
      <c r="AO150" s="21"/>
      <c r="AP150" s="21"/>
      <c r="AQ150" s="21"/>
      <c r="AR150" s="21"/>
      <c r="AS150" s="21"/>
      <c r="AT150" s="21"/>
      <c r="AU150" s="21"/>
      <c r="AV150" s="21"/>
      <c r="AW150" s="21"/>
      <c r="AX150" s="21"/>
      <c r="AY150" s="21"/>
    </row>
    <row r="151" spans="1:51">
      <c r="A151" s="1081"/>
      <c r="B151" s="26" t="s">
        <v>26</v>
      </c>
      <c r="C151" s="25" t="s">
        <v>27</v>
      </c>
      <c r="D151" s="26" t="s">
        <v>25</v>
      </c>
      <c r="E151" s="24">
        <v>4070</v>
      </c>
      <c r="F151" s="24" t="s">
        <v>20</v>
      </c>
      <c r="G151" s="38">
        <v>0</v>
      </c>
      <c r="H151" s="38"/>
      <c r="I151" s="38"/>
      <c r="J151" s="38"/>
      <c r="K151" s="38"/>
      <c r="L151" s="38"/>
      <c r="M151" s="38"/>
      <c r="N151" s="38"/>
      <c r="O151" s="38"/>
      <c r="P151" s="38"/>
      <c r="Q151" s="219"/>
      <c r="R151" s="219"/>
      <c r="S151" s="219"/>
      <c r="T151" s="219"/>
      <c r="U151" s="224">
        <v>209</v>
      </c>
      <c r="V151" s="224">
        <v>195</v>
      </c>
      <c r="W151" s="222">
        <v>96</v>
      </c>
      <c r="X151" s="508" t="s">
        <v>914</v>
      </c>
      <c r="Y151" s="219"/>
      <c r="Z151" s="219" t="s">
        <v>21</v>
      </c>
      <c r="AA151" s="299"/>
      <c r="AB151" s="299"/>
      <c r="AC151" s="299"/>
      <c r="AD151" s="299"/>
      <c r="AE151" s="299"/>
      <c r="AF151" s="299"/>
      <c r="AG151" s="299"/>
      <c r="AH151" s="224"/>
      <c r="AI151" s="224"/>
      <c r="AJ151" s="224"/>
      <c r="AK151" s="224"/>
      <c r="AL151" s="224"/>
      <c r="AM151" s="224"/>
      <c r="AN151" s="224"/>
      <c r="AO151" s="224"/>
      <c r="AP151" s="224" t="s">
        <v>21</v>
      </c>
      <c r="AQ151" s="224" t="s">
        <v>21</v>
      </c>
      <c r="AR151" s="224" t="s">
        <v>21</v>
      </c>
      <c r="AS151" s="21"/>
      <c r="AT151" s="21"/>
      <c r="AU151" s="21"/>
      <c r="AV151" s="21"/>
      <c r="AW151" s="21"/>
      <c r="AX151" s="21"/>
      <c r="AY151" s="21"/>
    </row>
    <row r="152" spans="1:51">
      <c r="A152" s="1061"/>
      <c r="B152" s="26" t="s">
        <v>33</v>
      </c>
      <c r="C152" s="25" t="s">
        <v>34</v>
      </c>
      <c r="D152" s="68" t="s">
        <v>35</v>
      </c>
      <c r="E152" s="68">
        <v>4060</v>
      </c>
      <c r="F152" s="68" t="s">
        <v>20</v>
      </c>
      <c r="G152" s="38">
        <v>0</v>
      </c>
      <c r="H152" s="38"/>
      <c r="I152" s="38"/>
      <c r="J152" s="38"/>
      <c r="K152" s="38"/>
      <c r="L152" s="38"/>
      <c r="M152" s="38"/>
      <c r="N152" s="38"/>
      <c r="O152" s="38"/>
      <c r="P152" s="38"/>
      <c r="Q152" s="219"/>
      <c r="R152" s="219"/>
      <c r="S152" s="219"/>
      <c r="T152" s="219"/>
      <c r="U152" s="224">
        <v>150</v>
      </c>
      <c r="V152" s="224">
        <v>135</v>
      </c>
      <c r="W152" s="222">
        <v>444</v>
      </c>
      <c r="X152" s="508">
        <v>123</v>
      </c>
      <c r="Y152" s="508">
        <v>2</v>
      </c>
      <c r="Z152" s="508"/>
      <c r="AA152" s="477"/>
      <c r="AB152" s="477"/>
      <c r="AC152" s="647"/>
      <c r="AD152" s="647"/>
      <c r="AE152" s="888"/>
      <c r="AF152" s="477"/>
      <c r="AG152" s="477"/>
      <c r="AH152" s="224"/>
      <c r="AI152" s="224"/>
      <c r="AJ152" s="224"/>
      <c r="AK152" s="224"/>
      <c r="AL152" s="224"/>
      <c r="AM152" s="224"/>
      <c r="AN152" s="224"/>
      <c r="AO152" s="224"/>
      <c r="AP152" s="224" t="s">
        <v>21</v>
      </c>
      <c r="AQ152" s="224" t="s">
        <v>21</v>
      </c>
      <c r="AR152" s="224" t="s">
        <v>21</v>
      </c>
      <c r="AS152" s="70"/>
      <c r="AT152" s="70"/>
      <c r="AU152" s="70"/>
      <c r="AV152" s="70"/>
      <c r="AW152" s="70"/>
      <c r="AX152" s="70"/>
      <c r="AY152" s="70"/>
    </row>
    <row r="153" spans="1:51">
      <c r="A153" s="1061"/>
      <c r="B153" s="26" t="s">
        <v>39</v>
      </c>
      <c r="C153" s="25" t="s">
        <v>40</v>
      </c>
      <c r="D153" s="68" t="s">
        <v>35</v>
      </c>
      <c r="E153" s="68">
        <v>4050</v>
      </c>
      <c r="F153" s="26" t="s">
        <v>20</v>
      </c>
      <c r="G153" s="43">
        <v>0</v>
      </c>
      <c r="H153" s="109" t="s">
        <v>21</v>
      </c>
      <c r="I153" s="38"/>
      <c r="J153" s="38"/>
      <c r="K153" s="38"/>
      <c r="L153" s="38"/>
      <c r="M153" s="38"/>
      <c r="N153" s="38"/>
      <c r="O153" s="38"/>
      <c r="P153" s="38"/>
      <c r="Q153" s="219"/>
      <c r="R153" s="219"/>
      <c r="S153" s="219"/>
      <c r="T153" s="219"/>
      <c r="U153" s="224">
        <v>105</v>
      </c>
      <c r="V153" s="224">
        <v>75</v>
      </c>
      <c r="W153" s="222">
        <v>315</v>
      </c>
      <c r="X153" s="508">
        <v>343</v>
      </c>
      <c r="Y153" s="508">
        <v>109</v>
      </c>
      <c r="Z153" s="508">
        <v>14</v>
      </c>
      <c r="AA153" s="508"/>
      <c r="AB153" s="508"/>
      <c r="AC153" s="241"/>
      <c r="AD153" s="241" t="s">
        <v>21</v>
      </c>
      <c r="AE153" s="887"/>
      <c r="AF153" s="477"/>
      <c r="AG153" s="477"/>
      <c r="AH153" s="477"/>
      <c r="AI153" s="477"/>
      <c r="AJ153" s="477"/>
      <c r="AK153" s="477"/>
      <c r="AL153" s="477"/>
      <c r="AM153" s="477"/>
      <c r="AN153" s="224"/>
      <c r="AO153" s="224"/>
      <c r="AP153" s="224" t="s">
        <v>21</v>
      </c>
      <c r="AQ153" s="224" t="s">
        <v>21</v>
      </c>
      <c r="AR153" s="224" t="s">
        <v>21</v>
      </c>
      <c r="AS153" s="70"/>
      <c r="AT153" s="70"/>
      <c r="AU153" s="70"/>
      <c r="AV153" s="70"/>
      <c r="AW153" s="70"/>
      <c r="AX153" s="70"/>
      <c r="AY153" s="70"/>
    </row>
    <row r="154" spans="1:51">
      <c r="A154" s="1059" t="s">
        <v>1361</v>
      </c>
      <c r="B154" s="26" t="s">
        <v>238</v>
      </c>
      <c r="C154" s="26" t="s">
        <v>235</v>
      </c>
      <c r="D154" s="26" t="s">
        <v>1712</v>
      </c>
      <c r="E154" s="26">
        <v>4070</v>
      </c>
      <c r="F154" s="26" t="s">
        <v>20</v>
      </c>
      <c r="G154" s="43">
        <v>0</v>
      </c>
      <c r="H154" s="38">
        <v>0</v>
      </c>
      <c r="I154" s="38"/>
      <c r="J154" s="38"/>
      <c r="K154" s="38"/>
      <c r="L154" s="38"/>
      <c r="M154" s="38"/>
      <c r="N154" s="38"/>
      <c r="O154" s="38"/>
      <c r="P154" s="38"/>
      <c r="Q154" s="219"/>
      <c r="R154" s="219"/>
      <c r="S154" s="219"/>
      <c r="T154" s="219"/>
      <c r="U154" s="224"/>
      <c r="V154" s="224" t="s">
        <v>21</v>
      </c>
      <c r="W154" s="224" t="s">
        <v>21</v>
      </c>
      <c r="X154" s="237" t="s">
        <v>21</v>
      </c>
      <c r="Y154" s="224" t="s">
        <v>21</v>
      </c>
      <c r="Z154" s="224" t="s">
        <v>21</v>
      </c>
      <c r="AA154" s="224" t="s">
        <v>21</v>
      </c>
      <c r="AB154" s="224" t="s">
        <v>21</v>
      </c>
      <c r="AC154" s="224" t="s">
        <v>21</v>
      </c>
      <c r="AD154" s="224" t="s">
        <v>21</v>
      </c>
      <c r="AE154" s="224" t="s">
        <v>21</v>
      </c>
      <c r="AF154" s="224" t="s">
        <v>21</v>
      </c>
      <c r="AG154" s="224" t="s">
        <v>21</v>
      </c>
      <c r="AH154" s="224" t="s">
        <v>21</v>
      </c>
      <c r="AI154" s="23"/>
      <c r="AJ154" s="23"/>
      <c r="AK154" s="21"/>
      <c r="AL154" s="21"/>
      <c r="AM154" s="21"/>
      <c r="AN154" s="21"/>
      <c r="AO154" s="21"/>
      <c r="AP154" s="21"/>
      <c r="AQ154" s="21"/>
      <c r="AR154" s="21"/>
      <c r="AS154" s="21"/>
      <c r="AT154" s="21"/>
      <c r="AU154" s="21"/>
      <c r="AV154" s="21"/>
      <c r="AW154" s="21"/>
      <c r="AX154" s="21"/>
      <c r="AY154" s="21"/>
    </row>
    <row r="155" spans="1:51">
      <c r="A155" s="1059"/>
      <c r="B155" s="26" t="s">
        <v>1687</v>
      </c>
      <c r="C155" s="26" t="s">
        <v>1744</v>
      </c>
      <c r="D155" s="26" t="s">
        <v>38</v>
      </c>
      <c r="E155" s="26">
        <v>4060</v>
      </c>
      <c r="F155" s="26" t="s">
        <v>1725</v>
      </c>
      <c r="G155" s="38">
        <v>0</v>
      </c>
      <c r="H155" s="38">
        <v>0</v>
      </c>
      <c r="I155" s="38"/>
      <c r="J155" s="38"/>
      <c r="K155" s="38"/>
      <c r="L155" s="38"/>
      <c r="M155" s="38"/>
      <c r="N155" s="38"/>
      <c r="O155" s="38"/>
      <c r="P155" s="38"/>
      <c r="Q155" s="219"/>
      <c r="R155" s="219"/>
      <c r="S155" s="219"/>
      <c r="T155" s="219"/>
      <c r="U155" s="224"/>
      <c r="V155" s="224" t="s">
        <v>21</v>
      </c>
      <c r="W155" s="224" t="s">
        <v>21</v>
      </c>
      <c r="X155" s="237" t="s">
        <v>21</v>
      </c>
      <c r="Y155" s="224" t="s">
        <v>21</v>
      </c>
      <c r="Z155" s="224" t="s">
        <v>21</v>
      </c>
      <c r="AA155" s="224" t="s">
        <v>21</v>
      </c>
      <c r="AB155" s="224" t="s">
        <v>21</v>
      </c>
      <c r="AC155" s="224" t="s">
        <v>21</v>
      </c>
      <c r="AD155" s="224" t="s">
        <v>21</v>
      </c>
      <c r="AE155" s="224" t="s">
        <v>21</v>
      </c>
      <c r="AF155" s="224" t="s">
        <v>21</v>
      </c>
      <c r="AG155" s="224" t="s">
        <v>21</v>
      </c>
      <c r="AH155" s="224" t="s">
        <v>21</v>
      </c>
      <c r="AI155" s="23"/>
      <c r="AJ155" s="23"/>
      <c r="AK155" s="21"/>
      <c r="AL155" s="21"/>
      <c r="AM155" s="21"/>
      <c r="AN155" s="21"/>
      <c r="AO155" s="21"/>
      <c r="AP155" s="21"/>
      <c r="AQ155" s="21"/>
      <c r="AR155" s="21"/>
      <c r="AS155" s="21"/>
      <c r="AT155" s="21"/>
      <c r="AU155" s="21"/>
      <c r="AV155" s="21"/>
      <c r="AW155" s="21"/>
      <c r="AX155" s="21"/>
      <c r="AY155" s="21"/>
    </row>
    <row r="156" spans="1:51">
      <c r="A156" s="1059"/>
      <c r="B156" s="26" t="s">
        <v>1689</v>
      </c>
      <c r="C156" s="26" t="s">
        <v>1745</v>
      </c>
      <c r="D156" s="26" t="s">
        <v>38</v>
      </c>
      <c r="E156" s="26">
        <v>4050</v>
      </c>
      <c r="F156" s="26" t="s">
        <v>1725</v>
      </c>
      <c r="G156" s="38">
        <v>0</v>
      </c>
      <c r="H156" s="38">
        <v>0</v>
      </c>
      <c r="I156" s="38"/>
      <c r="J156" s="38"/>
      <c r="K156" s="38"/>
      <c r="L156" s="38"/>
      <c r="M156" s="38"/>
      <c r="N156" s="38"/>
      <c r="O156" s="38"/>
      <c r="P156" s="38"/>
      <c r="Q156" s="219"/>
      <c r="R156" s="297"/>
      <c r="S156" s="219"/>
      <c r="T156" s="219"/>
      <c r="U156" s="224"/>
      <c r="V156" s="224" t="s">
        <v>21</v>
      </c>
      <c r="W156" s="224" t="s">
        <v>21</v>
      </c>
      <c r="X156" s="237" t="s">
        <v>21</v>
      </c>
      <c r="Y156" s="224" t="s">
        <v>21</v>
      </c>
      <c r="Z156" s="224" t="s">
        <v>21</v>
      </c>
      <c r="AA156" s="224" t="s">
        <v>21</v>
      </c>
      <c r="AB156" s="224" t="s">
        <v>21</v>
      </c>
      <c r="AC156" s="224" t="s">
        <v>21</v>
      </c>
      <c r="AD156" s="224" t="s">
        <v>21</v>
      </c>
      <c r="AE156" s="224" t="s">
        <v>21</v>
      </c>
      <c r="AF156" s="224" t="s">
        <v>21</v>
      </c>
      <c r="AG156" s="224" t="s">
        <v>21</v>
      </c>
      <c r="AH156" s="224" t="s">
        <v>21</v>
      </c>
      <c r="AI156" s="23"/>
      <c r="AJ156" s="23"/>
      <c r="AK156" s="21"/>
      <c r="AL156" s="21"/>
      <c r="AM156" s="21"/>
      <c r="AN156" s="21"/>
      <c r="AO156" s="21"/>
      <c r="AP156" s="21"/>
      <c r="AQ156" s="21"/>
      <c r="AR156" s="21"/>
      <c r="AS156" s="21"/>
      <c r="AT156" s="21"/>
      <c r="AU156" s="21"/>
      <c r="AV156" s="21"/>
      <c r="AW156" s="21"/>
      <c r="AX156" s="21"/>
      <c r="AY156" s="21"/>
    </row>
    <row r="157" spans="1:51">
      <c r="A157" s="1059"/>
      <c r="B157" s="26" t="s">
        <v>426</v>
      </c>
      <c r="C157" s="26" t="s">
        <v>424</v>
      </c>
      <c r="D157" s="26" t="s">
        <v>38</v>
      </c>
      <c r="E157" s="26">
        <v>4060</v>
      </c>
      <c r="F157" s="26" t="s">
        <v>20</v>
      </c>
      <c r="G157" s="355">
        <v>0</v>
      </c>
      <c r="H157" s="38">
        <v>0</v>
      </c>
      <c r="I157" s="38"/>
      <c r="J157" s="38"/>
      <c r="K157" s="38"/>
      <c r="L157" s="38"/>
      <c r="M157" s="38"/>
      <c r="N157" s="38"/>
      <c r="O157" s="38"/>
      <c r="P157" s="38"/>
      <c r="Q157" s="219"/>
      <c r="R157" s="219"/>
      <c r="S157" s="219"/>
      <c r="T157" s="219"/>
      <c r="U157" s="224"/>
      <c r="V157" s="224"/>
      <c r="W157" s="224"/>
      <c r="X157" s="237"/>
      <c r="Y157" s="224"/>
      <c r="Z157" s="224" t="s">
        <v>21</v>
      </c>
      <c r="AA157" s="224" t="s">
        <v>21</v>
      </c>
      <c r="AB157" s="224" t="s">
        <v>21</v>
      </c>
      <c r="AC157" s="224" t="s">
        <v>21</v>
      </c>
      <c r="AD157" s="224" t="s">
        <v>21</v>
      </c>
      <c r="AE157" s="224" t="s">
        <v>21</v>
      </c>
      <c r="AF157" s="224" t="s">
        <v>21</v>
      </c>
      <c r="AG157" s="224" t="s">
        <v>21</v>
      </c>
      <c r="AH157" s="224" t="s">
        <v>21</v>
      </c>
      <c r="AI157" s="23"/>
      <c r="AJ157" s="23"/>
      <c r="AK157" s="21"/>
      <c r="AL157" s="21"/>
      <c r="AM157" s="21"/>
      <c r="AN157" s="21"/>
      <c r="AO157" s="21"/>
      <c r="AP157" s="21"/>
      <c r="AQ157" s="21"/>
      <c r="AR157" s="21"/>
      <c r="AS157" s="21"/>
      <c r="AT157" s="21"/>
      <c r="AU157" s="21"/>
      <c r="AV157" s="21"/>
      <c r="AW157" s="21"/>
      <c r="AX157" s="21"/>
      <c r="AY157" s="21"/>
    </row>
    <row r="158" spans="1:51">
      <c r="A158" s="1059"/>
      <c r="B158" s="26" t="s">
        <v>1691</v>
      </c>
      <c r="C158" s="26" t="s">
        <v>1746</v>
      </c>
      <c r="D158" s="26" t="s">
        <v>38</v>
      </c>
      <c r="E158" s="26">
        <v>4050</v>
      </c>
      <c r="F158" s="26" t="s">
        <v>1725</v>
      </c>
      <c r="G158" s="43">
        <v>0</v>
      </c>
      <c r="H158" s="38">
        <v>0</v>
      </c>
      <c r="I158" s="38"/>
      <c r="J158" s="38"/>
      <c r="K158" s="38"/>
      <c r="L158" s="38"/>
      <c r="M158" s="38"/>
      <c r="N158" s="38"/>
      <c r="O158" s="38"/>
      <c r="P158" s="38"/>
      <c r="Q158" s="219"/>
      <c r="R158" s="219"/>
      <c r="S158" s="219"/>
      <c r="T158" s="219"/>
      <c r="U158" s="224"/>
      <c r="V158" s="224" t="s">
        <v>21</v>
      </c>
      <c r="W158" s="224" t="s">
        <v>21</v>
      </c>
      <c r="X158" s="237" t="s">
        <v>21</v>
      </c>
      <c r="Y158" s="224" t="s">
        <v>21</v>
      </c>
      <c r="Z158" s="224" t="s">
        <v>21</v>
      </c>
      <c r="AA158" s="224" t="s">
        <v>21</v>
      </c>
      <c r="AB158" s="224" t="s">
        <v>21</v>
      </c>
      <c r="AC158" s="224" t="s">
        <v>21</v>
      </c>
      <c r="AD158" s="224" t="s">
        <v>21</v>
      </c>
      <c r="AE158" s="224" t="s">
        <v>21</v>
      </c>
      <c r="AF158" s="224" t="s">
        <v>21</v>
      </c>
      <c r="AG158" s="224" t="s">
        <v>21</v>
      </c>
      <c r="AH158" s="224" t="s">
        <v>21</v>
      </c>
      <c r="AI158" s="23"/>
      <c r="AJ158" s="23"/>
      <c r="AK158" s="21"/>
      <c r="AL158" s="21"/>
      <c r="AM158" s="21"/>
      <c r="AN158" s="21"/>
      <c r="AO158" s="21"/>
      <c r="AP158" s="21"/>
      <c r="AQ158" s="21"/>
      <c r="AR158" s="21"/>
      <c r="AS158" s="21"/>
      <c r="AT158" s="21"/>
      <c r="AU158" s="21"/>
      <c r="AV158" s="21"/>
      <c r="AW158" s="21"/>
      <c r="AX158" s="21"/>
      <c r="AY158" s="21"/>
    </row>
    <row r="159" spans="1:51">
      <c r="A159" s="1059"/>
      <c r="B159" s="26" t="s">
        <v>370</v>
      </c>
      <c r="C159" s="55" t="s">
        <v>368</v>
      </c>
      <c r="D159" s="26" t="s">
        <v>1747</v>
      </c>
      <c r="E159" s="26">
        <v>3050</v>
      </c>
      <c r="F159" s="26" t="s">
        <v>1725</v>
      </c>
      <c r="G159" s="74">
        <v>0</v>
      </c>
      <c r="H159" s="38">
        <v>0</v>
      </c>
      <c r="I159" s="38"/>
      <c r="J159" s="38"/>
      <c r="K159" s="38"/>
      <c r="L159" s="38"/>
      <c r="M159" s="38"/>
      <c r="N159" s="38"/>
      <c r="O159" s="38"/>
      <c r="P159" s="38"/>
      <c r="Q159" s="219"/>
      <c r="R159" s="219"/>
      <c r="S159" s="219"/>
      <c r="T159" s="219"/>
      <c r="U159" s="224"/>
      <c r="V159" s="224" t="s">
        <v>21</v>
      </c>
      <c r="W159" s="224" t="s">
        <v>21</v>
      </c>
      <c r="X159" s="237" t="s">
        <v>21</v>
      </c>
      <c r="Y159" s="224" t="s">
        <v>21</v>
      </c>
      <c r="Z159" s="224" t="s">
        <v>21</v>
      </c>
      <c r="AA159" s="224" t="s">
        <v>21</v>
      </c>
      <c r="AB159" s="224" t="s">
        <v>21</v>
      </c>
      <c r="AC159" s="224" t="s">
        <v>21</v>
      </c>
      <c r="AD159" s="224" t="s">
        <v>21</v>
      </c>
      <c r="AE159" s="224" t="s">
        <v>21</v>
      </c>
      <c r="AF159" s="224" t="s">
        <v>21</v>
      </c>
      <c r="AG159" s="224" t="s">
        <v>21</v>
      </c>
      <c r="AH159" s="224" t="s">
        <v>21</v>
      </c>
      <c r="AI159" s="23"/>
      <c r="AJ159" s="23"/>
      <c r="AK159" s="21"/>
      <c r="AL159" s="21"/>
      <c r="AM159" s="21"/>
      <c r="AN159" s="21"/>
      <c r="AO159" s="21"/>
      <c r="AP159" s="21"/>
      <c r="AQ159" s="21"/>
      <c r="AR159" s="21"/>
      <c r="AS159" s="21"/>
      <c r="AT159" s="21"/>
      <c r="AU159" s="21"/>
      <c r="AV159" s="21"/>
      <c r="AW159" s="21"/>
      <c r="AX159" s="21"/>
      <c r="AY159" s="21"/>
    </row>
    <row r="160" spans="1:51">
      <c r="A160" s="1059"/>
      <c r="B160" s="26" t="s">
        <v>43</v>
      </c>
      <c r="C160" s="26" t="s">
        <v>44</v>
      </c>
      <c r="D160" s="26" t="s">
        <v>38</v>
      </c>
      <c r="E160" s="26">
        <v>4050</v>
      </c>
      <c r="F160" s="26" t="s">
        <v>20</v>
      </c>
      <c r="G160" s="43">
        <v>0</v>
      </c>
      <c r="H160" s="38">
        <v>0</v>
      </c>
      <c r="I160" s="38"/>
      <c r="J160" s="38"/>
      <c r="K160" s="38"/>
      <c r="L160" s="38"/>
      <c r="M160" s="38"/>
      <c r="N160" s="38"/>
      <c r="O160" s="38"/>
      <c r="P160" s="38"/>
      <c r="Q160" s="219"/>
      <c r="R160" s="219"/>
      <c r="S160" s="219"/>
      <c r="T160" s="219"/>
      <c r="U160" s="224"/>
      <c r="V160" s="224" t="s">
        <v>21</v>
      </c>
      <c r="W160" s="224" t="s">
        <v>21</v>
      </c>
      <c r="X160" s="237" t="s">
        <v>21</v>
      </c>
      <c r="Y160" s="224" t="s">
        <v>21</v>
      </c>
      <c r="Z160" s="224" t="s">
        <v>21</v>
      </c>
      <c r="AA160" s="224" t="s">
        <v>21</v>
      </c>
      <c r="AB160" s="224" t="s">
        <v>21</v>
      </c>
      <c r="AC160" s="224" t="s">
        <v>21</v>
      </c>
      <c r="AD160" s="224" t="s">
        <v>21</v>
      </c>
      <c r="AE160" s="224" t="s">
        <v>21</v>
      </c>
      <c r="AF160" s="224" t="s">
        <v>21</v>
      </c>
      <c r="AG160" s="224" t="s">
        <v>21</v>
      </c>
      <c r="AH160" s="224" t="s">
        <v>21</v>
      </c>
      <c r="AI160" s="23"/>
      <c r="AJ160" s="23"/>
      <c r="AK160" s="21"/>
      <c r="AL160" s="21"/>
      <c r="AM160" s="21"/>
      <c r="AN160" s="21"/>
      <c r="AO160" s="21"/>
      <c r="AP160" s="21"/>
      <c r="AQ160" s="21"/>
      <c r="AR160" s="21"/>
      <c r="AS160" s="21"/>
      <c r="AT160" s="21"/>
      <c r="AU160" s="21"/>
      <c r="AV160" s="21"/>
      <c r="AW160" s="21"/>
      <c r="AX160" s="21"/>
      <c r="AY160" s="21"/>
    </row>
    <row r="161" spans="1:51">
      <c r="A161" s="1059"/>
      <c r="B161" s="26" t="s">
        <v>381</v>
      </c>
      <c r="C161" s="26" t="s">
        <v>379</v>
      </c>
      <c r="D161" s="26" t="s">
        <v>1748</v>
      </c>
      <c r="E161" s="26">
        <v>1650</v>
      </c>
      <c r="F161" s="26" t="s">
        <v>20</v>
      </c>
      <c r="G161" s="355">
        <v>0</v>
      </c>
      <c r="H161" s="38"/>
      <c r="I161" s="38"/>
      <c r="J161" s="38"/>
      <c r="K161" s="38"/>
      <c r="L161" s="38"/>
      <c r="M161" s="38"/>
      <c r="N161" s="38"/>
      <c r="O161" s="38"/>
      <c r="P161" s="38"/>
      <c r="Q161" s="219"/>
      <c r="R161" s="219"/>
      <c r="S161" s="219"/>
      <c r="T161" s="219"/>
      <c r="U161" s="224"/>
      <c r="V161" s="224" t="s">
        <v>21</v>
      </c>
      <c r="W161" s="224" t="s">
        <v>21</v>
      </c>
      <c r="X161" s="237" t="s">
        <v>21</v>
      </c>
      <c r="Y161" s="224" t="s">
        <v>21</v>
      </c>
      <c r="Z161" s="224" t="s">
        <v>21</v>
      </c>
      <c r="AA161" s="224" t="s">
        <v>21</v>
      </c>
      <c r="AB161" s="224" t="s">
        <v>21</v>
      </c>
      <c r="AC161" s="224" t="s">
        <v>21</v>
      </c>
      <c r="AD161" s="224" t="s">
        <v>21</v>
      </c>
      <c r="AE161" s="224" t="s">
        <v>21</v>
      </c>
      <c r="AF161" s="224" t="s">
        <v>21</v>
      </c>
      <c r="AG161" s="224" t="s">
        <v>21</v>
      </c>
      <c r="AH161" s="224" t="s">
        <v>21</v>
      </c>
      <c r="AI161" s="224" t="s">
        <v>21</v>
      </c>
      <c r="AJ161" s="224" t="s">
        <v>21</v>
      </c>
      <c r="AK161" s="224" t="s">
        <v>21</v>
      </c>
      <c r="AL161" s="224" t="s">
        <v>21</v>
      </c>
      <c r="AM161" s="224" t="s">
        <v>21</v>
      </c>
      <c r="AN161" s="224" t="s">
        <v>21</v>
      </c>
      <c r="AO161" s="224" t="s">
        <v>21</v>
      </c>
      <c r="AP161" s="224" t="s">
        <v>21</v>
      </c>
      <c r="AQ161" s="224" t="s">
        <v>21</v>
      </c>
      <c r="AR161" s="224" t="s">
        <v>21</v>
      </c>
      <c r="AS161" s="21"/>
      <c r="AT161" s="21"/>
      <c r="AU161" s="21"/>
      <c r="AV161" s="21"/>
      <c r="AW161" s="21"/>
      <c r="AX161" s="21"/>
      <c r="AY161" s="21"/>
    </row>
    <row r="162" spans="1:51">
      <c r="A162" s="1061" t="s">
        <v>1749</v>
      </c>
      <c r="B162" s="26" t="s">
        <v>366</v>
      </c>
      <c r="C162" s="25" t="s">
        <v>355</v>
      </c>
      <c r="D162" s="68" t="s">
        <v>35</v>
      </c>
      <c r="E162" s="68">
        <v>4050</v>
      </c>
      <c r="F162" s="68" t="s">
        <v>20</v>
      </c>
      <c r="G162" s="355">
        <v>0</v>
      </c>
      <c r="H162" s="38"/>
      <c r="I162" s="38"/>
      <c r="J162" s="38"/>
      <c r="K162" s="38"/>
      <c r="L162" s="38"/>
      <c r="M162" s="38"/>
      <c r="N162" s="38"/>
      <c r="O162" s="38"/>
      <c r="P162" s="38"/>
      <c r="Q162" s="219"/>
      <c r="R162" s="219"/>
      <c r="S162" s="219"/>
      <c r="T162" s="219"/>
      <c r="U162" s="224">
        <v>79</v>
      </c>
      <c r="V162" s="224">
        <v>56</v>
      </c>
      <c r="W162" s="222">
        <v>232</v>
      </c>
      <c r="X162" s="508">
        <v>213</v>
      </c>
      <c r="Y162" s="508">
        <v>99</v>
      </c>
      <c r="Z162" s="527">
        <v>78</v>
      </c>
      <c r="AA162" s="477">
        <v>12</v>
      </c>
      <c r="AB162" s="477"/>
      <c r="AC162" s="647"/>
      <c r="AD162" s="647"/>
      <c r="AE162" s="888"/>
      <c r="AF162" s="477"/>
      <c r="AG162" s="477"/>
      <c r="AH162" s="224"/>
      <c r="AI162" s="224"/>
      <c r="AJ162" s="224"/>
      <c r="AK162" s="224"/>
      <c r="AL162" s="224"/>
      <c r="AM162" s="224"/>
      <c r="AN162" s="224"/>
      <c r="AO162" s="224"/>
      <c r="AP162" s="224" t="s">
        <v>21</v>
      </c>
      <c r="AQ162" s="224" t="s">
        <v>21</v>
      </c>
      <c r="AR162" s="224" t="s">
        <v>21</v>
      </c>
      <c r="AS162" s="70"/>
      <c r="AT162" s="70"/>
      <c r="AU162" s="70"/>
      <c r="AV162" s="70"/>
      <c r="AW162" s="70"/>
      <c r="AX162" s="70"/>
      <c r="AY162" s="70"/>
    </row>
    <row r="163" spans="1:51">
      <c r="A163" s="1059"/>
      <c r="B163" s="26" t="s">
        <v>1697</v>
      </c>
      <c r="C163" s="26" t="s">
        <v>1750</v>
      </c>
      <c r="D163" s="26" t="s">
        <v>38</v>
      </c>
      <c r="E163" s="26" t="s">
        <v>438</v>
      </c>
      <c r="F163" s="26" t="s">
        <v>20</v>
      </c>
      <c r="G163" s="43">
        <v>0</v>
      </c>
      <c r="H163" s="38">
        <v>0</v>
      </c>
      <c r="I163" s="38"/>
      <c r="J163" s="38"/>
      <c r="K163" s="38"/>
      <c r="L163" s="38"/>
      <c r="M163" s="38"/>
      <c r="N163" s="38"/>
      <c r="O163" s="38"/>
      <c r="P163" s="38"/>
      <c r="Q163" s="219"/>
      <c r="R163" s="219"/>
      <c r="S163" s="219"/>
      <c r="T163" s="219"/>
      <c r="U163" s="224"/>
      <c r="V163" s="224" t="s">
        <v>21</v>
      </c>
      <c r="W163" s="224" t="s">
        <v>21</v>
      </c>
      <c r="X163" s="237" t="s">
        <v>21</v>
      </c>
      <c r="Y163" s="224" t="s">
        <v>21</v>
      </c>
      <c r="Z163" s="224" t="s">
        <v>21</v>
      </c>
      <c r="AA163" s="224" t="s">
        <v>21</v>
      </c>
      <c r="AB163" s="224" t="s">
        <v>21</v>
      </c>
      <c r="AC163" s="224" t="s">
        <v>21</v>
      </c>
      <c r="AD163" s="224" t="s">
        <v>21</v>
      </c>
      <c r="AE163" s="224" t="s">
        <v>21</v>
      </c>
      <c r="AF163" s="224" t="s">
        <v>21</v>
      </c>
      <c r="AG163" s="224" t="s">
        <v>21</v>
      </c>
      <c r="AH163" s="224" t="s">
        <v>21</v>
      </c>
      <c r="AI163" s="23"/>
      <c r="AJ163" s="23"/>
      <c r="AK163" s="21"/>
      <c r="AL163" s="21"/>
      <c r="AM163" s="21"/>
      <c r="AN163" s="21"/>
      <c r="AO163" s="21"/>
      <c r="AP163" s="21"/>
      <c r="AQ163" s="21"/>
      <c r="AR163" s="21"/>
      <c r="AS163" s="21"/>
      <c r="AT163" s="21"/>
      <c r="AU163" s="21"/>
      <c r="AV163" s="21"/>
      <c r="AW163" s="21"/>
      <c r="AX163" s="21"/>
      <c r="AY163" s="21"/>
    </row>
    <row r="164" spans="1:51">
      <c r="A164" s="1061" t="s">
        <v>1379</v>
      </c>
      <c r="B164" s="26" t="s">
        <v>418</v>
      </c>
      <c r="C164" s="25" t="s">
        <v>415</v>
      </c>
      <c r="D164" s="26" t="s">
        <v>1381</v>
      </c>
      <c r="E164" s="34">
        <v>4070</v>
      </c>
      <c r="F164" s="24" t="s">
        <v>20</v>
      </c>
      <c r="G164" s="69">
        <v>0</v>
      </c>
      <c r="H164" s="38">
        <v>5</v>
      </c>
      <c r="I164" s="38"/>
      <c r="J164" s="38"/>
      <c r="K164" s="38"/>
      <c r="L164" s="38"/>
      <c r="M164" s="38"/>
      <c r="N164" s="38"/>
      <c r="O164" s="38"/>
      <c r="P164" s="38"/>
      <c r="Q164" s="219"/>
      <c r="R164" s="219"/>
      <c r="S164" s="219"/>
      <c r="T164" s="219"/>
      <c r="U164" s="224">
        <v>36</v>
      </c>
      <c r="V164" s="224">
        <v>43</v>
      </c>
      <c r="W164" s="219">
        <v>45</v>
      </c>
      <c r="X164" s="480">
        <v>4</v>
      </c>
      <c r="Y164" s="219">
        <v>0</v>
      </c>
      <c r="Z164" s="468">
        <v>1</v>
      </c>
      <c r="AA164" s="476"/>
      <c r="AB164" s="476"/>
      <c r="AC164" s="478"/>
      <c r="AD164" s="478"/>
      <c r="AE164" s="299"/>
      <c r="AF164" s="476"/>
      <c r="AG164" s="476"/>
      <c r="AH164" s="224"/>
      <c r="AI164" s="224"/>
      <c r="AJ164" s="224"/>
      <c r="AK164" s="224"/>
      <c r="AL164" s="224"/>
      <c r="AM164" s="224"/>
      <c r="AN164" s="224" t="s">
        <v>21</v>
      </c>
      <c r="AO164" s="224" t="s">
        <v>21</v>
      </c>
      <c r="AP164" s="224" t="s">
        <v>21</v>
      </c>
      <c r="AQ164" s="224" t="s">
        <v>21</v>
      </c>
      <c r="AR164" s="224" t="s">
        <v>21</v>
      </c>
      <c r="AS164" s="70"/>
      <c r="AT164" s="70"/>
      <c r="AU164" s="70"/>
      <c r="AV164" s="70"/>
      <c r="AW164" s="70"/>
      <c r="AX164" s="70"/>
      <c r="AY164" s="70"/>
    </row>
    <row r="165" spans="1:51">
      <c r="A165" s="1059" t="s">
        <v>1383</v>
      </c>
      <c r="B165" s="26" t="s">
        <v>23</v>
      </c>
      <c r="C165" s="25" t="s">
        <v>404</v>
      </c>
      <c r="D165" s="26" t="s">
        <v>25</v>
      </c>
      <c r="E165" s="24">
        <v>4090</v>
      </c>
      <c r="F165" s="24" t="s">
        <v>20</v>
      </c>
      <c r="G165" s="38">
        <v>0</v>
      </c>
      <c r="H165" s="38">
        <v>1</v>
      </c>
      <c r="I165" s="38"/>
      <c r="J165" s="38"/>
      <c r="K165" s="38"/>
      <c r="L165" s="38"/>
      <c r="M165" s="38"/>
      <c r="N165" s="38"/>
      <c r="O165" s="38"/>
      <c r="P165" s="38"/>
      <c r="Q165" s="219"/>
      <c r="R165" s="219"/>
      <c r="S165" s="219"/>
      <c r="T165" s="219"/>
      <c r="U165" s="224">
        <v>12</v>
      </c>
      <c r="V165" s="224">
        <v>32</v>
      </c>
      <c r="W165" s="219">
        <v>12</v>
      </c>
      <c r="X165" s="480">
        <v>0</v>
      </c>
      <c r="Y165" s="219">
        <v>1</v>
      </c>
      <c r="Z165" s="468" t="s">
        <v>914</v>
      </c>
      <c r="AA165" s="476"/>
      <c r="AB165" s="476" t="s">
        <v>21</v>
      </c>
      <c r="AC165" s="478"/>
      <c r="AD165" s="478"/>
      <c r="AE165" s="299"/>
      <c r="AF165" s="476"/>
      <c r="AG165" s="476"/>
      <c r="AH165" s="224"/>
      <c r="AI165" s="224"/>
      <c r="AJ165" s="224"/>
      <c r="AK165" s="224"/>
      <c r="AL165" s="224"/>
      <c r="AM165" s="224"/>
      <c r="AN165" s="224" t="s">
        <v>21</v>
      </c>
      <c r="AO165" s="224" t="s">
        <v>21</v>
      </c>
      <c r="AP165" s="224" t="s">
        <v>21</v>
      </c>
      <c r="AQ165" s="224" t="s">
        <v>21</v>
      </c>
      <c r="AR165" s="224" t="s">
        <v>21</v>
      </c>
      <c r="AS165" s="21"/>
      <c r="AT165" s="21"/>
      <c r="AU165" s="21"/>
      <c r="AV165" s="21"/>
      <c r="AW165" s="21"/>
      <c r="AX165" s="21"/>
      <c r="AY165" s="21"/>
    </row>
    <row r="166" spans="1:51">
      <c r="A166" s="1061"/>
      <c r="B166" s="26" t="s">
        <v>502</v>
      </c>
      <c r="C166" s="25" t="s">
        <v>500</v>
      </c>
      <c r="D166" s="68" t="s">
        <v>35</v>
      </c>
      <c r="E166" s="68" t="s">
        <v>438</v>
      </c>
      <c r="F166" s="68" t="s">
        <v>20</v>
      </c>
      <c r="G166" s="355">
        <v>0</v>
      </c>
      <c r="H166" s="38">
        <v>0</v>
      </c>
      <c r="I166" s="38"/>
      <c r="J166" s="38"/>
      <c r="K166" s="38"/>
      <c r="L166" s="38"/>
      <c r="M166" s="38"/>
      <c r="N166" s="38"/>
      <c r="O166" s="38"/>
      <c r="P166" s="38"/>
      <c r="Q166" s="219"/>
      <c r="R166" s="219"/>
      <c r="S166" s="219"/>
      <c r="T166" s="219"/>
      <c r="U166" s="224">
        <v>64</v>
      </c>
      <c r="V166" s="224">
        <v>67</v>
      </c>
      <c r="W166" s="219">
        <v>12</v>
      </c>
      <c r="X166" s="480" t="s">
        <v>914</v>
      </c>
      <c r="Y166" s="219"/>
      <c r="Z166" s="468"/>
      <c r="AA166" s="476"/>
      <c r="AB166" s="476" t="s">
        <v>21</v>
      </c>
      <c r="AC166" s="478"/>
      <c r="AD166" s="478"/>
      <c r="AE166" s="299"/>
      <c r="AF166" s="476"/>
      <c r="AG166" s="476"/>
      <c r="AH166" s="224"/>
      <c r="AI166" s="224"/>
      <c r="AJ166" s="224"/>
      <c r="AK166" s="224"/>
      <c r="AL166" s="224"/>
      <c r="AM166" s="224"/>
      <c r="AN166" s="224" t="s">
        <v>21</v>
      </c>
      <c r="AO166" s="224" t="s">
        <v>21</v>
      </c>
      <c r="AP166" s="224" t="s">
        <v>21</v>
      </c>
      <c r="AQ166" s="224" t="s">
        <v>21</v>
      </c>
      <c r="AR166" s="224" t="s">
        <v>21</v>
      </c>
      <c r="AS166" s="70"/>
      <c r="AT166" s="70"/>
      <c r="AU166" s="70"/>
      <c r="AV166" s="70"/>
      <c r="AW166" s="70"/>
      <c r="AX166" s="70"/>
      <c r="AY166" s="70"/>
    </row>
    <row r="167" spans="1:51" ht="16.149999999999999" customHeight="1">
      <c r="A167" s="1059"/>
      <c r="B167" s="26"/>
      <c r="C167" s="25"/>
      <c r="D167" s="26"/>
      <c r="E167" s="24"/>
      <c r="F167" s="24"/>
      <c r="G167" s="38"/>
      <c r="H167" s="38"/>
      <c r="I167" s="38"/>
      <c r="J167" s="38"/>
      <c r="K167" s="38"/>
      <c r="L167" s="38"/>
      <c r="M167" s="66"/>
      <c r="N167" s="368"/>
      <c r="O167" s="368"/>
      <c r="P167" s="368"/>
      <c r="Q167" s="367"/>
      <c r="R167" s="367"/>
      <c r="S167" s="367"/>
      <c r="T167" s="220"/>
      <c r="U167" s="221"/>
      <c r="V167" s="221"/>
      <c r="W167" s="221"/>
      <c r="X167" s="240"/>
      <c r="Y167" s="221"/>
      <c r="Z167" s="238"/>
      <c r="AA167" s="238"/>
      <c r="AB167" s="238"/>
      <c r="AC167" s="239"/>
      <c r="AD167" s="239"/>
      <c r="AE167" s="239"/>
      <c r="AF167" s="238"/>
      <c r="AG167" s="238"/>
      <c r="AH167" s="238"/>
      <c r="AI167" s="23"/>
      <c r="AJ167" s="23"/>
      <c r="AK167" s="21"/>
      <c r="AL167" s="21"/>
      <c r="AM167" s="21"/>
      <c r="AN167" s="21"/>
      <c r="AO167" s="21"/>
      <c r="AP167" s="21"/>
      <c r="AQ167" s="21"/>
      <c r="AR167" s="21"/>
      <c r="AS167" s="21"/>
      <c r="AT167" s="21"/>
      <c r="AU167" s="21"/>
      <c r="AV167" s="21"/>
      <c r="AW167" s="21"/>
      <c r="AX167" s="21"/>
      <c r="AY167" s="21"/>
    </row>
    <row r="168" spans="1:51">
      <c r="A168" s="1061" t="s">
        <v>1651</v>
      </c>
      <c r="B168" s="28" t="s">
        <v>610</v>
      </c>
      <c r="C168" s="25" t="s">
        <v>607</v>
      </c>
      <c r="D168" s="34" t="s">
        <v>1521</v>
      </c>
      <c r="E168" s="68" t="s">
        <v>438</v>
      </c>
      <c r="F168" s="68" t="s">
        <v>20</v>
      </c>
      <c r="G168" s="355">
        <v>0</v>
      </c>
      <c r="H168" s="38">
        <v>92</v>
      </c>
      <c r="I168" s="311"/>
      <c r="J168" s="311"/>
      <c r="K168" s="311"/>
      <c r="L168" s="311"/>
      <c r="M168" s="311"/>
      <c r="N168" s="311"/>
      <c r="O168" s="38"/>
      <c r="P168" s="38"/>
      <c r="Q168" s="219"/>
      <c r="R168" s="219"/>
      <c r="S168" s="219"/>
      <c r="T168" s="219"/>
      <c r="U168" s="224">
        <v>24</v>
      </c>
      <c r="V168" s="335">
        <v>10</v>
      </c>
      <c r="W168" s="333">
        <v>47</v>
      </c>
      <c r="X168" s="333">
        <v>47</v>
      </c>
      <c r="Y168" s="333">
        <v>32</v>
      </c>
      <c r="Z168" s="219">
        <v>11</v>
      </c>
      <c r="AA168" s="476">
        <v>2</v>
      </c>
      <c r="AB168" s="476"/>
      <c r="AC168" s="478"/>
      <c r="AD168" s="478"/>
      <c r="AE168" s="299"/>
      <c r="AF168" s="478"/>
      <c r="AG168" s="478"/>
      <c r="AH168" s="224"/>
      <c r="AI168" s="224"/>
      <c r="AJ168" s="224"/>
      <c r="AK168" s="224"/>
      <c r="AL168" s="224"/>
      <c r="AM168" s="224"/>
      <c r="AN168" s="224"/>
      <c r="AO168" s="224"/>
      <c r="AP168" s="224"/>
      <c r="AQ168" s="224"/>
      <c r="AR168" s="224"/>
      <c r="AS168" s="70"/>
      <c r="AT168" s="70"/>
      <c r="AU168" s="70"/>
      <c r="AV168" s="70"/>
      <c r="AW168" s="70"/>
      <c r="AX168" s="70"/>
      <c r="AY168" s="70"/>
    </row>
    <row r="169" spans="1:51">
      <c r="A169" s="1082"/>
      <c r="B169" s="26"/>
      <c r="C169" s="25" t="s">
        <v>872</v>
      </c>
      <c r="D169" s="24" t="s">
        <v>1751</v>
      </c>
      <c r="E169" s="24" t="s">
        <v>438</v>
      </c>
      <c r="F169" s="24" t="s">
        <v>490</v>
      </c>
      <c r="G169" s="38">
        <v>0</v>
      </c>
      <c r="H169" s="38">
        <v>0</v>
      </c>
      <c r="I169" s="38"/>
      <c r="J169" s="38"/>
      <c r="K169" s="38"/>
      <c r="L169" s="38"/>
      <c r="M169" s="38"/>
      <c r="N169" s="38"/>
      <c r="O169" s="38"/>
      <c r="P169" s="38"/>
      <c r="Q169" s="219"/>
      <c r="R169" s="219"/>
      <c r="S169" s="219"/>
      <c r="T169" s="219"/>
      <c r="U169" s="224"/>
      <c r="V169" s="224" t="s">
        <v>21</v>
      </c>
      <c r="W169" s="224" t="s">
        <v>21</v>
      </c>
      <c r="X169" s="224" t="s">
        <v>21</v>
      </c>
      <c r="Y169" s="224" t="s">
        <v>21</v>
      </c>
      <c r="Z169" s="224" t="s">
        <v>21</v>
      </c>
      <c r="AA169" s="224" t="s">
        <v>21</v>
      </c>
      <c r="AB169" s="224" t="s">
        <v>21</v>
      </c>
      <c r="AC169" s="224" t="s">
        <v>21</v>
      </c>
      <c r="AD169" s="224" t="s">
        <v>21</v>
      </c>
      <c r="AE169" s="224" t="s">
        <v>21</v>
      </c>
      <c r="AF169" s="224" t="s">
        <v>21</v>
      </c>
      <c r="AG169" s="224" t="s">
        <v>21</v>
      </c>
      <c r="AH169" s="23"/>
      <c r="AI169" s="23"/>
      <c r="AJ169" s="23"/>
      <c r="AK169" s="21"/>
      <c r="AL169" s="21"/>
      <c r="AM169" s="21"/>
      <c r="AN169" s="21"/>
      <c r="AO169" s="21"/>
      <c r="AP169" s="21"/>
      <c r="AQ169" s="21"/>
      <c r="AR169" s="21"/>
      <c r="AS169" s="21"/>
      <c r="AT169" s="21"/>
      <c r="AU169" s="21"/>
      <c r="AV169" s="21"/>
      <c r="AW169" s="21"/>
      <c r="AX169" s="21"/>
      <c r="AY169" s="21"/>
    </row>
    <row r="170" spans="1:51">
      <c r="A170" s="1082"/>
      <c r="B170" s="26"/>
      <c r="C170" s="25" t="s">
        <v>868</v>
      </c>
      <c r="D170" s="24" t="s">
        <v>1751</v>
      </c>
      <c r="E170" s="24" t="s">
        <v>438</v>
      </c>
      <c r="F170" s="24" t="s">
        <v>490</v>
      </c>
      <c r="G170" s="38">
        <v>0</v>
      </c>
      <c r="H170" s="38">
        <v>0</v>
      </c>
      <c r="I170" s="38"/>
      <c r="J170" s="38"/>
      <c r="K170" s="38"/>
      <c r="L170" s="38"/>
      <c r="M170" s="38"/>
      <c r="N170" s="38"/>
      <c r="O170" s="38"/>
      <c r="P170" s="38"/>
      <c r="Q170" s="219"/>
      <c r="R170" s="219"/>
      <c r="S170" s="219"/>
      <c r="T170" s="219"/>
      <c r="U170" s="224"/>
      <c r="V170" s="224" t="s">
        <v>21</v>
      </c>
      <c r="W170" s="224" t="s">
        <v>21</v>
      </c>
      <c r="X170" s="224" t="s">
        <v>21</v>
      </c>
      <c r="Y170" s="224" t="s">
        <v>21</v>
      </c>
      <c r="Z170" s="238"/>
      <c r="AA170" s="238"/>
      <c r="AB170" s="238"/>
      <c r="AC170" s="239"/>
      <c r="AD170" s="239"/>
      <c r="AE170" s="239"/>
      <c r="AF170" s="238"/>
      <c r="AG170" s="238"/>
      <c r="AH170" s="23"/>
      <c r="AI170" s="23"/>
      <c r="AJ170" s="23"/>
      <c r="AK170" s="21"/>
      <c r="AL170" s="21"/>
      <c r="AM170" s="21"/>
      <c r="AN170" s="21"/>
      <c r="AO170" s="21"/>
      <c r="AP170" s="21"/>
      <c r="AQ170" s="21"/>
      <c r="AR170" s="21"/>
      <c r="AS170" s="21"/>
      <c r="AT170" s="21"/>
      <c r="AU170" s="21"/>
      <c r="AV170" s="21"/>
      <c r="AW170" s="21"/>
      <c r="AX170" s="21"/>
      <c r="AY170" s="21"/>
    </row>
    <row r="171" spans="1:51">
      <c r="A171" s="1059" t="s">
        <v>1752</v>
      </c>
      <c r="B171" s="26" t="s">
        <v>714</v>
      </c>
      <c r="C171" s="24" t="s">
        <v>712</v>
      </c>
      <c r="D171" s="24" t="s">
        <v>1426</v>
      </c>
      <c r="E171" s="26" t="s">
        <v>438</v>
      </c>
      <c r="F171" s="26" t="s">
        <v>1725</v>
      </c>
      <c r="G171" s="43">
        <v>0</v>
      </c>
      <c r="H171" s="38">
        <v>15</v>
      </c>
      <c r="I171" s="38"/>
      <c r="J171" s="38"/>
      <c r="K171" s="38"/>
      <c r="L171" s="38"/>
      <c r="M171" s="38"/>
      <c r="N171" s="74"/>
      <c r="O171" s="38"/>
      <c r="P171" s="38"/>
      <c r="Q171" s="219"/>
      <c r="R171" s="219"/>
      <c r="S171" s="219"/>
      <c r="T171" s="219"/>
      <c r="U171" s="224">
        <v>95</v>
      </c>
      <c r="V171" s="237">
        <v>136</v>
      </c>
      <c r="W171" s="333">
        <v>248</v>
      </c>
      <c r="X171" s="333">
        <v>12</v>
      </c>
      <c r="Y171" s="333">
        <v>2</v>
      </c>
      <c r="Z171" s="219">
        <v>1</v>
      </c>
      <c r="AA171" s="476">
        <v>0</v>
      </c>
      <c r="AB171" s="476" t="s">
        <v>21</v>
      </c>
      <c r="AC171" s="478" t="s">
        <v>21</v>
      </c>
      <c r="AD171" s="478" t="s">
        <v>21</v>
      </c>
      <c r="AE171" s="299" t="s">
        <v>21</v>
      </c>
      <c r="AF171" s="476" t="s">
        <v>21</v>
      </c>
      <c r="AG171" s="476" t="s">
        <v>21</v>
      </c>
      <c r="AH171" s="224" t="s">
        <v>21</v>
      </c>
      <c r="AI171" s="224" t="s">
        <v>21</v>
      </c>
      <c r="AJ171" s="224" t="s">
        <v>21</v>
      </c>
      <c r="AK171" s="224" t="s">
        <v>21</v>
      </c>
      <c r="AL171" s="224" t="s">
        <v>21</v>
      </c>
      <c r="AM171" s="224" t="s">
        <v>21</v>
      </c>
      <c r="AN171" s="224" t="s">
        <v>21</v>
      </c>
      <c r="AO171" s="224" t="s">
        <v>21</v>
      </c>
      <c r="AP171" s="224" t="s">
        <v>21</v>
      </c>
      <c r="AQ171" s="224" t="s">
        <v>21</v>
      </c>
      <c r="AR171" s="224" t="s">
        <v>21</v>
      </c>
      <c r="AS171" s="21"/>
      <c r="AT171" s="21"/>
      <c r="AU171" s="21"/>
      <c r="AV171" s="21"/>
      <c r="AW171" s="21"/>
      <c r="AX171" s="21"/>
      <c r="AY171" s="21"/>
    </row>
    <row r="172" spans="1:51">
      <c r="A172" s="1075" t="s">
        <v>1651</v>
      </c>
      <c r="B172" s="55" t="s">
        <v>1042</v>
      </c>
      <c r="C172" s="57" t="s">
        <v>1040</v>
      </c>
      <c r="D172" s="55" t="s">
        <v>1712</v>
      </c>
      <c r="E172" s="58">
        <v>4060</v>
      </c>
      <c r="F172" s="58" t="s">
        <v>20</v>
      </c>
      <c r="G172" s="38">
        <v>0</v>
      </c>
      <c r="H172" s="38">
        <v>0</v>
      </c>
      <c r="I172" s="38"/>
      <c r="J172" s="38"/>
      <c r="K172" s="38"/>
      <c r="L172" s="38"/>
      <c r="M172" s="38"/>
      <c r="N172" s="38"/>
      <c r="O172" s="38"/>
      <c r="P172" s="38"/>
      <c r="Q172" s="219"/>
      <c r="R172" s="219"/>
      <c r="S172" s="219"/>
      <c r="T172" s="219"/>
      <c r="U172" s="224"/>
      <c r="V172" s="224" t="s">
        <v>21</v>
      </c>
      <c r="W172" s="224" t="s">
        <v>21</v>
      </c>
      <c r="X172" s="224" t="s">
        <v>21</v>
      </c>
      <c r="Y172" s="224" t="s">
        <v>21</v>
      </c>
      <c r="Z172" s="224" t="s">
        <v>21</v>
      </c>
      <c r="AA172" s="224" t="s">
        <v>21</v>
      </c>
      <c r="AB172" s="224" t="s">
        <v>21</v>
      </c>
      <c r="AC172" s="224" t="s">
        <v>21</v>
      </c>
      <c r="AD172" s="224" t="s">
        <v>21</v>
      </c>
      <c r="AE172" s="224" t="s">
        <v>21</v>
      </c>
      <c r="AF172" s="224" t="s">
        <v>21</v>
      </c>
      <c r="AG172" s="224" t="s">
        <v>21</v>
      </c>
      <c r="AH172" s="23"/>
      <c r="AI172" s="23"/>
      <c r="AJ172" s="23"/>
      <c r="AK172" s="21"/>
      <c r="AL172" s="21"/>
      <c r="AM172" s="21"/>
      <c r="AN172" s="21"/>
      <c r="AO172" s="21"/>
      <c r="AP172" s="21"/>
      <c r="AQ172" s="21"/>
      <c r="AR172" s="21"/>
      <c r="AS172" s="21"/>
      <c r="AT172" s="21"/>
      <c r="AU172" s="21"/>
      <c r="AV172" s="21"/>
      <c r="AW172" s="21"/>
      <c r="AX172" s="21"/>
      <c r="AY172" s="21"/>
    </row>
    <row r="173" spans="1:51">
      <c r="A173" s="1075" t="s">
        <v>1317</v>
      </c>
      <c r="B173" s="55" t="s">
        <v>534</v>
      </c>
      <c r="C173" s="57" t="s">
        <v>532</v>
      </c>
      <c r="D173" s="55" t="s">
        <v>38</v>
      </c>
      <c r="E173" s="58">
        <v>4050</v>
      </c>
      <c r="F173" s="58" t="s">
        <v>1725</v>
      </c>
      <c r="G173" s="38">
        <v>0</v>
      </c>
      <c r="H173" s="38">
        <v>0</v>
      </c>
      <c r="I173" s="38"/>
      <c r="J173" s="38"/>
      <c r="K173" s="38"/>
      <c r="L173" s="38"/>
      <c r="M173" s="38"/>
      <c r="N173" s="38"/>
      <c r="O173" s="38"/>
      <c r="P173" s="38"/>
      <c r="Q173" s="219"/>
      <c r="R173" s="219"/>
      <c r="S173" s="219"/>
      <c r="T173" s="219"/>
      <c r="U173" s="224"/>
      <c r="V173" s="224" t="s">
        <v>21</v>
      </c>
      <c r="W173" s="224" t="s">
        <v>21</v>
      </c>
      <c r="X173" s="224" t="s">
        <v>21</v>
      </c>
      <c r="Y173" s="224" t="s">
        <v>21</v>
      </c>
      <c r="Z173" s="224" t="s">
        <v>21</v>
      </c>
      <c r="AA173" s="224" t="s">
        <v>21</v>
      </c>
      <c r="AB173" s="224" t="s">
        <v>21</v>
      </c>
      <c r="AC173" s="224" t="s">
        <v>21</v>
      </c>
      <c r="AD173" s="224" t="s">
        <v>21</v>
      </c>
      <c r="AE173" s="224" t="s">
        <v>21</v>
      </c>
      <c r="AF173" s="224" t="s">
        <v>21</v>
      </c>
      <c r="AG173" s="224" t="s">
        <v>21</v>
      </c>
      <c r="AH173" s="23"/>
      <c r="AI173" s="23"/>
      <c r="AJ173" s="23"/>
      <c r="AK173" s="21"/>
      <c r="AL173" s="21"/>
      <c r="AM173" s="21"/>
      <c r="AN173" s="21"/>
      <c r="AO173" s="21"/>
      <c r="AP173" s="21"/>
      <c r="AQ173" s="21"/>
      <c r="AR173" s="21"/>
      <c r="AS173" s="21"/>
      <c r="AT173" s="21"/>
      <c r="AU173" s="21"/>
      <c r="AV173" s="21"/>
      <c r="AW173" s="21"/>
      <c r="AX173" s="21"/>
      <c r="AY173" s="21"/>
    </row>
    <row r="174" spans="1:51">
      <c r="A174" s="1075" t="s">
        <v>1317</v>
      </c>
      <c r="B174" s="55" t="s">
        <v>1317</v>
      </c>
      <c r="C174" s="57" t="s">
        <v>887</v>
      </c>
      <c r="D174" s="55" t="s">
        <v>1713</v>
      </c>
      <c r="E174" s="58">
        <v>3060</v>
      </c>
      <c r="F174" s="58"/>
      <c r="G174" s="38">
        <v>0</v>
      </c>
      <c r="H174" s="38">
        <v>0</v>
      </c>
      <c r="I174" s="38"/>
      <c r="J174" s="38"/>
      <c r="K174" s="38"/>
      <c r="L174" s="38"/>
      <c r="M174" s="38"/>
      <c r="N174" s="38"/>
      <c r="O174" s="38"/>
      <c r="P174" s="38"/>
      <c r="Q174" s="219"/>
      <c r="R174" s="219"/>
      <c r="S174" s="219"/>
      <c r="T174" s="219"/>
      <c r="U174" s="224"/>
      <c r="V174" s="224" t="s">
        <v>21</v>
      </c>
      <c r="W174" s="224" t="s">
        <v>21</v>
      </c>
      <c r="X174" s="224" t="s">
        <v>21</v>
      </c>
      <c r="Y174" s="224" t="s">
        <v>21</v>
      </c>
      <c r="Z174" s="224" t="s">
        <v>21</v>
      </c>
      <c r="AA174" s="224" t="s">
        <v>21</v>
      </c>
      <c r="AB174" s="224" t="s">
        <v>21</v>
      </c>
      <c r="AC174" s="224" t="s">
        <v>21</v>
      </c>
      <c r="AD174" s="224" t="s">
        <v>21</v>
      </c>
      <c r="AE174" s="224" t="s">
        <v>21</v>
      </c>
      <c r="AF174" s="224" t="s">
        <v>21</v>
      </c>
      <c r="AG174" s="224" t="s">
        <v>21</v>
      </c>
      <c r="AH174" s="23"/>
      <c r="AI174" s="23"/>
      <c r="AJ174" s="23"/>
      <c r="AK174" s="21"/>
      <c r="AL174" s="21"/>
      <c r="AM174" s="21"/>
      <c r="AN174" s="21"/>
      <c r="AO174" s="21"/>
      <c r="AP174" s="21"/>
      <c r="AQ174" s="21"/>
      <c r="AR174" s="21"/>
      <c r="AS174" s="21"/>
      <c r="AT174" s="21"/>
      <c r="AU174" s="21"/>
      <c r="AV174" s="21"/>
      <c r="AW174" s="21"/>
      <c r="AX174" s="21"/>
      <c r="AY174" s="21"/>
    </row>
    <row r="175" spans="1:51">
      <c r="A175" s="1075"/>
      <c r="B175" s="55" t="s">
        <v>1016</v>
      </c>
      <c r="C175" s="57" t="s">
        <v>1014</v>
      </c>
      <c r="D175" s="55" t="s">
        <v>38</v>
      </c>
      <c r="E175" s="58">
        <v>4060</v>
      </c>
      <c r="F175" s="58" t="s">
        <v>20</v>
      </c>
      <c r="G175" s="38">
        <v>0</v>
      </c>
      <c r="H175" s="38">
        <v>0</v>
      </c>
      <c r="I175" s="38"/>
      <c r="J175" s="38"/>
      <c r="K175" s="38"/>
      <c r="L175" s="38"/>
      <c r="M175" s="38"/>
      <c r="N175" s="38"/>
      <c r="O175" s="38"/>
      <c r="P175" s="38"/>
      <c r="Q175" s="219"/>
      <c r="R175" s="219"/>
      <c r="S175" s="219"/>
      <c r="T175" s="219"/>
      <c r="U175" s="224"/>
      <c r="V175" s="224" t="s">
        <v>21</v>
      </c>
      <c r="W175" s="224" t="s">
        <v>21</v>
      </c>
      <c r="X175" s="224" t="s">
        <v>21</v>
      </c>
      <c r="Y175" s="224" t="s">
        <v>21</v>
      </c>
      <c r="Z175" s="224" t="s">
        <v>21</v>
      </c>
      <c r="AA175" s="224" t="s">
        <v>21</v>
      </c>
      <c r="AB175" s="224" t="s">
        <v>21</v>
      </c>
      <c r="AC175" s="224" t="s">
        <v>21</v>
      </c>
      <c r="AD175" s="224" t="s">
        <v>21</v>
      </c>
      <c r="AE175" s="224" t="s">
        <v>21</v>
      </c>
      <c r="AF175" s="224" t="s">
        <v>21</v>
      </c>
      <c r="AG175" s="224" t="s">
        <v>21</v>
      </c>
      <c r="AH175" s="23"/>
      <c r="AI175" s="23"/>
      <c r="AJ175" s="23"/>
      <c r="AK175" s="21"/>
      <c r="AL175" s="21"/>
      <c r="AM175" s="21"/>
      <c r="AN175" s="21"/>
      <c r="AO175" s="21"/>
      <c r="AP175" s="21"/>
      <c r="AQ175" s="21"/>
      <c r="AR175" s="21"/>
      <c r="AS175" s="21"/>
      <c r="AT175" s="21"/>
      <c r="AU175" s="21"/>
      <c r="AV175" s="21"/>
      <c r="AW175" s="21"/>
      <c r="AX175" s="21"/>
      <c r="AY175" s="21"/>
    </row>
    <row r="176" spans="1:51">
      <c r="A176" s="1075"/>
      <c r="B176" s="55" t="s">
        <v>538</v>
      </c>
      <c r="C176" s="57" t="s">
        <v>535</v>
      </c>
      <c r="D176" s="55" t="s">
        <v>38</v>
      </c>
      <c r="E176" s="58" t="s">
        <v>438</v>
      </c>
      <c r="F176" s="58" t="s">
        <v>20</v>
      </c>
      <c r="G176" s="38">
        <v>0</v>
      </c>
      <c r="H176" s="38">
        <v>0</v>
      </c>
      <c r="I176" s="38"/>
      <c r="J176" s="38"/>
      <c r="K176" s="38"/>
      <c r="L176" s="38"/>
      <c r="M176" s="38"/>
      <c r="N176" s="38"/>
      <c r="O176" s="38"/>
      <c r="P176" s="38"/>
      <c r="Q176" s="219"/>
      <c r="R176" s="219"/>
      <c r="S176" s="219"/>
      <c r="T176" s="219"/>
      <c r="U176" s="224"/>
      <c r="V176" s="237" t="s">
        <v>21</v>
      </c>
      <c r="W176" s="224" t="s">
        <v>21</v>
      </c>
      <c r="X176" s="224" t="s">
        <v>21</v>
      </c>
      <c r="Y176" s="224" t="s">
        <v>21</v>
      </c>
      <c r="Z176" s="224" t="s">
        <v>21</v>
      </c>
      <c r="AA176" s="224" t="s">
        <v>21</v>
      </c>
      <c r="AB176" s="224" t="s">
        <v>21</v>
      </c>
      <c r="AC176" s="224" t="s">
        <v>21</v>
      </c>
      <c r="AD176" s="224" t="s">
        <v>21</v>
      </c>
      <c r="AE176" s="224" t="s">
        <v>21</v>
      </c>
      <c r="AF176" s="224" t="s">
        <v>21</v>
      </c>
      <c r="AG176" s="224" t="s">
        <v>21</v>
      </c>
      <c r="AH176" s="23"/>
      <c r="AI176" s="23"/>
      <c r="AJ176" s="23"/>
      <c r="AK176" s="21"/>
      <c r="AL176" s="21"/>
      <c r="AM176" s="21"/>
      <c r="AN176" s="21"/>
      <c r="AO176" s="21"/>
      <c r="AP176" s="21"/>
      <c r="AQ176" s="21"/>
      <c r="AR176" s="21"/>
      <c r="AS176" s="21"/>
      <c r="AT176" s="21"/>
      <c r="AU176" s="21"/>
      <c r="AV176" s="21"/>
      <c r="AW176" s="21"/>
      <c r="AX176" s="21"/>
      <c r="AY176" s="21"/>
    </row>
    <row r="177" spans="1:51" ht="18.75" customHeight="1">
      <c r="A177" s="1083"/>
      <c r="B177" s="179" t="s">
        <v>1753</v>
      </c>
      <c r="C177" s="177" t="s">
        <v>1754</v>
      </c>
      <c r="D177" s="178" t="s">
        <v>1732</v>
      </c>
      <c r="E177" s="179" t="s">
        <v>438</v>
      </c>
      <c r="F177" s="342" t="s">
        <v>20</v>
      </c>
      <c r="G177" s="357">
        <v>0</v>
      </c>
      <c r="H177" s="311"/>
      <c r="I177" s="311"/>
      <c r="J177" s="311"/>
      <c r="K177" s="311"/>
      <c r="L177" s="311"/>
      <c r="M177" s="311"/>
      <c r="N177" s="311"/>
      <c r="O177" s="311"/>
      <c r="P177" s="311"/>
      <c r="Q177" s="298"/>
      <c r="R177" s="298"/>
      <c r="S177" s="298"/>
      <c r="T177" s="298"/>
      <c r="U177" s="224"/>
      <c r="V177" s="237"/>
      <c r="W177" s="333"/>
      <c r="X177" s="333"/>
      <c r="Y177" s="333" t="s">
        <v>21</v>
      </c>
      <c r="Z177" s="219"/>
      <c r="AA177" s="476"/>
      <c r="AB177" s="476"/>
      <c r="AC177" s="478" t="s">
        <v>21</v>
      </c>
      <c r="AD177" s="478"/>
      <c r="AE177" s="299"/>
      <c r="AF177" s="476"/>
      <c r="AG177" s="476"/>
      <c r="AH177" s="224" t="s">
        <v>21</v>
      </c>
      <c r="AI177" s="224" t="s">
        <v>21</v>
      </c>
      <c r="AJ177" s="224" t="s">
        <v>21</v>
      </c>
      <c r="AK177" s="224" t="s">
        <v>21</v>
      </c>
      <c r="AL177" s="224" t="s">
        <v>21</v>
      </c>
      <c r="AM177" s="224" t="s">
        <v>21</v>
      </c>
      <c r="AN177" s="224" t="s">
        <v>21</v>
      </c>
      <c r="AO177" s="224" t="s">
        <v>21</v>
      </c>
      <c r="AP177" s="224" t="s">
        <v>21</v>
      </c>
      <c r="AQ177" s="224" t="s">
        <v>21</v>
      </c>
      <c r="AR177" s="224" t="s">
        <v>21</v>
      </c>
      <c r="AS177" s="21"/>
      <c r="AT177" s="21"/>
      <c r="AU177" s="21"/>
      <c r="AV177" s="21"/>
      <c r="AW177" s="21"/>
      <c r="AX177" s="21"/>
      <c r="AY177" s="21"/>
    </row>
    <row r="178" spans="1:51" ht="18.75" customHeight="1">
      <c r="A178" s="1059"/>
      <c r="B178" s="26" t="s">
        <v>1716</v>
      </c>
      <c r="C178" s="24" t="s">
        <v>1755</v>
      </c>
      <c r="D178" s="25" t="s">
        <v>1732</v>
      </c>
      <c r="E178" s="26" t="s">
        <v>438</v>
      </c>
      <c r="F178" s="108" t="s">
        <v>20</v>
      </c>
      <c r="G178" s="43">
        <v>0</v>
      </c>
      <c r="H178" s="38"/>
      <c r="I178" s="38"/>
      <c r="J178" s="38"/>
      <c r="K178" s="38"/>
      <c r="L178" s="38"/>
      <c r="M178" s="38"/>
      <c r="N178" s="38"/>
      <c r="O178" s="38"/>
      <c r="P178" s="38"/>
      <c r="Q178" s="219"/>
      <c r="R178" s="219"/>
      <c r="S178" s="219"/>
      <c r="T178" s="219"/>
      <c r="U178" s="224"/>
      <c r="V178" s="237"/>
      <c r="W178" s="333"/>
      <c r="X178" s="333"/>
      <c r="Y178" s="333" t="s">
        <v>21</v>
      </c>
      <c r="Z178" s="219"/>
      <c r="AA178" s="476"/>
      <c r="AB178" s="476"/>
      <c r="AC178" s="478" t="s">
        <v>21</v>
      </c>
      <c r="AD178" s="478"/>
      <c r="AE178" s="299"/>
      <c r="AF178" s="476"/>
      <c r="AG178" s="476"/>
      <c r="AH178" s="224" t="s">
        <v>21</v>
      </c>
      <c r="AI178" s="224" t="s">
        <v>21</v>
      </c>
      <c r="AJ178" s="224" t="s">
        <v>21</v>
      </c>
      <c r="AK178" s="224" t="s">
        <v>21</v>
      </c>
      <c r="AL178" s="224" t="s">
        <v>21</v>
      </c>
      <c r="AM178" s="224" t="s">
        <v>21</v>
      </c>
      <c r="AN178" s="224" t="s">
        <v>21</v>
      </c>
      <c r="AO178" s="224" t="s">
        <v>21</v>
      </c>
      <c r="AP178" s="224" t="s">
        <v>21</v>
      </c>
      <c r="AQ178" s="224" t="s">
        <v>21</v>
      </c>
      <c r="AR178" s="224" t="s">
        <v>21</v>
      </c>
      <c r="AS178" s="21"/>
      <c r="AT178" s="21"/>
      <c r="AU178" s="21"/>
      <c r="AV178" s="21"/>
      <c r="AW178" s="21"/>
      <c r="AX178" s="21"/>
      <c r="AY178" s="21"/>
    </row>
    <row r="179" spans="1:51">
      <c r="A179" s="1059"/>
      <c r="B179" s="37"/>
      <c r="C179" s="35" t="s">
        <v>901</v>
      </c>
      <c r="D179" s="36"/>
      <c r="E179" s="37"/>
      <c r="F179" s="37"/>
      <c r="G179" s="358">
        <v>0</v>
      </c>
      <c r="H179" s="38">
        <v>0</v>
      </c>
      <c r="I179" s="42"/>
      <c r="J179" s="42"/>
      <c r="K179" s="42"/>
      <c r="L179" s="42"/>
      <c r="M179" s="42"/>
      <c r="N179" s="42"/>
      <c r="O179" s="42"/>
      <c r="P179" s="42"/>
      <c r="Q179" s="234"/>
      <c r="R179" s="234"/>
      <c r="S179" s="234"/>
      <c r="T179" s="234"/>
      <c r="U179" s="219">
        <v>14</v>
      </c>
      <c r="V179" s="219">
        <v>5</v>
      </c>
      <c r="W179" s="333">
        <v>0</v>
      </c>
      <c r="X179" s="333">
        <v>0</v>
      </c>
      <c r="Y179" s="333" t="s">
        <v>21</v>
      </c>
      <c r="Z179" s="219"/>
      <c r="AA179" s="476" t="s">
        <v>21</v>
      </c>
      <c r="AB179" s="476"/>
      <c r="AC179" s="478"/>
      <c r="AD179" s="478"/>
      <c r="AE179" s="299"/>
      <c r="AF179" s="478"/>
      <c r="AG179" s="478"/>
      <c r="AH179" s="224" t="s">
        <v>21</v>
      </c>
      <c r="AI179" s="224" t="s">
        <v>21</v>
      </c>
      <c r="AJ179" s="224" t="s">
        <v>21</v>
      </c>
      <c r="AK179" s="224" t="s">
        <v>21</v>
      </c>
      <c r="AL179" s="224" t="s">
        <v>21</v>
      </c>
      <c r="AM179" s="224" t="s">
        <v>21</v>
      </c>
      <c r="AN179" s="224" t="s">
        <v>21</v>
      </c>
      <c r="AO179" s="224" t="s">
        <v>21</v>
      </c>
      <c r="AP179" s="224" t="s">
        <v>21</v>
      </c>
      <c r="AQ179" s="224" t="s">
        <v>21</v>
      </c>
      <c r="AR179" s="224" t="s">
        <v>21</v>
      </c>
      <c r="AS179" s="21"/>
      <c r="AT179" s="21"/>
      <c r="AU179" s="21"/>
      <c r="AV179" s="21"/>
      <c r="AW179" s="21"/>
      <c r="AX179" s="21"/>
      <c r="AY179" s="21"/>
    </row>
    <row r="183" spans="1:51" ht="18.75" customHeight="1"/>
    <row r="184" spans="1:51" ht="18.75" customHeight="1"/>
  </sheetData>
  <phoneticPr fontId="4"/>
  <conditionalFormatting sqref="A1:BD1">
    <cfRule type="timePeriod" dxfId="111" priority="1" timePeriod="thisMonth">
      <formula>AND(MONTH(A1)=MONTH(TODAY()),YEAR(A1)=YEAR(TODAY()))</formula>
    </cfRule>
  </conditionalFormatting>
  <conditionalFormatting sqref="A1:BD122">
    <cfRule type="expression" dxfId="110" priority="3">
      <formula>AND(ISNUMBER(A$1),YEAR(A$1)=YEAR(TODAY()),MONTH(A$1)=MONTH(TODAY()))</formula>
    </cfRule>
  </conditionalFormatting>
  <conditionalFormatting sqref="C24">
    <cfRule type="duplicateValues" dxfId="109" priority="2"/>
  </conditionalFormatting>
  <conditionalFormatting sqref="H1:H189">
    <cfRule type="expression" dxfId="108" priority="4">
      <formula>OFFSET(INDIRECT(ADDRESS(ROW(),COLUMN())), 0, -1)&lt;INDIRECT(ADDRESS(ROW(),COLUMN()))</formula>
    </cfRule>
  </conditionalFormatting>
  <conditionalFormatting sqref="I49:BD49">
    <cfRule type="expression" dxfId="107" priority="7">
      <formula>I$49&lt;I$50</formula>
    </cfRule>
  </conditionalFormatting>
  <conditionalFormatting sqref="I108:BD108">
    <cfRule type="expression" dxfId="106" priority="6">
      <formula>I$108&lt;I$109</formula>
    </cfRule>
  </conditionalFormatting>
  <conditionalFormatting sqref="I121:BD121">
    <cfRule type="expression" dxfId="105" priority="5">
      <formula>L$121&lt;L$122</formula>
    </cfRule>
  </conditionalFormatting>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BB10C-A5FD-457B-8CBF-0F1AF3F6ED9A}">
  <sheetPr codeName="Sheet15">
    <tabColor theme="9" tint="0.79998168889431442"/>
  </sheetPr>
  <dimension ref="A1:BM263"/>
  <sheetViews>
    <sheetView zoomScaleNormal="100" workbookViewId="0">
      <pane xSplit="10" ySplit="1" topLeftCell="K2" activePane="bottomRight" state="frozen"/>
      <selection pane="topRight" activeCell="K1" sqref="K1"/>
      <selection pane="bottomLeft" activeCell="A2" sqref="A2"/>
      <selection pane="bottomRight" activeCell="AP10" sqref="AP10"/>
    </sheetView>
  </sheetViews>
  <sheetFormatPr defaultColWidth="9" defaultRowHeight="18.75" outlineLevelRow="1" outlineLevelCol="1"/>
  <cols>
    <col min="1" max="1" width="9" style="15" customWidth="1"/>
    <col min="2" max="2" width="35.75" style="113" hidden="1" customWidth="1" outlineLevel="1"/>
    <col min="3" max="3" width="19.375" style="113" bestFit="1" customWidth="1" collapsed="1"/>
    <col min="4" max="4" width="19.75" style="15" hidden="1" customWidth="1" outlineLevel="1"/>
    <col min="5" max="6" width="10.5" style="15" hidden="1" customWidth="1" outlineLevel="1"/>
    <col min="7" max="7" width="9" style="110" customWidth="1" collapsed="1"/>
    <col min="8" max="8" width="9" style="110" customWidth="1"/>
    <col min="9" max="9" width="9" style="110" hidden="1" customWidth="1" outlineLevel="1"/>
    <col min="10" max="10" width="24.375" style="110" customWidth="1" collapsed="1"/>
    <col min="11" max="16" width="9" style="15" hidden="1" customWidth="1" outlineLevel="1"/>
    <col min="17" max="17" width="10.125" style="15" hidden="1" customWidth="1" outlineLevel="1"/>
    <col min="18" max="22" width="9" style="15" hidden="1" customWidth="1" outlineLevel="1"/>
    <col min="23" max="23" width="9" style="15" hidden="1" customWidth="1" outlineLevel="1" collapsed="1"/>
    <col min="24" max="32" width="9" style="15" hidden="1" customWidth="1" outlineLevel="1"/>
    <col min="33" max="38" width="9" style="15" hidden="1" customWidth="1" outlineLevel="1" collapsed="1"/>
    <col min="39" max="39" width="9" style="15" customWidth="1" collapsed="1"/>
    <col min="40" max="47" width="9" style="15" customWidth="1"/>
    <col min="48" max="58" width="9" style="15" hidden="1" customWidth="1" outlineLevel="1"/>
    <col min="59" max="59" width="21.375" style="2091" customWidth="1" collapsed="1"/>
    <col min="60" max="65" width="9" customWidth="1"/>
  </cols>
  <sheetData>
    <row r="1" spans="1:59">
      <c r="A1" s="29" t="s">
        <v>1756</v>
      </c>
      <c r="B1" s="30" t="s">
        <v>1757</v>
      </c>
      <c r="C1" s="30" t="s">
        <v>1758</v>
      </c>
      <c r="D1" s="30" t="s">
        <v>1324</v>
      </c>
      <c r="E1" s="30" t="s">
        <v>1325</v>
      </c>
      <c r="F1" s="30" t="s">
        <v>1326</v>
      </c>
      <c r="G1" s="30" t="s">
        <v>1327</v>
      </c>
      <c r="H1" s="908" t="s">
        <v>1759</v>
      </c>
      <c r="I1" s="30" t="s">
        <v>1760</v>
      </c>
      <c r="J1" s="1456" t="s">
        <v>1761</v>
      </c>
      <c r="K1" s="31">
        <v>45292</v>
      </c>
      <c r="L1" s="31">
        <v>45323</v>
      </c>
      <c r="M1" s="31">
        <v>45352</v>
      </c>
      <c r="N1" s="31">
        <v>45383</v>
      </c>
      <c r="O1" s="31">
        <v>45413</v>
      </c>
      <c r="P1" s="31">
        <v>45444</v>
      </c>
      <c r="Q1" s="1320">
        <v>45474</v>
      </c>
      <c r="R1" s="1348">
        <v>45505</v>
      </c>
      <c r="S1" s="31">
        <v>45536</v>
      </c>
      <c r="T1" s="31">
        <v>45566</v>
      </c>
      <c r="U1" s="31">
        <v>45597</v>
      </c>
      <c r="V1" s="165">
        <v>45627</v>
      </c>
      <c r="W1" s="803">
        <v>45658</v>
      </c>
      <c r="X1" s="803">
        <v>45689</v>
      </c>
      <c r="Y1" s="803">
        <v>45717</v>
      </c>
      <c r="Z1" s="803">
        <v>45748</v>
      </c>
      <c r="AA1" s="803">
        <v>45778</v>
      </c>
      <c r="AB1" s="803">
        <v>45809</v>
      </c>
      <c r="AC1" s="834">
        <v>45839</v>
      </c>
      <c r="AD1" s="20">
        <v>45870</v>
      </c>
      <c r="AE1" s="20">
        <v>45901</v>
      </c>
      <c r="AF1" s="20">
        <v>45931</v>
      </c>
      <c r="AG1" s="20">
        <v>45962</v>
      </c>
      <c r="AH1" s="20">
        <v>45992</v>
      </c>
      <c r="AI1" s="802">
        <v>46023</v>
      </c>
      <c r="AJ1" s="803">
        <v>46054</v>
      </c>
      <c r="AK1" s="803">
        <v>46082</v>
      </c>
      <c r="AL1" s="803">
        <v>46113</v>
      </c>
      <c r="AM1" s="803">
        <v>46143</v>
      </c>
      <c r="AN1" s="803">
        <v>46174</v>
      </c>
      <c r="AO1" s="1454">
        <v>46204</v>
      </c>
      <c r="AP1" s="2112">
        <v>46235</v>
      </c>
      <c r="AQ1" s="803">
        <v>46266</v>
      </c>
      <c r="AR1" s="2129">
        <v>46296</v>
      </c>
      <c r="AS1" s="803">
        <v>46327</v>
      </c>
      <c r="AT1" s="834">
        <v>46357</v>
      </c>
      <c r="AU1" s="802">
        <v>46388</v>
      </c>
      <c r="AV1" s="803">
        <v>46419</v>
      </c>
      <c r="AW1" s="803">
        <v>46447</v>
      </c>
      <c r="AX1" s="803">
        <v>46478</v>
      </c>
      <c r="AY1" s="803">
        <v>46508</v>
      </c>
      <c r="AZ1" s="803">
        <v>46539</v>
      </c>
      <c r="BA1" s="803">
        <v>46569</v>
      </c>
      <c r="BB1" s="803">
        <v>46600</v>
      </c>
      <c r="BC1" s="803">
        <v>46631</v>
      </c>
      <c r="BD1" s="803">
        <v>46661</v>
      </c>
      <c r="BE1" s="803">
        <v>46692</v>
      </c>
      <c r="BF1" s="834">
        <v>46722</v>
      </c>
      <c r="BG1" s="2091" t="s">
        <v>2662</v>
      </c>
    </row>
    <row r="2" spans="1:59" ht="19.5" customHeight="1">
      <c r="A2" s="558"/>
      <c r="B2" s="193"/>
      <c r="C2" s="193"/>
      <c r="D2" s="193"/>
      <c r="E2" s="193"/>
      <c r="F2" s="193"/>
      <c r="G2" s="193"/>
      <c r="H2" s="193"/>
      <c r="I2" s="193"/>
      <c r="J2" s="1116" t="str" cm="1">
        <f t="array" ref="J2">_xlfn.IFS($C2="","",
  $G2="","発売前？",
  $G2=0,"在庫なし",
  TRUE,
  IFERROR(
    _xlfn.LET(
      _xlpm._在庫注残,     $G2,
      _xlpm._しきい値,     _xlpm._在庫注残 * 0.75,
      _xlpm._見出し元,     $K$1:$BT$1,
      _xlpm._計画,         $K2:$BT2,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
      </c>
      <c r="K2" s="496"/>
      <c r="L2" s="496"/>
      <c r="M2" s="496"/>
      <c r="N2" s="496"/>
      <c r="O2" s="496"/>
      <c r="P2" s="496"/>
      <c r="Q2" s="1321"/>
      <c r="R2" s="1349"/>
      <c r="S2" s="496"/>
      <c r="T2" s="496"/>
      <c r="U2" s="496"/>
      <c r="V2" s="559"/>
      <c r="W2" s="560"/>
      <c r="X2" s="560"/>
      <c r="Y2" s="560"/>
      <c r="Z2" s="560"/>
      <c r="AA2" s="560"/>
      <c r="AB2" s="560"/>
      <c r="AC2" s="895"/>
      <c r="AD2" s="560"/>
      <c r="AE2" s="560"/>
      <c r="AF2" s="21"/>
      <c r="AG2" s="560"/>
      <c r="AH2" s="560"/>
      <c r="AI2" s="894"/>
      <c r="AK2" s="560"/>
      <c r="AL2" s="560"/>
      <c r="AM2" s="560"/>
      <c r="AN2" s="560"/>
      <c r="AO2" s="559" t="s">
        <v>1762</v>
      </c>
      <c r="AP2" s="2113"/>
      <c r="AQ2" s="560"/>
      <c r="AR2" s="2148"/>
      <c r="AS2" s="496"/>
      <c r="AT2" s="560"/>
      <c r="AU2" s="1349"/>
      <c r="AV2" s="496"/>
      <c r="AW2" s="496"/>
      <c r="AX2" s="496"/>
      <c r="AY2" s="496"/>
      <c r="AZ2" s="496"/>
      <c r="BA2" s="496"/>
      <c r="BB2" s="496"/>
      <c r="BC2" s="496"/>
      <c r="BD2" s="496"/>
      <c r="BE2" s="496"/>
      <c r="BF2" s="2150"/>
    </row>
    <row r="3" spans="1:59">
      <c r="A3" s="33" t="s">
        <v>1344</v>
      </c>
      <c r="B3" s="934" t="str" cm="1">
        <f t="array" ref="B3:B44">IF(C3:C44="","",_xlfn.XLOOKUP(C3:C44,マスタ_EOLリスト[製品型番],マスタ_EOLリスト[綽名],"?"))</f>
        <v>CLE-X58-275HX-5090-L6</v>
      </c>
      <c r="C3" s="26" t="s">
        <v>1345</v>
      </c>
      <c r="D3" s="26" t="s">
        <v>1346</v>
      </c>
      <c r="E3" s="26">
        <v>5090</v>
      </c>
      <c r="F3" s="24" t="s">
        <v>1347</v>
      </c>
      <c r="G3" s="38" cm="1">
        <f t="array" ref="G3:G44">IF($C3:$C44="","",
_xlfn.XLOOKUP($C3:$C44,'在庫使用計画 (ノート全体試算)'!$C$1:$C$122,'在庫使用計画 (ノート全体試算)'!$G$1:$G$122,""))</f>
        <v>66</v>
      </c>
      <c r="H3" s="38">
        <f ca="1">_xlfn.LET(_xlpm._今月から4ヶ月計画合計,
  SUM(
    OFFSET($A3,0,
      MATCH(
        EDATE(基準データ!$C$5,3),$A$1:$BE$1,1
      )-4,1,4)),
  IF($C3="","",_xlpm._今月から4ヶ月計画合計
)
)</f>
        <v>59</v>
      </c>
      <c r="I3" s="38">
        <f>SUMIFS(マスタ_EOLリスト[在庫],マスタ_EOLリスト[製品型番],'在庫使用計画 (計画　予測)'!$C:$C)</f>
        <v>66</v>
      </c>
      <c r="J3" s="1116" cm="1">
        <f t="array" ref="J3">_xlfn.IFS($C3="","",
  $G3="","発売前？",
  $G3=0,"在庫なし",
  TRUE,
  IFERROR(
    _xlfn.LET(
      _xlpm._在庫注残,     $G3,
      _xlpm._しきい値,     _xlpm._在庫注残 * 0.75,
      _xlpm._見出し元,     $K$1:$BT$1,
      _xlpm._計画,         $K3:$BT3,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46204</v>
      </c>
      <c r="K3" s="38"/>
      <c r="L3" s="38"/>
      <c r="M3" s="38"/>
      <c r="N3" s="38"/>
      <c r="O3" s="38"/>
      <c r="P3" s="38"/>
      <c r="Q3" s="116"/>
      <c r="R3" s="1350"/>
      <c r="S3" s="219"/>
      <c r="T3" s="219"/>
      <c r="U3" s="219"/>
      <c r="V3" s="298"/>
      <c r="W3" s="299"/>
      <c r="X3" s="299"/>
      <c r="Y3" s="223">
        <v>30</v>
      </c>
      <c r="Z3" s="241">
        <v>60</v>
      </c>
      <c r="AA3" s="224">
        <v>75</v>
      </c>
      <c r="AB3" s="224">
        <v>89</v>
      </c>
      <c r="AC3" s="805">
        <v>117</v>
      </c>
      <c r="AD3" s="244">
        <v>44</v>
      </c>
      <c r="AE3" s="224">
        <v>33.063993238612206</v>
      </c>
      <c r="AF3" s="224">
        <v>32.636797917787106</v>
      </c>
      <c r="AG3" s="224">
        <v>26</v>
      </c>
      <c r="AH3" s="237">
        <v>11.333333333333332</v>
      </c>
      <c r="AI3" s="804">
        <v>20</v>
      </c>
      <c r="AJ3" s="224">
        <v>36.042352352804166</v>
      </c>
      <c r="AK3" s="224">
        <v>55</v>
      </c>
      <c r="AL3" s="224">
        <v>18</v>
      </c>
      <c r="AM3" s="224">
        <f>_xlfn.XLOOKUP(
$C3,
'在庫使用計画 (ノート全体試算)'!$C$1:$C$170,
'在庫使用計画 (ノート全体試算)'!AN$1:AN$170,
"")</f>
        <v>30</v>
      </c>
      <c r="AN3" s="237">
        <f>_xlfn.XLOOKUP(
$C3,
'在庫使用計画 (ノート全体試算)'!$C$1:$C$170,
'在庫使用計画 (ノート全体試算)'!AO$1:AO$170,
"")</f>
        <v>30</v>
      </c>
      <c r="AO3" s="237">
        <f>_xlfn.XLOOKUP(
$C3,
'在庫使用計画 (ノート全体試算)'!$C$1:$C$170,
'在庫使用計画 (ノート全体試算)'!AP$1:AP$170,
"")</f>
        <v>59</v>
      </c>
      <c r="AP3" s="224" t="str">
        <f>_xlfn.XLOOKUP(
$C3,
'在庫使用計画 (ノート全体試算)'!$C$1:$C$170,
'在庫使用計画 (ノート全体試算)'!AQ$1:AQ$170,
"")</f>
        <v/>
      </c>
      <c r="AQ3" s="1050" t="str">
        <f>_xlfn.XLOOKUP(
$C3,
'在庫使用計画 (ノート全体試算)'!$C$1:$C$170,
'在庫使用計画 (ノート全体試算)'!AR$1:AR$170,
"")</f>
        <v/>
      </c>
      <c r="AR3" s="2130" t="str">
        <f>_xlfn.XLOOKUP(
$C3,
'在庫使用計画 (ノート全体試算)'!$C$1:$C$170,
'在庫使用計画 (ノート全体試算)'!AS$1:AS$170,
"")</f>
        <v/>
      </c>
      <c r="AS3" s="351" t="str">
        <f>_xlfn.XLOOKUP(
$C3,
'在庫使用計画 (ノート全体試算)'!$C$1:$C$170,
'在庫使用計画 (ノート全体試算)'!AT$1:AT$170,
"")</f>
        <v/>
      </c>
      <c r="AT3" s="805" t="str">
        <f>_xlfn.XLOOKUP(
$C3,
'在庫使用計画 (ノート全体試算)'!$C$1:$C$170,
'在庫使用計画 (ノート全体試算)'!AU$1:AU$170,
"")</f>
        <v/>
      </c>
      <c r="AU3" s="907" t="str">
        <f>_xlfn.XLOOKUP(
$C3,
'在庫使用計画 (ノート全体試算)'!$C$1:$C$170,
'在庫使用計画 (ノート全体試算)'!AV$1:AV$170,
"")</f>
        <v/>
      </c>
      <c r="AV3" s="223" t="str">
        <f>_xlfn.XLOOKUP(
$C3,
'在庫使用計画 (ノート全体試算)'!$C$1:$C$170,
'在庫使用計画 (ノート全体試算)'!AW$1:AW$170,
"")</f>
        <v/>
      </c>
      <c r="AW3" s="223" t="str">
        <f>_xlfn.XLOOKUP(
$C3,
'在庫使用計画 (ノート全体試算)'!$C$1:$C$170,
'在庫使用計画 (ノート全体試算)'!AX$1:AX$170,
"")</f>
        <v/>
      </c>
      <c r="AX3" s="223" t="str">
        <f>_xlfn.XLOOKUP(
$C3,
'在庫使用計画 (ノート全体試算)'!$C$1:$C$170,
'在庫使用計画 (ノート全体試算)'!AY$1:AY$170,
"")</f>
        <v/>
      </c>
      <c r="AY3" s="223" t="str">
        <f>_xlfn.XLOOKUP(
$C3,
'在庫使用計画 (ノート全体試算)'!$C$1:$C$170,
'在庫使用計画 (ノート全体試算)'!AZ$1:AZ$170,
"")</f>
        <v/>
      </c>
      <c r="AZ3" s="223" t="str">
        <f>_xlfn.XLOOKUP(
$C3,
'在庫使用計画 (ノート全体試算)'!$C$1:$C$170,
'在庫使用計画 (ノート全体試算)'!BA$1:BA$170,
"")</f>
        <v/>
      </c>
      <c r="BA3" s="223" t="str">
        <f>_xlfn.XLOOKUP(
$C3,
'在庫使用計画 (ノート全体試算)'!$C$1:$C$170,
'在庫使用計画 (ノート全体試算)'!BB$1:BB$170,
"")</f>
        <v/>
      </c>
      <c r="BB3" s="223" t="str">
        <f>_xlfn.XLOOKUP(
$C3,
'在庫使用計画 (ノート全体試算)'!$C$1:$C$170,
'在庫使用計画 (ノート全体試算)'!BC$1:BC$170,
"")</f>
        <v/>
      </c>
      <c r="BC3" s="223" t="str">
        <f>_xlfn.XLOOKUP(
$C3,
'在庫使用計画 (ノート全体試算)'!$C$1:$C$170,
'在庫使用計画 (ノート全体試算)'!BD$1:BD$170,
"")</f>
        <v/>
      </c>
      <c r="BD3" s="223" t="str">
        <f>_xlfn.XLOOKUP(
$C3,
'在庫使用計画 (ノート全体試算)'!$C$1:$C$170,
'在庫使用計画 (ノート全体試算)'!BE$1:BE$170,
"")</f>
        <v/>
      </c>
      <c r="BE3" s="223" t="str">
        <f>_xlfn.XLOOKUP(
$C3,
'在庫使用計画 (ノート全体試算)'!$C$1:$C$170,
'在庫使用計画 (ノート全体試算)'!BF$1:BF$170,
"")</f>
        <v/>
      </c>
      <c r="BF3" s="2149" t="str">
        <f>_xlfn.XLOOKUP(
$C3,
'在庫使用計画 (ノート全体試算)'!$C$1:$C$170,
'在庫使用計画 (ノート全体試算)'!BG$1:BG$170,
"")</f>
        <v/>
      </c>
      <c r="BG3" s="2091" t="s">
        <v>2653</v>
      </c>
    </row>
    <row r="4" spans="1:59">
      <c r="A4" s="33"/>
      <c r="B4" s="26" t="str">
        <v>CLE-X58-275HX-5090-L6</v>
      </c>
      <c r="C4" s="26" t="s">
        <v>1345</v>
      </c>
      <c r="D4" s="26" t="s">
        <v>1763</v>
      </c>
      <c r="E4" s="26"/>
      <c r="F4" s="24"/>
      <c r="G4" s="38">
        <v>66</v>
      </c>
      <c r="H4" s="38">
        <f ca="1">_xlfn.LET(_xlpm._今月から4ヶ月計画合計,
  SUM(
    OFFSET($A4,0,
      MATCH(
        EDATE(基準データ!$C$5,3),$A$1:$BE$1,1
      )-4,1,4)),
  IF($C4="","",_xlpm._今月から4ヶ月計画合計
)
)</f>
        <v>0</v>
      </c>
      <c r="I4" s="38">
        <f>I3</f>
        <v>66</v>
      </c>
      <c r="J4" s="1116" t="str" cm="1">
        <f t="array" ref="J4">_xlfn.IFS($C4="","",
  $G4="","発売前？",
  $G4=0,"在庫なし",
  TRUE,
  IFERROR(
    _xlfn.LET(
      _xlpm._在庫注残,     $G4,
      _xlpm._しきい値,     _xlpm._在庫注残 * 0.75,
      _xlpm._見出し元,     $K$1:$BT$1,
      _xlpm._計画,         $K4:$BT4,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合計0、在庫+注残66のため不足</v>
      </c>
      <c r="K4" s="38"/>
      <c r="L4" s="38"/>
      <c r="M4" s="38"/>
      <c r="N4" s="38"/>
      <c r="O4" s="38"/>
      <c r="P4" s="38"/>
      <c r="Q4" s="116"/>
      <c r="R4" s="1350"/>
      <c r="S4" s="219"/>
      <c r="T4" s="219"/>
      <c r="U4" s="219"/>
      <c r="V4" s="222"/>
      <c r="W4" s="224" t="s">
        <v>21</v>
      </c>
      <c r="X4" s="224" t="s">
        <v>21</v>
      </c>
      <c r="Y4" s="224" t="s">
        <v>21</v>
      </c>
      <c r="Z4" s="909">
        <v>18</v>
      </c>
      <c r="AA4" s="468">
        <v>21</v>
      </c>
      <c r="AB4" s="219">
        <v>24</v>
      </c>
      <c r="AC4" s="1351">
        <v>29</v>
      </c>
      <c r="AD4" s="244">
        <v>24</v>
      </c>
      <c r="AE4" s="224">
        <v>16</v>
      </c>
      <c r="AF4" s="224">
        <v>20</v>
      </c>
      <c r="AG4" s="224">
        <v>22</v>
      </c>
      <c r="AH4" s="237">
        <v>14</v>
      </c>
      <c r="AI4" s="804">
        <v>20</v>
      </c>
      <c r="AJ4" s="224">
        <v>28</v>
      </c>
      <c r="AK4" s="224">
        <v>52</v>
      </c>
      <c r="AL4" s="224">
        <v>20</v>
      </c>
      <c r="AM4" s="224">
        <f>_xlfn.LET(_xlpm._全体実績予測,
  INDEX('在庫使用計画 (全体実績+予測）0701'!$A$1:$BD$195,
    MATCH($C4,'在庫使用計画 (全体実績+予測）0701'!$C$1:$C$195,0),
    MATCH(AM$1,'在庫使用計画 (全体実績+予測）0701'!$A$1:$BD$1,0)
),
  IFERROR(
    IF(_xlpm._全体実績予測=0,"",_xlpm._全体実績予測),
  "")
)</f>
        <v>1</v>
      </c>
      <c r="AN4" s="237" t="str">
        <f>_xlfn.LET(_xlpm._全体実績予測,
  INDEX('在庫使用計画 (全体実績+予測）0701'!$A$1:$BD$195,
    MATCH($C4,'在庫使用計画 (全体実績+予測）0701'!$C$1:$C$195,0),
    MATCH(AN$1,'在庫使用計画 (全体実績+予測）0701'!$A$1:$BD$1,0)
),
  IFERROR(
    IF(_xlpm._全体実績予測=0,"",_xlpm._全体実績予測),
  "")
)</f>
        <v/>
      </c>
      <c r="AO4" s="237" t="str">
        <f>_xlfn.LET(_xlpm._全体実績予測,
  INDEX('在庫使用計画 (全体実績+予測）0701'!$A$1:$BD$195,
    MATCH($C4,'在庫使用計画 (全体実績+予測）0701'!$C$1:$C$195,0),
    MATCH(AO$1,'在庫使用計画 (全体実績+予測）0701'!$A$1:$BD$1,0)
),
  IFERROR(
    IF(_xlpm._全体実績予測=0,"",_xlpm._全体実績予測),
  "")
)</f>
        <v/>
      </c>
      <c r="AP4" s="224" t="str">
        <f>_xlfn.LET(_xlpm._全体実績予測,
  INDEX('在庫使用計画 (全体実績+予測）0701'!$A$1:$BD$195,
    MATCH($C4,'在庫使用計画 (全体実績+予測）0701'!$C$1:$C$195,0),
    MATCH(AP$1,'在庫使用計画 (全体実績+予測）0701'!$A$1:$BD$1,0)
),
  IFERROR(
    IF(_xlpm._全体実績予測=0,"",_xlpm._全体実績予測),
  "")
)</f>
        <v/>
      </c>
      <c r="AQ4" s="1050" t="str">
        <f>_xlfn.LET(_xlpm._全体実績予測,
  INDEX('在庫使用計画 (全体実績+予測）0701'!$A$1:$BD$195,
    MATCH($C4,'在庫使用計画 (全体実績+予測）0701'!$C$1:$C$195,0),
    MATCH(AQ$1,'在庫使用計画 (全体実績+予測）0701'!$A$1:$BD$1,0)
),
  IFERROR(
    IF(_xlpm._全体実績予測=0,"",_xlpm._全体実績予測),
  "")
)</f>
        <v/>
      </c>
      <c r="AR4" s="2130" t="str">
        <f>_xlfn.LET(_xlpm._全体実績予測,
  INDEX('在庫使用計画 (全体実績+予測）0701'!$A$1:$BD$195,
    MATCH($C4,'在庫使用計画 (全体実績+予測）0701'!$C$1:$C$195,0),
    MATCH(AR$1,'在庫使用計画 (全体実績+予測）0701'!$A$1:$BD$1,0)
),
  IFERROR(
    IF(_xlpm._全体実績予測=0,"",_xlpm._全体実績予測),
  "")
)</f>
        <v/>
      </c>
      <c r="AS4" s="244" t="str">
        <f>_xlfn.LET(_xlpm._全体実績予測,
  INDEX('在庫使用計画 (全体実績+予測）0701'!$A$1:$BD$195,
    MATCH($C4,'在庫使用計画 (全体実績+予測）0701'!$C$1:$C$195,0),
    MATCH(AS$1,'在庫使用計画 (全体実績+予測）0701'!$A$1:$BD$1,0)
),
  IFERROR(
    IF(_xlpm._全体実績予測=0,"",_xlpm._全体実績予測),
  "")
)</f>
        <v/>
      </c>
      <c r="AT4" s="805" t="str">
        <f>_xlfn.LET(_xlpm._全体実績予測,
  INDEX('在庫使用計画 (全体実績+予測）0701'!$A$1:$BD$195,
    MATCH($C4,'在庫使用計画 (全体実績+予測）0701'!$C$1:$C$195,0),
    MATCH(AT$1,'在庫使用計画 (全体実績+予測）0701'!$A$1:$BD$1,0)
),
  IFERROR(
    IF(_xlpm._全体実績予測=0,"",_xlpm._全体実績予測),
  "")
)</f>
        <v/>
      </c>
      <c r="AU4" s="804" t="str">
        <f>_xlfn.LET(_xlpm._全体実績予測,
  INDEX('在庫使用計画 (全体実績+予測）0701'!$A$1:$BD$195,
    MATCH($C4,'在庫使用計画 (全体実績+予測）0701'!$C$1:$C$195,0),
    MATCH(AU$1,'在庫使用計画 (全体実績+予測）0701'!$A$1:$BD$1,0)
),
  IFERROR(
    IF(_xlpm._全体実績予測=0,"",_xlpm._全体実績予測),
  "")
)</f>
        <v/>
      </c>
      <c r="AV4" s="224" t="str">
        <f>_xlfn.LET(_xlpm._全体実績予測,
  INDEX('在庫使用計画 (全体実績+予測）0701'!$A$1:$BD$195,
    MATCH($C4,'在庫使用計画 (全体実績+予測）0701'!$C$1:$C$195,0),
    MATCH(AV$1,'在庫使用計画 (全体実績+予測）0701'!$A$1:$BD$1,0)
),
  IFERROR(
    IF(_xlpm._全体実績予測=0,"",_xlpm._全体実績予測),
  "")
)</f>
        <v/>
      </c>
      <c r="AW4" s="224" t="str">
        <f>_xlfn.LET(_xlpm._全体実績予測,
  INDEX('在庫使用計画 (全体実績+予測）0701'!$A$1:$BD$195,
    MATCH($C4,'在庫使用計画 (全体実績+予測）0701'!$C$1:$C$195,0),
    MATCH(AW$1,'在庫使用計画 (全体実績+予測）0701'!$A$1:$BD$1,0)
),
  IFERROR(
    IF(_xlpm._全体実績予測=0,"",_xlpm._全体実績予測),
  "")
)</f>
        <v/>
      </c>
      <c r="AX4" s="224" t="str">
        <f>_xlfn.LET(_xlpm._全体実績予測,
  INDEX('在庫使用計画 (全体実績+予測）0701'!$A$1:$BD$195,
    MATCH($C4,'在庫使用計画 (全体実績+予測）0701'!$C$1:$C$195,0),
    MATCH(AX$1,'在庫使用計画 (全体実績+予測）0701'!$A$1:$BD$1,0)
),
  IFERROR(
    IF(_xlpm._全体実績予測=0,"",_xlpm._全体実績予測),
  "")
)</f>
        <v/>
      </c>
      <c r="AY4" s="224" t="str">
        <f>_xlfn.LET(_xlpm._全体実績予測,
  INDEX('在庫使用計画 (全体実績+予測）0701'!$A$1:$BD$195,
    MATCH($C4,'在庫使用計画 (全体実績+予測）0701'!$C$1:$C$195,0),
    MATCH(AY$1,'在庫使用計画 (全体実績+予測）0701'!$A$1:$BD$1,0)
),
  IFERROR(
    IF(_xlpm._全体実績予測=0,"",_xlpm._全体実績予測),
  "")
)</f>
        <v/>
      </c>
      <c r="AZ4" s="224" t="str">
        <f>_xlfn.LET(_xlpm._全体実績予測,
  INDEX('在庫使用計画 (全体実績+予測）0701'!$A$1:$BD$195,
    MATCH($C4,'在庫使用計画 (全体実績+予測）0701'!$C$1:$C$195,0),
    MATCH(AZ$1,'在庫使用計画 (全体実績+予測）0701'!$A$1:$BD$1,0)
),
  IFERROR(
    IF(_xlpm._全体実績予測=0,"",_xlpm._全体実績予測),
  "")
)</f>
        <v/>
      </c>
      <c r="BA4" s="224" t="str">
        <f>_xlfn.LET(_xlpm._全体実績予測,
  INDEX('在庫使用計画 (全体実績+予測）0701'!$A$1:$BD$195,
    MATCH($C4,'在庫使用計画 (全体実績+予測）0701'!$C$1:$C$195,0),
    MATCH(BA$1,'在庫使用計画 (全体実績+予測）0701'!$A$1:$BD$1,0)
),
  IFERROR(
    IF(_xlpm._全体実績予測=0,"",_xlpm._全体実績予測),
  "")
)</f>
        <v/>
      </c>
      <c r="BB4" s="224" t="str">
        <f>_xlfn.LET(_xlpm._全体実績予測,
  INDEX('在庫使用計画 (全体実績+予測）0701'!$A$1:$BD$195,
    MATCH($C4,'在庫使用計画 (全体実績+予測）0701'!$C$1:$C$195,0),
    MATCH(BB$1,'在庫使用計画 (全体実績+予測）0701'!$A$1:$BD$1,0)
),
  IFERROR(
    IF(_xlpm._全体実績予測=0,"",_xlpm._全体実績予測),
  "")
)</f>
        <v/>
      </c>
      <c r="BC4" s="224" t="str">
        <f>_xlfn.LET(_xlpm._全体実績予測,
  INDEX('在庫使用計画 (全体実績+予測）0701'!$A$1:$BD$195,
    MATCH($C4,'在庫使用計画 (全体実績+予測）0701'!$C$1:$C$195,0),
    MATCH(BC$1,'在庫使用計画 (全体実績+予測）0701'!$A$1:$BD$1,0)
),
  IFERROR(
    IF(_xlpm._全体実績予測=0,"",_xlpm._全体実績予測),
  "")
)</f>
        <v/>
      </c>
      <c r="BD4" s="224" t="str">
        <f>_xlfn.LET(_xlpm._全体実績予測,
  INDEX('在庫使用計画 (全体実績+予測）0701'!$A$1:$BD$195,
    MATCH($C4,'在庫使用計画 (全体実績+予測）0701'!$C$1:$C$195,0),
    MATCH(BD$1,'在庫使用計画 (全体実績+予測）0701'!$A$1:$BD$1,0)
),
  IFERROR(
    IF(_xlpm._全体実績予測=0,"",_xlpm._全体実績予測),
  "")
)</f>
        <v/>
      </c>
      <c r="BE4" s="224" t="str">
        <f>_xlfn.LET(_xlpm._全体実績予測,
  INDEX('在庫使用計画 (全体実績+予測）0701'!$A$1:$BD$195,
    MATCH($C4,'在庫使用計画 (全体実績+予測）0701'!$C$1:$C$195,0),
    MATCH(BE$1,'在庫使用計画 (全体実績+予測）0701'!$A$1:$BD$1,0)
),
  IFERROR(
    IF(_xlpm._全体実績予測=0,"",_xlpm._全体実績予測),
  "")
)</f>
        <v/>
      </c>
      <c r="BF4" s="805" t="str">
        <f>_xlfn.LET(_xlpm._全体実績予測,
  INDEX('在庫使用計画 (全体実績+予測）0701'!$A$1:$BD$195,
    MATCH($C4,'在庫使用計画 (全体実績+予測）0701'!$C$1:$C$195,0),
    MATCH(BF$1,'在庫使用計画 (全体実績+予測）0701'!$A$1:$BD$1,0)
),
  IFERROR(
    IF(_xlpm._全体実績予測=0,"",_xlpm._全体実績予測),
  "")
)</f>
        <v/>
      </c>
    </row>
    <row r="5" spans="1:59" ht="33.75" thickBot="1">
      <c r="A5" s="33"/>
      <c r="B5" s="26" t="str">
        <v/>
      </c>
      <c r="C5" s="380"/>
      <c r="D5" s="26"/>
      <c r="E5" s="26"/>
      <c r="F5" s="26"/>
      <c r="G5" s="43" t="str">
        <v/>
      </c>
      <c r="H5" s="38" t="str">
        <f ca="1">_xlfn.LET(_xlpm._今月から4ヶ月計画合計,
  SUM(
    OFFSET($A5,0,
      MATCH(
        EDATE(基準データ!$C$5,3),$A$1:$BE$1,1
      )-4,1,4)),
  IF($C5="","",_xlpm._今月から4ヶ月計画合計
)
)</f>
        <v/>
      </c>
      <c r="I5" s="43"/>
      <c r="J5" s="1116" t="str" cm="1">
        <f t="array" ref="J5">_xlfn.IFS($C5="","",
  $G5="","発売前？",
  $G5=0,"在庫なし",
  TRUE,
  IFERROR(
    _xlfn.LET(
      _xlpm._在庫注残,     $G5,
      _xlpm._しきい値,     _xlpm._在庫注残 * 0.75,
      _xlpm._見出し元,     $K$1:$BT$1,
      _xlpm._計画,         $K5:$BT5,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
      </c>
      <c r="K5" s="38"/>
      <c r="L5" s="38"/>
      <c r="M5" s="38"/>
      <c r="N5" s="38"/>
      <c r="O5" s="38"/>
      <c r="P5" s="38"/>
      <c r="Q5" s="116"/>
      <c r="R5" s="1350"/>
      <c r="S5" s="219"/>
      <c r="T5" s="219"/>
      <c r="U5" s="219"/>
      <c r="V5" s="222"/>
      <c r="W5" s="223"/>
      <c r="X5" s="223"/>
      <c r="Y5" s="223"/>
      <c r="Z5" s="241"/>
      <c r="AA5" s="224"/>
      <c r="AB5" s="224"/>
      <c r="AC5" s="1352"/>
      <c r="AD5" s="244"/>
      <c r="AE5" s="224"/>
      <c r="AF5" s="224"/>
      <c r="AG5" s="224"/>
      <c r="AH5" s="237"/>
      <c r="AI5" s="804"/>
      <c r="AJ5" s="224"/>
      <c r="AK5" s="237"/>
      <c r="AL5" s="224"/>
      <c r="AM5" s="224"/>
      <c r="AN5" s="1319" t="s">
        <v>1764</v>
      </c>
      <c r="AO5" s="237" t="s">
        <v>1765</v>
      </c>
      <c r="AP5" s="224" t="s">
        <v>1766</v>
      </c>
      <c r="AQ5" s="1050"/>
      <c r="AR5" s="2130"/>
      <c r="AS5" s="244"/>
      <c r="AT5" s="805"/>
      <c r="AU5" s="804"/>
      <c r="AV5" s="224"/>
      <c r="AW5" s="224"/>
      <c r="AX5" s="224"/>
      <c r="AY5" s="224"/>
      <c r="AZ5" s="224"/>
      <c r="BA5" s="224"/>
      <c r="BB5" s="224"/>
      <c r="BC5" s="224"/>
      <c r="BD5" s="224"/>
      <c r="BE5" s="224"/>
      <c r="BF5" s="805"/>
    </row>
    <row r="6" spans="1:59">
      <c r="A6" s="33" t="s">
        <v>1344</v>
      </c>
      <c r="B6" s="1211" t="str">
        <v>CLE-X58-290HXP-5090-L6-GG</v>
      </c>
      <c r="C6" s="1259" t="s">
        <v>1767</v>
      </c>
      <c r="D6" s="1258" t="s">
        <v>1768</v>
      </c>
      <c r="E6" s="26">
        <v>5090</v>
      </c>
      <c r="F6" s="24" t="s">
        <v>1347</v>
      </c>
      <c r="G6" s="38">
        <v>137</v>
      </c>
      <c r="H6" s="38">
        <f ca="1">_xlfn.LET(_xlpm._今月から4ヶ月計画合計,
  SUM(
    OFFSET($A6,0,
      MATCH(
        EDATE(基準データ!$C$5,3),$A$1:$BE$1,1
      )-4,1,4)),
  IF($C6="","",_xlpm._今月から4ヶ月計画合計
)
)</f>
        <v>67.364173383328975</v>
      </c>
      <c r="I6" s="38">
        <f>SUMIFS(マスタ_EOLリスト[在庫],マスタ_EOLリスト[製品型番],'在庫使用計画 (計画　予測)'!$C:$C)</f>
        <v>107</v>
      </c>
      <c r="J6" s="1116" cm="1">
        <f t="array" ref="J6">_xlfn.IFS($C6="","",
  $G6="","発売前？",
  $G6=0,"在庫なし",
  TRUE,
  IFERROR(
    _xlfn.LET(
      _xlpm._在庫注残,     $G6,
      _xlpm._しきい値,     _xlpm._在庫注残 * 0.75,
      _xlpm._見出し元,     $K$1:$BT$1,
      _xlpm._計画,         $K6:$BT6,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46357</v>
      </c>
      <c r="K6" s="38"/>
      <c r="L6" s="38"/>
      <c r="M6" s="38"/>
      <c r="N6" s="38"/>
      <c r="O6" s="38"/>
      <c r="P6" s="38"/>
      <c r="Q6" s="116"/>
      <c r="R6" s="1350"/>
      <c r="S6" s="219"/>
      <c r="T6" s="219"/>
      <c r="U6" s="219"/>
      <c r="V6" s="219"/>
      <c r="W6" s="224"/>
      <c r="X6" s="224"/>
      <c r="Y6" s="223"/>
      <c r="Z6" s="241"/>
      <c r="AA6" s="224"/>
      <c r="AB6" s="224"/>
      <c r="AC6" s="805"/>
      <c r="AD6" s="244"/>
      <c r="AE6" s="224"/>
      <c r="AF6" s="224"/>
      <c r="AG6" s="224"/>
      <c r="AH6" s="237"/>
      <c r="AI6" s="804" t="s">
        <v>21</v>
      </c>
      <c r="AJ6" s="224" t="s">
        <v>21</v>
      </c>
      <c r="AK6" s="224">
        <v>3</v>
      </c>
      <c r="AL6" s="224">
        <v>2.2304413469132101</v>
      </c>
      <c r="AM6" s="224">
        <f>_xlfn.XLOOKUP(
$C6,
'在庫使用計画 (ノート全体試算)'!$C$1:$C$170,
'在庫使用計画 (ノート全体試算)'!AN$1:AN$170,
"")</f>
        <v>10</v>
      </c>
      <c r="AN6" s="237">
        <f>_xlfn.XLOOKUP(
$C6,
'在庫使用計画 (ノート全体試算)'!$C$1:$C$170,
'在庫使用計画 (ノート全体試算)'!AO$1:AO$170,
"")</f>
        <v>11.571092817687738</v>
      </c>
      <c r="AO6" s="237">
        <f>_xlfn.XLOOKUP(
$C6,
'在庫使用計画 (ノート全体試算)'!$C$1:$C$170,
'在庫使用計画 (ノート全体試算)'!AP$1:AP$170,
"")</f>
        <v>14.677271498425696</v>
      </c>
      <c r="AP6" s="224">
        <f>_xlfn.XLOOKUP(
$C6,
'在庫使用計画 (ノート全体試算)'!$C$1:$C$170,
'在庫使用計画 (ノート全体試算)'!AQ$1:AQ$170,
"")</f>
        <v>19.294817620538364</v>
      </c>
      <c r="AQ6" s="1050">
        <f>_xlfn.XLOOKUP(
$C6,
'在庫使用計画 (ノート全体試算)'!$C$1:$C$170,
'在庫使用計画 (ノート全体試算)'!AR$1:AR$170,
"")</f>
        <v>17.220765020512381</v>
      </c>
      <c r="AR6" s="2130">
        <f>_xlfn.XLOOKUP(
$C6,
'在庫使用計画 (ノート全体試算)'!$C$1:$C$170,
'在庫使用計画 (ノート全体試算)'!AS$1:AS$170,
"")</f>
        <v>16.17131924385253</v>
      </c>
      <c r="AS6" s="244">
        <f>_xlfn.XLOOKUP(
$C6,
'在庫使用計画 (ノート全体試算)'!$C$1:$C$170,
'在庫使用計画 (ノート全体試算)'!AT$1:AT$170,
"")</f>
        <v>16.686918593568798</v>
      </c>
      <c r="AT6" s="805">
        <f>_xlfn.XLOOKUP(
$C6,
'在庫使用計画 (ノート全体試算)'!$C$1:$C$170,
'在庫使用計画 (ノート全体試算)'!AU$1:AU$170,
"")</f>
        <v>25.327893524118746</v>
      </c>
      <c r="AU6" s="804">
        <f>_xlfn.XLOOKUP(
$C6,
'在庫使用計画 (ノート全体試算)'!$C$1:$C$170,
'在庫使用計画 (ノート全体試算)'!AV$1:AV$170,
"")</f>
        <v>29.230849080749543</v>
      </c>
      <c r="AV6" s="224">
        <f>_xlfn.XLOOKUP(
$C6,
'在庫使用計画 (ノート全体試算)'!$C$1:$C$170,
'在庫使用計画 (ノート全体試算)'!AW$1:AW$170,
"")</f>
        <v>30.58777662927152</v>
      </c>
      <c r="AW6" s="224">
        <f>_xlfn.XLOOKUP(
$C6,
'在庫使用計画 (ノート全体試算)'!$C$1:$C$170,
'在庫使用計画 (ノート全体試算)'!AX$1:AX$170,
"")</f>
        <v>27.645182316905295</v>
      </c>
      <c r="AX6" s="224">
        <f>_xlfn.XLOOKUP(
$C6,
'在庫使用計画 (ノート全体試算)'!$C$1:$C$170,
'在庫使用計画 (ノート全体試算)'!AY$1:AY$170,
"")</f>
        <v>5</v>
      </c>
      <c r="AY6" s="224">
        <f>_xlfn.XLOOKUP(
$C6,
'在庫使用計画 (ノート全体試算)'!$C$1:$C$170,
'在庫使用計画 (ノート全体試算)'!AZ$1:AZ$170,
"")</f>
        <v>5</v>
      </c>
      <c r="AZ6" s="224" t="str">
        <f>_xlfn.XLOOKUP(
$C6,
'在庫使用計画 (ノート全体試算)'!$C$1:$C$170,
'在庫使用計画 (ノート全体試算)'!BA$1:BA$170,
"")</f>
        <v/>
      </c>
      <c r="BA6" s="224" t="str">
        <f>_xlfn.XLOOKUP(
$C6,
'在庫使用計画 (ノート全体試算)'!$C$1:$C$170,
'在庫使用計画 (ノート全体試算)'!BB$1:BB$170,
"")</f>
        <v/>
      </c>
      <c r="BB6" s="224" t="str">
        <f>_xlfn.XLOOKUP(
$C6,
'在庫使用計画 (ノート全体試算)'!$C$1:$C$170,
'在庫使用計画 (ノート全体試算)'!BC$1:BC$170,
"")</f>
        <v/>
      </c>
      <c r="BC6" s="224" t="str">
        <f>_xlfn.XLOOKUP(
$C6,
'在庫使用計画 (ノート全体試算)'!$C$1:$C$170,
'在庫使用計画 (ノート全体試算)'!BD$1:BD$170,
"")</f>
        <v/>
      </c>
      <c r="BD6" s="224" t="str">
        <f>_xlfn.XLOOKUP(
$C6,
'在庫使用計画 (ノート全体試算)'!$C$1:$C$170,
'在庫使用計画 (ノート全体試算)'!BE$1:BE$170,
"")</f>
        <v/>
      </c>
      <c r="BE6" s="224" t="str">
        <f>_xlfn.XLOOKUP(
$C6,
'在庫使用計画 (ノート全体試算)'!$C$1:$C$170,
'在庫使用計画 (ノート全体試算)'!BF$1:BF$170,
"")</f>
        <v/>
      </c>
      <c r="BF6" s="805" t="str">
        <f>_xlfn.XLOOKUP(
$C6,
'在庫使用計画 (ノート全体試算)'!$C$1:$C$170,
'在庫使用計画 (ノート全体試算)'!BG$1:BG$170,
"")</f>
        <v/>
      </c>
      <c r="BG6" s="2091" t="s">
        <v>2653</v>
      </c>
    </row>
    <row r="7" spans="1:59" ht="19.5" thickBot="1">
      <c r="A7" s="33"/>
      <c r="B7" s="111" t="str">
        <v>CLE-X58-290HXP-5090-L6-GG</v>
      </c>
      <c r="C7" s="1260" t="s">
        <v>1767</v>
      </c>
      <c r="D7" s="1258" t="s">
        <v>1763</v>
      </c>
      <c r="E7" s="26"/>
      <c r="F7" s="24"/>
      <c r="G7" s="38">
        <v>137</v>
      </c>
      <c r="H7" s="38">
        <f ca="1">_xlfn.LET(_xlpm._今月から4ヶ月計画合計,
  SUM(
    OFFSET($A7,0,
      MATCH(
        EDATE(基準データ!$C$5,3),$A$1:$BE$1,1
      )-4,1,4)),
  IF($C7="","",_xlpm._今月から4ヶ月計画合計
)
)</f>
        <v>20.719453462727</v>
      </c>
      <c r="I7" s="38">
        <f>I6</f>
        <v>107</v>
      </c>
      <c r="J7" s="1116" t="str" cm="1">
        <f t="array" ref="J7">_xlfn.IFS($C7="","",
  $G7="","発売前？",
  $G7=0,"在庫なし",
  TRUE,
  IFERROR(
    _xlfn.LET(
      _xlpm._在庫注残,     $G7,
      _xlpm._しきい値,     _xlpm._在庫注残 * 0.75,
      _xlpm._見出し元,     $K$1:$BT$1,
      _xlpm._計画,         $K7:$BT7,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合計98、在庫+注残137のため不足</v>
      </c>
      <c r="K7" s="38"/>
      <c r="L7" s="38"/>
      <c r="M7" s="38"/>
      <c r="N7" s="38"/>
      <c r="O7" s="38"/>
      <c r="P7" s="38"/>
      <c r="Q7" s="116"/>
      <c r="R7" s="1350"/>
      <c r="S7" s="219"/>
      <c r="T7" s="219"/>
      <c r="U7" s="219"/>
      <c r="V7" s="222"/>
      <c r="W7" s="224" t="s">
        <v>21</v>
      </c>
      <c r="X7" s="224"/>
      <c r="Y7" s="224"/>
      <c r="Z7" s="909"/>
      <c r="AA7" s="468"/>
      <c r="AB7" s="219"/>
      <c r="AC7" s="1351"/>
      <c r="AD7" s="244"/>
      <c r="AE7" s="224"/>
      <c r="AF7" s="224"/>
      <c r="AG7" s="224"/>
      <c r="AH7" s="237"/>
      <c r="AI7" s="804" t="s">
        <v>21</v>
      </c>
      <c r="AJ7" s="224" t="s">
        <v>21</v>
      </c>
      <c r="AK7" s="224" t="s">
        <v>21</v>
      </c>
      <c r="AL7" s="224">
        <v>1</v>
      </c>
      <c r="AM7" s="224">
        <f>_xlfn.LET(_xlpm._全体実績予測,
  INDEX('在庫使用計画 (全体実績+予測）0701'!$A$1:$BD$195,
    MATCH($C7,'在庫使用計画 (全体実績+予測）0701'!$C$1:$C$195,0),
    MATCH(AM$1,'在庫使用計画 (全体実績+予測）0701'!$A$1:$BD$1,0)
),
  IFERROR(
    IF(_xlpm._全体実績予測=0,"",_xlpm._全体実績予測),
  "")
)</f>
        <v>7</v>
      </c>
      <c r="AN7" s="237">
        <f>_xlfn.LET(_xlpm._全体実績予測,
  INDEX('在庫使用計画 (全体実績+予測）0701'!$A$1:$BD$195,
    MATCH($C7,'在庫使用計画 (全体実績+予測）0701'!$C$1:$C$195,0),
    MATCH(AN$1,'在庫使用計画 (全体実績+予測）0701'!$A$1:$BD$1,0)
),
  IFERROR(
    IF(_xlpm._全体実績予測=0,"",_xlpm._全体実績予測),
  "")
)</f>
        <v>5.3571428571428577</v>
      </c>
      <c r="AO7" s="237">
        <f>_xlfn.LET(_xlpm._全体実績予測,
  INDEX('在庫使用計画 (全体実績+予測）0701'!$A$1:$BD$195,
    MATCH($C7,'在庫使用計画 (全体実績+予測）0701'!$C$1:$C$195,0),
    MATCH(AO$1,'在庫使用計画 (全体実績+予測）0701'!$A$1:$BD$1,0)
),
  IFERROR(
    IF(_xlpm._全体実績予測=0,"",_xlpm._全体実績予測),
  "")
)</f>
        <v>6.795230269862274</v>
      </c>
      <c r="AP7" s="224">
        <f>_xlfn.LET(_xlpm._全体実績予測,
  INDEX('在庫使用計画 (全体実績+予測）0701'!$A$1:$BD$195,
    MATCH($C7,'在庫使用計画 (全体実績+予測）0701'!$C$1:$C$195,0),
    MATCH(AP$1,'在庫使用計画 (全体実績+予測）0701'!$A$1:$BD$1,0)
),
  IFERROR(
    IF(_xlpm._全体実績予測=0,"",_xlpm._全体実績予測),
  "")
)</f>
        <v>5.5536466232555401</v>
      </c>
      <c r="AQ7" s="1050">
        <f>_xlfn.LET(_xlpm._全体実績予測,
  INDEX('在庫使用計画 (全体実績+予測）0701'!$A$1:$BD$195,
    MATCH($C7,'在庫使用計画 (全体実績+予測）0701'!$C$1:$C$195,0),
    MATCH(AQ$1,'在庫使用計画 (全体実績+予測）0701'!$A$1:$BD$1,0)
),
  IFERROR(
    IF(_xlpm._全体実績予測=0,"",_xlpm._全体実績予測),
  "")
)</f>
        <v>4.477597648193683</v>
      </c>
      <c r="AR7" s="2130">
        <f>_xlfn.LET(_xlpm._全体実績予測,
  INDEX('在庫使用計画 (全体実績+予測）0701'!$A$1:$BD$195,
    MATCH($C7,'在庫使用計画 (全体実績+予測）0701'!$C$1:$C$195,0),
    MATCH(AR$1,'在庫使用計画 (全体実績+予測）0701'!$A$1:$BD$1,0)
),
  IFERROR(
    IF(_xlpm._全体実績予測=0,"",_xlpm._全体実績予測),
  "")
)</f>
        <v>3.8929789214155028</v>
      </c>
      <c r="AS7" s="244">
        <f>_xlfn.LET(_xlpm._全体実績予測,
  INDEX('在庫使用計画 (全体実績+予測）0701'!$A$1:$BD$195,
    MATCH($C7,'在庫使用計画 (全体実績+予測）0701'!$C$1:$C$195,0),
    MATCH(AS$1,'在庫使用計画 (全体実績+予測）0701'!$A$1:$BD$1,0)
),
  IFERROR(
    IF(_xlpm._全体実績予測=0,"",_xlpm._全体実績予測),
  "")
)</f>
        <v>4.4242835676229868</v>
      </c>
      <c r="AT7" s="805">
        <f>_xlfn.LET(_xlpm._全体実績予測,
  INDEX('在庫使用計画 (全体実績+予測）0701'!$A$1:$BD$195,
    MATCH($C7,'在庫使用計画 (全体実績+予測）0701'!$C$1:$C$195,0),
    MATCH(AT$1,'在庫使用計画 (全体実績+予測）0701'!$A$1:$BD$1,0)
),
  IFERROR(
    IF(_xlpm._全体実績予測=0,"",_xlpm._全体実績予測),
  "")
)</f>
        <v>6.9564265797160161</v>
      </c>
      <c r="AU7" s="804">
        <f>_xlfn.LET(_xlpm._全体実績予測,
  INDEX('在庫使用計画 (全体実績+予測）0701'!$A$1:$BD$195,
    MATCH($C7,'在庫使用計画 (全体実績+予測）0701'!$C$1:$C$195,0),
    MATCH(AU$1,'在庫使用計画 (全体実績+予測）0701'!$A$1:$BD$1,0)
),
  IFERROR(
    IF(_xlpm._全体実績予測=0,"",_xlpm._全体実績予測),
  "")
)</f>
        <v>5.8168998300143686</v>
      </c>
      <c r="AV7" s="224">
        <f>_xlfn.LET(_xlpm._全体実績予測,
  INDEX('在庫使用計画 (全体実績+予測）0701'!$A$1:$BD$195,
    MATCH($C7,'在庫使用計画 (全体実績+予測）0701'!$C$1:$C$195,0),
    MATCH(AV$1,'在庫使用計画 (全体実績+予測）0701'!$A$1:$BD$1,0)
),
  IFERROR(
    IF(_xlpm._全体実績予測=0,"",_xlpm._全体実績予測),
  "")
)</f>
        <v>5.2363517454824668</v>
      </c>
      <c r="AW7" s="224">
        <f>_xlfn.LET(_xlpm._全体実績予測,
  INDEX('在庫使用計画 (全体実績+予測）0701'!$A$1:$BD$195,
    MATCH($C7,'在庫使用計画 (全体実績+予測）0701'!$C$1:$C$195,0),
    MATCH(AW$1,'在庫使用計画 (全体実績+予測）0701'!$A$1:$BD$1,0)
),
  IFERROR(
    IF(_xlpm._全体実績予測=0,"",_xlpm._全体実績予測),
  "")
)</f>
        <v>7.5340511927352996</v>
      </c>
      <c r="AX7" s="224">
        <f>_xlfn.LET(_xlpm._全体実績予測,
  INDEX('在庫使用計画 (全体実績+予測）0701'!$A$1:$BD$195,
    MATCH($C7,'在庫使用計画 (全体実績+予測）0701'!$C$1:$C$195,0),
    MATCH(AX$1,'在庫使用計画 (全体実績+予測）0701'!$A$1:$BD$1,0)
),
  IFERROR(
    IF(_xlpm._全体実績予測=0,"",_xlpm._全体実績予測),
  "")
)</f>
        <v>5.7993984915991597</v>
      </c>
      <c r="AY7" s="224">
        <f>_xlfn.LET(_xlpm._全体実績予測,
  INDEX('在庫使用計画 (全体実績+予測）0701'!$A$1:$BD$195,
    MATCH($C7,'在庫使用計画 (全体実績+予測）0701'!$C$1:$C$195,0),
    MATCH(AY$1,'在庫使用計画 (全体実績+予測）0701'!$A$1:$BD$1,0)
),
  IFERROR(
    IF(_xlpm._全体実績予測=0,"",_xlpm._全体実績予測),
  "")
)</f>
        <v>4.6297639657283307</v>
      </c>
      <c r="AZ7" s="224">
        <f>_xlfn.LET(_xlpm._全体実績予測,
  INDEX('在庫使用計画 (全体実績+予測）0701'!$A$1:$BD$195,
    MATCH($C7,'在庫使用計画 (全体実績+予測）0701'!$C$1:$C$195,0),
    MATCH(AZ$1,'在庫使用計画 (全体実績+予測）0701'!$A$1:$BD$1,0)
),
  IFERROR(
    IF(_xlpm._全体実績予測=0,"",_xlpm._全体実績予測),
  "")
)</f>
        <v>5.3571428571428585</v>
      </c>
      <c r="BA7" s="224">
        <f>_xlfn.LET(_xlpm._全体実績予測,
  INDEX('在庫使用計画 (全体実績+予測）0701'!$A$1:$BD$195,
    MATCH($C7,'在庫使用計画 (全体実績+予測）0701'!$C$1:$C$195,0),
    MATCH(BA$1,'在庫使用計画 (全体実績+予測）0701'!$A$1:$BD$1,0)
),
  IFERROR(
    IF(_xlpm._全体実績予測=0,"",_xlpm._全体実績予測),
  "")
)</f>
        <v>6.7952302698622749</v>
      </c>
      <c r="BB7" s="224">
        <f>_xlfn.LET(_xlpm._全体実績予測,
  INDEX('在庫使用計画 (全体実績+予測）0701'!$A$1:$BD$195,
    MATCH($C7,'在庫使用計画 (全体実績+予測）0701'!$C$1:$C$195,0),
    MATCH(BB$1,'在庫使用計画 (全体実績+予測）0701'!$A$1:$BD$1,0)
),
  IFERROR(
    IF(_xlpm._全体実績予測=0,"",_xlpm._全体実績予測),
  "")
)</f>
        <v>5.553646623255541</v>
      </c>
      <c r="BC7" s="224">
        <f>_xlfn.LET(_xlpm._全体実績予測,
  INDEX('在庫使用計画 (全体実績+予測）0701'!$A$1:$BD$195,
    MATCH($C7,'在庫使用計画 (全体実績+予測）0701'!$C$1:$C$195,0),
    MATCH(BC$1,'在庫使用計画 (全体実績+予測）0701'!$A$1:$BD$1,0)
),
  IFERROR(
    IF(_xlpm._全体実績予測=0,"",_xlpm._全体実績予測),
  "")
)</f>
        <v>4.477597648193683</v>
      </c>
      <c r="BD7" s="224">
        <f>_xlfn.LET(_xlpm._全体実績予測,
  INDEX('在庫使用計画 (全体実績+予測）0701'!$A$1:$BD$195,
    MATCH($C7,'在庫使用計画 (全体実績+予測）0701'!$C$1:$C$195,0),
    MATCH(BD$1,'在庫使用計画 (全体実績+予測）0701'!$A$1:$BD$1,0)
),
  IFERROR(
    IF(_xlpm._全体実績予測=0,"",_xlpm._全体実績予測),
  "")
)</f>
        <v>3.8929789214155028</v>
      </c>
      <c r="BE7" s="224">
        <f>_xlfn.LET(_xlpm._全体実績予測,
  INDEX('在庫使用計画 (全体実績+予測）0701'!$A$1:$BD$195,
    MATCH($C7,'在庫使用計画 (全体実績+予測）0701'!$C$1:$C$195,0),
    MATCH(BE$1,'在庫使用計画 (全体実績+予測）0701'!$A$1:$BD$1,0)
),
  IFERROR(
    IF(_xlpm._全体実績予測=0,"",_xlpm._全体実績予測),
  "")
)</f>
        <v>4.4242835676229868</v>
      </c>
      <c r="BF7" s="805">
        <f>_xlfn.LET(_xlpm._全体実績予測,
  INDEX('在庫使用計画 (全体実績+予測）0701'!$A$1:$BD$195,
    MATCH($C7,'在庫使用計画 (全体実績+予測）0701'!$C$1:$C$195,0),
    MATCH(BF$1,'在庫使用計画 (全体実績+予測）0701'!$A$1:$BD$1,0)
),
  IFERROR(
    IF(_xlpm._全体実績予測=0,"",_xlpm._全体実績予測),
  "")
)</f>
        <v>6.9564265797160161</v>
      </c>
    </row>
    <row r="8" spans="1:59">
      <c r="A8" s="33" t="s">
        <v>1769</v>
      </c>
      <c r="B8" s="1211" t="str">
        <v>UNW-Y-290HXP-5080-L6-GC</v>
      </c>
      <c r="C8" s="1259" t="s">
        <v>1631</v>
      </c>
      <c r="D8" s="1258" t="s">
        <v>1768</v>
      </c>
      <c r="E8" s="26">
        <v>5090</v>
      </c>
      <c r="F8" s="24" t="s">
        <v>1347</v>
      </c>
      <c r="G8" s="38">
        <v>341</v>
      </c>
      <c r="H8" s="38">
        <f ca="1">_xlfn.LET(_xlpm._今月から4ヶ月計画合計,
  SUM(
    OFFSET($A8,0,
      MATCH(
        EDATE(基準データ!$C$5,3),$A$1:$BE$1,1
      )-4,1,4)),
  IF($C8="","",_xlpm._今月から4ヶ月計画合計
)
)</f>
        <v>166.21665027024551</v>
      </c>
      <c r="I8" s="38">
        <f>SUMIFS(マスタ_EOLリスト[在庫],マスタ_EOLリスト[製品型番],'在庫使用計画 (計画　予測)'!$C:$C)</f>
        <v>269</v>
      </c>
      <c r="J8" s="1116" cm="1">
        <f t="array" ref="J8">_xlfn.IFS($C8="","",
  $G8="","発売前？",
  $G8=0,"在庫なし",
  TRUE,
  IFERROR(
    _xlfn.LET(
      _xlpm._在庫注残,     $G8,
      _xlpm._しきい値,     _xlpm._在庫注残 * 0.75,
      _xlpm._見出し元,     $K$1:$BT$1,
      _xlpm._計画,         $K8:$BT8,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46357</v>
      </c>
      <c r="K8" s="38"/>
      <c r="L8" s="38"/>
      <c r="M8" s="38"/>
      <c r="N8" s="38"/>
      <c r="O8" s="38"/>
      <c r="P8" s="38"/>
      <c r="Q8" s="116"/>
      <c r="R8" s="1350"/>
      <c r="S8" s="219"/>
      <c r="T8" s="219"/>
      <c r="U8" s="219"/>
      <c r="V8" s="219"/>
      <c r="W8" s="224"/>
      <c r="X8" s="224"/>
      <c r="Y8" s="223"/>
      <c r="Z8" s="241"/>
      <c r="AA8" s="224"/>
      <c r="AB8" s="224"/>
      <c r="AC8" s="805"/>
      <c r="AD8" s="244"/>
      <c r="AE8" s="224"/>
      <c r="AF8" s="224"/>
      <c r="AG8" s="224"/>
      <c r="AH8" s="237"/>
      <c r="AI8" s="804" t="s">
        <v>21</v>
      </c>
      <c r="AJ8" s="224" t="s">
        <v>21</v>
      </c>
      <c r="AK8" s="224" t="s">
        <v>21</v>
      </c>
      <c r="AL8" s="224">
        <v>50</v>
      </c>
      <c r="AM8" s="224">
        <f>_xlfn.XLOOKUP(
$C8,
'在庫使用計画 (ノート全体試算)'!$C$1:$C$170,
'在庫使用計画 (ノート全体試算)'!AN$1:AN$170,
"")</f>
        <v>15</v>
      </c>
      <c r="AN8" s="237">
        <f>_xlfn.XLOOKUP(
$C8,
'在庫使用計画 (ノート全体試算)'!$C$1:$C$170,
'在庫使用計画 (ノート全体試算)'!AO$1:AO$170,
"")</f>
        <v>18</v>
      </c>
      <c r="AO8" s="237">
        <f>_xlfn.XLOOKUP(
$C8,
'在庫使用計画 (ノート全体試算)'!$C$1:$C$170,
'在庫使用計画 (ノート全体試算)'!AP$1:AP$170,
"")</f>
        <v>15</v>
      </c>
      <c r="AP8" s="224">
        <f>_xlfn.XLOOKUP(
$C8,
'在庫使用計画 (ノート全体試算)'!$C$1:$C$170,
'在庫使用計画 (ノート全体試算)'!AQ$1:AQ$170,
"")</f>
        <v>54</v>
      </c>
      <c r="AQ8" s="1050">
        <f>_xlfn.XLOOKUP(
$C8,
'在庫使用計画 (ノート全体試算)'!$C$1:$C$170,
'在庫使用計画 (ノート全体試算)'!AR$1:AR$170,
"")</f>
        <v>52.187338258671495</v>
      </c>
      <c r="AR8" s="2130">
        <f>_xlfn.XLOOKUP(
$C8,
'在庫使用計画 (ノート全体試算)'!$C$1:$C$170,
'在庫使用計画 (ノート全体試算)'!AS$1:AS$170,
"")</f>
        <v>45.029312011573992</v>
      </c>
      <c r="AS8" s="244">
        <f>_xlfn.XLOOKUP(
$C8,
'在庫使用計画 (ノート全体試算)'!$C$1:$C$170,
'在庫使用計画 (ノート全体試算)'!AT$1:AT$170,
"")</f>
        <v>51.899343266259947</v>
      </c>
      <c r="AT8" s="805">
        <f>_xlfn.XLOOKUP(
$C8,
'在庫使用計画 (ノート全体試算)'!$C$1:$C$170,
'在庫使用計画 (ノート全体試算)'!AU$1:AU$170,
"")</f>
        <v>61.577615492781398</v>
      </c>
      <c r="AU8" s="804">
        <f>_xlfn.XLOOKUP(
$C8,
'在庫使用計画 (ノート全体試算)'!$C$1:$C$170,
'在庫使用計画 (ノート全体試算)'!AV$1:AV$170,
"")</f>
        <v>44.422055946032678</v>
      </c>
      <c r="AV8" s="224">
        <f>_xlfn.XLOOKUP(
$C8,
'在庫使用計画 (ノート全体試算)'!$C$1:$C$170,
'在庫使用計画 (ノート全体試算)'!AW$1:AW$170,
"")</f>
        <v>41.28601872266546</v>
      </c>
      <c r="AW8" s="224">
        <f>_xlfn.XLOOKUP(
$C8,
'在庫使用計画 (ノート全体試算)'!$C$1:$C$170,
'在庫使用計画 (ノート全体試算)'!AX$1:AX$170,
"")</f>
        <v>53.697860543666614</v>
      </c>
      <c r="AX8" s="224">
        <f>_xlfn.XLOOKUP(
$C8,
'在庫使用計画 (ノート全体試算)'!$C$1:$C$170,
'在庫使用計画 (ノート全体試算)'!AY$1:AY$170,
"")</f>
        <v>44.327516234006765</v>
      </c>
      <c r="AY8" s="224">
        <f>_xlfn.XLOOKUP(
$C8,
'在庫使用計画 (ノート全体試算)'!$C$1:$C$170,
'在庫使用計画 (ノート全体試算)'!AZ$1:AZ$170,
"")</f>
        <v>13</v>
      </c>
      <c r="AZ8" s="224" t="str">
        <f>_xlfn.XLOOKUP(
$C8,
'在庫使用計画 (ノート全体試算)'!$C$1:$C$170,
'在庫使用計画 (ノート全体試算)'!BA$1:BA$170,
"")</f>
        <v/>
      </c>
      <c r="BA8" s="224" t="str">
        <f>_xlfn.XLOOKUP(
$C8,
'在庫使用計画 (ノート全体試算)'!$C$1:$C$170,
'在庫使用計画 (ノート全体試算)'!BB$1:BB$170,
"")</f>
        <v/>
      </c>
      <c r="BB8" s="224" t="str">
        <f>_xlfn.XLOOKUP(
$C8,
'在庫使用計画 (ノート全体試算)'!$C$1:$C$170,
'在庫使用計画 (ノート全体試算)'!BC$1:BC$170,
"")</f>
        <v/>
      </c>
      <c r="BC8" s="224" t="str">
        <f>_xlfn.XLOOKUP(
$C8,
'在庫使用計画 (ノート全体試算)'!$C$1:$C$170,
'在庫使用計画 (ノート全体試算)'!BD$1:BD$170,
"")</f>
        <v/>
      </c>
      <c r="BD8" s="224" t="str">
        <f>_xlfn.XLOOKUP(
$C8,
'在庫使用計画 (ノート全体試算)'!$C$1:$C$170,
'在庫使用計画 (ノート全体試算)'!BE$1:BE$170,
"")</f>
        <v/>
      </c>
      <c r="BE8" s="224" t="str">
        <f>_xlfn.XLOOKUP(
$C8,
'在庫使用計画 (ノート全体試算)'!$C$1:$C$170,
'在庫使用計画 (ノート全体試算)'!BF$1:BF$170,
"")</f>
        <v/>
      </c>
      <c r="BF8" s="805" t="str">
        <f>_xlfn.XLOOKUP(
$C8,
'在庫使用計画 (ノート全体試算)'!$C$1:$C$170,
'在庫使用計画 (ノート全体試算)'!BG$1:BG$170,
"")</f>
        <v/>
      </c>
      <c r="BG8" s="2091" t="s">
        <v>2654</v>
      </c>
    </row>
    <row r="9" spans="1:59" ht="19.5" thickBot="1">
      <c r="A9" s="33"/>
      <c r="B9" s="111" t="str">
        <v>UNW-Y-290HXP-5080-L6-GC</v>
      </c>
      <c r="C9" s="1263" t="s">
        <v>1631</v>
      </c>
      <c r="D9" s="1258" t="s">
        <v>1763</v>
      </c>
      <c r="E9" s="26"/>
      <c r="F9" s="24"/>
      <c r="G9" s="38">
        <v>341</v>
      </c>
      <c r="H9" s="38">
        <f ca="1">_xlfn.LET(_xlpm._今月から4ヶ月計画合計,
  SUM(
    OFFSET($A9,0,
      MATCH(
        EDATE(基準データ!$C$5,3),$A$1:$BE$1,1
      )-4,1,4)),
  IF($C9="","",_xlpm._今月から4ヶ月計画合計
)
)</f>
        <v>178.18729977945216</v>
      </c>
      <c r="I9" s="38">
        <f t="shared" ref="I9" si="0">I8</f>
        <v>269</v>
      </c>
      <c r="J9" s="1116" cm="1">
        <f t="array" ref="J9">_xlfn.IFS($C9="","",
  $G9="","発売前？",
  $G9=0,"在庫なし",
  TRUE,
  IFERROR(
    _xlfn.LET(
      _xlpm._在庫注残,     $G9,
      _xlpm._しきい値,     _xlpm._在庫注残 * 0.75,
      _xlpm._見出し元,     $K$1:$BT$1,
      _xlpm._計画,         $K9:$BT9,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46357</v>
      </c>
      <c r="K9" s="38"/>
      <c r="L9" s="38"/>
      <c r="M9" s="38"/>
      <c r="N9" s="38"/>
      <c r="O9" s="38"/>
      <c r="P9" s="38"/>
      <c r="Q9" s="116"/>
      <c r="R9" s="1350"/>
      <c r="S9" s="219"/>
      <c r="T9" s="219"/>
      <c r="U9" s="219"/>
      <c r="V9" s="222"/>
      <c r="W9" s="224" t="s">
        <v>21</v>
      </c>
      <c r="X9" s="224"/>
      <c r="Y9" s="224"/>
      <c r="Z9" s="909"/>
      <c r="AA9" s="468"/>
      <c r="AB9" s="219"/>
      <c r="AC9" s="1351"/>
      <c r="AD9" s="244"/>
      <c r="AE9" s="224"/>
      <c r="AF9" s="224"/>
      <c r="AG9" s="224"/>
      <c r="AH9" s="237"/>
      <c r="AI9" s="804" t="s">
        <v>21</v>
      </c>
      <c r="AJ9" s="224" t="s">
        <v>21</v>
      </c>
      <c r="AK9" s="224" t="s">
        <v>21</v>
      </c>
      <c r="AL9" s="224">
        <v>1</v>
      </c>
      <c r="AM9" s="224">
        <f>_xlfn.LET(_xlpm._全体実績予測,
  INDEX('在庫使用計画 (全体実績+予測）0701'!$A$1:$BD$195,
    MATCH($C9,'在庫使用計画 (全体実績+予測）0701'!$C$1:$C$195,0),
    MATCH(AM$1,'在庫使用計画 (全体実績+予測）0701'!$A$1:$BD$1,0)
),
  IFERROR(
    IF(_xlpm._全体実績予測=0,"",_xlpm._全体実績予測),
  "")
)</f>
        <v>8</v>
      </c>
      <c r="AN9" s="237">
        <f>_xlfn.LET(_xlpm._全体実績予測,
  INDEX('在庫使用計画 (全体実績+予測）0701'!$A$1:$BD$195,
    MATCH($C9,'在庫使用計画 (全体実績+予測）0701'!$C$1:$C$195,0),
    MATCH(AN$1,'在庫使用計画 (全体実績+予測）0701'!$A$1:$BD$1,0)
),
  IFERROR(
    IF(_xlpm._全体実績予測=0,"",_xlpm._全体実績予測),
  "")
)</f>
        <v>46.071428571428577</v>
      </c>
      <c r="AO9" s="237">
        <f>_xlfn.LET(_xlpm._全体実績予測,
  INDEX('在庫使用計画 (全体実績+予測）0701'!$A$1:$BD$195,
    MATCH($C9,'在庫使用計画 (全体実績+予測）0701'!$C$1:$C$195,0),
    MATCH(AO$1,'在庫使用計画 (全体実績+予測）0701'!$A$1:$BD$1,0)
),
  IFERROR(
    IF(_xlpm._全体実績予測=0,"",_xlpm._全体実績予測),
  "")
)</f>
        <v>58.438980320815553</v>
      </c>
      <c r="AP9" s="224">
        <f>_xlfn.LET(_xlpm._全体実績予測,
  INDEX('在庫使用計画 (全体実績+予測）0701'!$A$1:$BD$195,
    MATCH($C9,'在庫使用計画 (全体実績+予測）0701'!$C$1:$C$195,0),
    MATCH(AP$1,'在庫使用計画 (全体実績+予測）0701'!$A$1:$BD$1,0)
),
  IFERROR(
    IF(_xlpm._全体実績予測=0,"",_xlpm._全体実績予測),
  "")
)</f>
        <v>47.761360959997639</v>
      </c>
      <c r="AQ9" s="1050">
        <f>_xlfn.LET(_xlpm._全体実績予測,
  INDEX('在庫使用計画 (全体実績+予測）0701'!$A$1:$BD$195,
    MATCH($C9,'在庫使用計画 (全体実績+予測）0701'!$C$1:$C$195,0),
    MATCH(AQ$1,'在庫使用計画 (全体実績+予測）0701'!$A$1:$BD$1,0)
),
  IFERROR(
    IF(_xlpm._全体実績予測=0,"",_xlpm._全体実績予測),
  "")
)</f>
        <v>38.507339774465663</v>
      </c>
      <c r="AR9" s="2130">
        <f>_xlfn.LET(_xlpm._全体実績予測,
  INDEX('在庫使用計画 (全体実績+予測）0701'!$A$1:$BD$195,
    MATCH($C9,'在庫使用計画 (全体実績+予測）0701'!$C$1:$C$195,0),
    MATCH(AR$1,'在庫使用計画 (全体実績+予測）0701'!$A$1:$BD$1,0)
),
  IFERROR(
    IF(_xlpm._全体実績予測=0,"",_xlpm._全体実績予測),
  "")
)</f>
        <v>33.479618724173314</v>
      </c>
      <c r="AS9" s="244">
        <f>_xlfn.LET(_xlpm._全体実績予測,
  INDEX('在庫使用計画 (全体実績+予測）0701'!$A$1:$BD$195,
    MATCH($C9,'在庫使用計画 (全体実績+予測）0701'!$C$1:$C$195,0),
    MATCH(AS$1,'在庫使用計画 (全体実績+予測）0701'!$A$1:$BD$1,0)
),
  IFERROR(
    IF(_xlpm._全体実績予測=0,"",_xlpm._全体実績予測),
  "")
)</f>
        <v>38.048838681557676</v>
      </c>
      <c r="AT9" s="805">
        <f>_xlfn.LET(_xlpm._全体実績予測,
  INDEX('在庫使用計画 (全体実績+予測）0701'!$A$1:$BD$195,
    MATCH($C9,'在庫使用計画 (全体実績+予測）0701'!$C$1:$C$195,0),
    MATCH(AT$1,'在庫使用計画 (全体実績+予測）0701'!$A$1:$BD$1,0)
),
  IFERROR(
    IF(_xlpm._全体実績予測=0,"",_xlpm._全体実績予測),
  "")
)</f>
        <v>59.825268585557723</v>
      </c>
      <c r="AU9" s="804">
        <f>_xlfn.LET(_xlpm._全体実績予測,
  INDEX('在庫使用計画 (全体実績+予測）0701'!$A$1:$BD$195,
    MATCH($C9,'在庫使用計画 (全体実績+予測）0701'!$C$1:$C$195,0),
    MATCH(AU$1,'在庫使用計画 (全体実績+予測）0701'!$A$1:$BD$1,0)
),
  IFERROR(
    IF(_xlpm._全体実績予測=0,"",_xlpm._全体実績予測),
  "")
)</f>
        <v>50.025338538123556</v>
      </c>
      <c r="AV9" s="224">
        <f>_xlfn.LET(_xlpm._全体実績予測,
  INDEX('在庫使用計画 (全体実績+予測）0701'!$A$1:$BD$195,
    MATCH($C9,'在庫使用計画 (全体実績+予測）0701'!$C$1:$C$195,0),
    MATCH(AV$1,'在庫使用計画 (全体実績+予測）0701'!$A$1:$BD$1,0)
),
  IFERROR(
    IF(_xlpm._全体実績予測=0,"",_xlpm._全体実績予測),
  "")
)</f>
        <v>45.032625011149207</v>
      </c>
      <c r="AW9" s="224">
        <f>_xlfn.LET(_xlpm._全体実績予測,
  INDEX('在庫使用計画 (全体実績+予測）0701'!$A$1:$BD$195,
    MATCH($C9,'在庫使用計画 (全体実績+予測）0701'!$C$1:$C$195,0),
    MATCH(AW$1,'在庫使用計画 (全体実績+予測）0701'!$A$1:$BD$1,0)
),
  IFERROR(
    IF(_xlpm._全体実績予測=0,"",_xlpm._全体実績予測),
  "")
)</f>
        <v>64.792840257523565</v>
      </c>
      <c r="AX9" s="224">
        <f>_xlfn.LET(_xlpm._全体実績予測,
  INDEX('在庫使用計画 (全体実績+予測）0701'!$A$1:$BD$195,
    MATCH($C9,'在庫使用計画 (全体実績+予測）0701'!$C$1:$C$195,0),
    MATCH(AX$1,'在庫使用計画 (全体実績+予測）0701'!$A$1:$BD$1,0)
),
  IFERROR(
    IF(_xlpm._全体実績予測=0,"",_xlpm._全体実績予測),
  "")
)</f>
        <v>49.874827027752765</v>
      </c>
      <c r="AY9" s="224">
        <f>_xlfn.LET(_xlpm._全体実績予測,
  INDEX('在庫使用計画 (全体実績+予測）0701'!$A$1:$BD$195,
    MATCH($C9,'在庫使用計画 (全体実績+予測）0701'!$C$1:$C$195,0),
    MATCH(AY$1,'在庫使用計画 (全体実績+予測）0701'!$A$1:$BD$1,0)
),
  IFERROR(
    IF(_xlpm._全体実績予測=0,"",_xlpm._全体実績予測),
  "")
)</f>
        <v>39.815970105263638</v>
      </c>
      <c r="AZ9" s="224">
        <f>_xlfn.LET(_xlpm._全体実績予測,
  INDEX('在庫使用計画 (全体実績+予測）0701'!$A$1:$BD$195,
    MATCH($C9,'在庫使用計画 (全体実績+予測）0701'!$C$1:$C$195,0),
    MATCH(AZ$1,'在庫使用計画 (全体実績+予測）0701'!$A$1:$BD$1,0)
),
  IFERROR(
    IF(_xlpm._全体実績予測=0,"",_xlpm._全体実績予測),
  "")
)</f>
        <v>46.071428571428577</v>
      </c>
      <c r="BA9" s="224">
        <f>_xlfn.LET(_xlpm._全体実績予測,
  INDEX('在庫使用計画 (全体実績+予測）0701'!$A$1:$BD$195,
    MATCH($C9,'在庫使用計画 (全体実績+予測）0701'!$C$1:$C$195,0),
    MATCH(BA$1,'在庫使用計画 (全体実績+予測）0701'!$A$1:$BD$1,0)
),
  IFERROR(
    IF(_xlpm._全体実績予測=0,"",_xlpm._全体実績予測),
  "")
)</f>
        <v>58.438980320815553</v>
      </c>
      <c r="BB9" s="224">
        <f>_xlfn.LET(_xlpm._全体実績予測,
  INDEX('在庫使用計画 (全体実績+予測）0701'!$A$1:$BD$195,
    MATCH($C9,'在庫使用計画 (全体実績+予測）0701'!$C$1:$C$195,0),
    MATCH(BB$1,'在庫使用計画 (全体実績+予測）0701'!$A$1:$BD$1,0)
),
  IFERROR(
    IF(_xlpm._全体実績予測=0,"",_xlpm._全体実績予測),
  "")
)</f>
        <v>47.761360959997639</v>
      </c>
      <c r="BC9" s="224">
        <f>_xlfn.LET(_xlpm._全体実績予測,
  INDEX('在庫使用計画 (全体実績+予測）0701'!$A$1:$BD$195,
    MATCH($C9,'在庫使用計画 (全体実績+予測）0701'!$C$1:$C$195,0),
    MATCH(BC$1,'在庫使用計画 (全体実績+予測）0701'!$A$1:$BD$1,0)
),
  IFERROR(
    IF(_xlpm._全体実績予測=0,"",_xlpm._全体実績予測),
  "")
)</f>
        <v>38.507339774465663</v>
      </c>
      <c r="BD9" s="224">
        <f>_xlfn.LET(_xlpm._全体実績予測,
  INDEX('在庫使用計画 (全体実績+予測）0701'!$A$1:$BD$195,
    MATCH($C9,'在庫使用計画 (全体実績+予測）0701'!$C$1:$C$195,0),
    MATCH(BD$1,'在庫使用計画 (全体実績+予測）0701'!$A$1:$BD$1,0)
),
  IFERROR(
    IF(_xlpm._全体実績予測=0,"",_xlpm._全体実績予測),
  "")
)</f>
        <v>33.479618724173314</v>
      </c>
      <c r="BE9" s="224">
        <f>_xlfn.LET(_xlpm._全体実績予測,
  INDEX('在庫使用計画 (全体実績+予測）0701'!$A$1:$BD$195,
    MATCH($C9,'在庫使用計画 (全体実績+予測）0701'!$C$1:$C$195,0),
    MATCH(BE$1,'在庫使用計画 (全体実績+予測）0701'!$A$1:$BD$1,0)
),
  IFERROR(
    IF(_xlpm._全体実績予測=0,"",_xlpm._全体実績予測),
  "")
)</f>
        <v>38.048838681557676</v>
      </c>
      <c r="BF9" s="805">
        <f>_xlfn.LET(_xlpm._全体実績予測,
  INDEX('在庫使用計画 (全体実績+予測）0701'!$A$1:$BD$195,
    MATCH($C9,'在庫使用計画 (全体実績+予測）0701'!$C$1:$C$195,0),
    MATCH(BF$1,'在庫使用計画 (全体実績+予測）0701'!$A$1:$BD$1,0)
),
  IFERROR(
    IF(_xlpm._全体実績予測=0,"",_xlpm._全体実績予測),
  "")
)</f>
        <v>59.825268585557723</v>
      </c>
    </row>
    <row r="10" spans="1:59" ht="18.75" customHeight="1">
      <c r="A10" s="32" t="s">
        <v>1349</v>
      </c>
      <c r="B10" s="111" t="str">
        <v>UNW-K-9955HX-5070Ti-L6</v>
      </c>
      <c r="C10" s="1301" t="s">
        <v>1350</v>
      </c>
      <c r="D10" s="1258" t="s">
        <v>1351</v>
      </c>
      <c r="E10" s="24" t="s">
        <v>1352</v>
      </c>
      <c r="F10" s="24" t="s">
        <v>1347</v>
      </c>
      <c r="G10" s="38">
        <v>11</v>
      </c>
      <c r="H10" s="38">
        <f ca="1">_xlfn.LET(_xlpm._今月から4ヶ月計画合計,
  SUM(
    OFFSET($A10,0,
      MATCH(
        EDATE(基準データ!$C$5,3),$A$1:$BE$1,1
      )-4,1,4)),
  IF($C10="","",_xlpm._今月から4ヶ月計画合計
)
)</f>
        <v>0</v>
      </c>
      <c r="I10" s="38">
        <f>SUMIFS(マスタ_EOLリスト[在庫],マスタ_EOLリスト[製品型番],'在庫使用計画 (計画　予測)'!$C:$C)</f>
        <v>11</v>
      </c>
      <c r="J10" s="1116" t="str" cm="1">
        <f t="array" ref="J10">_xlfn.IFS($C10="","",
  $G10="","発売前？",
  $G10=0,"在庫なし",
  TRUE,
  IFERROR(
    _xlfn.LET(
      _xlpm._在庫注残,     $G10,
      _xlpm._しきい値,     _xlpm._在庫注残 * 0.75,
      _xlpm._見出し元,     $K$1:$BT$1,
      _xlpm._計画,         $K10:$BT10,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合計0、在庫+注残11のため不足</v>
      </c>
      <c r="K10" s="38"/>
      <c r="L10" s="38"/>
      <c r="M10" s="38"/>
      <c r="N10" s="38"/>
      <c r="O10" s="38"/>
      <c r="P10" s="38"/>
      <c r="Q10" s="116"/>
      <c r="R10" s="1350"/>
      <c r="S10" s="219"/>
      <c r="T10" s="219"/>
      <c r="U10" s="219"/>
      <c r="V10" s="298"/>
      <c r="W10" s="299"/>
      <c r="X10" s="299"/>
      <c r="Y10" s="444" t="s">
        <v>21</v>
      </c>
      <c r="Z10" s="434" t="s">
        <v>21</v>
      </c>
      <c r="AA10" s="224">
        <v>85</v>
      </c>
      <c r="AB10" s="224">
        <v>156.375</v>
      </c>
      <c r="AC10" s="805">
        <v>177.36729976102956</v>
      </c>
      <c r="AD10" s="244">
        <v>136.53633094634384</v>
      </c>
      <c r="AE10" s="224">
        <v>169.81794432687394</v>
      </c>
      <c r="AF10" s="224">
        <v>105.02560401614882</v>
      </c>
      <c r="AG10" s="224">
        <v>101.61759909510482</v>
      </c>
      <c r="AH10" s="237">
        <v>46.166666666666671</v>
      </c>
      <c r="AI10" s="804">
        <v>41</v>
      </c>
      <c r="AJ10" s="224">
        <v>80.12705705841249</v>
      </c>
      <c r="AK10" s="224">
        <v>59.933108910309755</v>
      </c>
      <c r="AL10" s="224">
        <v>42.098212027042713</v>
      </c>
      <c r="AM10" s="224">
        <f>_xlfn.XLOOKUP(
$C10,
'在庫使用計画 (ノート全体試算)'!$C$1:$C$170,
'在庫使用計画 (ノート全体試算)'!AN$1:AN$170,
"")</f>
        <v>50</v>
      </c>
      <c r="AN10" s="237">
        <f>_xlfn.XLOOKUP(
$C10,
'在庫使用計画 (ノート全体試算)'!$C$1:$C$170,
'在庫使用計画 (ノート全体試算)'!AO$1:AO$170,
"")</f>
        <v>23</v>
      </c>
      <c r="AO10" s="237" t="str">
        <f>_xlfn.XLOOKUP(
$C10,
'在庫使用計画 (ノート全体試算)'!$C$1:$C$170,
'在庫使用計画 (ノート全体試算)'!AP$1:AP$170,
"")</f>
        <v/>
      </c>
      <c r="AP10" s="224" t="str">
        <f>_xlfn.XLOOKUP(
$C10,
'在庫使用計画 (ノート全体試算)'!$C$1:$C$170,
'在庫使用計画 (ノート全体試算)'!AQ$1:AQ$170,
"")</f>
        <v/>
      </c>
      <c r="AQ10" s="1050" t="str">
        <f>_xlfn.XLOOKUP(
$C10,
'在庫使用計画 (ノート全体試算)'!$C$1:$C$170,
'在庫使用計画 (ノート全体試算)'!AR$1:AR$170,
"")</f>
        <v/>
      </c>
      <c r="AR10" s="2130" t="str">
        <f>_xlfn.XLOOKUP(
$C10,
'在庫使用計画 (ノート全体試算)'!$C$1:$C$170,
'在庫使用計画 (ノート全体試算)'!AS$1:AS$170,
"")</f>
        <v/>
      </c>
      <c r="AS10" s="244" t="str">
        <f>_xlfn.XLOOKUP(
$C10,
'在庫使用計画 (ノート全体試算)'!$C$1:$C$170,
'在庫使用計画 (ノート全体試算)'!AT$1:AT$170,
"")</f>
        <v/>
      </c>
      <c r="AT10" s="805" t="str">
        <f>_xlfn.XLOOKUP(
$C10,
'在庫使用計画 (ノート全体試算)'!$C$1:$C$170,
'在庫使用計画 (ノート全体試算)'!AU$1:AU$170,
"")</f>
        <v/>
      </c>
      <c r="AU10" s="804" t="str">
        <f>_xlfn.XLOOKUP(
$C10,
'在庫使用計画 (ノート全体試算)'!$C$1:$C$170,
'在庫使用計画 (ノート全体試算)'!AV$1:AV$170,
"")</f>
        <v/>
      </c>
      <c r="AV10" s="224" t="str">
        <f>_xlfn.XLOOKUP(
$C10,
'在庫使用計画 (ノート全体試算)'!$C$1:$C$170,
'在庫使用計画 (ノート全体試算)'!AW$1:AW$170,
"")</f>
        <v/>
      </c>
      <c r="AW10" s="224" t="str">
        <f>_xlfn.XLOOKUP(
$C10,
'在庫使用計画 (ノート全体試算)'!$C$1:$C$170,
'在庫使用計画 (ノート全体試算)'!AX$1:AX$170,
"")</f>
        <v/>
      </c>
      <c r="AX10" s="224" t="str">
        <f>_xlfn.XLOOKUP(
$C10,
'在庫使用計画 (ノート全体試算)'!$C$1:$C$170,
'在庫使用計画 (ノート全体試算)'!AY$1:AY$170,
"")</f>
        <v/>
      </c>
      <c r="AY10" s="224" t="str">
        <f>_xlfn.XLOOKUP(
$C10,
'在庫使用計画 (ノート全体試算)'!$C$1:$C$170,
'在庫使用計画 (ノート全体試算)'!AZ$1:AZ$170,
"")</f>
        <v/>
      </c>
      <c r="AZ10" s="224" t="str">
        <f>_xlfn.XLOOKUP(
$C10,
'在庫使用計画 (ノート全体試算)'!$C$1:$C$170,
'在庫使用計画 (ノート全体試算)'!BA$1:BA$170,
"")</f>
        <v/>
      </c>
      <c r="BA10" s="224" t="str">
        <f>_xlfn.XLOOKUP(
$C10,
'在庫使用計画 (ノート全体試算)'!$C$1:$C$170,
'在庫使用計画 (ノート全体試算)'!BB$1:BB$170,
"")</f>
        <v/>
      </c>
      <c r="BB10" s="224" t="str">
        <f>_xlfn.XLOOKUP(
$C10,
'在庫使用計画 (ノート全体試算)'!$C$1:$C$170,
'在庫使用計画 (ノート全体試算)'!BC$1:BC$170,
"")</f>
        <v/>
      </c>
      <c r="BC10" s="224" t="str">
        <f>_xlfn.XLOOKUP(
$C10,
'在庫使用計画 (ノート全体試算)'!$C$1:$C$170,
'在庫使用計画 (ノート全体試算)'!BD$1:BD$170,
"")</f>
        <v/>
      </c>
      <c r="BD10" s="224" t="str">
        <f>_xlfn.XLOOKUP(
$C10,
'在庫使用計画 (ノート全体試算)'!$C$1:$C$170,
'在庫使用計画 (ノート全体試算)'!BE$1:BE$170,
"")</f>
        <v/>
      </c>
      <c r="BE10" s="224" t="str">
        <f>_xlfn.XLOOKUP(
$C10,
'在庫使用計画 (ノート全体試算)'!$C$1:$C$170,
'在庫使用計画 (ノート全体試算)'!BF$1:BF$170,
"")</f>
        <v/>
      </c>
      <c r="BF10" s="805" t="str">
        <f>_xlfn.XLOOKUP(
$C10,
'在庫使用計画 (ノート全体試算)'!$C$1:$C$170,
'在庫使用計画 (ノート全体試算)'!BG$1:BG$170,
"")</f>
        <v/>
      </c>
      <c r="BG10" s="2091" t="s">
        <v>2686</v>
      </c>
    </row>
    <row r="11" spans="1:59" ht="18.75" customHeight="1" thickBot="1">
      <c r="A11" s="445"/>
      <c r="B11" s="1261" t="str">
        <v>UNW-K-9955HX-5070Ti-L6</v>
      </c>
      <c r="C11" s="1302" t="s">
        <v>1350</v>
      </c>
      <c r="D11" s="1262" t="s">
        <v>1763</v>
      </c>
      <c r="E11" s="446"/>
      <c r="F11" s="447"/>
      <c r="G11" s="448">
        <v>11</v>
      </c>
      <c r="H11" s="448">
        <f ca="1">_xlfn.LET(_xlpm._今月から4ヶ月計画合計,
  SUM(
    OFFSET($A11,0,
      MATCH(
        EDATE(基準データ!$C$5,3),$A$1:$BE$1,1
      )-4,1,4)),
  IF($C11="","",_xlpm._今月から4ヶ月計画合計
)
)</f>
        <v>203.05064393472458</v>
      </c>
      <c r="I11" s="463">
        <f t="shared" ref="I11" si="1">I10</f>
        <v>11</v>
      </c>
      <c r="J11" s="1116" cm="1">
        <f t="array" ref="J11">_xlfn.IFS($C11="","",
  $G11="","発売前？",
  $G11=0,"在庫なし",
  TRUE,
  IFERROR(
    _xlfn.LET(
      _xlpm._在庫注残,     $G11,
      _xlpm._しきい値,     _xlpm._在庫注残 * 0.75,
      _xlpm._見出し元,     $K$1:$BT$1,
      _xlpm._計画,         $K11:$BT11,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46204</v>
      </c>
      <c r="K11" s="448"/>
      <c r="L11" s="448"/>
      <c r="M11" s="448"/>
      <c r="N11" s="448"/>
      <c r="O11" s="448"/>
      <c r="P11" s="448"/>
      <c r="Q11" s="540"/>
      <c r="R11" s="900"/>
      <c r="S11" s="449"/>
      <c r="T11" s="449"/>
      <c r="U11" s="449"/>
      <c r="V11" s="450"/>
      <c r="W11" s="451" t="s">
        <v>21</v>
      </c>
      <c r="X11" s="451" t="s">
        <v>21</v>
      </c>
      <c r="Y11" s="451" t="s">
        <v>21</v>
      </c>
      <c r="Z11" s="453" t="s">
        <v>21</v>
      </c>
      <c r="AA11" s="453">
        <v>27</v>
      </c>
      <c r="AB11" s="449">
        <v>139</v>
      </c>
      <c r="AC11" s="899">
        <v>160</v>
      </c>
      <c r="AD11" s="1292">
        <v>85</v>
      </c>
      <c r="AE11" s="451">
        <v>40</v>
      </c>
      <c r="AF11" s="224">
        <v>46</v>
      </c>
      <c r="AG11" s="224">
        <v>38</v>
      </c>
      <c r="AH11" s="237">
        <v>75</v>
      </c>
      <c r="AI11" s="804">
        <v>41</v>
      </c>
      <c r="AJ11" s="224">
        <v>63</v>
      </c>
      <c r="AK11" s="224">
        <v>26</v>
      </c>
      <c r="AL11" s="224">
        <v>81</v>
      </c>
      <c r="AM11" s="224">
        <f>_xlfn.LET(_xlpm._全体実績予測,
  INDEX('在庫使用計画 (全体実績+予測）0701'!$A$1:$BD$195,
    MATCH($C11,'在庫使用計画 (全体実績+予測）0701'!$C$1:$C$195,0),
    MATCH(AM$1,'在庫使用計画 (全体実績+予測）0701'!$A$1:$BD$1,0)
),
  IFERROR(
    IF(_xlpm._全体実績予測=0,"",_xlpm._全体実績予測),
  "")
)</f>
        <v>245</v>
      </c>
      <c r="AN11" s="237">
        <f>_xlfn.LET(_xlpm._全体実績予測,
  INDEX('在庫使用計画 (全体実績+予測）0701'!$A$1:$BD$195,
    MATCH($C11,'在庫使用計画 (全体実績+予測）0701'!$C$1:$C$195,0),
    MATCH(AN$1,'在庫使用計画 (全体実績+予測）0701'!$A$1:$BD$1,0)
),
  IFERROR(
    IF(_xlpm._全体実績予測=0,"",_xlpm._全体実績予測),
  "")
)</f>
        <v>52.5</v>
      </c>
      <c r="AO11" s="237">
        <f>_xlfn.LET(_xlpm._全体実績予測,
  INDEX('在庫使用計画 (全体実績+予測）0701'!$A$1:$BD$195,
    MATCH($C11,'在庫使用計画 (全体実績+予測）0701'!$C$1:$C$195,0),
    MATCH(AO$1,'在庫使用計画 (全体実績+予測）0701'!$A$1:$BD$1,0)
),
  IFERROR(
    IF(_xlpm._全体実績予測=0,"",_xlpm._全体実績予測),
  "")
)</f>
        <v>66.593256644650282</v>
      </c>
      <c r="AP11" s="224">
        <f>_xlfn.LET(_xlpm._全体実績予測,
  INDEX('在庫使用計画 (全体実績+予測）0701'!$A$1:$BD$195,
    MATCH($C11,'在庫使用計画 (全体実績+予測）0701'!$C$1:$C$195,0),
    MATCH(AP$1,'在庫使用計画 (全体実績+予測）0701'!$A$1:$BD$1,0)
),
  IFERROR(
    IF(_xlpm._全体実績予測=0,"",_xlpm._全体実績予測),
  "")
)</f>
        <v>54.425736907904287</v>
      </c>
      <c r="AQ11" s="1050">
        <f>_xlfn.LET(_xlpm._全体実績予測,
  INDEX('在庫使用計画 (全体実績+予測）0701'!$A$1:$BD$195,
    MATCH($C11,'在庫使用計画 (全体実績+予測）0701'!$C$1:$C$195,0),
    MATCH(AQ$1,'在庫使用計画 (全体実績+予測）0701'!$A$1:$BD$1,0)
),
  IFERROR(
    IF(_xlpm._全体実績予測=0,"",_xlpm._全体実績予測),
  "")
)</f>
        <v>43.880456952298083</v>
      </c>
      <c r="AR11" s="2130">
        <f>_xlfn.LET(_xlpm._全体実績予測,
  INDEX('在庫使用計画 (全体実績+予測）0701'!$A$1:$BD$195,
    MATCH($C11,'在庫使用計画 (全体実績+予測）0701'!$C$1:$C$195,0),
    MATCH(AR$1,'在庫使用計画 (全体実績+予測）0701'!$A$1:$BD$1,0)
),
  IFERROR(
    IF(_xlpm._全体実績予測=0,"",_xlpm._全体実績予測),
  "")
)</f>
        <v>38.151193429871917</v>
      </c>
      <c r="AS11" s="244">
        <f>_xlfn.LET(_xlpm._全体実績予測,
  INDEX('在庫使用計画 (全体実績+予測）0701'!$A$1:$BD$195,
    MATCH($C11,'在庫使用計画 (全体実績+予測）0701'!$C$1:$C$195,0),
    MATCH(AS$1,'在庫使用計画 (全体実績+予測）0701'!$A$1:$BD$1,0)
),
  IFERROR(
    IF(_xlpm._全体実績予測=0,"",_xlpm._全体実績予測),
  "")
)</f>
        <v>43.357978962705253</v>
      </c>
      <c r="AT11" s="805">
        <f>_xlfn.LET(_xlpm._全体実績予測,
  INDEX('在庫使用計画 (全体実績+予測）0701'!$A$1:$BD$195,
    MATCH($C11,'在庫使用計画 (全体実績+予測）0701'!$C$1:$C$195,0),
    MATCH(AT$1,'在庫使用計画 (全体実績+予測）0701'!$A$1:$BD$1,0)
),
  IFERROR(
    IF(_xlpm._全体実績予測=0,"",_xlpm._全体実績予測),
  "")
)</f>
        <v>68.172980481216925</v>
      </c>
      <c r="AU11" s="804">
        <f>_xlfn.LET(_xlpm._全体実績予測,
  INDEX('在庫使用計画 (全体実績+予測）0701'!$A$1:$BD$195,
    MATCH($C11,'在庫使用計画 (全体実績+予測）0701'!$C$1:$C$195,0),
    MATCH(AU$1,'在庫使用計画 (全体実績+予測）0701'!$A$1:$BD$1,0)
),
  IFERROR(
    IF(_xlpm._全体実績予測=0,"",_xlpm._全体実績予測),
  "")
)</f>
        <v>57.005618334140784</v>
      </c>
      <c r="AV11" s="224">
        <f>_xlfn.LET(_xlpm._全体実績予測,
  INDEX('在庫使用計画 (全体実績+予測）0701'!$A$1:$BD$195,
    MATCH($C11,'在庫使用計画 (全体実績+予測）0701'!$C$1:$C$195,0),
    MATCH(AV$1,'在庫使用計画 (全体実績+予測）0701'!$A$1:$BD$1,0)
),
  IFERROR(
    IF(_xlpm._全体実績予測=0,"",_xlpm._全体実績予測),
  "")
)</f>
        <v>51.316247105728152</v>
      </c>
      <c r="AW11" s="224">
        <f>_xlfn.LET(_xlpm._全体実績予測,
  INDEX('在庫使用計画 (全体実績+予測）0701'!$A$1:$BD$195,
    MATCH($C11,'在庫使用計画 (全体実績+予測）0701'!$C$1:$C$195,0),
    MATCH(AW$1,'在庫使用計画 (全体実績+予測）0701'!$A$1:$BD$1,0)
),
  IFERROR(
    IF(_xlpm._全体実績予測=0,"",_xlpm._全体実績予測),
  "")
)</f>
        <v>73.833701688805903</v>
      </c>
      <c r="AX11" s="224">
        <f>_xlfn.LET(_xlpm._全体実績予測,
  INDEX('在庫使用計画 (全体実績+予測）0701'!$A$1:$BD$195,
    MATCH($C11,'在庫使用計画 (全体実績+予測）0701'!$C$1:$C$195,0),
    MATCH(AX$1,'在庫使用計画 (全体実績+予測）0701'!$A$1:$BD$1,0)
),
  IFERROR(
    IF(_xlpm._全体実績予測=0,"",_xlpm._全体実績予測),
  "")
)</f>
        <v>56.834105217671741</v>
      </c>
      <c r="AY11" s="224">
        <f>_xlfn.LET(_xlpm._全体実績予測,
  INDEX('在庫使用計画 (全体実績+予測）0701'!$A$1:$BD$195,
    MATCH($C11,'在庫使用計画 (全体実績+予測）0701'!$C$1:$C$195,0),
    MATCH(AY$1,'在庫使用計画 (全体実績+予測）0701'!$A$1:$BD$1,0)
),
  IFERROR(
    IF(_xlpm._全体実績予測=0,"",_xlpm._全体実績予測),
  "")
)</f>
        <v>45.371686864137622</v>
      </c>
      <c r="AZ11" s="224">
        <f>_xlfn.LET(_xlpm._全体実績予測,
  INDEX('在庫使用計画 (全体実績+予測）0701'!$A$1:$BD$195,
    MATCH($C11,'在庫使用計画 (全体実績+予測）0701'!$C$1:$C$195,0),
    MATCH(AZ$1,'在庫使用計画 (全体実績+予測）0701'!$A$1:$BD$1,0)
),
  IFERROR(
    IF(_xlpm._全体実績予測=0,"",_xlpm._全体実績予測),
  "")
)</f>
        <v>52.499999999999993</v>
      </c>
      <c r="BA11" s="224">
        <f>_xlfn.LET(_xlpm._全体実績予測,
  INDEX('在庫使用計画 (全体実績+予測）0701'!$A$1:$BD$195,
    MATCH($C11,'在庫使用計画 (全体実績+予測）0701'!$C$1:$C$195,0),
    MATCH(BA$1,'在庫使用計画 (全体実績+予測）0701'!$A$1:$BD$1,0)
),
  IFERROR(
    IF(_xlpm._全体実績予測=0,"",_xlpm._全体実績予測),
  "")
)</f>
        <v>66.593256644650268</v>
      </c>
      <c r="BB11" s="224">
        <f>_xlfn.LET(_xlpm._全体実績予測,
  INDEX('在庫使用計画 (全体実績+予測）0701'!$A$1:$BD$195,
    MATCH($C11,'在庫使用計画 (全体実績+予測）0701'!$C$1:$C$195,0),
    MATCH(BB$1,'在庫使用計画 (全体実績+予測）0701'!$A$1:$BD$1,0)
),
  IFERROR(
    IF(_xlpm._全体実績予測=0,"",_xlpm._全体実績予測),
  "")
)</f>
        <v>54.42573690790428</v>
      </c>
      <c r="BC11" s="224">
        <f>_xlfn.LET(_xlpm._全体実績予測,
  INDEX('在庫使用計画 (全体実績+予測）0701'!$A$1:$BD$195,
    MATCH($C11,'在庫使用計画 (全体実績+予測）0701'!$C$1:$C$195,0),
    MATCH(BC$1,'在庫使用計画 (全体実績+予測）0701'!$A$1:$BD$1,0)
),
  IFERROR(
    IF(_xlpm._全体実績予測=0,"",_xlpm._全体実績予測),
  "")
)</f>
        <v>43.880456952298076</v>
      </c>
      <c r="BD11" s="224">
        <f>_xlfn.LET(_xlpm._全体実績予測,
  INDEX('在庫使用計画 (全体実績+予測）0701'!$A$1:$BD$195,
    MATCH($C11,'在庫使用計画 (全体実績+予測）0701'!$C$1:$C$195,0),
    MATCH(BD$1,'在庫使用計画 (全体実績+予測）0701'!$A$1:$BD$1,0)
),
  IFERROR(
    IF(_xlpm._全体実績予測=0,"",_xlpm._全体実績予測),
  "")
)</f>
        <v>38.15119342987191</v>
      </c>
      <c r="BE11" s="224">
        <f>_xlfn.LET(_xlpm._全体実績予測,
  INDEX('在庫使用計画 (全体実績+予測）0701'!$A$1:$BD$195,
    MATCH($C11,'在庫使用計画 (全体実績+予測）0701'!$C$1:$C$195,0),
    MATCH(BE$1,'在庫使用計画 (全体実績+予測）0701'!$A$1:$BD$1,0)
),
  IFERROR(
    IF(_xlpm._全体実績予測=0,"",_xlpm._全体実績予測),
  "")
)</f>
        <v>43.357978962705246</v>
      </c>
      <c r="BF11" s="805">
        <f>_xlfn.LET(_xlpm._全体実績予測,
  INDEX('在庫使用計画 (全体実績+予測）0701'!$A$1:$BD$195,
    MATCH($C11,'在庫使用計画 (全体実績+予測）0701'!$C$1:$C$195,0),
    MATCH(BF$1,'在庫使用計画 (全体実績+予測）0701'!$A$1:$BD$1,0)
),
  IFERROR(
    IF(_xlpm._全体実績予測=0,"",_xlpm._全体実績予測),
  "")
)</f>
        <v>68.172980481216925</v>
      </c>
    </row>
    <row r="12" spans="1:59" ht="18.75" customHeight="1">
      <c r="A12" s="32" t="s">
        <v>1349</v>
      </c>
      <c r="B12" s="111" t="str">
        <v>UNW-K-275HX-5070Ti-L6</v>
      </c>
      <c r="C12" s="1264" t="s">
        <v>1355</v>
      </c>
      <c r="D12" s="1258" t="s">
        <v>1354</v>
      </c>
      <c r="E12" s="24" t="s">
        <v>1352</v>
      </c>
      <c r="F12" s="24" t="s">
        <v>1347</v>
      </c>
      <c r="G12" s="38">
        <v>553</v>
      </c>
      <c r="H12" s="38">
        <f ca="1">_xlfn.LET(_xlpm._今月から4ヶ月計画合計,
  SUM(
    OFFSET($A12,0,
      MATCH(
        EDATE(基準データ!$C$5,3),$A$1:$BE$1,1
      )-4,1,4)),
  IF($C12="","",_xlpm._今月から4ヶ月計画合計
)
)</f>
        <v>537.51025661556832</v>
      </c>
      <c r="I12" s="38">
        <f>SUMIFS(マスタ_EOLリスト[在庫],マスタ_EOLリスト[製品型番],'在庫使用計画 (計画　予測)'!$C:$C)</f>
        <v>193</v>
      </c>
      <c r="J12" s="1116" cm="1">
        <f t="array" ref="J12">_xlfn.IFS($C12="","",
  $G12="","発売前？",
  $G12=0,"在庫なし",
  TRUE,
  IFERROR(
    _xlfn.LET(
      _xlpm._在庫注残,     $G12,
      _xlpm._しきい値,     _xlpm._在庫注残 * 0.75,
      _xlpm._見出し元,     $K$1:$BT$1,
      _xlpm._計画,         $K12:$BT12,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46296</v>
      </c>
      <c r="K12" s="38"/>
      <c r="L12" s="38"/>
      <c r="M12" s="38"/>
      <c r="N12" s="38"/>
      <c r="O12" s="38"/>
      <c r="P12" s="38"/>
      <c r="Q12" s="116"/>
      <c r="R12" s="1350"/>
      <c r="S12" s="219"/>
      <c r="T12" s="219"/>
      <c r="U12" s="219"/>
      <c r="V12" s="298"/>
      <c r="W12" s="299"/>
      <c r="X12" s="299"/>
      <c r="Y12" s="299"/>
      <c r="Z12" s="299"/>
      <c r="AA12" s="299"/>
      <c r="AB12" s="299"/>
      <c r="AC12" s="805">
        <v>54</v>
      </c>
      <c r="AD12" s="244">
        <v>69</v>
      </c>
      <c r="AE12" s="224">
        <v>139.45797802548967</v>
      </c>
      <c r="AF12" s="224">
        <v>100.64802884023231</v>
      </c>
      <c r="AG12" s="224">
        <v>68.920777577795945</v>
      </c>
      <c r="AH12" s="237">
        <v>74.166666666666657</v>
      </c>
      <c r="AI12" s="804">
        <v>90</v>
      </c>
      <c r="AJ12" s="224">
        <v>49.406721008011893</v>
      </c>
      <c r="AK12" s="224">
        <v>142.36486562886643</v>
      </c>
      <c r="AL12" s="224">
        <v>44</v>
      </c>
      <c r="AM12" s="224">
        <f>_xlfn.XLOOKUP(
$C12,
'在庫使用計画 (ノート全体試算)'!$C$1:$C$170,
'在庫使用計画 (ノート全体試算)'!AN$1:AN$170,
"")</f>
        <v>62</v>
      </c>
      <c r="AN12" s="237">
        <f>_xlfn.XLOOKUP(
$C12,
'在庫使用計画 (ノート全体試算)'!$C$1:$C$170,
'在庫使用計画 (ノート全体試算)'!AO$1:AO$170,
"")</f>
        <v>82</v>
      </c>
      <c r="AO12" s="237">
        <f>_xlfn.XLOOKUP(
$C12,
'在庫使用計画 (ノート全体試算)'!$C$1:$C$170,
'在庫使用計画 (ノート全体試算)'!AP$1:AP$170,
"")</f>
        <v>122</v>
      </c>
      <c r="AP12" s="224">
        <f>_xlfn.XLOOKUP(
$C12,
'在庫使用計画 (ノート全体試算)'!$C$1:$C$170,
'在庫使用計画 (ノート全体試算)'!AQ$1:AQ$170,
"")</f>
        <v>112</v>
      </c>
      <c r="AQ12" s="1050">
        <f>_xlfn.XLOOKUP(
$C12,
'在庫使用計画 (ノート全体試算)'!$C$1:$C$170,
'在庫使用計画 (ノート全体試算)'!AR$1:AR$170,
"")</f>
        <v>160</v>
      </c>
      <c r="AR12" s="2130">
        <f>_xlfn.XLOOKUP(
$C12,
'在庫使用計画 (ノート全体試算)'!$C$1:$C$170,
'在庫使用計画 (ノート全体試算)'!AS$1:AS$170,
"")</f>
        <v>143.51025661556838</v>
      </c>
      <c r="AS12" s="244">
        <f>_xlfn.XLOOKUP(
$C12,
'在庫使用計画 (ノート全体試算)'!$C$1:$C$170,
'在庫使用計画 (ノート全体試算)'!AT$1:AT$170,
"")</f>
        <v>151.95219725869876</v>
      </c>
      <c r="AT12" s="805">
        <f>_xlfn.XLOOKUP(
$C12,
'在庫使用計画 (ノート全体試算)'!$C$1:$C$170,
'在庫使用計画 (ノート全体試算)'!AU$1:AU$170,
"")</f>
        <v>201.71740676877573</v>
      </c>
      <c r="AU12" s="804">
        <f>_xlfn.XLOOKUP(
$C12,
'在庫使用計画 (ノート全体試算)'!$C$1:$C$170,
'在庫使用計画 (ノート全体試算)'!AV$1:AV$170,
"")</f>
        <v>164.32183623014137</v>
      </c>
      <c r="AV12" s="224">
        <f>_xlfn.XLOOKUP(
$C12,
'在庫使用計画 (ノート全体試算)'!$C$1:$C$170,
'在庫使用計画 (ノート全体試算)'!AW$1:AW$170,
"")</f>
        <v>170.72385905902928</v>
      </c>
      <c r="AW12" s="224">
        <f>_xlfn.XLOOKUP(
$C12,
'在庫使用計画 (ノート全体試算)'!$C$1:$C$170,
'在庫使用計画 (ノート全体試算)'!AX$1:AX$170,
"")</f>
        <v>156.84061526724093</v>
      </c>
      <c r="AX12" s="224">
        <f>_xlfn.XLOOKUP(
$C12,
'在庫使用計画 (ノート全体試算)'!$C$1:$C$170,
'在庫使用計画 (ノート全体試算)'!AY$1:AY$170,
"")</f>
        <v>50</v>
      </c>
      <c r="AY12" s="224">
        <f>_xlfn.XLOOKUP(
$C12,
'在庫使用計画 (ノート全体試算)'!$C$1:$C$170,
'在庫使用計画 (ノート全体試算)'!AZ$1:AZ$170,
"")</f>
        <v>50</v>
      </c>
      <c r="AZ12" s="224" t="str">
        <f>_xlfn.XLOOKUP(
$C12,
'在庫使用計画 (ノート全体試算)'!$C$1:$C$170,
'在庫使用計画 (ノート全体試算)'!BA$1:BA$170,
"")</f>
        <v/>
      </c>
      <c r="BA12" s="224" t="str">
        <f>_xlfn.XLOOKUP(
$C12,
'在庫使用計画 (ノート全体試算)'!$C$1:$C$170,
'在庫使用計画 (ノート全体試算)'!BB$1:BB$170,
"")</f>
        <v/>
      </c>
      <c r="BB12" s="224" t="str">
        <f>_xlfn.XLOOKUP(
$C12,
'在庫使用計画 (ノート全体試算)'!$C$1:$C$170,
'在庫使用計画 (ノート全体試算)'!BC$1:BC$170,
"")</f>
        <v/>
      </c>
      <c r="BC12" s="224" t="str">
        <f>_xlfn.XLOOKUP(
$C12,
'在庫使用計画 (ノート全体試算)'!$C$1:$C$170,
'在庫使用計画 (ノート全体試算)'!BD$1:BD$170,
"")</f>
        <v/>
      </c>
      <c r="BD12" s="224" t="str">
        <f>_xlfn.XLOOKUP(
$C12,
'在庫使用計画 (ノート全体試算)'!$C$1:$C$170,
'在庫使用計画 (ノート全体試算)'!BE$1:BE$170,
"")</f>
        <v/>
      </c>
      <c r="BE12" s="224" t="str">
        <f>_xlfn.XLOOKUP(
$C12,
'在庫使用計画 (ノート全体試算)'!$C$1:$C$170,
'在庫使用計画 (ノート全体試算)'!BF$1:BF$170,
"")</f>
        <v/>
      </c>
      <c r="BF12" s="805" t="str">
        <f>_xlfn.XLOOKUP(
$C12,
'在庫使用計画 (ノート全体試算)'!$C$1:$C$170,
'在庫使用計画 (ノート全体試算)'!BG$1:BG$170,
"")</f>
        <v/>
      </c>
      <c r="BG12" s="2091" t="s">
        <v>2684</v>
      </c>
    </row>
    <row r="13" spans="1:59" ht="18.600000000000001" customHeight="1" thickBot="1">
      <c r="A13" s="445"/>
      <c r="B13" s="111" t="str">
        <v>UNW-K-275HX-5070Ti-L6</v>
      </c>
      <c r="C13" s="1265" t="s">
        <v>1355</v>
      </c>
      <c r="D13" s="1262" t="s">
        <v>1763</v>
      </c>
      <c r="E13" s="446"/>
      <c r="F13" s="447"/>
      <c r="G13" s="448">
        <v>553</v>
      </c>
      <c r="H13" s="448">
        <f ca="1">_xlfn.LET(_xlpm._今月から4ヶ月計画合計,
  SUM(
    OFFSET($A13,0,
      MATCH(
        EDATE(基準データ!$C$5,3),$A$1:$BE$1,1
      )-4,1,4)),
  IF($C13="","",_xlpm._今月から4ヶ月計画合計
)
)</f>
        <v>8.2877813850907973</v>
      </c>
      <c r="I13" s="463">
        <f t="shared" ref="I13" si="2">I12</f>
        <v>193</v>
      </c>
      <c r="J13" s="1116" t="str" cm="1">
        <f t="array" ref="J13">_xlfn.IFS($C13="","",
  $G13="","発売前？",
  $G13=0,"在庫なし",
  TRUE,
  IFERROR(
    _xlfn.LET(
      _xlpm._在庫注残,     $G13,
      _xlpm._しきい値,     _xlpm._在庫注残 * 0.75,
      _xlpm._見出し元,     $K$1:$BT$1,
      _xlpm._計画,         $K13:$BT13,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合計39、在庫+注残553のため不足</v>
      </c>
      <c r="K13" s="448"/>
      <c r="L13" s="448"/>
      <c r="M13" s="448"/>
      <c r="N13" s="448"/>
      <c r="O13" s="448"/>
      <c r="P13" s="448"/>
      <c r="Q13" s="540"/>
      <c r="R13" s="900"/>
      <c r="S13" s="449"/>
      <c r="T13" s="449"/>
      <c r="U13" s="449"/>
      <c r="V13" s="450"/>
      <c r="W13" s="451" t="s">
        <v>21</v>
      </c>
      <c r="X13" s="451" t="s">
        <v>21</v>
      </c>
      <c r="Y13" s="451" t="s">
        <v>21</v>
      </c>
      <c r="Z13" s="453" t="s">
        <v>21</v>
      </c>
      <c r="AA13" s="453" t="s">
        <v>21</v>
      </c>
      <c r="AB13" s="449" t="s">
        <v>21</v>
      </c>
      <c r="AC13" s="899" t="s">
        <v>21</v>
      </c>
      <c r="AD13" s="1292">
        <v>33</v>
      </c>
      <c r="AE13" s="471">
        <v>52</v>
      </c>
      <c r="AF13" s="224">
        <v>52</v>
      </c>
      <c r="AG13" s="224">
        <v>47</v>
      </c>
      <c r="AH13" s="237">
        <v>92</v>
      </c>
      <c r="AI13" s="804">
        <v>51</v>
      </c>
      <c r="AJ13" s="224">
        <v>32</v>
      </c>
      <c r="AK13" s="224">
        <v>95</v>
      </c>
      <c r="AL13" s="224">
        <v>36</v>
      </c>
      <c r="AM13" s="224">
        <f>_xlfn.LET(_xlpm._全体実績予測,
  INDEX('在庫使用計画 (全体実績+予測）0701'!$A$1:$BD$195,
    MATCH($C13,'在庫使用計画 (全体実績+予測）0701'!$C$1:$C$195,0),
    MATCH(AM$1,'在庫使用計画 (全体実績+予測）0701'!$A$1:$BD$1,0)
),
  IFERROR(
    IF(_xlpm._全体実績予測=0,"",_xlpm._全体実績予測),
  "")
)</f>
        <v>2</v>
      </c>
      <c r="AN13" s="237">
        <f>_xlfn.LET(_xlpm._全体実績予測,
  INDEX('在庫使用計画 (全体実績+予測）0701'!$A$1:$BD$195,
    MATCH($C13,'在庫使用計画 (全体実績+予測）0701'!$C$1:$C$195,0),
    MATCH(AN$1,'在庫使用計画 (全体実績+予測）0701'!$A$1:$BD$1,0)
),
  IFERROR(
    IF(_xlpm._全体実績予測=0,"",_xlpm._全体実績予測),
  "")
)</f>
        <v>2.1428571428571428</v>
      </c>
      <c r="AO13" s="237">
        <f>_xlfn.LET(_xlpm._全体実績予測,
  INDEX('在庫使用計画 (全体実績+予測）0701'!$A$1:$BD$195,
    MATCH($C13,'在庫使用計画 (全体実績+予測）0701'!$C$1:$C$195,0),
    MATCH(AO$1,'在庫使用計画 (全体実績+予測）0701'!$A$1:$BD$1,0)
),
  IFERROR(
    IF(_xlpm._全体実績予測=0,"",_xlpm._全体実績予測),
  "")
)</f>
        <v>2.718092107944909</v>
      </c>
      <c r="AP13" s="224">
        <f>_xlfn.LET(_xlpm._全体実績予測,
  INDEX('在庫使用計画 (全体実績+予測）0701'!$A$1:$BD$195,
    MATCH($C13,'在庫使用計画 (全体実績+予測）0701'!$C$1:$C$195,0),
    MATCH(AP$1,'在庫使用計画 (全体実績+予測）0701'!$A$1:$BD$1,0)
),
  IFERROR(
    IF(_xlpm._全体実績予測=0,"",_xlpm._全体実績予測),
  "")
)</f>
        <v>2.2214586493022157</v>
      </c>
      <c r="AQ13" s="1050">
        <f>_xlfn.LET(_xlpm._全体実績予測,
  INDEX('在庫使用計画 (全体実績+予測）0701'!$A$1:$BD$195,
    MATCH($C13,'在庫使用計画 (全体実績+予測）0701'!$C$1:$C$195,0),
    MATCH(AQ$1,'在庫使用計画 (全体実績+予測）0701'!$A$1:$BD$1,0)
),
  IFERROR(
    IF(_xlpm._全体実績予測=0,"",_xlpm._全体実績予測),
  "")
)</f>
        <v>1.7910390592774728</v>
      </c>
      <c r="AR13" s="2130">
        <f>_xlfn.LET(_xlpm._全体実績予測,
  INDEX('在庫使用計画 (全体実績+予測）0701'!$A$1:$BD$195,
    MATCH($C13,'在庫使用計画 (全体実績+予測）0701'!$C$1:$C$195,0),
    MATCH(AR$1,'在庫使用計画 (全体実績+予測）0701'!$A$1:$BD$1,0)
),
  IFERROR(
    IF(_xlpm._全体実績予測=0,"",_xlpm._全体実績予測),
  "")
)</f>
        <v>1.5571915685662006</v>
      </c>
      <c r="AS13" s="244">
        <f>_xlfn.LET(_xlpm._全体実績予測,
  INDEX('在庫使用計画 (全体実績+予測）0701'!$A$1:$BD$195,
    MATCH($C13,'在庫使用計画 (全体実績+予測）0701'!$C$1:$C$195,0),
    MATCH(AS$1,'在庫使用計画 (全体実績+予測）0701'!$A$1:$BD$1,0)
),
  IFERROR(
    IF(_xlpm._全体実績予測=0,"",_xlpm._全体実績予測),
  "")
)</f>
        <v>1.7697134270491941</v>
      </c>
      <c r="AT13" s="805">
        <f>_xlfn.LET(_xlpm._全体実績予測,
  INDEX('在庫使用計画 (全体実績+予測）0701'!$A$1:$BD$195,
    MATCH($C13,'在庫使用計画 (全体実績+予測）0701'!$C$1:$C$195,0),
    MATCH(AT$1,'在庫使用計画 (全体実績+予測）0701'!$A$1:$BD$1,0)
),
  IFERROR(
    IF(_xlpm._全体実績予測=0,"",_xlpm._全体実績予測),
  "")
)</f>
        <v>2.7825706318864056</v>
      </c>
      <c r="AU13" s="804">
        <f>_xlfn.LET(_xlpm._全体実績予測,
  INDEX('在庫使用計画 (全体実績+予測）0701'!$A$1:$BD$195,
    MATCH($C13,'在庫使用計画 (全体実績+予測）0701'!$C$1:$C$195,0),
    MATCH(AU$1,'在庫使用計画 (全体実績+予測）0701'!$A$1:$BD$1,0)
),
  IFERROR(
    IF(_xlpm._全体実績予測=0,"",_xlpm._全体実績予測),
  "")
)</f>
        <v>2.3267599320057468</v>
      </c>
      <c r="AV13" s="224">
        <f>_xlfn.LET(_xlpm._全体実績予測,
  INDEX('在庫使用計画 (全体実績+予測）0701'!$A$1:$BD$195,
    MATCH($C13,'在庫使用計画 (全体実績+予測）0701'!$C$1:$C$195,0),
    MATCH(AV$1,'在庫使用計画 (全体実績+予測）0701'!$A$1:$BD$1,0)
),
  IFERROR(
    IF(_xlpm._全体実績予測=0,"",_xlpm._全体実績予測),
  "")
)</f>
        <v>2.0945406981929864</v>
      </c>
      <c r="AW13" s="224">
        <f>_xlfn.LET(_xlpm._全体実績予測,
  INDEX('在庫使用計画 (全体実績+予測）0701'!$A$1:$BD$195,
    MATCH($C13,'在庫使用計画 (全体実績+予測）0701'!$C$1:$C$195,0),
    MATCH(AW$1,'在庫使用計画 (全体実績+予測）0701'!$A$1:$BD$1,0)
),
  IFERROR(
    IF(_xlpm._全体実績予測=0,"",_xlpm._全体実績予測),
  "")
)</f>
        <v>3.0136204770941193</v>
      </c>
      <c r="AX13" s="224">
        <f>_xlfn.LET(_xlpm._全体実績予測,
  INDEX('在庫使用計画 (全体実績+予測）0701'!$A$1:$BD$195,
    MATCH($C13,'在庫使用計画 (全体実績+予測）0701'!$C$1:$C$195,0),
    MATCH(AX$1,'在庫使用計画 (全体実績+予測）0701'!$A$1:$BD$1,0)
),
  IFERROR(
    IF(_xlpm._全体実績予測=0,"",_xlpm._全体実績予測),
  "")
)</f>
        <v>2.3197593966396632</v>
      </c>
      <c r="AY13" s="224">
        <f>_xlfn.LET(_xlpm._全体実績予測,
  INDEX('在庫使用計画 (全体実績+予測）0701'!$A$1:$BD$195,
    MATCH($C13,'在庫使用計画 (全体実績+予測）0701'!$C$1:$C$195,0),
    MATCH(AY$1,'在庫使用計画 (全体実績+予測）0701'!$A$1:$BD$1,0)
),
  IFERROR(
    IF(_xlpm._全体実績予測=0,"",_xlpm._全体実績予測),
  "")
)</f>
        <v>1.8519055862913318</v>
      </c>
      <c r="AZ13" s="224">
        <f>_xlfn.LET(_xlpm._全体実績予測,
  INDEX('在庫使用計画 (全体実績+予測）0701'!$A$1:$BD$195,
    MATCH($C13,'在庫使用計画 (全体実績+予測）0701'!$C$1:$C$195,0),
    MATCH(AZ$1,'在庫使用計画 (全体実績+予測）0701'!$A$1:$BD$1,0)
),
  IFERROR(
    IF(_xlpm._全体実績予測=0,"",_xlpm._全体実績予測),
  "")
)</f>
        <v>2.1428571428571428</v>
      </c>
      <c r="BA13" s="224">
        <f>_xlfn.LET(_xlpm._全体実績予測,
  INDEX('在庫使用計画 (全体実績+予測）0701'!$A$1:$BD$195,
    MATCH($C13,'在庫使用計画 (全体実績+予測）0701'!$C$1:$C$195,0),
    MATCH(BA$1,'在庫使用計画 (全体実績+予測）0701'!$A$1:$BD$1,0)
),
  IFERROR(
    IF(_xlpm._全体実績予測=0,"",_xlpm._全体実績予測),
  "")
)</f>
        <v>2.718092107944909</v>
      </c>
      <c r="BB13" s="224">
        <f>_xlfn.LET(_xlpm._全体実績予測,
  INDEX('在庫使用計画 (全体実績+予測）0701'!$A$1:$BD$195,
    MATCH($C13,'在庫使用計画 (全体実績+予測）0701'!$C$1:$C$195,0),
    MATCH(BB$1,'在庫使用計画 (全体実績+予測）0701'!$A$1:$BD$1,0)
),
  IFERROR(
    IF(_xlpm._全体実績予測=0,"",_xlpm._全体実績予測),
  "")
)</f>
        <v>2.2214586493022157</v>
      </c>
      <c r="BC13" s="224">
        <f>_xlfn.LET(_xlpm._全体実績予測,
  INDEX('在庫使用計画 (全体実績+予測）0701'!$A$1:$BD$195,
    MATCH($C13,'在庫使用計画 (全体実績+予測）0701'!$C$1:$C$195,0),
    MATCH(BC$1,'在庫使用計画 (全体実績+予測）0701'!$A$1:$BD$1,0)
),
  IFERROR(
    IF(_xlpm._全体実績予測=0,"",_xlpm._全体実績予測),
  "")
)</f>
        <v>1.7910390592774728</v>
      </c>
      <c r="BD13" s="224">
        <f>_xlfn.LET(_xlpm._全体実績予測,
  INDEX('在庫使用計画 (全体実績+予測）0701'!$A$1:$BD$195,
    MATCH($C13,'在庫使用計画 (全体実績+予測）0701'!$C$1:$C$195,0),
    MATCH(BD$1,'在庫使用計画 (全体実績+予測）0701'!$A$1:$BD$1,0)
),
  IFERROR(
    IF(_xlpm._全体実績予測=0,"",_xlpm._全体実績予測),
  "")
)</f>
        <v>1.5571915685662006</v>
      </c>
      <c r="BE13" s="224">
        <f>_xlfn.LET(_xlpm._全体実績予測,
  INDEX('在庫使用計画 (全体実績+予測）0701'!$A$1:$BD$195,
    MATCH($C13,'在庫使用計画 (全体実績+予測）0701'!$C$1:$C$195,0),
    MATCH(BE$1,'在庫使用計画 (全体実績+予測）0701'!$A$1:$BD$1,0)
),
  IFERROR(
    IF(_xlpm._全体実績予測=0,"",_xlpm._全体実績予測),
  "")
)</f>
        <v>1.7697134270491941</v>
      </c>
      <c r="BF13" s="805">
        <f>_xlfn.LET(_xlpm._全体実績予測,
  INDEX('在庫使用計画 (全体実績+予測）0701'!$A$1:$BD$195,
    MATCH($C13,'在庫使用計画 (全体実績+予測）0701'!$C$1:$C$195,0),
    MATCH(BF$1,'在庫使用計画 (全体実績+予測）0701'!$A$1:$BD$1,0)
),
  IFERROR(
    IF(_xlpm._全体実績予測=0,"",_xlpm._全体実績予測),
  "")
)</f>
        <v>2.7825706318864056</v>
      </c>
      <c r="BG13" s="2091" t="s">
        <v>2660</v>
      </c>
    </row>
    <row r="14" spans="1:59" ht="18.75" customHeight="1">
      <c r="A14" s="32" t="s">
        <v>1349</v>
      </c>
      <c r="B14" s="111" t="str">
        <v>UNW-K-255HX-5070-L6</v>
      </c>
      <c r="C14" s="1264" t="s">
        <v>1357</v>
      </c>
      <c r="D14" s="1258" t="s">
        <v>1356</v>
      </c>
      <c r="E14" s="24">
        <v>5070</v>
      </c>
      <c r="F14" s="24" t="s">
        <v>1347</v>
      </c>
      <c r="G14" s="38">
        <v>268</v>
      </c>
      <c r="H14" s="38">
        <f ca="1">_xlfn.LET(_xlpm._今月から4ヶ月計画合計,
  SUM(
    OFFSET($A14,0,
      MATCH(
        EDATE(基準データ!$C$5,3),$A$1:$BE$1,1
      )-4,1,4)),
  IF($C14="","",_xlpm._今月から4ヶ月計画合計
)
)</f>
        <v>298.03851990217726</v>
      </c>
      <c r="I14" s="38">
        <f>SUMIFS(マスタ_EOLリスト[在庫],マスタ_EOLリスト[製品型番],'在庫使用計画 (計画　予測)'!$C:$C)</f>
        <v>128</v>
      </c>
      <c r="J14" s="1116" cm="1">
        <f t="array" ref="J14">_xlfn.IFS($C14="","",
  $G14="","発売前？",
  $G14=0,"在庫なし",
  TRUE,
  IFERROR(
    _xlfn.LET(
      _xlpm._在庫注残,     $G14,
      _xlpm._しきい値,     _xlpm._在庫注残 * 0.75,
      _xlpm._見出し元,     $K$1:$BT$1,
      _xlpm._計画,         $K14:$BT14,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46266</v>
      </c>
      <c r="K14" s="38"/>
      <c r="L14" s="38"/>
      <c r="M14" s="38"/>
      <c r="N14" s="38"/>
      <c r="O14" s="38"/>
      <c r="P14" s="38"/>
      <c r="Q14" s="116"/>
      <c r="R14" s="1350"/>
      <c r="S14" s="219"/>
      <c r="T14" s="219"/>
      <c r="U14" s="219"/>
      <c r="V14" s="298"/>
      <c r="W14" s="299"/>
      <c r="X14" s="299"/>
      <c r="Y14" s="299"/>
      <c r="Z14" s="299"/>
      <c r="AA14" s="299"/>
      <c r="AB14" s="299"/>
      <c r="AC14" s="805">
        <v>5</v>
      </c>
      <c r="AD14" s="244">
        <v>110</v>
      </c>
      <c r="AE14" s="224">
        <v>116.98245562839257</v>
      </c>
      <c r="AF14" s="224">
        <v>73.834868825909425</v>
      </c>
      <c r="AG14" s="224">
        <v>81.019787590315573</v>
      </c>
      <c r="AH14" s="237">
        <v>58.833333333333329</v>
      </c>
      <c r="AI14" s="804">
        <v>55</v>
      </c>
      <c r="AJ14" s="224">
        <v>51</v>
      </c>
      <c r="AK14" s="224">
        <v>65.714920950363961</v>
      </c>
      <c r="AL14" s="224">
        <v>26</v>
      </c>
      <c r="AM14" s="224">
        <f>_xlfn.XLOOKUP(
$C14,
'在庫使用計画 (ノート全体試算)'!$C$1:$C$170,
'在庫使用計画 (ノート全体試算)'!AN$1:AN$170,
"")</f>
        <v>43</v>
      </c>
      <c r="AN14" s="237">
        <f>_xlfn.XLOOKUP(
$C14,
'在庫使用計画 (ノート全体試算)'!$C$1:$C$170,
'在庫使用計画 (ノート全体試算)'!AO$1:AO$170,
"")</f>
        <v>83</v>
      </c>
      <c r="AO14" s="237">
        <f>_xlfn.XLOOKUP(
$C14,
'在庫使用計画 (ノート全体試算)'!$C$1:$C$170,
'在庫使用計画 (ノート全体試算)'!AP$1:AP$170,
"")</f>
        <v>88</v>
      </c>
      <c r="AP14" s="224">
        <f>_xlfn.XLOOKUP(
$C14,
'在庫使用計画 (ノート全体試算)'!$C$1:$C$170,
'在庫使用計画 (ノート全体試算)'!AQ$1:AQ$170,
"")</f>
        <v>88</v>
      </c>
      <c r="AQ14" s="1050">
        <f>_xlfn.XLOOKUP(
$C14,
'在庫使用計画 (ノート全体試算)'!$C$1:$C$170,
'在庫使用計画 (ノート全体試算)'!AR$1:AR$170,
"")</f>
        <v>66</v>
      </c>
      <c r="AR14" s="2130">
        <f>_xlfn.XLOOKUP(
$C14,
'在庫使用計画 (ノート全体試算)'!$C$1:$C$170,
'在庫使用計画 (ノート全体試算)'!AS$1:AS$170,
"")</f>
        <v>56.038519902177264</v>
      </c>
      <c r="AS14" s="244">
        <f>_xlfn.XLOOKUP(
$C14,
'在庫使用計画 (ノート全体試算)'!$C$1:$C$170,
'在庫使用計画 (ノート全体試算)'!AT$1:AT$170,
"")</f>
        <v>60.547539725347193</v>
      </c>
      <c r="AT14" s="805">
        <f>_xlfn.XLOOKUP(
$C14,
'在庫使用計画 (ノート全体試算)'!$C$1:$C$170,
'在庫使用計画 (ノート全体試算)'!AU$1:AU$170,
"")</f>
        <v>87.037062013789523</v>
      </c>
      <c r="AU14" s="804">
        <f>_xlfn.XLOOKUP(
$C14,
'在庫使用計画 (ノート全体試算)'!$C$1:$C$170,
'在庫使用計画 (ノート全体試算)'!AV$1:AV$170,
"")</f>
        <v>64.366247463015583</v>
      </c>
      <c r="AV14" s="224">
        <f>_xlfn.XLOOKUP(
$C14,
'在庫使用計画 (ノート全体試算)'!$C$1:$C$170,
'在庫使用計画 (ノート全体試算)'!AW$1:AW$170,
"")</f>
        <v>67.130757320944468</v>
      </c>
      <c r="AW14" s="224">
        <f>_xlfn.XLOOKUP(
$C14,
'在庫使用計画 (ノート全体試算)'!$C$1:$C$170,
'在庫使用計画 (ノート全体試算)'!AX$1:AX$170,
"")</f>
        <v>61.135720229035854</v>
      </c>
      <c r="AX14" s="224">
        <f>_xlfn.XLOOKUP(
$C14,
'在庫使用計画 (ノート全体試算)'!$C$1:$C$170,
'在庫使用計画 (ノート全体試算)'!AY$1:AY$170,
"")</f>
        <v>15</v>
      </c>
      <c r="AY14" s="224">
        <f>_xlfn.XLOOKUP(
$C14,
'在庫使用計画 (ノート全体試算)'!$C$1:$C$170,
'在庫使用計画 (ノート全体試算)'!AZ$1:AZ$170,
"")</f>
        <v>15</v>
      </c>
      <c r="AZ14" s="224" t="str">
        <f>_xlfn.XLOOKUP(
$C14,
'在庫使用計画 (ノート全体試算)'!$C$1:$C$170,
'在庫使用計画 (ノート全体試算)'!BA$1:BA$170,
"")</f>
        <v/>
      </c>
      <c r="BA14" s="224" t="str">
        <f>_xlfn.XLOOKUP(
$C14,
'在庫使用計画 (ノート全体試算)'!$C$1:$C$170,
'在庫使用計画 (ノート全体試算)'!BB$1:BB$170,
"")</f>
        <v/>
      </c>
      <c r="BB14" s="224" t="str">
        <f>_xlfn.XLOOKUP(
$C14,
'在庫使用計画 (ノート全体試算)'!$C$1:$C$170,
'在庫使用計画 (ノート全体試算)'!BC$1:BC$170,
"")</f>
        <v/>
      </c>
      <c r="BC14" s="224" t="str">
        <f>_xlfn.XLOOKUP(
$C14,
'在庫使用計画 (ノート全体試算)'!$C$1:$C$170,
'在庫使用計画 (ノート全体試算)'!BD$1:BD$170,
"")</f>
        <v/>
      </c>
      <c r="BD14" s="224" t="str">
        <f>_xlfn.XLOOKUP(
$C14,
'在庫使用計画 (ノート全体試算)'!$C$1:$C$170,
'在庫使用計画 (ノート全体試算)'!BE$1:BE$170,
"")</f>
        <v/>
      </c>
      <c r="BE14" s="224" t="str">
        <f>_xlfn.XLOOKUP(
$C14,
'在庫使用計画 (ノート全体試算)'!$C$1:$C$170,
'在庫使用計画 (ノート全体試算)'!BF$1:BF$170,
"")</f>
        <v/>
      </c>
      <c r="BF14" s="805" t="str">
        <f>_xlfn.XLOOKUP(
$C14,
'在庫使用計画 (ノート全体試算)'!$C$1:$C$170,
'在庫使用計画 (ノート全体試算)'!BG$1:BG$170,
"")</f>
        <v/>
      </c>
      <c r="BG14" s="2091" t="s">
        <v>2656</v>
      </c>
    </row>
    <row r="15" spans="1:59" ht="18.75" customHeight="1" thickBot="1">
      <c r="A15" s="445"/>
      <c r="B15" s="111" t="str">
        <v>UNW-K-255HX-5070-L6</v>
      </c>
      <c r="C15" s="1265" t="s">
        <v>1357</v>
      </c>
      <c r="D15" s="1262" t="s">
        <v>1763</v>
      </c>
      <c r="E15" s="446"/>
      <c r="F15" s="447"/>
      <c r="G15" s="448">
        <v>268</v>
      </c>
      <c r="H15" s="448">
        <f ca="1">_xlfn.LET(_xlpm._今月から4ヶ月計画合計,
  SUM(
    OFFSET($A15,0,
      MATCH(
        EDATE(基準データ!$C$5,3),$A$1:$BE$1,1
      )-4,1,4)),
  IF($C15="","",_xlpm._今月から4ヶ月計画合計
)
)</f>
        <v>430.96463202472154</v>
      </c>
      <c r="I15" s="463">
        <f t="shared" ref="I15" si="3">I14</f>
        <v>128</v>
      </c>
      <c r="J15" s="1116" cm="1">
        <f t="array" ref="J15">_xlfn.IFS($C15="","",
  $G15="","発売前？",
  $G15=0,"在庫なし",
  TRUE,
  IFERROR(
    _xlfn.LET(
      _xlpm._在庫注残,     $G15,
      _xlpm._しきい値,     _xlpm._在庫注残 * 0.75,
      _xlpm._見出し元,     $K$1:$BT$1,
      _xlpm._計画,         $K15:$BT15,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46235</v>
      </c>
      <c r="K15" s="448"/>
      <c r="L15" s="448"/>
      <c r="M15" s="448"/>
      <c r="N15" s="448"/>
      <c r="O15" s="448"/>
      <c r="P15" s="448"/>
      <c r="Q15" s="540"/>
      <c r="R15" s="900"/>
      <c r="S15" s="449"/>
      <c r="T15" s="449"/>
      <c r="U15" s="449"/>
      <c r="V15" s="450"/>
      <c r="W15" s="451" t="s">
        <v>21</v>
      </c>
      <c r="X15" s="451" t="s">
        <v>21</v>
      </c>
      <c r="Y15" s="451" t="s">
        <v>21</v>
      </c>
      <c r="Z15" s="453" t="s">
        <v>21</v>
      </c>
      <c r="AA15" s="453" t="s">
        <v>21</v>
      </c>
      <c r="AB15" s="449" t="s">
        <v>21</v>
      </c>
      <c r="AC15" s="899" t="s">
        <v>21</v>
      </c>
      <c r="AD15" s="1292">
        <v>21</v>
      </c>
      <c r="AE15" s="471">
        <v>42</v>
      </c>
      <c r="AF15" s="224">
        <v>81</v>
      </c>
      <c r="AG15" s="224">
        <v>102</v>
      </c>
      <c r="AH15" s="237">
        <v>69</v>
      </c>
      <c r="AI15" s="804">
        <v>56</v>
      </c>
      <c r="AJ15" s="224">
        <v>62</v>
      </c>
      <c r="AK15" s="224">
        <v>45</v>
      </c>
      <c r="AL15" s="224">
        <v>49</v>
      </c>
      <c r="AM15" s="224">
        <f>_xlfn.LET(_xlpm._全体実績予測,
  INDEX('在庫使用計画 (全体実績+予測）0701'!$A$1:$BD$195,
    MATCH($C15,'在庫使用計画 (全体実績+予測）0701'!$C$1:$C$195,0),
    MATCH(AM$1,'在庫使用計画 (全体実績+予測）0701'!$A$1:$BD$1,0)
),
  IFERROR(
    IF(_xlpm._全体実績予測=0,"",_xlpm._全体実績予測),
  "")
)</f>
        <v>52</v>
      </c>
      <c r="AN15" s="237">
        <f>_xlfn.LET(_xlpm._全体実績予測,
  INDEX('在庫使用計画 (全体実績+予測）0701'!$A$1:$BD$195,
    MATCH($C15,'在庫使用計画 (全体実績+予測）0701'!$C$1:$C$195,0),
    MATCH(AN$1,'在庫使用計画 (全体実績+予測）0701'!$A$1:$BD$1,0)
),
  IFERROR(
    IF(_xlpm._全体実績予測=0,"",_xlpm._全体実績予測),
  "")
)</f>
        <v>111.42857142857143</v>
      </c>
      <c r="AO15" s="237">
        <f>_xlfn.LET(_xlpm._全体実績予測,
  INDEX('在庫使用計画 (全体実績+予測）0701'!$A$1:$BD$195,
    MATCH($C15,'在庫使用計画 (全体実績+予測）0701'!$C$1:$C$195,0),
    MATCH(AO$1,'在庫使用計画 (全体実績+予測）0701'!$A$1:$BD$1,0)
),
  IFERROR(
    IF(_xlpm._全体実績予測=0,"",_xlpm._全体実績予測),
  "")
)</f>
        <v>141.34078961313529</v>
      </c>
      <c r="AP15" s="224">
        <f>_xlfn.LET(_xlpm._全体実績予測,
  INDEX('在庫使用計画 (全体実績+予測）0701'!$A$1:$BD$195,
    MATCH($C15,'在庫使用計画 (全体実績+予測）0701'!$C$1:$C$195,0),
    MATCH(AP$1,'在庫使用計画 (全体実績+予測）0701'!$A$1:$BD$1,0)
),
  IFERROR(
    IF(_xlpm._全体実績予測=0,"",_xlpm._全体実績予測),
  "")
)</f>
        <v>115.51584976371522</v>
      </c>
      <c r="AQ15" s="1050">
        <f>_xlfn.LET(_xlpm._全体実績予測,
  INDEX('在庫使用計画 (全体実績+予測）0701'!$A$1:$BD$195,
    MATCH($C15,'在庫使用計画 (全体実績+予測）0701'!$C$1:$C$195,0),
    MATCH(AQ$1,'在庫使用計画 (全体実績+予測）0701'!$A$1:$BD$1,0)
),
  IFERROR(
    IF(_xlpm._全体実績予測=0,"",_xlpm._全体実績予測),
  "")
)</f>
        <v>93.134031082428592</v>
      </c>
      <c r="AR15" s="2130">
        <f>_xlfn.LET(_xlpm._全体実績予測,
  INDEX('在庫使用計画 (全体実績+予測）0701'!$A$1:$BD$195,
    MATCH($C15,'在庫使用計画 (全体実績+予測）0701'!$C$1:$C$195,0),
    MATCH(AR$1,'在庫使用計画 (全体実績+予測）0701'!$A$1:$BD$1,0)
),
  IFERROR(
    IF(_xlpm._全体実績予測=0,"",_xlpm._全体実績予測),
  "")
)</f>
        <v>80.973961565442437</v>
      </c>
      <c r="AS15" s="244">
        <f>_xlfn.LET(_xlpm._全体実績予測,
  INDEX('在庫使用計画 (全体実績+予測）0701'!$A$1:$BD$195,
    MATCH($C15,'在庫使用計画 (全体実績+予測）0701'!$C$1:$C$195,0),
    MATCH(AS$1,'在庫使用計画 (全体実績+予測）0701'!$A$1:$BD$1,0)
),
  IFERROR(
    IF(_xlpm._全体実績予測=0,"",_xlpm._全体実績予測),
  "")
)</f>
        <v>92.025098206558098</v>
      </c>
      <c r="AT15" s="805">
        <f>_xlfn.LET(_xlpm._全体実績予測,
  INDEX('在庫使用計画 (全体実績+予測）0701'!$A$1:$BD$195,
    MATCH($C15,'在庫使用計画 (全体実績+予測）0701'!$C$1:$C$195,0),
    MATCH(AT$1,'在庫使用計画 (全体実績+予測）0701'!$A$1:$BD$1,0)
),
  IFERROR(
    IF(_xlpm._全体実績予測=0,"",_xlpm._全体実績予測),
  "")
)</f>
        <v>144.69367285809309</v>
      </c>
      <c r="AU15" s="804">
        <f>_xlfn.LET(_xlpm._全体実績予測,
  INDEX('在庫使用計画 (全体実績+予測）0701'!$A$1:$BD$195,
    MATCH($C15,'在庫使用計画 (全体実績+予測）0701'!$C$1:$C$195,0),
    MATCH(AU$1,'在庫使用計画 (全体実績+予測）0701'!$A$1:$BD$1,0)
),
  IFERROR(
    IF(_xlpm._全体実績予測=0,"",_xlpm._全体実績予測),
  "")
)</f>
        <v>120.99151646429884</v>
      </c>
      <c r="AV15" s="224">
        <f>_xlfn.LET(_xlpm._全体実績予測,
  INDEX('在庫使用計画 (全体実績+予測）0701'!$A$1:$BD$195,
    MATCH($C15,'在庫使用計画 (全体実績+予測）0701'!$C$1:$C$195,0),
    MATCH(AV$1,'在庫使用計画 (全体実績+予測）0701'!$A$1:$BD$1,0)
),
  IFERROR(
    IF(_xlpm._全体実績予測=0,"",_xlpm._全体実績予測),
  "")
)</f>
        <v>108.91611630603529</v>
      </c>
      <c r="AW15" s="224">
        <f>_xlfn.LET(_xlpm._全体実績予測,
  INDEX('在庫使用計画 (全体実績+予測）0701'!$A$1:$BD$195,
    MATCH($C15,'在庫使用計画 (全体実績+予測）0701'!$C$1:$C$195,0),
    MATCH(AW$1,'在庫使用計画 (全体実績+予測）0701'!$A$1:$BD$1,0)
),
  IFERROR(
    IF(_xlpm._全体実績予測=0,"",_xlpm._全体実績予測),
  "")
)</f>
        <v>156.7082648088942</v>
      </c>
      <c r="AX15" s="224">
        <f>_xlfn.LET(_xlpm._全体実績予測,
  INDEX('在庫使用計画 (全体実績+予測）0701'!$A$1:$BD$195,
    MATCH($C15,'在庫使用計画 (全体実績+予測）0701'!$C$1:$C$195,0),
    MATCH(AX$1,'在庫使用計画 (全体実績+予測）0701'!$A$1:$BD$1,0)
),
  IFERROR(
    IF(_xlpm._全体実績予測=0,"",_xlpm._全体実績予測),
  "")
)</f>
        <v>120.6274886252625</v>
      </c>
      <c r="AY15" s="224">
        <f>_xlfn.LET(_xlpm._全体実績予測,
  INDEX('在庫使用計画 (全体実績+予測）0701'!$A$1:$BD$195,
    MATCH($C15,'在庫使用計画 (全体実績+予測）0701'!$C$1:$C$195,0),
    MATCH(AY$1,'在庫使用計画 (全体実績+予測）0701'!$A$1:$BD$1,0)
),
  IFERROR(
    IF(_xlpm._全体実績予測=0,"",_xlpm._全体実績予測),
  "")
)</f>
        <v>96.299090487149257</v>
      </c>
      <c r="AZ15" s="224">
        <f>_xlfn.LET(_xlpm._全体実績予測,
  INDEX('在庫使用計画 (全体実績+予測）0701'!$A$1:$BD$195,
    MATCH($C15,'在庫使用計画 (全体実績+予測）0701'!$C$1:$C$195,0),
    MATCH(AZ$1,'在庫使用計画 (全体実績+予測）0701'!$A$1:$BD$1,0)
),
  IFERROR(
    IF(_xlpm._全体実績予測=0,"",_xlpm._全体実績予測),
  "")
)</f>
        <v>111.42857142857143</v>
      </c>
      <c r="BA15" s="224">
        <f>_xlfn.LET(_xlpm._全体実績予測,
  INDEX('在庫使用計画 (全体実績+予測）0701'!$A$1:$BD$195,
    MATCH($C15,'在庫使用計画 (全体実績+予測）0701'!$C$1:$C$195,0),
    MATCH(BA$1,'在庫使用計画 (全体実績+予測）0701'!$A$1:$BD$1,0)
),
  IFERROR(
    IF(_xlpm._全体実績予測=0,"",_xlpm._全体実績予測),
  "")
)</f>
        <v>141.34078961313529</v>
      </c>
      <c r="BB15" s="224">
        <f>_xlfn.LET(_xlpm._全体実績予測,
  INDEX('在庫使用計画 (全体実績+予測）0701'!$A$1:$BD$195,
    MATCH($C15,'在庫使用計画 (全体実績+予測）0701'!$C$1:$C$195,0),
    MATCH(BB$1,'在庫使用計画 (全体実績+予測）0701'!$A$1:$BD$1,0)
),
  IFERROR(
    IF(_xlpm._全体実績予測=0,"",_xlpm._全体実績予測),
  "")
)</f>
        <v>115.51584976371522</v>
      </c>
      <c r="BC15" s="224">
        <f>_xlfn.LET(_xlpm._全体実績予測,
  INDEX('在庫使用計画 (全体実績+予測）0701'!$A$1:$BD$195,
    MATCH($C15,'在庫使用計画 (全体実績+予測）0701'!$C$1:$C$195,0),
    MATCH(BC$1,'在庫使用計画 (全体実績+予測）0701'!$A$1:$BD$1,0)
),
  IFERROR(
    IF(_xlpm._全体実績予測=0,"",_xlpm._全体実績予測),
  "")
)</f>
        <v>93.134031082428592</v>
      </c>
      <c r="BD15" s="224">
        <f>_xlfn.LET(_xlpm._全体実績予測,
  INDEX('在庫使用計画 (全体実績+予測）0701'!$A$1:$BD$195,
    MATCH($C15,'在庫使用計画 (全体実績+予測）0701'!$C$1:$C$195,0),
    MATCH(BD$1,'在庫使用計画 (全体実績+予測）0701'!$A$1:$BD$1,0)
),
  IFERROR(
    IF(_xlpm._全体実績予測=0,"",_xlpm._全体実績予測),
  "")
)</f>
        <v>80.973961565442437</v>
      </c>
      <c r="BE15" s="224">
        <f>_xlfn.LET(_xlpm._全体実績予測,
  INDEX('在庫使用計画 (全体実績+予測）0701'!$A$1:$BD$195,
    MATCH($C15,'在庫使用計画 (全体実績+予測）0701'!$C$1:$C$195,0),
    MATCH(BE$1,'在庫使用計画 (全体実績+予測）0701'!$A$1:$BD$1,0)
),
  IFERROR(
    IF(_xlpm._全体実績予測=0,"",_xlpm._全体実績予測),
  "")
)</f>
        <v>92.025098206558098</v>
      </c>
      <c r="BF15" s="805">
        <f>_xlfn.LET(_xlpm._全体実績予測,
  INDEX('在庫使用計画 (全体実績+予測）0701'!$A$1:$BD$195,
    MATCH($C15,'在庫使用計画 (全体実績+予測）0701'!$C$1:$C$195,0),
    MATCH(BF$1,'在庫使用計画 (全体実績+予測）0701'!$A$1:$BD$1,0)
),
  IFERROR(
    IF(_xlpm._全体実績予測=0,"",_xlpm._全体実績予測),
  "")
)</f>
        <v>144.69367285809309</v>
      </c>
    </row>
    <row r="16" spans="1:59" ht="18.75" customHeight="1">
      <c r="A16" s="32" t="s">
        <v>1349</v>
      </c>
      <c r="B16" s="26" t="str">
        <v>CLE-V56-350-5060-L6</v>
      </c>
      <c r="C16" s="531" t="s">
        <v>1359</v>
      </c>
      <c r="D16" s="26" t="s">
        <v>1358</v>
      </c>
      <c r="E16" s="24">
        <v>5060</v>
      </c>
      <c r="F16" s="24" t="s">
        <v>1347</v>
      </c>
      <c r="G16" s="38">
        <v>0</v>
      </c>
      <c r="H16" s="38">
        <f ca="1">_xlfn.LET(_xlpm._今月から4ヶ月計画合計,
  SUM(
    OFFSET($A16,0,
      MATCH(
        EDATE(基準データ!$C$5,3),$A$1:$BE$1,1
      )-4,1,4)),
  IF($C16="","",_xlpm._今月から4ヶ月計画合計
)
)</f>
        <v>0</v>
      </c>
      <c r="I16" s="38">
        <f>SUMIFS(マスタ_EOLリスト[在庫],マスタ_EOLリスト[製品型番],'在庫使用計画 (計画　予測)'!$C:$C)</f>
        <v>0</v>
      </c>
      <c r="J16" s="1116" t="str" cm="1">
        <f t="array" ref="J16">_xlfn.IFS($C16="","",
  $G16="","発売前？",
  $G16=0,"在庫なし",
  TRUE,
  IFERROR(
    _xlfn.LET(
      _xlpm._在庫注残,     $G16,
      _xlpm._しきい値,     _xlpm._在庫注残 * 0.75,
      _xlpm._見出し元,     $K$1:$BT$1,
      _xlpm._計画,         $K16:$BT16,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在庫なし</v>
      </c>
      <c r="K16" s="311"/>
      <c r="L16" s="311"/>
      <c r="M16" s="311"/>
      <c r="N16" s="311"/>
      <c r="O16" s="311"/>
      <c r="P16" s="311"/>
      <c r="Q16" s="313"/>
      <c r="R16" s="1353"/>
      <c r="S16" s="298"/>
      <c r="T16" s="298"/>
      <c r="U16" s="298"/>
      <c r="V16" s="298"/>
      <c r="W16" s="299"/>
      <c r="X16" s="299"/>
      <c r="Y16" s="299"/>
      <c r="Z16" s="237"/>
      <c r="AA16" s="224">
        <v>92</v>
      </c>
      <c r="AB16" s="224">
        <v>109</v>
      </c>
      <c r="AC16" s="805">
        <v>105</v>
      </c>
      <c r="AD16" s="244">
        <v>90</v>
      </c>
      <c r="AE16" s="224">
        <v>84.987468305994724</v>
      </c>
      <c r="AF16" s="224">
        <v>80</v>
      </c>
      <c r="AG16" s="224">
        <v>78.553926797305948</v>
      </c>
      <c r="AH16" s="237">
        <v>67.166666666666657</v>
      </c>
      <c r="AI16" s="804">
        <v>43</v>
      </c>
      <c r="AJ16" s="224">
        <v>41.567729159213684</v>
      </c>
      <c r="AK16" s="224">
        <v>60.069595473196408</v>
      </c>
      <c r="AL16" s="224">
        <v>43.91708936295155</v>
      </c>
      <c r="AM16" s="224" t="str">
        <f>_xlfn.XLOOKUP(
$C16,
'在庫使用計画 (ノート全体試算)'!$C$1:$C$170,
'在庫使用計画 (ノート全体試算)'!AN$1:AN$170,
"")</f>
        <v/>
      </c>
      <c r="AN16" s="237" t="str">
        <f>_xlfn.XLOOKUP(
$C16,
'在庫使用計画 (ノート全体試算)'!$C$1:$C$170,
'在庫使用計画 (ノート全体試算)'!AO$1:AO$170,
"")</f>
        <v/>
      </c>
      <c r="AO16" s="237" t="str">
        <f>_xlfn.XLOOKUP(
$C16,
'在庫使用計画 (ノート全体試算)'!$C$1:$C$170,
'在庫使用計画 (ノート全体試算)'!AP$1:AP$170,
"")</f>
        <v/>
      </c>
      <c r="AP16" s="224" t="str">
        <f>_xlfn.XLOOKUP(
$C16,
'在庫使用計画 (ノート全体試算)'!$C$1:$C$170,
'在庫使用計画 (ノート全体試算)'!AQ$1:AQ$170,
"")</f>
        <v/>
      </c>
      <c r="AQ16" s="1050" t="str">
        <f>_xlfn.XLOOKUP(
$C16,
'在庫使用計画 (ノート全体試算)'!$C$1:$C$170,
'在庫使用計画 (ノート全体試算)'!AR$1:AR$170,
"")</f>
        <v/>
      </c>
      <c r="AR16" s="2130" t="str">
        <f>_xlfn.XLOOKUP(
$C16,
'在庫使用計画 (ノート全体試算)'!$C$1:$C$170,
'在庫使用計画 (ノート全体試算)'!AS$1:AS$170,
"")</f>
        <v/>
      </c>
      <c r="AS16" s="244" t="str">
        <f>_xlfn.XLOOKUP(
$C16,
'在庫使用計画 (ノート全体試算)'!$C$1:$C$170,
'在庫使用計画 (ノート全体試算)'!AT$1:AT$170,
"")</f>
        <v/>
      </c>
      <c r="AT16" s="805" t="str">
        <f>_xlfn.XLOOKUP(
$C16,
'在庫使用計画 (ノート全体試算)'!$C$1:$C$170,
'在庫使用計画 (ノート全体試算)'!AU$1:AU$170,
"")</f>
        <v/>
      </c>
      <c r="AU16" s="804" t="str">
        <f>_xlfn.XLOOKUP(
$C16,
'在庫使用計画 (ノート全体試算)'!$C$1:$C$170,
'在庫使用計画 (ノート全体試算)'!AV$1:AV$170,
"")</f>
        <v/>
      </c>
      <c r="AV16" s="224" t="str">
        <f>_xlfn.XLOOKUP(
$C16,
'在庫使用計画 (ノート全体試算)'!$C$1:$C$170,
'在庫使用計画 (ノート全体試算)'!AW$1:AW$170,
"")</f>
        <v/>
      </c>
      <c r="AW16" s="224" t="str">
        <f>_xlfn.XLOOKUP(
$C16,
'在庫使用計画 (ノート全体試算)'!$C$1:$C$170,
'在庫使用計画 (ノート全体試算)'!AX$1:AX$170,
"")</f>
        <v/>
      </c>
      <c r="AX16" s="224" t="str">
        <f>_xlfn.XLOOKUP(
$C16,
'在庫使用計画 (ノート全体試算)'!$C$1:$C$170,
'在庫使用計画 (ノート全体試算)'!AY$1:AY$170,
"")</f>
        <v/>
      </c>
      <c r="AY16" s="224" t="str">
        <f>_xlfn.XLOOKUP(
$C16,
'在庫使用計画 (ノート全体試算)'!$C$1:$C$170,
'在庫使用計画 (ノート全体試算)'!AZ$1:AZ$170,
"")</f>
        <v/>
      </c>
      <c r="AZ16" s="224" t="str">
        <f>_xlfn.XLOOKUP(
$C16,
'在庫使用計画 (ノート全体試算)'!$C$1:$C$170,
'在庫使用計画 (ノート全体試算)'!BA$1:BA$170,
"")</f>
        <v/>
      </c>
      <c r="BA16" s="224" t="str">
        <f>_xlfn.XLOOKUP(
$C16,
'在庫使用計画 (ノート全体試算)'!$C$1:$C$170,
'在庫使用計画 (ノート全体試算)'!BB$1:BB$170,
"")</f>
        <v/>
      </c>
      <c r="BB16" s="224" t="str">
        <f>_xlfn.XLOOKUP(
$C16,
'在庫使用計画 (ノート全体試算)'!$C$1:$C$170,
'在庫使用計画 (ノート全体試算)'!BC$1:BC$170,
"")</f>
        <v/>
      </c>
      <c r="BC16" s="224" t="str">
        <f>_xlfn.XLOOKUP(
$C16,
'在庫使用計画 (ノート全体試算)'!$C$1:$C$170,
'在庫使用計画 (ノート全体試算)'!BD$1:BD$170,
"")</f>
        <v/>
      </c>
      <c r="BD16" s="224" t="str">
        <f>_xlfn.XLOOKUP(
$C16,
'在庫使用計画 (ノート全体試算)'!$C$1:$C$170,
'在庫使用計画 (ノート全体試算)'!BE$1:BE$170,
"")</f>
        <v/>
      </c>
      <c r="BE16" s="224" t="str">
        <f>_xlfn.XLOOKUP(
$C16,
'在庫使用計画 (ノート全体試算)'!$C$1:$C$170,
'在庫使用計画 (ノート全体試算)'!BF$1:BF$170,
"")</f>
        <v/>
      </c>
      <c r="BF16" s="805" t="str">
        <f>_xlfn.XLOOKUP(
$C16,
'在庫使用計画 (ノート全体試算)'!$C$1:$C$170,
'在庫使用計画 (ノート全体試算)'!BG$1:BG$170,
"")</f>
        <v/>
      </c>
      <c r="BG16" s="2091" t="s">
        <v>2655</v>
      </c>
    </row>
    <row r="17" spans="1:59" ht="18.75" customHeight="1">
      <c r="A17" s="445"/>
      <c r="B17" s="26" t="str">
        <v>CLE-V56-350-5060-L6</v>
      </c>
      <c r="C17" s="452" t="s">
        <v>1359</v>
      </c>
      <c r="D17" s="446" t="s">
        <v>1763</v>
      </c>
      <c r="E17" s="446"/>
      <c r="F17" s="447"/>
      <c r="G17" s="448">
        <v>0</v>
      </c>
      <c r="H17" s="448">
        <f ca="1">_xlfn.LET(_xlpm._今月から4ヶ月計画合計,
  SUM(
    OFFSET($A17,0,
      MATCH(
        EDATE(基準データ!$C$5,3),$A$1:$BE$1,1
      )-4,1,4)),
  IF($C17="","",_xlpm._今月から4ヶ月計画合計
)
)</f>
        <v>8.2877813850907973</v>
      </c>
      <c r="I17" s="463">
        <f t="shared" ref="I17" si="4">I16</f>
        <v>0</v>
      </c>
      <c r="J17" s="1116" t="str" cm="1">
        <f t="array" ref="J17">_xlfn.IFS($C17="","",
  $G17="","発売前？",
  $G17=0,"在庫なし",
  TRUE,
  IFERROR(
    _xlfn.LET(
      _xlpm._在庫注残,     $G17,
      _xlpm._しきい値,     _xlpm._在庫注残 * 0.75,
      _xlpm._見出し元,     $K$1:$BT$1,
      _xlpm._計画,         $K17:$BT17,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在庫なし</v>
      </c>
      <c r="K17" s="448"/>
      <c r="L17" s="448"/>
      <c r="M17" s="448"/>
      <c r="N17" s="448"/>
      <c r="O17" s="448"/>
      <c r="P17" s="448"/>
      <c r="Q17" s="540"/>
      <c r="R17" s="900"/>
      <c r="S17" s="449"/>
      <c r="T17" s="449"/>
      <c r="U17" s="449"/>
      <c r="V17" s="450"/>
      <c r="W17" s="451" t="s">
        <v>21</v>
      </c>
      <c r="X17" s="451" t="s">
        <v>21</v>
      </c>
      <c r="Y17" s="451" t="s">
        <v>21</v>
      </c>
      <c r="Z17" s="453" t="s">
        <v>21</v>
      </c>
      <c r="AA17" s="453">
        <v>8</v>
      </c>
      <c r="AB17" s="449">
        <v>77</v>
      </c>
      <c r="AC17" s="899">
        <v>75</v>
      </c>
      <c r="AD17" s="1292">
        <v>65</v>
      </c>
      <c r="AE17" s="451">
        <v>29</v>
      </c>
      <c r="AF17" s="224">
        <v>31</v>
      </c>
      <c r="AG17" s="224">
        <v>56</v>
      </c>
      <c r="AH17" s="237">
        <v>64</v>
      </c>
      <c r="AI17" s="804">
        <v>43</v>
      </c>
      <c r="AJ17" s="224">
        <v>28</v>
      </c>
      <c r="AK17" s="224">
        <v>99</v>
      </c>
      <c r="AL17" s="224">
        <v>85</v>
      </c>
      <c r="AM17" s="224">
        <f>_xlfn.LET(_xlpm._全体実績予測,
  INDEX('在庫使用計画 (全体実績+予測）0701'!$A$1:$BD$195,
    MATCH($C17,'在庫使用計画 (全体実績+予測）0701'!$C$1:$C$195,0),
    MATCH(AM$1,'在庫使用計画 (全体実績+予測）0701'!$A$1:$BD$1,0)
),
  IFERROR(
    IF(_xlpm._全体実績予測=0,"",_xlpm._全体実績予測),
  "")
)</f>
        <v>11</v>
      </c>
      <c r="AN17" s="237">
        <f>_xlfn.LET(_xlpm._全体実績予測,
  INDEX('在庫使用計画 (全体実績+予測）0701'!$A$1:$BD$195,
    MATCH($C17,'在庫使用計画 (全体実績+予測）0701'!$C$1:$C$195,0),
    MATCH(AN$1,'在庫使用計画 (全体実績+予測）0701'!$A$1:$BD$1,0)
),
  IFERROR(
    IF(_xlpm._全体実績予測=0,"",_xlpm._全体実績予測),
  "")
)</f>
        <v>2.1428571428571428</v>
      </c>
      <c r="AO17" s="237">
        <f>_xlfn.LET(_xlpm._全体実績予測,
  INDEX('在庫使用計画 (全体実績+予測）0701'!$A$1:$BD$195,
    MATCH($C17,'在庫使用計画 (全体実績+予測）0701'!$C$1:$C$195,0),
    MATCH(AO$1,'在庫使用計画 (全体実績+予測）0701'!$A$1:$BD$1,0)
),
  IFERROR(
    IF(_xlpm._全体実績予測=0,"",_xlpm._全体実績予測),
  "")
)</f>
        <v>2.718092107944909</v>
      </c>
      <c r="AP17" s="224">
        <f>_xlfn.LET(_xlpm._全体実績予測,
  INDEX('在庫使用計画 (全体実績+予測）0701'!$A$1:$BD$195,
    MATCH($C17,'在庫使用計画 (全体実績+予測）0701'!$C$1:$C$195,0),
    MATCH(AP$1,'在庫使用計画 (全体実績+予測）0701'!$A$1:$BD$1,0)
),
  IFERROR(
    IF(_xlpm._全体実績予測=0,"",_xlpm._全体実績予測),
  "")
)</f>
        <v>2.2214586493022157</v>
      </c>
      <c r="AQ17" s="1050">
        <f>_xlfn.LET(_xlpm._全体実績予測,
  INDEX('在庫使用計画 (全体実績+予測）0701'!$A$1:$BD$195,
    MATCH($C17,'在庫使用計画 (全体実績+予測）0701'!$C$1:$C$195,0),
    MATCH(AQ$1,'在庫使用計画 (全体実績+予測）0701'!$A$1:$BD$1,0)
),
  IFERROR(
    IF(_xlpm._全体実績予測=0,"",_xlpm._全体実績予測),
  "")
)</f>
        <v>1.7910390592774728</v>
      </c>
      <c r="AR17" s="2130">
        <f>_xlfn.LET(_xlpm._全体実績予測,
  INDEX('在庫使用計画 (全体実績+予測）0701'!$A$1:$BD$195,
    MATCH($C17,'在庫使用計画 (全体実績+予測）0701'!$C$1:$C$195,0),
    MATCH(AR$1,'在庫使用計画 (全体実績+予測）0701'!$A$1:$BD$1,0)
),
  IFERROR(
    IF(_xlpm._全体実績予測=0,"",_xlpm._全体実績予測),
  "")
)</f>
        <v>1.5571915685662006</v>
      </c>
      <c r="AS17" s="244">
        <f>_xlfn.LET(_xlpm._全体実績予測,
  INDEX('在庫使用計画 (全体実績+予測）0701'!$A$1:$BD$195,
    MATCH($C17,'在庫使用計画 (全体実績+予測）0701'!$C$1:$C$195,0),
    MATCH(AS$1,'在庫使用計画 (全体実績+予測）0701'!$A$1:$BD$1,0)
),
  IFERROR(
    IF(_xlpm._全体実績予測=0,"",_xlpm._全体実績予測),
  "")
)</f>
        <v>1.7697134270491941</v>
      </c>
      <c r="AT17" s="805">
        <f>_xlfn.LET(_xlpm._全体実績予測,
  INDEX('在庫使用計画 (全体実績+予測）0701'!$A$1:$BD$195,
    MATCH($C17,'在庫使用計画 (全体実績+予測）0701'!$C$1:$C$195,0),
    MATCH(AT$1,'在庫使用計画 (全体実績+予測）0701'!$A$1:$BD$1,0)
),
  IFERROR(
    IF(_xlpm._全体実績予測=0,"",_xlpm._全体実績予測),
  "")
)</f>
        <v>2.7825706318864056</v>
      </c>
      <c r="AU17" s="804">
        <f>_xlfn.LET(_xlpm._全体実績予測,
  INDEX('在庫使用計画 (全体実績+予測）0701'!$A$1:$BD$195,
    MATCH($C17,'在庫使用計画 (全体実績+予測）0701'!$C$1:$C$195,0),
    MATCH(AU$1,'在庫使用計画 (全体実績+予測）0701'!$A$1:$BD$1,0)
),
  IFERROR(
    IF(_xlpm._全体実績予測=0,"",_xlpm._全体実績予測),
  "")
)</f>
        <v>2.3267599320057468</v>
      </c>
      <c r="AV17" s="224">
        <f>_xlfn.LET(_xlpm._全体実績予測,
  INDEX('在庫使用計画 (全体実績+予測）0701'!$A$1:$BD$195,
    MATCH($C17,'在庫使用計画 (全体実績+予測）0701'!$C$1:$C$195,0),
    MATCH(AV$1,'在庫使用計画 (全体実績+予測）0701'!$A$1:$BD$1,0)
),
  IFERROR(
    IF(_xlpm._全体実績予測=0,"",_xlpm._全体実績予測),
  "")
)</f>
        <v>2.0945406981929864</v>
      </c>
      <c r="AW17" s="224">
        <f>_xlfn.LET(_xlpm._全体実績予測,
  INDEX('在庫使用計画 (全体実績+予測）0701'!$A$1:$BD$195,
    MATCH($C17,'在庫使用計画 (全体実績+予測）0701'!$C$1:$C$195,0),
    MATCH(AW$1,'在庫使用計画 (全体実績+予測）0701'!$A$1:$BD$1,0)
),
  IFERROR(
    IF(_xlpm._全体実績予測=0,"",_xlpm._全体実績予測),
  "")
)</f>
        <v>3.0136204770941193</v>
      </c>
      <c r="AX17" s="224">
        <f>_xlfn.LET(_xlpm._全体実績予測,
  INDEX('在庫使用計画 (全体実績+予測）0701'!$A$1:$BD$195,
    MATCH($C17,'在庫使用計画 (全体実績+予測）0701'!$C$1:$C$195,0),
    MATCH(AX$1,'在庫使用計画 (全体実績+予測）0701'!$A$1:$BD$1,0)
),
  IFERROR(
    IF(_xlpm._全体実績予測=0,"",_xlpm._全体実績予測),
  "")
)</f>
        <v>2.3197593966396632</v>
      </c>
      <c r="AY17" s="224">
        <f>_xlfn.LET(_xlpm._全体実績予測,
  INDEX('在庫使用計画 (全体実績+予測）0701'!$A$1:$BD$195,
    MATCH($C17,'在庫使用計画 (全体実績+予測）0701'!$C$1:$C$195,0),
    MATCH(AY$1,'在庫使用計画 (全体実績+予測）0701'!$A$1:$BD$1,0)
),
  IFERROR(
    IF(_xlpm._全体実績予測=0,"",_xlpm._全体実績予測),
  "")
)</f>
        <v>1.8519055862913318</v>
      </c>
      <c r="AZ17" s="224">
        <f>_xlfn.LET(_xlpm._全体実績予測,
  INDEX('在庫使用計画 (全体実績+予測）0701'!$A$1:$BD$195,
    MATCH($C17,'在庫使用計画 (全体実績+予測）0701'!$C$1:$C$195,0),
    MATCH(AZ$1,'在庫使用計画 (全体実績+予測）0701'!$A$1:$BD$1,0)
),
  IFERROR(
    IF(_xlpm._全体実績予測=0,"",_xlpm._全体実績予測),
  "")
)</f>
        <v>2.1428571428571428</v>
      </c>
      <c r="BA17" s="224">
        <f>_xlfn.LET(_xlpm._全体実績予測,
  INDEX('在庫使用計画 (全体実績+予測）0701'!$A$1:$BD$195,
    MATCH($C17,'在庫使用計画 (全体実績+予測）0701'!$C$1:$C$195,0),
    MATCH(BA$1,'在庫使用計画 (全体実績+予測）0701'!$A$1:$BD$1,0)
),
  IFERROR(
    IF(_xlpm._全体実績予測=0,"",_xlpm._全体実績予測),
  "")
)</f>
        <v>2.718092107944909</v>
      </c>
      <c r="BB17" s="224">
        <f>_xlfn.LET(_xlpm._全体実績予測,
  INDEX('在庫使用計画 (全体実績+予測）0701'!$A$1:$BD$195,
    MATCH($C17,'在庫使用計画 (全体実績+予測）0701'!$C$1:$C$195,0),
    MATCH(BB$1,'在庫使用計画 (全体実績+予測）0701'!$A$1:$BD$1,0)
),
  IFERROR(
    IF(_xlpm._全体実績予測=0,"",_xlpm._全体実績予測),
  "")
)</f>
        <v>2.2214586493022157</v>
      </c>
      <c r="BC17" s="224">
        <f>_xlfn.LET(_xlpm._全体実績予測,
  INDEX('在庫使用計画 (全体実績+予測）0701'!$A$1:$BD$195,
    MATCH($C17,'在庫使用計画 (全体実績+予測）0701'!$C$1:$C$195,0),
    MATCH(BC$1,'在庫使用計画 (全体実績+予測）0701'!$A$1:$BD$1,0)
),
  IFERROR(
    IF(_xlpm._全体実績予測=0,"",_xlpm._全体実績予測),
  "")
)</f>
        <v>1.7910390592774728</v>
      </c>
      <c r="BD17" s="224">
        <f>_xlfn.LET(_xlpm._全体実績予測,
  INDEX('在庫使用計画 (全体実績+予測）0701'!$A$1:$BD$195,
    MATCH($C17,'在庫使用計画 (全体実績+予測）0701'!$C$1:$C$195,0),
    MATCH(BD$1,'在庫使用計画 (全体実績+予測）0701'!$A$1:$BD$1,0)
),
  IFERROR(
    IF(_xlpm._全体実績予測=0,"",_xlpm._全体実績予測),
  "")
)</f>
        <v>1.5571915685662006</v>
      </c>
      <c r="BE17" s="224">
        <f>_xlfn.LET(_xlpm._全体実績予測,
  INDEX('在庫使用計画 (全体実績+予測）0701'!$A$1:$BD$195,
    MATCH($C17,'在庫使用計画 (全体実績+予測）0701'!$C$1:$C$195,0),
    MATCH(BE$1,'在庫使用計画 (全体実績+予測）0701'!$A$1:$BD$1,0)
),
  IFERROR(
    IF(_xlpm._全体実績予測=0,"",_xlpm._全体実績予測),
  "")
)</f>
        <v>1.7697134270491941</v>
      </c>
      <c r="BF17" s="805">
        <f>_xlfn.LET(_xlpm._全体実績予測,
  INDEX('在庫使用計画 (全体実績+予測）0701'!$A$1:$BD$195,
    MATCH($C17,'在庫使用計画 (全体実績+予測）0701'!$C$1:$C$195,0),
    MATCH(BF$1,'在庫使用計画 (全体実績+予測）0701'!$A$1:$BD$1,0)
),
  IFERROR(
    IF(_xlpm._全体実績予測=0,"",_xlpm._全体実績予測),
  "")
)</f>
        <v>2.7825706318864056</v>
      </c>
    </row>
    <row r="18" spans="1:59" ht="18.75" customHeight="1">
      <c r="A18" s="32" t="s">
        <v>1349</v>
      </c>
      <c r="B18" s="26" t="str">
        <v>UNW-U-255HX-5060-L6</v>
      </c>
      <c r="C18" s="25" t="s">
        <v>1360</v>
      </c>
      <c r="D18" s="26" t="s">
        <v>1356</v>
      </c>
      <c r="E18" s="24">
        <v>5060</v>
      </c>
      <c r="F18" s="24" t="s">
        <v>1347</v>
      </c>
      <c r="G18" s="38">
        <v>5</v>
      </c>
      <c r="H18" s="38">
        <f ca="1">_xlfn.LET(_xlpm._今月から4ヶ月計画合計,
  SUM(
    OFFSET($A18,0,
      MATCH(
        EDATE(基準データ!$C$5,3),$A$1:$BE$1,1
      )-4,1,4)),
  IF($C18="","",_xlpm._今月から4ヶ月計画合計
)
)</f>
        <v>0</v>
      </c>
      <c r="I18" s="38">
        <f>SUMIFS(マスタ_EOLリスト[在庫],マスタ_EOLリスト[製品型番],'在庫使用計画 (計画　予測)'!$C:$C)</f>
        <v>5</v>
      </c>
      <c r="J18" s="1116" t="str" cm="1">
        <f t="array" ref="J18">_xlfn.IFS($C18="","",
  $G18="","発売前？",
  $G18=0,"在庫なし",
  TRUE,
  IFERROR(
    _xlfn.LET(
      _xlpm._在庫注残,     $G18,
      _xlpm._しきい値,     _xlpm._在庫注残 * 0.75,
      _xlpm._見出し元,     $K$1:$BT$1,
      _xlpm._計画,         $K18:$BT18,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合計0、在庫+注残5のため不足</v>
      </c>
      <c r="K18" s="311"/>
      <c r="L18" s="311"/>
      <c r="M18" s="311"/>
      <c r="N18" s="311"/>
      <c r="O18" s="311"/>
      <c r="P18" s="311"/>
      <c r="Q18" s="313"/>
      <c r="R18" s="1353"/>
      <c r="S18" s="298"/>
      <c r="T18" s="298"/>
      <c r="U18" s="298"/>
      <c r="V18" s="298"/>
      <c r="W18" s="299"/>
      <c r="X18" s="299"/>
      <c r="Y18" s="299"/>
      <c r="Z18" s="299"/>
      <c r="AA18" s="224" t="s">
        <v>21</v>
      </c>
      <c r="AB18" s="224" t="s">
        <v>21</v>
      </c>
      <c r="AC18" s="805" t="s">
        <v>21</v>
      </c>
      <c r="AD18" s="244">
        <v>20</v>
      </c>
      <c r="AE18" s="224">
        <v>140</v>
      </c>
      <c r="AF18" s="224">
        <v>41.992692142991729</v>
      </c>
      <c r="AG18" s="224">
        <v>40.726888702177547</v>
      </c>
      <c r="AH18" s="237">
        <v>9.8888888888888893</v>
      </c>
      <c r="AI18" s="804">
        <v>24.019283614591487</v>
      </c>
      <c r="AJ18" s="224">
        <v>12.322016302403568</v>
      </c>
      <c r="AK18" s="224">
        <v>25.409459688659929</v>
      </c>
      <c r="AL18" s="224">
        <v>134</v>
      </c>
      <c r="AM18" s="224">
        <f>_xlfn.XLOOKUP(
$C18,
'在庫使用計画 (ノート全体試算)'!$C$1:$C$170,
'在庫使用計画 (ノート全体試算)'!AN$1:AN$170,
"")</f>
        <v>230</v>
      </c>
      <c r="AN18" s="237" t="str">
        <f>_xlfn.XLOOKUP(
$C18,
'在庫使用計画 (ノート全体試算)'!$C$1:$C$170,
'在庫使用計画 (ノート全体試算)'!AO$1:AO$170,
"")</f>
        <v/>
      </c>
      <c r="AO18" s="237" t="str">
        <f>_xlfn.XLOOKUP(
$C18,
'在庫使用計画 (ノート全体試算)'!$C$1:$C$170,
'在庫使用計画 (ノート全体試算)'!AP$1:AP$170,
"")</f>
        <v/>
      </c>
      <c r="AP18" s="224" t="str">
        <f>_xlfn.XLOOKUP(
$C18,
'在庫使用計画 (ノート全体試算)'!$C$1:$C$170,
'在庫使用計画 (ノート全体試算)'!AQ$1:AQ$170,
"")</f>
        <v/>
      </c>
      <c r="AQ18" s="1050" t="str">
        <f>_xlfn.XLOOKUP(
$C18,
'在庫使用計画 (ノート全体試算)'!$C$1:$C$170,
'在庫使用計画 (ノート全体試算)'!AR$1:AR$170,
"")</f>
        <v/>
      </c>
      <c r="AR18" s="2130" t="str">
        <f>_xlfn.XLOOKUP(
$C18,
'在庫使用計画 (ノート全体試算)'!$C$1:$C$170,
'在庫使用計画 (ノート全体試算)'!AS$1:AS$170,
"")</f>
        <v/>
      </c>
      <c r="AS18" s="244" t="str">
        <f>_xlfn.XLOOKUP(
$C18,
'在庫使用計画 (ノート全体試算)'!$C$1:$C$170,
'在庫使用計画 (ノート全体試算)'!AT$1:AT$170,
"")</f>
        <v/>
      </c>
      <c r="AT18" s="805" t="str">
        <f>_xlfn.XLOOKUP(
$C18,
'在庫使用計画 (ノート全体試算)'!$C$1:$C$170,
'在庫使用計画 (ノート全体試算)'!AU$1:AU$170,
"")</f>
        <v/>
      </c>
      <c r="AU18" s="804" t="str">
        <f>_xlfn.XLOOKUP(
$C18,
'在庫使用計画 (ノート全体試算)'!$C$1:$C$170,
'在庫使用計画 (ノート全体試算)'!AV$1:AV$170,
"")</f>
        <v/>
      </c>
      <c r="AV18" s="224" t="str">
        <f>_xlfn.XLOOKUP(
$C18,
'在庫使用計画 (ノート全体試算)'!$C$1:$C$170,
'在庫使用計画 (ノート全体試算)'!AW$1:AW$170,
"")</f>
        <v/>
      </c>
      <c r="AW18" s="224" t="str">
        <f>_xlfn.XLOOKUP(
$C18,
'在庫使用計画 (ノート全体試算)'!$C$1:$C$170,
'在庫使用計画 (ノート全体試算)'!AX$1:AX$170,
"")</f>
        <v/>
      </c>
      <c r="AX18" s="224" t="str">
        <f>_xlfn.XLOOKUP(
$C18,
'在庫使用計画 (ノート全体試算)'!$C$1:$C$170,
'在庫使用計画 (ノート全体試算)'!AY$1:AY$170,
"")</f>
        <v/>
      </c>
      <c r="AY18" s="224" t="str">
        <f>_xlfn.XLOOKUP(
$C18,
'在庫使用計画 (ノート全体試算)'!$C$1:$C$170,
'在庫使用計画 (ノート全体試算)'!AZ$1:AZ$170,
"")</f>
        <v/>
      </c>
      <c r="AZ18" s="224" t="str">
        <f>_xlfn.XLOOKUP(
$C18,
'在庫使用計画 (ノート全体試算)'!$C$1:$C$170,
'在庫使用計画 (ノート全体試算)'!BA$1:BA$170,
"")</f>
        <v/>
      </c>
      <c r="BA18" s="224" t="str">
        <f>_xlfn.XLOOKUP(
$C18,
'在庫使用計画 (ノート全体試算)'!$C$1:$C$170,
'在庫使用計画 (ノート全体試算)'!BB$1:BB$170,
"")</f>
        <v/>
      </c>
      <c r="BB18" s="224" t="str">
        <f>_xlfn.XLOOKUP(
$C18,
'在庫使用計画 (ノート全体試算)'!$C$1:$C$170,
'在庫使用計画 (ノート全体試算)'!BC$1:BC$170,
"")</f>
        <v/>
      </c>
      <c r="BC18" s="224" t="str">
        <f>_xlfn.XLOOKUP(
$C18,
'在庫使用計画 (ノート全体試算)'!$C$1:$C$170,
'在庫使用計画 (ノート全体試算)'!BD$1:BD$170,
"")</f>
        <v/>
      </c>
      <c r="BD18" s="224" t="str">
        <f>_xlfn.XLOOKUP(
$C18,
'在庫使用計画 (ノート全体試算)'!$C$1:$C$170,
'在庫使用計画 (ノート全体試算)'!BE$1:BE$170,
"")</f>
        <v/>
      </c>
      <c r="BE18" s="224" t="str">
        <f>_xlfn.XLOOKUP(
$C18,
'在庫使用計画 (ノート全体試算)'!$C$1:$C$170,
'在庫使用計画 (ノート全体試算)'!BF$1:BF$170,
"")</f>
        <v/>
      </c>
      <c r="BF18" s="805" t="str">
        <f>_xlfn.XLOOKUP(
$C18,
'在庫使用計画 (ノート全体試算)'!$C$1:$C$170,
'在庫使用計画 (ノート全体試算)'!BG$1:BG$170,
"")</f>
        <v/>
      </c>
      <c r="BG18" s="2091" t="s">
        <v>2655</v>
      </c>
    </row>
    <row r="19" spans="1:59" ht="18.75" customHeight="1">
      <c r="A19" s="445"/>
      <c r="B19" s="26" t="str">
        <v>UNW-U-255HX-5060-L6</v>
      </c>
      <c r="C19" s="452" t="s">
        <v>1360</v>
      </c>
      <c r="D19" s="446" t="s">
        <v>1763</v>
      </c>
      <c r="E19" s="446"/>
      <c r="F19" s="447"/>
      <c r="G19" s="448">
        <v>5</v>
      </c>
      <c r="H19" s="448">
        <f ca="1">_xlfn.LET(_xlpm._今月から4ヶ月計画合計,
  SUM(
    OFFSET($A19,0,
      MATCH(
        EDATE(基準データ!$C$5,3),$A$1:$BE$1,1
      )-4,1,4)),
  IF($C19="","",_xlpm._今月から4ヶ月計画合計
)
)</f>
        <v>4.1438906925453987</v>
      </c>
      <c r="I19" s="463">
        <f t="shared" ref="I19" si="5">I18</f>
        <v>5</v>
      </c>
      <c r="J19" s="1116" cm="1">
        <f t="array" ref="J19">_xlfn.IFS($C19="","",
  $G19="","発売前？",
  $G19=0,"在庫なし",
  TRUE,
  IFERROR(
    _xlfn.LET(
      _xlpm._在庫注残,     $G19,
      _xlpm._しきい値,     _xlpm._在庫注残 * 0.75,
      _xlpm._見出し元,     $K$1:$BT$1,
      _xlpm._計画,         $K19:$BT19,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46296</v>
      </c>
      <c r="K19" s="448"/>
      <c r="L19" s="448"/>
      <c r="M19" s="448"/>
      <c r="N19" s="448"/>
      <c r="O19" s="448"/>
      <c r="P19" s="448"/>
      <c r="Q19" s="540"/>
      <c r="R19" s="900"/>
      <c r="S19" s="449"/>
      <c r="T19" s="449"/>
      <c r="U19" s="449"/>
      <c r="V19" s="450"/>
      <c r="W19" s="451" t="s">
        <v>21</v>
      </c>
      <c r="X19" s="451" t="s">
        <v>21</v>
      </c>
      <c r="Y19" s="451" t="s">
        <v>21</v>
      </c>
      <c r="Z19" s="453" t="s">
        <v>21</v>
      </c>
      <c r="AA19" s="453" t="s">
        <v>21</v>
      </c>
      <c r="AB19" s="449" t="s">
        <v>21</v>
      </c>
      <c r="AC19" s="899" t="s">
        <v>21</v>
      </c>
      <c r="AD19" s="1292" t="s">
        <v>21</v>
      </c>
      <c r="AE19" s="471">
        <v>2</v>
      </c>
      <c r="AF19" s="224">
        <v>15</v>
      </c>
      <c r="AG19" s="224">
        <v>18</v>
      </c>
      <c r="AH19" s="237">
        <v>9</v>
      </c>
      <c r="AI19" s="804">
        <v>24</v>
      </c>
      <c r="AJ19" s="224">
        <v>5</v>
      </c>
      <c r="AK19" s="224">
        <v>19</v>
      </c>
      <c r="AL19" s="224">
        <v>243</v>
      </c>
      <c r="AM19" s="224">
        <f>_xlfn.LET(_xlpm._全体実績予測,
  INDEX('在庫使用計画 (全体実績+予測）0701'!$A$1:$BD$195,
    MATCH($C19,'在庫使用計画 (全体実績+予測）0701'!$C$1:$C$195,0),
    MATCH(AM$1,'在庫使用計画 (全体実績+予測）0701'!$A$1:$BD$1,0)
),
  IFERROR(
    IF(_xlpm._全体実績予測=0,"",_xlpm._全体実績予測),
  "")
)</f>
        <v>346</v>
      </c>
      <c r="AN19" s="237">
        <f>_xlfn.LET(_xlpm._全体実績予測,
  INDEX('在庫使用計画 (全体実績+予測）0701'!$A$1:$BD$195,
    MATCH($C19,'在庫使用計画 (全体実績+予測）0701'!$C$1:$C$195,0),
    MATCH(AN$1,'在庫使用計画 (全体実績+予測）0701'!$A$1:$BD$1,0)
),
  IFERROR(
    IF(_xlpm._全体実績予測=0,"",_xlpm._全体実績予測),
  "")
)</f>
        <v>1.0714285714285714</v>
      </c>
      <c r="AO19" s="237">
        <f>_xlfn.LET(_xlpm._全体実績予測,
  INDEX('在庫使用計画 (全体実績+予測）0701'!$A$1:$BD$195,
    MATCH($C19,'在庫使用計画 (全体実績+予測）0701'!$C$1:$C$195,0),
    MATCH(AO$1,'在庫使用計画 (全体実績+予測）0701'!$A$1:$BD$1,0)
),
  IFERROR(
    IF(_xlpm._全体実績予測=0,"",_xlpm._全体実績予測),
  "")
)</f>
        <v>1.3590460539724545</v>
      </c>
      <c r="AP19" s="224">
        <f>_xlfn.LET(_xlpm._全体実績予測,
  INDEX('在庫使用計画 (全体実績+予測）0701'!$A$1:$BD$195,
    MATCH($C19,'在庫使用計画 (全体実績+予測）0701'!$C$1:$C$195,0),
    MATCH(AP$1,'在庫使用計画 (全体実績+予測）0701'!$A$1:$BD$1,0)
),
  IFERROR(
    IF(_xlpm._全体実績予測=0,"",_xlpm._全体実績予測),
  "")
)</f>
        <v>1.1107293246511079</v>
      </c>
      <c r="AQ19" s="1050">
        <f>_xlfn.LET(_xlpm._全体実績予測,
  INDEX('在庫使用計画 (全体実績+予測）0701'!$A$1:$BD$195,
    MATCH($C19,'在庫使用計画 (全体実績+予測）0701'!$C$1:$C$195,0),
    MATCH(AQ$1,'在庫使用計画 (全体実績+予測）0701'!$A$1:$BD$1,0)
),
  IFERROR(
    IF(_xlpm._全体実績予測=0,"",_xlpm._全体実績予測),
  "")
)</f>
        <v>0.89551952963873638</v>
      </c>
      <c r="AR19" s="2130">
        <f>_xlfn.LET(_xlpm._全体実績予測,
  INDEX('在庫使用計画 (全体実績+予測）0701'!$A$1:$BD$195,
    MATCH($C19,'在庫使用計画 (全体実績+予測）0701'!$C$1:$C$195,0),
    MATCH(AR$1,'在庫使用計画 (全体実績+予測）0701'!$A$1:$BD$1,0)
),
  IFERROR(
    IF(_xlpm._全体実績予測=0,"",_xlpm._全体実績予測),
  "")
)</f>
        <v>0.77859578428310028</v>
      </c>
      <c r="AS19" s="244">
        <f>_xlfn.LET(_xlpm._全体実績予測,
  INDEX('在庫使用計画 (全体実績+予測）0701'!$A$1:$BD$195,
    MATCH($C19,'在庫使用計画 (全体実績+予測）0701'!$C$1:$C$195,0),
    MATCH(AS$1,'在庫使用計画 (全体実績+予測）0701'!$A$1:$BD$1,0)
),
  IFERROR(
    IF(_xlpm._全体実績予測=0,"",_xlpm._全体実績予測),
  "")
)</f>
        <v>0.88485671352459705</v>
      </c>
      <c r="AT19" s="805">
        <f>_xlfn.LET(_xlpm._全体実績予測,
  INDEX('在庫使用計画 (全体実績+予測）0701'!$A$1:$BD$195,
    MATCH($C19,'在庫使用計画 (全体実績+予測）0701'!$C$1:$C$195,0),
    MATCH(AT$1,'在庫使用計画 (全体実績+予測）0701'!$A$1:$BD$1,0)
),
  IFERROR(
    IF(_xlpm._全体実績予測=0,"",_xlpm._全体実績予測),
  "")
)</f>
        <v>1.3912853159432028</v>
      </c>
      <c r="AU19" s="804">
        <f>_xlfn.LET(_xlpm._全体実績予測,
  INDEX('在庫使用計画 (全体実績+予測）0701'!$A$1:$BD$195,
    MATCH($C19,'在庫使用計画 (全体実績+予測）0701'!$C$1:$C$195,0),
    MATCH(AU$1,'在庫使用計画 (全体実績+予測）0701'!$A$1:$BD$1,0)
),
  IFERROR(
    IF(_xlpm._全体実績予測=0,"",_xlpm._全体実績予測),
  "")
)</f>
        <v>1.1633799660028734</v>
      </c>
      <c r="AV19" s="224">
        <f>_xlfn.LET(_xlpm._全体実績予測,
  INDEX('在庫使用計画 (全体実績+予測）0701'!$A$1:$BD$195,
    MATCH($C19,'在庫使用計画 (全体実績+予測）0701'!$C$1:$C$195,0),
    MATCH(AV$1,'在庫使用計画 (全体実績+予測）0701'!$A$1:$BD$1,0)
),
  IFERROR(
    IF(_xlpm._全体実績予測=0,"",_xlpm._全体実績予測),
  "")
)</f>
        <v>1.0472703490964932</v>
      </c>
      <c r="AW19" s="224">
        <f>_xlfn.LET(_xlpm._全体実績予測,
  INDEX('在庫使用計画 (全体実績+予測）0701'!$A$1:$BD$195,
    MATCH($C19,'在庫使用計画 (全体実績+予測）0701'!$C$1:$C$195,0),
    MATCH(AW$1,'在庫使用計画 (全体実績+予測）0701'!$A$1:$BD$1,0)
),
  IFERROR(
    IF(_xlpm._全体実績予測=0,"",_xlpm._全体実績予測),
  "")
)</f>
        <v>1.5068102385470596</v>
      </c>
      <c r="AX19" s="224">
        <f>_xlfn.LET(_xlpm._全体実績予測,
  INDEX('在庫使用計画 (全体実績+予測）0701'!$A$1:$BD$195,
    MATCH($C19,'在庫使用計画 (全体実績+予測）0701'!$C$1:$C$195,0),
    MATCH(AX$1,'在庫使用計画 (全体実績+予測）0701'!$A$1:$BD$1,0)
),
  IFERROR(
    IF(_xlpm._全体実績予測=0,"",_xlpm._全体実績予測),
  "")
)</f>
        <v>1.1598796983198316</v>
      </c>
      <c r="AY19" s="224">
        <f>_xlfn.LET(_xlpm._全体実績予測,
  INDEX('在庫使用計画 (全体実績+予測）0701'!$A$1:$BD$195,
    MATCH($C19,'在庫使用計画 (全体実績+予測）0701'!$C$1:$C$195,0),
    MATCH(AY$1,'在庫使用計画 (全体実績+予測）0701'!$A$1:$BD$1,0)
),
  IFERROR(
    IF(_xlpm._全体実績予測=0,"",_xlpm._全体実績予測),
  "")
)</f>
        <v>0.92595279314566592</v>
      </c>
      <c r="AZ19" s="224">
        <f>_xlfn.LET(_xlpm._全体実績予測,
  INDEX('在庫使用計画 (全体実績+予測）0701'!$A$1:$BD$195,
    MATCH($C19,'在庫使用計画 (全体実績+予測）0701'!$C$1:$C$195,0),
    MATCH(AZ$1,'在庫使用計画 (全体実績+予測）0701'!$A$1:$BD$1,0)
),
  IFERROR(
    IF(_xlpm._全体実績予測=0,"",_xlpm._全体実績予測),
  "")
)</f>
        <v>1.0714285714285714</v>
      </c>
      <c r="BA19" s="224">
        <f>_xlfn.LET(_xlpm._全体実績予測,
  INDEX('在庫使用計画 (全体実績+予測）0701'!$A$1:$BD$195,
    MATCH($C19,'在庫使用計画 (全体実績+予測）0701'!$C$1:$C$195,0),
    MATCH(BA$1,'在庫使用計画 (全体実績+予測）0701'!$A$1:$BD$1,0)
),
  IFERROR(
    IF(_xlpm._全体実績予測=0,"",_xlpm._全体実績予測),
  "")
)</f>
        <v>1.3590460539724545</v>
      </c>
      <c r="BB19" s="224">
        <f>_xlfn.LET(_xlpm._全体実績予測,
  INDEX('在庫使用計画 (全体実績+予測）0701'!$A$1:$BD$195,
    MATCH($C19,'在庫使用計画 (全体実績+予測）0701'!$C$1:$C$195,0),
    MATCH(BB$1,'在庫使用計画 (全体実績+予測）0701'!$A$1:$BD$1,0)
),
  IFERROR(
    IF(_xlpm._全体実績予測=0,"",_xlpm._全体実績予測),
  "")
)</f>
        <v>1.1107293246511079</v>
      </c>
      <c r="BC19" s="224">
        <f>_xlfn.LET(_xlpm._全体実績予測,
  INDEX('在庫使用計画 (全体実績+予測）0701'!$A$1:$BD$195,
    MATCH($C19,'在庫使用計画 (全体実績+予測）0701'!$C$1:$C$195,0),
    MATCH(BC$1,'在庫使用計画 (全体実績+予測）0701'!$A$1:$BD$1,0)
),
  IFERROR(
    IF(_xlpm._全体実績予測=0,"",_xlpm._全体実績予測),
  "")
)</f>
        <v>0.89551952963873638</v>
      </c>
      <c r="BD19" s="224">
        <f>_xlfn.LET(_xlpm._全体実績予測,
  INDEX('在庫使用計画 (全体実績+予測）0701'!$A$1:$BD$195,
    MATCH($C19,'在庫使用計画 (全体実績+予測）0701'!$C$1:$C$195,0),
    MATCH(BD$1,'在庫使用計画 (全体実績+予測）0701'!$A$1:$BD$1,0)
),
  IFERROR(
    IF(_xlpm._全体実績予測=0,"",_xlpm._全体実績予測),
  "")
)</f>
        <v>0.77859578428310028</v>
      </c>
      <c r="BE19" s="224">
        <f>_xlfn.LET(_xlpm._全体実績予測,
  INDEX('在庫使用計画 (全体実績+予測）0701'!$A$1:$BD$195,
    MATCH($C19,'在庫使用計画 (全体実績+予測）0701'!$C$1:$C$195,0),
    MATCH(BE$1,'在庫使用計画 (全体実績+予測）0701'!$A$1:$BD$1,0)
),
  IFERROR(
    IF(_xlpm._全体実績予測=0,"",_xlpm._全体実績予測),
  "")
)</f>
        <v>0.88485671352459705</v>
      </c>
      <c r="BF19" s="805">
        <f>_xlfn.LET(_xlpm._全体実績予測,
  INDEX('在庫使用計画 (全体実績+予測）0701'!$A$1:$BD$195,
    MATCH($C19,'在庫使用計画 (全体実績+予測）0701'!$C$1:$C$195,0),
    MATCH(BF$1,'在庫使用計画 (全体実績+予測）0701'!$A$1:$BD$1,0)
),
  IFERROR(
    IF(_xlpm._全体実績予測=0,"",_xlpm._全体実績予測),
  "")
)</f>
        <v>1.3912853159432028</v>
      </c>
    </row>
    <row r="20" spans="1:59" ht="18.75" customHeight="1">
      <c r="A20" s="33"/>
      <c r="B20" s="26" t="str">
        <v/>
      </c>
      <c r="C20" s="26"/>
      <c r="D20" s="26"/>
      <c r="E20" s="26"/>
      <c r="F20" s="26"/>
      <c r="G20" s="43" t="str">
        <v/>
      </c>
      <c r="H20" s="38" t="str">
        <f ca="1">_xlfn.LET(_xlpm._今月から4ヶ月計画合計,
  SUM(
    OFFSET($A20,0,
      MATCH(
        EDATE(基準データ!$C$5,3),$A$1:$BE$1,1
      )-4,1,4)),
  IF($C20="","",_xlpm._今月から4ヶ月計画合計
)
)</f>
        <v/>
      </c>
      <c r="I20" s="43"/>
      <c r="J20" s="1116" t="str" cm="1">
        <f t="array" ref="J20">_xlfn.IFS($C20="","",
  $G20="","発売前？",
  $G20=0,"在庫なし",
  TRUE,
  IFERROR(
    _xlfn.LET(
      _xlpm._在庫注残,     $G20,
      _xlpm._しきい値,     _xlpm._在庫注残 * 0.75,
      _xlpm._見出し元,     $K$1:$BT$1,
      _xlpm._計画,         $K20:$BT20,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
      </c>
      <c r="K20" s="38"/>
      <c r="L20" s="38"/>
      <c r="M20" s="38"/>
      <c r="N20" s="38"/>
      <c r="O20" s="38"/>
      <c r="P20" s="38"/>
      <c r="Q20" s="116"/>
      <c r="R20" s="1350"/>
      <c r="S20" s="219"/>
      <c r="T20" s="219"/>
      <c r="U20" s="219"/>
      <c r="V20" s="219"/>
      <c r="W20" s="224"/>
      <c r="X20" s="224"/>
      <c r="Y20" s="224"/>
      <c r="Z20" s="237"/>
      <c r="AA20" s="224"/>
      <c r="AB20" s="224" t="s">
        <v>21</v>
      </c>
      <c r="AC20" s="805" t="s">
        <v>21</v>
      </c>
      <c r="AD20" s="244" t="s">
        <v>21</v>
      </c>
      <c r="AE20" s="224" t="s">
        <v>21</v>
      </c>
      <c r="AF20" s="224" t="s">
        <v>21</v>
      </c>
      <c r="AG20" s="224" t="s">
        <v>21</v>
      </c>
      <c r="AH20" s="237" t="s">
        <v>21</v>
      </c>
      <c r="AI20" s="804" t="s">
        <v>21</v>
      </c>
      <c r="AJ20" s="224" t="s">
        <v>21</v>
      </c>
      <c r="AK20" s="224" t="s">
        <v>21</v>
      </c>
      <c r="AL20" s="224" t="s">
        <v>21</v>
      </c>
      <c r="AM20" s="224" t="str">
        <f>IFERROR(IF(SUM(INDEX('在庫使用計画 (一般)'!$A$1:$BF$557,MATCH($C20,'在庫使用計画 (一般)'!$C$1:$C$557,0),MATCH(AM$1,'在庫使用計画 (一般)'!$A$1:$BF$1,0)),INDEX('在庫使用計画 (法人)'!$A$1:$AT$578,MATCH($C20,'在庫使用計画 (法人)'!$C$1:$C$578,0),MATCH(AM$1,'在庫使用計画 (法人)'!$A$1:$AT$1,0)))=0,"",SUM(INDEX('在庫使用計画 (一般)'!$A$1:$BF$557,MATCH($C20,'在庫使用計画 (一般)'!$C$1:$C$557,0),MATCH(AM$1,'在庫使用計画 (一般)'!$A$1:$BF$1,0)),INDEX('在庫使用計画 (法人)'!$A$1:$AT$578,MATCH($C20,'在庫使用計画 (法人)'!$C$1:$C$578,0),MATCH(AM$1,'在庫使用計画 (法人)'!$A$1:$AT$1,0)))),"")</f>
        <v/>
      </c>
      <c r="AN20" s="237" t="str">
        <f>IFERROR(IF(SUM(INDEX('在庫使用計画 (一般)'!$A$1:$BF$557,MATCH($C20,'在庫使用計画 (一般)'!$C$1:$C$557,0),MATCH(AN$1,'在庫使用計画 (一般)'!$A$1:$BF$1,0)),INDEX('在庫使用計画 (法人)'!$A$1:$AT$578,MATCH($C20,'在庫使用計画 (法人)'!$C$1:$C$578,0),MATCH(AN$1,'在庫使用計画 (法人)'!$A$1:$AT$1,0)))=0,"",SUM(INDEX('在庫使用計画 (一般)'!$A$1:$BF$557,MATCH($C20,'在庫使用計画 (一般)'!$C$1:$C$557,0),MATCH(AN$1,'在庫使用計画 (一般)'!$A$1:$BF$1,0)),INDEX('在庫使用計画 (法人)'!$A$1:$AT$578,MATCH($C20,'在庫使用計画 (法人)'!$C$1:$C$578,0),MATCH(AN$1,'在庫使用計画 (法人)'!$A$1:$AT$1,0)))),"")</f>
        <v/>
      </c>
      <c r="AO20" s="237" t="str">
        <f>IFERROR(IF(SUM(INDEX('在庫使用計画 (一般)'!$A$1:$BF$557,MATCH($C20,'在庫使用計画 (一般)'!$C$1:$C$557,0),MATCH(AO$1,'在庫使用計画 (一般)'!$A$1:$BF$1,0)),INDEX('在庫使用計画 (法人)'!$A$1:$AT$578,MATCH($C20,'在庫使用計画 (法人)'!$C$1:$C$578,0),MATCH(AO$1,'在庫使用計画 (法人)'!$A$1:$AT$1,0)))=0,"",SUM(INDEX('在庫使用計画 (一般)'!$A$1:$BF$557,MATCH($C20,'在庫使用計画 (一般)'!$C$1:$C$557,0),MATCH(AO$1,'在庫使用計画 (一般)'!$A$1:$BF$1,0)),INDEX('在庫使用計画 (法人)'!$A$1:$AT$578,MATCH($C20,'在庫使用計画 (法人)'!$C$1:$C$578,0),MATCH(AO$1,'在庫使用計画 (法人)'!$A$1:$AT$1,0)))),"")</f>
        <v/>
      </c>
      <c r="AP20" s="224" t="str">
        <f>IFERROR(IF(SUM(INDEX('在庫使用計画 (一般)'!$A$1:$BF$557,MATCH($C20,'在庫使用計画 (一般)'!$C$1:$C$557,0),MATCH(AP$1,'在庫使用計画 (一般)'!$A$1:$BF$1,0)),INDEX('在庫使用計画 (法人)'!$A$1:$AT$578,MATCH($C20,'在庫使用計画 (法人)'!$C$1:$C$578,0),MATCH(AP$1,'在庫使用計画 (法人)'!$A$1:$AT$1,0)))=0,"",SUM(INDEX('在庫使用計画 (一般)'!$A$1:$BF$557,MATCH($C20,'在庫使用計画 (一般)'!$C$1:$C$557,0),MATCH(AP$1,'在庫使用計画 (一般)'!$A$1:$BF$1,0)),INDEX('在庫使用計画 (法人)'!$A$1:$AT$578,MATCH($C20,'在庫使用計画 (法人)'!$C$1:$C$578,0),MATCH(AP$1,'在庫使用計画 (法人)'!$A$1:$AT$1,0)))),"")</f>
        <v/>
      </c>
      <c r="AQ20" s="1050" t="str">
        <f>IFERROR(IF(SUM(INDEX('在庫使用計画 (一般)'!$A$1:$BF$557,MATCH($C20,'在庫使用計画 (一般)'!$C$1:$C$557,0),MATCH(AQ$1,'在庫使用計画 (一般)'!$A$1:$BF$1,0)),INDEX('在庫使用計画 (法人)'!$A$1:$AT$578,MATCH($C20,'在庫使用計画 (法人)'!$C$1:$C$578,0),MATCH(AQ$1,'在庫使用計画 (法人)'!$A$1:$AT$1,0)))=0,"",SUM(INDEX('在庫使用計画 (一般)'!$A$1:$BF$557,MATCH($C20,'在庫使用計画 (一般)'!$C$1:$C$557,0),MATCH(AQ$1,'在庫使用計画 (一般)'!$A$1:$BF$1,0)),INDEX('在庫使用計画 (法人)'!$A$1:$AT$578,MATCH($C20,'在庫使用計画 (法人)'!$C$1:$C$578,0),MATCH(AQ$1,'在庫使用計画 (法人)'!$A$1:$AT$1,0)))),"")</f>
        <v/>
      </c>
      <c r="AR20" s="2130" t="str">
        <f>IFERROR(IF(SUM(INDEX('在庫使用計画 (一般)'!$A$1:$BF$557,MATCH($C20,'在庫使用計画 (一般)'!$C$1:$C$557,0),MATCH(AR$1,'在庫使用計画 (一般)'!$A$1:$BF$1,0)),INDEX('在庫使用計画 (法人)'!$A$1:$AT$578,MATCH($C20,'在庫使用計画 (法人)'!$C$1:$C$578,0),MATCH(AR$1,'在庫使用計画 (法人)'!$A$1:$AT$1,0)))=0,"",SUM(INDEX('在庫使用計画 (一般)'!$A$1:$BF$557,MATCH($C20,'在庫使用計画 (一般)'!$C$1:$C$557,0),MATCH(AR$1,'在庫使用計画 (一般)'!$A$1:$BF$1,0)),INDEX('在庫使用計画 (法人)'!$A$1:$AT$578,MATCH($C20,'在庫使用計画 (法人)'!$C$1:$C$578,0),MATCH(AR$1,'在庫使用計画 (法人)'!$A$1:$AT$1,0)))),"")</f>
        <v/>
      </c>
      <c r="AS20" s="244" t="str">
        <f>IFERROR(IF(SUM(INDEX('在庫使用計画 (一般)'!$A$1:$BF$557,MATCH($C20,'在庫使用計画 (一般)'!$C$1:$C$557,0),MATCH(AS$1,'在庫使用計画 (一般)'!$A$1:$BF$1,0)),INDEX('在庫使用計画 (法人)'!$A$1:$AT$578,MATCH($C20,'在庫使用計画 (法人)'!$C$1:$C$578,0),MATCH(AS$1,'在庫使用計画 (法人)'!$A$1:$AT$1,0)))=0,"",SUM(INDEX('在庫使用計画 (一般)'!$A$1:$BF$557,MATCH($C20,'在庫使用計画 (一般)'!$C$1:$C$557,0),MATCH(AS$1,'在庫使用計画 (一般)'!$A$1:$BF$1,0)),INDEX('在庫使用計画 (法人)'!$A$1:$AT$578,MATCH($C20,'在庫使用計画 (法人)'!$C$1:$C$578,0),MATCH(AS$1,'在庫使用計画 (法人)'!$A$1:$AT$1,0)))),"")</f>
        <v/>
      </c>
      <c r="AT20" s="805" t="str">
        <f>IFERROR(IF(SUM(INDEX('在庫使用計画 (一般)'!$A$1:$BF$557,MATCH($C20,'在庫使用計画 (一般)'!$C$1:$C$557,0),MATCH(AT$1,'在庫使用計画 (一般)'!$A$1:$BF$1,0)),INDEX('在庫使用計画 (法人)'!$A$1:$AT$578,MATCH($C20,'在庫使用計画 (法人)'!$C$1:$C$578,0),MATCH(AT$1,'在庫使用計画 (法人)'!$A$1:$AT$1,0)))=0,"",SUM(INDEX('在庫使用計画 (一般)'!$A$1:$BF$557,MATCH($C20,'在庫使用計画 (一般)'!$C$1:$C$557,0),MATCH(AT$1,'在庫使用計画 (一般)'!$A$1:$BF$1,0)),INDEX('在庫使用計画 (法人)'!$A$1:$AT$578,MATCH($C20,'在庫使用計画 (法人)'!$C$1:$C$578,0),MATCH(AT$1,'在庫使用計画 (法人)'!$A$1:$AT$1,0)))),"")</f>
        <v/>
      </c>
      <c r="AU20" s="804" t="str">
        <f>IFERROR(IF(SUM(INDEX('在庫使用計画 (一般)'!$A$1:$BF$557,MATCH($C20,'在庫使用計画 (一般)'!$C$1:$C$557,0),MATCH(AU$1,'在庫使用計画 (一般)'!$A$1:$BF$1,0)),INDEX('在庫使用計画 (法人)'!$A$1:$AT$578,MATCH($C20,'在庫使用計画 (法人)'!$C$1:$C$578,0),MATCH(AU$1,'在庫使用計画 (法人)'!$A$1:$AT$1,0)))=0,"",SUM(INDEX('在庫使用計画 (一般)'!$A$1:$BF$557,MATCH($C20,'在庫使用計画 (一般)'!$C$1:$C$557,0),MATCH(AU$1,'在庫使用計画 (一般)'!$A$1:$BF$1,0)),INDEX('在庫使用計画 (法人)'!$A$1:$AT$578,MATCH($C20,'在庫使用計画 (法人)'!$C$1:$C$578,0),MATCH(AU$1,'在庫使用計画 (法人)'!$A$1:$AT$1,0)))),"")</f>
        <v/>
      </c>
      <c r="AV20" s="224" t="str">
        <f>IFERROR(IF(SUM(INDEX('在庫使用計画 (一般)'!$A$1:$BF$557,MATCH($C20,'在庫使用計画 (一般)'!$C$1:$C$557,0),MATCH(AV$1,'在庫使用計画 (一般)'!$A$1:$BF$1,0)),INDEX('在庫使用計画 (法人)'!$A$1:$AT$578,MATCH($C20,'在庫使用計画 (法人)'!$C$1:$C$578,0),MATCH(AV$1,'在庫使用計画 (法人)'!$A$1:$AT$1,0)))=0,"",SUM(INDEX('在庫使用計画 (一般)'!$A$1:$BF$557,MATCH($C20,'在庫使用計画 (一般)'!$C$1:$C$557,0),MATCH(AV$1,'在庫使用計画 (一般)'!$A$1:$BF$1,0)),INDEX('在庫使用計画 (法人)'!$A$1:$AT$578,MATCH($C20,'在庫使用計画 (法人)'!$C$1:$C$578,0),MATCH(AV$1,'在庫使用計画 (法人)'!$A$1:$AT$1,0)))),"")</f>
        <v/>
      </c>
      <c r="AW20" s="224" t="str">
        <f>IFERROR(IF(SUM(INDEX('在庫使用計画 (一般)'!$A$1:$BF$557,MATCH($C20,'在庫使用計画 (一般)'!$C$1:$C$557,0),MATCH(AW$1,'在庫使用計画 (一般)'!$A$1:$BF$1,0)),INDEX('在庫使用計画 (法人)'!$A$1:$AT$578,MATCH($C20,'在庫使用計画 (法人)'!$C$1:$C$578,0),MATCH(AW$1,'在庫使用計画 (法人)'!$A$1:$AT$1,0)))=0,"",SUM(INDEX('在庫使用計画 (一般)'!$A$1:$BF$557,MATCH($C20,'在庫使用計画 (一般)'!$C$1:$C$557,0),MATCH(AW$1,'在庫使用計画 (一般)'!$A$1:$BF$1,0)),INDEX('在庫使用計画 (法人)'!$A$1:$AT$578,MATCH($C20,'在庫使用計画 (法人)'!$C$1:$C$578,0),MATCH(AW$1,'在庫使用計画 (法人)'!$A$1:$AT$1,0)))),"")</f>
        <v/>
      </c>
      <c r="AX20" s="224" t="str">
        <f>IFERROR(IF(SUM(INDEX('在庫使用計画 (一般)'!$A$1:$BF$557,MATCH($C20,'在庫使用計画 (一般)'!$C$1:$C$557,0),MATCH(AX$1,'在庫使用計画 (一般)'!$A$1:$BF$1,0)),INDEX('在庫使用計画 (法人)'!$A$1:$AT$578,MATCH($C20,'在庫使用計画 (法人)'!$C$1:$C$578,0),MATCH(AX$1,'在庫使用計画 (法人)'!$A$1:$AT$1,0)))=0,"",SUM(INDEX('在庫使用計画 (一般)'!$A$1:$BF$557,MATCH($C20,'在庫使用計画 (一般)'!$C$1:$C$557,0),MATCH(AX$1,'在庫使用計画 (一般)'!$A$1:$BF$1,0)),INDEX('在庫使用計画 (法人)'!$A$1:$AT$578,MATCH($C20,'在庫使用計画 (法人)'!$C$1:$C$578,0),MATCH(AX$1,'在庫使用計画 (法人)'!$A$1:$AT$1,0)))),"")</f>
        <v/>
      </c>
      <c r="AY20" s="224" t="str">
        <f>IFERROR(IF(SUM(INDEX('在庫使用計画 (一般)'!$A$1:$BF$557,MATCH($C20,'在庫使用計画 (一般)'!$C$1:$C$557,0),MATCH(AY$1,'在庫使用計画 (一般)'!$A$1:$BF$1,0)),INDEX('在庫使用計画 (法人)'!$A$1:$AT$578,MATCH($C20,'在庫使用計画 (法人)'!$C$1:$C$578,0),MATCH(AY$1,'在庫使用計画 (法人)'!$A$1:$AT$1,0)))=0,"",SUM(INDEX('在庫使用計画 (一般)'!$A$1:$BF$557,MATCH($C20,'在庫使用計画 (一般)'!$C$1:$C$557,0),MATCH(AY$1,'在庫使用計画 (一般)'!$A$1:$BF$1,0)),INDEX('在庫使用計画 (法人)'!$A$1:$AT$578,MATCH($C20,'在庫使用計画 (法人)'!$C$1:$C$578,0),MATCH(AY$1,'在庫使用計画 (法人)'!$A$1:$AT$1,0)))),"")</f>
        <v/>
      </c>
      <c r="AZ20" s="224" t="str">
        <f>IFERROR(IF(SUM(INDEX('在庫使用計画 (一般)'!$A$1:$BF$557,MATCH($C20,'在庫使用計画 (一般)'!$C$1:$C$557,0),MATCH(AZ$1,'在庫使用計画 (一般)'!$A$1:$BF$1,0)),INDEX('在庫使用計画 (法人)'!$A$1:$AT$578,MATCH($C20,'在庫使用計画 (法人)'!$C$1:$C$578,0),MATCH(AZ$1,'在庫使用計画 (法人)'!$A$1:$AT$1,0)))=0,"",SUM(INDEX('在庫使用計画 (一般)'!$A$1:$BF$557,MATCH($C20,'在庫使用計画 (一般)'!$C$1:$C$557,0),MATCH(AZ$1,'在庫使用計画 (一般)'!$A$1:$BF$1,0)),INDEX('在庫使用計画 (法人)'!$A$1:$AT$578,MATCH($C20,'在庫使用計画 (法人)'!$C$1:$C$578,0),MATCH(AZ$1,'在庫使用計画 (法人)'!$A$1:$AT$1,0)))),"")</f>
        <v/>
      </c>
      <c r="BA20" s="224" t="str">
        <f>IFERROR(IF(SUM(INDEX('在庫使用計画 (一般)'!$A$1:$BF$557,MATCH($C20,'在庫使用計画 (一般)'!$C$1:$C$557,0),MATCH(BA$1,'在庫使用計画 (一般)'!$A$1:$BF$1,0)),INDEX('在庫使用計画 (法人)'!$A$1:$AT$578,MATCH($C20,'在庫使用計画 (法人)'!$C$1:$C$578,0),MATCH(BA$1,'在庫使用計画 (法人)'!$A$1:$AT$1,0)))=0,"",SUM(INDEX('在庫使用計画 (一般)'!$A$1:$BF$557,MATCH($C20,'在庫使用計画 (一般)'!$C$1:$C$557,0),MATCH(BA$1,'在庫使用計画 (一般)'!$A$1:$BF$1,0)),INDEX('在庫使用計画 (法人)'!$A$1:$AT$578,MATCH($C20,'在庫使用計画 (法人)'!$C$1:$C$578,0),MATCH(BA$1,'在庫使用計画 (法人)'!$A$1:$AT$1,0)))),"")</f>
        <v/>
      </c>
      <c r="BB20" s="224" t="str">
        <f>IFERROR(IF(SUM(INDEX('在庫使用計画 (一般)'!$A$1:$BF$557,MATCH($C20,'在庫使用計画 (一般)'!$C$1:$C$557,0),MATCH(BB$1,'在庫使用計画 (一般)'!$A$1:$BF$1,0)),INDEX('在庫使用計画 (法人)'!$A$1:$AT$578,MATCH($C20,'在庫使用計画 (法人)'!$C$1:$C$578,0),MATCH(BB$1,'在庫使用計画 (法人)'!$A$1:$AT$1,0)))=0,"",SUM(INDEX('在庫使用計画 (一般)'!$A$1:$BF$557,MATCH($C20,'在庫使用計画 (一般)'!$C$1:$C$557,0),MATCH(BB$1,'在庫使用計画 (一般)'!$A$1:$BF$1,0)),INDEX('在庫使用計画 (法人)'!$A$1:$AT$578,MATCH($C20,'在庫使用計画 (法人)'!$C$1:$C$578,0),MATCH(BB$1,'在庫使用計画 (法人)'!$A$1:$AT$1,0)))),"")</f>
        <v/>
      </c>
      <c r="BC20" s="224" t="str">
        <f>IFERROR(IF(SUM(INDEX('在庫使用計画 (一般)'!$A$1:$BF$557,MATCH($C20,'在庫使用計画 (一般)'!$C$1:$C$557,0),MATCH(BC$1,'在庫使用計画 (一般)'!$A$1:$BF$1,0)),INDEX('在庫使用計画 (法人)'!$A$1:$AT$578,MATCH($C20,'在庫使用計画 (法人)'!$C$1:$C$578,0),MATCH(BC$1,'在庫使用計画 (法人)'!$A$1:$AT$1,0)))=0,"",SUM(INDEX('在庫使用計画 (一般)'!$A$1:$BF$557,MATCH($C20,'在庫使用計画 (一般)'!$C$1:$C$557,0),MATCH(BC$1,'在庫使用計画 (一般)'!$A$1:$BF$1,0)),INDEX('在庫使用計画 (法人)'!$A$1:$AT$578,MATCH($C20,'在庫使用計画 (法人)'!$C$1:$C$578,0),MATCH(BC$1,'在庫使用計画 (法人)'!$A$1:$AT$1,0)))),"")</f>
        <v/>
      </c>
      <c r="BD20" s="224" t="str">
        <f>IFERROR(IF(SUM(INDEX('在庫使用計画 (一般)'!$A$1:$BF$557,MATCH($C20,'在庫使用計画 (一般)'!$C$1:$C$557,0),MATCH(BD$1,'在庫使用計画 (一般)'!$A$1:$BF$1,0)),INDEX('在庫使用計画 (法人)'!$A$1:$AT$578,MATCH($C20,'在庫使用計画 (法人)'!$C$1:$C$578,0),MATCH(BD$1,'在庫使用計画 (法人)'!$A$1:$AT$1,0)))=0,"",SUM(INDEX('在庫使用計画 (一般)'!$A$1:$BF$557,MATCH($C20,'在庫使用計画 (一般)'!$C$1:$C$557,0),MATCH(BD$1,'在庫使用計画 (一般)'!$A$1:$BF$1,0)),INDEX('在庫使用計画 (法人)'!$A$1:$AT$578,MATCH($C20,'在庫使用計画 (法人)'!$C$1:$C$578,0),MATCH(BD$1,'在庫使用計画 (法人)'!$A$1:$AT$1,0)))),"")</f>
        <v/>
      </c>
      <c r="BE20" s="224" t="str">
        <f>IFERROR(IF(SUM(INDEX('在庫使用計画 (一般)'!$A$1:$BF$557,MATCH($C20,'在庫使用計画 (一般)'!$C$1:$C$557,0),MATCH(BE$1,'在庫使用計画 (一般)'!$A$1:$BF$1,0)),INDEX('在庫使用計画 (法人)'!$A$1:$AT$578,MATCH($C20,'在庫使用計画 (法人)'!$C$1:$C$578,0),MATCH(BE$1,'在庫使用計画 (法人)'!$A$1:$AT$1,0)))=0,"",SUM(INDEX('在庫使用計画 (一般)'!$A$1:$BF$557,MATCH($C20,'在庫使用計画 (一般)'!$C$1:$C$557,0),MATCH(BE$1,'在庫使用計画 (一般)'!$A$1:$BF$1,0)),INDEX('在庫使用計画 (法人)'!$A$1:$AT$578,MATCH($C20,'在庫使用計画 (法人)'!$C$1:$C$578,0),MATCH(BE$1,'在庫使用計画 (法人)'!$A$1:$AT$1,0)))),"")</f>
        <v/>
      </c>
      <c r="BF20" s="805" t="str">
        <f>IFERROR(IF(SUM(INDEX('在庫使用計画 (一般)'!$A$1:$BF$557,MATCH($C20,'在庫使用計画 (一般)'!$C$1:$C$557,0),MATCH(BF$1,'在庫使用計画 (一般)'!$A$1:$BF$1,0)),INDEX('在庫使用計画 (法人)'!$A$1:$AT$578,MATCH($C20,'在庫使用計画 (法人)'!$C$1:$C$578,0),MATCH(BF$1,'在庫使用計画 (法人)'!$A$1:$AT$1,0)))=0,"",SUM(INDEX('在庫使用計画 (一般)'!$A$1:$BF$557,MATCH($C20,'在庫使用計画 (一般)'!$C$1:$C$557,0),MATCH(BF$1,'在庫使用計画 (一般)'!$A$1:$BF$1,0)),INDEX('在庫使用計画 (法人)'!$A$1:$AT$578,MATCH($C20,'在庫使用計画 (法人)'!$C$1:$C$578,0),MATCH(BF$1,'在庫使用計画 (法人)'!$A$1:$AT$1,0)))),"")</f>
        <v/>
      </c>
    </row>
    <row r="21" spans="1:59" hidden="1" outlineLevel="1">
      <c r="A21" s="33" t="s">
        <v>1770</v>
      </c>
      <c r="B21" s="934" t="str">
        <v>UNW-2-14650HX-5070-L6-DDR5-15.3</v>
      </c>
      <c r="C21" s="26" t="s">
        <v>394</v>
      </c>
      <c r="D21" s="26" t="s">
        <v>1768</v>
      </c>
      <c r="E21" s="26">
        <v>5090</v>
      </c>
      <c r="F21" s="24" t="s">
        <v>1347</v>
      </c>
      <c r="G21" s="38">
        <v>0</v>
      </c>
      <c r="H21" s="38">
        <f ca="1">_xlfn.LET(_xlpm._今月から4ヶ月計画合計,
  SUM(
    OFFSET($A21,0,
      MATCH(
        EDATE(基準データ!$C$5,3),$A$1:$BE$1,1
      )-4,1,4)),
  IF($C21="","",_xlpm._今月から4ヶ月計画合計
)
)</f>
        <v>0</v>
      </c>
      <c r="I21" s="38">
        <f>SUMIFS(マスタ_EOLリスト[在庫],マスタ_EOLリスト[製品型番],'在庫使用計画 (計画　予測)'!$C:$C)</f>
        <v>0</v>
      </c>
      <c r="J21" s="1116" t="str" cm="1">
        <f t="array" ref="J21">_xlfn.IFS($C21="","",
  $G21="","発売前？",
  $G21=0,"在庫なし",
  TRUE,
  IFERROR(
    _xlfn.LET(
      _xlpm._在庫注残,     $G21,
      _xlpm._しきい値,     _xlpm._在庫注残 * 0.75,
      _xlpm._見出し元,     $K$1:$BT$1,
      _xlpm._計画,         $K21:$BT21,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在庫なし</v>
      </c>
      <c r="K21" s="38"/>
      <c r="L21" s="38"/>
      <c r="M21" s="38"/>
      <c r="N21" s="38"/>
      <c r="O21" s="38"/>
      <c r="P21" s="38"/>
      <c r="Q21" s="116"/>
      <c r="R21" s="1350"/>
      <c r="S21" s="219"/>
      <c r="T21" s="219"/>
      <c r="U21" s="219"/>
      <c r="V21" s="219"/>
      <c r="W21" s="224"/>
      <c r="X21" s="224"/>
      <c r="Y21" s="223"/>
      <c r="Z21" s="241"/>
      <c r="AA21" s="224"/>
      <c r="AB21" s="224"/>
      <c r="AC21" s="805"/>
      <c r="AD21" s="244"/>
      <c r="AE21" s="224"/>
      <c r="AF21" s="224"/>
      <c r="AG21" s="224"/>
      <c r="AH21" s="237"/>
      <c r="AI21" s="804" t="s">
        <v>21</v>
      </c>
      <c r="AJ21" s="224" t="s">
        <v>21</v>
      </c>
      <c r="AK21" s="224" t="s">
        <v>21</v>
      </c>
      <c r="AL21" s="224" t="s">
        <v>21</v>
      </c>
      <c r="AM21" s="224" t="str">
        <f>_xlfn.XLOOKUP(
$C21,
'在庫使用計画 (ノート全体試算)'!$C$1:$C$170,
'在庫使用計画 (ノート全体試算)'!AN$1:AN$170,
"")</f>
        <v/>
      </c>
      <c r="AN21" s="237" t="str">
        <f>_xlfn.XLOOKUP(
$C21,
'在庫使用計画 (ノート全体試算)'!$C$1:$C$170,
'在庫使用計画 (ノート全体試算)'!AO$1:AO$170,
"")</f>
        <v/>
      </c>
      <c r="AO21" s="237" t="str">
        <f>_xlfn.XLOOKUP(
$C21,
'在庫使用計画 (ノート全体試算)'!$C$1:$C$170,
'在庫使用計画 (ノート全体試算)'!AP$1:AP$170,
"")</f>
        <v/>
      </c>
      <c r="AP21" s="224" t="str">
        <f>_xlfn.XLOOKUP(
$C21,
'在庫使用計画 (ノート全体試算)'!$C$1:$C$170,
'在庫使用計画 (ノート全体試算)'!AQ$1:AQ$170,
"")</f>
        <v/>
      </c>
      <c r="AQ21" s="1050" t="str">
        <f>_xlfn.XLOOKUP(
$C21,
'在庫使用計画 (ノート全体試算)'!$C$1:$C$170,
'在庫使用計画 (ノート全体試算)'!AR$1:AR$170,
"")</f>
        <v/>
      </c>
      <c r="AR21" s="2130" t="str">
        <f>_xlfn.XLOOKUP(
$C21,
'在庫使用計画 (ノート全体試算)'!$C$1:$C$170,
'在庫使用計画 (ノート全体試算)'!AS$1:AS$170,
"")</f>
        <v/>
      </c>
      <c r="AS21" s="244" t="str">
        <f>_xlfn.XLOOKUP(
$C21,
'在庫使用計画 (ノート全体試算)'!$C$1:$C$170,
'在庫使用計画 (ノート全体試算)'!AT$1:AT$170,
"")</f>
        <v/>
      </c>
      <c r="AT21" s="805" t="str">
        <f>_xlfn.XLOOKUP(
$C21,
'在庫使用計画 (ノート全体試算)'!$C$1:$C$170,
'在庫使用計画 (ノート全体試算)'!AU$1:AU$170,
"")</f>
        <v/>
      </c>
      <c r="AU21" s="804" t="str">
        <f>_xlfn.XLOOKUP(
$C21,
'在庫使用計画 (ノート全体試算)'!$C$1:$C$170,
'在庫使用計画 (ノート全体試算)'!AV$1:AV$170,
"")</f>
        <v/>
      </c>
      <c r="AV21" s="224" t="str">
        <f>_xlfn.XLOOKUP(
$C21,
'在庫使用計画 (ノート全体試算)'!$C$1:$C$170,
'在庫使用計画 (ノート全体試算)'!AW$1:AW$170,
"")</f>
        <v/>
      </c>
      <c r="AW21" s="224" t="str">
        <f>_xlfn.XLOOKUP(
$C21,
'在庫使用計画 (ノート全体試算)'!$C$1:$C$170,
'在庫使用計画 (ノート全体試算)'!AX$1:AX$170,
"")</f>
        <v/>
      </c>
      <c r="AX21" s="224" t="str">
        <f>_xlfn.XLOOKUP(
$C21,
'在庫使用計画 (ノート全体試算)'!$C$1:$C$170,
'在庫使用計画 (ノート全体試算)'!AY$1:AY$170,
"")</f>
        <v/>
      </c>
      <c r="AY21" s="224" t="str">
        <f>_xlfn.XLOOKUP(
$C21,
'在庫使用計画 (ノート全体試算)'!$C$1:$C$170,
'在庫使用計画 (ノート全体試算)'!AZ$1:AZ$170,
"")</f>
        <v/>
      </c>
      <c r="AZ21" s="224" t="str">
        <f>_xlfn.XLOOKUP(
$C21,
'在庫使用計画 (ノート全体試算)'!$C$1:$C$170,
'在庫使用計画 (ノート全体試算)'!BA$1:BA$170,
"")</f>
        <v/>
      </c>
      <c r="BA21" s="224" t="str">
        <f>_xlfn.XLOOKUP(
$C21,
'在庫使用計画 (ノート全体試算)'!$C$1:$C$170,
'在庫使用計画 (ノート全体試算)'!BB$1:BB$170,
"")</f>
        <v/>
      </c>
      <c r="BB21" s="224" t="str">
        <f>_xlfn.XLOOKUP(
$C21,
'在庫使用計画 (ノート全体試算)'!$C$1:$C$170,
'在庫使用計画 (ノート全体試算)'!BC$1:BC$170,
"")</f>
        <v/>
      </c>
      <c r="BC21" s="224" t="str">
        <f>_xlfn.XLOOKUP(
$C21,
'在庫使用計画 (ノート全体試算)'!$C$1:$C$170,
'在庫使用計画 (ノート全体試算)'!BD$1:BD$170,
"")</f>
        <v/>
      </c>
      <c r="BD21" s="224" t="str">
        <f>_xlfn.XLOOKUP(
$C21,
'在庫使用計画 (ノート全体試算)'!$C$1:$C$170,
'在庫使用計画 (ノート全体試算)'!BE$1:BE$170,
"")</f>
        <v/>
      </c>
      <c r="BE21" s="224" t="str">
        <f>_xlfn.XLOOKUP(
$C21,
'在庫使用計画 (ノート全体試算)'!$C$1:$C$170,
'在庫使用計画 (ノート全体試算)'!BF$1:BF$170,
"")</f>
        <v/>
      </c>
      <c r="BF21" s="805" t="str">
        <f>_xlfn.XLOOKUP(
$C21,
'在庫使用計画 (ノート全体試算)'!$C$1:$C$170,
'在庫使用計画 (ノート全体試算)'!BG$1:BG$170,
"")</f>
        <v/>
      </c>
    </row>
    <row r="22" spans="1:59" hidden="1" outlineLevel="1">
      <c r="A22" s="33"/>
      <c r="B22" s="26" t="str">
        <v>UNW-2-14650HX-5070-L6-DDR5-15.3</v>
      </c>
      <c r="C22" s="26" t="s">
        <v>394</v>
      </c>
      <c r="D22" s="26" t="s">
        <v>1763</v>
      </c>
      <c r="E22" s="26"/>
      <c r="F22" s="24"/>
      <c r="G22" s="38">
        <v>0</v>
      </c>
      <c r="H22" s="38">
        <f ca="1">_xlfn.LET(_xlpm._今月から4ヶ月計画合計,
  SUM(
    OFFSET($A22,0,
      MATCH(
        EDATE(基準データ!$C$5,3),$A$1:$BE$1,1
      )-4,1,4)),
  IF($C22="","",_xlpm._今月から4ヶ月計画合計
)
)</f>
        <v>0</v>
      </c>
      <c r="I22" s="38">
        <f t="shared" ref="I22:I40" si="6">I21</f>
        <v>0</v>
      </c>
      <c r="J22" s="1116" t="str" cm="1">
        <f t="array" ref="J22">_xlfn.IFS($C22="","",
  $G22="","発売前？",
  $G22=0,"在庫なし",
  TRUE,
  IFERROR(
    _xlfn.LET(
      _xlpm._在庫注残,     $G22,
      _xlpm._しきい値,     _xlpm._在庫注残 * 0.75,
      _xlpm._見出し元,     $K$1:$BT$1,
      _xlpm._計画,         $K22:$BT22,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在庫なし</v>
      </c>
      <c r="K22" s="38"/>
      <c r="L22" s="38"/>
      <c r="M22" s="38"/>
      <c r="N22" s="38"/>
      <c r="O22" s="38"/>
      <c r="P22" s="38"/>
      <c r="Q22" s="116"/>
      <c r="R22" s="1350"/>
      <c r="S22" s="219"/>
      <c r="T22" s="219"/>
      <c r="U22" s="219"/>
      <c r="V22" s="222"/>
      <c r="W22" s="224" t="s">
        <v>21</v>
      </c>
      <c r="X22" s="224"/>
      <c r="Y22" s="224"/>
      <c r="Z22" s="909"/>
      <c r="AA22" s="468"/>
      <c r="AB22" s="219"/>
      <c r="AC22" s="1351"/>
      <c r="AD22" s="244"/>
      <c r="AE22" s="224"/>
      <c r="AF22" s="224"/>
      <c r="AG22" s="224"/>
      <c r="AH22" s="237"/>
      <c r="AI22" s="804" t="s">
        <v>21</v>
      </c>
      <c r="AJ22" s="224" t="s">
        <v>21</v>
      </c>
      <c r="AK22" s="224" t="s">
        <v>21</v>
      </c>
      <c r="AL22" s="224" t="s">
        <v>21</v>
      </c>
      <c r="AM22" s="224" t="str">
        <f>_xlfn.LET(_xlpm._全体実績予測,
  INDEX('在庫使用計画 (全体実績+予測）0701'!$A$1:$BD$195,
    MATCH($C22,'在庫使用計画 (全体実績+予測）0701'!$C$1:$C$195,0),
    MATCH(AM$1,'在庫使用計画 (全体実績+予測）0701'!$A$1:$BD$1,0)
),
  IFERROR(
    IF(_xlpm._全体実績予測=0,"",_xlpm._全体実績予測),
  "")
)</f>
        <v/>
      </c>
      <c r="AN22" s="237" t="str">
        <f>_xlfn.LET(_xlpm._全体実績予測,
  INDEX('在庫使用計画 (全体実績+予測）0701'!$A$1:$BD$195,
    MATCH($C22,'在庫使用計画 (全体実績+予測）0701'!$C$1:$C$195,0),
    MATCH(AN$1,'在庫使用計画 (全体実績+予測）0701'!$A$1:$BD$1,0)
),
  IFERROR(
    IF(_xlpm._全体実績予測=0,"",_xlpm._全体実績予測),
  "")
)</f>
        <v/>
      </c>
      <c r="AO22" s="237" t="str">
        <f>_xlfn.LET(_xlpm._全体実績予測,
  INDEX('在庫使用計画 (全体実績+予測）0701'!$A$1:$BD$195,
    MATCH($C22,'在庫使用計画 (全体実績+予測）0701'!$C$1:$C$195,0),
    MATCH(AO$1,'在庫使用計画 (全体実績+予測）0701'!$A$1:$BD$1,0)
),
  IFERROR(
    IF(_xlpm._全体実績予測=0,"",_xlpm._全体実績予測),
  "")
)</f>
        <v/>
      </c>
      <c r="AP22" s="224" t="str">
        <f>_xlfn.LET(_xlpm._全体実績予測,
  INDEX('在庫使用計画 (全体実績+予測）0701'!$A$1:$BD$195,
    MATCH($C22,'在庫使用計画 (全体実績+予測）0701'!$C$1:$C$195,0),
    MATCH(AP$1,'在庫使用計画 (全体実績+予測）0701'!$A$1:$BD$1,0)
),
  IFERROR(
    IF(_xlpm._全体実績予測=0,"",_xlpm._全体実績予測),
  "")
)</f>
        <v/>
      </c>
      <c r="AQ22" s="1050" t="str">
        <f>_xlfn.LET(_xlpm._全体実績予測,
  INDEX('在庫使用計画 (全体実績+予測）0701'!$A$1:$BD$195,
    MATCH($C22,'在庫使用計画 (全体実績+予測）0701'!$C$1:$C$195,0),
    MATCH(AQ$1,'在庫使用計画 (全体実績+予測）0701'!$A$1:$BD$1,0)
),
  IFERROR(
    IF(_xlpm._全体実績予測=0,"",_xlpm._全体実績予測),
  "")
)</f>
        <v/>
      </c>
      <c r="AR22" s="2130" t="str">
        <f>_xlfn.LET(_xlpm._全体実績予測,
  INDEX('在庫使用計画 (全体実績+予測）0701'!$A$1:$BD$195,
    MATCH($C22,'在庫使用計画 (全体実績+予測）0701'!$C$1:$C$195,0),
    MATCH(AR$1,'在庫使用計画 (全体実績+予測）0701'!$A$1:$BD$1,0)
),
  IFERROR(
    IF(_xlpm._全体実績予測=0,"",_xlpm._全体実績予測),
  "")
)</f>
        <v/>
      </c>
      <c r="AS22" s="244" t="str">
        <f>_xlfn.LET(_xlpm._全体実績予測,
  INDEX('在庫使用計画 (全体実績+予測）0701'!$A$1:$BD$195,
    MATCH($C22,'在庫使用計画 (全体実績+予測）0701'!$C$1:$C$195,0),
    MATCH(AS$1,'在庫使用計画 (全体実績+予測）0701'!$A$1:$BD$1,0)
),
  IFERROR(
    IF(_xlpm._全体実績予測=0,"",_xlpm._全体実績予測),
  "")
)</f>
        <v/>
      </c>
      <c r="AT22" s="805" t="str">
        <f>_xlfn.LET(_xlpm._全体実績予測,
  INDEX('在庫使用計画 (全体実績+予測）0701'!$A$1:$BD$195,
    MATCH($C22,'在庫使用計画 (全体実績+予測）0701'!$C$1:$C$195,0),
    MATCH(AT$1,'在庫使用計画 (全体実績+予測）0701'!$A$1:$BD$1,0)
),
  IFERROR(
    IF(_xlpm._全体実績予測=0,"",_xlpm._全体実績予測),
  "")
)</f>
        <v/>
      </c>
      <c r="AU22" s="804" t="str">
        <f>_xlfn.LET(_xlpm._全体実績予測,
  INDEX('在庫使用計画 (全体実績+予測）0701'!$A$1:$BD$195,
    MATCH($C22,'在庫使用計画 (全体実績+予測）0701'!$C$1:$C$195,0),
    MATCH(AU$1,'在庫使用計画 (全体実績+予測）0701'!$A$1:$BD$1,0)
),
  IFERROR(
    IF(_xlpm._全体実績予測=0,"",_xlpm._全体実績予測),
  "")
)</f>
        <v/>
      </c>
      <c r="AV22" s="224" t="str">
        <f>_xlfn.LET(_xlpm._全体実績予測,
  INDEX('在庫使用計画 (全体実績+予測）0701'!$A$1:$BD$195,
    MATCH($C22,'在庫使用計画 (全体実績+予測）0701'!$C$1:$C$195,0),
    MATCH(AV$1,'在庫使用計画 (全体実績+予測）0701'!$A$1:$BD$1,0)
),
  IFERROR(
    IF(_xlpm._全体実績予測=0,"",_xlpm._全体実績予測),
  "")
)</f>
        <v/>
      </c>
      <c r="AW22" s="224" t="str">
        <f>_xlfn.LET(_xlpm._全体実績予測,
  INDEX('在庫使用計画 (全体実績+予測）0701'!$A$1:$BD$195,
    MATCH($C22,'在庫使用計画 (全体実績+予測）0701'!$C$1:$C$195,0),
    MATCH(AW$1,'在庫使用計画 (全体実績+予測）0701'!$A$1:$BD$1,0)
),
  IFERROR(
    IF(_xlpm._全体実績予測=0,"",_xlpm._全体実績予測),
  "")
)</f>
        <v/>
      </c>
      <c r="AX22" s="224" t="str">
        <f>_xlfn.LET(_xlpm._全体実績予測,
  INDEX('在庫使用計画 (全体実績+予測）0701'!$A$1:$BD$195,
    MATCH($C22,'在庫使用計画 (全体実績+予測）0701'!$C$1:$C$195,0),
    MATCH(AX$1,'在庫使用計画 (全体実績+予測）0701'!$A$1:$BD$1,0)
),
  IFERROR(
    IF(_xlpm._全体実績予測=0,"",_xlpm._全体実績予測),
  "")
)</f>
        <v/>
      </c>
      <c r="AY22" s="224" t="str">
        <f>_xlfn.LET(_xlpm._全体実績予測,
  INDEX('在庫使用計画 (全体実績+予測）0701'!$A$1:$BD$195,
    MATCH($C22,'在庫使用計画 (全体実績+予測）0701'!$C$1:$C$195,0),
    MATCH(AY$1,'在庫使用計画 (全体実績+予測）0701'!$A$1:$BD$1,0)
),
  IFERROR(
    IF(_xlpm._全体実績予測=0,"",_xlpm._全体実績予測),
  "")
)</f>
        <v/>
      </c>
      <c r="AZ22" s="224" t="str">
        <f>_xlfn.LET(_xlpm._全体実績予測,
  INDEX('在庫使用計画 (全体実績+予測）0701'!$A$1:$BD$195,
    MATCH($C22,'在庫使用計画 (全体実績+予測）0701'!$C$1:$C$195,0),
    MATCH(AZ$1,'在庫使用計画 (全体実績+予測）0701'!$A$1:$BD$1,0)
),
  IFERROR(
    IF(_xlpm._全体実績予測=0,"",_xlpm._全体実績予測),
  "")
)</f>
        <v/>
      </c>
      <c r="BA22" s="224" t="str">
        <f>_xlfn.LET(_xlpm._全体実績予測,
  INDEX('在庫使用計画 (全体実績+予測）0701'!$A$1:$BD$195,
    MATCH($C22,'在庫使用計画 (全体実績+予測）0701'!$C$1:$C$195,0),
    MATCH(BA$1,'在庫使用計画 (全体実績+予測）0701'!$A$1:$BD$1,0)
),
  IFERROR(
    IF(_xlpm._全体実績予測=0,"",_xlpm._全体実績予測),
  "")
)</f>
        <v/>
      </c>
      <c r="BB22" s="224" t="str">
        <f>_xlfn.LET(_xlpm._全体実績予測,
  INDEX('在庫使用計画 (全体実績+予測）0701'!$A$1:$BD$195,
    MATCH($C22,'在庫使用計画 (全体実績+予測）0701'!$C$1:$C$195,0),
    MATCH(BB$1,'在庫使用計画 (全体実績+予測）0701'!$A$1:$BD$1,0)
),
  IFERROR(
    IF(_xlpm._全体実績予測=0,"",_xlpm._全体実績予測),
  "")
)</f>
        <v/>
      </c>
      <c r="BC22" s="224" t="str">
        <f>_xlfn.LET(_xlpm._全体実績予測,
  INDEX('在庫使用計画 (全体実績+予測）0701'!$A$1:$BD$195,
    MATCH($C22,'在庫使用計画 (全体実績+予測）0701'!$C$1:$C$195,0),
    MATCH(BC$1,'在庫使用計画 (全体実績+予測）0701'!$A$1:$BD$1,0)
),
  IFERROR(
    IF(_xlpm._全体実績予測=0,"",_xlpm._全体実績予測),
  "")
)</f>
        <v/>
      </c>
      <c r="BD22" s="224" t="str">
        <f>_xlfn.LET(_xlpm._全体実績予測,
  INDEX('在庫使用計画 (全体実績+予測）0701'!$A$1:$BD$195,
    MATCH($C22,'在庫使用計画 (全体実績+予測）0701'!$C$1:$C$195,0),
    MATCH(BD$1,'在庫使用計画 (全体実績+予測）0701'!$A$1:$BD$1,0)
),
  IFERROR(
    IF(_xlpm._全体実績予測=0,"",_xlpm._全体実績予測),
  "")
)</f>
        <v/>
      </c>
      <c r="BE22" s="224" t="str">
        <f>_xlfn.LET(_xlpm._全体実績予測,
  INDEX('在庫使用計画 (全体実績+予測）0701'!$A$1:$BD$195,
    MATCH($C22,'在庫使用計画 (全体実績+予測）0701'!$C$1:$C$195,0),
    MATCH(BE$1,'在庫使用計画 (全体実績+予測）0701'!$A$1:$BD$1,0)
),
  IFERROR(
    IF(_xlpm._全体実績予測=0,"",_xlpm._全体実績予測),
  "")
)</f>
        <v/>
      </c>
      <c r="BF22" s="805" t="str">
        <f>_xlfn.LET(_xlpm._全体実績予測,
  INDEX('在庫使用計画 (全体実績+予測）0701'!$A$1:$BD$195,
    MATCH($C22,'在庫使用計画 (全体実績+予測）0701'!$C$1:$C$195,0),
    MATCH(BF$1,'在庫使用計画 (全体実績+予測）0701'!$A$1:$BD$1,0)
),
  IFERROR(
    IF(_xlpm._全体実績予測=0,"",_xlpm._全体実績予測),
  "")
)</f>
        <v/>
      </c>
    </row>
    <row r="23" spans="1:59" ht="18.75" customHeight="1" collapsed="1">
      <c r="A23" s="293" t="s">
        <v>1361</v>
      </c>
      <c r="B23" s="26" t="str">
        <v>CLE-V35-14650HX-5060-L6</v>
      </c>
      <c r="C23" s="380" t="s">
        <v>1363</v>
      </c>
      <c r="D23" s="26" t="s">
        <v>1362</v>
      </c>
      <c r="E23" s="26">
        <v>5060</v>
      </c>
      <c r="F23" s="26" t="s">
        <v>1347</v>
      </c>
      <c r="G23" s="38">
        <v>152</v>
      </c>
      <c r="H23" s="38">
        <f ca="1">_xlfn.LET(_xlpm._今月から4ヶ月計画合計,
  SUM(
    OFFSET($A23,0,
      MATCH(
        EDATE(基準データ!$C$5,3),$A$1:$BE$1,1
      )-4,1,4)),
  IF($C23="","",_xlpm._今月から4ヶ月計画合計
)
)</f>
        <v>140</v>
      </c>
      <c r="I23" s="38">
        <f>SUMIFS(マスタ_EOLリスト[在庫],マスタ_EOLリスト[製品型番],'在庫使用計画 (計画　予測)'!$C:$C)</f>
        <v>152</v>
      </c>
      <c r="J23" s="1116" cm="1">
        <f t="array" ref="J23">_xlfn.IFS($C23="","",
  $G23="","発売前？",
  $G23=0,"在庫なし",
  TRUE,
  IFERROR(
    _xlfn.LET(
      _xlpm._在庫注残,     $G23,
      _xlpm._しきい値,     _xlpm._在庫注残 * 0.75,
      _xlpm._見出し元,     $K$1:$BT$1,
      _xlpm._計画,         $K23:$BT23,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46204</v>
      </c>
      <c r="K23" s="38" t="s">
        <v>21</v>
      </c>
      <c r="L23" s="38" t="s">
        <v>21</v>
      </c>
      <c r="M23" s="38" t="s">
        <v>21</v>
      </c>
      <c r="N23" s="38" t="s">
        <v>21</v>
      </c>
      <c r="O23" s="38" t="s">
        <v>21</v>
      </c>
      <c r="P23" s="38" t="s">
        <v>21</v>
      </c>
      <c r="Q23" s="116" t="s">
        <v>21</v>
      </c>
      <c r="R23" s="1350" t="s">
        <v>21</v>
      </c>
      <c r="S23" s="219" t="s">
        <v>21</v>
      </c>
      <c r="T23" s="219" t="s">
        <v>21</v>
      </c>
      <c r="U23" s="219" t="s">
        <v>21</v>
      </c>
      <c r="V23" s="219" t="s">
        <v>21</v>
      </c>
      <c r="W23" s="224" t="s">
        <v>21</v>
      </c>
      <c r="X23" s="224" t="s">
        <v>21</v>
      </c>
      <c r="Y23" s="224" t="s">
        <v>21</v>
      </c>
      <c r="Z23" s="237" t="s">
        <v>21</v>
      </c>
      <c r="AA23" s="224" t="s">
        <v>21</v>
      </c>
      <c r="AB23" s="224" t="s">
        <v>21</v>
      </c>
      <c r="AC23" s="805" t="s">
        <v>21</v>
      </c>
      <c r="AD23" s="244" t="s">
        <v>21</v>
      </c>
      <c r="AE23" s="224" t="s">
        <v>21</v>
      </c>
      <c r="AF23" s="224">
        <v>465</v>
      </c>
      <c r="AG23" s="224">
        <v>335</v>
      </c>
      <c r="AH23" s="237">
        <v>365.94444444444446</v>
      </c>
      <c r="AI23" s="804">
        <v>322</v>
      </c>
      <c r="AJ23" s="224">
        <v>343.17746461850174</v>
      </c>
      <c r="AK23" s="224">
        <v>450.16960112680806</v>
      </c>
      <c r="AL23" s="224">
        <v>371</v>
      </c>
      <c r="AM23" s="224">
        <f>_xlfn.XLOOKUP(
$C23,
'在庫使用計画 (ノート全体試算)'!$C$1:$C$170,
'在庫使用計画 (ノート全体試算)'!AN$1:AN$170,
"")</f>
        <v>240</v>
      </c>
      <c r="AN23" s="237">
        <f>_xlfn.XLOOKUP(
$C23,
'在庫使用計画 (ノート全体試算)'!$C$1:$C$170,
'在庫使用計画 (ノート全体試算)'!AO$1:AO$170,
"")</f>
        <v>390</v>
      </c>
      <c r="AO23" s="237">
        <f>_xlfn.XLOOKUP(
$C23,
'在庫使用計画 (ノート全体試算)'!$C$1:$C$170,
'在庫使用計画 (ノート全体試算)'!AP$1:AP$170,
"")</f>
        <v>140</v>
      </c>
      <c r="AP23" s="224" t="str">
        <f>_xlfn.XLOOKUP(
$C23,
'在庫使用計画 (ノート全体試算)'!$C$1:$C$170,
'在庫使用計画 (ノート全体試算)'!AQ$1:AQ$170,
"")</f>
        <v/>
      </c>
      <c r="AQ23" s="1050" t="str">
        <f>_xlfn.XLOOKUP(
$C23,
'在庫使用計画 (ノート全体試算)'!$C$1:$C$170,
'在庫使用計画 (ノート全体試算)'!AR$1:AR$170,
"")</f>
        <v/>
      </c>
      <c r="AR23" s="2130" t="str">
        <f>_xlfn.XLOOKUP(
$C23,
'在庫使用計画 (ノート全体試算)'!$C$1:$C$170,
'在庫使用計画 (ノート全体試算)'!AS$1:AS$170,
"")</f>
        <v/>
      </c>
      <c r="AS23" s="244" t="str">
        <f>_xlfn.XLOOKUP(
$C23,
'在庫使用計画 (ノート全体試算)'!$C$1:$C$170,
'在庫使用計画 (ノート全体試算)'!AT$1:AT$170,
"")</f>
        <v/>
      </c>
      <c r="AT23" s="805" t="str">
        <f>_xlfn.XLOOKUP(
$C23,
'在庫使用計画 (ノート全体試算)'!$C$1:$C$170,
'在庫使用計画 (ノート全体試算)'!AU$1:AU$170,
"")</f>
        <v/>
      </c>
      <c r="AU23" s="804" t="str">
        <f>_xlfn.XLOOKUP(
$C23,
'在庫使用計画 (ノート全体試算)'!$C$1:$C$170,
'在庫使用計画 (ノート全体試算)'!AV$1:AV$170,
"")</f>
        <v/>
      </c>
      <c r="AV23" s="224" t="str">
        <f>_xlfn.XLOOKUP(
$C23,
'在庫使用計画 (ノート全体試算)'!$C$1:$C$170,
'在庫使用計画 (ノート全体試算)'!AW$1:AW$170,
"")</f>
        <v/>
      </c>
      <c r="AW23" s="224" t="str">
        <f>_xlfn.XLOOKUP(
$C23,
'在庫使用計画 (ノート全体試算)'!$C$1:$C$170,
'在庫使用計画 (ノート全体試算)'!AX$1:AX$170,
"")</f>
        <v/>
      </c>
      <c r="AX23" s="224" t="str">
        <f>_xlfn.XLOOKUP(
$C23,
'在庫使用計画 (ノート全体試算)'!$C$1:$C$170,
'在庫使用計画 (ノート全体試算)'!AY$1:AY$170,
"")</f>
        <v/>
      </c>
      <c r="AY23" s="224" t="str">
        <f>_xlfn.XLOOKUP(
$C23,
'在庫使用計画 (ノート全体試算)'!$C$1:$C$170,
'在庫使用計画 (ノート全体試算)'!AZ$1:AZ$170,
"")</f>
        <v/>
      </c>
      <c r="AZ23" s="224" t="str">
        <f>_xlfn.XLOOKUP(
$C23,
'在庫使用計画 (ノート全体試算)'!$C$1:$C$170,
'在庫使用計画 (ノート全体試算)'!BA$1:BA$170,
"")</f>
        <v/>
      </c>
      <c r="BA23" s="224" t="str">
        <f>_xlfn.XLOOKUP(
$C23,
'在庫使用計画 (ノート全体試算)'!$C$1:$C$170,
'在庫使用計画 (ノート全体試算)'!BB$1:BB$170,
"")</f>
        <v/>
      </c>
      <c r="BB23" s="224" t="str">
        <f>_xlfn.XLOOKUP(
$C23,
'在庫使用計画 (ノート全体試算)'!$C$1:$C$170,
'在庫使用計画 (ノート全体試算)'!BC$1:BC$170,
"")</f>
        <v/>
      </c>
      <c r="BC23" s="224" t="str">
        <f>_xlfn.XLOOKUP(
$C23,
'在庫使用計画 (ノート全体試算)'!$C$1:$C$170,
'在庫使用計画 (ノート全体試算)'!BD$1:BD$170,
"")</f>
        <v/>
      </c>
      <c r="BD23" s="224" t="str">
        <f>_xlfn.XLOOKUP(
$C23,
'在庫使用計画 (ノート全体試算)'!$C$1:$C$170,
'在庫使用計画 (ノート全体試算)'!BE$1:BE$170,
"")</f>
        <v/>
      </c>
      <c r="BE23" s="224" t="str">
        <f>_xlfn.XLOOKUP(
$C23,
'在庫使用計画 (ノート全体試算)'!$C$1:$C$170,
'在庫使用計画 (ノート全体試算)'!BF$1:BF$170,
"")</f>
        <v/>
      </c>
      <c r="BF23" s="805" t="str">
        <f>_xlfn.XLOOKUP(
$C23,
'在庫使用計画 (ノート全体試算)'!$C$1:$C$170,
'在庫使用計画 (ノート全体試算)'!BG$1:BG$170,
"")</f>
        <v/>
      </c>
      <c r="BG23" s="2091" t="s">
        <v>2685</v>
      </c>
    </row>
    <row r="24" spans="1:59" ht="18.75" customHeight="1" thickBot="1">
      <c r="A24" s="445"/>
      <c r="B24" s="446" t="str">
        <v>CLE-V35-14650HX-5060-L6</v>
      </c>
      <c r="C24" s="1266" t="s">
        <v>1363</v>
      </c>
      <c r="D24" s="446" t="s">
        <v>1763</v>
      </c>
      <c r="E24" s="446"/>
      <c r="F24" s="447"/>
      <c r="G24" s="448">
        <v>152</v>
      </c>
      <c r="H24" s="448">
        <f ca="1">_xlfn.LET(_xlpm._今月から4ヶ月計画合計,
  SUM(
    OFFSET($A24,0,
      MATCH(
        EDATE(基準データ!$C$5,3),$A$1:$BE$1,1
      )-4,1,4)),
  IF($C24="","",_xlpm._今月から4ヶ月計画合計
)
)</f>
        <v>2440.7516179092404</v>
      </c>
      <c r="I24" s="448">
        <f t="shared" si="6"/>
        <v>152</v>
      </c>
      <c r="J24" s="1116" cm="1">
        <f t="array" ref="J24">_xlfn.IFS($C24="","",
  $G24="","発売前？",
  $G24=0,"在庫なし",
  TRUE,
  IFERROR(
    _xlfn.LET(
      _xlpm._在庫注残,     $G24,
      _xlpm._しきい値,     _xlpm._在庫注残 * 0.75,
      _xlpm._見出し元,     $K$1:$BT$1,
      _xlpm._計画,         $K24:$BT24,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46204</v>
      </c>
      <c r="K24" s="448"/>
      <c r="L24" s="448"/>
      <c r="M24" s="448"/>
      <c r="N24" s="448"/>
      <c r="O24" s="448"/>
      <c r="P24" s="448"/>
      <c r="Q24" s="540"/>
      <c r="R24" s="900"/>
      <c r="S24" s="449"/>
      <c r="T24" s="449"/>
      <c r="U24" s="449"/>
      <c r="V24" s="450"/>
      <c r="W24" s="451" t="s">
        <v>21</v>
      </c>
      <c r="X24" s="451" t="s">
        <v>21</v>
      </c>
      <c r="Y24" s="451" t="s">
        <v>21</v>
      </c>
      <c r="Z24" s="451" t="s">
        <v>21</v>
      </c>
      <c r="AA24" s="451" t="s">
        <v>21</v>
      </c>
      <c r="AB24" s="451" t="s">
        <v>21</v>
      </c>
      <c r="AC24" s="897" t="s">
        <v>21</v>
      </c>
      <c r="AD24" s="1292" t="s">
        <v>21</v>
      </c>
      <c r="AE24" s="451" t="s">
        <v>21</v>
      </c>
      <c r="AF24" s="224">
        <v>83</v>
      </c>
      <c r="AG24" s="224">
        <v>134</v>
      </c>
      <c r="AH24" s="237">
        <v>386</v>
      </c>
      <c r="AI24" s="804">
        <v>343</v>
      </c>
      <c r="AJ24" s="224">
        <v>285</v>
      </c>
      <c r="AK24" s="224">
        <v>336</v>
      </c>
      <c r="AL24" s="224">
        <v>317</v>
      </c>
      <c r="AM24" s="224">
        <f>_xlfn.LET(_xlpm._全体実績予測,
  INDEX('在庫使用計画 (全体実績+予測）0701'!$A$1:$BD$195,
    MATCH($C24,'在庫使用計画 (全体実績+予測）0701'!$C$1:$C$195,0),
    MATCH(AM$1,'在庫使用計画 (全体実績+予測）0701'!$A$1:$BD$1,0)
),
  IFERROR(
    IF(_xlpm._全体実績予測=0,"",_xlpm._全体実績予測),
  "")
)</f>
        <v>116</v>
      </c>
      <c r="AN24" s="237">
        <f>_xlfn.LET(_xlpm._全体実績予測,
  INDEX('在庫使用計画 (全体実績+予測）0701'!$A$1:$BD$195,
    MATCH($C24,'在庫使用計画 (全体実績+予測）0701'!$C$1:$C$195,0),
    MATCH(AN$1,'在庫使用計画 (全体実績+予測）0701'!$A$1:$BD$1,0)
),
  IFERROR(
    IF(_xlpm._全体実績予測=0,"",_xlpm._全体実績予測),
  "")
)</f>
        <v>631.07142857142856</v>
      </c>
      <c r="AO24" s="237">
        <f>_xlfn.LET(_xlpm._全体実績予測,
  INDEX('在庫使用計画 (全体実績+予測）0701'!$A$1:$BD$195,
    MATCH($C24,'在庫使用計画 (全体実績+予測）0701'!$C$1:$C$195,0),
    MATCH(AO$1,'在庫使用計画 (全体実績+予測）0701'!$A$1:$BD$1,0)
),
  IFERROR(
    IF(_xlpm._全体実績予測=0,"",_xlpm._全体実績予測),
  "")
)</f>
        <v>800.47812578977573</v>
      </c>
      <c r="AP24" s="224">
        <f>_xlfn.LET(_xlpm._全体実績予測,
  INDEX('在庫使用計画 (全体実績+予測）0701'!$A$1:$BD$195,
    MATCH($C24,'在庫使用計画 (全体実績+予測）0701'!$C$1:$C$195,0),
    MATCH(AP$1,'在庫使用計画 (全体実績+予測）0701'!$A$1:$BD$1,0)
),
  IFERROR(
    IF(_xlpm._全体実績予測=0,"",_xlpm._全体実績予測),
  "")
)</f>
        <v>654.21957221950254</v>
      </c>
      <c r="AQ24" s="1050">
        <f>_xlfn.LET(_xlpm._全体実績予測,
  INDEX('在庫使用計画 (全体実績+予測）0701'!$A$1:$BD$195,
    MATCH($C24,'在庫使用計画 (全体実績+予測）0701'!$C$1:$C$195,0),
    MATCH(AQ$1,'在庫使用計画 (全体実績+予測）0701'!$A$1:$BD$1,0)
),
  IFERROR(
    IF(_xlpm._全体実績予測=0,"",_xlpm._全体実績予測),
  "")
)</f>
        <v>527.46100295721578</v>
      </c>
      <c r="AR24" s="2130">
        <f>_xlfn.LET(_xlpm._全体実績予測,
  INDEX('在庫使用計画 (全体実績+予測）0701'!$A$1:$BD$195,
    MATCH($C24,'在庫使用計画 (全体実績+予測）0701'!$C$1:$C$195,0),
    MATCH(AR$1,'在庫使用計画 (全体実績+予測）0701'!$A$1:$BD$1,0)
),
  IFERROR(
    IF(_xlpm._全体実績予測=0,"",_xlpm._全体実績予測),
  "")
)</f>
        <v>458.59291694274617</v>
      </c>
      <c r="AS24" s="244">
        <f>_xlfn.LET(_xlpm._全体実績予測,
  INDEX('在庫使用計画 (全体実績+予測）0701'!$A$1:$BD$195,
    MATCH($C24,'在庫使用計画 (全体実績+予測）0701'!$C$1:$C$195,0),
    MATCH(AS$1,'在庫使用計画 (全体実績+予測）0701'!$A$1:$BD$1,0)
),
  IFERROR(
    IF(_xlpm._全体実績予測=0,"",_xlpm._全体実績予測),
  "")
)</f>
        <v>521.18060426598777</v>
      </c>
      <c r="AT24" s="805">
        <f>_xlfn.LET(_xlpm._全体実績予測,
  INDEX('在庫使用計画 (全体実績+予測）0701'!$A$1:$BD$195,
    MATCH($C24,'在庫使用計画 (全体実績+予測）0701'!$C$1:$C$195,0),
    MATCH(AT$1,'在庫使用計画 (全体実績+予測）0701'!$A$1:$BD$1,0)
),
  IFERROR(
    IF(_xlpm._全体実績予測=0,"",_xlpm._全体実績予測),
  "")
)</f>
        <v>819.46705109054653</v>
      </c>
      <c r="AU24" s="804">
        <f>_xlfn.LET(_xlpm._全体実績予測,
  INDEX('在庫使用計画 (全体実績+予測）0701'!$A$1:$BD$195,
    MATCH($C24,'在庫使用計画 (全体実績+予測）0701'!$C$1:$C$195,0),
    MATCH(AU$1,'在庫使用計画 (全体実績+予測）0701'!$A$1:$BD$1,0)
),
  IFERROR(
    IF(_xlpm._全体実績予測=0,"",_xlpm._全体実績予測),
  "")
)</f>
        <v>685.23079997569243</v>
      </c>
      <c r="AV24" s="224">
        <f>_xlfn.LET(_xlpm._全体実績予測,
  INDEX('在庫使用計画 (全体実績+予測）0701'!$A$1:$BD$195,
    MATCH($C24,'在庫使用計画 (全体実績+予測）0701'!$C$1:$C$195,0),
    MATCH(AV$1,'在庫使用計画 (全体実績+予測）0701'!$A$1:$BD$1,0)
),
  IFERROR(
    IF(_xlpm._全体実績予測=0,"",_xlpm._全体実績予測),
  "")
)</f>
        <v>616.84223561783449</v>
      </c>
      <c r="AW24" s="224">
        <f>_xlfn.LET(_xlpm._全体実績予測,
  INDEX('在庫使用計画 (全体実績+予測）0701'!$A$1:$BD$195,
    MATCH($C24,'在庫使用計画 (全体実績+予測）0701'!$C$1:$C$195,0),
    MATCH(AW$1,'在庫使用計画 (全体実績+予測）0701'!$A$1:$BD$1,0)
),
  IFERROR(
    IF(_xlpm._全体実績予測=0,"",_xlpm._全体実績予測),
  "")
)</f>
        <v>887.51123050421813</v>
      </c>
      <c r="AX24" s="224">
        <f>_xlfn.LET(_xlpm._全体実績予測,
  INDEX('在庫使用計画 (全体実績+予測）0701'!$A$1:$BD$195,
    MATCH($C24,'在庫使用計画 (全体実績+予測）0701'!$C$1:$C$195,0),
    MATCH(AX$1,'在庫使用計画 (全体実績+予測）0701'!$A$1:$BD$1,0)
),
  IFERROR(
    IF(_xlpm._全体実績予測=0,"",_xlpm._全体実績予測),
  "")
)</f>
        <v>683.16914231038095</v>
      </c>
      <c r="AY24" s="224">
        <f>_xlfn.LET(_xlpm._全体実績予測,
  INDEX('在庫使用計画 (全体実績+予測）0701'!$A$1:$BD$195,
    MATCH($C24,'在庫使用計画 (全体実績+予測）0701'!$C$1:$C$195,0),
    MATCH(AY$1,'在庫使用計画 (全体実績+予測）0701'!$A$1:$BD$1,0)
),
  IFERROR(
    IF(_xlpm._全体実績予測=0,"",_xlpm._全体実績予測),
  "")
)</f>
        <v>545.38619516279732</v>
      </c>
      <c r="AZ24" s="224">
        <f>_xlfn.LET(_xlpm._全体実績予測,
  INDEX('在庫使用計画 (全体実績+予測）0701'!$A$1:$BD$195,
    MATCH($C24,'在庫使用計画 (全体実績+予測）0701'!$C$1:$C$195,0),
    MATCH(AZ$1,'在庫使用計画 (全体実績+予測）0701'!$A$1:$BD$1,0)
),
  IFERROR(
    IF(_xlpm._全体実績予測=0,"",_xlpm._全体実績予測),
  "")
)</f>
        <v>631.07142857142867</v>
      </c>
      <c r="BA24" s="224">
        <f>_xlfn.LET(_xlpm._全体実績予測,
  INDEX('在庫使用計画 (全体実績+予測）0701'!$A$1:$BD$195,
    MATCH($C24,'在庫使用計画 (全体実績+予測）0701'!$C$1:$C$195,0),
    MATCH(BA$1,'在庫使用計画 (全体実績+予測）0701'!$A$1:$BD$1,0)
),
  IFERROR(
    IF(_xlpm._全体実績予測=0,"",_xlpm._全体実績予測),
  "")
)</f>
        <v>800.47812578977585</v>
      </c>
      <c r="BB24" s="224">
        <f>_xlfn.LET(_xlpm._全体実績予測,
  INDEX('在庫使用計画 (全体実績+予測）0701'!$A$1:$BD$195,
    MATCH($C24,'在庫使用計画 (全体実績+予測）0701'!$C$1:$C$195,0),
    MATCH(BB$1,'在庫使用計画 (全体実績+予測）0701'!$A$1:$BD$1,0)
),
  IFERROR(
    IF(_xlpm._全体実績予測=0,"",_xlpm._全体実績予測),
  "")
)</f>
        <v>654.21957221950265</v>
      </c>
      <c r="BC24" s="224">
        <f>_xlfn.LET(_xlpm._全体実績予測,
  INDEX('在庫使用計画 (全体実績+予測）0701'!$A$1:$BD$195,
    MATCH($C24,'在庫使用計画 (全体実績+予測）0701'!$C$1:$C$195,0),
    MATCH(BC$1,'在庫使用計画 (全体実績+予測）0701'!$A$1:$BD$1,0)
),
  IFERROR(
    IF(_xlpm._全体実績予測=0,"",_xlpm._全体実績予測),
  "")
)</f>
        <v>527.46100295721578</v>
      </c>
      <c r="BD24" s="224">
        <f>_xlfn.LET(_xlpm._全体実績予測,
  INDEX('在庫使用計画 (全体実績+予測）0701'!$A$1:$BD$195,
    MATCH($C24,'在庫使用計画 (全体実績+予測）0701'!$C$1:$C$195,0),
    MATCH(BD$1,'在庫使用計画 (全体実績+予測）0701'!$A$1:$BD$1,0)
),
  IFERROR(
    IF(_xlpm._全体実績予測=0,"",_xlpm._全体実績予測),
  "")
)</f>
        <v>458.59291694274617</v>
      </c>
      <c r="BE24" s="224">
        <f>_xlfn.LET(_xlpm._全体実績予測,
  INDEX('在庫使用計画 (全体実績+予測）0701'!$A$1:$BD$195,
    MATCH($C24,'在庫使用計画 (全体実績+予測）0701'!$C$1:$C$195,0),
    MATCH(BE$1,'在庫使用計画 (全体実績+予測）0701'!$A$1:$BD$1,0)
),
  IFERROR(
    IF(_xlpm._全体実績予測=0,"",_xlpm._全体実績予測),
  "")
)</f>
        <v>521.18060426598777</v>
      </c>
      <c r="BF24" s="805">
        <f>_xlfn.LET(_xlpm._全体実績予測,
  INDEX('在庫使用計画 (全体実績+予測）0701'!$A$1:$BD$195,
    MATCH($C24,'在庫使用計画 (全体実績+予測）0701'!$C$1:$C$195,0),
    MATCH(BF$1,'在庫使用計画 (全体実績+予測）0701'!$A$1:$BD$1,0)
),
  IFERROR(
    IF(_xlpm._全体実績予測=0,"",_xlpm._全体実績予測),
  "")
)</f>
        <v>819.46705109054653</v>
      </c>
    </row>
    <row r="25" spans="1:59">
      <c r="A25" s="33" t="s">
        <v>1770</v>
      </c>
      <c r="B25" s="1211" t="str">
        <v>UNW-2-14650HX-5060-L6-DDR5-15.3</v>
      </c>
      <c r="C25" s="1259" t="s">
        <v>306</v>
      </c>
      <c r="D25" s="1258" t="s">
        <v>1768</v>
      </c>
      <c r="E25" s="26">
        <v>5090</v>
      </c>
      <c r="F25" s="24" t="s">
        <v>1347</v>
      </c>
      <c r="G25" s="38">
        <v>1355</v>
      </c>
      <c r="H25" s="38">
        <f ca="1">_xlfn.LET(_xlpm._今月から4ヶ月計画合計,
  SUM(
    OFFSET($A25,0,
      MATCH(
        EDATE(基準データ!$C$5,3),$A$1:$BE$1,1
      )-4,1,4)),
  IF($C25="","",_xlpm._今月から4ヶ月計画合計
)
)</f>
        <v>935</v>
      </c>
      <c r="I25" s="38">
        <f>SUMIFS(マスタ_EOLリスト[在庫],マスタ_EOLリスト[製品型番],'在庫使用計画 (計画　予測)'!$C:$C)</f>
        <v>0</v>
      </c>
      <c r="J25" s="1116" cm="1">
        <f t="array" ref="J25">_xlfn.IFS($C25="","",
  $G25="","発売前？",
  $G25=0,"在庫なし",
  TRUE,
  IFERROR(
    _xlfn.LET(
      _xlpm._在庫注残,     $G25,
      _xlpm._しきい値,     _xlpm._在庫注残 * 0.75,
      _xlpm._見出し元,     $K$1:$BT$1,
      _xlpm._計画,         $K25:$BT25,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46327</v>
      </c>
      <c r="K25" s="38"/>
      <c r="L25" s="38"/>
      <c r="M25" s="38"/>
      <c r="N25" s="38"/>
      <c r="O25" s="38"/>
      <c r="P25" s="38"/>
      <c r="Q25" s="116"/>
      <c r="R25" s="1350"/>
      <c r="S25" s="219"/>
      <c r="T25" s="219"/>
      <c r="U25" s="219"/>
      <c r="V25" s="219"/>
      <c r="W25" s="224"/>
      <c r="X25" s="224"/>
      <c r="Y25" s="223"/>
      <c r="Z25" s="241"/>
      <c r="AA25" s="224"/>
      <c r="AB25" s="224"/>
      <c r="AC25" s="805"/>
      <c r="AD25" s="244"/>
      <c r="AE25" s="224"/>
      <c r="AF25" s="224"/>
      <c r="AG25" s="224"/>
      <c r="AH25" s="237"/>
      <c r="AI25" s="804" t="s">
        <v>21</v>
      </c>
      <c r="AJ25" s="224" t="s">
        <v>21</v>
      </c>
      <c r="AK25" s="224" t="s">
        <v>21</v>
      </c>
      <c r="AL25" s="224" t="s">
        <v>21</v>
      </c>
      <c r="AM25" s="224" t="str">
        <f>_xlfn.XLOOKUP(
$C25,
'在庫使用計画 (ノート全体試算)'!$C$1:$C$170,
'在庫使用計画 (ノート全体試算)'!AN$1:AN$170,
"")</f>
        <v/>
      </c>
      <c r="AN25" s="237" t="str">
        <f>_xlfn.XLOOKUP(
$C25,
'在庫使用計画 (ノート全体試算)'!$C$1:$C$170,
'在庫使用計画 (ノート全体試算)'!AO$1:AO$170,
"")</f>
        <v/>
      </c>
      <c r="AO25" s="237">
        <f>_xlfn.XLOOKUP(
$C25,
'在庫使用計画 (ノート全体試算)'!$C$1:$C$170,
'在庫使用計画 (ノート全体試算)'!AP$1:AP$170,
"")</f>
        <v>50</v>
      </c>
      <c r="AP25" s="224">
        <f>_xlfn.XLOOKUP(
$C25,
'在庫使用計画 (ノート全体試算)'!$C$1:$C$170,
'在庫使用計画 (ノート全体試算)'!AQ$1:AQ$170,
"")</f>
        <v>305</v>
      </c>
      <c r="AQ25" s="1050">
        <f>_xlfn.XLOOKUP(
$C25,
'在庫使用計画 (ノート全体試算)'!$C$1:$C$170,
'在庫使用計画 (ノート全体試算)'!AR$1:AR$170,
"")</f>
        <v>325</v>
      </c>
      <c r="AR25" s="2130">
        <f>_xlfn.XLOOKUP(
$C25,
'在庫使用計画 (ノート全体試算)'!$C$1:$C$170,
'在庫使用計画 (ノート全体試算)'!AS$1:AS$170,
"")</f>
        <v>255</v>
      </c>
      <c r="AS25" s="244">
        <f>_xlfn.XLOOKUP(
$C25,
'在庫使用計画 (ノート全体試算)'!$C$1:$C$170,
'在庫使用計画 (ノート全体試算)'!AT$1:AT$170,
"")</f>
        <v>245</v>
      </c>
      <c r="AT25" s="805">
        <f>_xlfn.XLOOKUP(
$C25,
'在庫使用計画 (ノート全体試算)'!$C$1:$C$170,
'在庫使用計画 (ノート全体試算)'!AU$1:AU$170,
"")</f>
        <v>495</v>
      </c>
      <c r="AU25" s="804">
        <f>_xlfn.XLOOKUP(
$C25,
'在庫使用計画 (ノート全体試算)'!$C$1:$C$170,
'在庫使用計画 (ノート全体試算)'!AV$1:AV$170,
"")</f>
        <v>285</v>
      </c>
      <c r="AV25" s="224">
        <f>_xlfn.XLOOKUP(
$C25,
'在庫使用計画 (ノート全体試算)'!$C$1:$C$170,
'在庫使用計画 (ノート全体試算)'!AW$1:AW$170,
"")</f>
        <v>245</v>
      </c>
      <c r="AW25" s="224">
        <f>_xlfn.XLOOKUP(
$C25,
'在庫使用計画 (ノート全体試算)'!$C$1:$C$170,
'在庫使用計画 (ノート全体試算)'!AX$1:AX$170,
"")</f>
        <v>220.85</v>
      </c>
      <c r="AX25" s="224">
        <f>_xlfn.XLOOKUP(
$C25,
'在庫使用計画 (ノート全体試算)'!$C$1:$C$170,
'在庫使用計画 (ノート全体試算)'!AY$1:AY$170,
"")</f>
        <v>35</v>
      </c>
      <c r="AY25" s="224">
        <f>_xlfn.XLOOKUP(
$C25,
'在庫使用計画 (ノート全体試算)'!$C$1:$C$170,
'在庫使用計画 (ノート全体試算)'!AZ$1:AZ$170,
"")</f>
        <v>35</v>
      </c>
      <c r="AZ25" s="224" t="str">
        <f>_xlfn.XLOOKUP(
$C25,
'在庫使用計画 (ノート全体試算)'!$C$1:$C$170,
'在庫使用計画 (ノート全体試算)'!BA$1:BA$170,
"")</f>
        <v/>
      </c>
      <c r="BA25" s="224" t="str">
        <f>_xlfn.XLOOKUP(
$C25,
'在庫使用計画 (ノート全体試算)'!$C$1:$C$170,
'在庫使用計画 (ノート全体試算)'!BB$1:BB$170,
"")</f>
        <v/>
      </c>
      <c r="BB25" s="224" t="str">
        <f>_xlfn.XLOOKUP(
$C25,
'在庫使用計画 (ノート全体試算)'!$C$1:$C$170,
'在庫使用計画 (ノート全体試算)'!BC$1:BC$170,
"")</f>
        <v/>
      </c>
      <c r="BC25" s="224" t="str">
        <f>_xlfn.XLOOKUP(
$C25,
'在庫使用計画 (ノート全体試算)'!$C$1:$C$170,
'在庫使用計画 (ノート全体試算)'!BD$1:BD$170,
"")</f>
        <v/>
      </c>
      <c r="BD25" s="224" t="str">
        <f>_xlfn.XLOOKUP(
$C25,
'在庫使用計画 (ノート全体試算)'!$C$1:$C$170,
'在庫使用計画 (ノート全体試算)'!BE$1:BE$170,
"")</f>
        <v/>
      </c>
      <c r="BE25" s="224" t="str">
        <f>_xlfn.XLOOKUP(
$C25,
'在庫使用計画 (ノート全体試算)'!$C$1:$C$170,
'在庫使用計画 (ノート全体試算)'!BF$1:BF$170,
"")</f>
        <v/>
      </c>
      <c r="BF25" s="805" t="str">
        <f>_xlfn.XLOOKUP(
$C25,
'在庫使用計画 (ノート全体試算)'!$C$1:$C$170,
'在庫使用計画 (ノート全体試算)'!BG$1:BG$170,
"")</f>
        <v/>
      </c>
      <c r="BG25" s="2091" t="s">
        <v>2657</v>
      </c>
    </row>
    <row r="26" spans="1:59" ht="19.5" thickBot="1">
      <c r="A26" s="33"/>
      <c r="B26" s="111" t="str">
        <v>UNW-2-14650HX-5060-L6-DDR5-15.3</v>
      </c>
      <c r="C26" s="1260" t="s">
        <v>306</v>
      </c>
      <c r="D26" s="1258" t="s">
        <v>1763</v>
      </c>
      <c r="E26" s="26"/>
      <c r="F26" s="24"/>
      <c r="G26" s="38">
        <v>1355</v>
      </c>
      <c r="H26" s="38">
        <f ca="1">_xlfn.LET(_xlpm._今月から4ヶ月計画合計,
  SUM(
    OFFSET($A26,0,
      MATCH(
        EDATE(基準データ!$C$5,3),$A$1:$BE$1,1
      )-4,1,4)),
  IF($C26="","",_xlpm._今月から4ヶ月計画合計
)
)</f>
        <v>0</v>
      </c>
      <c r="I26" s="38">
        <f t="shared" si="6"/>
        <v>0</v>
      </c>
      <c r="J26" s="1116" t="str" cm="1">
        <f t="array" ref="J26">_xlfn.IFS($C26="","",
  $G26="","発売前？",
  $G26=0,"在庫なし",
  TRUE,
  IFERROR(
    _xlfn.LET(
      _xlpm._在庫注残,     $G26,
      _xlpm._しきい値,     _xlpm._在庫注残 * 0.75,
      _xlpm._見出し元,     $K$1:$BT$1,
      _xlpm._計画,         $K26:$BT26,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合計0、在庫+注残1,355のため不足</v>
      </c>
      <c r="K26" s="38"/>
      <c r="L26" s="38"/>
      <c r="M26" s="38"/>
      <c r="N26" s="38"/>
      <c r="O26" s="38"/>
      <c r="P26" s="38"/>
      <c r="Q26" s="116"/>
      <c r="R26" s="1350"/>
      <c r="S26" s="219"/>
      <c r="T26" s="219"/>
      <c r="U26" s="219"/>
      <c r="V26" s="222"/>
      <c r="W26" s="224" t="s">
        <v>21</v>
      </c>
      <c r="X26" s="224"/>
      <c r="Y26" s="224"/>
      <c r="Z26" s="909"/>
      <c r="AA26" s="468"/>
      <c r="AB26" s="219"/>
      <c r="AC26" s="1351"/>
      <c r="AD26" s="244"/>
      <c r="AE26" s="224"/>
      <c r="AF26" s="224"/>
      <c r="AG26" s="224"/>
      <c r="AH26" s="237"/>
      <c r="AI26" s="804" t="s">
        <v>21</v>
      </c>
      <c r="AJ26" s="224" t="s">
        <v>21</v>
      </c>
      <c r="AK26" s="224" t="s">
        <v>21</v>
      </c>
      <c r="AL26" s="224" t="s">
        <v>21</v>
      </c>
      <c r="AM26" s="224" t="str">
        <f>_xlfn.LET(_xlpm._全体実績予測,
  INDEX('在庫使用計画 (全体実績+予測）0701'!$A$1:$BD$195,
    MATCH($C26,'在庫使用計画 (全体実績+予測）0701'!$C$1:$C$195,0),
    MATCH(AM$1,'在庫使用計画 (全体実績+予測）0701'!$A$1:$BD$1,0)
),
  IFERROR(
    IF(_xlpm._全体実績予測=0,"",_xlpm._全体実績予測),
  "")
)</f>
        <v/>
      </c>
      <c r="AN26" s="237" t="str">
        <f>_xlfn.LET(_xlpm._全体実績予測,
  INDEX('在庫使用計画 (全体実績+予測）0701'!$A$1:$BD$195,
    MATCH($C26,'在庫使用計画 (全体実績+予測）0701'!$C$1:$C$195,0),
    MATCH(AN$1,'在庫使用計画 (全体実績+予測）0701'!$A$1:$BD$1,0)
),
  IFERROR(
    IF(_xlpm._全体実績予測=0,"",_xlpm._全体実績予測),
  "")
)</f>
        <v/>
      </c>
      <c r="AO26" s="237" t="str">
        <f>_xlfn.LET(_xlpm._全体実績予測,
  INDEX('在庫使用計画 (全体実績+予測）0701'!$A$1:$BD$195,
    MATCH($C26,'在庫使用計画 (全体実績+予測）0701'!$C$1:$C$195,0),
    MATCH(AO$1,'在庫使用計画 (全体実績+予測）0701'!$A$1:$BD$1,0)
),
  IFERROR(
    IF(_xlpm._全体実績予測=0,"",_xlpm._全体実績予測),
  "")
)</f>
        <v/>
      </c>
      <c r="AP26" s="224" t="str">
        <f>_xlfn.LET(_xlpm._全体実績予測,
  INDEX('在庫使用計画 (全体実績+予測）0701'!$A$1:$BD$195,
    MATCH($C26,'在庫使用計画 (全体実績+予測）0701'!$C$1:$C$195,0),
    MATCH(AP$1,'在庫使用計画 (全体実績+予測）0701'!$A$1:$BD$1,0)
),
  IFERROR(
    IF(_xlpm._全体実績予測=0,"",_xlpm._全体実績予測),
  "")
)</f>
        <v/>
      </c>
      <c r="AQ26" s="1050" t="str">
        <f>_xlfn.LET(_xlpm._全体実績予測,
  INDEX('在庫使用計画 (全体実績+予測）0701'!$A$1:$BD$195,
    MATCH($C26,'在庫使用計画 (全体実績+予測）0701'!$C$1:$C$195,0),
    MATCH(AQ$1,'在庫使用計画 (全体実績+予測）0701'!$A$1:$BD$1,0)
),
  IFERROR(
    IF(_xlpm._全体実績予測=0,"",_xlpm._全体実績予測),
  "")
)</f>
        <v/>
      </c>
      <c r="AR26" s="2130" t="str">
        <f>_xlfn.LET(_xlpm._全体実績予測,
  INDEX('在庫使用計画 (全体実績+予測）0701'!$A$1:$BD$195,
    MATCH($C26,'在庫使用計画 (全体実績+予測）0701'!$C$1:$C$195,0),
    MATCH(AR$1,'在庫使用計画 (全体実績+予測）0701'!$A$1:$BD$1,0)
),
  IFERROR(
    IF(_xlpm._全体実績予測=0,"",_xlpm._全体実績予測),
  "")
)</f>
        <v/>
      </c>
      <c r="AS26" s="244" t="str">
        <f>_xlfn.LET(_xlpm._全体実績予測,
  INDEX('在庫使用計画 (全体実績+予測）0701'!$A$1:$BD$195,
    MATCH($C26,'在庫使用計画 (全体実績+予測）0701'!$C$1:$C$195,0),
    MATCH(AS$1,'在庫使用計画 (全体実績+予測）0701'!$A$1:$BD$1,0)
),
  IFERROR(
    IF(_xlpm._全体実績予測=0,"",_xlpm._全体実績予測),
  "")
)</f>
        <v/>
      </c>
      <c r="AT26" s="805" t="str">
        <f>_xlfn.LET(_xlpm._全体実績予測,
  INDEX('在庫使用計画 (全体実績+予測）0701'!$A$1:$BD$195,
    MATCH($C26,'在庫使用計画 (全体実績+予測）0701'!$C$1:$C$195,0),
    MATCH(AT$1,'在庫使用計画 (全体実績+予測）0701'!$A$1:$BD$1,0)
),
  IFERROR(
    IF(_xlpm._全体実績予測=0,"",_xlpm._全体実績予測),
  "")
)</f>
        <v/>
      </c>
      <c r="AU26" s="804" t="str">
        <f>_xlfn.LET(_xlpm._全体実績予測,
  INDEX('在庫使用計画 (全体実績+予測）0701'!$A$1:$BD$195,
    MATCH($C26,'在庫使用計画 (全体実績+予測）0701'!$C$1:$C$195,0),
    MATCH(AU$1,'在庫使用計画 (全体実績+予測）0701'!$A$1:$BD$1,0)
),
  IFERROR(
    IF(_xlpm._全体実績予測=0,"",_xlpm._全体実績予測),
  "")
)</f>
        <v/>
      </c>
      <c r="AV26" s="224" t="str">
        <f>_xlfn.LET(_xlpm._全体実績予測,
  INDEX('在庫使用計画 (全体実績+予測）0701'!$A$1:$BD$195,
    MATCH($C26,'在庫使用計画 (全体実績+予測）0701'!$C$1:$C$195,0),
    MATCH(AV$1,'在庫使用計画 (全体実績+予測）0701'!$A$1:$BD$1,0)
),
  IFERROR(
    IF(_xlpm._全体実績予測=0,"",_xlpm._全体実績予測),
  "")
)</f>
        <v/>
      </c>
      <c r="AW26" s="224" t="str">
        <f>_xlfn.LET(_xlpm._全体実績予測,
  INDEX('在庫使用計画 (全体実績+予測）0701'!$A$1:$BD$195,
    MATCH($C26,'在庫使用計画 (全体実績+予測）0701'!$C$1:$C$195,0),
    MATCH(AW$1,'在庫使用計画 (全体実績+予測）0701'!$A$1:$BD$1,0)
),
  IFERROR(
    IF(_xlpm._全体実績予測=0,"",_xlpm._全体実績予測),
  "")
)</f>
        <v/>
      </c>
      <c r="AX26" s="224" t="str">
        <f>_xlfn.LET(_xlpm._全体実績予測,
  INDEX('在庫使用計画 (全体実績+予測）0701'!$A$1:$BD$195,
    MATCH($C26,'在庫使用計画 (全体実績+予測）0701'!$C$1:$C$195,0),
    MATCH(AX$1,'在庫使用計画 (全体実績+予測）0701'!$A$1:$BD$1,0)
),
  IFERROR(
    IF(_xlpm._全体実績予測=0,"",_xlpm._全体実績予測),
  "")
)</f>
        <v/>
      </c>
      <c r="AY26" s="224" t="str">
        <f>_xlfn.LET(_xlpm._全体実績予測,
  INDEX('在庫使用計画 (全体実績+予測）0701'!$A$1:$BD$195,
    MATCH($C26,'在庫使用計画 (全体実績+予測）0701'!$C$1:$C$195,0),
    MATCH(AY$1,'在庫使用計画 (全体実績+予測）0701'!$A$1:$BD$1,0)
),
  IFERROR(
    IF(_xlpm._全体実績予測=0,"",_xlpm._全体実績予測),
  "")
)</f>
        <v/>
      </c>
      <c r="AZ26" s="224" t="str">
        <f>_xlfn.LET(_xlpm._全体実績予測,
  INDEX('在庫使用計画 (全体実績+予測）0701'!$A$1:$BD$195,
    MATCH($C26,'在庫使用計画 (全体実績+予測）0701'!$C$1:$C$195,0),
    MATCH(AZ$1,'在庫使用計画 (全体実績+予測）0701'!$A$1:$BD$1,0)
),
  IFERROR(
    IF(_xlpm._全体実績予測=0,"",_xlpm._全体実績予測),
  "")
)</f>
        <v/>
      </c>
      <c r="BA26" s="224" t="str">
        <f>_xlfn.LET(_xlpm._全体実績予測,
  INDEX('在庫使用計画 (全体実績+予測）0701'!$A$1:$BD$195,
    MATCH($C26,'在庫使用計画 (全体実績+予測）0701'!$C$1:$C$195,0),
    MATCH(BA$1,'在庫使用計画 (全体実績+予測）0701'!$A$1:$BD$1,0)
),
  IFERROR(
    IF(_xlpm._全体実績予測=0,"",_xlpm._全体実績予測),
  "")
)</f>
        <v/>
      </c>
      <c r="BB26" s="224" t="str">
        <f>_xlfn.LET(_xlpm._全体実績予測,
  INDEX('在庫使用計画 (全体実績+予測）0701'!$A$1:$BD$195,
    MATCH($C26,'在庫使用計画 (全体実績+予測）0701'!$C$1:$C$195,0),
    MATCH(BB$1,'在庫使用計画 (全体実績+予測）0701'!$A$1:$BD$1,0)
),
  IFERROR(
    IF(_xlpm._全体実績予測=0,"",_xlpm._全体実績予測),
  "")
)</f>
        <v/>
      </c>
      <c r="BC26" s="224" t="str">
        <f>_xlfn.LET(_xlpm._全体実績予測,
  INDEX('在庫使用計画 (全体実績+予測）0701'!$A$1:$BD$195,
    MATCH($C26,'在庫使用計画 (全体実績+予測）0701'!$C$1:$C$195,0),
    MATCH(BC$1,'在庫使用計画 (全体実績+予測）0701'!$A$1:$BD$1,0)
),
  IFERROR(
    IF(_xlpm._全体実績予測=0,"",_xlpm._全体実績予測),
  "")
)</f>
        <v/>
      </c>
      <c r="BD26" s="224" t="str">
        <f>_xlfn.LET(_xlpm._全体実績予測,
  INDEX('在庫使用計画 (全体実績+予測）0701'!$A$1:$BD$195,
    MATCH($C26,'在庫使用計画 (全体実績+予測）0701'!$C$1:$C$195,0),
    MATCH(BD$1,'在庫使用計画 (全体実績+予測）0701'!$A$1:$BD$1,0)
),
  IFERROR(
    IF(_xlpm._全体実績予測=0,"",_xlpm._全体実績予測),
  "")
)</f>
        <v/>
      </c>
      <c r="BE26" s="224" t="str">
        <f>_xlfn.LET(_xlpm._全体実績予測,
  INDEX('在庫使用計画 (全体実績+予測）0701'!$A$1:$BD$195,
    MATCH($C26,'在庫使用計画 (全体実績+予測）0701'!$C$1:$C$195,0),
    MATCH(BE$1,'在庫使用計画 (全体実績+予測）0701'!$A$1:$BD$1,0)
),
  IFERROR(
    IF(_xlpm._全体実績予測=0,"",_xlpm._全体実績予測),
  "")
)</f>
        <v/>
      </c>
      <c r="BF26" s="805" t="str">
        <f>_xlfn.LET(_xlpm._全体実績予測,
  INDEX('在庫使用計画 (全体実績+予測）0701'!$A$1:$BD$195,
    MATCH($C26,'在庫使用計画 (全体実績+予測）0701'!$C$1:$C$195,0),
    MATCH(BF$1,'在庫使用計画 (全体実績+予測）0701'!$A$1:$BD$1,0)
),
  IFERROR(
    IF(_xlpm._全体実績予測=0,"",_xlpm._全体実績予測),
  "")
)</f>
        <v/>
      </c>
    </row>
    <row r="27" spans="1:59" ht="18.75" customHeight="1">
      <c r="A27" s="293" t="s">
        <v>1361</v>
      </c>
      <c r="B27" s="26" t="str">
        <v>CLE-V35-14650HX-5050-L6</v>
      </c>
      <c r="C27" s="194" t="s">
        <v>1364</v>
      </c>
      <c r="D27" s="26" t="s">
        <v>1362</v>
      </c>
      <c r="E27" s="26">
        <v>5050</v>
      </c>
      <c r="F27" s="26" t="s">
        <v>1347</v>
      </c>
      <c r="G27" s="38">
        <v>702</v>
      </c>
      <c r="H27" s="38">
        <f ca="1">_xlfn.LET(_xlpm._今月から4ヶ月計画合計,
  SUM(
    OFFSET($A27,0,
      MATCH(
        EDATE(基準データ!$C$5,3),$A$1:$BE$1,1
      )-4,1,4)),
  IF($C27="","",_xlpm._今月から4ヶ月計画合計
)
)</f>
        <v>620</v>
      </c>
      <c r="I27" s="38">
        <f>SUMIFS(マスタ_EOLリスト[在庫],マスタ_EOLリスト[製品型番],'在庫使用計画 (計画　予測)'!$C:$C)</f>
        <v>702</v>
      </c>
      <c r="J27" s="1116" cm="1">
        <f t="array" ref="J27">_xlfn.IFS($C27="","",
  $G27="","発売前？",
  $G27=0,"在庫なし",
  TRUE,
  IFERROR(
    _xlfn.LET(
      _xlpm._在庫注残,     $G27,
      _xlpm._しきい値,     _xlpm._在庫注残 * 0.75,
      _xlpm._見出し元,     $K$1:$BT$1,
      _xlpm._計画,         $K27:$BT27,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46296</v>
      </c>
      <c r="K27" s="38" t="s">
        <v>21</v>
      </c>
      <c r="L27" s="38" t="s">
        <v>21</v>
      </c>
      <c r="M27" s="38" t="s">
        <v>21</v>
      </c>
      <c r="N27" s="38" t="s">
        <v>21</v>
      </c>
      <c r="O27" s="38" t="s">
        <v>21</v>
      </c>
      <c r="P27" s="38" t="s">
        <v>21</v>
      </c>
      <c r="Q27" s="116" t="s">
        <v>21</v>
      </c>
      <c r="R27" s="1350" t="s">
        <v>21</v>
      </c>
      <c r="S27" s="219" t="s">
        <v>21</v>
      </c>
      <c r="T27" s="219" t="s">
        <v>21</v>
      </c>
      <c r="U27" s="219" t="s">
        <v>21</v>
      </c>
      <c r="V27" s="219" t="s">
        <v>21</v>
      </c>
      <c r="W27" s="224" t="s">
        <v>21</v>
      </c>
      <c r="X27" s="224" t="s">
        <v>21</v>
      </c>
      <c r="Y27" s="224" t="s">
        <v>21</v>
      </c>
      <c r="Z27" s="237" t="s">
        <v>21</v>
      </c>
      <c r="AA27" s="224" t="s">
        <v>21</v>
      </c>
      <c r="AB27" s="224" t="s">
        <v>21</v>
      </c>
      <c r="AC27" s="805">
        <v>390.70078740157481</v>
      </c>
      <c r="AD27" s="244">
        <v>340</v>
      </c>
      <c r="AE27" s="224">
        <v>389.94987322397839</v>
      </c>
      <c r="AF27" s="224">
        <v>248.46911044368861</v>
      </c>
      <c r="AG27" s="224">
        <v>404.36161303986319</v>
      </c>
      <c r="AH27" s="237">
        <v>401.11111111111114</v>
      </c>
      <c r="AI27" s="804">
        <v>190</v>
      </c>
      <c r="AJ27" s="224">
        <v>255</v>
      </c>
      <c r="AK27" s="224">
        <v>351.57460475181983</v>
      </c>
      <c r="AL27" s="224">
        <v>186</v>
      </c>
      <c r="AM27" s="224">
        <f>_xlfn.XLOOKUP(
$C27,
'在庫使用計画 (ノート全体試算)'!$C$1:$C$170,
'在庫使用計画 (ノート全体試算)'!AN$1:AN$170,
"")</f>
        <v>181</v>
      </c>
      <c r="AN27" s="237">
        <f>_xlfn.XLOOKUP(
$C27,
'在庫使用計画 (ノート全体試算)'!$C$1:$C$170,
'在庫使用計画 (ノート全体試算)'!AO$1:AO$170,
"")</f>
        <v>180</v>
      </c>
      <c r="AO27" s="237">
        <f>_xlfn.XLOOKUP(
$C27,
'在庫使用計画 (ノート全体試算)'!$C$1:$C$170,
'在庫使用計画 (ノート全体試算)'!AP$1:AP$170,
"")</f>
        <v>220</v>
      </c>
      <c r="AP27" s="224">
        <f>_xlfn.XLOOKUP(
$C27,
'在庫使用計画 (ノート全体試算)'!$C$1:$C$170,
'在庫使用計画 (ノート全体試算)'!AQ$1:AQ$170,
"")</f>
        <v>200</v>
      </c>
      <c r="AQ27" s="1050">
        <f>_xlfn.XLOOKUP(
$C27,
'在庫使用計画 (ノート全体試算)'!$C$1:$C$170,
'在庫使用計画 (ノート全体試算)'!AR$1:AR$170,
"")</f>
        <v>100</v>
      </c>
      <c r="AR27" s="2130">
        <f>_xlfn.XLOOKUP(
$C27,
'在庫使用計画 (ノート全体試算)'!$C$1:$C$170,
'在庫使用計画 (ノート全体試算)'!AS$1:AS$170,
"")</f>
        <v>100</v>
      </c>
      <c r="AS27" s="244" t="str">
        <f>_xlfn.XLOOKUP(
$C27,
'在庫使用計画 (ノート全体試算)'!$C$1:$C$170,
'在庫使用計画 (ノート全体試算)'!AT$1:AT$170,
"")</f>
        <v/>
      </c>
      <c r="AT27" s="805" t="str">
        <f>_xlfn.XLOOKUP(
$C27,
'在庫使用計画 (ノート全体試算)'!$C$1:$C$170,
'在庫使用計画 (ノート全体試算)'!AU$1:AU$170,
"")</f>
        <v/>
      </c>
      <c r="AU27" s="804" t="str">
        <f>_xlfn.XLOOKUP(
$C27,
'在庫使用計画 (ノート全体試算)'!$C$1:$C$170,
'在庫使用計画 (ノート全体試算)'!AV$1:AV$170,
"")</f>
        <v/>
      </c>
      <c r="AV27" s="224" t="str">
        <f>_xlfn.XLOOKUP(
$C27,
'在庫使用計画 (ノート全体試算)'!$C$1:$C$170,
'在庫使用計画 (ノート全体試算)'!AW$1:AW$170,
"")</f>
        <v/>
      </c>
      <c r="AW27" s="224" t="str">
        <f>_xlfn.XLOOKUP(
$C27,
'在庫使用計画 (ノート全体試算)'!$C$1:$C$170,
'在庫使用計画 (ノート全体試算)'!AX$1:AX$170,
"")</f>
        <v/>
      </c>
      <c r="AX27" s="224" t="str">
        <f>_xlfn.XLOOKUP(
$C27,
'在庫使用計画 (ノート全体試算)'!$C$1:$C$170,
'在庫使用計画 (ノート全体試算)'!AY$1:AY$170,
"")</f>
        <v/>
      </c>
      <c r="AY27" s="224" t="str">
        <f>_xlfn.XLOOKUP(
$C27,
'在庫使用計画 (ノート全体試算)'!$C$1:$C$170,
'在庫使用計画 (ノート全体試算)'!AZ$1:AZ$170,
"")</f>
        <v/>
      </c>
      <c r="AZ27" s="224" t="str">
        <f>_xlfn.XLOOKUP(
$C27,
'在庫使用計画 (ノート全体試算)'!$C$1:$C$170,
'在庫使用計画 (ノート全体試算)'!BA$1:BA$170,
"")</f>
        <v/>
      </c>
      <c r="BA27" s="224" t="str">
        <f>_xlfn.XLOOKUP(
$C27,
'在庫使用計画 (ノート全体試算)'!$C$1:$C$170,
'在庫使用計画 (ノート全体試算)'!BB$1:BB$170,
"")</f>
        <v/>
      </c>
      <c r="BB27" s="224" t="str">
        <f>_xlfn.XLOOKUP(
$C27,
'在庫使用計画 (ノート全体試算)'!$C$1:$C$170,
'在庫使用計画 (ノート全体試算)'!BC$1:BC$170,
"")</f>
        <v/>
      </c>
      <c r="BC27" s="224" t="str">
        <f>_xlfn.XLOOKUP(
$C27,
'在庫使用計画 (ノート全体試算)'!$C$1:$C$170,
'在庫使用計画 (ノート全体試算)'!BD$1:BD$170,
"")</f>
        <v/>
      </c>
      <c r="BD27" s="224" t="str">
        <f>_xlfn.XLOOKUP(
$C27,
'在庫使用計画 (ノート全体試算)'!$C$1:$C$170,
'在庫使用計画 (ノート全体試算)'!BE$1:BE$170,
"")</f>
        <v/>
      </c>
      <c r="BE27" s="224" t="str">
        <f>_xlfn.XLOOKUP(
$C27,
'在庫使用計画 (ノート全体試算)'!$C$1:$C$170,
'在庫使用計画 (ノート全体試算)'!BF$1:BF$170,
"")</f>
        <v/>
      </c>
      <c r="BF27" s="805" t="str">
        <f>_xlfn.XLOOKUP(
$C27,
'在庫使用計画 (ノート全体試算)'!$C$1:$C$170,
'在庫使用計画 (ノート全体試算)'!BG$1:BG$170,
"")</f>
        <v/>
      </c>
      <c r="BG27" s="2091" t="s">
        <v>2653</v>
      </c>
    </row>
    <row r="28" spans="1:59" ht="18.75" customHeight="1">
      <c r="A28" s="445"/>
      <c r="B28" s="1261" t="str">
        <v>CLE-V35-14650HX-5050-L6</v>
      </c>
      <c r="C28" s="446" t="s">
        <v>1364</v>
      </c>
      <c r="D28" s="1262" t="s">
        <v>1763</v>
      </c>
      <c r="E28" s="446"/>
      <c r="F28" s="447"/>
      <c r="G28" s="448">
        <v>702</v>
      </c>
      <c r="H28" s="448">
        <f ca="1">_xlfn.LET(_xlpm._今月から4ヶ月計画合計,
  SUM(
    OFFSET($A28,0,
      MATCH(
        EDATE(基準データ!$C$5,3),$A$1:$BE$1,1
      )-4,1,4)),
  IF($C28="","",_xlpm._今月から4ヶ月計画合計
)
)</f>
        <v>310.79180194090486</v>
      </c>
      <c r="I28" s="448">
        <f t="shared" si="6"/>
        <v>702</v>
      </c>
      <c r="J28" s="1116" cm="1">
        <f t="array" ref="J28">_xlfn.IFS($C28="","",
  $G28="","発売前？",
  $G28=0,"在庫なし",
  TRUE,
  IFERROR(
    _xlfn.LET(
      _xlpm._在庫注残,     $G28,
      _xlpm._しきい値,     _xlpm._在庫注残 * 0.75,
      _xlpm._見出し元,     $K$1:$BT$1,
      _xlpm._計画,         $K28:$BT28,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46388</v>
      </c>
      <c r="K28" s="448"/>
      <c r="L28" s="448"/>
      <c r="M28" s="448"/>
      <c r="N28" s="448"/>
      <c r="O28" s="448"/>
      <c r="P28" s="448"/>
      <c r="Q28" s="540"/>
      <c r="R28" s="900"/>
      <c r="S28" s="449"/>
      <c r="T28" s="449"/>
      <c r="U28" s="449"/>
      <c r="V28" s="450"/>
      <c r="W28" s="451" t="s">
        <v>21</v>
      </c>
      <c r="X28" s="451" t="s">
        <v>21</v>
      </c>
      <c r="Y28" s="451" t="s">
        <v>21</v>
      </c>
      <c r="Z28" s="451" t="s">
        <v>21</v>
      </c>
      <c r="AA28" s="451" t="s">
        <v>21</v>
      </c>
      <c r="AB28" s="451">
        <v>1</v>
      </c>
      <c r="AC28" s="897">
        <v>118</v>
      </c>
      <c r="AD28" s="1292">
        <v>268</v>
      </c>
      <c r="AE28" s="451">
        <v>304</v>
      </c>
      <c r="AF28" s="224">
        <v>289</v>
      </c>
      <c r="AG28" s="224">
        <v>199</v>
      </c>
      <c r="AH28" s="237">
        <v>429</v>
      </c>
      <c r="AI28" s="804">
        <v>191</v>
      </c>
      <c r="AJ28" s="224">
        <v>189</v>
      </c>
      <c r="AK28" s="224">
        <v>254</v>
      </c>
      <c r="AL28" s="224">
        <v>147</v>
      </c>
      <c r="AM28" s="224">
        <f>_xlfn.LET(_xlpm._全体実績予測,
  INDEX('在庫使用計画 (全体実績+予測）0701'!$A$1:$BD$195,
    MATCH($C28,'在庫使用計画 (全体実績+予測）0701'!$C$1:$C$195,0),
    MATCH(AM$1,'在庫使用計画 (全体実績+予測）0701'!$A$1:$BD$1,0)
),
  IFERROR(
    IF(_xlpm._全体実績予測=0,"",_xlpm._全体実績予測),
  "")
)</f>
        <v>87</v>
      </c>
      <c r="AN28" s="237">
        <f>_xlfn.LET(_xlpm._全体実績予測,
  INDEX('在庫使用計画 (全体実績+予測）0701'!$A$1:$BD$195,
    MATCH($C28,'在庫使用計画 (全体実績+予測）0701'!$C$1:$C$195,0),
    MATCH(AN$1,'在庫使用計画 (全体実績+予測）0701'!$A$1:$BD$1,0)
),
  IFERROR(
    IF(_xlpm._全体実績予測=0,"",_xlpm._全体実績予測),
  "")
)</f>
        <v>80.357142857142847</v>
      </c>
      <c r="AO28" s="237">
        <f>_xlfn.LET(_xlpm._全体実績予測,
  INDEX('在庫使用計画 (全体実績+予測）0701'!$A$1:$BD$195,
    MATCH($C28,'在庫使用計画 (全体実績+予測）0701'!$C$1:$C$195,0),
    MATCH(AO$1,'在庫使用計画 (全体実績+予測）0701'!$A$1:$BD$1,0)
),
  IFERROR(
    IF(_xlpm._全体実績予測=0,"",_xlpm._全体実績予測),
  "")
)</f>
        <v>101.92845404793408</v>
      </c>
      <c r="AP28" s="224">
        <f>_xlfn.LET(_xlpm._全体実績予測,
  INDEX('在庫使用計画 (全体実績+予測）0701'!$A$1:$BD$195,
    MATCH($C28,'在庫使用計画 (全体実績+予測）0701'!$C$1:$C$195,0),
    MATCH(AP$1,'在庫使用計画 (全体実績+予測）0701'!$A$1:$BD$1,0)
),
  IFERROR(
    IF(_xlpm._全体実績予測=0,"",_xlpm._全体実績予測),
  "")
)</f>
        <v>83.304699348833083</v>
      </c>
      <c r="AQ28" s="1050">
        <f>_xlfn.LET(_xlpm._全体実績予測,
  INDEX('在庫使用計画 (全体実績+予測）0701'!$A$1:$BD$195,
    MATCH($C28,'在庫使用計画 (全体実績+予測）0701'!$C$1:$C$195,0),
    MATCH(AQ$1,'在庫使用計画 (全体実績+予測）0701'!$A$1:$BD$1,0)
),
  IFERROR(
    IF(_xlpm._全体実績予測=0,"",_xlpm._全体実績予測),
  "")
)</f>
        <v>67.16396472290522</v>
      </c>
      <c r="AR28" s="2130">
        <f>_xlfn.LET(_xlpm._全体実績予測,
  INDEX('在庫使用計画 (全体実績+予測）0701'!$A$1:$BD$195,
    MATCH($C28,'在庫使用計画 (全体実績+予測）0701'!$C$1:$C$195,0),
    MATCH(AR$1,'在庫使用計画 (全体実績+予測）0701'!$A$1:$BD$1,0)
),
  IFERROR(
    IF(_xlpm._全体実績予測=0,"",_xlpm._全体実績予測),
  "")
)</f>
        <v>58.394683821232519</v>
      </c>
      <c r="AS28" s="244">
        <f>_xlfn.LET(_xlpm._全体実績予測,
  INDEX('在庫使用計画 (全体実績+予測）0701'!$A$1:$BD$195,
    MATCH($C28,'在庫使用計画 (全体実績+予測）0701'!$C$1:$C$195,0),
    MATCH(AS$1,'在庫使用計画 (全体実績+予測）0701'!$A$1:$BD$1,0)
),
  IFERROR(
    IF(_xlpm._全体実績予測=0,"",_xlpm._全体実績予測),
  "")
)</f>
        <v>66.364253514344767</v>
      </c>
      <c r="AT28" s="805">
        <f>_xlfn.LET(_xlpm._全体実績予測,
  INDEX('在庫使用計画 (全体実績+予測）0701'!$A$1:$BD$195,
    MATCH($C28,'在庫使用計画 (全体実績+予測）0701'!$C$1:$C$195,0),
    MATCH(AT$1,'在庫使用計画 (全体実績+予測）0701'!$A$1:$BD$1,0)
),
  IFERROR(
    IF(_xlpm._全体実績予測=0,"",_xlpm._全体実績予測),
  "")
)</f>
        <v>104.34639869574019</v>
      </c>
      <c r="AU28" s="804">
        <f>_xlfn.LET(_xlpm._全体実績予測,
  INDEX('在庫使用計画 (全体実績+予測）0701'!$A$1:$BD$195,
    MATCH($C28,'在庫使用計画 (全体実績+予測）0701'!$C$1:$C$195,0),
    MATCH(AU$1,'在庫使用計画 (全体実績+予測）0701'!$A$1:$BD$1,0)
),
  IFERROR(
    IF(_xlpm._全体実績予測=0,"",_xlpm._全体実績予測),
  "")
)</f>
        <v>87.253497450215491</v>
      </c>
      <c r="AV28" s="224">
        <f>_xlfn.LET(_xlpm._全体実績予測,
  INDEX('在庫使用計画 (全体実績+予測）0701'!$A$1:$BD$195,
    MATCH($C28,'在庫使用計画 (全体実績+予測）0701'!$C$1:$C$195,0),
    MATCH(AV$1,'在庫使用計画 (全体実績+予測）0701'!$A$1:$BD$1,0)
),
  IFERROR(
    IF(_xlpm._全体実績予測=0,"",_xlpm._全体実績予測),
  "")
)</f>
        <v>78.545276182236975</v>
      </c>
      <c r="AW28" s="224">
        <f>_xlfn.LET(_xlpm._全体実績予測,
  INDEX('在庫使用計画 (全体実績+予測）0701'!$A$1:$BD$195,
    MATCH($C28,'在庫使用計画 (全体実績+予測）0701'!$C$1:$C$195,0),
    MATCH(AW$1,'在庫使用計画 (全体実績+予測）0701'!$A$1:$BD$1,0)
),
  IFERROR(
    IF(_xlpm._全体実績予測=0,"",_xlpm._全体実績予測),
  "")
)</f>
        <v>113.01076789102946</v>
      </c>
      <c r="AX28" s="224">
        <f>_xlfn.LET(_xlpm._全体実績予測,
  INDEX('在庫使用計画 (全体実績+予測）0701'!$A$1:$BD$195,
    MATCH($C28,'在庫使用計画 (全体実績+予測）0701'!$C$1:$C$195,0),
    MATCH(AX$1,'在庫使用計画 (全体実績+予測）0701'!$A$1:$BD$1,0)
),
  IFERROR(
    IF(_xlpm._全体実績予測=0,"",_xlpm._全体実績予測),
  "")
)</f>
        <v>86.990977373987363</v>
      </c>
      <c r="AY28" s="224">
        <f>_xlfn.LET(_xlpm._全体実績予測,
  INDEX('在庫使用計画 (全体実績+予測）0701'!$A$1:$BD$195,
    MATCH($C28,'在庫使用計画 (全体実績+予測）0701'!$C$1:$C$195,0),
    MATCH(AY$1,'在庫使用計画 (全体実績+予測）0701'!$A$1:$BD$1,0)
),
  IFERROR(
    IF(_xlpm._全体実績予測=0,"",_xlpm._全体実績予測),
  "")
)</f>
        <v>69.446459485924933</v>
      </c>
      <c r="AZ28" s="224">
        <f>_xlfn.LET(_xlpm._全体実績予測,
  INDEX('在庫使用計画 (全体実績+予測）0701'!$A$1:$BD$195,
    MATCH($C28,'在庫使用計画 (全体実績+予測）0701'!$C$1:$C$195,0),
    MATCH(AZ$1,'在庫使用計画 (全体実績+予測）0701'!$A$1:$BD$1,0)
),
  IFERROR(
    IF(_xlpm._全体実績予測=0,"",_xlpm._全体実績予測),
  "")
)</f>
        <v>80.357142857142847</v>
      </c>
      <c r="BA28" s="224">
        <f>_xlfn.LET(_xlpm._全体実績予測,
  INDEX('在庫使用計画 (全体実績+予測）0701'!$A$1:$BD$195,
    MATCH($C28,'在庫使用計画 (全体実績+予測）0701'!$C$1:$C$195,0),
    MATCH(BA$1,'在庫使用計画 (全体実績+予測）0701'!$A$1:$BD$1,0)
),
  IFERROR(
    IF(_xlpm._全体実績予測=0,"",_xlpm._全体実績予測),
  "")
)</f>
        <v>101.92845404793408</v>
      </c>
      <c r="BB28" s="224">
        <f>_xlfn.LET(_xlpm._全体実績予測,
  INDEX('在庫使用計画 (全体実績+予測）0701'!$A$1:$BD$195,
    MATCH($C28,'在庫使用計画 (全体実績+予測）0701'!$C$1:$C$195,0),
    MATCH(BB$1,'在庫使用計画 (全体実績+予測）0701'!$A$1:$BD$1,0)
),
  IFERROR(
    IF(_xlpm._全体実績予測=0,"",_xlpm._全体実績予測),
  "")
)</f>
        <v>83.304699348833083</v>
      </c>
      <c r="BC28" s="224">
        <f>_xlfn.LET(_xlpm._全体実績予測,
  INDEX('在庫使用計画 (全体実績+予測）0701'!$A$1:$BD$195,
    MATCH($C28,'在庫使用計画 (全体実績+予測）0701'!$C$1:$C$195,0),
    MATCH(BC$1,'在庫使用計画 (全体実績+予測）0701'!$A$1:$BD$1,0)
),
  IFERROR(
    IF(_xlpm._全体実績予測=0,"",_xlpm._全体実績予測),
  "")
)</f>
        <v>67.16396472290522</v>
      </c>
      <c r="BD28" s="224">
        <f>_xlfn.LET(_xlpm._全体実績予測,
  INDEX('在庫使用計画 (全体実績+予測）0701'!$A$1:$BD$195,
    MATCH($C28,'在庫使用計画 (全体実績+予測）0701'!$C$1:$C$195,0),
    MATCH(BD$1,'在庫使用計画 (全体実績+予測）0701'!$A$1:$BD$1,0)
),
  IFERROR(
    IF(_xlpm._全体実績予測=0,"",_xlpm._全体実績予測),
  "")
)</f>
        <v>58.394683821232519</v>
      </c>
      <c r="BE28" s="224">
        <f>_xlfn.LET(_xlpm._全体実績予測,
  INDEX('在庫使用計画 (全体実績+予測）0701'!$A$1:$BD$195,
    MATCH($C28,'在庫使用計画 (全体実績+予測）0701'!$C$1:$C$195,0),
    MATCH(BE$1,'在庫使用計画 (全体実績+予測）0701'!$A$1:$BD$1,0)
),
  IFERROR(
    IF(_xlpm._全体実績予測=0,"",_xlpm._全体実績予測),
  "")
)</f>
        <v>66.364253514344767</v>
      </c>
      <c r="BF28" s="805">
        <f>_xlfn.LET(_xlpm._全体実績予測,
  INDEX('在庫使用計画 (全体実績+予測）0701'!$A$1:$BD$195,
    MATCH($C28,'在庫使用計画 (全体実績+予測）0701'!$C$1:$C$195,0),
    MATCH(BF$1,'在庫使用計画 (全体実績+予測）0701'!$A$1:$BD$1,0)
),
  IFERROR(
    IF(_xlpm._全体実績予測=0,"",_xlpm._全体実績予測),
  "")
)</f>
        <v>104.34639869574019</v>
      </c>
    </row>
    <row r="29" spans="1:59" hidden="1" outlineLevel="1">
      <c r="A29" s="33" t="s">
        <v>1770</v>
      </c>
      <c r="B29" s="1211" t="str">
        <v>UNW-ID2</v>
      </c>
      <c r="C29" s="26" t="s">
        <v>1771</v>
      </c>
      <c r="D29" s="1258" t="s">
        <v>1768</v>
      </c>
      <c r="E29" s="26">
        <v>5090</v>
      </c>
      <c r="F29" s="24" t="s">
        <v>1347</v>
      </c>
      <c r="G29" s="38">
        <v>0</v>
      </c>
      <c r="H29" s="38">
        <f ca="1">_xlfn.LET(_xlpm._今月から4ヶ月計画合計,
  SUM(
    OFFSET($A29,0,
      MATCH(
        EDATE(基準データ!$C$5,3),$A$1:$BE$1,1
      )-4,1,4)),
  IF($C29="","",_xlpm._今月から4ヶ月計画合計
)
)</f>
        <v>6</v>
      </c>
      <c r="I29" s="38">
        <f>SUMIFS(マスタ_EOLリスト[在庫],マスタ_EOLリスト[製品型番],'在庫使用計画 (計画　予測)'!$C:$C)</f>
        <v>0</v>
      </c>
      <c r="J29" s="1116" t="str" cm="1">
        <f t="array" ref="J29">_xlfn.IFS($C29="","",
  $G29="","発売前？",
  $G29=0,"在庫なし",
  TRUE,
  IFERROR(
    _xlfn.LET(
      _xlpm._在庫注残,     $G29,
      _xlpm._しきい値,     _xlpm._在庫注残 * 0.75,
      _xlpm._見出し元,     $K$1:$BT$1,
      _xlpm._計画,         $K29:$BT29,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在庫なし</v>
      </c>
      <c r="K29" s="38"/>
      <c r="L29" s="38"/>
      <c r="M29" s="38"/>
      <c r="N29" s="38"/>
      <c r="O29" s="38"/>
      <c r="P29" s="38"/>
      <c r="Q29" s="116"/>
      <c r="R29" s="1350"/>
      <c r="S29" s="219"/>
      <c r="T29" s="219"/>
      <c r="U29" s="219"/>
      <c r="V29" s="219"/>
      <c r="W29" s="224"/>
      <c r="X29" s="224"/>
      <c r="Y29" s="223"/>
      <c r="Z29" s="241"/>
      <c r="AA29" s="224"/>
      <c r="AB29" s="224"/>
      <c r="AC29" s="805"/>
      <c r="AD29" s="244"/>
      <c r="AE29" s="224"/>
      <c r="AF29" s="224"/>
      <c r="AG29" s="224"/>
      <c r="AH29" s="237"/>
      <c r="AI29" s="804" t="s">
        <v>21</v>
      </c>
      <c r="AJ29" s="224" t="s">
        <v>21</v>
      </c>
      <c r="AK29" s="224" t="s">
        <v>21</v>
      </c>
      <c r="AL29" s="224" t="s">
        <v>21</v>
      </c>
      <c r="AM29" s="224" t="str">
        <f>_xlfn.XLOOKUP(
$C29,
'在庫使用計画 (ノート全体試算)'!$C$1:$C$170,
'在庫使用計画 (ノート全体試算)'!AN$1:AN$170,
"")</f>
        <v/>
      </c>
      <c r="AN29" s="237" t="str">
        <f>_xlfn.XLOOKUP(
$C29,
'在庫使用計画 (ノート全体試算)'!$C$1:$C$170,
'在庫使用計画 (ノート全体試算)'!AO$1:AO$170,
"")</f>
        <v/>
      </c>
      <c r="AO29" s="237" t="str">
        <f>_xlfn.XLOOKUP(
$C29,
'在庫使用計画 (ノート全体試算)'!$C$1:$C$170,
'在庫使用計画 (ノート全体試算)'!AP$1:AP$170,
"")</f>
        <v/>
      </c>
      <c r="AP29" s="224" t="str">
        <f>_xlfn.XLOOKUP(
$C29,
'在庫使用計画 (ノート全体試算)'!$C$1:$C$170,
'在庫使用計画 (ノート全体試算)'!AQ$1:AQ$170,
"")</f>
        <v/>
      </c>
      <c r="AQ29" s="1050" t="str">
        <f>_xlfn.XLOOKUP(
$C29,
'在庫使用計画 (ノート全体試算)'!$C$1:$C$170,
'在庫使用計画 (ノート全体試算)'!AR$1:AR$170,
"")</f>
        <v/>
      </c>
      <c r="AR29" s="2130">
        <f>_xlfn.XLOOKUP(
$C29,
'在庫使用計画 (ノート全体試算)'!$C$1:$C$170,
'在庫使用計画 (ノート全体試算)'!AS$1:AS$170,
"")</f>
        <v>6</v>
      </c>
      <c r="AS29" s="244">
        <f>_xlfn.XLOOKUP(
$C29,
'在庫使用計画 (ノート全体試算)'!$C$1:$C$170,
'在庫使用計画 (ノート全体試算)'!AT$1:AT$170,
"")</f>
        <v>35</v>
      </c>
      <c r="AT29" s="805">
        <f>_xlfn.XLOOKUP(
$C29,
'在庫使用計画 (ノート全体試算)'!$C$1:$C$170,
'在庫使用計画 (ノート全体試算)'!AU$1:AU$170,
"")</f>
        <v>35</v>
      </c>
      <c r="AU29" s="804">
        <f>_xlfn.XLOOKUP(
$C29,
'在庫使用計画 (ノート全体試算)'!$C$1:$C$170,
'在庫使用計画 (ノート全体試算)'!AV$1:AV$170,
"")</f>
        <v>35</v>
      </c>
      <c r="AV29" s="224">
        <f>_xlfn.XLOOKUP(
$C29,
'在庫使用計画 (ノート全体試算)'!$C$1:$C$170,
'在庫使用計画 (ノート全体試算)'!AW$1:AW$170,
"")</f>
        <v>35</v>
      </c>
      <c r="AW29" s="224">
        <f>_xlfn.XLOOKUP(
$C29,
'在庫使用計画 (ノート全体試算)'!$C$1:$C$170,
'在庫使用計画 (ノート全体試算)'!AX$1:AX$170,
"")</f>
        <v>35</v>
      </c>
      <c r="AX29" s="224">
        <f>_xlfn.XLOOKUP(
$C29,
'在庫使用計画 (ノート全体試算)'!$C$1:$C$170,
'在庫使用計画 (ノート全体試算)'!AY$1:AY$170,
"")</f>
        <v>35</v>
      </c>
      <c r="AY29" s="224">
        <f>_xlfn.XLOOKUP(
$C29,
'在庫使用計画 (ノート全体試算)'!$C$1:$C$170,
'在庫使用計画 (ノート全体試算)'!AZ$1:AZ$170,
"")</f>
        <v>35</v>
      </c>
      <c r="AZ29" s="224" t="str">
        <f>_xlfn.XLOOKUP(
$C29,
'在庫使用計画 (ノート全体試算)'!$C$1:$C$170,
'在庫使用計画 (ノート全体試算)'!BA$1:BA$170,
"")</f>
        <v/>
      </c>
      <c r="BA29" s="224" t="str">
        <f>_xlfn.XLOOKUP(
$C29,
'在庫使用計画 (ノート全体試算)'!$C$1:$C$170,
'在庫使用計画 (ノート全体試算)'!BB$1:BB$170,
"")</f>
        <v/>
      </c>
      <c r="BB29" s="224" t="str">
        <f>_xlfn.XLOOKUP(
$C29,
'在庫使用計画 (ノート全体試算)'!$C$1:$C$170,
'在庫使用計画 (ノート全体試算)'!BC$1:BC$170,
"")</f>
        <v/>
      </c>
      <c r="BC29" s="224" t="str">
        <f>_xlfn.XLOOKUP(
$C29,
'在庫使用計画 (ノート全体試算)'!$C$1:$C$170,
'在庫使用計画 (ノート全体試算)'!BD$1:BD$170,
"")</f>
        <v/>
      </c>
      <c r="BD29" s="224" t="str">
        <f>_xlfn.XLOOKUP(
$C29,
'在庫使用計画 (ノート全体試算)'!$C$1:$C$170,
'在庫使用計画 (ノート全体試算)'!BE$1:BE$170,
"")</f>
        <v/>
      </c>
      <c r="BE29" s="224" t="str">
        <f>_xlfn.XLOOKUP(
$C29,
'在庫使用計画 (ノート全体試算)'!$C$1:$C$170,
'在庫使用計画 (ノート全体試算)'!BF$1:BF$170,
"")</f>
        <v/>
      </c>
      <c r="BF29" s="805" t="str">
        <f>_xlfn.XLOOKUP(
$C29,
'在庫使用計画 (ノート全体試算)'!$C$1:$C$170,
'在庫使用計画 (ノート全体試算)'!BG$1:BG$170,
"")</f>
        <v/>
      </c>
    </row>
    <row r="30" spans="1:59" hidden="1" outlineLevel="1">
      <c r="A30" s="33"/>
      <c r="B30" s="111" t="str">
        <v>UNW-ID2</v>
      </c>
      <c r="C30" s="26" t="s">
        <v>1771</v>
      </c>
      <c r="D30" s="1258" t="s">
        <v>1763</v>
      </c>
      <c r="E30" s="26"/>
      <c r="F30" s="24"/>
      <c r="G30" s="38">
        <v>0</v>
      </c>
      <c r="H30" s="38">
        <f ca="1">_xlfn.LET(_xlpm._今月から4ヶ月計画合計,
  SUM(
    OFFSET($A30,0,
      MATCH(
        EDATE(基準データ!$C$5,3),$A$1:$BE$1,1
      )-4,1,4)),
  IF($C30="","",_xlpm._今月から4ヶ月計画合計
)
)</f>
        <v>0</v>
      </c>
      <c r="I30" s="38">
        <f t="shared" si="6"/>
        <v>0</v>
      </c>
      <c r="J30" s="1116" t="str" cm="1">
        <f t="array" ref="J30">_xlfn.IFS($C30="","",
  $G30="","発売前？",
  $G30=0,"在庫なし",
  TRUE,
  IFERROR(
    _xlfn.LET(
      _xlpm._在庫注残,     $G30,
      _xlpm._しきい値,     _xlpm._在庫注残 * 0.75,
      _xlpm._見出し元,     $K$1:$BT$1,
      _xlpm._計画,         $K30:$BT30,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在庫なし</v>
      </c>
      <c r="K30" s="38"/>
      <c r="L30" s="38"/>
      <c r="M30" s="38"/>
      <c r="N30" s="38"/>
      <c r="O30" s="38"/>
      <c r="P30" s="38"/>
      <c r="Q30" s="116"/>
      <c r="R30" s="1350"/>
      <c r="S30" s="219"/>
      <c r="T30" s="219"/>
      <c r="U30" s="219"/>
      <c r="V30" s="222"/>
      <c r="W30" s="224" t="s">
        <v>21</v>
      </c>
      <c r="X30" s="224"/>
      <c r="Y30" s="224"/>
      <c r="Z30" s="909"/>
      <c r="AA30" s="468"/>
      <c r="AB30" s="219"/>
      <c r="AC30" s="1351"/>
      <c r="AD30" s="244"/>
      <c r="AE30" s="224"/>
      <c r="AF30" s="224"/>
      <c r="AG30" s="224"/>
      <c r="AH30" s="237"/>
      <c r="AI30" s="804" t="s">
        <v>21</v>
      </c>
      <c r="AJ30" s="224" t="s">
        <v>21</v>
      </c>
      <c r="AK30" s="224" t="s">
        <v>21</v>
      </c>
      <c r="AL30" s="224" t="s">
        <v>21</v>
      </c>
      <c r="AM30" s="224" t="str">
        <f>_xlfn.LET(_xlpm._全体実績予測,
  INDEX('在庫使用計画 (全体実績+予測）0701'!$A$1:$BD$195,
    MATCH($C30,'在庫使用計画 (全体実績+予測）0701'!$C$1:$C$195,0),
    MATCH(AM$1,'在庫使用計画 (全体実績+予測）0701'!$A$1:$BD$1,0)
),
  IFERROR(
    IF(_xlpm._全体実績予測=0,"",_xlpm._全体実績予測),
  "")
)</f>
        <v/>
      </c>
      <c r="AN30" s="237" t="str">
        <f>_xlfn.LET(_xlpm._全体実績予測,
  INDEX('在庫使用計画 (全体実績+予測）0701'!$A$1:$BD$195,
    MATCH($C30,'在庫使用計画 (全体実績+予測）0701'!$C$1:$C$195,0),
    MATCH(AN$1,'在庫使用計画 (全体実績+予測）0701'!$A$1:$BD$1,0)
),
  IFERROR(
    IF(_xlpm._全体実績予測=0,"",_xlpm._全体実績予測),
  "")
)</f>
        <v/>
      </c>
      <c r="AO30" s="237" t="str">
        <f>_xlfn.LET(_xlpm._全体実績予測,
  INDEX('在庫使用計画 (全体実績+予測）0701'!$A$1:$BD$195,
    MATCH($C30,'在庫使用計画 (全体実績+予測）0701'!$C$1:$C$195,0),
    MATCH(AO$1,'在庫使用計画 (全体実績+予測）0701'!$A$1:$BD$1,0)
),
  IFERROR(
    IF(_xlpm._全体実績予測=0,"",_xlpm._全体実績予測),
  "")
)</f>
        <v/>
      </c>
      <c r="AP30" s="224" t="str">
        <f>_xlfn.LET(_xlpm._全体実績予測,
  INDEX('在庫使用計画 (全体実績+予測）0701'!$A$1:$BD$195,
    MATCH($C30,'在庫使用計画 (全体実績+予測）0701'!$C$1:$C$195,0),
    MATCH(AP$1,'在庫使用計画 (全体実績+予測）0701'!$A$1:$BD$1,0)
),
  IFERROR(
    IF(_xlpm._全体実績予測=0,"",_xlpm._全体実績予測),
  "")
)</f>
        <v/>
      </c>
      <c r="AQ30" s="1050" t="str">
        <f>_xlfn.LET(_xlpm._全体実績予測,
  INDEX('在庫使用計画 (全体実績+予測）0701'!$A$1:$BD$195,
    MATCH($C30,'在庫使用計画 (全体実績+予測）0701'!$C$1:$C$195,0),
    MATCH(AQ$1,'在庫使用計画 (全体実績+予測）0701'!$A$1:$BD$1,0)
),
  IFERROR(
    IF(_xlpm._全体実績予測=0,"",_xlpm._全体実績予測),
  "")
)</f>
        <v/>
      </c>
      <c r="AR30" s="2130" t="str">
        <f>_xlfn.LET(_xlpm._全体実績予測,
  INDEX('在庫使用計画 (全体実績+予測）0701'!$A$1:$BD$195,
    MATCH($C30,'在庫使用計画 (全体実績+予測）0701'!$C$1:$C$195,0),
    MATCH(AR$1,'在庫使用計画 (全体実績+予測）0701'!$A$1:$BD$1,0)
),
  IFERROR(
    IF(_xlpm._全体実績予測=0,"",_xlpm._全体実績予測),
  "")
)</f>
        <v/>
      </c>
      <c r="AS30" s="244" t="str">
        <f>_xlfn.LET(_xlpm._全体実績予測,
  INDEX('在庫使用計画 (全体実績+予測）0701'!$A$1:$BD$195,
    MATCH($C30,'在庫使用計画 (全体実績+予測）0701'!$C$1:$C$195,0),
    MATCH(AS$1,'在庫使用計画 (全体実績+予測）0701'!$A$1:$BD$1,0)
),
  IFERROR(
    IF(_xlpm._全体実績予測=0,"",_xlpm._全体実績予測),
  "")
)</f>
        <v/>
      </c>
      <c r="AT30" s="805" t="str">
        <f>_xlfn.LET(_xlpm._全体実績予測,
  INDEX('在庫使用計画 (全体実績+予測）0701'!$A$1:$BD$195,
    MATCH($C30,'在庫使用計画 (全体実績+予測）0701'!$C$1:$C$195,0),
    MATCH(AT$1,'在庫使用計画 (全体実績+予測）0701'!$A$1:$BD$1,0)
),
  IFERROR(
    IF(_xlpm._全体実績予測=0,"",_xlpm._全体実績予測),
  "")
)</f>
        <v/>
      </c>
      <c r="AU30" s="804" t="str">
        <f>_xlfn.LET(_xlpm._全体実績予測,
  INDEX('在庫使用計画 (全体実績+予測）0701'!$A$1:$BD$195,
    MATCH($C30,'在庫使用計画 (全体実績+予測）0701'!$C$1:$C$195,0),
    MATCH(AU$1,'在庫使用計画 (全体実績+予測）0701'!$A$1:$BD$1,0)
),
  IFERROR(
    IF(_xlpm._全体実績予測=0,"",_xlpm._全体実績予測),
  "")
)</f>
        <v/>
      </c>
      <c r="AV30" s="224" t="str">
        <f>_xlfn.LET(_xlpm._全体実績予測,
  INDEX('在庫使用計画 (全体実績+予測）0701'!$A$1:$BD$195,
    MATCH($C30,'在庫使用計画 (全体実績+予測）0701'!$C$1:$C$195,0),
    MATCH(AV$1,'在庫使用計画 (全体実績+予測）0701'!$A$1:$BD$1,0)
),
  IFERROR(
    IF(_xlpm._全体実績予測=0,"",_xlpm._全体実績予測),
  "")
)</f>
        <v/>
      </c>
      <c r="AW30" s="224" t="str">
        <f>_xlfn.LET(_xlpm._全体実績予測,
  INDEX('在庫使用計画 (全体実績+予測）0701'!$A$1:$BD$195,
    MATCH($C30,'在庫使用計画 (全体実績+予測）0701'!$C$1:$C$195,0),
    MATCH(AW$1,'在庫使用計画 (全体実績+予測）0701'!$A$1:$BD$1,0)
),
  IFERROR(
    IF(_xlpm._全体実績予測=0,"",_xlpm._全体実績予測),
  "")
)</f>
        <v/>
      </c>
      <c r="AX30" s="224" t="str">
        <f>_xlfn.LET(_xlpm._全体実績予測,
  INDEX('在庫使用計画 (全体実績+予測）0701'!$A$1:$BD$195,
    MATCH($C30,'在庫使用計画 (全体実績+予測）0701'!$C$1:$C$195,0),
    MATCH(AX$1,'在庫使用計画 (全体実績+予測）0701'!$A$1:$BD$1,0)
),
  IFERROR(
    IF(_xlpm._全体実績予測=0,"",_xlpm._全体実績予測),
  "")
)</f>
        <v/>
      </c>
      <c r="AY30" s="224" t="str">
        <f>_xlfn.LET(_xlpm._全体実績予測,
  INDEX('在庫使用計画 (全体実績+予測）0701'!$A$1:$BD$195,
    MATCH($C30,'在庫使用計画 (全体実績+予測）0701'!$C$1:$C$195,0),
    MATCH(AY$1,'在庫使用計画 (全体実績+予測）0701'!$A$1:$BD$1,0)
),
  IFERROR(
    IF(_xlpm._全体実績予測=0,"",_xlpm._全体実績予測),
  "")
)</f>
        <v/>
      </c>
      <c r="AZ30" s="224" t="str">
        <f>_xlfn.LET(_xlpm._全体実績予測,
  INDEX('在庫使用計画 (全体実績+予測）0701'!$A$1:$BD$195,
    MATCH($C30,'在庫使用計画 (全体実績+予測）0701'!$C$1:$C$195,0),
    MATCH(AZ$1,'在庫使用計画 (全体実績+予測）0701'!$A$1:$BD$1,0)
),
  IFERROR(
    IF(_xlpm._全体実績予測=0,"",_xlpm._全体実績予測),
  "")
)</f>
        <v/>
      </c>
      <c r="BA30" s="224" t="str">
        <f>_xlfn.LET(_xlpm._全体実績予測,
  INDEX('在庫使用計画 (全体実績+予測）0701'!$A$1:$BD$195,
    MATCH($C30,'在庫使用計画 (全体実績+予測）0701'!$C$1:$C$195,0),
    MATCH(BA$1,'在庫使用計画 (全体実績+予測）0701'!$A$1:$BD$1,0)
),
  IFERROR(
    IF(_xlpm._全体実績予測=0,"",_xlpm._全体実績予測),
  "")
)</f>
        <v/>
      </c>
      <c r="BB30" s="224" t="str">
        <f>_xlfn.LET(_xlpm._全体実績予測,
  INDEX('在庫使用計画 (全体実績+予測）0701'!$A$1:$BD$195,
    MATCH($C30,'在庫使用計画 (全体実績+予測）0701'!$C$1:$C$195,0),
    MATCH(BB$1,'在庫使用計画 (全体実績+予測）0701'!$A$1:$BD$1,0)
),
  IFERROR(
    IF(_xlpm._全体実績予測=0,"",_xlpm._全体実績予測),
  "")
)</f>
        <v/>
      </c>
      <c r="BC30" s="224" t="str">
        <f>_xlfn.LET(_xlpm._全体実績予測,
  INDEX('在庫使用計画 (全体実績+予測）0701'!$A$1:$BD$195,
    MATCH($C30,'在庫使用計画 (全体実績+予測）0701'!$C$1:$C$195,0),
    MATCH(BC$1,'在庫使用計画 (全体実績+予測）0701'!$A$1:$BD$1,0)
),
  IFERROR(
    IF(_xlpm._全体実績予測=0,"",_xlpm._全体実績予測),
  "")
)</f>
        <v/>
      </c>
      <c r="BD30" s="224" t="str">
        <f>_xlfn.LET(_xlpm._全体実績予測,
  INDEX('在庫使用計画 (全体実績+予測）0701'!$A$1:$BD$195,
    MATCH($C30,'在庫使用計画 (全体実績+予測）0701'!$C$1:$C$195,0),
    MATCH(BD$1,'在庫使用計画 (全体実績+予測）0701'!$A$1:$BD$1,0)
),
  IFERROR(
    IF(_xlpm._全体実績予測=0,"",_xlpm._全体実績予測),
  "")
)</f>
        <v/>
      </c>
      <c r="BE30" s="224" t="str">
        <f>_xlfn.LET(_xlpm._全体実績予測,
  INDEX('在庫使用計画 (全体実績+予測）0701'!$A$1:$BD$195,
    MATCH($C30,'在庫使用計画 (全体実績+予測）0701'!$C$1:$C$195,0),
    MATCH(BE$1,'在庫使用計画 (全体実績+予測）0701'!$A$1:$BD$1,0)
),
  IFERROR(
    IF(_xlpm._全体実績予測=0,"",_xlpm._全体実績予測),
  "")
)</f>
        <v/>
      </c>
      <c r="BF30" s="805" t="str">
        <f>_xlfn.LET(_xlpm._全体実績予測,
  INDEX('在庫使用計画 (全体実績+予測）0701'!$A$1:$BD$195,
    MATCH($C30,'在庫使用計画 (全体実績+予測）0701'!$C$1:$C$195,0),
    MATCH(BF$1,'在庫使用計画 (全体実績+予測）0701'!$A$1:$BD$1,0)
),
  IFERROR(
    IF(_xlpm._全体実績予測=0,"",_xlpm._全体実績予測),
  "")
)</f>
        <v/>
      </c>
    </row>
    <row r="31" spans="1:59" ht="18.75" customHeight="1" collapsed="1">
      <c r="A31" s="293" t="s">
        <v>1361</v>
      </c>
      <c r="B31" s="111" t="str">
        <v>UNW-E-13620H-4050-L6</v>
      </c>
      <c r="C31" s="26" t="s">
        <v>1215</v>
      </c>
      <c r="D31" s="1258" t="s">
        <v>1365</v>
      </c>
      <c r="E31" s="26">
        <v>4050</v>
      </c>
      <c r="F31" s="26" t="s">
        <v>1347</v>
      </c>
      <c r="G31" s="38">
        <v>1414</v>
      </c>
      <c r="H31" s="38">
        <f ca="1">_xlfn.LET(_xlpm._今月から4ヶ月計画合計,
  SUM(
    OFFSET($A31,0,
      MATCH(
        EDATE(基準データ!$C$5,3),$A$1:$BE$1,1
      )-4,1,4)),
  IF($C31="","",_xlpm._今月から4ヶ月計画合計
)
)</f>
        <v>1579</v>
      </c>
      <c r="I31" s="38">
        <f>SUMIFS(マスタ_EOLリスト[在庫],マスタ_EOLリスト[製品型番],'在庫使用計画 (計画　予測)'!$C:$C)</f>
        <v>1414</v>
      </c>
      <c r="J31" s="1116" cm="1">
        <f t="array" ref="J31">_xlfn.IFS($C31="","",
  $G31="","発売前？",
  $G31=0,"在庫なし",
  TRUE,
  IFERROR(
    _xlfn.LET(
      _xlpm._在庫注残,     $G31,
      _xlpm._しきい値,     _xlpm._在庫注残 * 0.75,
      _xlpm._見出し元,     $K$1:$BT$1,
      _xlpm._計画,         $K31:$BT31,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46266</v>
      </c>
      <c r="K31" s="38" t="s">
        <v>21</v>
      </c>
      <c r="L31" s="38" t="s">
        <v>21</v>
      </c>
      <c r="M31" s="38" t="s">
        <v>21</v>
      </c>
      <c r="N31" s="38" t="s">
        <v>21</v>
      </c>
      <c r="O31" s="38" t="s">
        <v>21</v>
      </c>
      <c r="P31" s="38" t="s">
        <v>21</v>
      </c>
      <c r="Q31" s="116" t="s">
        <v>21</v>
      </c>
      <c r="R31" s="1350" t="s">
        <v>21</v>
      </c>
      <c r="S31" s="219" t="s">
        <v>21</v>
      </c>
      <c r="T31" s="219">
        <v>25</v>
      </c>
      <c r="U31" s="219">
        <v>335.30902503794056</v>
      </c>
      <c r="V31" s="219">
        <v>442.56251493856411</v>
      </c>
      <c r="W31" s="224">
        <v>405.86678181694236</v>
      </c>
      <c r="X31" s="224">
        <v>259</v>
      </c>
      <c r="Y31" s="224">
        <v>415</v>
      </c>
      <c r="Z31" s="237">
        <v>324.76160068114092</v>
      </c>
      <c r="AA31" s="224">
        <v>413.26990208599398</v>
      </c>
      <c r="AB31" s="224">
        <v>568</v>
      </c>
      <c r="AC31" s="805">
        <v>652</v>
      </c>
      <c r="AD31" s="244">
        <v>841</v>
      </c>
      <c r="AE31" s="224">
        <v>924.59865939508973</v>
      </c>
      <c r="AF31" s="224">
        <v>803</v>
      </c>
      <c r="AG31" s="224">
        <v>401.66666666666669</v>
      </c>
      <c r="AH31" s="237">
        <v>572.33333333333326</v>
      </c>
      <c r="AI31" s="804">
        <v>362</v>
      </c>
      <c r="AJ31" s="224">
        <v>528.89745461617201</v>
      </c>
      <c r="AK31" s="224">
        <v>845.7905516185632</v>
      </c>
      <c r="AL31" s="224">
        <v>387</v>
      </c>
      <c r="AM31" s="224">
        <f>_xlfn.XLOOKUP(
$C31,
'在庫使用計画 (ノート全体試算)'!$C$1:$C$170,
'在庫使用計画 (ノート全体試算)'!AN$1:AN$170,
"")</f>
        <v>332</v>
      </c>
      <c r="AN31" s="237">
        <f>_xlfn.XLOOKUP(
$C31,
'在庫使用計画 (ノート全体試算)'!$C$1:$C$170,
'在庫使用計画 (ノート全体試算)'!AO$1:AO$170,
"")</f>
        <v>450</v>
      </c>
      <c r="AO31" s="237">
        <f>_xlfn.XLOOKUP(
$C31,
'在庫使用計画 (ノート全体試算)'!$C$1:$C$170,
'在庫使用計画 (ノート全体試算)'!AP$1:AP$170,
"")</f>
        <v>450</v>
      </c>
      <c r="AP31" s="224">
        <f>_xlfn.XLOOKUP(
$C31,
'在庫使用計画 (ノート全体試算)'!$C$1:$C$170,
'在庫使用計画 (ノート全体試算)'!AQ$1:AQ$170,
"")</f>
        <v>623</v>
      </c>
      <c r="AQ31" s="1050">
        <f>_xlfn.XLOOKUP(
$C31,
'在庫使用計画 (ノート全体試算)'!$C$1:$C$170,
'在庫使用計画 (ノート全体試算)'!AR$1:AR$170,
"")</f>
        <v>453</v>
      </c>
      <c r="AR31" s="2130">
        <f>_xlfn.XLOOKUP(
$C31,
'在庫使用計画 (ノート全体試算)'!$C$1:$C$170,
'在庫使用計画 (ノート全体試算)'!AS$1:AS$170,
"")</f>
        <v>53</v>
      </c>
      <c r="AS31" s="244">
        <f>_xlfn.XLOOKUP(
$C31,
'在庫使用計画 (ノート全体試算)'!$C$1:$C$170,
'在庫使用計画 (ノート全体試算)'!AT$1:AT$170,
"")</f>
        <v>53</v>
      </c>
      <c r="AT31" s="805" t="str">
        <f>_xlfn.XLOOKUP(
$C31,
'在庫使用計画 (ノート全体試算)'!$C$1:$C$170,
'在庫使用計画 (ノート全体試算)'!AU$1:AU$170,
"")</f>
        <v/>
      </c>
      <c r="AU31" s="804" t="str">
        <f>_xlfn.XLOOKUP(
$C31,
'在庫使用計画 (ノート全体試算)'!$C$1:$C$170,
'在庫使用計画 (ノート全体試算)'!AV$1:AV$170,
"")</f>
        <v/>
      </c>
      <c r="AV31" s="224" t="str">
        <f>_xlfn.XLOOKUP(
$C31,
'在庫使用計画 (ノート全体試算)'!$C$1:$C$170,
'在庫使用計画 (ノート全体試算)'!AW$1:AW$170,
"")</f>
        <v/>
      </c>
      <c r="AW31" s="224" t="str">
        <f>_xlfn.XLOOKUP(
$C31,
'在庫使用計画 (ノート全体試算)'!$C$1:$C$170,
'在庫使用計画 (ノート全体試算)'!AX$1:AX$170,
"")</f>
        <v/>
      </c>
      <c r="AX31" s="224" t="str">
        <f>_xlfn.XLOOKUP(
$C31,
'在庫使用計画 (ノート全体試算)'!$C$1:$C$170,
'在庫使用計画 (ノート全体試算)'!AY$1:AY$170,
"")</f>
        <v/>
      </c>
      <c r="AY31" s="224" t="str">
        <f>_xlfn.XLOOKUP(
$C31,
'在庫使用計画 (ノート全体試算)'!$C$1:$C$170,
'在庫使用計画 (ノート全体試算)'!AZ$1:AZ$170,
"")</f>
        <v/>
      </c>
      <c r="AZ31" s="224" t="str">
        <f>_xlfn.XLOOKUP(
$C31,
'在庫使用計画 (ノート全体試算)'!$C$1:$C$170,
'在庫使用計画 (ノート全体試算)'!BA$1:BA$170,
"")</f>
        <v/>
      </c>
      <c r="BA31" s="224" t="str">
        <f>_xlfn.XLOOKUP(
$C31,
'在庫使用計画 (ノート全体試算)'!$C$1:$C$170,
'在庫使用計画 (ノート全体試算)'!BB$1:BB$170,
"")</f>
        <v/>
      </c>
      <c r="BB31" s="224" t="str">
        <f>_xlfn.XLOOKUP(
$C31,
'在庫使用計画 (ノート全体試算)'!$C$1:$C$170,
'在庫使用計画 (ノート全体試算)'!BC$1:BC$170,
"")</f>
        <v/>
      </c>
      <c r="BC31" s="224" t="str">
        <f>_xlfn.XLOOKUP(
$C31,
'在庫使用計画 (ノート全体試算)'!$C$1:$C$170,
'在庫使用計画 (ノート全体試算)'!BD$1:BD$170,
"")</f>
        <v/>
      </c>
      <c r="BD31" s="224" t="str">
        <f>_xlfn.XLOOKUP(
$C31,
'在庫使用計画 (ノート全体試算)'!$C$1:$C$170,
'在庫使用計画 (ノート全体試算)'!BE$1:BE$170,
"")</f>
        <v/>
      </c>
      <c r="BE31" s="224" t="str">
        <f>_xlfn.XLOOKUP(
$C31,
'在庫使用計画 (ノート全体試算)'!$C$1:$C$170,
'在庫使用計画 (ノート全体試算)'!BF$1:BF$170,
"")</f>
        <v/>
      </c>
      <c r="BF31" s="805" t="str">
        <f>_xlfn.XLOOKUP(
$C31,
'在庫使用計画 (ノート全体試算)'!$C$1:$C$170,
'在庫使用計画 (ノート全体試算)'!BG$1:BG$170,
"")</f>
        <v/>
      </c>
      <c r="BG31" s="2091" t="s">
        <v>2656</v>
      </c>
    </row>
    <row r="32" spans="1:59" ht="18.75" customHeight="1" thickBot="1">
      <c r="A32" s="445"/>
      <c r="B32" s="446" t="str">
        <v>UNW-E-13620H-4050-L6</v>
      </c>
      <c r="C32" s="1266" t="s">
        <v>1215</v>
      </c>
      <c r="D32" s="446" t="s">
        <v>1763</v>
      </c>
      <c r="E32" s="446"/>
      <c r="F32" s="447"/>
      <c r="G32" s="448">
        <v>1414</v>
      </c>
      <c r="H32" s="448">
        <f ca="1">_xlfn.LET(_xlpm._今月から4ヶ月計画合計,
  SUM(
    OFFSET($A32,0,
      MATCH(
        EDATE(基準データ!$C$5,3),$A$1:$BE$1,1
      )-4,1,4)),
  IF($C32="","",_xlpm._今月から4ヶ月計画合計
)
)</f>
        <v>1848.1752488752479</v>
      </c>
      <c r="I32" s="448">
        <f t="shared" si="6"/>
        <v>1414</v>
      </c>
      <c r="J32" s="1116" cm="1">
        <f t="array" ref="J32">_xlfn.IFS($C32="","",
  $G32="","発売前？",
  $G32=0,"在庫なし",
  TRUE,
  IFERROR(
    _xlfn.LET(
      _xlpm._在庫注残,     $G32,
      _xlpm._しきい値,     _xlpm._在庫注残 * 0.75,
      _xlpm._見出し元,     $K$1:$BT$1,
      _xlpm._計画,         $K32:$BT32,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46235</v>
      </c>
      <c r="K32" s="448"/>
      <c r="L32" s="448"/>
      <c r="M32" s="448"/>
      <c r="N32" s="448"/>
      <c r="O32" s="448"/>
      <c r="P32" s="448"/>
      <c r="Q32" s="540"/>
      <c r="R32" s="900"/>
      <c r="S32" s="449"/>
      <c r="T32" s="449"/>
      <c r="U32" s="449"/>
      <c r="V32" s="450"/>
      <c r="W32" s="455">
        <v>445</v>
      </c>
      <c r="X32" s="455">
        <v>208</v>
      </c>
      <c r="Y32" s="455">
        <v>467</v>
      </c>
      <c r="Z32" s="507">
        <v>356</v>
      </c>
      <c r="AA32" s="453">
        <v>343</v>
      </c>
      <c r="AB32" s="449">
        <v>479</v>
      </c>
      <c r="AC32" s="899">
        <v>652</v>
      </c>
      <c r="AD32" s="1290">
        <v>764</v>
      </c>
      <c r="AE32" s="453">
        <v>664</v>
      </c>
      <c r="AF32" s="224">
        <v>736</v>
      </c>
      <c r="AG32" s="224">
        <v>336</v>
      </c>
      <c r="AH32" s="237">
        <v>710</v>
      </c>
      <c r="AI32" s="804">
        <v>390</v>
      </c>
      <c r="AJ32" s="224">
        <v>299</v>
      </c>
      <c r="AK32" s="224">
        <v>503</v>
      </c>
      <c r="AL32" s="224">
        <v>333</v>
      </c>
      <c r="AM32" s="224">
        <f>_xlfn.LET(_xlpm._全体実績予測,
  INDEX('在庫使用計画 (全体実績+予測）0701'!$A$1:$BD$195,
    MATCH($C32,'在庫使用計画 (全体実績+予測）0701'!$C$1:$C$195,0),
    MATCH(AM$1,'在庫使用計画 (全体実績+予測）0701'!$A$1:$BD$1,0)
),
  IFERROR(
    IF(_xlpm._全体実績予測=0,"",_xlpm._全体実績予測),
  "")
)</f>
        <v>325</v>
      </c>
      <c r="AN32" s="237">
        <f>_xlfn.LET(_xlpm._全体実績予測,
  INDEX('在庫使用計画 (全体実績+予測）0701'!$A$1:$BD$195,
    MATCH($C32,'在庫使用計画 (全体実績+予測）0701'!$C$1:$C$195,0),
    MATCH(AN$1,'在庫使用計画 (全体実績+予測）0701'!$A$1:$BD$1,0)
),
  IFERROR(
    IF(_xlpm._全体実績予測=0,"",_xlpm._全体実績予測),
  "")
)</f>
        <v>477.85714285714289</v>
      </c>
      <c r="AO32" s="237">
        <f>_xlfn.LET(_xlpm._全体実績予測,
  INDEX('在庫使用計画 (全体実績+予測）0701'!$A$1:$BD$195,
    MATCH($C32,'在庫使用計画 (全体実績+予測）0701'!$C$1:$C$195,0),
    MATCH(AO$1,'在庫使用計画 (全体実績+予測）0701'!$A$1:$BD$1,0)
),
  IFERROR(
    IF(_xlpm._全体実績予測=0,"",_xlpm._全体実績予測),
  "")
)</f>
        <v>606.13454007171481</v>
      </c>
      <c r="AP32" s="224">
        <f>_xlfn.LET(_xlpm._全体実績予測,
  INDEX('在庫使用計画 (全体実績+予測）0701'!$A$1:$BD$195,
    MATCH($C32,'在庫使用計画 (全体実績+予測）0701'!$C$1:$C$195,0),
    MATCH(AP$1,'在庫使用計画 (全体実績+予測）0701'!$A$1:$BD$1,0)
),
  IFERROR(
    IF(_xlpm._全体実績予測=0,"",_xlpm._全体実績予測),
  "")
)</f>
        <v>495.38527879439414</v>
      </c>
      <c r="AQ32" s="1050">
        <f>_xlfn.LET(_xlpm._全体実績予測,
  INDEX('在庫使用計画 (全体実績+予測）0701'!$A$1:$BD$195,
    MATCH($C32,'在庫使用計画 (全体実績+予測）0701'!$C$1:$C$195,0),
    MATCH(AQ$1,'在庫使用計画 (全体実績+予測）0701'!$A$1:$BD$1,0)
),
  IFERROR(
    IF(_xlpm._全体実績予測=0,"",_xlpm._全体実績予測),
  "")
)</f>
        <v>399.40171021887647</v>
      </c>
      <c r="AR32" s="2130">
        <f>_xlfn.LET(_xlpm._全体実績予測,
  INDEX('在庫使用計画 (全体実績+予測）0701'!$A$1:$BD$195,
    MATCH($C32,'在庫使用計画 (全体実績+予測）0701'!$C$1:$C$195,0),
    MATCH(AR$1,'在庫使用計画 (全体実績+予測）0701'!$A$1:$BD$1,0)
),
  IFERROR(
    IF(_xlpm._全体実績予測=0,"",_xlpm._全体実績予測),
  "")
)</f>
        <v>347.25371979026278</v>
      </c>
      <c r="AS32" s="244">
        <f>_xlfn.LET(_xlpm._全体実績予測,
  INDEX('在庫使用計画 (全体実績+予測）0701'!$A$1:$BD$195,
    MATCH($C32,'在庫使用計画 (全体実績+予測）0701'!$C$1:$C$195,0),
    MATCH(AS$1,'在庫使用計画 (全体実績+予測）0701'!$A$1:$BD$1,0)
),
  IFERROR(
    IF(_xlpm._全体実績予測=0,"",_xlpm._全体実績予測),
  "")
)</f>
        <v>394.64609423197032</v>
      </c>
      <c r="AT32" s="805">
        <f>_xlfn.LET(_xlpm._全体実績予測,
  INDEX('在庫使用計画 (全体実績+予測）0701'!$A$1:$BD$195,
    MATCH($C32,'在庫使用計画 (全体実績+予測）0701'!$C$1:$C$195,0),
    MATCH(AT$1,'在庫使用計画 (全体実績+予測）0701'!$A$1:$BD$1,0)
),
  IFERROR(
    IF(_xlpm._全体実績予測=0,"",_xlpm._全体実績予測),
  "")
)</f>
        <v>620.51325091066849</v>
      </c>
      <c r="AU32" s="804">
        <f>_xlfn.LET(_xlpm._全体実績予測,
  INDEX('在庫使用計画 (全体実績+予測）0701'!$A$1:$BD$195,
    MATCH($C32,'在庫使用計画 (全体実績+予測）0701'!$C$1:$C$195,0),
    MATCH(AU$1,'在庫使用計画 (全体実績+予測）0701'!$A$1:$BD$1,0)
),
  IFERROR(
    IF(_xlpm._全体実績予測=0,"",_xlpm._全体実績予測),
  "")
)</f>
        <v>518.86746483728155</v>
      </c>
      <c r="AV32" s="224">
        <f>_xlfn.LET(_xlpm._全体実績予測,
  INDEX('在庫使用計画 (全体実績+予測）0701'!$A$1:$BD$195,
    MATCH($C32,'在庫使用計画 (全体実績+予測）0701'!$C$1:$C$195,0),
    MATCH(AV$1,'在庫使用計画 (全体実績+予測）0701'!$A$1:$BD$1,0)
),
  IFERROR(
    IF(_xlpm._全体実績予測=0,"",_xlpm._全体実績予測),
  "")
)</f>
        <v>467.08257569703596</v>
      </c>
      <c r="AW32" s="224">
        <f>_xlfn.LET(_xlpm._全体実績予測,
  INDEX('在庫使用計画 (全体実績+予測）0701'!$A$1:$BD$195,
    MATCH($C32,'在庫使用計画 (全体実績+予測）0701'!$C$1:$C$195,0),
    MATCH(AW$1,'在庫使用計画 (全体実績+予測）0701'!$A$1:$BD$1,0)
),
  IFERROR(
    IF(_xlpm._全体実績予測=0,"",_xlpm._全体実績予測),
  "")
)</f>
        <v>672.0373663919886</v>
      </c>
      <c r="AX32" s="224">
        <f>_xlfn.LET(_xlpm._全体実績予測,
  INDEX('在庫使用計画 (全体実績+予測）0701'!$A$1:$BD$195,
    MATCH($C32,'在庫使用計画 (全体実績+予測）0701'!$C$1:$C$195,0),
    MATCH(AX$1,'在庫使用計画 (全体実績+予測）0701'!$A$1:$BD$1,0)
),
  IFERROR(
    IF(_xlpm._全体実績予測=0,"",_xlpm._全体実績予測),
  "")
)</f>
        <v>517.30634545064493</v>
      </c>
      <c r="AY32" s="224">
        <f>_xlfn.LET(_xlpm._全体実績予測,
  INDEX('在庫使用計画 (全体実績+予測）0701'!$A$1:$BD$195,
    MATCH($C32,'在庫使用計画 (全体実績+予測）0701'!$C$1:$C$195,0),
    MATCH(AY$1,'在庫使用計画 (全体実績+予測）0701'!$A$1:$BD$1,0)
),
  IFERROR(
    IF(_xlpm._全体実績予測=0,"",_xlpm._全体実績予測),
  "")
)</f>
        <v>412.97494574296701</v>
      </c>
      <c r="AZ32" s="224">
        <f>_xlfn.LET(_xlpm._全体実績予測,
  INDEX('在庫使用計画 (全体実績+予測）0701'!$A$1:$BD$195,
    MATCH($C32,'在庫使用計画 (全体実績+予測）0701'!$C$1:$C$195,0),
    MATCH(AZ$1,'在庫使用計画 (全体実績+予測）0701'!$A$1:$BD$1,0)
),
  IFERROR(
    IF(_xlpm._全体実績予測=0,"",_xlpm._全体実績予測),
  "")
)</f>
        <v>477.85714285714289</v>
      </c>
      <c r="BA32" s="224">
        <f>_xlfn.LET(_xlpm._全体実績予測,
  INDEX('在庫使用計画 (全体実績+予測）0701'!$A$1:$BD$195,
    MATCH($C32,'在庫使用計画 (全体実績+予測）0701'!$C$1:$C$195,0),
    MATCH(BA$1,'在庫使用計画 (全体実績+予測）0701'!$A$1:$BD$1,0)
),
  IFERROR(
    IF(_xlpm._全体実績予測=0,"",_xlpm._全体実績予測),
  "")
)</f>
        <v>606.13454007171481</v>
      </c>
      <c r="BB32" s="224">
        <f>_xlfn.LET(_xlpm._全体実績予測,
  INDEX('在庫使用計画 (全体実績+予測）0701'!$A$1:$BD$195,
    MATCH($C32,'在庫使用計画 (全体実績+予測）0701'!$C$1:$C$195,0),
    MATCH(BB$1,'在庫使用計画 (全体実績+予測）0701'!$A$1:$BD$1,0)
),
  IFERROR(
    IF(_xlpm._全体実績予測=0,"",_xlpm._全体実績予測),
  "")
)</f>
        <v>495.38527879439414</v>
      </c>
      <c r="BC32" s="224">
        <f>_xlfn.LET(_xlpm._全体実績予測,
  INDEX('在庫使用計画 (全体実績+予測）0701'!$A$1:$BD$195,
    MATCH($C32,'在庫使用計画 (全体実績+予測）0701'!$C$1:$C$195,0),
    MATCH(BC$1,'在庫使用計画 (全体実績+予測）0701'!$A$1:$BD$1,0)
),
  IFERROR(
    IF(_xlpm._全体実績予測=0,"",_xlpm._全体実績予測),
  "")
)</f>
        <v>399.40171021887647</v>
      </c>
      <c r="BD32" s="224">
        <f>_xlfn.LET(_xlpm._全体実績予測,
  INDEX('在庫使用計画 (全体実績+予測）0701'!$A$1:$BD$195,
    MATCH($C32,'在庫使用計画 (全体実績+予測）0701'!$C$1:$C$195,0),
    MATCH(BD$1,'在庫使用計画 (全体実績+予測）0701'!$A$1:$BD$1,0)
),
  IFERROR(
    IF(_xlpm._全体実績予測=0,"",_xlpm._全体実績予測),
  "")
)</f>
        <v>347.25371979026278</v>
      </c>
      <c r="BE32" s="224">
        <f>_xlfn.LET(_xlpm._全体実績予測,
  INDEX('在庫使用計画 (全体実績+予測）0701'!$A$1:$BD$195,
    MATCH($C32,'在庫使用計画 (全体実績+予測）0701'!$C$1:$C$195,0),
    MATCH(BE$1,'在庫使用計画 (全体実績+予測）0701'!$A$1:$BD$1,0)
),
  IFERROR(
    IF(_xlpm._全体実績予測=0,"",_xlpm._全体実績予測),
  "")
)</f>
        <v>394.64609423197032</v>
      </c>
      <c r="BF32" s="805">
        <f>_xlfn.LET(_xlpm._全体実績予測,
  INDEX('在庫使用計画 (全体実績+予測）0701'!$A$1:$BD$195,
    MATCH($C32,'在庫使用計画 (全体実績+予測）0701'!$C$1:$C$195,0),
    MATCH(BF$1,'在庫使用計画 (全体実績+予測）0701'!$A$1:$BD$1,0)
),
  IFERROR(
    IF(_xlpm._全体実績予測=0,"",_xlpm._全体実績予測),
  "")
)</f>
        <v>620.51325091066849</v>
      </c>
    </row>
    <row r="33" spans="1:65">
      <c r="A33" s="33" t="s">
        <v>1770</v>
      </c>
      <c r="B33" s="1211" t="str">
        <v>UNW-E-14450HX-5050-L6-DDR5-15.6</v>
      </c>
      <c r="C33" s="1259" t="s">
        <v>1772</v>
      </c>
      <c r="D33" s="1258" t="s">
        <v>1768</v>
      </c>
      <c r="E33" s="26">
        <v>5090</v>
      </c>
      <c r="F33" s="24" t="s">
        <v>1347</v>
      </c>
      <c r="G33" s="38">
        <v>1805</v>
      </c>
      <c r="H33" s="38">
        <f ca="1">_xlfn.LET(_xlpm._今月から4ヶ月計画合計,
  SUM(
    OFFSET($A33,0,
      MATCH(
        EDATE(基準データ!$C$5,3),$A$1:$BE$1,1
      )-4,1,4)),
  IF($C33="","",_xlpm._今月から4ヶ月計画合計
)
)</f>
        <v>1656</v>
      </c>
      <c r="I33" s="38">
        <f>SUMIFS(マスタ_EOLリスト[在庫],マスタ_EOLリスト[製品型番],'在庫使用計画 (計画　予測)'!$C:$C)</f>
        <v>0</v>
      </c>
      <c r="J33" s="1116" cm="1">
        <f t="array" ref="J33">_xlfn.IFS($C33="","",
  $G33="","発売前？",
  $G33=0,"在庫なし",
  TRUE,
  IFERROR(
    _xlfn.LET(
      _xlpm._在庫注残,     $G33,
      _xlpm._しきい値,     _xlpm._在庫注残 * 0.75,
      _xlpm._見出し元,     $K$1:$BT$1,
      _xlpm._計画,         $K33:$BT33,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46296</v>
      </c>
      <c r="K33" s="38"/>
      <c r="L33" s="38"/>
      <c r="M33" s="38"/>
      <c r="N33" s="38"/>
      <c r="O33" s="38"/>
      <c r="P33" s="38"/>
      <c r="Q33" s="116"/>
      <c r="R33" s="1350"/>
      <c r="S33" s="219"/>
      <c r="T33" s="219"/>
      <c r="U33" s="219"/>
      <c r="V33" s="219"/>
      <c r="W33" s="224"/>
      <c r="X33" s="224"/>
      <c r="Y33" s="223"/>
      <c r="Z33" s="241"/>
      <c r="AA33" s="224"/>
      <c r="AB33" s="224"/>
      <c r="AC33" s="805"/>
      <c r="AD33" s="244"/>
      <c r="AE33" s="224"/>
      <c r="AF33" s="224"/>
      <c r="AG33" s="224"/>
      <c r="AH33" s="237"/>
      <c r="AI33" s="804" t="s">
        <v>21</v>
      </c>
      <c r="AJ33" s="224" t="s">
        <v>21</v>
      </c>
      <c r="AK33" s="224" t="s">
        <v>21</v>
      </c>
      <c r="AL33" s="224" t="s">
        <v>21</v>
      </c>
      <c r="AM33" s="224" t="str">
        <f>_xlfn.XLOOKUP(
$C33,
'在庫使用計画 (ノート全体試算)'!$C$1:$C$170,
'在庫使用計画 (ノート全体試算)'!AN$1:AN$170,
"")</f>
        <v/>
      </c>
      <c r="AN33" s="237" t="str">
        <f>_xlfn.XLOOKUP(
$C33,
'在庫使用計画 (ノート全体試算)'!$C$1:$C$170,
'在庫使用計画 (ノート全体試算)'!AO$1:AO$170,
"")</f>
        <v/>
      </c>
      <c r="AO33" s="237" t="str">
        <f>_xlfn.XLOOKUP(
$C33,
'在庫使用計画 (ノート全体試算)'!$C$1:$C$170,
'在庫使用計画 (ノート全体試算)'!AP$1:AP$170,
"")</f>
        <v/>
      </c>
      <c r="AP33" s="224" t="str">
        <f>_xlfn.XLOOKUP(
$C33,
'在庫使用計画 (ノート全体試算)'!$C$1:$C$170,
'在庫使用計画 (ノート全体試算)'!AQ$1:AQ$170,
"")</f>
        <v/>
      </c>
      <c r="AQ33" s="1050">
        <f>_xlfn.XLOOKUP(
$C33,
'在庫使用計画 (ノート全体試算)'!$C$1:$C$170,
'在庫使用計画 (ノート全体試算)'!AR$1:AR$170,
"")</f>
        <v>700</v>
      </c>
      <c r="AR33" s="2130">
        <f>_xlfn.XLOOKUP(
$C33,
'在庫使用計画 (ノート全体試算)'!$C$1:$C$170,
'在庫使用計画 (ノート全体試算)'!AS$1:AS$170,
"")</f>
        <v>956</v>
      </c>
      <c r="AS33" s="244">
        <f>_xlfn.XLOOKUP(
$C33,
'在庫使用計画 (ノート全体試算)'!$C$1:$C$170,
'在庫使用計画 (ノート全体試算)'!AT$1:AT$170,
"")</f>
        <v>1119.4726411386964</v>
      </c>
      <c r="AT33" s="805">
        <f>_xlfn.XLOOKUP(
$C33,
'在庫使用計画 (ノート全体試算)'!$C$1:$C$170,
'在庫使用計画 (ノート全体試算)'!AU$1:AU$170,
"")</f>
        <v>1741.2917592038796</v>
      </c>
      <c r="AU33" s="804">
        <f>_xlfn.XLOOKUP(
$C33,
'在庫使用計画 (ノート全体試算)'!$C$1:$C$170,
'在庫使用計画 (ノート全体試算)'!AV$1:AV$170,
"")</f>
        <v>1461.4578338974798</v>
      </c>
      <c r="AV33" s="224">
        <f>_xlfn.XLOOKUP(
$C33,
'在庫使用計画 (ノート全体試算)'!$C$1:$C$170,
'在庫使用計画 (ノート全体試算)'!AW$1:AW$170,
"")</f>
        <v>1318.8924668569882</v>
      </c>
      <c r="AW33" s="224">
        <f>_xlfn.XLOOKUP(
$C33,
'在庫使用計画 (ノート全体試算)'!$C$1:$C$170,
'在庫使用計画 (ノート全体試算)'!AX$1:AX$170,
"")</f>
        <v>1883.139208469197</v>
      </c>
      <c r="AX33" s="224">
        <f>_xlfn.XLOOKUP(
$C33,
'在庫使用計画 (ノート全体試算)'!$C$1:$C$170,
'在庫使用計画 (ノート全体試算)'!AY$1:AY$170,
"")</f>
        <v>33</v>
      </c>
      <c r="AY33" s="224">
        <f>_xlfn.XLOOKUP(
$C33,
'在庫使用計画 (ノート全体試算)'!$C$1:$C$170,
'在庫使用計画 (ノート全体試算)'!AZ$1:AZ$170,
"")</f>
        <v>33</v>
      </c>
      <c r="AZ33" s="224" t="str">
        <f>_xlfn.XLOOKUP(
$C33,
'在庫使用計画 (ノート全体試算)'!$C$1:$C$170,
'在庫使用計画 (ノート全体試算)'!BA$1:BA$170,
"")</f>
        <v/>
      </c>
      <c r="BA33" s="224" t="str">
        <f>_xlfn.XLOOKUP(
$C33,
'在庫使用計画 (ノート全体試算)'!$C$1:$C$170,
'在庫使用計画 (ノート全体試算)'!BB$1:BB$170,
"")</f>
        <v/>
      </c>
      <c r="BB33" s="224" t="str">
        <f>_xlfn.XLOOKUP(
$C33,
'在庫使用計画 (ノート全体試算)'!$C$1:$C$170,
'在庫使用計画 (ノート全体試算)'!BC$1:BC$170,
"")</f>
        <v/>
      </c>
      <c r="BC33" s="224" t="str">
        <f>_xlfn.XLOOKUP(
$C33,
'在庫使用計画 (ノート全体試算)'!$C$1:$C$170,
'在庫使用計画 (ノート全体試算)'!BD$1:BD$170,
"")</f>
        <v/>
      </c>
      <c r="BD33" s="224" t="str">
        <f>_xlfn.XLOOKUP(
$C33,
'在庫使用計画 (ノート全体試算)'!$C$1:$C$170,
'在庫使用計画 (ノート全体試算)'!BE$1:BE$170,
"")</f>
        <v/>
      </c>
      <c r="BE33" s="224" t="str">
        <f>_xlfn.XLOOKUP(
$C33,
'在庫使用計画 (ノート全体試算)'!$C$1:$C$170,
'在庫使用計画 (ノート全体試算)'!BF$1:BF$170,
"")</f>
        <v/>
      </c>
      <c r="BF33" s="805" t="str">
        <f>_xlfn.XLOOKUP(
$C33,
'在庫使用計画 (ノート全体試算)'!$C$1:$C$170,
'在庫使用計画 (ノート全体試算)'!BG$1:BG$170,
"")</f>
        <v/>
      </c>
      <c r="BG33" s="2091" t="s">
        <v>2658</v>
      </c>
    </row>
    <row r="34" spans="1:65" ht="19.5" thickBot="1">
      <c r="A34" s="33"/>
      <c r="B34" s="111" t="str">
        <v>UNW-E-14450HX-5050-L6-DDR5-15.6</v>
      </c>
      <c r="C34" s="1260" t="s">
        <v>1772</v>
      </c>
      <c r="D34" s="1258" t="s">
        <v>1763</v>
      </c>
      <c r="E34" s="26"/>
      <c r="F34" s="24"/>
      <c r="G34" s="38">
        <v>1805</v>
      </c>
      <c r="H34" s="38">
        <f ca="1">_xlfn.LET(_xlpm._今月から4ヶ月計画合計,
  SUM(
    OFFSET($A34,0,
      MATCH(
        EDATE(基準データ!$C$5,3),$A$1:$BE$1,1
      )-4,1,4)),
  IF($C34="","",_xlpm._今月から4ヶ月計画合計
)
)</f>
        <v>0</v>
      </c>
      <c r="I34" s="38">
        <f t="shared" si="6"/>
        <v>0</v>
      </c>
      <c r="J34" s="1116" t="str" cm="1">
        <f t="array" ref="J34">_xlfn.IFS($C34="","",
  $G34="","発売前？",
  $G34=0,"在庫なし",
  TRUE,
  IFERROR(
    _xlfn.LET(
      _xlpm._在庫注残,     $G34,
      _xlpm._しきい値,     _xlpm._在庫注残 * 0.75,
      _xlpm._見出し元,     $K$1:$BT$1,
      _xlpm._計画,         $K34:$BT34,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合計0、在庫+注残1,805のため不足</v>
      </c>
      <c r="K34" s="38"/>
      <c r="L34" s="38"/>
      <c r="M34" s="38"/>
      <c r="N34" s="38"/>
      <c r="O34" s="38"/>
      <c r="P34" s="38"/>
      <c r="Q34" s="116"/>
      <c r="R34" s="1350"/>
      <c r="S34" s="219"/>
      <c r="T34" s="219"/>
      <c r="U34" s="219"/>
      <c r="V34" s="222"/>
      <c r="W34" s="224" t="s">
        <v>21</v>
      </c>
      <c r="X34" s="224"/>
      <c r="Y34" s="224"/>
      <c r="Z34" s="909"/>
      <c r="AA34" s="468"/>
      <c r="AB34" s="219"/>
      <c r="AC34" s="1351"/>
      <c r="AD34" s="244"/>
      <c r="AE34" s="224"/>
      <c r="AF34" s="224"/>
      <c r="AG34" s="224"/>
      <c r="AH34" s="237"/>
      <c r="AI34" s="804" t="s">
        <v>21</v>
      </c>
      <c r="AJ34" s="224" t="s">
        <v>21</v>
      </c>
      <c r="AK34" s="224" t="s">
        <v>21</v>
      </c>
      <c r="AL34" s="224" t="s">
        <v>21</v>
      </c>
      <c r="AM34" s="224" t="str">
        <f>_xlfn.LET(_xlpm._全体実績予測,
  INDEX('在庫使用計画 (全体実績+予測）0701'!$A$1:$BD$195,
    MATCH($C34,'在庫使用計画 (全体実績+予測）0701'!$C$1:$C$195,0),
    MATCH(AM$1,'在庫使用計画 (全体実績+予測）0701'!$A$1:$BD$1,0)
),
  IFERROR(
    IF(_xlpm._全体実績予測=0,"",_xlpm._全体実績予測),
  "")
)</f>
        <v/>
      </c>
      <c r="AN34" s="237" t="str">
        <f>_xlfn.LET(_xlpm._全体実績予測,
  INDEX('在庫使用計画 (全体実績+予測）0701'!$A$1:$BD$195,
    MATCH($C34,'在庫使用計画 (全体実績+予測）0701'!$C$1:$C$195,0),
    MATCH(AN$1,'在庫使用計画 (全体実績+予測）0701'!$A$1:$BD$1,0)
),
  IFERROR(
    IF(_xlpm._全体実績予測=0,"",_xlpm._全体実績予測),
  "")
)</f>
        <v/>
      </c>
      <c r="AO34" s="237" t="str">
        <f>_xlfn.LET(_xlpm._全体実績予測,
  INDEX('在庫使用計画 (全体実績+予測）0701'!$A$1:$BD$195,
    MATCH($C34,'在庫使用計画 (全体実績+予測）0701'!$C$1:$C$195,0),
    MATCH(AO$1,'在庫使用計画 (全体実績+予測）0701'!$A$1:$BD$1,0)
),
  IFERROR(
    IF(_xlpm._全体実績予測=0,"",_xlpm._全体実績予測),
  "")
)</f>
        <v/>
      </c>
      <c r="AP34" s="224" t="str">
        <f>_xlfn.LET(_xlpm._全体実績予測,
  INDEX('在庫使用計画 (全体実績+予測）0701'!$A$1:$BD$195,
    MATCH($C34,'在庫使用計画 (全体実績+予測）0701'!$C$1:$C$195,0),
    MATCH(AP$1,'在庫使用計画 (全体実績+予測）0701'!$A$1:$BD$1,0)
),
  IFERROR(
    IF(_xlpm._全体実績予測=0,"",_xlpm._全体実績予測),
  "")
)</f>
        <v/>
      </c>
      <c r="AQ34" s="1050" t="str">
        <f>_xlfn.LET(_xlpm._全体実績予測,
  INDEX('在庫使用計画 (全体実績+予測）0701'!$A$1:$BD$195,
    MATCH($C34,'在庫使用計画 (全体実績+予測）0701'!$C$1:$C$195,0),
    MATCH(AQ$1,'在庫使用計画 (全体実績+予測）0701'!$A$1:$BD$1,0)
),
  IFERROR(
    IF(_xlpm._全体実績予測=0,"",_xlpm._全体実績予測),
  "")
)</f>
        <v/>
      </c>
      <c r="AR34" s="2130" t="str">
        <f>_xlfn.LET(_xlpm._全体実績予測,
  INDEX('在庫使用計画 (全体実績+予測）0701'!$A$1:$BD$195,
    MATCH($C34,'在庫使用計画 (全体実績+予測）0701'!$C$1:$C$195,0),
    MATCH(AR$1,'在庫使用計画 (全体実績+予測）0701'!$A$1:$BD$1,0)
),
  IFERROR(
    IF(_xlpm._全体実績予測=0,"",_xlpm._全体実績予測),
  "")
)</f>
        <v/>
      </c>
      <c r="AS34" s="244" t="str">
        <f>_xlfn.LET(_xlpm._全体実績予測,
  INDEX('在庫使用計画 (全体実績+予測）0701'!$A$1:$BD$195,
    MATCH($C34,'在庫使用計画 (全体実績+予測）0701'!$C$1:$C$195,0),
    MATCH(AS$1,'在庫使用計画 (全体実績+予測）0701'!$A$1:$BD$1,0)
),
  IFERROR(
    IF(_xlpm._全体実績予測=0,"",_xlpm._全体実績予測),
  "")
)</f>
        <v/>
      </c>
      <c r="AT34" s="805" t="str">
        <f>_xlfn.LET(_xlpm._全体実績予測,
  INDEX('在庫使用計画 (全体実績+予測）0701'!$A$1:$BD$195,
    MATCH($C34,'在庫使用計画 (全体実績+予測）0701'!$C$1:$C$195,0),
    MATCH(AT$1,'在庫使用計画 (全体実績+予測）0701'!$A$1:$BD$1,0)
),
  IFERROR(
    IF(_xlpm._全体実績予測=0,"",_xlpm._全体実績予測),
  "")
)</f>
        <v/>
      </c>
      <c r="AU34" s="804" t="str">
        <f>_xlfn.LET(_xlpm._全体実績予測,
  INDEX('在庫使用計画 (全体実績+予測）0701'!$A$1:$BD$195,
    MATCH($C34,'在庫使用計画 (全体実績+予測）0701'!$C$1:$C$195,0),
    MATCH(AU$1,'在庫使用計画 (全体実績+予測）0701'!$A$1:$BD$1,0)
),
  IFERROR(
    IF(_xlpm._全体実績予測=0,"",_xlpm._全体実績予測),
  "")
)</f>
        <v/>
      </c>
      <c r="AV34" s="224" t="str">
        <f>_xlfn.LET(_xlpm._全体実績予測,
  INDEX('在庫使用計画 (全体実績+予測）0701'!$A$1:$BD$195,
    MATCH($C34,'在庫使用計画 (全体実績+予測）0701'!$C$1:$C$195,0),
    MATCH(AV$1,'在庫使用計画 (全体実績+予測）0701'!$A$1:$BD$1,0)
),
  IFERROR(
    IF(_xlpm._全体実績予測=0,"",_xlpm._全体実績予測),
  "")
)</f>
        <v/>
      </c>
      <c r="AW34" s="224" t="str">
        <f>_xlfn.LET(_xlpm._全体実績予測,
  INDEX('在庫使用計画 (全体実績+予測）0701'!$A$1:$BD$195,
    MATCH($C34,'在庫使用計画 (全体実績+予測）0701'!$C$1:$C$195,0),
    MATCH(AW$1,'在庫使用計画 (全体実績+予測）0701'!$A$1:$BD$1,0)
),
  IFERROR(
    IF(_xlpm._全体実績予測=0,"",_xlpm._全体実績予測),
  "")
)</f>
        <v/>
      </c>
      <c r="AX34" s="224" t="str">
        <f>_xlfn.LET(_xlpm._全体実績予測,
  INDEX('在庫使用計画 (全体実績+予測）0701'!$A$1:$BD$195,
    MATCH($C34,'在庫使用計画 (全体実績+予測）0701'!$C$1:$C$195,0),
    MATCH(AX$1,'在庫使用計画 (全体実績+予測）0701'!$A$1:$BD$1,0)
),
  IFERROR(
    IF(_xlpm._全体実績予測=0,"",_xlpm._全体実績予測),
  "")
)</f>
        <v/>
      </c>
      <c r="AY34" s="224" t="str">
        <f>_xlfn.LET(_xlpm._全体実績予測,
  INDEX('在庫使用計画 (全体実績+予測）0701'!$A$1:$BD$195,
    MATCH($C34,'在庫使用計画 (全体実績+予測）0701'!$C$1:$C$195,0),
    MATCH(AY$1,'在庫使用計画 (全体実績+予測）0701'!$A$1:$BD$1,0)
),
  IFERROR(
    IF(_xlpm._全体実績予測=0,"",_xlpm._全体実績予測),
  "")
)</f>
        <v/>
      </c>
      <c r="AZ34" s="224" t="str">
        <f>_xlfn.LET(_xlpm._全体実績予測,
  INDEX('在庫使用計画 (全体実績+予測）0701'!$A$1:$BD$195,
    MATCH($C34,'在庫使用計画 (全体実績+予測）0701'!$C$1:$C$195,0),
    MATCH(AZ$1,'在庫使用計画 (全体実績+予測）0701'!$A$1:$BD$1,0)
),
  IFERROR(
    IF(_xlpm._全体実績予測=0,"",_xlpm._全体実績予測),
  "")
)</f>
        <v/>
      </c>
      <c r="BA34" s="224" t="str">
        <f>_xlfn.LET(_xlpm._全体実績予測,
  INDEX('在庫使用計画 (全体実績+予測）0701'!$A$1:$BD$195,
    MATCH($C34,'在庫使用計画 (全体実績+予測）0701'!$C$1:$C$195,0),
    MATCH(BA$1,'在庫使用計画 (全体実績+予測）0701'!$A$1:$BD$1,0)
),
  IFERROR(
    IF(_xlpm._全体実績予測=0,"",_xlpm._全体実績予測),
  "")
)</f>
        <v/>
      </c>
      <c r="BB34" s="224" t="str">
        <f>_xlfn.LET(_xlpm._全体実績予測,
  INDEX('在庫使用計画 (全体実績+予測）0701'!$A$1:$BD$195,
    MATCH($C34,'在庫使用計画 (全体実績+予測）0701'!$C$1:$C$195,0),
    MATCH(BB$1,'在庫使用計画 (全体実績+予測）0701'!$A$1:$BD$1,0)
),
  IFERROR(
    IF(_xlpm._全体実績予測=0,"",_xlpm._全体実績予測),
  "")
)</f>
        <v/>
      </c>
      <c r="BC34" s="224" t="str">
        <f>_xlfn.LET(_xlpm._全体実績予測,
  INDEX('在庫使用計画 (全体実績+予測）0701'!$A$1:$BD$195,
    MATCH($C34,'在庫使用計画 (全体実績+予測）0701'!$C$1:$C$195,0),
    MATCH(BC$1,'在庫使用計画 (全体実績+予測）0701'!$A$1:$BD$1,0)
),
  IFERROR(
    IF(_xlpm._全体実績予測=0,"",_xlpm._全体実績予測),
  "")
)</f>
        <v/>
      </c>
      <c r="BD34" s="224" t="str">
        <f>_xlfn.LET(_xlpm._全体実績予測,
  INDEX('在庫使用計画 (全体実績+予測）0701'!$A$1:$BD$195,
    MATCH($C34,'在庫使用計画 (全体実績+予測）0701'!$C$1:$C$195,0),
    MATCH(BD$1,'在庫使用計画 (全体実績+予測）0701'!$A$1:$BD$1,0)
),
  IFERROR(
    IF(_xlpm._全体実績予測=0,"",_xlpm._全体実績予測),
  "")
)</f>
        <v/>
      </c>
      <c r="BE34" s="224" t="str">
        <f>_xlfn.LET(_xlpm._全体実績予測,
  INDEX('在庫使用計画 (全体実績+予測）0701'!$A$1:$BD$195,
    MATCH($C34,'在庫使用計画 (全体実績+予測）0701'!$C$1:$C$195,0),
    MATCH(BE$1,'在庫使用計画 (全体実績+予測）0701'!$A$1:$BD$1,0)
),
  IFERROR(
    IF(_xlpm._全体実績予測=0,"",_xlpm._全体実績予測),
  "")
)</f>
        <v/>
      </c>
      <c r="BF34" s="805" t="str">
        <f>_xlfn.LET(_xlpm._全体実績予測,
  INDEX('在庫使用計画 (全体実績+予測）0701'!$A$1:$BD$195,
    MATCH($C34,'在庫使用計画 (全体実績+予測）0701'!$C$1:$C$195,0),
    MATCH(BF$1,'在庫使用計画 (全体実績+予測）0701'!$A$1:$BD$1,0)
),
  IFERROR(
    IF(_xlpm._全体実績予測=0,"",_xlpm._全体実績予測),
  "")
)</f>
        <v/>
      </c>
    </row>
    <row r="35" spans="1:65" ht="18.75" customHeight="1">
      <c r="A35" s="293" t="s">
        <v>1361</v>
      </c>
      <c r="B35" s="26" t="str">
        <v>UNW-E-13620H-3050-L6</v>
      </c>
      <c r="C35" s="531" t="s">
        <v>336</v>
      </c>
      <c r="D35" s="68" t="s">
        <v>1367</v>
      </c>
      <c r="E35" s="68">
        <v>3050</v>
      </c>
      <c r="F35" s="68" t="s">
        <v>1347</v>
      </c>
      <c r="G35" s="38">
        <v>2039</v>
      </c>
      <c r="H35" s="38">
        <f ca="1">_xlfn.LET(_xlpm._今月から4ヶ月計画合計,
  SUM(
    OFFSET($A35,0,
      MATCH(
        EDATE(基準データ!$C$5,3),$A$1:$BE$1,1
      )-4,1,4)),
  IF($C35="","",_xlpm._今月から4ヶ月計画合計
)
)</f>
        <v>2104</v>
      </c>
      <c r="I35" s="38">
        <f>SUMIFS(マスタ_EOLリスト[在庫],マスタ_EOLリスト[製品型番],'在庫使用計画 (計画　予測)'!$C:$C)</f>
        <v>2039</v>
      </c>
      <c r="J35" s="1116" cm="1">
        <f t="array" ref="J35">_xlfn.IFS($C35="","",
  $G35="","発売前？",
  $G35=0,"在庫なし",
  TRUE,
  IFERROR(
    _xlfn.LET(
      _xlpm._在庫注残,     $G35,
      _xlpm._しきい値,     _xlpm._在庫注残 * 0.75,
      _xlpm._見出し元,     $K$1:$BT$1,
      _xlpm._計画,         $K35:$BT35,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46235</v>
      </c>
      <c r="K35" s="38" t="s">
        <v>21</v>
      </c>
      <c r="L35" s="38" t="s">
        <v>21</v>
      </c>
      <c r="M35" s="38" t="s">
        <v>21</v>
      </c>
      <c r="N35" s="38" t="s">
        <v>21</v>
      </c>
      <c r="O35" s="38">
        <v>337.7876378723364</v>
      </c>
      <c r="P35" s="38">
        <v>665.45809283936887</v>
      </c>
      <c r="Q35" s="116">
        <v>695.77657793536696</v>
      </c>
      <c r="R35" s="1350">
        <v>586.42926606356662</v>
      </c>
      <c r="S35" s="219">
        <v>693.41411776724442</v>
      </c>
      <c r="T35" s="219">
        <v>608.77017872667273</v>
      </c>
      <c r="U35" s="219">
        <v>654.24466168979893</v>
      </c>
      <c r="V35" s="219">
        <v>609.80104094095418</v>
      </c>
      <c r="W35" s="224">
        <v>544.96219146259034</v>
      </c>
      <c r="X35" s="224">
        <v>461</v>
      </c>
      <c r="Y35" s="224">
        <v>705.2556427377931</v>
      </c>
      <c r="Z35" s="237">
        <v>832</v>
      </c>
      <c r="AA35" s="224">
        <v>740.36000793911717</v>
      </c>
      <c r="AB35" s="224">
        <v>1278</v>
      </c>
      <c r="AC35" s="805">
        <v>1471</v>
      </c>
      <c r="AD35" s="244">
        <v>1259</v>
      </c>
      <c r="AE35" s="224">
        <v>1415.1244717665784</v>
      </c>
      <c r="AF35" s="224">
        <v>1303.6248373271176</v>
      </c>
      <c r="AG35" s="224">
        <v>1123</v>
      </c>
      <c r="AH35" s="237">
        <v>965</v>
      </c>
      <c r="AI35" s="804">
        <v>571</v>
      </c>
      <c r="AJ35" s="224">
        <v>588</v>
      </c>
      <c r="AK35" s="224">
        <v>375</v>
      </c>
      <c r="AL35" s="224">
        <v>722</v>
      </c>
      <c r="AM35" s="224">
        <f>_xlfn.XLOOKUP(
$C35,
'在庫使用計画 (ノート全体試算)'!$C$1:$C$170,
'在庫使用計画 (ノート全体試算)'!AN$1:AN$170,
"")</f>
        <v>998</v>
      </c>
      <c r="AN35" s="237">
        <f>_xlfn.XLOOKUP(
$C35,
'在庫使用計画 (ノート全体試算)'!$C$1:$C$170,
'在庫使用計画 (ノート全体試算)'!AO$1:AO$170,
"")</f>
        <v>1055</v>
      </c>
      <c r="AO35" s="237">
        <f>_xlfn.XLOOKUP(
$C35,
'在庫使用計画 (ノート全体試算)'!$C$1:$C$170,
'在庫使用計画 (ノート全体試算)'!AP$1:AP$170,
"")</f>
        <v>1232</v>
      </c>
      <c r="AP35" s="224">
        <f>_xlfn.XLOOKUP(
$C35,
'在庫使用計画 (ノート全体試算)'!$C$1:$C$170,
'在庫使用計画 (ノート全体試算)'!AQ$1:AQ$170,
"")</f>
        <v>872</v>
      </c>
      <c r="AQ35" s="1050" t="str">
        <f>_xlfn.XLOOKUP(
$C35,
'在庫使用計画 (ノート全体試算)'!$C$1:$C$170,
'在庫使用計画 (ノート全体試算)'!AR$1:AR$170,
"")</f>
        <v/>
      </c>
      <c r="AR35" s="2130" t="str">
        <f>_xlfn.XLOOKUP(
$C35,
'在庫使用計画 (ノート全体試算)'!$C$1:$C$170,
'在庫使用計画 (ノート全体試算)'!AS$1:AS$170,
"")</f>
        <v/>
      </c>
      <c r="AS35" s="244" t="str">
        <f>_xlfn.XLOOKUP(
$C35,
'在庫使用計画 (ノート全体試算)'!$C$1:$C$170,
'在庫使用計画 (ノート全体試算)'!AT$1:AT$170,
"")</f>
        <v/>
      </c>
      <c r="AT35" s="805" t="str">
        <f>_xlfn.XLOOKUP(
$C35,
'在庫使用計画 (ノート全体試算)'!$C$1:$C$170,
'在庫使用計画 (ノート全体試算)'!AU$1:AU$170,
"")</f>
        <v/>
      </c>
      <c r="AU35" s="804" t="str">
        <f>_xlfn.XLOOKUP(
$C35,
'在庫使用計画 (ノート全体試算)'!$C$1:$C$170,
'在庫使用計画 (ノート全体試算)'!AV$1:AV$170,
"")</f>
        <v/>
      </c>
      <c r="AV35" s="224" t="str">
        <f>_xlfn.XLOOKUP(
$C35,
'在庫使用計画 (ノート全体試算)'!$C$1:$C$170,
'在庫使用計画 (ノート全体試算)'!AW$1:AW$170,
"")</f>
        <v/>
      </c>
      <c r="AW35" s="224" t="str">
        <f>_xlfn.XLOOKUP(
$C35,
'在庫使用計画 (ノート全体試算)'!$C$1:$C$170,
'在庫使用計画 (ノート全体試算)'!AX$1:AX$170,
"")</f>
        <v/>
      </c>
      <c r="AX35" s="224" t="str">
        <f>_xlfn.XLOOKUP(
$C35,
'在庫使用計画 (ノート全体試算)'!$C$1:$C$170,
'在庫使用計画 (ノート全体試算)'!AY$1:AY$170,
"")</f>
        <v/>
      </c>
      <c r="AY35" s="224" t="str">
        <f>_xlfn.XLOOKUP(
$C35,
'在庫使用計画 (ノート全体試算)'!$C$1:$C$170,
'在庫使用計画 (ノート全体試算)'!AZ$1:AZ$170,
"")</f>
        <v/>
      </c>
      <c r="AZ35" s="224" t="str">
        <f>_xlfn.XLOOKUP(
$C35,
'在庫使用計画 (ノート全体試算)'!$C$1:$C$170,
'在庫使用計画 (ノート全体試算)'!BA$1:BA$170,
"")</f>
        <v/>
      </c>
      <c r="BA35" s="224" t="str">
        <f>_xlfn.XLOOKUP(
$C35,
'在庫使用計画 (ノート全体試算)'!$C$1:$C$170,
'在庫使用計画 (ノート全体試算)'!BB$1:BB$170,
"")</f>
        <v/>
      </c>
      <c r="BB35" s="224" t="str">
        <f>_xlfn.XLOOKUP(
$C35,
'在庫使用計画 (ノート全体試算)'!$C$1:$C$170,
'在庫使用計画 (ノート全体試算)'!BC$1:BC$170,
"")</f>
        <v/>
      </c>
      <c r="BC35" s="224" t="str">
        <f>_xlfn.XLOOKUP(
$C35,
'在庫使用計画 (ノート全体試算)'!$C$1:$C$170,
'在庫使用計画 (ノート全体試算)'!BD$1:BD$170,
"")</f>
        <v/>
      </c>
      <c r="BD35" s="224" t="str">
        <f>_xlfn.XLOOKUP(
$C35,
'在庫使用計画 (ノート全体試算)'!$C$1:$C$170,
'在庫使用計画 (ノート全体試算)'!BE$1:BE$170,
"")</f>
        <v/>
      </c>
      <c r="BE35" s="224" t="str">
        <f>_xlfn.XLOOKUP(
$C35,
'在庫使用計画 (ノート全体試算)'!$C$1:$C$170,
'在庫使用計画 (ノート全体試算)'!BF$1:BF$170,
"")</f>
        <v/>
      </c>
      <c r="BF35" s="805" t="str">
        <f>_xlfn.XLOOKUP(
$C35,
'在庫使用計画 (ノート全体試算)'!$C$1:$C$170,
'在庫使用計画 (ノート全体試算)'!BG$1:BG$170,
"")</f>
        <v/>
      </c>
      <c r="BG35" s="2091" t="s">
        <v>2656</v>
      </c>
    </row>
    <row r="36" spans="1:65" ht="18.75" customHeight="1">
      <c r="A36" s="445"/>
      <c r="B36" s="446" t="str">
        <v>UNW-E-13620H-3050-L6</v>
      </c>
      <c r="C36" s="452" t="s">
        <v>336</v>
      </c>
      <c r="D36" s="446" t="s">
        <v>1763</v>
      </c>
      <c r="E36" s="446"/>
      <c r="F36" s="447"/>
      <c r="G36" s="448">
        <v>2039</v>
      </c>
      <c r="H36" s="448">
        <f ca="1">_xlfn.LET(_xlpm._今月から4ヶ月計画合計,
  SUM(
    OFFSET($A36,0,
      MATCH(
        EDATE(基準データ!$C$5,3),$A$1:$BE$1,1
      )-4,1,4)),
  IF($C36="","",_xlpm._今月から4ヶ月計画合計
)
)</f>
        <v>3609.3287932070425</v>
      </c>
      <c r="I36" s="448">
        <f t="shared" si="6"/>
        <v>2039</v>
      </c>
      <c r="J36" s="1116" cm="1">
        <f t="array" ref="J36">_xlfn.IFS($C36="","",
  $G36="","発売前？",
  $G36=0,"在庫なし",
  TRUE,
  IFERROR(
    _xlfn.LET(
      _xlpm._在庫注残,     $G36,
      _xlpm._しきい値,     _xlpm._在庫注残 * 0.75,
      _xlpm._見出し元,     $K$1:$BT$1,
      _xlpm._計画,         $K36:$BT36,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46235</v>
      </c>
      <c r="K36" s="448"/>
      <c r="L36" s="448"/>
      <c r="M36" s="448"/>
      <c r="N36" s="448"/>
      <c r="O36" s="448"/>
      <c r="P36" s="448"/>
      <c r="Q36" s="540"/>
      <c r="R36" s="900"/>
      <c r="S36" s="449"/>
      <c r="T36" s="449"/>
      <c r="U36" s="449"/>
      <c r="V36" s="450"/>
      <c r="W36" s="455">
        <v>526</v>
      </c>
      <c r="X36" s="455">
        <v>400</v>
      </c>
      <c r="Y36" s="455">
        <v>850</v>
      </c>
      <c r="Z36" s="507">
        <v>735</v>
      </c>
      <c r="AA36" s="453">
        <v>689</v>
      </c>
      <c r="AB36" s="449">
        <v>1049</v>
      </c>
      <c r="AC36" s="899">
        <v>1825</v>
      </c>
      <c r="AD36" s="1290">
        <v>996</v>
      </c>
      <c r="AE36" s="453">
        <v>1117</v>
      </c>
      <c r="AF36" s="224">
        <v>1192</v>
      </c>
      <c r="AG36" s="224">
        <v>1012</v>
      </c>
      <c r="AH36" s="237">
        <v>963</v>
      </c>
      <c r="AI36" s="804">
        <v>572</v>
      </c>
      <c r="AJ36" s="224">
        <v>324</v>
      </c>
      <c r="AK36" s="224">
        <v>510</v>
      </c>
      <c r="AL36" s="224">
        <v>520</v>
      </c>
      <c r="AM36" s="224">
        <f>_xlfn.LET(_xlpm._全体実績予測,
  INDEX('在庫使用計画 (全体実績+予測）0701'!$A$1:$BD$195,
    MATCH($C36,'在庫使用計画 (全体実績+予測）0701'!$C$1:$C$195,0),
    MATCH(AM$1,'在庫使用計画 (全体実績+予測）0701'!$A$1:$BD$1,0)
),
  IFERROR(
    IF(_xlpm._全体実績予測=0,"",_xlpm._全体実績予測),
  "")
)</f>
        <v>970</v>
      </c>
      <c r="AN36" s="237">
        <f>_xlfn.LET(_xlpm._全体実績予測,
  INDEX('在庫使用計画 (全体実績+予測）0701'!$A$1:$BD$195,
    MATCH($C36,'在庫使用計画 (全体実績+予測）0701'!$C$1:$C$195,0),
    MATCH(AN$1,'在庫使用計画 (全体実績+予測）0701'!$A$1:$BD$1,0)
),
  IFERROR(
    IF(_xlpm._全体実績予測=0,"",_xlpm._全体実績予測),
  "")
)</f>
        <v>933.21428571428578</v>
      </c>
      <c r="AO36" s="237">
        <f>_xlfn.LET(_xlpm._全体実績予測,
  INDEX('在庫使用計画 (全体実績+予測）0701'!$A$1:$BD$195,
    MATCH($C36,'在庫使用計画 (全体実績+予測）0701'!$C$1:$C$195,0),
    MATCH(AO$1,'在庫使用計画 (全体実績+予測）0701'!$A$1:$BD$1,0)
),
  IFERROR(
    IF(_xlpm._全体実績予測=0,"",_xlpm._全体実績予測),
  "")
)</f>
        <v>1183.7291130100079</v>
      </c>
      <c r="AP36" s="224">
        <f>_xlfn.LET(_xlpm._全体実績予測,
  INDEX('在庫使用計画 (全体実績+予測）0701'!$A$1:$BD$195,
    MATCH($C36,'在庫使用計画 (全体実績+予測）0701'!$C$1:$C$195,0),
    MATCH(AP$1,'在庫使用計画 (全体実績+予測）0701'!$A$1:$BD$1,0)
),
  IFERROR(
    IF(_xlpm._全体実績予測=0,"",_xlpm._全体実績予測),
  "")
)</f>
        <v>967.44524177111498</v>
      </c>
      <c r="AQ36" s="1050">
        <f>_xlfn.LET(_xlpm._全体実績予測,
  INDEX('在庫使用計画 (全体実績+予測）0701'!$A$1:$BD$195,
    MATCH($C36,'在庫使用計画 (全体実績+予測）0701'!$C$1:$C$195,0),
    MATCH(AQ$1,'在庫使用計画 (全体実績+予測）0701'!$A$1:$BD$1,0)
),
  IFERROR(
    IF(_xlpm._全体実績予測=0,"",_xlpm._全体実績予測),
  "")
)</f>
        <v>779.99751031533935</v>
      </c>
      <c r="AR36" s="2130">
        <f>_xlfn.LET(_xlpm._全体実績予測,
  INDEX('在庫使用計画 (全体実績+予測）0701'!$A$1:$BD$195,
    MATCH($C36,'在庫使用計画 (全体実績+予測）0701'!$C$1:$C$195,0),
    MATCH(AR$1,'在庫使用計画 (全体実績+予測）0701'!$A$1:$BD$1,0)
),
  IFERROR(
    IF(_xlpm._全体実績予測=0,"",_xlpm._全体実績予測),
  "")
)</f>
        <v>678.15692811058034</v>
      </c>
      <c r="AS36" s="244">
        <f>_xlfn.LET(_xlpm._全体実績予測,
  INDEX('在庫使用計画 (全体実績+予測）0701'!$A$1:$BD$195,
    MATCH($C36,'在庫使用計画 (全体実績+予測）0701'!$C$1:$C$195,0),
    MATCH(AS$1,'在庫使用計画 (全体実績+予測）0701'!$A$1:$BD$1,0)
),
  IFERROR(
    IF(_xlpm._全体実績予測=0,"",_xlpm._全体実績予測),
  "")
)</f>
        <v>770.71019747992398</v>
      </c>
      <c r="AT36" s="805">
        <f>_xlfn.LET(_xlpm._全体実績予測,
  INDEX('在庫使用計画 (全体実績+予測）0701'!$A$1:$BD$195,
    MATCH($C36,'在庫使用計画 (全体実績+予測）0701'!$C$1:$C$195,0),
    MATCH(AT$1,'在庫使用計画 (全体実績+予測）0701'!$A$1:$BD$1,0)
),
  IFERROR(
    IF(_xlpm._全体実績予測=0,"",_xlpm._全体実績予測),
  "")
)</f>
        <v>1211.8095101865295</v>
      </c>
      <c r="AU36" s="804">
        <f>_xlfn.LET(_xlpm._全体実績予測,
  INDEX('在庫使用計画 (全体実績+予測）0701'!$A$1:$BD$195,
    MATCH($C36,'在庫使用計画 (全体実績+予測）0701'!$C$1:$C$195,0),
    MATCH(AU$1,'在庫使用計画 (全体実績+予測）0701'!$A$1:$BD$1,0)
),
  IFERROR(
    IF(_xlpm._全体実績予測=0,"",_xlpm._全体実績予測),
  "")
)</f>
        <v>1013.3039503885026</v>
      </c>
      <c r="AV36" s="224">
        <f>_xlfn.LET(_xlpm._全体実績予測,
  INDEX('在庫使用計画 (全体実績+予測）0701'!$A$1:$BD$195,
    MATCH($C36,'在庫使用計画 (全体実績+予測）0701'!$C$1:$C$195,0),
    MATCH(AV$1,'在庫使用計画 (全体実績+予測）0701'!$A$1:$BD$1,0)
),
  IFERROR(
    IF(_xlpm._全体実績予測=0,"",_xlpm._全体実績予測),
  "")
)</f>
        <v>912.17247406304534</v>
      </c>
      <c r="AW36" s="224">
        <f>_xlfn.LET(_xlpm._全体実績予測,
  INDEX('在庫使用計画 (全体実績+予測）0701'!$A$1:$BD$195,
    MATCH($C36,'在庫使用計画 (全体実績+予測）0701'!$C$1:$C$195,0),
    MATCH(AW$1,'在庫使用計画 (全体実績+予測）0701'!$A$1:$BD$1,0)
),
  IFERROR(
    IF(_xlpm._全体実績予測=0,"",_xlpm._全体実績予測),
  "")
)</f>
        <v>1312.4317177744886</v>
      </c>
      <c r="AX36" s="224">
        <f>_xlfn.LET(_xlpm._全体実績予測,
  INDEX('在庫使用計画 (全体実績+予測）0701'!$A$1:$BD$195,
    MATCH($C36,'在庫使用計画 (全体実績+予測）0701'!$C$1:$C$195,0),
    MATCH(AX$1,'在庫使用計画 (全体実績+予測）0701'!$A$1:$BD$1,0)
),
  IFERROR(
    IF(_xlpm._全体実績予測=0,"",_xlpm._全体実績予測),
  "")
)</f>
        <v>1010.2552172365731</v>
      </c>
      <c r="AY36" s="224">
        <f>_xlfn.LET(_xlpm._全体実績予測,
  INDEX('在庫使用計画 (全体実績+予測）0701'!$A$1:$BD$195,
    MATCH($C36,'在庫使用計画 (全体実績+予測）0701'!$C$1:$C$195,0),
    MATCH(AY$1,'在庫使用計画 (全体実績+予測）0701'!$A$1:$BD$1,0)
),
  IFERROR(
    IF(_xlpm._全体実績予測=0,"",_xlpm._全体実績予測),
  "")
)</f>
        <v>806.50488282987476</v>
      </c>
      <c r="AZ36" s="224">
        <f>_xlfn.LET(_xlpm._全体実績予測,
  INDEX('在庫使用計画 (全体実績+予測）0701'!$A$1:$BD$195,
    MATCH($C36,'在庫使用計画 (全体実績+予測）0701'!$C$1:$C$195,0),
    MATCH(AZ$1,'在庫使用計画 (全体実績+予測）0701'!$A$1:$BD$1,0)
),
  IFERROR(
    IF(_xlpm._全体実績予測=0,"",_xlpm._全体実績予測),
  "")
)</f>
        <v>933.21428571428544</v>
      </c>
      <c r="BA36" s="224">
        <f>_xlfn.LET(_xlpm._全体実績予測,
  INDEX('在庫使用計画 (全体実績+予測）0701'!$A$1:$BD$195,
    MATCH($C36,'在庫使用計画 (全体実績+予測）0701'!$C$1:$C$195,0),
    MATCH(BA$1,'在庫使用計画 (全体実績+予測）0701'!$A$1:$BD$1,0)
),
  IFERROR(
    IF(_xlpm._全体実績予測=0,"",_xlpm._全体実績予測),
  "")
)</f>
        <v>1183.7291130100077</v>
      </c>
      <c r="BB36" s="224">
        <f>_xlfn.LET(_xlpm._全体実績予測,
  INDEX('在庫使用計画 (全体実績+予測）0701'!$A$1:$BD$195,
    MATCH($C36,'在庫使用計画 (全体実績+予測）0701'!$C$1:$C$195,0),
    MATCH(BB$1,'在庫使用計画 (全体実績+予測）0701'!$A$1:$BD$1,0)
),
  IFERROR(
    IF(_xlpm._全体実績予測=0,"",_xlpm._全体実績予測),
  "")
)</f>
        <v>967.44524177111475</v>
      </c>
      <c r="BC36" s="224">
        <f>_xlfn.LET(_xlpm._全体実績予測,
  INDEX('在庫使用計画 (全体実績+予測）0701'!$A$1:$BD$195,
    MATCH($C36,'在庫使用計画 (全体実績+予測）0701'!$C$1:$C$195,0),
    MATCH(BC$1,'在庫使用計画 (全体実績+予測）0701'!$A$1:$BD$1,0)
),
  IFERROR(
    IF(_xlpm._全体実績予測=0,"",_xlpm._全体実績予測),
  "")
)</f>
        <v>779.99751031533924</v>
      </c>
      <c r="BD36" s="224">
        <f>_xlfn.LET(_xlpm._全体実績予測,
  INDEX('在庫使用計画 (全体実績+予測）0701'!$A$1:$BD$195,
    MATCH($C36,'在庫使用計画 (全体実績+予測）0701'!$C$1:$C$195,0),
    MATCH(BD$1,'在庫使用計画 (全体実績+予測）0701'!$A$1:$BD$1,0)
),
  IFERROR(
    IF(_xlpm._全体実績予測=0,"",_xlpm._全体実績予測),
  "")
)</f>
        <v>678.15692811058022</v>
      </c>
      <c r="BE36" s="224">
        <f>_xlfn.LET(_xlpm._全体実績予測,
  INDEX('在庫使用計画 (全体実績+予測）0701'!$A$1:$BD$195,
    MATCH($C36,'在庫使用計画 (全体実績+予測）0701'!$C$1:$C$195,0),
    MATCH(BE$1,'在庫使用計画 (全体実績+予測）0701'!$A$1:$BD$1,0)
),
  IFERROR(
    IF(_xlpm._全体実績予測=0,"",_xlpm._全体実績予測),
  "")
)</f>
        <v>770.71019747992386</v>
      </c>
      <c r="BF36" s="805">
        <f>_xlfn.LET(_xlpm._全体実績予測,
  INDEX('在庫使用計画 (全体実績+予測）0701'!$A$1:$BD$195,
    MATCH($C36,'在庫使用計画 (全体実績+予測）0701'!$C$1:$C$195,0),
    MATCH(BF$1,'在庫使用計画 (全体実績+予測）0701'!$A$1:$BD$1,0)
),
  IFERROR(
    IF(_xlpm._全体実績予測=0,"",_xlpm._全体実績予測),
  "")
)</f>
        <v>1211.8095101865292</v>
      </c>
    </row>
    <row r="37" spans="1:65" ht="18.75" customHeight="1">
      <c r="A37" s="293" t="s">
        <v>1361</v>
      </c>
      <c r="B37" s="26" t="str">
        <v>TFH-E-13420H-3050-L6</v>
      </c>
      <c r="C37" s="55" t="s">
        <v>1368</v>
      </c>
      <c r="D37" s="26" t="s">
        <v>1634</v>
      </c>
      <c r="E37" s="26">
        <v>3050</v>
      </c>
      <c r="F37" s="26" t="s">
        <v>1372</v>
      </c>
      <c r="G37" s="38">
        <v>5</v>
      </c>
      <c r="H37" s="38">
        <f ca="1">_xlfn.LET(_xlpm._今月から4ヶ月計画合計,
  SUM(
    OFFSET($A37,0,
      MATCH(
        EDATE(基準データ!$C$5,3),$A$1:$BE$1,1
      )-4,1,4)),
  IF($C37="","",_xlpm._今月から4ヶ月計画合計
)
)</f>
        <v>0</v>
      </c>
      <c r="I37" s="38">
        <f>SUMIFS(マスタ_EOLリスト[在庫],マスタ_EOLリスト[製品型番],'在庫使用計画 (計画　予測)'!$C:$C)</f>
        <v>5</v>
      </c>
      <c r="J37" s="1116" t="str" cm="1">
        <f t="array" ref="J37">_xlfn.IFS($C37="","",
  $G37="","発売前？",
  $G37=0,"在庫なし",
  TRUE,
  IFERROR(
    _xlfn.LET(
      _xlpm._在庫注残,     $G37,
      _xlpm._しきい値,     _xlpm._在庫注残 * 0.75,
      _xlpm._見出し元,     $K$1:$BT$1,
      _xlpm._計画,         $K37:$BT37,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合計0、在庫+注残5のため不足</v>
      </c>
      <c r="K37" s="38" t="s">
        <v>21</v>
      </c>
      <c r="L37" s="38" t="s">
        <v>21</v>
      </c>
      <c r="M37" s="38" t="s">
        <v>21</v>
      </c>
      <c r="N37" s="38" t="s">
        <v>21</v>
      </c>
      <c r="O37" s="38" t="s">
        <v>21</v>
      </c>
      <c r="P37" s="38" t="s">
        <v>21</v>
      </c>
      <c r="Q37" s="116" t="s">
        <v>21</v>
      </c>
      <c r="R37" s="1350" t="s">
        <v>21</v>
      </c>
      <c r="S37" s="219" t="s">
        <v>21</v>
      </c>
      <c r="T37" s="219" t="s">
        <v>21</v>
      </c>
      <c r="U37" s="219" t="s">
        <v>21</v>
      </c>
      <c r="V37" s="219" t="s">
        <v>21</v>
      </c>
      <c r="W37" s="224" t="s">
        <v>21</v>
      </c>
      <c r="X37" s="224" t="s">
        <v>21</v>
      </c>
      <c r="Y37" s="224" t="s">
        <v>21</v>
      </c>
      <c r="Z37" s="237" t="s">
        <v>21</v>
      </c>
      <c r="AA37" s="224" t="s">
        <v>21</v>
      </c>
      <c r="AB37" s="224" t="s">
        <v>21</v>
      </c>
      <c r="AC37" s="805" t="s">
        <v>21</v>
      </c>
      <c r="AD37" s="244">
        <v>40</v>
      </c>
      <c r="AE37" s="224">
        <v>95</v>
      </c>
      <c r="AF37" s="224">
        <v>88.308973809972414</v>
      </c>
      <c r="AG37" s="224">
        <v>85</v>
      </c>
      <c r="AH37" s="237">
        <v>169</v>
      </c>
      <c r="AI37" s="804">
        <v>13</v>
      </c>
      <c r="AJ37" s="224">
        <v>105</v>
      </c>
      <c r="AK37" s="224">
        <v>304</v>
      </c>
      <c r="AL37" s="224">
        <v>197</v>
      </c>
      <c r="AM37" s="224" t="str">
        <f>_xlfn.XLOOKUP(
$C37,
'在庫使用計画 (ノート全体試算)'!$C$1:$C$170,
'在庫使用計画 (ノート全体試算)'!AN$1:AN$170,
"")</f>
        <v/>
      </c>
      <c r="AN37" s="237" t="str">
        <f>_xlfn.XLOOKUP(
$C37,
'在庫使用計画 (ノート全体試算)'!$C$1:$C$170,
'在庫使用計画 (ノート全体試算)'!AO$1:AO$170,
"")</f>
        <v/>
      </c>
      <c r="AO37" s="237" t="str">
        <f>_xlfn.XLOOKUP(
$C37,
'在庫使用計画 (ノート全体試算)'!$C$1:$C$170,
'在庫使用計画 (ノート全体試算)'!AP$1:AP$170,
"")</f>
        <v/>
      </c>
      <c r="AP37" s="224" t="str">
        <f>_xlfn.XLOOKUP(
$C37,
'在庫使用計画 (ノート全体試算)'!$C$1:$C$170,
'在庫使用計画 (ノート全体試算)'!AQ$1:AQ$170,
"")</f>
        <v/>
      </c>
      <c r="AQ37" s="1050" t="str">
        <f>_xlfn.XLOOKUP(
$C37,
'在庫使用計画 (ノート全体試算)'!$C$1:$C$170,
'在庫使用計画 (ノート全体試算)'!AR$1:AR$170,
"")</f>
        <v/>
      </c>
      <c r="AR37" s="2130" t="str">
        <f>_xlfn.XLOOKUP(
$C37,
'在庫使用計画 (ノート全体試算)'!$C$1:$C$170,
'在庫使用計画 (ノート全体試算)'!AS$1:AS$170,
"")</f>
        <v/>
      </c>
      <c r="AS37" s="244" t="str">
        <f>_xlfn.XLOOKUP(
$C37,
'在庫使用計画 (ノート全体試算)'!$C$1:$C$170,
'在庫使用計画 (ノート全体試算)'!AT$1:AT$170,
"")</f>
        <v/>
      </c>
      <c r="AT37" s="805" t="str">
        <f>_xlfn.XLOOKUP(
$C37,
'在庫使用計画 (ノート全体試算)'!$C$1:$C$170,
'在庫使用計画 (ノート全体試算)'!AU$1:AU$170,
"")</f>
        <v/>
      </c>
      <c r="AU37" s="804" t="str">
        <f>_xlfn.XLOOKUP(
$C37,
'在庫使用計画 (ノート全体試算)'!$C$1:$C$170,
'在庫使用計画 (ノート全体試算)'!AV$1:AV$170,
"")</f>
        <v/>
      </c>
      <c r="AV37" s="224" t="str">
        <f>_xlfn.XLOOKUP(
$C37,
'在庫使用計画 (ノート全体試算)'!$C$1:$C$170,
'在庫使用計画 (ノート全体試算)'!AW$1:AW$170,
"")</f>
        <v/>
      </c>
      <c r="AW37" s="224" t="str">
        <f>_xlfn.XLOOKUP(
$C37,
'在庫使用計画 (ノート全体試算)'!$C$1:$C$170,
'在庫使用計画 (ノート全体試算)'!AX$1:AX$170,
"")</f>
        <v/>
      </c>
      <c r="AX37" s="224" t="str">
        <f>_xlfn.XLOOKUP(
$C37,
'在庫使用計画 (ノート全体試算)'!$C$1:$C$170,
'在庫使用計画 (ノート全体試算)'!AY$1:AY$170,
"")</f>
        <v/>
      </c>
      <c r="AY37" s="224" t="str">
        <f>_xlfn.XLOOKUP(
$C37,
'在庫使用計画 (ノート全体試算)'!$C$1:$C$170,
'在庫使用計画 (ノート全体試算)'!AZ$1:AZ$170,
"")</f>
        <v/>
      </c>
      <c r="AZ37" s="224" t="str">
        <f>_xlfn.XLOOKUP(
$C37,
'在庫使用計画 (ノート全体試算)'!$C$1:$C$170,
'在庫使用計画 (ノート全体試算)'!BA$1:BA$170,
"")</f>
        <v/>
      </c>
      <c r="BA37" s="224" t="str">
        <f>_xlfn.XLOOKUP(
$C37,
'在庫使用計画 (ノート全体試算)'!$C$1:$C$170,
'在庫使用計画 (ノート全体試算)'!BB$1:BB$170,
"")</f>
        <v/>
      </c>
      <c r="BB37" s="224" t="str">
        <f>_xlfn.XLOOKUP(
$C37,
'在庫使用計画 (ノート全体試算)'!$C$1:$C$170,
'在庫使用計画 (ノート全体試算)'!BC$1:BC$170,
"")</f>
        <v/>
      </c>
      <c r="BC37" s="224" t="str">
        <f>_xlfn.XLOOKUP(
$C37,
'在庫使用計画 (ノート全体試算)'!$C$1:$C$170,
'在庫使用計画 (ノート全体試算)'!BD$1:BD$170,
"")</f>
        <v/>
      </c>
      <c r="BD37" s="224" t="str">
        <f>_xlfn.XLOOKUP(
$C37,
'在庫使用計画 (ノート全体試算)'!$C$1:$C$170,
'在庫使用計画 (ノート全体試算)'!BE$1:BE$170,
"")</f>
        <v/>
      </c>
      <c r="BE37" s="224" t="str">
        <f>_xlfn.XLOOKUP(
$C37,
'在庫使用計画 (ノート全体試算)'!$C$1:$C$170,
'在庫使用計画 (ノート全体試算)'!BF$1:BF$170,
"")</f>
        <v/>
      </c>
      <c r="BF37" s="805" t="str">
        <f>_xlfn.XLOOKUP(
$C37,
'在庫使用計画 (ノート全体試算)'!$C$1:$C$170,
'在庫使用計画 (ノート全体試算)'!BG$1:BG$170,
"")</f>
        <v/>
      </c>
      <c r="BG37" s="2091" t="s">
        <v>2655</v>
      </c>
    </row>
    <row r="38" spans="1:65" ht="18.75" customHeight="1">
      <c r="A38" s="445"/>
      <c r="B38" s="446" t="str">
        <v>TFH-E-13420H-3050-L6</v>
      </c>
      <c r="C38" s="454" t="s">
        <v>1368</v>
      </c>
      <c r="D38" s="446" t="s">
        <v>1763</v>
      </c>
      <c r="E38" s="446"/>
      <c r="F38" s="447"/>
      <c r="G38" s="448">
        <v>5</v>
      </c>
      <c r="H38" s="448">
        <f ca="1">_xlfn.LET(_xlpm._今月から4ヶ月計画合計,
  SUM(
    OFFSET($A38,0,
      MATCH(
        EDATE(基準データ!$C$5,3),$A$1:$BE$1,1
      )-4,1,4)),
  IF($C38="","",_xlpm._今月から4ヶ月計画合計
)
)</f>
        <v>0</v>
      </c>
      <c r="I38" s="448">
        <f t="shared" si="6"/>
        <v>5</v>
      </c>
      <c r="J38" s="1116" t="str" cm="1">
        <f t="array" ref="J38">_xlfn.IFS($C38="","",
  $G38="","発売前？",
  $G38=0,"在庫なし",
  TRUE,
  IFERROR(
    _xlfn.LET(
      _xlpm._在庫注残,     $G38,
      _xlpm._しきい値,     _xlpm._在庫注残 * 0.75,
      _xlpm._見出し元,     $K$1:$BT$1,
      _xlpm._計画,         $K38:$BT38,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合計0、在庫+注残5のため不足</v>
      </c>
      <c r="K38" s="448"/>
      <c r="L38" s="448"/>
      <c r="M38" s="448"/>
      <c r="N38" s="448"/>
      <c r="O38" s="448"/>
      <c r="P38" s="448"/>
      <c r="Q38" s="540"/>
      <c r="R38" s="900"/>
      <c r="S38" s="449"/>
      <c r="T38" s="449"/>
      <c r="U38" s="449"/>
      <c r="V38" s="450"/>
      <c r="W38" s="455" t="s">
        <v>21</v>
      </c>
      <c r="X38" s="455" t="s">
        <v>21</v>
      </c>
      <c r="Y38" s="455" t="s">
        <v>21</v>
      </c>
      <c r="Z38" s="453" t="s">
        <v>21</v>
      </c>
      <c r="AA38" s="453" t="s">
        <v>21</v>
      </c>
      <c r="AB38" s="449" t="s">
        <v>21</v>
      </c>
      <c r="AC38" s="899"/>
      <c r="AD38" s="1290"/>
      <c r="AE38" s="453"/>
      <c r="AF38" s="224" t="s">
        <v>21</v>
      </c>
      <c r="AG38" s="224">
        <v>23</v>
      </c>
      <c r="AH38" s="237">
        <v>22</v>
      </c>
      <c r="AI38" s="804">
        <v>28</v>
      </c>
      <c r="AJ38" s="224">
        <v>12</v>
      </c>
      <c r="AK38" s="224">
        <v>192</v>
      </c>
      <c r="AL38" s="224">
        <v>189</v>
      </c>
      <c r="AM38" s="224">
        <f>_xlfn.LET(_xlpm._全体実績予測,
  INDEX('在庫使用計画 (全体実績+予測）0701'!$A$1:$BD$195,
    MATCH($C38,'在庫使用計画 (全体実績+予測）0701'!$C$1:$C$195,0),
    MATCH(AM$1,'在庫使用計画 (全体実績+予測）0701'!$A$1:$BD$1,0)
),
  IFERROR(
    IF(_xlpm._全体実績予測=0,"",_xlpm._全体実績予測),
  "")
)</f>
        <v>12</v>
      </c>
      <c r="AN38" s="237" t="str">
        <f>_xlfn.LET(_xlpm._全体実績予測,
  INDEX('在庫使用計画 (全体実績+予測）0701'!$A$1:$BD$195,
    MATCH($C38,'在庫使用計画 (全体実績+予測）0701'!$C$1:$C$195,0),
    MATCH(AN$1,'在庫使用計画 (全体実績+予測）0701'!$A$1:$BD$1,0)
),
  IFERROR(
    IF(_xlpm._全体実績予測=0,"",_xlpm._全体実績予測),
  "")
)</f>
        <v/>
      </c>
      <c r="AO38" s="237" t="str">
        <f>_xlfn.LET(_xlpm._全体実績予測,
  INDEX('在庫使用計画 (全体実績+予測）0701'!$A$1:$BD$195,
    MATCH($C38,'在庫使用計画 (全体実績+予測）0701'!$C$1:$C$195,0),
    MATCH(AO$1,'在庫使用計画 (全体実績+予測）0701'!$A$1:$BD$1,0)
),
  IFERROR(
    IF(_xlpm._全体実績予測=0,"",_xlpm._全体実績予測),
  "")
)</f>
        <v/>
      </c>
      <c r="AP38" s="224" t="str">
        <f>_xlfn.LET(_xlpm._全体実績予測,
  INDEX('在庫使用計画 (全体実績+予測）0701'!$A$1:$BD$195,
    MATCH($C38,'在庫使用計画 (全体実績+予測）0701'!$C$1:$C$195,0),
    MATCH(AP$1,'在庫使用計画 (全体実績+予測）0701'!$A$1:$BD$1,0)
),
  IFERROR(
    IF(_xlpm._全体実績予測=0,"",_xlpm._全体実績予測),
  "")
)</f>
        <v/>
      </c>
      <c r="AQ38" s="1050" t="str">
        <f>_xlfn.LET(_xlpm._全体実績予測,
  INDEX('在庫使用計画 (全体実績+予測）0701'!$A$1:$BD$195,
    MATCH($C38,'在庫使用計画 (全体実績+予測）0701'!$C$1:$C$195,0),
    MATCH(AQ$1,'在庫使用計画 (全体実績+予測）0701'!$A$1:$BD$1,0)
),
  IFERROR(
    IF(_xlpm._全体実績予測=0,"",_xlpm._全体実績予測),
  "")
)</f>
        <v/>
      </c>
      <c r="AR38" s="2130" t="str">
        <f>_xlfn.LET(_xlpm._全体実績予測,
  INDEX('在庫使用計画 (全体実績+予測）0701'!$A$1:$BD$195,
    MATCH($C38,'在庫使用計画 (全体実績+予測）0701'!$C$1:$C$195,0),
    MATCH(AR$1,'在庫使用計画 (全体実績+予測）0701'!$A$1:$BD$1,0)
),
  IFERROR(
    IF(_xlpm._全体実績予測=0,"",_xlpm._全体実績予測),
  "")
)</f>
        <v/>
      </c>
      <c r="AS38" s="244" t="str">
        <f>_xlfn.LET(_xlpm._全体実績予測,
  INDEX('在庫使用計画 (全体実績+予測）0701'!$A$1:$BD$195,
    MATCH($C38,'在庫使用計画 (全体実績+予測）0701'!$C$1:$C$195,0),
    MATCH(AS$1,'在庫使用計画 (全体実績+予測）0701'!$A$1:$BD$1,0)
),
  IFERROR(
    IF(_xlpm._全体実績予測=0,"",_xlpm._全体実績予測),
  "")
)</f>
        <v/>
      </c>
      <c r="AT38" s="805" t="str">
        <f>_xlfn.LET(_xlpm._全体実績予測,
  INDEX('在庫使用計画 (全体実績+予測）0701'!$A$1:$BD$195,
    MATCH($C38,'在庫使用計画 (全体実績+予測）0701'!$C$1:$C$195,0),
    MATCH(AT$1,'在庫使用計画 (全体実績+予測）0701'!$A$1:$BD$1,0)
),
  IFERROR(
    IF(_xlpm._全体実績予測=0,"",_xlpm._全体実績予測),
  "")
)</f>
        <v/>
      </c>
      <c r="AU38" s="804" t="str">
        <f>_xlfn.LET(_xlpm._全体実績予測,
  INDEX('在庫使用計画 (全体実績+予測）0701'!$A$1:$BD$195,
    MATCH($C38,'在庫使用計画 (全体実績+予測）0701'!$C$1:$C$195,0),
    MATCH(AU$1,'在庫使用計画 (全体実績+予測）0701'!$A$1:$BD$1,0)
),
  IFERROR(
    IF(_xlpm._全体実績予測=0,"",_xlpm._全体実績予測),
  "")
)</f>
        <v/>
      </c>
      <c r="AV38" s="224" t="str">
        <f>_xlfn.LET(_xlpm._全体実績予測,
  INDEX('在庫使用計画 (全体実績+予測）0701'!$A$1:$BD$195,
    MATCH($C38,'在庫使用計画 (全体実績+予測）0701'!$C$1:$C$195,0),
    MATCH(AV$1,'在庫使用計画 (全体実績+予測）0701'!$A$1:$BD$1,0)
),
  IFERROR(
    IF(_xlpm._全体実績予測=0,"",_xlpm._全体実績予測),
  "")
)</f>
        <v/>
      </c>
      <c r="AW38" s="224" t="str">
        <f>_xlfn.LET(_xlpm._全体実績予測,
  INDEX('在庫使用計画 (全体実績+予測）0701'!$A$1:$BD$195,
    MATCH($C38,'在庫使用計画 (全体実績+予測）0701'!$C$1:$C$195,0),
    MATCH(AW$1,'在庫使用計画 (全体実績+予測）0701'!$A$1:$BD$1,0)
),
  IFERROR(
    IF(_xlpm._全体実績予測=0,"",_xlpm._全体実績予測),
  "")
)</f>
        <v/>
      </c>
      <c r="AX38" s="224" t="str">
        <f>_xlfn.LET(_xlpm._全体実績予測,
  INDEX('在庫使用計画 (全体実績+予測）0701'!$A$1:$BD$195,
    MATCH($C38,'在庫使用計画 (全体実績+予測）0701'!$C$1:$C$195,0),
    MATCH(AX$1,'在庫使用計画 (全体実績+予測）0701'!$A$1:$BD$1,0)
),
  IFERROR(
    IF(_xlpm._全体実績予測=0,"",_xlpm._全体実績予測),
  "")
)</f>
        <v/>
      </c>
      <c r="AY38" s="224" t="str">
        <f>_xlfn.LET(_xlpm._全体実績予測,
  INDEX('在庫使用計画 (全体実績+予測）0701'!$A$1:$BD$195,
    MATCH($C38,'在庫使用計画 (全体実績+予測）0701'!$C$1:$C$195,0),
    MATCH(AY$1,'在庫使用計画 (全体実績+予測）0701'!$A$1:$BD$1,0)
),
  IFERROR(
    IF(_xlpm._全体実績予測=0,"",_xlpm._全体実績予測),
  "")
)</f>
        <v/>
      </c>
      <c r="AZ38" s="224" t="str">
        <f>_xlfn.LET(_xlpm._全体実績予測,
  INDEX('在庫使用計画 (全体実績+予測）0701'!$A$1:$BD$195,
    MATCH($C38,'在庫使用計画 (全体実績+予測）0701'!$C$1:$C$195,0),
    MATCH(AZ$1,'在庫使用計画 (全体実績+予測）0701'!$A$1:$BD$1,0)
),
  IFERROR(
    IF(_xlpm._全体実績予測=0,"",_xlpm._全体実績予測),
  "")
)</f>
        <v/>
      </c>
      <c r="BA38" s="224" t="str">
        <f>_xlfn.LET(_xlpm._全体実績予測,
  INDEX('在庫使用計画 (全体実績+予測）0701'!$A$1:$BD$195,
    MATCH($C38,'在庫使用計画 (全体実績+予測）0701'!$C$1:$C$195,0),
    MATCH(BA$1,'在庫使用計画 (全体実績+予測）0701'!$A$1:$BD$1,0)
),
  IFERROR(
    IF(_xlpm._全体実績予測=0,"",_xlpm._全体実績予測),
  "")
)</f>
        <v/>
      </c>
      <c r="BB38" s="224" t="str">
        <f>_xlfn.LET(_xlpm._全体実績予測,
  INDEX('在庫使用計画 (全体実績+予測）0701'!$A$1:$BD$195,
    MATCH($C38,'在庫使用計画 (全体実績+予測）0701'!$C$1:$C$195,0),
    MATCH(BB$1,'在庫使用計画 (全体実績+予測）0701'!$A$1:$BD$1,0)
),
  IFERROR(
    IF(_xlpm._全体実績予測=0,"",_xlpm._全体実績予測),
  "")
)</f>
        <v/>
      </c>
      <c r="BC38" s="224" t="str">
        <f>_xlfn.LET(_xlpm._全体実績予測,
  INDEX('在庫使用計画 (全体実績+予測）0701'!$A$1:$BD$195,
    MATCH($C38,'在庫使用計画 (全体実績+予測）0701'!$C$1:$C$195,0),
    MATCH(BC$1,'在庫使用計画 (全体実績+予測）0701'!$A$1:$BD$1,0)
),
  IFERROR(
    IF(_xlpm._全体実績予測=0,"",_xlpm._全体実績予測),
  "")
)</f>
        <v/>
      </c>
      <c r="BD38" s="224" t="str">
        <f>_xlfn.LET(_xlpm._全体実績予測,
  INDEX('在庫使用計画 (全体実績+予測）0701'!$A$1:$BD$195,
    MATCH($C38,'在庫使用計画 (全体実績+予測）0701'!$C$1:$C$195,0),
    MATCH(BD$1,'在庫使用計画 (全体実績+予測）0701'!$A$1:$BD$1,0)
),
  IFERROR(
    IF(_xlpm._全体実績予測=0,"",_xlpm._全体実績予測),
  "")
)</f>
        <v/>
      </c>
      <c r="BE38" s="224" t="str">
        <f>_xlfn.LET(_xlpm._全体実績予測,
  INDEX('在庫使用計画 (全体実績+予測）0701'!$A$1:$BD$195,
    MATCH($C38,'在庫使用計画 (全体実績+予測）0701'!$C$1:$C$195,0),
    MATCH(BE$1,'在庫使用計画 (全体実績+予測）0701'!$A$1:$BD$1,0)
),
  IFERROR(
    IF(_xlpm._全体実績予測=0,"",_xlpm._全体実績予測),
  "")
)</f>
        <v/>
      </c>
      <c r="BF38" s="805" t="str">
        <f>_xlfn.LET(_xlpm._全体実績予測,
  INDEX('在庫使用計画 (全体実績+予測）0701'!$A$1:$BD$195,
    MATCH($C38,'在庫使用計画 (全体実績+予測）0701'!$C$1:$C$195,0),
    MATCH(BF$1,'在庫使用計画 (全体実績+予測）0701'!$A$1:$BD$1,0)
),
  IFERROR(
    IF(_xlpm._全体実績予測=0,"",_xlpm._全体実績予測),
  "")
)</f>
        <v/>
      </c>
    </row>
    <row r="39" spans="1:65" ht="18.75" hidden="1" customHeight="1" outlineLevel="1">
      <c r="A39" s="293" t="s">
        <v>1361</v>
      </c>
      <c r="B39" s="26" t="str">
        <v>TFH-E-12450H-3050-L6</v>
      </c>
      <c r="C39" s="55" t="s">
        <v>1370</v>
      </c>
      <c r="D39" s="26" t="s">
        <v>1371</v>
      </c>
      <c r="E39" s="26">
        <v>3050</v>
      </c>
      <c r="F39" s="26" t="s">
        <v>1372</v>
      </c>
      <c r="G39" s="38">
        <v>0</v>
      </c>
      <c r="H39" s="38">
        <f ca="1">_xlfn.LET(_xlpm._今月から4ヶ月計画合計,
  SUM(
    OFFSET($A39,0,
      MATCH(
        EDATE(基準データ!$C$5,3),$A$1:$BE$1,1
      )-4,1,4)),
  IF($C39="","",_xlpm._今月から4ヶ月計画合計
)
)</f>
        <v>0</v>
      </c>
      <c r="I39" s="38">
        <f>SUMIFS(マスタ_EOLリスト[在庫],マスタ_EOLリスト[製品型番],'在庫使用計画 (計画　予測)'!$C:$C)</f>
        <v>0</v>
      </c>
      <c r="J39" s="1116" t="str" cm="1">
        <f t="array" ref="J39">_xlfn.IFS($C39="","",
  $G39="","発売前？",
  $G39=0,"在庫なし",
  TRUE,
  IFERROR(
    _xlfn.LET(
      _xlpm._在庫注残,     $G39,
      _xlpm._しきい値,     _xlpm._在庫注残 * 0.75,
      _xlpm._見出し元,     $K$1:$BT$1,
      _xlpm._計画,         $K39:$BT39,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在庫なし</v>
      </c>
      <c r="K39" s="38">
        <v>5</v>
      </c>
      <c r="L39" s="38">
        <v>10</v>
      </c>
      <c r="M39" s="38">
        <v>10</v>
      </c>
      <c r="N39" s="38">
        <v>5</v>
      </c>
      <c r="O39" s="38">
        <v>5</v>
      </c>
      <c r="P39" s="38">
        <v>5</v>
      </c>
      <c r="Q39" s="116">
        <v>10</v>
      </c>
      <c r="R39" s="1350">
        <v>10</v>
      </c>
      <c r="S39" s="219">
        <v>10</v>
      </c>
      <c r="T39" s="219">
        <v>2</v>
      </c>
      <c r="U39" s="219">
        <v>24</v>
      </c>
      <c r="V39" s="219">
        <v>12</v>
      </c>
      <c r="W39" s="224">
        <v>22</v>
      </c>
      <c r="X39" s="224">
        <v>95</v>
      </c>
      <c r="Y39" s="224">
        <v>52</v>
      </c>
      <c r="Z39" s="237">
        <v>70</v>
      </c>
      <c r="AA39" s="224">
        <v>40</v>
      </c>
      <c r="AB39" s="224">
        <v>30</v>
      </c>
      <c r="AC39" s="805" t="s">
        <v>21</v>
      </c>
      <c r="AD39" s="244" t="s">
        <v>21</v>
      </c>
      <c r="AE39" s="224">
        <v>15</v>
      </c>
      <c r="AF39" s="224">
        <v>15</v>
      </c>
      <c r="AG39" s="224">
        <v>15</v>
      </c>
      <c r="AH39" s="237" t="s">
        <v>21</v>
      </c>
      <c r="AI39" s="804" t="s">
        <v>21</v>
      </c>
      <c r="AJ39" s="224" t="s">
        <v>21</v>
      </c>
      <c r="AK39" s="224" t="s">
        <v>21</v>
      </c>
      <c r="AL39" s="224" t="s">
        <v>21</v>
      </c>
      <c r="AM39" s="224" t="str">
        <f>_xlfn.XLOOKUP(
$C39,
'在庫使用計画 (ノート全体試算)'!$C$1:$C$170,
'在庫使用計画 (ノート全体試算)'!AN$1:AN$170,
"")</f>
        <v/>
      </c>
      <c r="AN39" s="237" t="str">
        <f>_xlfn.XLOOKUP(
$C39,
'在庫使用計画 (ノート全体試算)'!$C$1:$C$170,
'在庫使用計画 (ノート全体試算)'!AO$1:AO$170,
"")</f>
        <v/>
      </c>
      <c r="AO39" s="237" t="str">
        <f>_xlfn.XLOOKUP(
$C39,
'在庫使用計画 (ノート全体試算)'!$C$1:$C$170,
'在庫使用計画 (ノート全体試算)'!AP$1:AP$170,
"")</f>
        <v/>
      </c>
      <c r="AP39" s="224" t="str">
        <f>_xlfn.XLOOKUP(
$C39,
'在庫使用計画 (ノート全体試算)'!$C$1:$C$170,
'在庫使用計画 (ノート全体試算)'!AQ$1:AQ$170,
"")</f>
        <v/>
      </c>
      <c r="AQ39" s="1050" t="str">
        <f>_xlfn.XLOOKUP(
$C39,
'在庫使用計画 (ノート全体試算)'!$C$1:$C$170,
'在庫使用計画 (ノート全体試算)'!AR$1:AR$170,
"")</f>
        <v/>
      </c>
      <c r="AR39" s="2130" t="str">
        <f>_xlfn.XLOOKUP(
$C39,
'在庫使用計画 (ノート全体試算)'!$C$1:$C$170,
'在庫使用計画 (ノート全体試算)'!AS$1:AS$170,
"")</f>
        <v/>
      </c>
      <c r="AS39" s="244" t="str">
        <f>_xlfn.XLOOKUP(
$C39,
'在庫使用計画 (ノート全体試算)'!$C$1:$C$170,
'在庫使用計画 (ノート全体試算)'!AT$1:AT$170,
"")</f>
        <v/>
      </c>
      <c r="AT39" s="805" t="str">
        <f>_xlfn.XLOOKUP(
$C39,
'在庫使用計画 (ノート全体試算)'!$C$1:$C$170,
'在庫使用計画 (ノート全体試算)'!AU$1:AU$170,
"")</f>
        <v/>
      </c>
      <c r="AU39" s="804" t="str">
        <f>_xlfn.XLOOKUP(
$C39,
'在庫使用計画 (ノート全体試算)'!$C$1:$C$170,
'在庫使用計画 (ノート全体試算)'!AV$1:AV$170,
"")</f>
        <v/>
      </c>
      <c r="AV39" s="224" t="str">
        <f>_xlfn.XLOOKUP(
$C39,
'在庫使用計画 (ノート全体試算)'!$C$1:$C$170,
'在庫使用計画 (ノート全体試算)'!AW$1:AW$170,
"")</f>
        <v/>
      </c>
      <c r="AW39" s="224" t="str">
        <f>_xlfn.XLOOKUP(
$C39,
'在庫使用計画 (ノート全体試算)'!$C$1:$C$170,
'在庫使用計画 (ノート全体試算)'!AX$1:AX$170,
"")</f>
        <v/>
      </c>
      <c r="AX39" s="224" t="str">
        <f>_xlfn.XLOOKUP(
$C39,
'在庫使用計画 (ノート全体試算)'!$C$1:$C$170,
'在庫使用計画 (ノート全体試算)'!AY$1:AY$170,
"")</f>
        <v/>
      </c>
      <c r="AY39" s="224" t="str">
        <f>_xlfn.XLOOKUP(
$C39,
'在庫使用計画 (ノート全体試算)'!$C$1:$C$170,
'在庫使用計画 (ノート全体試算)'!AZ$1:AZ$170,
"")</f>
        <v/>
      </c>
      <c r="AZ39" s="224" t="str">
        <f>_xlfn.XLOOKUP(
$C39,
'在庫使用計画 (ノート全体試算)'!$C$1:$C$170,
'在庫使用計画 (ノート全体試算)'!BA$1:BA$170,
"")</f>
        <v/>
      </c>
      <c r="BA39" s="224" t="str">
        <f>_xlfn.XLOOKUP(
$C39,
'在庫使用計画 (ノート全体試算)'!$C$1:$C$170,
'在庫使用計画 (ノート全体試算)'!BB$1:BB$170,
"")</f>
        <v/>
      </c>
      <c r="BB39" s="224" t="str">
        <f>_xlfn.XLOOKUP(
$C39,
'在庫使用計画 (ノート全体試算)'!$C$1:$C$170,
'在庫使用計画 (ノート全体試算)'!BC$1:BC$170,
"")</f>
        <v/>
      </c>
      <c r="BC39" s="224" t="str">
        <f>_xlfn.XLOOKUP(
$C39,
'在庫使用計画 (ノート全体試算)'!$C$1:$C$170,
'在庫使用計画 (ノート全体試算)'!BD$1:BD$170,
"")</f>
        <v/>
      </c>
      <c r="BD39" s="224" t="str">
        <f>_xlfn.XLOOKUP(
$C39,
'在庫使用計画 (ノート全体試算)'!$C$1:$C$170,
'在庫使用計画 (ノート全体試算)'!BE$1:BE$170,
"")</f>
        <v/>
      </c>
      <c r="BE39" s="224" t="str">
        <f>_xlfn.XLOOKUP(
$C39,
'在庫使用計画 (ノート全体試算)'!$C$1:$C$170,
'在庫使用計画 (ノート全体試算)'!BF$1:BF$170,
"")</f>
        <v/>
      </c>
      <c r="BF39" s="805" t="str">
        <f>_xlfn.XLOOKUP(
$C39,
'在庫使用計画 (ノート全体試算)'!$C$1:$C$170,
'在庫使用計画 (ノート全体試算)'!BG$1:BG$170,
"")</f>
        <v/>
      </c>
    </row>
    <row r="40" spans="1:65" ht="18.75" hidden="1" customHeight="1" outlineLevel="1">
      <c r="A40" s="445"/>
      <c r="B40" s="446" t="str">
        <v>TFH-E-12450H-3050-L6</v>
      </c>
      <c r="C40" s="454" t="s">
        <v>1370</v>
      </c>
      <c r="D40" s="446" t="s">
        <v>1763</v>
      </c>
      <c r="E40" s="446"/>
      <c r="F40" s="447"/>
      <c r="G40" s="448">
        <v>0</v>
      </c>
      <c r="H40" s="448">
        <f ca="1">_xlfn.LET(_xlpm._今月から4ヶ月計画合計,
  SUM(
    OFFSET($A40,0,
      MATCH(
        EDATE(基準データ!$C$5,3),$A$1:$BE$1,1
      )-4,1,4)),
  IF($C40="","",_xlpm._今月から4ヶ月計画合計
)
)</f>
        <v>0</v>
      </c>
      <c r="I40" s="448">
        <f t="shared" si="6"/>
        <v>0</v>
      </c>
      <c r="J40" s="1116" t="str" cm="1">
        <f t="array" ref="J40">_xlfn.IFS($C40="","",
  $G40="","発売前？",
  $G40=0,"在庫なし",
  TRUE,
  IFERROR(
    _xlfn.LET(
      _xlpm._在庫注残,     $G40,
      _xlpm._しきい値,     _xlpm._在庫注残 * 0.75,
      _xlpm._見出し元,     $K$1:$BT$1,
      _xlpm._計画,         $K40:$BT40,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在庫なし</v>
      </c>
      <c r="K40" s="448"/>
      <c r="L40" s="448"/>
      <c r="M40" s="448"/>
      <c r="N40" s="448"/>
      <c r="O40" s="448"/>
      <c r="P40" s="448"/>
      <c r="Q40" s="540"/>
      <c r="R40" s="900"/>
      <c r="S40" s="449"/>
      <c r="T40" s="449"/>
      <c r="U40" s="449"/>
      <c r="V40" s="450"/>
      <c r="W40" s="455">
        <v>136</v>
      </c>
      <c r="X40" s="455">
        <v>110</v>
      </c>
      <c r="Y40" s="455">
        <v>24</v>
      </c>
      <c r="Z40" s="507">
        <v>44</v>
      </c>
      <c r="AA40" s="453">
        <v>8</v>
      </c>
      <c r="AB40" s="449">
        <v>15</v>
      </c>
      <c r="AC40" s="899"/>
      <c r="AD40" s="1290"/>
      <c r="AE40" s="453"/>
      <c r="AF40" s="224">
        <v>9</v>
      </c>
      <c r="AG40" s="224">
        <v>5</v>
      </c>
      <c r="AH40" s="237">
        <v>10</v>
      </c>
      <c r="AI40" s="804">
        <v>14</v>
      </c>
      <c r="AJ40" s="224">
        <v>5</v>
      </c>
      <c r="AK40" s="224">
        <v>4</v>
      </c>
      <c r="AL40" s="224" t="s">
        <v>21</v>
      </c>
      <c r="AM40" s="224" t="str">
        <f>_xlfn.LET(_xlpm._全体実績予測,
  INDEX('在庫使用計画 (全体実績+予測）0701'!$A$1:$BD$195,
    MATCH($C40,'在庫使用計画 (全体実績+予測）0701'!$C$1:$C$195,0),
    MATCH(AM$1,'在庫使用計画 (全体実績+予測）0701'!$A$1:$BD$1,0)
),
  IFERROR(
    IF(_xlpm._全体実績予測=0,"",_xlpm._全体実績予測),
  "")
)</f>
        <v/>
      </c>
      <c r="AN40" s="237" t="str">
        <f>_xlfn.LET(_xlpm._全体実績予測,
  INDEX('在庫使用計画 (全体実績+予測）0701'!$A$1:$BD$195,
    MATCH($C40,'在庫使用計画 (全体実績+予測）0701'!$C$1:$C$195,0),
    MATCH(AN$1,'在庫使用計画 (全体実績+予測）0701'!$A$1:$BD$1,0)
),
  IFERROR(
    IF(_xlpm._全体実績予測=0,"",_xlpm._全体実績予測),
  "")
)</f>
        <v/>
      </c>
      <c r="AO40" s="237" t="str">
        <f>_xlfn.LET(_xlpm._全体実績予測,
  INDEX('在庫使用計画 (全体実績+予測）0701'!$A$1:$BD$195,
    MATCH($C40,'在庫使用計画 (全体実績+予測）0701'!$C$1:$C$195,0),
    MATCH(AO$1,'在庫使用計画 (全体実績+予測）0701'!$A$1:$BD$1,0)
),
  IFERROR(
    IF(_xlpm._全体実績予測=0,"",_xlpm._全体実績予測),
  "")
)</f>
        <v/>
      </c>
      <c r="AP40" s="224" t="str">
        <f>_xlfn.LET(_xlpm._全体実績予測,
  INDEX('在庫使用計画 (全体実績+予測）0701'!$A$1:$BD$195,
    MATCH($C40,'在庫使用計画 (全体実績+予測）0701'!$C$1:$C$195,0),
    MATCH(AP$1,'在庫使用計画 (全体実績+予測）0701'!$A$1:$BD$1,0)
),
  IFERROR(
    IF(_xlpm._全体実績予測=0,"",_xlpm._全体実績予測),
  "")
)</f>
        <v/>
      </c>
      <c r="AQ40" s="1050" t="str">
        <f>_xlfn.LET(_xlpm._全体実績予測,
  INDEX('在庫使用計画 (全体実績+予測）0701'!$A$1:$BD$195,
    MATCH($C40,'在庫使用計画 (全体実績+予測）0701'!$C$1:$C$195,0),
    MATCH(AQ$1,'在庫使用計画 (全体実績+予測）0701'!$A$1:$BD$1,0)
),
  IFERROR(
    IF(_xlpm._全体実績予測=0,"",_xlpm._全体実績予測),
  "")
)</f>
        <v/>
      </c>
      <c r="AR40" s="2130" t="str">
        <f>_xlfn.LET(_xlpm._全体実績予測,
  INDEX('在庫使用計画 (全体実績+予測）0701'!$A$1:$BD$195,
    MATCH($C40,'在庫使用計画 (全体実績+予測）0701'!$C$1:$C$195,0),
    MATCH(AR$1,'在庫使用計画 (全体実績+予測）0701'!$A$1:$BD$1,0)
),
  IFERROR(
    IF(_xlpm._全体実績予測=0,"",_xlpm._全体実績予測),
  "")
)</f>
        <v/>
      </c>
      <c r="AS40" s="244" t="str">
        <f>_xlfn.LET(_xlpm._全体実績予測,
  INDEX('在庫使用計画 (全体実績+予測）0701'!$A$1:$BD$195,
    MATCH($C40,'在庫使用計画 (全体実績+予測）0701'!$C$1:$C$195,0),
    MATCH(AS$1,'在庫使用計画 (全体実績+予測）0701'!$A$1:$BD$1,0)
),
  IFERROR(
    IF(_xlpm._全体実績予測=0,"",_xlpm._全体実績予測),
  "")
)</f>
        <v/>
      </c>
      <c r="AT40" s="805" t="str">
        <f>_xlfn.LET(_xlpm._全体実績予測,
  INDEX('在庫使用計画 (全体実績+予測）0701'!$A$1:$BD$195,
    MATCH($C40,'在庫使用計画 (全体実績+予測）0701'!$C$1:$C$195,0),
    MATCH(AT$1,'在庫使用計画 (全体実績+予測）0701'!$A$1:$BD$1,0)
),
  IFERROR(
    IF(_xlpm._全体実績予測=0,"",_xlpm._全体実績予測),
  "")
)</f>
        <v/>
      </c>
      <c r="AU40" s="804" t="str">
        <f>_xlfn.LET(_xlpm._全体実績予測,
  INDEX('在庫使用計画 (全体実績+予測）0701'!$A$1:$BD$195,
    MATCH($C40,'在庫使用計画 (全体実績+予測）0701'!$C$1:$C$195,0),
    MATCH(AU$1,'在庫使用計画 (全体実績+予測）0701'!$A$1:$BD$1,0)
),
  IFERROR(
    IF(_xlpm._全体実績予測=0,"",_xlpm._全体実績予測),
  "")
)</f>
        <v/>
      </c>
      <c r="AV40" s="224" t="str">
        <f>_xlfn.LET(_xlpm._全体実績予測,
  INDEX('在庫使用計画 (全体実績+予測）0701'!$A$1:$BD$195,
    MATCH($C40,'在庫使用計画 (全体実績+予測）0701'!$C$1:$C$195,0),
    MATCH(AV$1,'在庫使用計画 (全体実績+予測）0701'!$A$1:$BD$1,0)
),
  IFERROR(
    IF(_xlpm._全体実績予測=0,"",_xlpm._全体実績予測),
  "")
)</f>
        <v/>
      </c>
      <c r="AW40" s="224" t="str">
        <f>_xlfn.LET(_xlpm._全体実績予測,
  INDEX('在庫使用計画 (全体実績+予測）0701'!$A$1:$BD$195,
    MATCH($C40,'在庫使用計画 (全体実績+予測）0701'!$C$1:$C$195,0),
    MATCH(AW$1,'在庫使用計画 (全体実績+予測）0701'!$A$1:$BD$1,0)
),
  IFERROR(
    IF(_xlpm._全体実績予測=0,"",_xlpm._全体実績予測),
  "")
)</f>
        <v/>
      </c>
      <c r="AX40" s="224" t="str">
        <f>_xlfn.LET(_xlpm._全体実績予測,
  INDEX('在庫使用計画 (全体実績+予測）0701'!$A$1:$BD$195,
    MATCH($C40,'在庫使用計画 (全体実績+予測）0701'!$C$1:$C$195,0),
    MATCH(AX$1,'在庫使用計画 (全体実績+予測）0701'!$A$1:$BD$1,0)
),
  IFERROR(
    IF(_xlpm._全体実績予測=0,"",_xlpm._全体実績予測),
  "")
)</f>
        <v/>
      </c>
      <c r="AY40" s="224" t="str">
        <f>_xlfn.LET(_xlpm._全体実績予測,
  INDEX('在庫使用計画 (全体実績+予測）0701'!$A$1:$BD$195,
    MATCH($C40,'在庫使用計画 (全体実績+予測）0701'!$C$1:$C$195,0),
    MATCH(AY$1,'在庫使用計画 (全体実績+予測）0701'!$A$1:$BD$1,0)
),
  IFERROR(
    IF(_xlpm._全体実績予測=0,"",_xlpm._全体実績予測),
  "")
)</f>
        <v/>
      </c>
      <c r="AZ40" s="224" t="str">
        <f>_xlfn.LET(_xlpm._全体実績予測,
  INDEX('在庫使用計画 (全体実績+予測）0701'!$A$1:$BD$195,
    MATCH($C40,'在庫使用計画 (全体実績+予測）0701'!$C$1:$C$195,0),
    MATCH(AZ$1,'在庫使用計画 (全体実績+予測）0701'!$A$1:$BD$1,0)
),
  IFERROR(
    IF(_xlpm._全体実績予測=0,"",_xlpm._全体実績予測),
  "")
)</f>
        <v/>
      </c>
      <c r="BA40" s="224" t="str">
        <f>_xlfn.LET(_xlpm._全体実績予測,
  INDEX('在庫使用計画 (全体実績+予測）0701'!$A$1:$BD$195,
    MATCH($C40,'在庫使用計画 (全体実績+予測）0701'!$C$1:$C$195,0),
    MATCH(BA$1,'在庫使用計画 (全体実績+予測）0701'!$A$1:$BD$1,0)
),
  IFERROR(
    IF(_xlpm._全体実績予測=0,"",_xlpm._全体実績予測),
  "")
)</f>
        <v/>
      </c>
      <c r="BB40" s="224" t="str">
        <f>_xlfn.LET(_xlpm._全体実績予測,
  INDEX('在庫使用計画 (全体実績+予測）0701'!$A$1:$BD$195,
    MATCH($C40,'在庫使用計画 (全体実績+予測）0701'!$C$1:$C$195,0),
    MATCH(BB$1,'在庫使用計画 (全体実績+予測）0701'!$A$1:$BD$1,0)
),
  IFERROR(
    IF(_xlpm._全体実績予測=0,"",_xlpm._全体実績予測),
  "")
)</f>
        <v/>
      </c>
      <c r="BC40" s="224" t="str">
        <f>_xlfn.LET(_xlpm._全体実績予測,
  INDEX('在庫使用計画 (全体実績+予測）0701'!$A$1:$BD$195,
    MATCH($C40,'在庫使用計画 (全体実績+予測）0701'!$C$1:$C$195,0),
    MATCH(BC$1,'在庫使用計画 (全体実績+予測）0701'!$A$1:$BD$1,0)
),
  IFERROR(
    IF(_xlpm._全体実績予測=0,"",_xlpm._全体実績予測),
  "")
)</f>
        <v/>
      </c>
      <c r="BD40" s="224" t="str">
        <f>_xlfn.LET(_xlpm._全体実績予測,
  INDEX('在庫使用計画 (全体実績+予測）0701'!$A$1:$BD$195,
    MATCH($C40,'在庫使用計画 (全体実績+予測）0701'!$C$1:$C$195,0),
    MATCH(BD$1,'在庫使用計画 (全体実績+予測）0701'!$A$1:$BD$1,0)
),
  IFERROR(
    IF(_xlpm._全体実績予測=0,"",_xlpm._全体実績予測),
  "")
)</f>
        <v/>
      </c>
      <c r="BE40" s="224" t="str">
        <f>_xlfn.LET(_xlpm._全体実績予測,
  INDEX('在庫使用計画 (全体実績+予測）0701'!$A$1:$BD$195,
    MATCH($C40,'在庫使用計画 (全体実績+予測）0701'!$C$1:$C$195,0),
    MATCH(BE$1,'在庫使用計画 (全体実績+予測）0701'!$A$1:$BD$1,0)
),
  IFERROR(
    IF(_xlpm._全体実績予測=0,"",_xlpm._全体実績予測),
  "")
)</f>
        <v/>
      </c>
      <c r="BF40" s="805" t="str">
        <f>_xlfn.LET(_xlpm._全体実績予測,
  INDEX('在庫使用計画 (全体実績+予測）0701'!$A$1:$BD$195,
    MATCH($C40,'在庫使用計画 (全体実績+予測）0701'!$C$1:$C$195,0),
    MATCH(BF$1,'在庫使用計画 (全体実績+予測）0701'!$A$1:$BD$1,0)
),
  IFERROR(
    IF(_xlpm._全体実績予測=0,"",_xlpm._全体実績予測),
  "")
)</f>
        <v/>
      </c>
    </row>
    <row r="41" spans="1:65" ht="18.75" customHeight="1" collapsed="1">
      <c r="A41" s="33"/>
      <c r="B41" s="26" t="str">
        <v/>
      </c>
      <c r="C41" s="26"/>
      <c r="D41" s="26"/>
      <c r="E41" s="26"/>
      <c r="F41" s="26"/>
      <c r="G41" s="43" t="str">
        <v/>
      </c>
      <c r="H41" s="38"/>
      <c r="I41" s="38"/>
      <c r="J41" s="1116" t="str" cm="1">
        <f t="array" ref="J41">_xlfn.IFS($C41="","",
  $G41="","発売前？",
  $G41=0,"在庫なし",
  TRUE,
  IFERROR(
    _xlfn.LET(
      _xlpm._在庫注残,     $G41,
      _xlpm._しきい値,     _xlpm._在庫注残 * 0.75,
      _xlpm._見出し元,     $K$1:$BT$1,
      _xlpm._計画,         $K41:$BT41,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
      </c>
      <c r="K41" s="38"/>
      <c r="L41" s="38"/>
      <c r="M41" s="38"/>
      <c r="N41" s="38"/>
      <c r="O41" s="38"/>
      <c r="P41" s="38"/>
      <c r="Q41" s="116"/>
      <c r="R41" s="1350"/>
      <c r="S41" s="219"/>
      <c r="T41" s="219"/>
      <c r="U41" s="219"/>
      <c r="V41" s="219"/>
      <c r="W41" s="224"/>
      <c r="X41" s="224"/>
      <c r="Y41" s="224"/>
      <c r="Z41" s="237"/>
      <c r="AA41" s="224"/>
      <c r="AB41" s="224"/>
      <c r="AC41" s="805"/>
      <c r="AD41" s="244"/>
      <c r="AE41" s="224"/>
      <c r="AF41" s="224"/>
      <c r="AG41" s="224"/>
      <c r="AH41" s="237"/>
      <c r="AI41" s="804"/>
      <c r="AJ41" s="224"/>
      <c r="AK41" s="224"/>
      <c r="AL41" s="224"/>
      <c r="AM41" s="224"/>
      <c r="AN41" s="237"/>
      <c r="AO41" s="237"/>
      <c r="AP41" s="224"/>
      <c r="AQ41" s="1050"/>
      <c r="AR41" s="2130"/>
      <c r="AS41" s="244"/>
      <c r="AT41" s="805"/>
      <c r="AU41" s="804"/>
      <c r="AV41" s="224"/>
      <c r="AW41" s="224"/>
      <c r="AX41" s="224"/>
      <c r="AY41" s="224"/>
      <c r="AZ41" s="224"/>
      <c r="BA41" s="224"/>
      <c r="BB41" s="224"/>
      <c r="BC41" s="224"/>
      <c r="BD41" s="224"/>
      <c r="BE41" s="224"/>
      <c r="BF41" s="805"/>
    </row>
    <row r="42" spans="1:65" ht="18.75" customHeight="1">
      <c r="A42" s="67" t="s">
        <v>1373</v>
      </c>
      <c r="B42" s="26" t="str">
        <v>CLE-V540-155H-4050-L6</v>
      </c>
      <c r="C42" s="25" t="s">
        <v>1374</v>
      </c>
      <c r="D42" s="68" t="s">
        <v>1375</v>
      </c>
      <c r="E42" s="68">
        <v>4050</v>
      </c>
      <c r="F42" s="68" t="s">
        <v>1347</v>
      </c>
      <c r="G42" s="38">
        <v>290</v>
      </c>
      <c r="H42" s="38">
        <f ca="1">_xlfn.LET(_xlpm._今月から4ヶ月計画合計,
  SUM(
    OFFSET($A42,0,
      MATCH(
        EDATE(基準データ!$C$5,3),$A$1:$BE$1,1
      )-4,1,4)),
  IF($C42="","",_xlpm._今月から4ヶ月計画合計
)
)</f>
        <v>200</v>
      </c>
      <c r="I42" s="38">
        <f>SUMIFS(マスタ_EOLリスト[在庫],マスタ_EOLリスト[製品型番],'在庫使用計画 (計画　予測)'!$C:$C)</f>
        <v>290</v>
      </c>
      <c r="J42" s="1116" t="str" cm="1">
        <f t="array" ref="J42">_xlfn.IFS($C42="","",
  $G42="","発売前？",
  $G42=0,"在庫なし",
  TRUE,
  IFERROR(
    _xlfn.LET(
      _xlpm._在庫注残,     $G42,
      _xlpm._しきい値,     _xlpm._在庫注残 * 0.75,
      _xlpm._見出し元,     $K$1:$BT$1,
      _xlpm._計画,         $K42:$BT42,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合計198、在庫+注残290のため不足</v>
      </c>
      <c r="K42" s="38" t="s">
        <v>21</v>
      </c>
      <c r="L42" s="38" t="s">
        <v>21</v>
      </c>
      <c r="M42" s="38" t="s">
        <v>21</v>
      </c>
      <c r="N42" s="38" t="s">
        <v>21</v>
      </c>
      <c r="O42" s="38" t="s">
        <v>21</v>
      </c>
      <c r="P42" s="38">
        <v>152.21290951985975</v>
      </c>
      <c r="Q42" s="116">
        <v>156.28368398563711</v>
      </c>
      <c r="R42" s="1350">
        <v>131.98428134745922</v>
      </c>
      <c r="S42" s="219">
        <v>117.21542914217122</v>
      </c>
      <c r="T42" s="219">
        <v>104.79838995519226</v>
      </c>
      <c r="U42" s="219">
        <v>109.75053060496808</v>
      </c>
      <c r="V42" s="219">
        <v>111.84554121706744</v>
      </c>
      <c r="W42" s="224">
        <v>152.48874709179503</v>
      </c>
      <c r="X42" s="224">
        <v>214</v>
      </c>
      <c r="Y42" s="224">
        <v>229</v>
      </c>
      <c r="Z42" s="237">
        <v>205</v>
      </c>
      <c r="AA42" s="224">
        <v>135</v>
      </c>
      <c r="AB42" s="224">
        <v>80</v>
      </c>
      <c r="AC42" s="805" t="s">
        <v>21</v>
      </c>
      <c r="AD42" s="244" t="s">
        <v>21</v>
      </c>
      <c r="AE42" s="471" t="s">
        <v>21</v>
      </c>
      <c r="AF42" s="224" t="s">
        <v>21</v>
      </c>
      <c r="AG42" s="224" t="s">
        <v>21</v>
      </c>
      <c r="AH42" s="237" t="s">
        <v>21</v>
      </c>
      <c r="AI42" s="804" t="s">
        <v>21</v>
      </c>
      <c r="AJ42" s="224">
        <v>232</v>
      </c>
      <c r="AK42" s="224">
        <v>325</v>
      </c>
      <c r="AL42" s="224">
        <v>26</v>
      </c>
      <c r="AM42" s="224">
        <f>_xlfn.XLOOKUP(
$C42,
'在庫使用計画 (ノート全体試算)'!$C$1:$C$170,
'在庫使用計画 (ノート全体試算)'!AN$1:AN$170,
"")</f>
        <v>50</v>
      </c>
      <c r="AN42" s="237">
        <f>_xlfn.XLOOKUP(
$C42,
'在庫使用計画 (ノート全体試算)'!$C$1:$C$170,
'在庫使用計画 (ノート全体試算)'!AO$1:AO$170,
"")</f>
        <v>50</v>
      </c>
      <c r="AO42" s="237">
        <f>_xlfn.XLOOKUP(
$C42,
'在庫使用計画 (ノート全体試算)'!$C$1:$C$170,
'在庫使用計画 (ノート全体試算)'!AP$1:AP$170,
"")</f>
        <v>50</v>
      </c>
      <c r="AP42" s="224">
        <f>_xlfn.XLOOKUP(
$C42,
'在庫使用計画 (ノート全体試算)'!$C$1:$C$170,
'在庫使用計画 (ノート全体試算)'!AQ$1:AQ$170,
"")</f>
        <v>150</v>
      </c>
      <c r="AQ42" s="1050" t="str">
        <f>_xlfn.XLOOKUP(
$C42,
'在庫使用計画 (ノート全体試算)'!$C$1:$C$170,
'在庫使用計画 (ノート全体試算)'!AR$1:AR$170,
"")</f>
        <v/>
      </c>
      <c r="AR42" s="2130" t="str">
        <f>_xlfn.XLOOKUP(
$C42,
'在庫使用計画 (ノート全体試算)'!$C$1:$C$170,
'在庫使用計画 (ノート全体試算)'!AS$1:AS$170,
"")</f>
        <v/>
      </c>
      <c r="AS42" s="244" t="str">
        <f>_xlfn.XLOOKUP(
$C42,
'在庫使用計画 (ノート全体試算)'!$C$1:$C$170,
'在庫使用計画 (ノート全体試算)'!AT$1:AT$170,
"")</f>
        <v/>
      </c>
      <c r="AT42" s="805" t="str">
        <f>_xlfn.XLOOKUP(
$C42,
'在庫使用計画 (ノート全体試算)'!$C$1:$C$170,
'在庫使用計画 (ノート全体試算)'!AU$1:AU$170,
"")</f>
        <v/>
      </c>
      <c r="AU42" s="804" t="str">
        <f>_xlfn.XLOOKUP(
$C42,
'在庫使用計画 (ノート全体試算)'!$C$1:$C$170,
'在庫使用計画 (ノート全体試算)'!AV$1:AV$170,
"")</f>
        <v/>
      </c>
      <c r="AV42" s="224" t="str">
        <f>_xlfn.XLOOKUP(
$C42,
'在庫使用計画 (ノート全体試算)'!$C$1:$C$170,
'在庫使用計画 (ノート全体試算)'!AW$1:AW$170,
"")</f>
        <v/>
      </c>
      <c r="AW42" s="224" t="str">
        <f>_xlfn.XLOOKUP(
$C42,
'在庫使用計画 (ノート全体試算)'!$C$1:$C$170,
'在庫使用計画 (ノート全体試算)'!AX$1:AX$170,
"")</f>
        <v/>
      </c>
      <c r="AX42" s="224" t="str">
        <f>_xlfn.XLOOKUP(
$C42,
'在庫使用計画 (ノート全体試算)'!$C$1:$C$170,
'在庫使用計画 (ノート全体試算)'!AY$1:AY$170,
"")</f>
        <v/>
      </c>
      <c r="AY42" s="224" t="str">
        <f>_xlfn.XLOOKUP(
$C42,
'在庫使用計画 (ノート全体試算)'!$C$1:$C$170,
'在庫使用計画 (ノート全体試算)'!AZ$1:AZ$170,
"")</f>
        <v/>
      </c>
      <c r="AZ42" s="224" t="str">
        <f>_xlfn.XLOOKUP(
$C42,
'在庫使用計画 (ノート全体試算)'!$C$1:$C$170,
'在庫使用計画 (ノート全体試算)'!BA$1:BA$170,
"")</f>
        <v/>
      </c>
      <c r="BA42" s="224" t="str">
        <f>_xlfn.XLOOKUP(
$C42,
'在庫使用計画 (ノート全体試算)'!$C$1:$C$170,
'在庫使用計画 (ノート全体試算)'!BB$1:BB$170,
"")</f>
        <v/>
      </c>
      <c r="BB42" s="224" t="str">
        <f>_xlfn.XLOOKUP(
$C42,
'在庫使用計画 (ノート全体試算)'!$C$1:$C$170,
'在庫使用計画 (ノート全体試算)'!BC$1:BC$170,
"")</f>
        <v/>
      </c>
      <c r="BC42" s="224" t="str">
        <f>_xlfn.XLOOKUP(
$C42,
'在庫使用計画 (ノート全体試算)'!$C$1:$C$170,
'在庫使用計画 (ノート全体試算)'!BD$1:BD$170,
"")</f>
        <v/>
      </c>
      <c r="BD42" s="224" t="str">
        <f>_xlfn.XLOOKUP(
$C42,
'在庫使用計画 (ノート全体試算)'!$C$1:$C$170,
'在庫使用計画 (ノート全体試算)'!BE$1:BE$170,
"")</f>
        <v/>
      </c>
      <c r="BE42" s="224" t="str">
        <f>_xlfn.XLOOKUP(
$C42,
'在庫使用計画 (ノート全体試算)'!$C$1:$C$170,
'在庫使用計画 (ノート全体試算)'!BF$1:BF$170,
"")</f>
        <v/>
      </c>
      <c r="BF42" s="805" t="str">
        <f>_xlfn.XLOOKUP(
$C42,
'在庫使用計画 (ノート全体試算)'!$C$1:$C$170,
'在庫使用計画 (ノート全体試算)'!BG$1:BG$170,
"")</f>
        <v/>
      </c>
      <c r="BG42" s="2091" t="s">
        <v>2653</v>
      </c>
    </row>
    <row r="43" spans="1:65" ht="18.75" customHeight="1">
      <c r="A43" s="445"/>
      <c r="B43" s="446" t="str">
        <v>CLE-V540-155H-4050-L6</v>
      </c>
      <c r="C43" s="452" t="s">
        <v>1374</v>
      </c>
      <c r="D43" s="446" t="s">
        <v>1763</v>
      </c>
      <c r="E43" s="446"/>
      <c r="F43" s="447"/>
      <c r="G43" s="448">
        <v>290</v>
      </c>
      <c r="H43" s="448">
        <f ca="1">_xlfn.LET(_xlpm._今月から4ヶ月計画合計,
  SUM(
    OFFSET($A43,0,
      MATCH(
        EDATE(基準データ!$C$5,3),$A$1:$BE$1,1
      )-4,1,4)),
  IF($C43="","",_xlpm._今月から4ヶ月計画合計
)
)</f>
        <v>16.575562770181595</v>
      </c>
      <c r="I43" s="448">
        <f t="shared" ref="I43" si="7">I42</f>
        <v>290</v>
      </c>
      <c r="J43" s="1116" t="str" cm="1">
        <f t="array" ref="J43">_xlfn.IFS($C43="","",
  $G43="","発売前？",
  $G43=0,"在庫なし",
  TRUE,
  IFERROR(
    _xlfn.LET(
      _xlpm._在庫注残,     $G43,
      _xlpm._しきい値,     _xlpm._在庫注残 * 0.75,
      _xlpm._見出し元,     $K$1:$BT$1,
      _xlpm._計画,         $K43:$BT43,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合計79、在庫+注残290のため不足</v>
      </c>
      <c r="K43" s="448"/>
      <c r="L43" s="448"/>
      <c r="M43" s="448"/>
      <c r="N43" s="448"/>
      <c r="O43" s="448"/>
      <c r="P43" s="448"/>
      <c r="Q43" s="540"/>
      <c r="R43" s="900"/>
      <c r="S43" s="449"/>
      <c r="T43" s="449"/>
      <c r="U43" s="449"/>
      <c r="V43" s="450"/>
      <c r="W43" s="455" t="s">
        <v>21</v>
      </c>
      <c r="X43" s="455" t="s">
        <v>21</v>
      </c>
      <c r="Y43" s="455" t="s">
        <v>21</v>
      </c>
      <c r="Z43" s="507" t="s">
        <v>21</v>
      </c>
      <c r="AA43" s="453" t="s">
        <v>21</v>
      </c>
      <c r="AB43" s="449" t="s">
        <v>21</v>
      </c>
      <c r="AC43" s="899" t="s">
        <v>21</v>
      </c>
      <c r="AD43" s="1290" t="s">
        <v>21</v>
      </c>
      <c r="AE43" s="453" t="s">
        <v>21</v>
      </c>
      <c r="AF43" s="224" t="s">
        <v>21</v>
      </c>
      <c r="AG43" s="224" t="s">
        <v>21</v>
      </c>
      <c r="AH43" s="237" t="s">
        <v>21</v>
      </c>
      <c r="AI43" s="804" t="s">
        <v>21</v>
      </c>
      <c r="AJ43" s="224">
        <v>302</v>
      </c>
      <c r="AK43" s="224">
        <v>326</v>
      </c>
      <c r="AL43" s="224">
        <v>27</v>
      </c>
      <c r="AM43" s="224">
        <f>_xlfn.LET(_xlpm._全体実績予測,
  INDEX('在庫使用計画 (全体実績+予測）0701'!$A$1:$BD$195,
    MATCH($C43,'在庫使用計画 (全体実績+予測）0701'!$C$1:$C$195,0),
    MATCH(AM$1,'在庫使用計画 (全体実績+予測）0701'!$A$1:$BD$1,0)
),
  IFERROR(
    IF(_xlpm._全体実績予測=0,"",_xlpm._全体実績予測),
  "")
)</f>
        <v>12</v>
      </c>
      <c r="AN43" s="237">
        <f>_xlfn.LET(_xlpm._全体実績予測,
  INDEX('在庫使用計画 (全体実績+予測）0701'!$A$1:$BD$195,
    MATCH($C43,'在庫使用計画 (全体実績+予測）0701'!$C$1:$C$195,0),
    MATCH(AN$1,'在庫使用計画 (全体実績+予測）0701'!$A$1:$BD$1,0)
),
  IFERROR(
    IF(_xlpm._全体実績予測=0,"",_xlpm._全体実績予測),
  "")
)</f>
        <v>4.2857142857142856</v>
      </c>
      <c r="AO43" s="237">
        <f>_xlfn.LET(_xlpm._全体実績予測,
  INDEX('在庫使用計画 (全体実績+予測）0701'!$A$1:$BD$195,
    MATCH($C43,'在庫使用計画 (全体実績+予測）0701'!$C$1:$C$195,0),
    MATCH(AO$1,'在庫使用計画 (全体実績+予測）0701'!$A$1:$BD$1,0)
),
  IFERROR(
    IF(_xlpm._全体実績予測=0,"",_xlpm._全体実績予測),
  "")
)</f>
        <v>5.4361842158898179</v>
      </c>
      <c r="AP43" s="224">
        <f>_xlfn.LET(_xlpm._全体実績予測,
  INDEX('在庫使用計画 (全体実績+予測）0701'!$A$1:$BD$195,
    MATCH($C43,'在庫使用計画 (全体実績+予測）0701'!$C$1:$C$195,0),
    MATCH(AP$1,'在庫使用計画 (全体実績+予測）0701'!$A$1:$BD$1,0)
),
  IFERROR(
    IF(_xlpm._全体実績予測=0,"",_xlpm._全体実績予測),
  "")
)</f>
        <v>4.4429172986044314</v>
      </c>
      <c r="AQ43" s="1050">
        <f>_xlfn.LET(_xlpm._全体実績予測,
  INDEX('在庫使用計画 (全体実績+予測）0701'!$A$1:$BD$195,
    MATCH($C43,'在庫使用計画 (全体実績+予測）0701'!$C$1:$C$195,0),
    MATCH(AQ$1,'在庫使用計画 (全体実績+予測）0701'!$A$1:$BD$1,0)
),
  IFERROR(
    IF(_xlpm._全体実績予測=0,"",_xlpm._全体実績予測),
  "")
)</f>
        <v>3.5820781185549455</v>
      </c>
      <c r="AR43" s="2130">
        <f>_xlfn.LET(_xlpm._全体実績予測,
  INDEX('在庫使用計画 (全体実績+予測）0701'!$A$1:$BD$195,
    MATCH($C43,'在庫使用計画 (全体実績+予測）0701'!$C$1:$C$195,0),
    MATCH(AR$1,'在庫使用計画 (全体実績+予測）0701'!$A$1:$BD$1,0)
),
  IFERROR(
    IF(_xlpm._全体実績予測=0,"",_xlpm._全体実績予測),
  "")
)</f>
        <v>3.1143831371324011</v>
      </c>
      <c r="AS43" s="244">
        <f>_xlfn.LET(_xlpm._全体実績予測,
  INDEX('在庫使用計画 (全体実績+予測）0701'!$A$1:$BD$195,
    MATCH($C43,'在庫使用計画 (全体実績+予測）0701'!$C$1:$C$195,0),
    MATCH(AS$1,'在庫使用計画 (全体実績+予測）0701'!$A$1:$BD$1,0)
),
  IFERROR(
    IF(_xlpm._全体実績予測=0,"",_xlpm._全体実績予測),
  "")
)</f>
        <v>3.5394268540983882</v>
      </c>
      <c r="AT43" s="805">
        <f>_xlfn.LET(_xlpm._全体実績予測,
  INDEX('在庫使用計画 (全体実績+予測）0701'!$A$1:$BD$195,
    MATCH($C43,'在庫使用計画 (全体実績+予測）0701'!$C$1:$C$195,0),
    MATCH(AT$1,'在庫使用計画 (全体実績+予測）0701'!$A$1:$BD$1,0)
),
  IFERROR(
    IF(_xlpm._全体実績予測=0,"",_xlpm._全体実績予測),
  "")
)</f>
        <v>5.5651412637728113</v>
      </c>
      <c r="AU43" s="804">
        <f>_xlfn.LET(_xlpm._全体実績予測,
  INDEX('在庫使用計画 (全体実績+予測）0701'!$A$1:$BD$195,
    MATCH($C43,'在庫使用計画 (全体実績+予測）0701'!$C$1:$C$195,0),
    MATCH(AU$1,'在庫使用計画 (全体実績+予測）0701'!$A$1:$BD$1,0)
),
  IFERROR(
    IF(_xlpm._全体実績予測=0,"",_xlpm._全体実績予測),
  "")
)</f>
        <v>4.6535198640114936</v>
      </c>
      <c r="AV43" s="224">
        <f>_xlfn.LET(_xlpm._全体実績予測,
  INDEX('在庫使用計画 (全体実績+予測）0701'!$A$1:$BD$195,
    MATCH($C43,'在庫使用計画 (全体実績+予測）0701'!$C$1:$C$195,0),
    MATCH(AV$1,'在庫使用計画 (全体実績+予測）0701'!$A$1:$BD$1,0)
),
  IFERROR(
    IF(_xlpm._全体実績予測=0,"",_xlpm._全体実績予測),
  "")
)</f>
        <v>4.1890813963859728</v>
      </c>
      <c r="AW43" s="224">
        <f>_xlfn.LET(_xlpm._全体実績予測,
  INDEX('在庫使用計画 (全体実績+予測）0701'!$A$1:$BD$195,
    MATCH($C43,'在庫使用計画 (全体実績+予測）0701'!$C$1:$C$195,0),
    MATCH(AW$1,'在庫使用計画 (全体実績+予測）0701'!$A$1:$BD$1,0)
),
  IFERROR(
    IF(_xlpm._全体実績予測=0,"",_xlpm._全体実績予測),
  "")
)</f>
        <v>6.0272409541882386</v>
      </c>
      <c r="AX43" s="224">
        <f>_xlfn.LET(_xlpm._全体実績予測,
  INDEX('在庫使用計画 (全体実績+予測）0701'!$A$1:$BD$195,
    MATCH($C43,'在庫使用計画 (全体実績+予測）0701'!$C$1:$C$195,0),
    MATCH(AX$1,'在庫使用計画 (全体実績+予測）0701'!$A$1:$BD$1,0)
),
  IFERROR(
    IF(_xlpm._全体実績予測=0,"",_xlpm._全体実績予測),
  "")
)</f>
        <v>4.6395187932793265</v>
      </c>
      <c r="AY43" s="224">
        <f>_xlfn.LET(_xlpm._全体実績予測,
  INDEX('在庫使用計画 (全体実績+予測）0701'!$A$1:$BD$195,
    MATCH($C43,'在庫使用計画 (全体実績+予測）0701'!$C$1:$C$195,0),
    MATCH(AY$1,'在庫使用計画 (全体実績+予測）0701'!$A$1:$BD$1,0)
),
  IFERROR(
    IF(_xlpm._全体実績予測=0,"",_xlpm._全体実績予測),
  "")
)</f>
        <v>3.7038111725826637</v>
      </c>
      <c r="AZ43" s="224">
        <f>_xlfn.LET(_xlpm._全体実績予測,
  INDEX('在庫使用計画 (全体実績+予測）0701'!$A$1:$BD$195,
    MATCH($C43,'在庫使用計画 (全体実績+予測）0701'!$C$1:$C$195,0),
    MATCH(AZ$1,'在庫使用計画 (全体実績+予測）0701'!$A$1:$BD$1,0)
),
  IFERROR(
    IF(_xlpm._全体実績予測=0,"",_xlpm._全体実績予測),
  "")
)</f>
        <v>4.2857142857142856</v>
      </c>
      <c r="BA43" s="224">
        <f>_xlfn.LET(_xlpm._全体実績予測,
  INDEX('在庫使用計画 (全体実績+予測）0701'!$A$1:$BD$195,
    MATCH($C43,'在庫使用計画 (全体実績+予測）0701'!$C$1:$C$195,0),
    MATCH(BA$1,'在庫使用計画 (全体実績+予測）0701'!$A$1:$BD$1,0)
),
  IFERROR(
    IF(_xlpm._全体実績予測=0,"",_xlpm._全体実績予測),
  "")
)</f>
        <v>5.4361842158898179</v>
      </c>
      <c r="BB43" s="224">
        <f>_xlfn.LET(_xlpm._全体実績予測,
  INDEX('在庫使用計画 (全体実績+予測）0701'!$A$1:$BD$195,
    MATCH($C43,'在庫使用計画 (全体実績+予測）0701'!$C$1:$C$195,0),
    MATCH(BB$1,'在庫使用計画 (全体実績+予測）0701'!$A$1:$BD$1,0)
),
  IFERROR(
    IF(_xlpm._全体実績予測=0,"",_xlpm._全体実績予測),
  "")
)</f>
        <v>4.4429172986044314</v>
      </c>
      <c r="BC43" s="224">
        <f>_xlfn.LET(_xlpm._全体実績予測,
  INDEX('在庫使用計画 (全体実績+予測）0701'!$A$1:$BD$195,
    MATCH($C43,'在庫使用計画 (全体実績+予測）0701'!$C$1:$C$195,0),
    MATCH(BC$1,'在庫使用計画 (全体実績+予測）0701'!$A$1:$BD$1,0)
),
  IFERROR(
    IF(_xlpm._全体実績予測=0,"",_xlpm._全体実績予測),
  "")
)</f>
        <v>3.5820781185549455</v>
      </c>
      <c r="BD43" s="224">
        <f>_xlfn.LET(_xlpm._全体実績予測,
  INDEX('在庫使用計画 (全体実績+予測）0701'!$A$1:$BD$195,
    MATCH($C43,'在庫使用計画 (全体実績+予測）0701'!$C$1:$C$195,0),
    MATCH(BD$1,'在庫使用計画 (全体実績+予測）0701'!$A$1:$BD$1,0)
),
  IFERROR(
    IF(_xlpm._全体実績予測=0,"",_xlpm._全体実績予測),
  "")
)</f>
        <v>3.1143831371324011</v>
      </c>
      <c r="BE43" s="224">
        <f>_xlfn.LET(_xlpm._全体実績予測,
  INDEX('在庫使用計画 (全体実績+予測）0701'!$A$1:$BD$195,
    MATCH($C43,'在庫使用計画 (全体実績+予測）0701'!$C$1:$C$195,0),
    MATCH(BE$1,'在庫使用計画 (全体実績+予測）0701'!$A$1:$BD$1,0)
),
  IFERROR(
    IF(_xlpm._全体実績予測=0,"",_xlpm._全体実績予測),
  "")
)</f>
        <v>3.5394268540983882</v>
      </c>
      <c r="BF43" s="805">
        <f>_xlfn.LET(_xlpm._全体実績予測,
  INDEX('在庫使用計画 (全体実績+予測）0701'!$A$1:$BD$195,
    MATCH($C43,'在庫使用計画 (全体実績+予測）0701'!$C$1:$C$195,0),
    MATCH(BF$1,'在庫使用計画 (全体実績+予測）0701'!$A$1:$BD$1,0)
),
  IFERROR(
    IF(_xlpm._全体実績予測=0,"",_xlpm._全体実績予測),
  "")
)</f>
        <v>5.5651412637728113</v>
      </c>
      <c r="BG43" s="2091" t="s">
        <v>2659</v>
      </c>
    </row>
    <row r="44" spans="1:65" ht="18.75" customHeight="1">
      <c r="A44" s="33"/>
      <c r="B44" s="26" t="str">
        <v/>
      </c>
      <c r="C44" s="26"/>
      <c r="D44" s="26"/>
      <c r="E44" s="26"/>
      <c r="F44" s="26"/>
      <c r="G44" s="43" t="str">
        <v/>
      </c>
      <c r="H44" s="38" t="str">
        <f ca="1">_xlfn.LET(_xlpm._今月から4ヶ月計画合計,
  SUM(
    OFFSET($A44,0,
      MATCH(
        EDATE(基準データ!$C$5,3),$A$1:$BE$1,1
      )-4,1,4)),
  IF($C44="","",_xlpm._今月から4ヶ月計画合計
)
)</f>
        <v/>
      </c>
      <c r="I44" s="43"/>
      <c r="J44" s="1116" t="str" cm="1">
        <f t="array" ref="J44">_xlfn.IFS($C44="","",
  $G44="","発売前？",
  $G44=0,"在庫なし",
  TRUE,
  IFERROR(
    _xlfn.LET(
      _xlpm._在庫注残,     $G44,
      _xlpm._しきい値,     _xlpm._在庫注残 * 0.75,
      _xlpm._見出し元,     $K$1:$BT$1,
      _xlpm._計画,         $K44:$BT44,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
      </c>
      <c r="K44" s="38"/>
      <c r="L44" s="38"/>
      <c r="M44" s="38"/>
      <c r="N44" s="38"/>
      <c r="O44" s="38"/>
      <c r="P44" s="38"/>
      <c r="Q44" s="116"/>
      <c r="R44" s="1350"/>
      <c r="S44" s="219"/>
      <c r="T44" s="219"/>
      <c r="U44" s="219"/>
      <c r="V44" s="219"/>
      <c r="W44" s="224"/>
      <c r="X44" s="224"/>
      <c r="Y44" s="224"/>
      <c r="Z44" s="237"/>
      <c r="AA44" s="224"/>
      <c r="AB44" s="224" t="s">
        <v>21</v>
      </c>
      <c r="AC44" s="805" t="s">
        <v>21</v>
      </c>
      <c r="AD44" s="244" t="s">
        <v>21</v>
      </c>
      <c r="AE44" s="224" t="s">
        <v>21</v>
      </c>
      <c r="AF44" s="224" t="s">
        <v>21</v>
      </c>
      <c r="AG44" s="224" t="s">
        <v>21</v>
      </c>
      <c r="AH44" s="237" t="s">
        <v>21</v>
      </c>
      <c r="AI44" s="804" t="s">
        <v>21</v>
      </c>
      <c r="AJ44" s="224" t="s">
        <v>21</v>
      </c>
      <c r="AK44" s="224" t="s">
        <v>21</v>
      </c>
      <c r="AL44" s="224" t="s">
        <v>21</v>
      </c>
      <c r="AM44" s="224" t="str">
        <f>IFERROR(IF(SUM(INDEX('在庫使用計画 (一般)'!$A$1:$BF$557,MATCH($C44,'在庫使用計画 (一般)'!$C$1:$C$557,0),MATCH(AM$1,'在庫使用計画 (一般)'!$A$1:$BF$1,0)),INDEX('在庫使用計画 (法人)'!$A$1:$AT$578,MATCH($C44,'在庫使用計画 (法人)'!$C$1:$C$578,0),MATCH(AM$1,'在庫使用計画 (法人)'!$A$1:$AT$1,0)))=0,"",SUM(INDEX('在庫使用計画 (一般)'!$A$1:$BF$557,MATCH($C44,'在庫使用計画 (一般)'!$C$1:$C$557,0),MATCH(AM$1,'在庫使用計画 (一般)'!$A$1:$BF$1,0)),INDEX('在庫使用計画 (法人)'!$A$1:$AT$578,MATCH($C44,'在庫使用計画 (法人)'!$C$1:$C$578,0),MATCH(AM$1,'在庫使用計画 (法人)'!$A$1:$AT$1,0)))),"")</f>
        <v/>
      </c>
      <c r="AN44" s="237" t="str">
        <f>IFERROR(IF(SUM(INDEX('在庫使用計画 (一般)'!$A$1:$BF$557,MATCH($C44,'在庫使用計画 (一般)'!$C$1:$C$557,0),MATCH(AN$1,'在庫使用計画 (一般)'!$A$1:$BF$1,0)),INDEX('在庫使用計画 (法人)'!$A$1:$AT$578,MATCH($C44,'在庫使用計画 (法人)'!$C$1:$C$578,0),MATCH(AN$1,'在庫使用計画 (法人)'!$A$1:$AT$1,0)))=0,"",SUM(INDEX('在庫使用計画 (一般)'!$A$1:$BF$557,MATCH($C44,'在庫使用計画 (一般)'!$C$1:$C$557,0),MATCH(AN$1,'在庫使用計画 (一般)'!$A$1:$BF$1,0)),INDEX('在庫使用計画 (法人)'!$A$1:$AT$578,MATCH($C44,'在庫使用計画 (法人)'!$C$1:$C$578,0),MATCH(AN$1,'在庫使用計画 (法人)'!$A$1:$AT$1,0)))),"")</f>
        <v/>
      </c>
      <c r="AO44" s="237" t="str">
        <f>IFERROR(IF(SUM(INDEX('在庫使用計画 (一般)'!$A$1:$BF$557,MATCH($C44,'在庫使用計画 (一般)'!$C$1:$C$557,0),MATCH(AO$1,'在庫使用計画 (一般)'!$A$1:$BF$1,0)),INDEX('在庫使用計画 (法人)'!$A$1:$AT$578,MATCH($C44,'在庫使用計画 (法人)'!$C$1:$C$578,0),MATCH(AO$1,'在庫使用計画 (法人)'!$A$1:$AT$1,0)))=0,"",SUM(INDEX('在庫使用計画 (一般)'!$A$1:$BF$557,MATCH($C44,'在庫使用計画 (一般)'!$C$1:$C$557,0),MATCH(AO$1,'在庫使用計画 (一般)'!$A$1:$BF$1,0)),INDEX('在庫使用計画 (法人)'!$A$1:$AT$578,MATCH($C44,'在庫使用計画 (法人)'!$C$1:$C$578,0),MATCH(AO$1,'在庫使用計画 (法人)'!$A$1:$AT$1,0)))),"")</f>
        <v/>
      </c>
      <c r="AP44" s="224" t="str">
        <f>IFERROR(IF(SUM(INDEX('在庫使用計画 (一般)'!$A$1:$BF$557,MATCH($C44,'在庫使用計画 (一般)'!$C$1:$C$557,0),MATCH(AP$1,'在庫使用計画 (一般)'!$A$1:$BF$1,0)),INDEX('在庫使用計画 (法人)'!$A$1:$AT$578,MATCH($C44,'在庫使用計画 (法人)'!$C$1:$C$578,0),MATCH(AP$1,'在庫使用計画 (法人)'!$A$1:$AT$1,0)))=0,"",SUM(INDEX('在庫使用計画 (一般)'!$A$1:$BF$557,MATCH($C44,'在庫使用計画 (一般)'!$C$1:$C$557,0),MATCH(AP$1,'在庫使用計画 (一般)'!$A$1:$BF$1,0)),INDEX('在庫使用計画 (法人)'!$A$1:$AT$578,MATCH($C44,'在庫使用計画 (法人)'!$C$1:$C$578,0),MATCH(AP$1,'在庫使用計画 (法人)'!$A$1:$AT$1,0)))),"")</f>
        <v/>
      </c>
      <c r="AQ44" s="1050" t="str">
        <f>IFERROR(IF(SUM(INDEX('在庫使用計画 (一般)'!$A$1:$BF$557,MATCH($C44,'在庫使用計画 (一般)'!$C$1:$C$557,0),MATCH(AQ$1,'在庫使用計画 (一般)'!$A$1:$BF$1,0)),INDEX('在庫使用計画 (法人)'!$A$1:$AT$578,MATCH($C44,'在庫使用計画 (法人)'!$C$1:$C$578,0),MATCH(AQ$1,'在庫使用計画 (法人)'!$A$1:$AT$1,0)))=0,"",SUM(INDEX('在庫使用計画 (一般)'!$A$1:$BF$557,MATCH($C44,'在庫使用計画 (一般)'!$C$1:$C$557,0),MATCH(AQ$1,'在庫使用計画 (一般)'!$A$1:$BF$1,0)),INDEX('在庫使用計画 (法人)'!$A$1:$AT$578,MATCH($C44,'在庫使用計画 (法人)'!$C$1:$C$578,0),MATCH(AQ$1,'在庫使用計画 (法人)'!$A$1:$AT$1,0)))),"")</f>
        <v/>
      </c>
      <c r="AR44" s="2130" t="str">
        <f>IFERROR(IF(SUM(INDEX('在庫使用計画 (一般)'!$A$1:$BF$557,MATCH($C44,'在庫使用計画 (一般)'!$C$1:$C$557,0),MATCH(AR$1,'在庫使用計画 (一般)'!$A$1:$BF$1,0)),INDEX('在庫使用計画 (法人)'!$A$1:$AT$578,MATCH($C44,'在庫使用計画 (法人)'!$C$1:$C$578,0),MATCH(AR$1,'在庫使用計画 (法人)'!$A$1:$AT$1,0)))=0,"",SUM(INDEX('在庫使用計画 (一般)'!$A$1:$BF$557,MATCH($C44,'在庫使用計画 (一般)'!$C$1:$C$557,0),MATCH(AR$1,'在庫使用計画 (一般)'!$A$1:$BF$1,0)),INDEX('在庫使用計画 (法人)'!$A$1:$AT$578,MATCH($C44,'在庫使用計画 (法人)'!$C$1:$C$578,0),MATCH(AR$1,'在庫使用計画 (法人)'!$A$1:$AT$1,0)))),"")</f>
        <v/>
      </c>
      <c r="AS44" s="244" t="str">
        <f>IFERROR(IF(SUM(INDEX('在庫使用計画 (一般)'!$A$1:$BF$557,MATCH($C44,'在庫使用計画 (一般)'!$C$1:$C$557,0),MATCH(AS$1,'在庫使用計画 (一般)'!$A$1:$BF$1,0)),INDEX('在庫使用計画 (法人)'!$A$1:$AT$578,MATCH($C44,'在庫使用計画 (法人)'!$C$1:$C$578,0),MATCH(AS$1,'在庫使用計画 (法人)'!$A$1:$AT$1,0)))=0,"",SUM(INDEX('在庫使用計画 (一般)'!$A$1:$BF$557,MATCH($C44,'在庫使用計画 (一般)'!$C$1:$C$557,0),MATCH(AS$1,'在庫使用計画 (一般)'!$A$1:$BF$1,0)),INDEX('在庫使用計画 (法人)'!$A$1:$AT$578,MATCH($C44,'在庫使用計画 (法人)'!$C$1:$C$578,0),MATCH(AS$1,'在庫使用計画 (法人)'!$A$1:$AT$1,0)))),"")</f>
        <v/>
      </c>
      <c r="AT44" s="805" t="str">
        <f>IFERROR(IF(SUM(INDEX('在庫使用計画 (一般)'!$A$1:$BF$557,MATCH($C44,'在庫使用計画 (一般)'!$C$1:$C$557,0),MATCH(AT$1,'在庫使用計画 (一般)'!$A$1:$BF$1,0)),INDEX('在庫使用計画 (法人)'!$A$1:$AT$578,MATCH($C44,'在庫使用計画 (法人)'!$C$1:$C$578,0),MATCH(AT$1,'在庫使用計画 (法人)'!$A$1:$AT$1,0)))=0,"",SUM(INDEX('在庫使用計画 (一般)'!$A$1:$BF$557,MATCH($C44,'在庫使用計画 (一般)'!$C$1:$C$557,0),MATCH(AT$1,'在庫使用計画 (一般)'!$A$1:$BF$1,0)),INDEX('在庫使用計画 (法人)'!$A$1:$AT$578,MATCH($C44,'在庫使用計画 (法人)'!$C$1:$C$578,0),MATCH(AT$1,'在庫使用計画 (法人)'!$A$1:$AT$1,0)))),"")</f>
        <v/>
      </c>
      <c r="AU44" s="804"/>
      <c r="AV44" s="224"/>
      <c r="AW44" s="224"/>
      <c r="AX44" s="224"/>
      <c r="AY44" s="224"/>
      <c r="AZ44" s="224"/>
      <c r="BA44" s="224"/>
      <c r="BB44" s="224"/>
      <c r="BC44" s="224"/>
      <c r="BD44" s="224"/>
      <c r="BE44" s="224"/>
      <c r="BF44" s="805"/>
    </row>
    <row r="45" spans="1:65" s="1140" customFormat="1" ht="18.75" customHeight="1">
      <c r="A45" s="33"/>
      <c r="B45" s="26" t="s">
        <v>1773</v>
      </c>
      <c r="C45" s="26"/>
      <c r="D45" s="26"/>
      <c r="E45" s="26"/>
      <c r="F45" s="26"/>
      <c r="G45" s="43"/>
      <c r="H45" s="38" t="str">
        <f ca="1">_xlfn.LET(_xlpm._今月から4ヶ月計画合計,
  SUM(
    OFFSET($A45,0,
      MATCH(
        EDATE(基準データ!$C$5,3),$A$1:$BE$1,1
      )-4,1,4)),
  IF($C45="","",_xlpm._今月から4ヶ月計画合計
)
)</f>
        <v/>
      </c>
      <c r="I45" s="43"/>
      <c r="J45" s="1104"/>
      <c r="K45" s="38"/>
      <c r="L45" s="38"/>
      <c r="M45" s="38"/>
      <c r="N45" s="38"/>
      <c r="O45" s="38"/>
      <c r="P45" s="38"/>
      <c r="Q45" s="116"/>
      <c r="R45" s="1350"/>
      <c r="S45" s="219"/>
      <c r="T45" s="219"/>
      <c r="U45" s="219"/>
      <c r="V45" s="219"/>
      <c r="W45" s="1179">
        <v>0.86955444245557223</v>
      </c>
      <c r="X45" s="1179">
        <v>0.84778056215305964</v>
      </c>
      <c r="Y45" s="1179">
        <v>1.5116832634204318</v>
      </c>
      <c r="Z45" s="1179">
        <v>0.82707022321526735</v>
      </c>
      <c r="AA45" s="1179">
        <v>0.90011478137625367</v>
      </c>
      <c r="AB45" s="1179">
        <v>1.0885156956313664</v>
      </c>
      <c r="AC45" s="1354">
        <v>1.1327499146177595</v>
      </c>
      <c r="AD45" s="1333">
        <v>0.81728600837659349</v>
      </c>
      <c r="AE45" s="1179">
        <v>0.80624460862238312</v>
      </c>
      <c r="AF45" s="1179">
        <v>0.8694347342678227</v>
      </c>
      <c r="AG45" s="1179">
        <v>1.1364776580948708</v>
      </c>
      <c r="AH45" s="1180">
        <v>1.5723283721286114</v>
      </c>
      <c r="AI45" s="1181">
        <v>0.83619078895702703</v>
      </c>
      <c r="AJ45" s="1179">
        <v>0.9001963070540846</v>
      </c>
      <c r="AK45" s="1179">
        <v>1.4387977658748987</v>
      </c>
      <c r="AL45" s="1179">
        <v>0.76975830708334225</v>
      </c>
      <c r="AM45" s="1179">
        <v>0.79831795873914724</v>
      </c>
      <c r="AN45" s="1180">
        <v>1.1571092817687738</v>
      </c>
      <c r="AO45" s="1180">
        <v>1.2684429837076243</v>
      </c>
      <c r="AP45" s="1177">
        <v>0.81728600837659349</v>
      </c>
      <c r="AQ45" s="2115">
        <v>0.80624460862238312</v>
      </c>
      <c r="AR45" s="2131">
        <v>0.8694347342678227</v>
      </c>
      <c r="AS45" s="1289">
        <v>1.1364776580948708</v>
      </c>
      <c r="AT45" s="1178">
        <v>1.5723283721286114</v>
      </c>
      <c r="AU45" s="1182">
        <v>0.83619078895702703</v>
      </c>
      <c r="AV45" s="1183">
        <v>0.9001963070540846</v>
      </c>
      <c r="AW45" s="1183">
        <v>1.4387977658748987</v>
      </c>
      <c r="AX45" s="1183">
        <v>0.76975830708334225</v>
      </c>
      <c r="AY45" s="1183">
        <v>0.79831795873914724</v>
      </c>
      <c r="AZ45" s="1183">
        <v>1.1571092817687738</v>
      </c>
      <c r="BA45" s="1183">
        <v>1.2684429837076243</v>
      </c>
      <c r="BB45" s="1177">
        <v>0.81728600837659349</v>
      </c>
      <c r="BC45" s="1177">
        <v>0.80624460862238312</v>
      </c>
      <c r="BD45" s="1177">
        <v>0.8694347342678227</v>
      </c>
      <c r="BE45" s="1177">
        <v>1.1364776580948708</v>
      </c>
      <c r="BF45" s="1178">
        <v>1.5723283721286114</v>
      </c>
      <c r="BG45" s="1143"/>
      <c r="BH45" s="1140">
        <v>1.2684429837076243</v>
      </c>
      <c r="BI45" s="1140">
        <v>0.81728600837659349</v>
      </c>
      <c r="BJ45" s="1140">
        <v>0.80624460862238312</v>
      </c>
      <c r="BK45" s="1140">
        <v>0.8694347342678227</v>
      </c>
      <c r="BL45" s="1140">
        <v>1.1364776580948708</v>
      </c>
      <c r="BM45" s="1140">
        <v>1.5723283721286114</v>
      </c>
    </row>
    <row r="46" spans="1:65" ht="18.75" customHeight="1">
      <c r="A46" s="160"/>
      <c r="B46" s="152" t="s">
        <v>1376</v>
      </c>
      <c r="C46" s="152" t="s">
        <v>1377</v>
      </c>
      <c r="D46" s="152"/>
      <c r="E46" s="152"/>
      <c r="F46" s="152"/>
      <c r="G46" s="356"/>
      <c r="H46" s="45"/>
      <c r="I46" s="356"/>
      <c r="J46" s="1106"/>
      <c r="K46" s="45">
        <v>5</v>
      </c>
      <c r="L46" s="45">
        <v>10</v>
      </c>
      <c r="M46" s="45">
        <v>10</v>
      </c>
      <c r="N46" s="45">
        <v>5</v>
      </c>
      <c r="O46" s="45">
        <v>342.7876378723364</v>
      </c>
      <c r="P46" s="45">
        <v>822.67100235922862</v>
      </c>
      <c r="Q46" s="388">
        <v>862.0602619210041</v>
      </c>
      <c r="R46" s="836">
        <v>728.41354741102577</v>
      </c>
      <c r="S46" s="45">
        <v>820.62954690941569</v>
      </c>
      <c r="T46" s="45">
        <v>740.56856868186503</v>
      </c>
      <c r="U46" s="45">
        <v>1123.3042173327076</v>
      </c>
      <c r="V46" s="45">
        <v>1176.2090970965858</v>
      </c>
      <c r="W46" s="45"/>
      <c r="X46" s="45"/>
      <c r="Y46" s="45"/>
      <c r="Z46" s="45"/>
      <c r="AA46" s="45"/>
      <c r="AB46" s="45"/>
      <c r="AC46" s="807">
        <v>2972.0680871626046</v>
      </c>
      <c r="AD46" s="418">
        <v>2949.5363309463437</v>
      </c>
      <c r="AE46" s="225">
        <v>3523.9828439110097</v>
      </c>
      <c r="AF46" s="225">
        <v>3357.5409133238481</v>
      </c>
      <c r="AG46" s="225">
        <v>2760.8672594692298</v>
      </c>
      <c r="AH46" s="798">
        <v>2740.9444444444443</v>
      </c>
      <c r="AI46" s="806">
        <v>1731.0192836145916</v>
      </c>
      <c r="AJ46" s="225">
        <v>2323.9947951155195</v>
      </c>
      <c r="AK46" s="225">
        <v>3663.9037081485876</v>
      </c>
      <c r="AL46" s="225">
        <v>2712.5847269869128</v>
      </c>
      <c r="AM46" s="225">
        <f>IFERROR(
  _xlfn.LET(
    _xlpm._取得値,
      INDEX(
        '在庫使用計画 (ノート全体試算)'!$A$1:$BF$557,
        MATCH($C46,'在庫使用計画 (ノート全体試算)'!$C$1:$C$557,0),
        MATCH(AM$1,'在庫使用計画 (ノート全体試算)'!$A$1:$BF$1,0)
      ),
    IF(_xlpm._取得値=0,"",_xlpm._取得値)
  ),
"")</f>
        <v>2241</v>
      </c>
      <c r="AN46" s="798">
        <f>IFERROR(IF(SUM(INDEX('在庫使用計画 (一般)'!$A$1:$BF$557,MATCH($C46,'在庫使用計画 (一般)'!$C$1:$C$557,0),MATCH(AN$1,'在庫使用計画 (一般)'!$A$1:$BF$1,0)),INDEX('在庫使用計画 (法人)'!$A$1:$AT$578,MATCH($C46,'在庫使用計画 (法人)'!$C$1:$C$578,0),MATCH(AN$1,'在庫使用計画 (法人)'!$A$1:$AT$1,0)))=0,"",SUM(INDEX('在庫使用計画 (一般)'!$A$1:$BF$557,MATCH($C46,'在庫使用計画 (一般)'!$C$1:$C$557,0),MATCH(AN$1,'在庫使用計画 (一般)'!$A$1:$BF$1,0)),INDEX('在庫使用計画 (法人)'!$A$1:$AT$578,MATCH($C46,'在庫使用計画 (法人)'!$C$1:$C$578,0),MATCH(AN$1,'在庫使用計画 (法人)'!$A$1:$AT$1,0)))),"")</f>
        <v>2372.5710928176877</v>
      </c>
      <c r="AO46" s="798">
        <f>IFERROR(IF(SUM(INDEX('在庫使用計画 (一般)'!$A$1:$BF$557,MATCH($C46,'在庫使用計画 (一般)'!$C$1:$C$557,0),MATCH(AO$1,'在庫使用計画 (一般)'!$A$1:$BF$1,0)),INDEX('在庫使用計画 (法人)'!$A$1:$AT$578,MATCH($C46,'在庫使用計画 (法人)'!$C$1:$C$578,0),MATCH(AO$1,'在庫使用計画 (法人)'!$A$1:$AT$1,0)))=0,"",SUM(INDEX('在庫使用計画 (一般)'!$A$1:$BF$557,MATCH($C46,'在庫使用計画 (一般)'!$C$1:$C$557,0),MATCH(AO$1,'在庫使用計画 (一般)'!$A$1:$BF$1,0)),INDEX('在庫使用計画 (法人)'!$A$1:$AT$578,MATCH($C46,'在庫使用計画 (法人)'!$C$1:$C$578,0),MATCH(AO$1,'在庫使用計画 (法人)'!$A$1:$AT$1,0)))),"")</f>
        <v>2440.6772714984254</v>
      </c>
      <c r="AP46" s="225">
        <f>IFERROR(IF(SUM(INDEX('在庫使用計画 (一般)'!$A$1:$BF$557,MATCH($C46,'在庫使用計画 (一般)'!$C$1:$C$557,0),MATCH(AP$1,'在庫使用計画 (一般)'!$A$1:$BF$1,0)),INDEX('在庫使用計画 (法人)'!$A$1:$AT$578,MATCH($C46,'在庫使用計画 (法人)'!$C$1:$C$578,0),MATCH(AP$1,'在庫使用計画 (法人)'!$A$1:$AT$1,0)))=0,"",SUM(INDEX('在庫使用計画 (一般)'!$A$1:$BF$557,MATCH($C46,'在庫使用計画 (一般)'!$C$1:$C$557,0),MATCH(AP$1,'在庫使用計画 (一般)'!$A$1:$BF$1,0)),INDEX('在庫使用計画 (法人)'!$A$1:$AT$578,MATCH($C46,'在庫使用計画 (法人)'!$C$1:$C$578,0),MATCH(AP$1,'在庫使用計画 (法人)'!$A$1:$AT$1,0)))),"")</f>
        <v>2423.2948176205382</v>
      </c>
      <c r="AQ46" s="2116">
        <f>IFERROR(IF(SUM(INDEX('在庫使用計画 (一般)'!$A$1:$BF$557,MATCH($C46,'在庫使用計画 (一般)'!$C$1:$C$557,0),MATCH(AQ$1,'在庫使用計画 (一般)'!$A$1:$BF$1,0)),INDEX('在庫使用計画 (法人)'!$A$1:$AT$578,MATCH($C46,'在庫使用計画 (法人)'!$C$1:$C$578,0),MATCH(AQ$1,'在庫使用計画 (法人)'!$A$1:$AT$1,0)))=0,"",SUM(INDEX('在庫使用計画 (一般)'!$A$1:$BF$557,MATCH($C46,'在庫使用計画 (一般)'!$C$1:$C$557,0),MATCH(AQ$1,'在庫使用計画 (一般)'!$A$1:$BF$1,0)),INDEX('在庫使用計画 (法人)'!$A$1:$AT$578,MATCH($C46,'在庫使用計画 (法人)'!$C$1:$C$578,0),MATCH(AQ$1,'在庫使用計画 (法人)'!$A$1:$AT$1,0)))),"")</f>
        <v>1873.4081032791839</v>
      </c>
      <c r="AR46" s="2132">
        <f>IFERROR(IF(SUM(INDEX('在庫使用計画 (一般)'!$A$1:$BF$557,MATCH($C46,'在庫使用計画 (一般)'!$C$1:$C$557,0),MATCH(AR$1,'在庫使用計画 (一般)'!$A$1:$BF$1,0)),INDEX('在庫使用計画 (法人)'!$A$1:$AT$578,MATCH($C46,'在庫使用計画 (法人)'!$C$1:$C$578,0),MATCH(AR$1,'在庫使用計画 (法人)'!$A$1:$AT$1,0)))=0,"",SUM(INDEX('在庫使用計画 (一般)'!$A$1:$BF$557,MATCH($C46,'在庫使用計画 (一般)'!$C$1:$C$557,0),MATCH(AR$1,'在庫使用計画 (一般)'!$A$1:$BF$1,0)),INDEX('在庫使用計画 (法人)'!$A$1:$AT$578,MATCH($C46,'在庫使用計画 (法人)'!$C$1:$C$578,0),MATCH(AR$1,'在庫使用計画 (法人)'!$A$1:$AT$1,0)))),"")</f>
        <v>1630.7494077731722</v>
      </c>
      <c r="AS46" s="418">
        <f>IFERROR(IF(SUM(INDEX('在庫使用計画 (一般)'!$A$1:$BF$557,MATCH($C46,'在庫使用計画 (一般)'!$C$1:$C$557,0),MATCH(AS$1,'在庫使用計画 (一般)'!$A$1:$BF$1,0)),INDEX('在庫使用計画 (法人)'!$A$1:$AT$578,MATCH($C46,'在庫使用計画 (法人)'!$C$1:$C$578,0),MATCH(AS$1,'在庫使用計画 (法人)'!$A$1:$AT$1,0)))=0,"",SUM(INDEX('在庫使用計画 (一般)'!$A$1:$BF$557,MATCH($C46,'在庫使用計画 (一般)'!$C$1:$C$557,0),MATCH(AS$1,'在庫使用計画 (一般)'!$A$1:$BF$1,0)),INDEX('在庫使用計画 (法人)'!$A$1:$AT$578,MATCH($C46,'在庫使用計画 (法人)'!$C$1:$C$578,0),MATCH(AS$1,'在庫使用計画 (法人)'!$A$1:$AT$1,0)))),"")</f>
        <v>1733.5586399825711</v>
      </c>
      <c r="AT46" s="807">
        <f>IFERROR(IF(SUM(INDEX('在庫使用計画 (一般)'!$A$1:$BF$557,MATCH($C46,'在庫使用計画 (一般)'!$C$1:$C$557,0),MATCH(AT$1,'在庫使用計画 (一般)'!$A$1:$BF$1,0)),INDEX('在庫使用計画 (法人)'!$A$1:$AT$578,MATCH($C46,'在庫使用計画 (法人)'!$C$1:$C$578,0),MATCH(AT$1,'在庫使用計画 (法人)'!$A$1:$AT$1,0)))=0,"",SUM(INDEX('在庫使用計画 (一般)'!$A$1:$BF$557,MATCH($C46,'在庫使用計画 (一般)'!$C$1:$C$557,0),MATCH(AT$1,'在庫使用計画 (一般)'!$A$1:$BF$1,0)),INDEX('在庫使用計画 (法人)'!$A$1:$AT$578,MATCH($C46,'在庫使用計画 (法人)'!$C$1:$C$578,0),MATCH(AT$1,'在庫使用計画 (法人)'!$A$1:$AT$1,0)))),"")</f>
        <v>2646.951737003345</v>
      </c>
      <c r="AU46" s="806" t="str">
        <f>IFERROR(IF(SUM(INDEX('在庫使用計画 (一般)'!$A$1:$BF$557,MATCH($C46,'在庫使用計画 (一般)'!$C$1:$C$557,0),MATCH(AU$1,'在庫使用計画 (一般)'!$A$1:$BF$1,0)),INDEX('在庫使用計画 (法人)'!$A$1:$AT$578,MATCH($C46,'在庫使用計画 (法人)'!$C$1:$C$578,0),MATCH(AU$1,'在庫使用計画 (法人)'!$A$1:$AT$1,0)))=0,"",SUM(INDEX('在庫使用計画 (一般)'!$A$1:$BF$557,MATCH($C46,'在庫使用計画 (一般)'!$C$1:$C$557,0),MATCH(AU$1,'在庫使用計画 (一般)'!$A$1:$BF$1,0)),INDEX('在庫使用計画 (法人)'!$A$1:$AT$578,MATCH($C46,'在庫使用計画 (法人)'!$C$1:$C$578,0),MATCH(AU$1,'在庫使用計画 (法人)'!$A$1:$AT$1,0)))),"")</f>
        <v/>
      </c>
      <c r="AV46" s="225" t="str">
        <f>IFERROR(IF(SUM(INDEX('在庫使用計画 (一般)'!$A$1:$BF$557,MATCH($C46,'在庫使用計画 (一般)'!$C$1:$C$557,0),MATCH(AV$1,'在庫使用計画 (一般)'!$A$1:$BF$1,0)),INDEX('在庫使用計画 (法人)'!$A$1:$AT$578,MATCH($C46,'在庫使用計画 (法人)'!$C$1:$C$578,0),MATCH(AV$1,'在庫使用計画 (法人)'!$A$1:$AT$1,0)))=0,"",SUM(INDEX('在庫使用計画 (一般)'!$A$1:$BF$557,MATCH($C46,'在庫使用計画 (一般)'!$C$1:$C$557,0),MATCH(AV$1,'在庫使用計画 (一般)'!$A$1:$BF$1,0)),INDEX('在庫使用計画 (法人)'!$A$1:$AT$578,MATCH($C46,'在庫使用計画 (法人)'!$C$1:$C$578,0),MATCH(AV$1,'在庫使用計画 (法人)'!$A$1:$AT$1,0)))),"")</f>
        <v/>
      </c>
      <c r="AW46" s="225" t="str">
        <f>IFERROR(IF(SUM(INDEX('在庫使用計画 (一般)'!$A$1:$BF$557,MATCH($C46,'在庫使用計画 (一般)'!$C$1:$C$557,0),MATCH(AW$1,'在庫使用計画 (一般)'!$A$1:$BF$1,0)),INDEX('在庫使用計画 (法人)'!$A$1:$AT$578,MATCH($C46,'在庫使用計画 (法人)'!$C$1:$C$578,0),MATCH(AW$1,'在庫使用計画 (法人)'!$A$1:$AT$1,0)))=0,"",SUM(INDEX('在庫使用計画 (一般)'!$A$1:$BF$557,MATCH($C46,'在庫使用計画 (一般)'!$C$1:$C$557,0),MATCH(AW$1,'在庫使用計画 (一般)'!$A$1:$BF$1,0)),INDEX('在庫使用計画 (法人)'!$A$1:$AT$578,MATCH($C46,'在庫使用計画 (法人)'!$C$1:$C$578,0),MATCH(AW$1,'在庫使用計画 (法人)'!$A$1:$AT$1,0)))),"")</f>
        <v/>
      </c>
      <c r="AX46" s="225" t="str">
        <f>IFERROR(IF(SUM(INDEX('在庫使用計画 (一般)'!$A$1:$BF$557,MATCH($C46,'在庫使用計画 (一般)'!$C$1:$C$557,0),MATCH(AX$1,'在庫使用計画 (一般)'!$A$1:$BF$1,0)),INDEX('在庫使用計画 (法人)'!$A$1:$AT$578,MATCH($C46,'在庫使用計画 (法人)'!$C$1:$C$578,0),MATCH(AX$1,'在庫使用計画 (法人)'!$A$1:$AT$1,0)))=0,"",SUM(INDEX('在庫使用計画 (一般)'!$A$1:$BF$557,MATCH($C46,'在庫使用計画 (一般)'!$C$1:$C$557,0),MATCH(AX$1,'在庫使用計画 (一般)'!$A$1:$BF$1,0)),INDEX('在庫使用計画 (法人)'!$A$1:$AT$578,MATCH($C46,'在庫使用計画 (法人)'!$C$1:$C$578,0),MATCH(AX$1,'在庫使用計画 (法人)'!$A$1:$AT$1,0)))),"")</f>
        <v/>
      </c>
      <c r="AY46" s="225" t="str">
        <f>IFERROR(IF(SUM(INDEX('在庫使用計画 (一般)'!$A$1:$BF$557,MATCH($C46,'在庫使用計画 (一般)'!$C$1:$C$557,0),MATCH(AY$1,'在庫使用計画 (一般)'!$A$1:$BF$1,0)),INDEX('在庫使用計画 (法人)'!$A$1:$AT$578,MATCH($C46,'在庫使用計画 (法人)'!$C$1:$C$578,0),MATCH(AY$1,'在庫使用計画 (法人)'!$A$1:$AT$1,0)))=0,"",SUM(INDEX('在庫使用計画 (一般)'!$A$1:$BF$557,MATCH($C46,'在庫使用計画 (一般)'!$C$1:$C$557,0),MATCH(AY$1,'在庫使用計画 (一般)'!$A$1:$BF$1,0)),INDEX('在庫使用計画 (法人)'!$A$1:$AT$578,MATCH($C46,'在庫使用計画 (法人)'!$C$1:$C$578,0),MATCH(AY$1,'在庫使用計画 (法人)'!$A$1:$AT$1,0)))),"")</f>
        <v/>
      </c>
      <c r="AZ46" s="225" t="str">
        <f>IFERROR(IF(SUM(INDEX('在庫使用計画 (一般)'!$A$1:$BF$557,MATCH($C46,'在庫使用計画 (一般)'!$C$1:$C$557,0),MATCH(AZ$1,'在庫使用計画 (一般)'!$A$1:$BF$1,0)),INDEX('在庫使用計画 (法人)'!$A$1:$AT$578,MATCH($C46,'在庫使用計画 (法人)'!$C$1:$C$578,0),MATCH(AZ$1,'在庫使用計画 (法人)'!$A$1:$AT$1,0)))=0,"",SUM(INDEX('在庫使用計画 (一般)'!$A$1:$BF$557,MATCH($C46,'在庫使用計画 (一般)'!$C$1:$C$557,0),MATCH(AZ$1,'在庫使用計画 (一般)'!$A$1:$BF$1,0)),INDEX('在庫使用計画 (法人)'!$A$1:$AT$578,MATCH($C46,'在庫使用計画 (法人)'!$C$1:$C$578,0),MATCH(AZ$1,'在庫使用計画 (法人)'!$A$1:$AT$1,0)))),"")</f>
        <v/>
      </c>
      <c r="BA46" s="225" t="str">
        <f>IFERROR(IF(SUM(INDEX('在庫使用計画 (一般)'!$A$1:$BF$557,MATCH($C46,'在庫使用計画 (一般)'!$C$1:$C$557,0),MATCH(BA$1,'在庫使用計画 (一般)'!$A$1:$BF$1,0)),INDEX('在庫使用計画 (法人)'!$A$1:$AT$578,MATCH($C46,'在庫使用計画 (法人)'!$C$1:$C$578,0),MATCH(BA$1,'在庫使用計画 (法人)'!$A$1:$AT$1,0)))=0,"",SUM(INDEX('在庫使用計画 (一般)'!$A$1:$BF$557,MATCH($C46,'在庫使用計画 (一般)'!$C$1:$C$557,0),MATCH(BA$1,'在庫使用計画 (一般)'!$A$1:$BF$1,0)),INDEX('在庫使用計画 (法人)'!$A$1:$AT$578,MATCH($C46,'在庫使用計画 (法人)'!$C$1:$C$578,0),MATCH(BA$1,'在庫使用計画 (法人)'!$A$1:$AT$1,0)))),"")</f>
        <v/>
      </c>
      <c r="BB46" s="225" t="str">
        <f>IFERROR(IF(SUM(INDEX('在庫使用計画 (一般)'!$A$1:$BF$557,MATCH($C46,'在庫使用計画 (一般)'!$C$1:$C$557,0),MATCH(BB$1,'在庫使用計画 (一般)'!$A$1:$BF$1,0)),INDEX('在庫使用計画 (法人)'!$A$1:$AT$578,MATCH($C46,'在庫使用計画 (法人)'!$C$1:$C$578,0),MATCH(BB$1,'在庫使用計画 (法人)'!$A$1:$AT$1,0)))=0,"",SUM(INDEX('在庫使用計画 (一般)'!$A$1:$BF$557,MATCH($C46,'在庫使用計画 (一般)'!$C$1:$C$557,0),MATCH(BB$1,'在庫使用計画 (一般)'!$A$1:$BF$1,0)),INDEX('在庫使用計画 (法人)'!$A$1:$AT$578,MATCH($C46,'在庫使用計画 (法人)'!$C$1:$C$578,0),MATCH(BB$1,'在庫使用計画 (法人)'!$A$1:$AT$1,0)))),"")</f>
        <v/>
      </c>
      <c r="BC46" s="225" t="str">
        <f>IFERROR(IF(SUM(INDEX('在庫使用計画 (一般)'!$A$1:$BF$557,MATCH($C46,'在庫使用計画 (一般)'!$C$1:$C$557,0),MATCH(BC$1,'在庫使用計画 (一般)'!$A$1:$BF$1,0)),INDEX('在庫使用計画 (法人)'!$A$1:$AT$578,MATCH($C46,'在庫使用計画 (法人)'!$C$1:$C$578,0),MATCH(BC$1,'在庫使用計画 (法人)'!$A$1:$AT$1,0)))=0,"",SUM(INDEX('在庫使用計画 (一般)'!$A$1:$BF$557,MATCH($C46,'在庫使用計画 (一般)'!$C$1:$C$557,0),MATCH(BC$1,'在庫使用計画 (一般)'!$A$1:$BF$1,0)),INDEX('在庫使用計画 (法人)'!$A$1:$AT$578,MATCH($C46,'在庫使用計画 (法人)'!$C$1:$C$578,0),MATCH(BC$1,'在庫使用計画 (法人)'!$A$1:$AT$1,0)))),"")</f>
        <v/>
      </c>
      <c r="BD46" s="225" t="str">
        <f>IFERROR(IF(SUM(INDEX('在庫使用計画 (一般)'!$A$1:$BF$557,MATCH($C46,'在庫使用計画 (一般)'!$C$1:$C$557,0),MATCH(BD$1,'在庫使用計画 (一般)'!$A$1:$BF$1,0)),INDEX('在庫使用計画 (法人)'!$A$1:$AT$578,MATCH($C46,'在庫使用計画 (法人)'!$C$1:$C$578,0),MATCH(BD$1,'在庫使用計画 (法人)'!$A$1:$AT$1,0)))=0,"",SUM(INDEX('在庫使用計画 (一般)'!$A$1:$BF$557,MATCH($C46,'在庫使用計画 (一般)'!$C$1:$C$557,0),MATCH(BD$1,'在庫使用計画 (一般)'!$A$1:$BF$1,0)),INDEX('在庫使用計画 (法人)'!$A$1:$AT$578,MATCH($C46,'在庫使用計画 (法人)'!$C$1:$C$578,0),MATCH(BD$1,'在庫使用計画 (法人)'!$A$1:$AT$1,0)))),"")</f>
        <v/>
      </c>
      <c r="BE46" s="225" t="str">
        <f>IFERROR(IF(SUM(INDEX('在庫使用計画 (一般)'!$A$1:$BF$557,MATCH($C46,'在庫使用計画 (一般)'!$C$1:$C$557,0),MATCH(BE$1,'在庫使用計画 (一般)'!$A$1:$BF$1,0)),INDEX('在庫使用計画 (法人)'!$A$1:$AT$578,MATCH($C46,'在庫使用計画 (法人)'!$C$1:$C$578,0),MATCH(BE$1,'在庫使用計画 (法人)'!$A$1:$AT$1,0)))=0,"",SUM(INDEX('在庫使用計画 (一般)'!$A$1:$BF$557,MATCH($C46,'在庫使用計画 (一般)'!$C$1:$C$557,0),MATCH(BE$1,'在庫使用計画 (一般)'!$A$1:$BF$1,0)),INDEX('在庫使用計画 (法人)'!$A$1:$AT$578,MATCH($C46,'在庫使用計画 (法人)'!$C$1:$C$578,0),MATCH(BE$1,'在庫使用計画 (法人)'!$A$1:$AT$1,0)))),"")</f>
        <v/>
      </c>
      <c r="BF46" s="807" t="str">
        <f>IFERROR(IF(SUM(INDEX('在庫使用計画 (一般)'!$A$1:$BF$557,MATCH($C46,'在庫使用計画 (一般)'!$C$1:$C$557,0),MATCH(BF$1,'在庫使用計画 (一般)'!$A$1:$BF$1,0)),INDEX('在庫使用計画 (法人)'!$A$1:$AT$578,MATCH($C46,'在庫使用計画 (法人)'!$C$1:$C$578,0),MATCH(BF$1,'在庫使用計画 (法人)'!$A$1:$AT$1,0)))=0,"",SUM(INDEX('在庫使用計画 (一般)'!$A$1:$BF$557,MATCH($C46,'在庫使用計画 (一般)'!$C$1:$C$557,0),MATCH(BF$1,'在庫使用計画 (一般)'!$A$1:$BF$1,0)),INDEX('在庫使用計画 (法人)'!$A$1:$AT$578,MATCH($C46,'在庫使用計画 (法人)'!$C$1:$C$578,0),MATCH(BF$1,'在庫使用計画 (法人)'!$A$1:$AT$1,0)))),"")</f>
        <v/>
      </c>
    </row>
    <row r="47" spans="1:65" ht="18.75" customHeight="1">
      <c r="A47" s="537"/>
      <c r="B47" s="538"/>
      <c r="C47" s="538" t="s">
        <v>1636</v>
      </c>
      <c r="D47" s="538"/>
      <c r="E47" s="538"/>
      <c r="F47" s="538"/>
      <c r="G47" s="539"/>
      <c r="H47" s="448"/>
      <c r="I47" s="539"/>
      <c r="J47" s="1107"/>
      <c r="K47" s="448"/>
      <c r="L47" s="448"/>
      <c r="M47" s="448"/>
      <c r="N47" s="448"/>
      <c r="O47" s="448"/>
      <c r="P47" s="448"/>
      <c r="Q47" s="540"/>
      <c r="R47" s="900"/>
      <c r="S47" s="448"/>
      <c r="T47" s="448"/>
      <c r="U47" s="448"/>
      <c r="V47" s="540"/>
      <c r="W47" s="1355"/>
      <c r="X47" s="1355"/>
      <c r="Y47" s="1355"/>
      <c r="Z47" s="1355"/>
      <c r="AA47" s="448"/>
      <c r="AB47" s="448"/>
      <c r="AC47" s="899">
        <v>2869</v>
      </c>
      <c r="AD47" s="1290">
        <v>2261</v>
      </c>
      <c r="AE47" s="453">
        <v>2270</v>
      </c>
      <c r="AF47" s="453">
        <v>2554</v>
      </c>
      <c r="AG47" s="453">
        <v>1992</v>
      </c>
      <c r="AH47" s="890">
        <v>2843</v>
      </c>
      <c r="AI47" s="898">
        <v>1773</v>
      </c>
      <c r="AJ47" s="453">
        <v>1634</v>
      </c>
      <c r="AK47" s="453">
        <v>2461</v>
      </c>
      <c r="AL47" s="453">
        <v>2049</v>
      </c>
      <c r="AM47" s="453">
        <f>IFERROR(IF(SUM(INDEX('在庫使用計画 (全体実績+予測）0701'!$A$1:$ZY$522,MATCH($C47,'在庫使用計画 (全体実績+予測）0701'!$C$1:$C$522,0),MATCH(AM$1,'在庫使用計画 (全体実績+予測）0701'!$A$1:$ZY$1,0)))=0,"",SUM(INDEX('在庫使用計画 (全体実績+予測）0701'!$A$1:$ZY$522,MATCH($C47,'在庫使用計画 (全体実績+予測）0701'!$C$1:$C$522,0),MATCH(AM$1,'在庫使用計画 (全体実績+予測）0701'!$A$1:$ZY$1,0)))),"")</f>
        <v>2194</v>
      </c>
      <c r="AN47" s="890">
        <f>IFERROR(IF(SUM(INDEX('在庫使用計画 (全体実績+予測）0701'!$A$1:$ZY$522,MATCH($C47,'在庫使用計画 (全体実績+予測）0701'!$C$1:$C$522,0),MATCH(AN$1,'在庫使用計画 (全体実績+予測）0701'!$A$1:$ZY$1,0)))=0,"",SUM(INDEX('在庫使用計画 (全体実績+予測）0701'!$A$1:$ZY$522,MATCH($C47,'在庫使用計画 (全体実績+予測）0701'!$C$1:$C$522,0),MATCH(AN$1,'在庫使用計画 (全体実績+予測）0701'!$A$1:$ZY$1,0)))),"")</f>
        <v>2347.5</v>
      </c>
      <c r="AO47" s="890">
        <f>IFERROR(IF(SUM(INDEX('在庫使用計画 (全体実績+予測）0701'!$A$1:$ZY$522,MATCH($C47,'在庫使用計画 (全体実績+予測）0701'!$C$1:$C$522,0),MATCH(AO$1,'在庫使用計画 (全体実績+予測）0701'!$A$1:$ZY$1,0)))=0,"",SUM(INDEX('在庫使用計画 (全体実績+予測）0701'!$A$1:$ZY$522,MATCH($C47,'在庫使用計画 (全体実績+予測）0701'!$C$1:$C$522,0),MATCH(AO$1,'在庫使用計画 (全体実績+予測）0701'!$A$1:$ZY$1,0)))),"")</f>
        <v>2977.6699042536479</v>
      </c>
      <c r="AP47" s="453">
        <f>IFERROR(IF(SUM(INDEX('在庫使用計画 (全体実績+予測）0701'!$A$1:$ZY$522,MATCH($C47,'在庫使用計画 (全体実績+予測）0701'!$C$1:$C$522,0),MATCH(AP$1,'在庫使用計画 (全体実績+予測）0701'!$A$1:$ZY$1,0)))=0,"",SUM(INDEX('在庫使用計画 (全体実績+予測）0701'!$A$1:$ZY$522,MATCH($C47,'在庫使用計画 (全体実績+予測）0701'!$C$1:$C$522,0),MATCH(AP$1,'在庫使用計画 (全体実績+予測）0701'!$A$1:$ZY$1,0)))),"")</f>
        <v>2433.6079503105771</v>
      </c>
      <c r="AQ47" s="2117">
        <f>IFERROR(IF(SUM(INDEX('在庫使用計画 (全体実績+予測）0701'!$A$1:$ZY$522,MATCH($C47,'在庫使用計画 (全体実績+予測）0701'!$C$1:$C$522,0),MATCH(AQ$1,'在庫使用計画 (全体実績+予測）0701'!$A$1:$ZY$1,0)))=0,"",SUM(INDEX('在庫使用計画 (全体実績+予測）0701'!$A$1:$ZY$522,MATCH($C47,'在庫使用計画 (全体実績+予測）0701'!$C$1:$C$522,0),MATCH(AQ$1,'在庫使用計画 (全体実績+予測）0701'!$A$1:$ZY$1,0)))),"")</f>
        <v>1962.0832894384714</v>
      </c>
      <c r="AR47" s="2133">
        <f>IFERROR(IF(SUM(INDEX('在庫使用計画 (全体実績+予測）0701'!$A$1:$ZY$522,MATCH($C47,'在庫使用計画 (全体実績+予測）0701'!$C$1:$C$522,0),MATCH(AR$1,'在庫使用計画 (全体実績+予測）0701'!$A$1:$ZY$1,0)))=0,"",SUM(INDEX('在庫使用計画 (全体実績+予測）0701'!$A$1:$ZY$522,MATCH($C47,'在庫使用計画 (全体実績+予測）0701'!$C$1:$C$522,0),MATCH(AR$1,'在庫使用計画 (全体実績+予測）0701'!$A$1:$ZY$1,0)))),"")</f>
        <v>1705.9033633642728</v>
      </c>
      <c r="AS47" s="1290">
        <f>IFERROR(IF(SUM(INDEX('在庫使用計画 (全体実績+予測）0701'!$A$1:$ZY$522,MATCH($C47,'在庫使用計画 (全体実績+予測）0701'!$C$1:$C$522,0),MATCH(AS$1,'在庫使用計画 (全体実績+予測）0701'!$A$1:$ZY$1,0)))=0,"",SUM(INDEX('在庫使用計画 (全体実績+予測）0701'!$A$1:$ZY$522,MATCH($C47,'在庫使用計画 (全体実績+予測）0701'!$C$1:$C$522,0),MATCH(AS$1,'在庫使用計画 (全体実績+予測）0701'!$A$1:$ZY$1,0)))),"")</f>
        <v>1938.7210593323923</v>
      </c>
      <c r="AT47" s="899">
        <f>IFERROR(IF(SUM(INDEX('在庫使用計画 (全体実績+予測）0701'!$A$1:$ZY$522,MATCH($C47,'在庫使用計画 (全体実績+予測）0701'!$C$1:$C$522,0),MATCH(AT$1,'在庫使用計画 (全体実績+予測）0701'!$A$1:$ZY$1,0)))=0,"",SUM(INDEX('在庫使用計画 (全体実績+予測）0701'!$A$1:$ZY$522,MATCH($C47,'在庫使用計画 (全体実績+予測）0701'!$C$1:$C$522,0),MATCH(AT$1,'在庫使用計画 (全体実績+予測）0701'!$A$1:$ZY$1,0)))),"")</f>
        <v>3048.3061272315572</v>
      </c>
      <c r="AU47" s="898">
        <f>IFERROR(IF(SUM(INDEX('在庫使用計画 (全体実績+予測）0701'!$A$1:$ZY$522,MATCH($C47,'在庫使用計画 (全体実績+予測）0701'!$C$1:$C$522,0),MATCH(AU$1,'在庫使用計画 (全体実績+予測）0701'!$A$1:$ZY$1,0)))=0,"",SUM(INDEX('在庫使用計画 (全体実績+予測）0701'!$A$1:$ZY$522,MATCH($C47,'在庫使用計画 (全体実績+予測）0701'!$C$1:$C$522,0),MATCH(AU$1,'在庫使用計画 (全体実績+予測）0701'!$A$1:$ZY$1,0)))),"")</f>
        <v>2548.9655055122953</v>
      </c>
      <c r="AV47" s="453">
        <f>IFERROR(IF(SUM(INDEX('在庫使用計画 (全体実績+予測）0701'!$A$1:$ZY$522,MATCH($C47,'在庫使用計画 (全体実績+予測）0701'!$C$1:$C$522,0),MATCH(AV$1,'在庫使用計画 (全体実績+予測）0701'!$A$1:$ZY$1,0)))=0,"",SUM(INDEX('在庫使用計画 (全体実績+予測）0701'!$A$1:$ZY$522,MATCH($C47,'在庫使用計画 (全体実績+予測）0701'!$C$1:$C$522,0),MATCH(AV$1,'在庫使用計画 (全体実績+予測）0701'!$A$1:$ZY$1,0)))),"")</f>
        <v>2294.5693348704162</v>
      </c>
      <c r="AW47" s="453">
        <f>IFERROR(IF(SUM(INDEX('在庫使用計画 (全体実績+予測）0701'!$A$1:$ZY$522,MATCH($C47,'在庫使用計画 (全体実績+予測）0701'!$C$1:$C$522,0),MATCH(AW$1,'在庫使用計画 (全体実績+予測）0701'!$A$1:$ZY$1,0)))=0,"",SUM(INDEX('在庫使用計画 (全体実績+予測）0701'!$A$1:$ZY$522,MATCH($C47,'在庫使用計画 (全体実績+予測）0701'!$C$1:$C$522,0),MATCH(AW$1,'在庫使用計画 (全体実績+予測）0701'!$A$1:$ZY$1,0)))),"")</f>
        <v>3301.4212326566071</v>
      </c>
      <c r="AX47" s="453">
        <f>IFERROR(IF(SUM(INDEX('在庫使用計画 (全体実績+予測）0701'!$A$1:$ZY$522,MATCH($C47,'在庫使用計画 (全体実績+予測）0701'!$C$1:$C$522,0),MATCH(AX$1,'在庫使用計画 (全体実績+予測）0701'!$A$1:$ZY$1,0)))=0,"",SUM(INDEX('在庫使用計画 (全体実績+予測）0701'!$A$1:$ZY$522,MATCH($C47,'在庫使用計画 (全体実績+予測）0701'!$C$1:$C$522,0),MATCH(AX$1,'在庫使用計画 (全体実績+予測）0701'!$A$1:$ZY$1,0)))),"")</f>
        <v>2541.2964190187513</v>
      </c>
      <c r="AY47" s="453">
        <f>IFERROR(IF(SUM(INDEX('在庫使用計画 (全体実績+予測）0701'!$A$1:$ZY$522,MATCH($C47,'在庫使用計画 (全体実績+予測）0701'!$C$1:$C$522,0),MATCH(AY$1,'在庫使用計画 (全体実績+予測）0701'!$A$1:$ZY$1,0)))=0,"",SUM(INDEX('在庫使用計画 (全体実績+予測）0701'!$A$1:$ZY$522,MATCH($C47,'在庫使用計画 (全体実績+予測）0701'!$C$1:$C$522,0),MATCH(AY$1,'在庫使用計画 (全体実績+予測）0701'!$A$1:$ZY$1,0)))),"")</f>
        <v>2028.7625697821538</v>
      </c>
      <c r="AZ47" s="453">
        <f>IFERROR(IF(SUM(INDEX('在庫使用計画 (全体実績+予測）0701'!$A$1:$ZY$522,MATCH($C47,'在庫使用計画 (全体実績+予測）0701'!$C$1:$C$522,0),MATCH(AZ$1,'在庫使用計画 (全体実績+予測）0701'!$A$1:$ZY$1,0)))=0,"",SUM(INDEX('在庫使用計画 (全体実績+予測）0701'!$A$1:$ZY$522,MATCH($C47,'在庫使用計画 (全体実績+予測）0701'!$C$1:$C$522,0),MATCH(AZ$1,'在庫使用計画 (全体実績+予測）0701'!$A$1:$ZY$1,0)))),"")</f>
        <v>2347.5</v>
      </c>
      <c r="BA47" s="453">
        <f>IFERROR(IF(SUM(INDEX('在庫使用計画 (全体実績+予測）0701'!$A$1:$ZY$522,MATCH($C47,'在庫使用計画 (全体実績+予測）0701'!$C$1:$C$522,0),MATCH(BA$1,'在庫使用計画 (全体実績+予測）0701'!$A$1:$ZY$1,0)))=0,"",SUM(INDEX('在庫使用計画 (全体実績+予測）0701'!$A$1:$ZY$522,MATCH($C47,'在庫使用計画 (全体実績+予測）0701'!$C$1:$C$522,0),MATCH(BA$1,'在庫使用計画 (全体実績+予測）0701'!$A$1:$ZY$1,0)))),"")</f>
        <v>2977.6699042536475</v>
      </c>
      <c r="BB47" s="453">
        <f>IFERROR(IF(SUM(INDEX('在庫使用計画 (全体実績+予測）0701'!$A$1:$ZY$522,MATCH($C47,'在庫使用計画 (全体実績+予測）0701'!$C$1:$C$522,0),MATCH(BB$1,'在庫使用計画 (全体実績+予測）0701'!$A$1:$ZY$1,0)))=0,"",SUM(INDEX('在庫使用計画 (全体実績+予測）0701'!$A$1:$ZY$522,MATCH($C47,'在庫使用計画 (全体実績+予測）0701'!$C$1:$C$522,0),MATCH(BB$1,'在庫使用計画 (全体実績+予測）0701'!$A$1:$ZY$1,0)))),"")</f>
        <v>2433.6079503105771</v>
      </c>
      <c r="BC47" s="453">
        <f>IFERROR(IF(SUM(INDEX('在庫使用計画 (全体実績+予測）0701'!$A$1:$ZY$522,MATCH($C47,'在庫使用計画 (全体実績+予測）0701'!$C$1:$C$522,0),MATCH(BC$1,'在庫使用計画 (全体実績+予測）0701'!$A$1:$ZY$1,0)))=0,"",SUM(INDEX('在庫使用計画 (全体実績+予測）0701'!$A$1:$ZY$522,MATCH($C47,'在庫使用計画 (全体実績+予測）0701'!$C$1:$C$522,0),MATCH(BC$1,'在庫使用計画 (全体実績+予測）0701'!$A$1:$ZY$1,0)))),"")</f>
        <v>1962.0832894384714</v>
      </c>
      <c r="BD47" s="453">
        <f>IFERROR(IF(SUM(INDEX('在庫使用計画 (全体実績+予測）0701'!$A$1:$ZY$522,MATCH($C47,'在庫使用計画 (全体実績+予測）0701'!$C$1:$C$522,0),MATCH(BD$1,'在庫使用計画 (全体実績+予測）0701'!$A$1:$ZY$1,0)))=0,"",SUM(INDEX('在庫使用計画 (全体実績+予測）0701'!$A$1:$ZY$522,MATCH($C47,'在庫使用計画 (全体実績+予測）0701'!$C$1:$C$522,0),MATCH(BD$1,'在庫使用計画 (全体実績+予測）0701'!$A$1:$ZY$1,0)))),"")</f>
        <v>1705.9033633642725</v>
      </c>
      <c r="BE47" s="453">
        <f>IFERROR(IF(SUM(INDEX('在庫使用計画 (全体実績+予測）0701'!$A$1:$ZY$522,MATCH($C47,'在庫使用計画 (全体実績+予測）0701'!$C$1:$C$522,0),MATCH(BE$1,'在庫使用計画 (全体実績+予測）0701'!$A$1:$ZY$1,0)))=0,"",SUM(INDEX('在庫使用計画 (全体実績+予測）0701'!$A$1:$ZY$522,MATCH($C47,'在庫使用計画 (全体実績+予測）0701'!$C$1:$C$522,0),MATCH(BE$1,'在庫使用計画 (全体実績+予測）0701'!$A$1:$ZY$1,0)))),"")</f>
        <v>1938.7210593323921</v>
      </c>
      <c r="BF47" s="899">
        <f>IFERROR(IF(SUM(INDEX('在庫使用計画 (全体実績+予測）0701'!$A$1:$ZY$522,MATCH($C47,'在庫使用計画 (全体実績+予測）0701'!$C$1:$C$522,0),MATCH(BF$1,'在庫使用計画 (全体実績+予測）0701'!$A$1:$ZY$1,0)))=0,"",SUM(INDEX('在庫使用計画 (全体実績+予測）0701'!$A$1:$ZY$522,MATCH($C47,'在庫使用計画 (全体実績+予測）0701'!$C$1:$C$522,0),MATCH(BF$1,'在庫使用計画 (全体実績+予測）0701'!$A$1:$ZY$1,0)))),"")</f>
        <v>3048.3061272315567</v>
      </c>
    </row>
    <row r="48" spans="1:65" ht="18.75" customHeight="1">
      <c r="A48" s="156"/>
      <c r="B48" s="158" t="s">
        <v>1378</v>
      </c>
      <c r="C48" s="157"/>
      <c r="D48" s="157"/>
      <c r="E48" s="158"/>
      <c r="F48" s="158"/>
      <c r="G48" s="45"/>
      <c r="H48" s="45"/>
      <c r="I48" s="45"/>
      <c r="J48" s="1108"/>
      <c r="K48" s="159"/>
      <c r="L48" s="159"/>
      <c r="M48" s="159"/>
      <c r="N48" s="159"/>
      <c r="O48" s="159"/>
      <c r="P48" s="159"/>
      <c r="Q48" s="1322"/>
      <c r="R48" s="1356"/>
      <c r="S48" s="226"/>
      <c r="T48" s="226"/>
      <c r="U48" s="226"/>
      <c r="V48" s="227"/>
      <c r="W48" s="228"/>
      <c r="X48" s="228"/>
      <c r="Y48" s="229"/>
      <c r="Z48" s="242"/>
      <c r="AA48" s="199"/>
      <c r="AB48" s="199"/>
      <c r="AC48" s="1357"/>
      <c r="AD48" s="1334"/>
      <c r="AE48" s="199"/>
      <c r="AF48" s="199"/>
      <c r="AG48" s="199"/>
      <c r="AH48" s="243"/>
      <c r="AI48" s="837"/>
      <c r="AJ48" s="322"/>
      <c r="AK48" s="322"/>
      <c r="AL48" s="322"/>
      <c r="AM48" s="322"/>
      <c r="AN48" s="821"/>
      <c r="AO48" s="821"/>
      <c r="AP48" s="322"/>
      <c r="AQ48" s="2118"/>
      <c r="AR48" s="2134"/>
      <c r="AS48" s="1291"/>
      <c r="AT48" s="840"/>
      <c r="AU48" s="837"/>
      <c r="AV48" s="322"/>
      <c r="AW48" s="322"/>
      <c r="AX48" s="322"/>
      <c r="AY48" s="322"/>
      <c r="AZ48" s="322"/>
      <c r="BA48" s="322"/>
      <c r="BB48" s="322"/>
      <c r="BC48" s="322"/>
      <c r="BD48" s="322"/>
      <c r="BE48" s="322"/>
      <c r="BF48" s="840"/>
    </row>
    <row r="49" spans="1:61" ht="18.75" customHeight="1">
      <c r="A49" s="125"/>
      <c r="B49" s="58"/>
      <c r="C49" s="1305"/>
      <c r="D49" s="55"/>
      <c r="E49" s="58"/>
      <c r="F49" s="58"/>
      <c r="G49" s="38"/>
      <c r="H49" s="38"/>
      <c r="I49" s="38"/>
      <c r="J49" s="1306"/>
      <c r="K49" s="62"/>
      <c r="L49" s="62"/>
      <c r="M49" s="62"/>
      <c r="N49" s="62"/>
      <c r="O49" s="62"/>
      <c r="P49" s="62"/>
      <c r="Q49" s="1323"/>
      <c r="R49" s="1358"/>
      <c r="S49" s="239"/>
      <c r="T49" s="239"/>
      <c r="U49" s="239"/>
      <c r="V49" s="1307"/>
      <c r="W49" s="80"/>
      <c r="X49" s="80"/>
      <c r="Y49" s="23"/>
      <c r="Z49" s="23"/>
      <c r="AA49" s="238"/>
      <c r="AB49" s="238"/>
      <c r="AC49" s="1359"/>
      <c r="AD49" s="1335"/>
      <c r="AE49" s="238"/>
      <c r="AF49" s="238"/>
      <c r="AG49" s="238"/>
      <c r="AH49" s="796"/>
      <c r="AI49" s="1308"/>
      <c r="AJ49" s="536"/>
      <c r="AK49" s="536"/>
      <c r="AL49" s="536"/>
      <c r="AM49" s="536"/>
      <c r="AN49" s="797"/>
      <c r="AO49" s="797"/>
      <c r="AP49" s="536"/>
      <c r="AQ49" s="2119"/>
      <c r="AR49" s="2135"/>
      <c r="AS49" s="1309"/>
      <c r="AT49" s="1310"/>
      <c r="AU49" s="1308"/>
      <c r="AV49" s="322"/>
      <c r="AW49" s="322"/>
      <c r="AX49" s="322"/>
      <c r="AY49" s="322"/>
      <c r="AZ49" s="322"/>
      <c r="BA49" s="322"/>
      <c r="BB49" s="322"/>
      <c r="BC49" s="322"/>
      <c r="BD49" s="322"/>
      <c r="BE49" s="322"/>
      <c r="BF49" s="840"/>
    </row>
    <row r="50" spans="1:61" s="928" customFormat="1" ht="18.75" customHeight="1" thickBot="1">
      <c r="A50" s="2144" t="s">
        <v>1774</v>
      </c>
      <c r="B50" s="312" t="s">
        <v>1757</v>
      </c>
      <c r="C50" s="2145" t="s">
        <v>1758</v>
      </c>
      <c r="D50" s="312" t="s">
        <v>11</v>
      </c>
      <c r="E50" s="1155" t="s">
        <v>12</v>
      </c>
      <c r="F50" s="1155" t="s">
        <v>13</v>
      </c>
      <c r="G50" s="311" t="s">
        <v>1327</v>
      </c>
      <c r="H50" s="1389" t="s">
        <v>1759</v>
      </c>
      <c r="I50" s="311" t="s">
        <v>1760</v>
      </c>
      <c r="J50" s="1311" t="s">
        <v>1761</v>
      </c>
      <c r="K50" s="1312">
        <v>45292</v>
      </c>
      <c r="L50" s="1312">
        <v>45323</v>
      </c>
      <c r="M50" s="1312">
        <v>45352</v>
      </c>
      <c r="N50" s="1312">
        <v>45383</v>
      </c>
      <c r="O50" s="1312">
        <v>45413</v>
      </c>
      <c r="P50" s="1312">
        <v>45444</v>
      </c>
      <c r="Q50" s="1324">
        <v>45474</v>
      </c>
      <c r="R50" s="1360">
        <v>45505</v>
      </c>
      <c r="S50" s="1312">
        <v>45536</v>
      </c>
      <c r="T50" s="1312">
        <v>45566</v>
      </c>
      <c r="U50" s="1312">
        <v>45597</v>
      </c>
      <c r="V50" s="1312">
        <v>45627</v>
      </c>
      <c r="W50" s="1313">
        <v>45658</v>
      </c>
      <c r="X50" s="1313">
        <v>45689</v>
      </c>
      <c r="Y50" s="1313">
        <v>45717</v>
      </c>
      <c r="Z50" s="1314">
        <v>45748</v>
      </c>
      <c r="AA50" s="1313">
        <v>45778</v>
      </c>
      <c r="AB50" s="1313">
        <v>45809</v>
      </c>
      <c r="AC50" s="1316">
        <v>45839</v>
      </c>
      <c r="AD50" s="1315">
        <v>45870</v>
      </c>
      <c r="AE50" s="1313">
        <v>45901</v>
      </c>
      <c r="AF50" s="1313">
        <v>45931</v>
      </c>
      <c r="AG50" s="1313">
        <v>45962</v>
      </c>
      <c r="AH50" s="1314">
        <v>45992</v>
      </c>
      <c r="AI50" s="1360">
        <v>46023</v>
      </c>
      <c r="AJ50" s="1313">
        <v>46054</v>
      </c>
      <c r="AK50" s="1313">
        <v>46082</v>
      </c>
      <c r="AL50" s="1313">
        <v>46113</v>
      </c>
      <c r="AM50" s="1313">
        <v>46143</v>
      </c>
      <c r="AN50" s="1314">
        <v>46174</v>
      </c>
      <c r="AO50" s="1314">
        <v>46204</v>
      </c>
      <c r="AP50" s="1313">
        <v>46235</v>
      </c>
      <c r="AQ50" s="2120">
        <v>46266</v>
      </c>
      <c r="AR50" s="2136">
        <v>46296</v>
      </c>
      <c r="AS50" s="1315">
        <v>46327</v>
      </c>
      <c r="AT50" s="1316">
        <v>46357</v>
      </c>
      <c r="AU50" s="1360">
        <v>46388</v>
      </c>
      <c r="AV50" s="1317">
        <v>46419</v>
      </c>
      <c r="AW50" s="1317">
        <v>46447</v>
      </c>
      <c r="AX50" s="1317">
        <v>46478</v>
      </c>
      <c r="AY50" s="1317">
        <v>46508</v>
      </c>
      <c r="AZ50" s="1317">
        <v>46539</v>
      </c>
      <c r="BA50" s="1317">
        <v>46569</v>
      </c>
      <c r="BB50" s="1317">
        <v>46600</v>
      </c>
      <c r="BC50" s="1317">
        <v>46631</v>
      </c>
      <c r="BD50" s="1317">
        <v>46661</v>
      </c>
      <c r="BE50" s="1317">
        <v>46692</v>
      </c>
      <c r="BF50" s="1318">
        <v>46722</v>
      </c>
      <c r="BG50" s="2146"/>
    </row>
    <row r="51" spans="1:61" ht="18.75" customHeight="1">
      <c r="A51" s="71" t="s">
        <v>1699</v>
      </c>
      <c r="B51" s="1211" t="str" cm="1">
        <f t="array" ref="B51:B82">IF(C51:C82="","",_xlfn.XLOOKUP(C51:C82,マスタ_EOLリスト[製品型番],マスタ_EOLリスト[綽名],"?"))</f>
        <v>CLE-V37-14900HX-5070-L6 Creator</v>
      </c>
      <c r="C51" s="1264" t="s">
        <v>1775</v>
      </c>
      <c r="D51" s="1258" t="s">
        <v>1638</v>
      </c>
      <c r="E51" s="34">
        <v>5070</v>
      </c>
      <c r="F51" s="24" t="s">
        <v>1347</v>
      </c>
      <c r="G51" s="38" cm="1">
        <f t="array" ref="G51:G82">IF($C51:$C82="","",
_xlfn.XLOOKUP($C51:$C82,'在庫使用計画 (ノート全体試算)'!$C$1:$C$122,'在庫使用計画 (ノート全体試算)'!$G$1:$G$122,""))</f>
        <v>128</v>
      </c>
      <c r="H51" s="38">
        <f ca="1">_xlfn.LET(_xlpm._今月から4ヶ月計画合計,
  SUM(
    OFFSET($A51,0,
      MATCH(
        EDATE(基準データ!$C$5,3),$A$1:$BE$1,1
      )-4,1,4)),
  IF($C51="","",_xlpm._今月から4ヶ月計画合計
)
)</f>
        <v>91</v>
      </c>
      <c r="I51" s="38">
        <f>SUMIFS(マスタ_EOLリスト[在庫],マスタ_EOLリスト[製品型番],'在庫使用計画 (計画　予測)'!$C:$C)</f>
        <v>38</v>
      </c>
      <c r="J51" s="1116" cm="1">
        <f t="array" ref="J51">_xlfn.IFS($C51="","",
  $G51="","発売前？",
  $G51=0,"在庫なし",
  TRUE,
  IFERROR(
    _xlfn.LET(
      _xlpm._在庫注残,     $G51,
      _xlpm._しきい値,     _xlpm._在庫注残 * 0.75,
      _xlpm._見出し元,     $K$1:$BT$1,
      _xlpm._計画,         $K51:$BT51,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46327</v>
      </c>
      <c r="K51" s="38"/>
      <c r="L51" s="38"/>
      <c r="M51" s="38"/>
      <c r="N51" s="38"/>
      <c r="O51" s="38"/>
      <c r="P51" s="38"/>
      <c r="Q51" s="116"/>
      <c r="R51" s="1350"/>
      <c r="S51" s="219"/>
      <c r="T51" s="219"/>
      <c r="U51" s="219"/>
      <c r="V51" s="298"/>
      <c r="W51" s="299"/>
      <c r="X51" s="299"/>
      <c r="Y51" s="299"/>
      <c r="Z51" s="237" t="s">
        <v>21</v>
      </c>
      <c r="AA51" s="237" t="s">
        <v>21</v>
      </c>
      <c r="AB51" s="237" t="s">
        <v>21</v>
      </c>
      <c r="AC51" s="805">
        <v>68</v>
      </c>
      <c r="AD51" s="1050">
        <v>100</v>
      </c>
      <c r="AE51" s="237">
        <v>89</v>
      </c>
      <c r="AF51" s="237">
        <v>69.352053646269908</v>
      </c>
      <c r="AG51" s="237">
        <v>52</v>
      </c>
      <c r="AH51" s="237">
        <v>53.944444444444443</v>
      </c>
      <c r="AI51" s="838">
        <v>41</v>
      </c>
      <c r="AJ51" s="237">
        <v>41.807350689127105</v>
      </c>
      <c r="AK51" s="237">
        <v>54.710362429811127</v>
      </c>
      <c r="AL51" s="237">
        <v>78</v>
      </c>
      <c r="AM51" s="237">
        <f>_xlfn.XLOOKUP(
$C51,
'在庫使用計画 (ノート全体試算)'!$C$1:$C$170,
'在庫使用計画 (ノート全体試算)'!AN$1:AN$170,
"")</f>
        <v>69</v>
      </c>
      <c r="AN51" s="237">
        <f>_xlfn.XLOOKUP(
$C51,
'在庫使用計画 (ノート全体試算)'!$C$1:$C$170,
'在庫使用計画 (ノート全体試算)'!AO$1:AO$170,
"")</f>
        <v>70</v>
      </c>
      <c r="AO51" s="237" t="str">
        <f>_xlfn.XLOOKUP(
$C51,
'在庫使用計画 (ノート全体試算)'!$C$1:$C$170,
'在庫使用計画 (ノート全体試算)'!AP$1:AP$170,
"")</f>
        <v/>
      </c>
      <c r="AP51" s="224">
        <f>_xlfn.XLOOKUP(
$C51,
'在庫使用計画 (ノート全体試算)'!$C$1:$C$170,
'在庫使用計画 (ノート全体試算)'!AQ$1:AQ$170,
"")</f>
        <v>21</v>
      </c>
      <c r="AQ51" s="1050">
        <f>_xlfn.XLOOKUP(
$C51,
'在庫使用計画 (ノート全体試算)'!$C$1:$C$170,
'在庫使用計画 (ノート全体試算)'!AR$1:AR$170,
"")</f>
        <v>34</v>
      </c>
      <c r="AR51" s="2130">
        <f>_xlfn.XLOOKUP(
$C51,
'在庫使用計画 (ノート全体試算)'!$C$1:$C$170,
'在庫使用計画 (ノート全体試算)'!AS$1:AS$170,
"")</f>
        <v>36</v>
      </c>
      <c r="AS51" s="244">
        <f>_xlfn.XLOOKUP(
$C51,
'在庫使用計画 (ノート全体試算)'!$C$1:$C$170,
'在庫使用計画 (ノート全体試算)'!AT$1:AT$170,
"")</f>
        <v>36.943644689740182</v>
      </c>
      <c r="AT51" s="805">
        <f>_xlfn.XLOOKUP(
$C51,
'在庫使用計画 (ノート全体試算)'!$C$1:$C$170,
'在庫使用計画 (ノート全体試算)'!AU$1:AU$170,
"")</f>
        <v>50.186925171367285</v>
      </c>
      <c r="AU51" s="804">
        <f>_xlfn.XLOOKUP(
$C51,
'在庫使用計画 (ノート全体試算)'!$C$1:$C$170,
'在庫使用計画 (ノート全体試算)'!AV$1:AV$170,
"")</f>
        <v>44.543019363286746</v>
      </c>
      <c r="AV51" s="237">
        <f>_xlfn.XLOOKUP(
$C51,
'在庫使用計画 (ノート全体試算)'!$C$1:$C$170,
'在庫使用計画 (ノート全体試算)'!AW$1:AW$170,
"")</f>
        <v>42.510405369915219</v>
      </c>
      <c r="AW51" s="237">
        <f>_xlfn.XLOOKUP(
$C51,
'在庫使用計画 (ノート全体試算)'!$C$1:$C$170,
'在庫使用計画 (ノート全体試算)'!AX$1:AX$170,
"")</f>
        <v>58.522491736581777</v>
      </c>
      <c r="AX51" s="237">
        <f>_xlfn.XLOOKUP(
$C51,
'在庫使用計画 (ノート全体試算)'!$C$1:$C$170,
'在庫使用計画 (ノート全体試算)'!AY$1:AY$170,
"")</f>
        <v>9</v>
      </c>
      <c r="AY51" s="237">
        <f>_xlfn.XLOOKUP(
$C51,
'在庫使用計画 (ノート全体試算)'!$C$1:$C$170,
'在庫使用計画 (ノート全体試算)'!AZ$1:AZ$170,
"")</f>
        <v>9</v>
      </c>
      <c r="AZ51" s="237" t="str">
        <f>_xlfn.XLOOKUP(
$C51,
'在庫使用計画 (ノート全体試算)'!$C$1:$C$170,
'在庫使用計画 (ノート全体試算)'!BA$1:BA$170,
"")</f>
        <v/>
      </c>
      <c r="BA51" s="224" t="str">
        <f>_xlfn.XLOOKUP(
$C51,
'在庫使用計画 (ノート全体試算)'!$C$1:$C$170,
'在庫使用計画 (ノート全体試算)'!BB$1:BB$170,
"")</f>
        <v/>
      </c>
      <c r="BB51" s="224" t="str">
        <f>_xlfn.XLOOKUP(
$C51,
'在庫使用計画 (ノート全体試算)'!$C$1:$C$170,
'在庫使用計画 (ノート全体試算)'!BC$1:BC$170,
"")</f>
        <v/>
      </c>
      <c r="BC51" s="224" t="str">
        <f>_xlfn.XLOOKUP(
$C51,
'在庫使用計画 (ノート全体試算)'!$C$1:$C$170,
'在庫使用計画 (ノート全体試算)'!BD$1:BD$170,
"")</f>
        <v/>
      </c>
      <c r="BD51" s="224" t="str">
        <f>_xlfn.XLOOKUP(
$C51,
'在庫使用計画 (ノート全体試算)'!$C$1:$C$170,
'在庫使用計画 (ノート全体試算)'!BE$1:BE$170,
"")</f>
        <v/>
      </c>
      <c r="BE51" s="224" t="str">
        <f>_xlfn.XLOOKUP(
$C51,
'在庫使用計画 (ノート全体試算)'!$C$1:$C$170,
'在庫使用計画 (ノート全体試算)'!BF$1:BF$170,
"")</f>
        <v/>
      </c>
      <c r="BF51" s="805" t="str">
        <f>_xlfn.XLOOKUP(
$C51,
'在庫使用計画 (ノート全体試算)'!$C$1:$C$170,
'在庫使用計画 (ノート全体試算)'!BG$1:BG$170,
"")</f>
        <v/>
      </c>
      <c r="BG51" s="2091" t="s">
        <v>2690</v>
      </c>
    </row>
    <row r="52" spans="1:61" ht="18.75" customHeight="1" thickBot="1">
      <c r="A52" s="445"/>
      <c r="B52" s="1261" t="str">
        <v>CLE-V37-14900HX-5070-L6 Creator</v>
      </c>
      <c r="C52" s="1265" t="s">
        <v>1775</v>
      </c>
      <c r="D52" s="1262" t="s">
        <v>1763</v>
      </c>
      <c r="E52" s="446"/>
      <c r="F52" s="447"/>
      <c r="G52" s="448">
        <v>128</v>
      </c>
      <c r="H52" s="448">
        <f ca="1">_xlfn.LET(_xlpm._今月から4ヶ月計画合計,
  SUM(
    OFFSET($A52,0,
      MATCH(
        EDATE(基準データ!$C$5,3),$A$1:$BE$1,1
      )-4,1,4)),
  IF($C52="","",_xlpm._今月から4ヶ月計画合計
)
)</f>
        <v>247.52996089769903</v>
      </c>
      <c r="I52" s="448">
        <f t="shared" ref="I52" si="8">I51</f>
        <v>38</v>
      </c>
      <c r="J52" s="1116" cm="1">
        <f t="array" ref="J52">_xlfn.IFS($C52="","",
  $G52="","発売前？",
  $G52=0,"在庫なし",
  TRUE,
  IFERROR(
    _xlfn.LET(
      _xlpm._在庫注残,     $G52,
      _xlpm._しきい値,     _xlpm._在庫注残 * 0.75,
      _xlpm._見出し元,     $K$1:$BT$1,
      _xlpm._計画,         $K52:$BT52,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46235</v>
      </c>
      <c r="K52" s="448"/>
      <c r="L52" s="448"/>
      <c r="M52" s="448"/>
      <c r="N52" s="448"/>
      <c r="O52" s="448"/>
      <c r="P52" s="448"/>
      <c r="Q52" s="540"/>
      <c r="R52" s="900"/>
      <c r="S52" s="449"/>
      <c r="T52" s="449"/>
      <c r="U52" s="449"/>
      <c r="V52" s="450"/>
      <c r="W52" s="455" t="s">
        <v>21</v>
      </c>
      <c r="X52" s="455" t="s">
        <v>21</v>
      </c>
      <c r="Y52" s="455" t="s">
        <v>21</v>
      </c>
      <c r="Z52" s="453" t="s">
        <v>21</v>
      </c>
      <c r="AA52" s="453" t="s">
        <v>21</v>
      </c>
      <c r="AB52" s="449" t="s">
        <v>21</v>
      </c>
      <c r="AC52" s="899">
        <v>37</v>
      </c>
      <c r="AD52" s="1290">
        <v>74</v>
      </c>
      <c r="AE52" s="453">
        <v>99</v>
      </c>
      <c r="AF52" s="453">
        <v>93</v>
      </c>
      <c r="AG52" s="451">
        <v>43</v>
      </c>
      <c r="AH52" s="237">
        <v>52</v>
      </c>
      <c r="AI52" s="896">
        <v>41</v>
      </c>
      <c r="AJ52" s="451">
        <v>35</v>
      </c>
      <c r="AK52" s="451">
        <v>83</v>
      </c>
      <c r="AL52" s="451">
        <v>77</v>
      </c>
      <c r="AM52" s="451">
        <f>_xlfn.LET(_xlpm._全体実績予測,
  INDEX('在庫使用計画 (全体実績+予測）0701'!$A$1:$BD$195,
    MATCH($C52,'在庫使用計画 (全体実績+予測）0701'!$C$1:$C$195,0),
    MATCH(AM$1,'在庫使用計画 (全体実績+予測）0701'!$A$1:$BD$1,0)
),
  IFERROR(
    IF(_xlpm._全体実績予測=0,"",_xlpm._全体実績予測),
  "")
)</f>
        <v>88</v>
      </c>
      <c r="AN52" s="889">
        <f>_xlfn.LET(_xlpm._全体実績予測,
  INDEX('在庫使用計画 (全体実績+予測）0701'!$A$1:$BD$195,
    MATCH($C52,'在庫使用計画 (全体実績+予測）0701'!$C$1:$C$195,0),
    MATCH(AN$1,'在庫使用計画 (全体実績+予測）0701'!$A$1:$BD$1,0)
),
  IFERROR(
    IF(_xlpm._全体実績予測=0,"",_xlpm._全体実績予測),
  "")
)</f>
        <v>57.857142857142861</v>
      </c>
      <c r="AO52" s="889">
        <f>_xlfn.LET(_xlpm._全体実績予測,
  INDEX('在庫使用計画 (全体実績+予測）0701'!$A$1:$BD$195,
    MATCH($C52,'在庫使用計画 (全体実績+予測）0701'!$C$1:$C$195,0),
    MATCH(AO$1,'在庫使用計画 (全体実績+予測）0701'!$A$1:$BD$1,0)
),
  IFERROR(
    IF(_xlpm._全体実績予測=0,"",_xlpm._全体実績予測),
  "")
)</f>
        <v>56.835086785066643</v>
      </c>
      <c r="AP52" s="451">
        <f>_xlfn.LET(_xlpm._全体実績予測,
  INDEX('在庫使用計画 (全体実績+予測）0701'!$A$1:$BD$195,
    MATCH($C52,'在庫使用計画 (全体実績+予測）0701'!$C$1:$C$195,0),
    MATCH(AP$1,'在庫使用計画 (全体実績+予測）0701'!$A$1:$BD$1,0)
),
  IFERROR(
    IF(_xlpm._全体実績予測=0,"",_xlpm._全体実績予測),
  "")
)</f>
        <v>60.11512540868727</v>
      </c>
      <c r="AQ52" s="2121">
        <f>_xlfn.LET(_xlpm._全体実績予測,
  INDEX('在庫使用計画 (全体実績+予測）0701'!$A$1:$BD$195,
    MATCH($C52,'在庫使用計画 (全体実績+予測）0701'!$C$1:$C$195,0),
    MATCH(AQ$1,'在庫使用計画 (全体実績+予測）0701'!$A$1:$BD$1,0)
),
  IFERROR(
    IF(_xlpm._全体実績予測=0,"",_xlpm._全体実績予測),
  "")
)</f>
        <v>64.970238327156878</v>
      </c>
      <c r="AR52" s="2137">
        <f>_xlfn.LET(_xlpm._全体実績予測,
  INDEX('在庫使用計画 (全体実績+予測）0701'!$A$1:$BD$195,
    MATCH($C52,'在庫使用計画 (全体実績+予測）0701'!$C$1:$C$195,0),
    MATCH(AR$1,'在庫使用計画 (全体実績+予測）0701'!$A$1:$BD$1,0)
),
  IFERROR(
    IF(_xlpm._全体実績予測=0,"",_xlpm._全体実績予測),
  "")
)</f>
        <v>65.609510376788236</v>
      </c>
      <c r="AS52" s="1292">
        <f>_xlfn.LET(_xlpm._全体実績予測,
  INDEX('在庫使用計画 (全体実績+予測）0701'!$A$1:$BD$195,
    MATCH($C52,'在庫使用計画 (全体実績+予測）0701'!$C$1:$C$195,0),
    MATCH(AS$1,'在庫使用計画 (全体実績+予測）0701'!$A$1:$BD$1,0)
),
  IFERROR(
    IF(_xlpm._全体実績予測=0,"",_xlpm._全体実績予測),
  "")
)</f>
        <v>66.223161303888759</v>
      </c>
      <c r="AT52" s="897">
        <f>_xlfn.LET(_xlpm._全体実績予測,
  INDEX('在庫使用計画 (全体実績+予測）0701'!$A$1:$BD$195,
    MATCH($C52,'在庫使用計画 (全体実績+予測）0701'!$C$1:$C$195,0),
    MATCH(AT$1,'在庫使用計画 (全体実績+予測）0701'!$A$1:$BD$1,0)
),
  IFERROR(
    IF(_xlpm._全体実績予測=0,"",_xlpm._全体実績予測),
  "")
)</f>
        <v>104.08353242566423</v>
      </c>
      <c r="AU52" s="896">
        <f>_xlfn.LET(_xlpm._全体実績予測,
  INDEX('在庫使用計画 (全体実績+予測）0701'!$A$1:$BD$195,
    MATCH($C52,'在庫使用計画 (全体実績+予測）0701'!$C$1:$C$195,0),
    MATCH(AU$1,'在庫使用計画 (全体実績+予測）0701'!$A$1:$BD$1,0)
),
  IFERROR(
    IF(_xlpm._全体実績予測=0,"",_xlpm._全体実績予測),
  "")
)</f>
        <v>88.034130898009636</v>
      </c>
      <c r="AV52" s="451">
        <f>_xlfn.LET(_xlpm._全体実績予測,
  INDEX('在庫使用計画 (全体実績+予測）0701'!$A$1:$BD$195,
    MATCH($C52,'在庫使用計画 (全体実績+予測）0701'!$C$1:$C$195,0),
    MATCH(AV$1,'在庫使用計画 (全体実績+予測）0701'!$A$1:$BD$1,0)
),
  IFERROR(
    IF(_xlpm._全体実績予測=0,"",_xlpm._全体実績予測),
  "")
)</f>
        <v>58.204606948562223</v>
      </c>
      <c r="AW52" s="451">
        <f>_xlfn.LET(_xlpm._全体実績予測,
  INDEX('在庫使用計画 (全体実績+予測）0701'!$A$1:$BD$195,
    MATCH($C52,'在庫使用計画 (全体実績+予測）0701'!$C$1:$C$195,0),
    MATCH(AW$1,'在庫使用計画 (全体実績+予測）0701'!$A$1:$BD$1,0)
),
  IFERROR(
    IF(_xlpm._全体実績予測=0,"",_xlpm._全体実績予測),
  "")
)</f>
        <v>87.101482398318993</v>
      </c>
      <c r="AX52" s="451">
        <f>_xlfn.LET(_xlpm._全体実績予測,
  INDEX('在庫使用計画 (全体実績+予測）0701'!$A$1:$BD$195,
    MATCH($C52,'在庫使用計画 (全体実績+予測）0701'!$C$1:$C$195,0),
    MATCH(AX$1,'在庫使用計画 (全体実績+予測）0701'!$A$1:$BD$1,0)
),
  IFERROR(
    IF(_xlpm._全体実績予測=0,"",_xlpm._全体実績予測),
  "")
)</f>
        <v>65.099683242684222</v>
      </c>
      <c r="AY52" s="451">
        <f>_xlfn.LET(_xlpm._全体実績予測,
  INDEX('在庫使用計画 (全体実績+予測）0701'!$A$1:$BD$195,
    MATCH($C52,'在庫使用計画 (全体実績+予測）0701'!$C$1:$C$195,0),
    MATCH(AY$1,'在庫使用計画 (全体実績+予測）0701'!$A$1:$BD$1,0)
),
  IFERROR(
    IF(_xlpm._全体実績予測=0,"",_xlpm._全体実績予測),
  "")
)</f>
        <v>55.054710572522389</v>
      </c>
      <c r="AZ52" s="451">
        <f>_xlfn.LET(_xlpm._全体実績予測,
  INDEX('在庫使用計画 (全体実績+予測）0701'!$A$1:$BD$195,
    MATCH($C52,'在庫使用計画 (全体実績+予測）0701'!$C$1:$C$195,0),
    MATCH(AZ$1,'在庫使用計画 (全体実績+予測）0701'!$A$1:$BD$1,0)
),
  IFERROR(
    IF(_xlpm._全体実績予測=0,"",_xlpm._全体実績予測),
  "")
)</f>
        <v>57.857142857142861</v>
      </c>
      <c r="BA52" s="451">
        <f>_xlfn.LET(_xlpm._全体実績予測,
  INDEX('在庫使用計画 (全体実績+予測）0701'!$A$1:$BD$195,
    MATCH($C52,'在庫使用計画 (全体実績+予測）0701'!$C$1:$C$195,0),
    MATCH(BA$1,'在庫使用計画 (全体実績+予測）0701'!$A$1:$BD$1,0)
),
  IFERROR(
    IF(_xlpm._全体実績予測=0,"",_xlpm._全体実績予測),
  "")
)</f>
        <v>56.835086785066643</v>
      </c>
      <c r="BB52" s="451">
        <f>_xlfn.LET(_xlpm._全体実績予測,
  INDEX('在庫使用計画 (全体実績+予測）0701'!$A$1:$BD$195,
    MATCH($C52,'在庫使用計画 (全体実績+予測）0701'!$C$1:$C$195,0),
    MATCH(BB$1,'在庫使用計画 (全体実績+予測）0701'!$A$1:$BD$1,0)
),
  IFERROR(
    IF(_xlpm._全体実績予測=0,"",_xlpm._全体実績予測),
  "")
)</f>
        <v>60.11512540868727</v>
      </c>
      <c r="BC52" s="451">
        <f>_xlfn.LET(_xlpm._全体実績予測,
  INDEX('在庫使用計画 (全体実績+予測）0701'!$A$1:$BD$195,
    MATCH($C52,'在庫使用計画 (全体実績+予測）0701'!$C$1:$C$195,0),
    MATCH(BC$1,'在庫使用計画 (全体実績+予測）0701'!$A$1:$BD$1,0)
),
  IFERROR(
    IF(_xlpm._全体実績予測=0,"",_xlpm._全体実績予測),
  "")
)</f>
        <v>64.970238327156878</v>
      </c>
      <c r="BD52" s="451">
        <f>_xlfn.LET(_xlpm._全体実績予測,
  INDEX('在庫使用計画 (全体実績+予測）0701'!$A$1:$BD$195,
    MATCH($C52,'在庫使用計画 (全体実績+予測）0701'!$C$1:$C$195,0),
    MATCH(BD$1,'在庫使用計画 (全体実績+予測）0701'!$A$1:$BD$1,0)
),
  IFERROR(
    IF(_xlpm._全体実績予測=0,"",_xlpm._全体実績予測),
  "")
)</f>
        <v>65.609510376788236</v>
      </c>
      <c r="BE52" s="451">
        <f>_xlfn.LET(_xlpm._全体実績予測,
  INDEX('在庫使用計画 (全体実績+予測）0701'!$A$1:$BD$195,
    MATCH($C52,'在庫使用計画 (全体実績+予測）0701'!$C$1:$C$195,0),
    MATCH(BE$1,'在庫使用計画 (全体実績+予測）0701'!$A$1:$BD$1,0)
),
  IFERROR(
    IF(_xlpm._全体実績予測=0,"",_xlpm._全体実績予測),
  "")
)</f>
        <v>66.223161303888759</v>
      </c>
      <c r="BF52" s="897">
        <f>_xlfn.LET(_xlpm._全体実績予測,
  INDEX('在庫使用計画 (全体実績+予測）0701'!$A$1:$BD$195,
    MATCH($C52,'在庫使用計画 (全体実績+予測）0701'!$C$1:$C$195,0),
    MATCH(BF$1,'在庫使用計画 (全体実績+予測）0701'!$A$1:$BD$1,0)
),
  IFERROR(
    IF(_xlpm._全体実績予測=0,"",_xlpm._全体実績予測),
  "")
)</f>
        <v>104.08353242566423</v>
      </c>
      <c r="BG52" s="2091" t="s">
        <v>2689</v>
      </c>
    </row>
    <row r="53" spans="1:61" ht="18.75" hidden="1" customHeight="1" outlineLevel="1">
      <c r="A53" s="71" t="s">
        <v>1776</v>
      </c>
      <c r="B53" s="934" t="str">
        <v>BYD-</v>
      </c>
      <c r="C53" s="531" t="s">
        <v>1777</v>
      </c>
      <c r="D53" s="26" t="s">
        <v>1638</v>
      </c>
      <c r="E53" s="34">
        <v>5070</v>
      </c>
      <c r="F53" s="24" t="s">
        <v>1347</v>
      </c>
      <c r="G53" s="38" t="str">
        <v/>
      </c>
      <c r="H53" s="38">
        <f ca="1">_xlfn.LET(_xlpm._今月から4ヶ月計画合計,
  SUM(
    OFFSET($A53,0,
      MATCH(
        EDATE(基準データ!$C$5,3),$A$1:$BE$1,1
      )-4,1,4)),
  IF($C53="","",_xlpm._今月から4ヶ月計画合計
)
)</f>
        <v>0</v>
      </c>
      <c r="I53" s="38">
        <f>SUMIFS(在庫確認!$D:$D,在庫確認!$B:$B,'在庫使用計画 (計画　予測)'!$C:$C)</f>
        <v>0</v>
      </c>
      <c r="J53" s="1116" t="str" cm="1">
        <f t="array" ref="J53">_xlfn.IFS($C53="","",
  $G53="","発売前？",
  $G53=0,"在庫なし",
  TRUE,
  IFERROR(
    _xlfn.LET(
      _xlpm._在庫注残,     $G53,
      _xlpm._しきい値,     _xlpm._在庫注残 * 0.75,
      _xlpm._見出し元,     $K$1:$BT$1,
      _xlpm._計画,         $K53:$BT53,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発売前？</v>
      </c>
      <c r="K53" s="38"/>
      <c r="L53" s="38"/>
      <c r="M53" s="38"/>
      <c r="N53" s="38"/>
      <c r="O53" s="38"/>
      <c r="P53" s="38"/>
      <c r="Q53" s="116"/>
      <c r="R53" s="1350"/>
      <c r="S53" s="219"/>
      <c r="T53" s="219"/>
      <c r="U53" s="219"/>
      <c r="V53" s="298"/>
      <c r="W53" s="299"/>
      <c r="X53" s="299"/>
      <c r="Y53" s="299"/>
      <c r="Z53" s="237" t="s">
        <v>21</v>
      </c>
      <c r="AA53" s="237" t="s">
        <v>21</v>
      </c>
      <c r="AB53" s="237" t="s">
        <v>21</v>
      </c>
      <c r="AC53" s="805">
        <v>68</v>
      </c>
      <c r="AD53" s="1050">
        <v>100</v>
      </c>
      <c r="AE53" s="237">
        <v>89</v>
      </c>
      <c r="AF53" s="237">
        <v>69.352053646269908</v>
      </c>
      <c r="AG53" s="237" t="s">
        <v>21</v>
      </c>
      <c r="AH53" s="237" t="s">
        <v>21</v>
      </c>
      <c r="AI53" s="838" t="s">
        <v>21</v>
      </c>
      <c r="AJ53" s="237" t="s">
        <v>21</v>
      </c>
      <c r="AK53" s="237" t="s">
        <v>21</v>
      </c>
      <c r="AL53" s="237" t="s">
        <v>21</v>
      </c>
      <c r="AM53" s="237" t="str">
        <f>_xlfn.XLOOKUP(
$C53,
'在庫使用計画 (ノート全体試算)'!$C$1:$C$170,
'在庫使用計画 (ノート全体試算)'!AN$1:AN$170,
"")</f>
        <v/>
      </c>
      <c r="AN53" s="237" t="str">
        <f>_xlfn.XLOOKUP(
$C53,
'在庫使用計画 (ノート全体試算)'!$C$1:$C$170,
'在庫使用計画 (ノート全体試算)'!AO$1:AO$170,
"")</f>
        <v/>
      </c>
      <c r="AO53" s="237" t="str">
        <f>_xlfn.XLOOKUP(
$C53,
'在庫使用計画 (ノート全体試算)'!$C$1:$C$170,
'在庫使用計画 (ノート全体試算)'!AP$1:AP$170,
"")</f>
        <v/>
      </c>
      <c r="AP53" s="224" t="str">
        <f>_xlfn.XLOOKUP(
$C53,
'在庫使用計画 (ノート全体試算)'!$C$1:$C$170,
'在庫使用計画 (ノート全体試算)'!AQ$1:AQ$170,
"")</f>
        <v/>
      </c>
      <c r="AQ53" s="1050" t="str">
        <f>_xlfn.XLOOKUP(
$C53,
'在庫使用計画 (ノート全体試算)'!$C$1:$C$170,
'在庫使用計画 (ノート全体試算)'!AR$1:AR$170,
"")</f>
        <v/>
      </c>
      <c r="AR53" s="2130" t="str">
        <f>_xlfn.XLOOKUP(
$C53,
'在庫使用計画 (ノート全体試算)'!$C$1:$C$170,
'在庫使用計画 (ノート全体試算)'!AS$1:AS$170,
"")</f>
        <v/>
      </c>
      <c r="AS53" s="244" t="str">
        <f>_xlfn.XLOOKUP(
$C53,
'在庫使用計画 (ノート全体試算)'!$C$1:$C$170,
'在庫使用計画 (ノート全体試算)'!AT$1:AT$170,
"")</f>
        <v/>
      </c>
      <c r="AT53" s="805" t="str">
        <f>_xlfn.XLOOKUP(
$C53,
'在庫使用計画 (ノート全体試算)'!$C$1:$C$170,
'在庫使用計画 (ノート全体試算)'!AU$1:AU$170,
"")</f>
        <v/>
      </c>
      <c r="AU53" s="838" t="str">
        <f>_xlfn.XLOOKUP(
$C53,
'在庫使用計画 (ノート全体試算)'!$C$1:$C$170,
'在庫使用計画 (ノート全体試算)'!AV$1:AV$170,
"")</f>
        <v/>
      </c>
      <c r="AV53" s="237" t="str">
        <f>_xlfn.XLOOKUP(
$C53,
'在庫使用計画 (ノート全体試算)'!$C$1:$C$170,
'在庫使用計画 (ノート全体試算)'!AW$1:AW$170,
"")</f>
        <v/>
      </c>
      <c r="AW53" s="237" t="str">
        <f>_xlfn.XLOOKUP(
$C53,
'在庫使用計画 (ノート全体試算)'!$C$1:$C$170,
'在庫使用計画 (ノート全体試算)'!AX$1:AX$170,
"")</f>
        <v/>
      </c>
      <c r="AX53" s="237" t="str">
        <f>_xlfn.XLOOKUP(
$C53,
'在庫使用計画 (ノート全体試算)'!$C$1:$C$170,
'在庫使用計画 (ノート全体試算)'!AY$1:AY$170,
"")</f>
        <v/>
      </c>
      <c r="AY53" s="237" t="str">
        <f>_xlfn.XLOOKUP(
$C53,
'在庫使用計画 (ノート全体試算)'!$C$1:$C$170,
'在庫使用計画 (ノート全体試算)'!AZ$1:AZ$170,
"")</f>
        <v/>
      </c>
      <c r="AZ53" s="237" t="str">
        <f>_xlfn.XLOOKUP(
$C53,
'在庫使用計画 (ノート全体試算)'!$C$1:$C$170,
'在庫使用計画 (ノート全体試算)'!BA$1:BA$170,
"")</f>
        <v/>
      </c>
      <c r="BA53" s="224" t="str">
        <f>_xlfn.XLOOKUP(
$C53,
'在庫使用計画 (ノート全体試算)'!$C$1:$C$170,
'在庫使用計画 (ノート全体試算)'!BB$1:BB$170,
"")</f>
        <v/>
      </c>
      <c r="BB53" s="224" t="str">
        <f>_xlfn.XLOOKUP(
$C53,
'在庫使用計画 (ノート全体試算)'!$C$1:$C$170,
'在庫使用計画 (ノート全体試算)'!BC$1:BC$170,
"")</f>
        <v/>
      </c>
      <c r="BC53" s="224" t="str">
        <f>_xlfn.XLOOKUP(
$C53,
'在庫使用計画 (ノート全体試算)'!$C$1:$C$170,
'在庫使用計画 (ノート全体試算)'!BD$1:BD$170,
"")</f>
        <v/>
      </c>
      <c r="BD53" s="224" t="str">
        <f>_xlfn.XLOOKUP(
$C53,
'在庫使用計画 (ノート全体試算)'!$C$1:$C$170,
'在庫使用計画 (ノート全体試算)'!BE$1:BE$170,
"")</f>
        <v/>
      </c>
      <c r="BE53" s="224" t="str">
        <f>_xlfn.XLOOKUP(
$C53,
'在庫使用計画 (ノート全体試算)'!$C$1:$C$170,
'在庫使用計画 (ノート全体試算)'!BF$1:BF$170,
"")</f>
        <v/>
      </c>
      <c r="BF53" s="805" t="str">
        <f>_xlfn.XLOOKUP(
$C53,
'在庫使用計画 (ノート全体試算)'!$C$1:$C$170,
'在庫使用計画 (ノート全体試算)'!BG$1:BG$170,
"")</f>
        <v/>
      </c>
    </row>
    <row r="54" spans="1:61" ht="18.75" hidden="1" customHeight="1" outlineLevel="1">
      <c r="A54" s="445"/>
      <c r="B54" s="446" t="str">
        <v>BYD-</v>
      </c>
      <c r="C54" s="25" t="s">
        <v>1777</v>
      </c>
      <c r="D54" s="446" t="s">
        <v>1763</v>
      </c>
      <c r="E54" s="446"/>
      <c r="F54" s="447"/>
      <c r="G54" s="448" t="str">
        <v/>
      </c>
      <c r="H54" s="448">
        <f ca="1">_xlfn.LET(_xlpm._今月から4ヶ月計画合計,
  SUM(
    OFFSET($A54,0,
      MATCH(
        EDATE(基準データ!$C$5,3),$A$1:$BE$1,1
      )-4,1,4)),
  IF($C54="","",_xlpm._今月から4ヶ月計画合計
)
)</f>
        <v>0</v>
      </c>
      <c r="I54" s="448">
        <f t="shared" ref="I54" si="9">I53</f>
        <v>0</v>
      </c>
      <c r="J54" s="1116" t="str" cm="1">
        <f t="array" ref="J54">_xlfn.IFS($C54="","",
  $G54="","発売前？",
  $G54=0,"在庫なし",
  TRUE,
  IFERROR(
    _xlfn.LET(
      _xlpm._在庫注残,     $G54,
      _xlpm._しきい値,     _xlpm._在庫注残 * 0.75,
      _xlpm._見出し元,     $K$1:$BT$1,
      _xlpm._計画,         $K54:$BT54,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発売前？</v>
      </c>
      <c r="K54" s="448"/>
      <c r="L54" s="448"/>
      <c r="M54" s="448"/>
      <c r="N54" s="448"/>
      <c r="O54" s="448"/>
      <c r="P54" s="448"/>
      <c r="Q54" s="540"/>
      <c r="R54" s="900"/>
      <c r="S54" s="449"/>
      <c r="T54" s="449"/>
      <c r="U54" s="449"/>
      <c r="V54" s="450"/>
      <c r="W54" s="455" t="s">
        <v>21</v>
      </c>
      <c r="X54" s="455" t="s">
        <v>21</v>
      </c>
      <c r="Y54" s="455" t="s">
        <v>21</v>
      </c>
      <c r="Z54" s="453" t="s">
        <v>21</v>
      </c>
      <c r="AA54" s="453" t="s">
        <v>21</v>
      </c>
      <c r="AB54" s="449" t="s">
        <v>21</v>
      </c>
      <c r="AC54" s="899">
        <v>37</v>
      </c>
      <c r="AD54" s="1290">
        <v>74</v>
      </c>
      <c r="AE54" s="453">
        <v>99</v>
      </c>
      <c r="AF54" s="453">
        <v>93</v>
      </c>
      <c r="AG54" s="451" t="s">
        <v>21</v>
      </c>
      <c r="AH54" s="237" t="s">
        <v>21</v>
      </c>
      <c r="AI54" s="896" t="s">
        <v>21</v>
      </c>
      <c r="AJ54" s="451" t="s">
        <v>21</v>
      </c>
      <c r="AK54" s="451" t="s">
        <v>21</v>
      </c>
      <c r="AL54" s="451" t="s">
        <v>21</v>
      </c>
      <c r="AM54" s="451" t="str">
        <f>_xlfn.LET(_xlpm._全体実績予測,
  INDEX('在庫使用計画 (全体実績+予測）0701'!$A$1:$BD$195,
    MATCH($C54,'在庫使用計画 (全体実績+予測）0701'!$C$1:$C$195,0),
    MATCH(AM$1,'在庫使用計画 (全体実績+予測）0701'!$A$1:$BD$1,0)
),
  IFERROR(
    IF(_xlpm._全体実績予測=0,"",_xlpm._全体実績予測),
  "")
)</f>
        <v/>
      </c>
      <c r="AN54" s="889" t="str">
        <f>_xlfn.LET(_xlpm._全体実績予測,
  INDEX('在庫使用計画 (全体実績+予測）0701'!$A$1:$BD$195,
    MATCH($C54,'在庫使用計画 (全体実績+予測）0701'!$C$1:$C$195,0),
    MATCH(AN$1,'在庫使用計画 (全体実績+予測）0701'!$A$1:$BD$1,0)
),
  IFERROR(
    IF(_xlpm._全体実績予測=0,"",_xlpm._全体実績予測),
  "")
)</f>
        <v/>
      </c>
      <c r="AO54" s="889" t="str">
        <f>_xlfn.LET(_xlpm._全体実績予測,
  INDEX('在庫使用計画 (全体実績+予測）0701'!$A$1:$BD$195,
    MATCH($C54,'在庫使用計画 (全体実績+予測）0701'!$C$1:$C$195,0),
    MATCH(AO$1,'在庫使用計画 (全体実績+予測）0701'!$A$1:$BD$1,0)
),
  IFERROR(
    IF(_xlpm._全体実績予測=0,"",_xlpm._全体実績予測),
  "")
)</f>
        <v/>
      </c>
      <c r="AP54" s="451" t="str">
        <f>_xlfn.LET(_xlpm._全体実績予測,
  INDEX('在庫使用計画 (全体実績+予測）0701'!$A$1:$BD$195,
    MATCH($C54,'在庫使用計画 (全体実績+予測）0701'!$C$1:$C$195,0),
    MATCH(AP$1,'在庫使用計画 (全体実績+予測）0701'!$A$1:$BD$1,0)
),
  IFERROR(
    IF(_xlpm._全体実績予測=0,"",_xlpm._全体実績予測),
  "")
)</f>
        <v/>
      </c>
      <c r="AQ54" s="2121" t="str">
        <f>_xlfn.LET(_xlpm._全体実績予測,
  INDEX('在庫使用計画 (全体実績+予測）0701'!$A$1:$BD$195,
    MATCH($C54,'在庫使用計画 (全体実績+予測）0701'!$C$1:$C$195,0),
    MATCH(AQ$1,'在庫使用計画 (全体実績+予測）0701'!$A$1:$BD$1,0)
),
  IFERROR(
    IF(_xlpm._全体実績予測=0,"",_xlpm._全体実績予測),
  "")
)</f>
        <v/>
      </c>
      <c r="AR54" s="2137" t="str">
        <f>_xlfn.LET(_xlpm._全体実績予測,
  INDEX('在庫使用計画 (全体実績+予測）0701'!$A$1:$BD$195,
    MATCH($C54,'在庫使用計画 (全体実績+予測）0701'!$C$1:$C$195,0),
    MATCH(AR$1,'在庫使用計画 (全体実績+予測）0701'!$A$1:$BD$1,0)
),
  IFERROR(
    IF(_xlpm._全体実績予測=0,"",_xlpm._全体実績予測),
  "")
)</f>
        <v/>
      </c>
      <c r="AS54" s="1292" t="str">
        <f>_xlfn.LET(_xlpm._全体実績予測,
  INDEX('在庫使用計画 (全体実績+予測）0701'!$A$1:$BD$195,
    MATCH($C54,'在庫使用計画 (全体実績+予測）0701'!$C$1:$C$195,0),
    MATCH(AS$1,'在庫使用計画 (全体実績+予測）0701'!$A$1:$BD$1,0)
),
  IFERROR(
    IF(_xlpm._全体実績予測=0,"",_xlpm._全体実績予測),
  "")
)</f>
        <v/>
      </c>
      <c r="AT54" s="897" t="str">
        <f>_xlfn.LET(_xlpm._全体実績予測,
  INDEX('在庫使用計画 (全体実績+予測）0701'!$A$1:$BD$195,
    MATCH($C54,'在庫使用計画 (全体実績+予測）0701'!$C$1:$C$195,0),
    MATCH(AT$1,'在庫使用計画 (全体実績+予測）0701'!$A$1:$BD$1,0)
),
  IFERROR(
    IF(_xlpm._全体実績予測=0,"",_xlpm._全体実績予測),
  "")
)</f>
        <v/>
      </c>
      <c r="AU54" s="896" t="str">
        <f>_xlfn.LET(_xlpm._全体実績予測,
  INDEX('在庫使用計画 (全体実績+予測）0701'!$A$1:$BD$195,
    MATCH($C54,'在庫使用計画 (全体実績+予測）0701'!$C$1:$C$195,0),
    MATCH(AU$1,'在庫使用計画 (全体実績+予測）0701'!$A$1:$BD$1,0)
),
  IFERROR(
    IF(_xlpm._全体実績予測=0,"",_xlpm._全体実績予測),
  "")
)</f>
        <v/>
      </c>
      <c r="AV54" s="451" t="str">
        <f>_xlfn.LET(_xlpm._全体実績予測,
  INDEX('在庫使用計画 (全体実績+予測）0701'!$A$1:$BD$195,
    MATCH($C54,'在庫使用計画 (全体実績+予測）0701'!$C$1:$C$195,0),
    MATCH(AV$1,'在庫使用計画 (全体実績+予測）0701'!$A$1:$BD$1,0)
),
  IFERROR(
    IF(_xlpm._全体実績予測=0,"",_xlpm._全体実績予測),
  "")
)</f>
        <v/>
      </c>
      <c r="AW54" s="451" t="str">
        <f>_xlfn.LET(_xlpm._全体実績予測,
  INDEX('在庫使用計画 (全体実績+予測）0701'!$A$1:$BD$195,
    MATCH($C54,'在庫使用計画 (全体実績+予測）0701'!$C$1:$C$195,0),
    MATCH(AW$1,'在庫使用計画 (全体実績+予測）0701'!$A$1:$BD$1,0)
),
  IFERROR(
    IF(_xlpm._全体実績予測=0,"",_xlpm._全体実績予測),
  "")
)</f>
        <v/>
      </c>
      <c r="AX54" s="451" t="str">
        <f>_xlfn.LET(_xlpm._全体実績予測,
  INDEX('在庫使用計画 (全体実績+予測）0701'!$A$1:$BD$195,
    MATCH($C54,'在庫使用計画 (全体実績+予測）0701'!$C$1:$C$195,0),
    MATCH(AX$1,'在庫使用計画 (全体実績+予測）0701'!$A$1:$BD$1,0)
),
  IFERROR(
    IF(_xlpm._全体実績予測=0,"",_xlpm._全体実績予測),
  "")
)</f>
        <v/>
      </c>
      <c r="AY54" s="451" t="str">
        <f>_xlfn.LET(_xlpm._全体実績予測,
  INDEX('在庫使用計画 (全体実績+予測）0701'!$A$1:$BD$195,
    MATCH($C54,'在庫使用計画 (全体実績+予測）0701'!$C$1:$C$195,0),
    MATCH(AY$1,'在庫使用計画 (全体実績+予測）0701'!$A$1:$BD$1,0)
),
  IFERROR(
    IF(_xlpm._全体実績予測=0,"",_xlpm._全体実績予測),
  "")
)</f>
        <v/>
      </c>
      <c r="AZ54" s="451" t="str">
        <f>_xlfn.LET(_xlpm._全体実績予測,
  INDEX('在庫使用計画 (全体実績+予測）0701'!$A$1:$BD$195,
    MATCH($C54,'在庫使用計画 (全体実績+予測）0701'!$C$1:$C$195,0),
    MATCH(AZ$1,'在庫使用計画 (全体実績+予測）0701'!$A$1:$BD$1,0)
),
  IFERROR(
    IF(_xlpm._全体実績予測=0,"",_xlpm._全体実績予測),
  "")
)</f>
        <v/>
      </c>
      <c r="BA54" s="451" t="str">
        <f>_xlfn.LET(_xlpm._全体実績予測,
  INDEX('在庫使用計画 (全体実績+予測）0701'!$A$1:$BD$195,
    MATCH($C54,'在庫使用計画 (全体実績+予測）0701'!$C$1:$C$195,0),
    MATCH(BA$1,'在庫使用計画 (全体実績+予測）0701'!$A$1:$BD$1,0)
),
  IFERROR(
    IF(_xlpm._全体実績予測=0,"",_xlpm._全体実績予測),
  "")
)</f>
        <v/>
      </c>
      <c r="BB54" s="451" t="str">
        <f>_xlfn.LET(_xlpm._全体実績予測,
  INDEX('在庫使用計画 (全体実績+予測）0701'!$A$1:$BD$195,
    MATCH($C54,'在庫使用計画 (全体実績+予測）0701'!$C$1:$C$195,0),
    MATCH(BB$1,'在庫使用計画 (全体実績+予測）0701'!$A$1:$BD$1,0)
),
  IFERROR(
    IF(_xlpm._全体実績予測=0,"",_xlpm._全体実績予測),
  "")
)</f>
        <v/>
      </c>
      <c r="BC54" s="451" t="str">
        <f>_xlfn.LET(_xlpm._全体実績予測,
  INDEX('在庫使用計画 (全体実績+予測）0701'!$A$1:$BD$195,
    MATCH($C54,'在庫使用計画 (全体実績+予測）0701'!$C$1:$C$195,0),
    MATCH(BC$1,'在庫使用計画 (全体実績+予測）0701'!$A$1:$BD$1,0)
),
  IFERROR(
    IF(_xlpm._全体実績予測=0,"",_xlpm._全体実績予測),
  "")
)</f>
        <v/>
      </c>
      <c r="BD54" s="451" t="str">
        <f>_xlfn.LET(_xlpm._全体実績予測,
  INDEX('在庫使用計画 (全体実績+予測）0701'!$A$1:$BD$195,
    MATCH($C54,'在庫使用計画 (全体実績+予測）0701'!$C$1:$C$195,0),
    MATCH(BD$1,'在庫使用計画 (全体実績+予測）0701'!$A$1:$BD$1,0)
),
  IFERROR(
    IF(_xlpm._全体実績予測=0,"",_xlpm._全体実績予測),
  "")
)</f>
        <v/>
      </c>
      <c r="BE54" s="451" t="str">
        <f>_xlfn.LET(_xlpm._全体実績予測,
  INDEX('在庫使用計画 (全体実績+予測）0701'!$A$1:$BD$195,
    MATCH($C54,'在庫使用計画 (全体実績+予測）0701'!$C$1:$C$195,0),
    MATCH(BE$1,'在庫使用計画 (全体実績+予測）0701'!$A$1:$BD$1,0)
),
  IFERROR(
    IF(_xlpm._全体実績予測=0,"",_xlpm._全体実績予測),
  "")
)</f>
        <v/>
      </c>
      <c r="BF54" s="897" t="str">
        <f>_xlfn.LET(_xlpm._全体実績予測,
  INDEX('在庫使用計画 (全体実績+予測）0701'!$A$1:$BD$195,
    MATCH($C54,'在庫使用計画 (全体実績+予測）0701'!$C$1:$C$195,0),
    MATCH(BF$1,'在庫使用計画 (全体実績+予測）0701'!$A$1:$BD$1,0)
),
  IFERROR(
    IF(_xlpm._全体実績予測=0,"",_xlpm._全体実績予測),
  "")
)</f>
        <v/>
      </c>
    </row>
    <row r="55" spans="1:61" ht="18.75" customHeight="1" collapsed="1">
      <c r="A55" s="71"/>
      <c r="B55" s="26" t="str">
        <v/>
      </c>
      <c r="C55" s="25"/>
      <c r="D55" s="26"/>
      <c r="E55" s="34"/>
      <c r="F55" s="24"/>
      <c r="G55" s="69" t="str">
        <v/>
      </c>
      <c r="H55" s="38"/>
      <c r="I55" s="69"/>
      <c r="J55" s="1116" t="str" cm="1">
        <f t="array" ref="J55">_xlfn.IFS($C55="","",
  $G55="","発売前？",
  $G55=0,"在庫なし",
  TRUE,
  IFERROR(
    _xlfn.LET(
      _xlpm._在庫注残,     $G55,
      _xlpm._しきい値,     _xlpm._在庫注残 * 0.75,
      _xlpm._見出し元,     $K$1:$BT$1,
      _xlpm._計画,         $K55:$BT55,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
      </c>
      <c r="K55" s="38"/>
      <c r="L55" s="38"/>
      <c r="M55" s="38"/>
      <c r="N55" s="38"/>
      <c r="O55" s="38"/>
      <c r="P55" s="38"/>
      <c r="Q55" s="116"/>
      <c r="R55" s="1350"/>
      <c r="S55" s="219"/>
      <c r="T55" s="219"/>
      <c r="U55" s="219"/>
      <c r="V55" s="219"/>
      <c r="W55" s="224"/>
      <c r="X55" s="224"/>
      <c r="Y55" s="224"/>
      <c r="Z55" s="237"/>
      <c r="AA55" s="224"/>
      <c r="AB55" s="224" t="s">
        <v>21</v>
      </c>
      <c r="AC55" s="805" t="s">
        <v>21</v>
      </c>
      <c r="AD55" s="244" t="s">
        <v>21</v>
      </c>
      <c r="AE55" s="224" t="s">
        <v>21</v>
      </c>
      <c r="AF55" s="224" t="s">
        <v>21</v>
      </c>
      <c r="AG55" s="224" t="s">
        <v>21</v>
      </c>
      <c r="AH55" s="237" t="s">
        <v>21</v>
      </c>
      <c r="AI55" s="804" t="s">
        <v>21</v>
      </c>
      <c r="AJ55" s="224" t="s">
        <v>21</v>
      </c>
      <c r="AK55" s="224" t="s">
        <v>21</v>
      </c>
      <c r="AL55" s="224" t="s">
        <v>21</v>
      </c>
      <c r="AM55" s="224" t="str">
        <f>IFERROR(IF(SUM(INDEX('在庫使用計画 (一般)'!$A$1:$BF$557,MATCH($C55,'在庫使用計画 (一般)'!$C$1:$C$557,0),MATCH(AM$1,'在庫使用計画 (一般)'!$A$1:$BF$1,0)),INDEX('在庫使用計画 (法人)'!$A$1:$AT$578,MATCH($C55,'在庫使用計画 (法人)'!$C$1:$C$578,0),MATCH(AM$1,'在庫使用計画 (法人)'!$A$1:$AT$1,0)))=0,"",SUM(INDEX('在庫使用計画 (一般)'!$A$1:$BF$557,MATCH($C55,'在庫使用計画 (一般)'!$C$1:$C$557,0),MATCH(AM$1,'在庫使用計画 (一般)'!$A$1:$BF$1,0)),INDEX('在庫使用計画 (法人)'!$A$1:$AT$578,MATCH($C55,'在庫使用計画 (法人)'!$C$1:$C$578,0),MATCH(AM$1,'在庫使用計画 (法人)'!$A$1:$AT$1,0)))),"")</f>
        <v/>
      </c>
      <c r="AN55" s="237" t="str">
        <f>IFERROR(IF(SUM(INDEX('在庫使用計画 (一般)'!$A$1:$BF$557,MATCH($C55,'在庫使用計画 (一般)'!$C$1:$C$557,0),MATCH(AN$1,'在庫使用計画 (一般)'!$A$1:$BF$1,0)),INDEX('在庫使用計画 (法人)'!$A$1:$AT$578,MATCH($C55,'在庫使用計画 (法人)'!$C$1:$C$578,0),MATCH(AN$1,'在庫使用計画 (法人)'!$A$1:$AT$1,0)))=0,"",SUM(INDEX('在庫使用計画 (一般)'!$A$1:$BF$557,MATCH($C55,'在庫使用計画 (一般)'!$C$1:$C$557,0),MATCH(AN$1,'在庫使用計画 (一般)'!$A$1:$BF$1,0)),INDEX('在庫使用計画 (法人)'!$A$1:$AT$578,MATCH($C55,'在庫使用計画 (法人)'!$C$1:$C$578,0),MATCH(AN$1,'在庫使用計画 (法人)'!$A$1:$AT$1,0)))),"")</f>
        <v/>
      </c>
      <c r="AO55" s="237" t="str">
        <f>IFERROR(IF(SUM(INDEX('在庫使用計画 (一般)'!$A$1:$BF$557,MATCH($C55,'在庫使用計画 (一般)'!$C$1:$C$557,0),MATCH(AO$1,'在庫使用計画 (一般)'!$A$1:$BF$1,0)),INDEX('在庫使用計画 (法人)'!$A$1:$AT$578,MATCH($C55,'在庫使用計画 (法人)'!$C$1:$C$578,0),MATCH(AO$1,'在庫使用計画 (法人)'!$A$1:$AT$1,0)))=0,"",SUM(INDEX('在庫使用計画 (一般)'!$A$1:$BF$557,MATCH($C55,'在庫使用計画 (一般)'!$C$1:$C$557,0),MATCH(AO$1,'在庫使用計画 (一般)'!$A$1:$BF$1,0)),INDEX('在庫使用計画 (法人)'!$A$1:$AT$578,MATCH($C55,'在庫使用計画 (法人)'!$C$1:$C$578,0),MATCH(AO$1,'在庫使用計画 (法人)'!$A$1:$AT$1,0)))),"")</f>
        <v/>
      </c>
      <c r="AP55" s="224" t="str">
        <f>IFERROR(IF(SUM(INDEX('在庫使用計画 (一般)'!$A$1:$BF$557,MATCH($C55,'在庫使用計画 (一般)'!$C$1:$C$557,0),MATCH(AP$1,'在庫使用計画 (一般)'!$A$1:$BF$1,0)),INDEX('在庫使用計画 (法人)'!$A$1:$AT$578,MATCH($C55,'在庫使用計画 (法人)'!$C$1:$C$578,0),MATCH(AP$1,'在庫使用計画 (法人)'!$A$1:$AT$1,0)))=0,"",SUM(INDEX('在庫使用計画 (一般)'!$A$1:$BF$557,MATCH($C55,'在庫使用計画 (一般)'!$C$1:$C$557,0),MATCH(AP$1,'在庫使用計画 (一般)'!$A$1:$BF$1,0)),INDEX('在庫使用計画 (法人)'!$A$1:$AT$578,MATCH($C55,'在庫使用計画 (法人)'!$C$1:$C$578,0),MATCH(AP$1,'在庫使用計画 (法人)'!$A$1:$AT$1,0)))),"")</f>
        <v/>
      </c>
      <c r="AQ55" s="1050" t="str">
        <f>IFERROR(IF(SUM(INDEX('在庫使用計画 (一般)'!$A$1:$BF$557,MATCH($C55,'在庫使用計画 (一般)'!$C$1:$C$557,0),MATCH(AQ$1,'在庫使用計画 (一般)'!$A$1:$BF$1,0)),INDEX('在庫使用計画 (法人)'!$A$1:$AT$578,MATCH($C55,'在庫使用計画 (法人)'!$C$1:$C$578,0),MATCH(AQ$1,'在庫使用計画 (法人)'!$A$1:$AT$1,0)))=0,"",SUM(INDEX('在庫使用計画 (一般)'!$A$1:$BF$557,MATCH($C55,'在庫使用計画 (一般)'!$C$1:$C$557,0),MATCH(AQ$1,'在庫使用計画 (一般)'!$A$1:$BF$1,0)),INDEX('在庫使用計画 (法人)'!$A$1:$AT$578,MATCH($C55,'在庫使用計画 (法人)'!$C$1:$C$578,0),MATCH(AQ$1,'在庫使用計画 (法人)'!$A$1:$AT$1,0)))),"")</f>
        <v/>
      </c>
      <c r="AR55" s="2130" t="str">
        <f>IFERROR(IF(SUM(INDEX('在庫使用計画 (一般)'!$A$1:$BF$557,MATCH($C55,'在庫使用計画 (一般)'!$C$1:$C$557,0),MATCH(AR$1,'在庫使用計画 (一般)'!$A$1:$BF$1,0)),INDEX('在庫使用計画 (法人)'!$A$1:$AT$578,MATCH($C55,'在庫使用計画 (法人)'!$C$1:$C$578,0),MATCH(AR$1,'在庫使用計画 (法人)'!$A$1:$AT$1,0)))=0,"",SUM(INDEX('在庫使用計画 (一般)'!$A$1:$BF$557,MATCH($C55,'在庫使用計画 (一般)'!$C$1:$C$557,0),MATCH(AR$1,'在庫使用計画 (一般)'!$A$1:$BF$1,0)),INDEX('在庫使用計画 (法人)'!$A$1:$AT$578,MATCH($C55,'在庫使用計画 (法人)'!$C$1:$C$578,0),MATCH(AR$1,'在庫使用計画 (法人)'!$A$1:$AT$1,0)))),"")</f>
        <v/>
      </c>
      <c r="AS55" s="244" t="str">
        <f>IFERROR(IF(SUM(INDEX('在庫使用計画 (一般)'!$A$1:$BF$557,MATCH($C55,'在庫使用計画 (一般)'!$C$1:$C$557,0),MATCH(AS$1,'在庫使用計画 (一般)'!$A$1:$BF$1,0)),INDEX('在庫使用計画 (法人)'!$A$1:$AT$578,MATCH($C55,'在庫使用計画 (法人)'!$C$1:$C$578,0),MATCH(AS$1,'在庫使用計画 (法人)'!$A$1:$AT$1,0)))=0,"",SUM(INDEX('在庫使用計画 (一般)'!$A$1:$BF$557,MATCH($C55,'在庫使用計画 (一般)'!$C$1:$C$557,0),MATCH(AS$1,'在庫使用計画 (一般)'!$A$1:$BF$1,0)),INDEX('在庫使用計画 (法人)'!$A$1:$AT$578,MATCH($C55,'在庫使用計画 (法人)'!$C$1:$C$578,0),MATCH(AS$1,'在庫使用計画 (法人)'!$A$1:$AT$1,0)))),"")</f>
        <v/>
      </c>
      <c r="AT55" s="805" t="str">
        <f>IFERROR(IF(SUM(INDEX('在庫使用計画 (一般)'!$A$1:$BF$557,MATCH($C55,'在庫使用計画 (一般)'!$C$1:$C$557,0),MATCH(AT$1,'在庫使用計画 (一般)'!$A$1:$BF$1,0)),INDEX('在庫使用計画 (法人)'!$A$1:$AT$578,MATCH($C55,'在庫使用計画 (法人)'!$C$1:$C$578,0),MATCH(AT$1,'在庫使用計画 (法人)'!$A$1:$AT$1,0)))=0,"",SUM(INDEX('在庫使用計画 (一般)'!$A$1:$BF$557,MATCH($C55,'在庫使用計画 (一般)'!$C$1:$C$557,0),MATCH(AT$1,'在庫使用計画 (一般)'!$A$1:$BF$1,0)),INDEX('在庫使用計画 (法人)'!$A$1:$AT$578,MATCH($C55,'在庫使用計画 (法人)'!$C$1:$C$578,0),MATCH(AT$1,'在庫使用計画 (法人)'!$A$1:$AT$1,0)))),"")</f>
        <v/>
      </c>
      <c r="AU55" s="804" t="str">
        <f>IFERROR(IF(SUM(INDEX('在庫使用計画 (一般)'!$A$1:$BF$557,MATCH($C55,'在庫使用計画 (一般)'!$C$1:$C$557,0),MATCH(AU$1,'在庫使用計画 (一般)'!$A$1:$BF$1,0)),INDEX('在庫使用計画 (法人)'!$A$1:$AT$578,MATCH($C55,'在庫使用計画 (法人)'!$C$1:$C$578,0),MATCH(AU$1,'在庫使用計画 (法人)'!$A$1:$AT$1,0)))=0,"",SUM(INDEX('在庫使用計画 (一般)'!$A$1:$BF$557,MATCH($C55,'在庫使用計画 (一般)'!$C$1:$C$557,0),MATCH(AU$1,'在庫使用計画 (一般)'!$A$1:$BF$1,0)),INDEX('在庫使用計画 (法人)'!$A$1:$AT$578,MATCH($C55,'在庫使用計画 (法人)'!$C$1:$C$578,0),MATCH(AU$1,'在庫使用計画 (法人)'!$A$1:$AT$1,0)))),"")</f>
        <v/>
      </c>
      <c r="AV55" s="224" t="str">
        <f>IFERROR(IF(SUM(INDEX('在庫使用計画 (一般)'!$A$1:$BF$557,MATCH($C55,'在庫使用計画 (一般)'!$C$1:$C$557,0),MATCH(AV$1,'在庫使用計画 (一般)'!$A$1:$BF$1,0)),INDEX('在庫使用計画 (法人)'!$A$1:$AT$578,MATCH($C55,'在庫使用計画 (法人)'!$C$1:$C$578,0),MATCH(AV$1,'在庫使用計画 (法人)'!$A$1:$AT$1,0)))=0,"",SUM(INDEX('在庫使用計画 (一般)'!$A$1:$BF$557,MATCH($C55,'在庫使用計画 (一般)'!$C$1:$C$557,0),MATCH(AV$1,'在庫使用計画 (一般)'!$A$1:$BF$1,0)),INDEX('在庫使用計画 (法人)'!$A$1:$AT$578,MATCH($C55,'在庫使用計画 (法人)'!$C$1:$C$578,0),MATCH(AV$1,'在庫使用計画 (法人)'!$A$1:$AT$1,0)))),"")</f>
        <v/>
      </c>
      <c r="AW55" s="224" t="str">
        <f>IFERROR(IF(SUM(INDEX('在庫使用計画 (一般)'!$A$1:$BF$557,MATCH($C55,'在庫使用計画 (一般)'!$C$1:$C$557,0),MATCH(AW$1,'在庫使用計画 (一般)'!$A$1:$BF$1,0)),INDEX('在庫使用計画 (法人)'!$A$1:$AT$578,MATCH($C55,'在庫使用計画 (法人)'!$C$1:$C$578,0),MATCH(AW$1,'在庫使用計画 (法人)'!$A$1:$AT$1,0)))=0,"",SUM(INDEX('在庫使用計画 (一般)'!$A$1:$BF$557,MATCH($C55,'在庫使用計画 (一般)'!$C$1:$C$557,0),MATCH(AW$1,'在庫使用計画 (一般)'!$A$1:$BF$1,0)),INDEX('在庫使用計画 (法人)'!$A$1:$AT$578,MATCH($C55,'在庫使用計画 (法人)'!$C$1:$C$578,0),MATCH(AW$1,'在庫使用計画 (法人)'!$A$1:$AT$1,0)))),"")</f>
        <v/>
      </c>
      <c r="AX55" s="224" t="str">
        <f>IFERROR(IF(SUM(INDEX('在庫使用計画 (一般)'!$A$1:$BF$557,MATCH($C55,'在庫使用計画 (一般)'!$C$1:$C$557,0),MATCH(AX$1,'在庫使用計画 (一般)'!$A$1:$BF$1,0)),INDEX('在庫使用計画 (法人)'!$A$1:$AT$578,MATCH($C55,'在庫使用計画 (法人)'!$C$1:$C$578,0),MATCH(AX$1,'在庫使用計画 (法人)'!$A$1:$AT$1,0)))=0,"",SUM(INDEX('在庫使用計画 (一般)'!$A$1:$BF$557,MATCH($C55,'在庫使用計画 (一般)'!$C$1:$C$557,0),MATCH(AX$1,'在庫使用計画 (一般)'!$A$1:$BF$1,0)),INDEX('在庫使用計画 (法人)'!$A$1:$AT$578,MATCH($C55,'在庫使用計画 (法人)'!$C$1:$C$578,0),MATCH(AX$1,'在庫使用計画 (法人)'!$A$1:$AT$1,0)))),"")</f>
        <v/>
      </c>
      <c r="AY55" s="224" t="str">
        <f>IFERROR(IF(SUM(INDEX('在庫使用計画 (一般)'!$A$1:$BF$557,MATCH($C55,'在庫使用計画 (一般)'!$C$1:$C$557,0),MATCH(AY$1,'在庫使用計画 (一般)'!$A$1:$BF$1,0)),INDEX('在庫使用計画 (法人)'!$A$1:$AT$578,MATCH($C55,'在庫使用計画 (法人)'!$C$1:$C$578,0),MATCH(AY$1,'在庫使用計画 (法人)'!$A$1:$AT$1,0)))=0,"",SUM(INDEX('在庫使用計画 (一般)'!$A$1:$BF$557,MATCH($C55,'在庫使用計画 (一般)'!$C$1:$C$557,0),MATCH(AY$1,'在庫使用計画 (一般)'!$A$1:$BF$1,0)),INDEX('在庫使用計画 (法人)'!$A$1:$AT$578,MATCH($C55,'在庫使用計画 (法人)'!$C$1:$C$578,0),MATCH(AY$1,'在庫使用計画 (法人)'!$A$1:$AT$1,0)))),"")</f>
        <v/>
      </c>
      <c r="AZ55" s="224" t="str">
        <f>IFERROR(IF(SUM(INDEX('在庫使用計画 (一般)'!$A$1:$BF$557,MATCH($C55,'在庫使用計画 (一般)'!$C$1:$C$557,0),MATCH(AZ$1,'在庫使用計画 (一般)'!$A$1:$BF$1,0)),INDEX('在庫使用計画 (法人)'!$A$1:$AT$578,MATCH($C55,'在庫使用計画 (法人)'!$C$1:$C$578,0),MATCH(AZ$1,'在庫使用計画 (法人)'!$A$1:$AT$1,0)))=0,"",SUM(INDEX('在庫使用計画 (一般)'!$A$1:$BF$557,MATCH($C55,'在庫使用計画 (一般)'!$C$1:$C$557,0),MATCH(AZ$1,'在庫使用計画 (一般)'!$A$1:$BF$1,0)),INDEX('在庫使用計画 (法人)'!$A$1:$AT$578,MATCH($C55,'在庫使用計画 (法人)'!$C$1:$C$578,0),MATCH(AZ$1,'在庫使用計画 (法人)'!$A$1:$AT$1,0)))),"")</f>
        <v/>
      </c>
      <c r="BA55" s="224" t="str">
        <f>IFERROR(IF(SUM(INDEX('在庫使用計画 (一般)'!$A$1:$BF$557,MATCH($C55,'在庫使用計画 (一般)'!$C$1:$C$557,0),MATCH(BA$1,'在庫使用計画 (一般)'!$A$1:$BF$1,0)),INDEX('在庫使用計画 (法人)'!$A$1:$AT$578,MATCH($C55,'在庫使用計画 (法人)'!$C$1:$C$578,0),MATCH(BA$1,'在庫使用計画 (法人)'!$A$1:$AT$1,0)))=0,"",SUM(INDEX('在庫使用計画 (一般)'!$A$1:$BF$557,MATCH($C55,'在庫使用計画 (一般)'!$C$1:$C$557,0),MATCH(BA$1,'在庫使用計画 (一般)'!$A$1:$BF$1,0)),INDEX('在庫使用計画 (法人)'!$A$1:$AT$578,MATCH($C55,'在庫使用計画 (法人)'!$C$1:$C$578,0),MATCH(BA$1,'在庫使用計画 (法人)'!$A$1:$AT$1,0)))),"")</f>
        <v/>
      </c>
      <c r="BB55" s="224" t="str">
        <f>IFERROR(IF(SUM(INDEX('在庫使用計画 (一般)'!$A$1:$BF$557,MATCH($C55,'在庫使用計画 (一般)'!$C$1:$C$557,0),MATCH(BB$1,'在庫使用計画 (一般)'!$A$1:$BF$1,0)),INDEX('在庫使用計画 (法人)'!$A$1:$AT$578,MATCH($C55,'在庫使用計画 (法人)'!$C$1:$C$578,0),MATCH(BB$1,'在庫使用計画 (法人)'!$A$1:$AT$1,0)))=0,"",SUM(INDEX('在庫使用計画 (一般)'!$A$1:$BF$557,MATCH($C55,'在庫使用計画 (一般)'!$C$1:$C$557,0),MATCH(BB$1,'在庫使用計画 (一般)'!$A$1:$BF$1,0)),INDEX('在庫使用計画 (法人)'!$A$1:$AT$578,MATCH($C55,'在庫使用計画 (法人)'!$C$1:$C$578,0),MATCH(BB$1,'在庫使用計画 (法人)'!$A$1:$AT$1,0)))),"")</f>
        <v/>
      </c>
      <c r="BC55" s="224" t="str">
        <f>IFERROR(IF(SUM(INDEX('在庫使用計画 (一般)'!$A$1:$BF$557,MATCH($C55,'在庫使用計画 (一般)'!$C$1:$C$557,0),MATCH(BC$1,'在庫使用計画 (一般)'!$A$1:$BF$1,0)),INDEX('在庫使用計画 (法人)'!$A$1:$AT$578,MATCH($C55,'在庫使用計画 (法人)'!$C$1:$C$578,0),MATCH(BC$1,'在庫使用計画 (法人)'!$A$1:$AT$1,0)))=0,"",SUM(INDEX('在庫使用計画 (一般)'!$A$1:$BF$557,MATCH($C55,'在庫使用計画 (一般)'!$C$1:$C$557,0),MATCH(BC$1,'在庫使用計画 (一般)'!$A$1:$BF$1,0)),INDEX('在庫使用計画 (法人)'!$A$1:$AT$578,MATCH($C55,'在庫使用計画 (法人)'!$C$1:$C$578,0),MATCH(BC$1,'在庫使用計画 (法人)'!$A$1:$AT$1,0)))),"")</f>
        <v/>
      </c>
      <c r="BD55" s="224" t="str">
        <f>IFERROR(IF(SUM(INDEX('在庫使用計画 (一般)'!$A$1:$BF$557,MATCH($C55,'在庫使用計画 (一般)'!$C$1:$C$557,0),MATCH(BD$1,'在庫使用計画 (一般)'!$A$1:$BF$1,0)),INDEX('在庫使用計画 (法人)'!$A$1:$AT$578,MATCH($C55,'在庫使用計画 (法人)'!$C$1:$C$578,0),MATCH(BD$1,'在庫使用計画 (法人)'!$A$1:$AT$1,0)))=0,"",SUM(INDEX('在庫使用計画 (一般)'!$A$1:$BF$557,MATCH($C55,'在庫使用計画 (一般)'!$C$1:$C$557,0),MATCH(BD$1,'在庫使用計画 (一般)'!$A$1:$BF$1,0)),INDEX('在庫使用計画 (法人)'!$A$1:$AT$578,MATCH($C55,'在庫使用計画 (法人)'!$C$1:$C$578,0),MATCH(BD$1,'在庫使用計画 (法人)'!$A$1:$AT$1,0)))),"")</f>
        <v/>
      </c>
      <c r="BE55" s="224" t="str">
        <f>IFERROR(IF(SUM(INDEX('在庫使用計画 (一般)'!$A$1:$BF$557,MATCH($C55,'在庫使用計画 (一般)'!$C$1:$C$557,0),MATCH(BE$1,'在庫使用計画 (一般)'!$A$1:$BF$1,0)),INDEX('在庫使用計画 (法人)'!$A$1:$AT$578,MATCH($C55,'在庫使用計画 (法人)'!$C$1:$C$578,0),MATCH(BE$1,'在庫使用計画 (法人)'!$A$1:$AT$1,0)))=0,"",SUM(INDEX('在庫使用計画 (一般)'!$A$1:$BF$557,MATCH($C55,'在庫使用計画 (一般)'!$C$1:$C$557,0),MATCH(BE$1,'在庫使用計画 (一般)'!$A$1:$BF$1,0)),INDEX('在庫使用計画 (法人)'!$A$1:$AT$578,MATCH($C55,'在庫使用計画 (法人)'!$C$1:$C$578,0),MATCH(BE$1,'在庫使用計画 (法人)'!$A$1:$AT$1,0)))),"")</f>
        <v/>
      </c>
      <c r="BF55" s="805" t="str">
        <f>IFERROR(IF(SUM(INDEX('在庫使用計画 (一般)'!$A$1:$BF$557,MATCH($C55,'在庫使用計画 (一般)'!$C$1:$C$557,0),MATCH(BF$1,'在庫使用計画 (一般)'!$A$1:$BF$1,0)),INDEX('在庫使用計画 (法人)'!$A$1:$AT$578,MATCH($C55,'在庫使用計画 (法人)'!$C$1:$C$578,0),MATCH(BF$1,'在庫使用計画 (法人)'!$A$1:$AT$1,0)))=0,"",SUM(INDEX('在庫使用計画 (一般)'!$A$1:$BF$557,MATCH($C55,'在庫使用計画 (一般)'!$C$1:$C$557,0),MATCH(BF$1,'在庫使用計画 (一般)'!$A$1:$BF$1,0)),INDEX('在庫使用計画 (法人)'!$A$1:$AT$578,MATCH($C55,'在庫使用計画 (法人)'!$C$1:$C$578,0),MATCH(BF$1,'在庫使用計画 (法人)'!$A$1:$AT$1,0)))),"")</f>
        <v/>
      </c>
    </row>
    <row r="56" spans="1:61" ht="18.75" customHeight="1">
      <c r="A56" s="32" t="s">
        <v>1701</v>
      </c>
      <c r="B56" s="26" t="str">
        <v>CLE-V56-AI9-470-5060-L6 Creator</v>
      </c>
      <c r="C56" s="25" t="s">
        <v>1778</v>
      </c>
      <c r="D56" s="26" t="s">
        <v>1779</v>
      </c>
      <c r="E56" s="24">
        <v>5060</v>
      </c>
      <c r="F56" s="24" t="s">
        <v>1347</v>
      </c>
      <c r="G56" s="69">
        <v>348</v>
      </c>
      <c r="H56" s="38">
        <f ca="1">_xlfn.LET(_xlpm._今月から4ヶ月計画合計,
  SUM(
    OFFSET($A56,0,
      MATCH(
        EDATE(基準データ!$C$5,3),$A$1:$BE$1,1
      )-4,1,4)),
  IF($C56="","",_xlpm._今月から4ヶ月計画合計
)
)</f>
        <v>176.49768179284789</v>
      </c>
      <c r="I56" s="38">
        <f>SUMIFS(マスタ_EOLリスト[在庫],マスタ_EOLリスト[製品型番],'在庫使用計画 (計画　予測)'!$C:$C)</f>
        <v>348</v>
      </c>
      <c r="J56" s="1116" cm="1">
        <f t="array" ref="J56">_xlfn.IFS($C56="","",
  $G56="","発売前？",
  $G56=0,"在庫なし",
  TRUE,
  IFERROR(
    _xlfn.LET(
      _xlpm._在庫注残,     $G56,
      _xlpm._しきい値,     _xlpm._在庫注残 * 0.75,
      _xlpm._見出し元,     $K$1:$BT$1,
      _xlpm._計画,         $K56:$BT56,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46357</v>
      </c>
      <c r="K56" s="38"/>
      <c r="L56" s="38"/>
      <c r="M56" s="38"/>
      <c r="N56" s="38"/>
      <c r="O56" s="38"/>
      <c r="P56" s="38"/>
      <c r="Q56" s="116"/>
      <c r="R56" s="1350"/>
      <c r="S56" s="219"/>
      <c r="T56" s="219"/>
      <c r="U56" s="219"/>
      <c r="V56" s="219"/>
      <c r="W56" s="224"/>
      <c r="X56" s="224"/>
      <c r="Y56" s="224"/>
      <c r="Z56" s="224"/>
      <c r="AA56" s="224"/>
      <c r="AB56" s="224"/>
      <c r="AC56" s="805" t="s">
        <v>21</v>
      </c>
      <c r="AD56" s="244" t="s">
        <v>21</v>
      </c>
      <c r="AE56" s="224" t="s">
        <v>21</v>
      </c>
      <c r="AF56" s="224" t="s">
        <v>21</v>
      </c>
      <c r="AG56" s="224" t="s">
        <v>21</v>
      </c>
      <c r="AH56" s="237" t="s">
        <v>21</v>
      </c>
      <c r="AI56" s="804" t="s">
        <v>21</v>
      </c>
      <c r="AJ56" s="224">
        <v>20</v>
      </c>
      <c r="AK56" s="224">
        <v>29</v>
      </c>
      <c r="AL56" s="224">
        <v>5</v>
      </c>
      <c r="AM56" s="224">
        <f>_xlfn.XLOOKUP(
$C56,
'在庫使用計画 (ノート全体試算)'!$C$1:$C$170,
'在庫使用計画 (ノート全体試算)'!AN$1:AN$170,
"")</f>
        <v>5</v>
      </c>
      <c r="AN56" s="237">
        <f>_xlfn.XLOOKUP(
$C56,
'在庫使用計画 (ノート全体試算)'!$C$1:$C$170,
'在庫使用計画 (ノート全体試算)'!AO$1:AO$170,
"")</f>
        <v>5</v>
      </c>
      <c r="AO56" s="237">
        <f>_xlfn.XLOOKUP(
$C56,
'在庫使用計画 (ノート全体試算)'!$C$1:$C$170,
'在庫使用計画 (ノート全体試算)'!AP$1:AP$170,
"")</f>
        <v>30</v>
      </c>
      <c r="AP56" s="224">
        <f>_xlfn.XLOOKUP(
$C56,
'在庫使用計画 (ノート全体試算)'!$C$1:$C$170,
'在庫使用計画 (ノート全体試算)'!AQ$1:AQ$170,
"")</f>
        <v>50.592773241475811</v>
      </c>
      <c r="AQ56" s="1050">
        <f>_xlfn.XLOOKUP(
$C56,
'在庫使用計画 (ノート全体試算)'!$C$1:$C$170,
'在庫使用計画 (ノート全体試算)'!AR$1:AR$170,
"")</f>
        <v>47.80650774274369</v>
      </c>
      <c r="AR56" s="2130">
        <f>_xlfn.XLOOKUP(
$C56,
'在庫使用計画 (ノート全体試算)'!$C$1:$C$170,
'在庫使用計画 (ノート全体試算)'!AS$1:AS$170,
"")</f>
        <v>48.098400808628384</v>
      </c>
      <c r="AS56" s="244">
        <f>_xlfn.XLOOKUP(
$C56,
'在庫使用計画 (ノート全体試算)'!$C$1:$C$170,
'在庫使用計画 (ノート全体試算)'!AT$1:AT$170,
"")</f>
        <v>49.220233603895572</v>
      </c>
      <c r="AT56" s="805">
        <f>_xlfn.XLOOKUP(
$C56,
'在庫使用計画 (ノート全体試算)'!$C$1:$C$170,
'在庫使用計画 (ノート全体試算)'!AU$1:AU$170,
"")</f>
        <v>64.964238230575276</v>
      </c>
      <c r="AU56" s="804">
        <f>_xlfn.XLOOKUP(
$C56,
'在庫使用計画 (ノート全体試算)'!$C$1:$C$170,
'在庫使用計画 (ノート全体試算)'!AV$1:AV$170,
"")</f>
        <v>42.254595610059908</v>
      </c>
      <c r="AV56" s="224">
        <f>_xlfn.XLOOKUP(
$C56,
'在庫使用計画 (ノート全体試算)'!$C$1:$C$170,
'在庫使用計画 (ノート全体試算)'!AW$1:AW$170,
"")</f>
        <v>39.838163808264873</v>
      </c>
      <c r="AW56" s="224">
        <f>_xlfn.XLOOKUP(
$C56,
'在庫使用計画 (ノート全体試算)'!$C$1:$C$170,
'在庫使用計画 (ノート全体試算)'!AX$1:AX$170,
"")</f>
        <v>58.873806992695883</v>
      </c>
      <c r="AX56" s="224" t="str">
        <f>_xlfn.XLOOKUP(
$C56,
'在庫使用計画 (ノート全体試算)'!$C$1:$C$170,
'在庫使用計画 (ノート全体試算)'!AY$1:AY$170,
"")</f>
        <v/>
      </c>
      <c r="AY56" s="224" t="str">
        <f>_xlfn.XLOOKUP(
$C56,
'在庫使用計画 (ノート全体試算)'!$C$1:$C$170,
'在庫使用計画 (ノート全体試算)'!AZ$1:AZ$170,
"")</f>
        <v/>
      </c>
      <c r="AZ56" s="224" t="str">
        <f>_xlfn.XLOOKUP(
$C56,
'在庫使用計画 (ノート全体試算)'!$C$1:$C$170,
'在庫使用計画 (ノート全体試算)'!BA$1:BA$170,
"")</f>
        <v/>
      </c>
      <c r="BA56" s="224" t="str">
        <f>_xlfn.XLOOKUP(
$C56,
'在庫使用計画 (ノート全体試算)'!$C$1:$C$170,
'在庫使用計画 (ノート全体試算)'!BB$1:BB$170,
"")</f>
        <v/>
      </c>
      <c r="BB56" s="224" t="str">
        <f>_xlfn.XLOOKUP(
$C56,
'在庫使用計画 (ノート全体試算)'!$C$1:$C$170,
'在庫使用計画 (ノート全体試算)'!BC$1:BC$170,
"")</f>
        <v/>
      </c>
      <c r="BC56" s="224" t="str">
        <f>_xlfn.XLOOKUP(
$C56,
'在庫使用計画 (ノート全体試算)'!$C$1:$C$170,
'在庫使用計画 (ノート全体試算)'!BD$1:BD$170,
"")</f>
        <v/>
      </c>
      <c r="BD56" s="224" t="str">
        <f>_xlfn.XLOOKUP(
$C56,
'在庫使用計画 (ノート全体試算)'!$C$1:$C$170,
'在庫使用計画 (ノート全体試算)'!BE$1:BE$170,
"")</f>
        <v/>
      </c>
      <c r="BE56" s="224" t="str">
        <f>_xlfn.XLOOKUP(
$C56,
'在庫使用計画 (ノート全体試算)'!$C$1:$C$170,
'在庫使用計画 (ノート全体試算)'!BF$1:BF$170,
"")</f>
        <v/>
      </c>
      <c r="BF56" s="805" t="str">
        <f>_xlfn.XLOOKUP(
$C56,
'在庫使用計画 (ノート全体試算)'!$C$1:$C$170,
'在庫使用計画 (ノート全体試算)'!BG$1:BG$170,
"")</f>
        <v/>
      </c>
      <c r="BG56" s="2091" t="s">
        <v>2688</v>
      </c>
    </row>
    <row r="57" spans="1:61" ht="18.75" customHeight="1">
      <c r="A57" s="33"/>
      <c r="B57" s="26" t="str">
        <v>CLE-V56-AI9-470-5060-L6 Creator</v>
      </c>
      <c r="C57" s="25" t="s">
        <v>427</v>
      </c>
      <c r="D57" s="26" t="s">
        <v>1763</v>
      </c>
      <c r="E57" s="26"/>
      <c r="F57" s="24"/>
      <c r="G57" s="38">
        <v>348</v>
      </c>
      <c r="H57" s="448">
        <f ca="1">_xlfn.LET(_xlpm._今月から4ヶ月計画合計,
  SUM(
    OFFSET($A57,0,
      MATCH(
        EDATE(基準データ!$C$5,3),$A$1:$BE$1,1
      )-4,1,4)),
  IF($C57="","",_xlpm._今月から4ヶ月計画合計
)
)</f>
        <v>13.751664494316611</v>
      </c>
      <c r="I57" s="38">
        <f t="shared" ref="I57:I63" si="10">I56</f>
        <v>348</v>
      </c>
      <c r="J57" s="1116" t="str" cm="1">
        <f t="array" ref="J57">_xlfn.IFS($C57="","",
  $G57="","発売前？",
  $G57=0,"在庫なし",
  TRUE,
  IFERROR(
    _xlfn.LET(
      _xlpm._在庫注残,     $G57,
      _xlpm._しきい値,     _xlpm._在庫注残 * 0.75,
      _xlpm._見出し元,     $K$1:$BT$1,
      _xlpm._計画,         $K57:$BT57,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合計69、在庫+注残348のため不足</v>
      </c>
      <c r="K57" s="38"/>
      <c r="L57" s="38"/>
      <c r="M57" s="38"/>
      <c r="N57" s="38"/>
      <c r="O57" s="38"/>
      <c r="P57" s="38"/>
      <c r="Q57" s="116"/>
      <c r="R57" s="1350"/>
      <c r="S57" s="219"/>
      <c r="T57" s="219"/>
      <c r="U57" s="219"/>
      <c r="V57" s="222"/>
      <c r="W57" s="529" t="s">
        <v>21</v>
      </c>
      <c r="X57" s="529" t="s">
        <v>21</v>
      </c>
      <c r="Y57" s="529" t="s">
        <v>21</v>
      </c>
      <c r="Z57" s="468" t="s">
        <v>21</v>
      </c>
      <c r="AA57" s="468" t="s">
        <v>21</v>
      </c>
      <c r="AB57" s="219" t="s">
        <v>21</v>
      </c>
      <c r="AC57" s="1351" t="s">
        <v>21</v>
      </c>
      <c r="AD57" s="1336" t="s">
        <v>21</v>
      </c>
      <c r="AE57" s="468" t="s">
        <v>21</v>
      </c>
      <c r="AF57" s="468" t="s">
        <v>21</v>
      </c>
      <c r="AG57" s="224" t="s">
        <v>21</v>
      </c>
      <c r="AH57" s="237" t="s">
        <v>21</v>
      </c>
      <c r="AI57" s="804" t="s">
        <v>21</v>
      </c>
      <c r="AJ57" s="224">
        <v>3</v>
      </c>
      <c r="AK57" s="224">
        <v>3</v>
      </c>
      <c r="AL57" s="224" t="s">
        <v>21</v>
      </c>
      <c r="AM57" s="224">
        <f>_xlfn.LET(_xlpm._全体実績予測,
  INDEX('在庫使用計画 (全体実績+予測）0701'!$A$1:$BD$195,
    MATCH($C57,'在庫使用計画 (全体実績+予測）0701'!$C$1:$C$195,0),
    MATCH(AM$1,'在庫使用計画 (全体実績+予測）0701'!$A$1:$BD$1,0)
),
  IFERROR(
    IF(_xlpm._全体実績予測=0,"",_xlpm._全体実績予測),
  "")
)</f>
        <v>1</v>
      </c>
      <c r="AN57" s="237">
        <f>_xlfn.LET(_xlpm._全体実績予測,
  INDEX('在庫使用計画 (全体実績+予測）0701'!$A$1:$BD$195,
    MATCH($C57,'在庫使用計画 (全体実績+予測）0701'!$C$1:$C$195,0),
    MATCH(AN$1,'在庫使用計画 (全体実績+予測）0701'!$A$1:$BD$1,0)
),
  IFERROR(
    IF(_xlpm._全体実績予測=0,"",_xlpm._全体実績予測),
  "")
)</f>
        <v>3.214285714285714</v>
      </c>
      <c r="AO57" s="237">
        <f>_xlfn.LET(_xlpm._全体実績予測,
  INDEX('在庫使用計画 (全体実績+予測）0701'!$A$1:$BD$195,
    MATCH($C57,'在庫使用計画 (全体実績+予測）0701'!$C$1:$C$195,0),
    MATCH(AO$1,'在庫使用計画 (全体実績+予測）0701'!$A$1:$BD$1,0)
),
  IFERROR(
    IF(_xlpm._全体実績予測=0,"",_xlpm._全体実績予測),
  "")
)</f>
        <v>3.1575048213925907</v>
      </c>
      <c r="AP57" s="224">
        <f>_xlfn.LET(_xlpm._全体実績予測,
  INDEX('在庫使用計画 (全体実績+予測）0701'!$A$1:$BD$195,
    MATCH($C57,'在庫使用計画 (全体実績+予測）0701'!$C$1:$C$195,0),
    MATCH(AP$1,'在庫使用計画 (全体実績+予測）0701'!$A$1:$BD$1,0)
),
  IFERROR(
    IF(_xlpm._全体実績予測=0,"",_xlpm._全体実績予測),
  "")
)</f>
        <v>3.3397291893715142</v>
      </c>
      <c r="AQ57" s="1050">
        <f>_xlfn.LET(_xlpm._全体実績予測,
  INDEX('在庫使用計画 (全体実績+予測）0701'!$A$1:$BD$195,
    MATCH($C57,'在庫使用計画 (全体実績+予測）0701'!$C$1:$C$195,0),
    MATCH(AQ$1,'在庫使用計画 (全体実績+予測）0701'!$A$1:$BD$1,0)
),
  IFERROR(
    IF(_xlpm._全体実績予測=0,"",_xlpm._全体実績予測),
  "")
)</f>
        <v>3.6094576848420483</v>
      </c>
      <c r="AR57" s="2130">
        <f>_xlfn.LET(_xlpm._全体実績予測,
  INDEX('在庫使用計画 (全体実績+予測）0701'!$A$1:$BD$195,
    MATCH($C57,'在庫使用計画 (全体実績+予測）0701'!$C$1:$C$195,0),
    MATCH(AR$1,'在庫使用計画 (全体実績+予測）0701'!$A$1:$BD$1,0)
),
  IFERROR(
    IF(_xlpm._全体実績予測=0,"",_xlpm._全体実績予測),
  "")
)</f>
        <v>3.644972798710457</v>
      </c>
      <c r="AS57" s="244">
        <f>_xlfn.LET(_xlpm._全体実績予測,
  INDEX('在庫使用計画 (全体実績+予測）0701'!$A$1:$BD$195,
    MATCH($C57,'在庫使用計画 (全体実績+予測）0701'!$C$1:$C$195,0),
    MATCH(AS$1,'在庫使用計画 (全体実績+予測）0701'!$A$1:$BD$1,0)
),
  IFERROR(
    IF(_xlpm._全体実績予測=0,"",_xlpm._全体実績予測),
  "")
)</f>
        <v>3.6790645168827081</v>
      </c>
      <c r="AT57" s="805">
        <f>_xlfn.LET(_xlpm._全体実績予測,
  INDEX('在庫使用計画 (全体実績+予測）0701'!$A$1:$BD$195,
    MATCH($C57,'在庫使用計画 (全体実績+予測）0701'!$C$1:$C$195,0),
    MATCH(AT$1,'在庫使用計画 (全体実績+予測）0701'!$A$1:$BD$1,0)
),
  IFERROR(
    IF(_xlpm._全体実績予測=0,"",_xlpm._全体実績予測),
  "")
)</f>
        <v>5.7824184680924562</v>
      </c>
      <c r="AU57" s="804">
        <f>_xlfn.LET(_xlpm._全体実績予測,
  INDEX('在庫使用計画 (全体実績+予測）0701'!$A$1:$BD$195,
    MATCH($C57,'在庫使用計画 (全体実績+予測）0701'!$C$1:$C$195,0),
    MATCH(AU$1,'在庫使用計画 (全体実績+予測）0701'!$A$1:$BD$1,0)
),
  IFERROR(
    IF(_xlpm._全体実績予測=0,"",_xlpm._全体実績予測),
  "")
)</f>
        <v>4.8907850498894234</v>
      </c>
      <c r="AV57" s="224">
        <f>_xlfn.LET(_xlpm._全体実績予測,
  INDEX('在庫使用計画 (全体実績+予測）0701'!$A$1:$BD$195,
    MATCH($C57,'在庫使用計画 (全体実績+予測）0701'!$C$1:$C$195,0),
    MATCH(AV$1,'在庫使用計画 (全体実績+予測）0701'!$A$1:$BD$1,0)
),
  IFERROR(
    IF(_xlpm._全体実績予測=0,"",_xlpm._全体実績予測),
  "")
)</f>
        <v>3.2335892749201229</v>
      </c>
      <c r="AW57" s="224">
        <f>_xlfn.LET(_xlpm._全体実績予測,
  INDEX('在庫使用計画 (全体実績+予測）0701'!$A$1:$BD$195,
    MATCH($C57,'在庫使用計画 (全体実績+予測）0701'!$C$1:$C$195,0),
    MATCH(AW$1,'在庫使用計画 (全体実績+予測）0701'!$A$1:$BD$1,0)
),
  IFERROR(
    IF(_xlpm._全体実績予測=0,"",_xlpm._全体実績予測),
  "")
)</f>
        <v>4.838971244351054</v>
      </c>
      <c r="AX57" s="224">
        <f>_xlfn.LET(_xlpm._全体実績予測,
  INDEX('在庫使用計画 (全体実績+予測）0701'!$A$1:$BD$195,
    MATCH($C57,'在庫使用計画 (全体実績+予測）0701'!$C$1:$C$195,0),
    MATCH(AX$1,'在庫使用計画 (全体実績+予測）0701'!$A$1:$BD$1,0)
),
  IFERROR(
    IF(_xlpm._全体実績予測=0,"",_xlpm._全体実績予測),
  "")
)</f>
        <v>3.6166490690380111</v>
      </c>
      <c r="AY57" s="224">
        <f>_xlfn.LET(_xlpm._全体実績予測,
  INDEX('在庫使用計画 (全体実績+予測）0701'!$A$1:$BD$195,
    MATCH($C57,'在庫使用計画 (全体実績+予測）0701'!$C$1:$C$195,0),
    MATCH(AY$1,'在庫使用計画 (全体実績+予測）0701'!$A$1:$BD$1,0)
),
  IFERROR(
    IF(_xlpm._全体実績予測=0,"",_xlpm._全体実績予測),
  "")
)</f>
        <v>3.0585950318067985</v>
      </c>
      <c r="AZ57" s="224">
        <f>_xlfn.LET(_xlpm._全体実績予測,
  INDEX('在庫使用計画 (全体実績+予測）0701'!$A$1:$BD$195,
    MATCH($C57,'在庫使用計画 (全体実績+予測）0701'!$C$1:$C$195,0),
    MATCH(AZ$1,'在庫使用計画 (全体実績+予測）0701'!$A$1:$BD$1,0)
),
  IFERROR(
    IF(_xlpm._全体実績予測=0,"",_xlpm._全体実績予測),
  "")
)</f>
        <v>3.2142857142857135</v>
      </c>
      <c r="BA57" s="224">
        <f>_xlfn.LET(_xlpm._全体実績予測,
  INDEX('在庫使用計画 (全体実績+予測）0701'!$A$1:$BD$195,
    MATCH($C57,'在庫使用計画 (全体実績+予測）0701'!$C$1:$C$195,0),
    MATCH(BA$1,'在庫使用計画 (全体実績+予測）0701'!$A$1:$BD$1,0)
),
  IFERROR(
    IF(_xlpm._全体実績予測=0,"",_xlpm._全体実績予測),
  "")
)</f>
        <v>3.1575048213925903</v>
      </c>
      <c r="BB57" s="224">
        <f>_xlfn.LET(_xlpm._全体実績予測,
  INDEX('在庫使用計画 (全体実績+予測）0701'!$A$1:$BD$195,
    MATCH($C57,'在庫使用計画 (全体実績+予測）0701'!$C$1:$C$195,0),
    MATCH(BB$1,'在庫使用計画 (全体実績+予測）0701'!$A$1:$BD$1,0)
),
  IFERROR(
    IF(_xlpm._全体実績予測=0,"",_xlpm._全体実績予測),
  "")
)</f>
        <v>3.3397291893715138</v>
      </c>
      <c r="BC57" s="224">
        <f>_xlfn.LET(_xlpm._全体実績予測,
  INDEX('在庫使用計画 (全体実績+予測）0701'!$A$1:$BD$195,
    MATCH($C57,'在庫使用計画 (全体実績+予測）0701'!$C$1:$C$195,0),
    MATCH(BC$1,'在庫使用計画 (全体実績+予測）0701'!$A$1:$BD$1,0)
),
  IFERROR(
    IF(_xlpm._全体実績予測=0,"",_xlpm._全体実績予測),
  "")
)</f>
        <v>3.6094576848420479</v>
      </c>
      <c r="BD57" s="224">
        <f>_xlfn.LET(_xlpm._全体実績予測,
  INDEX('在庫使用計画 (全体実績+予測）0701'!$A$1:$BD$195,
    MATCH($C57,'在庫使用計画 (全体実績+予測）0701'!$C$1:$C$195,0),
    MATCH(BD$1,'在庫使用計画 (全体実績+予測）0701'!$A$1:$BD$1,0)
),
  IFERROR(
    IF(_xlpm._全体実績予測=0,"",_xlpm._全体実績予測),
  "")
)</f>
        <v>3.6449727987104565</v>
      </c>
      <c r="BE57" s="224">
        <f>_xlfn.LET(_xlpm._全体実績予測,
  INDEX('在庫使用計画 (全体実績+予測）0701'!$A$1:$BD$195,
    MATCH($C57,'在庫使用計画 (全体実績+予測）0701'!$C$1:$C$195,0),
    MATCH(BE$1,'在庫使用計画 (全体実績+予測）0701'!$A$1:$BD$1,0)
),
  IFERROR(
    IF(_xlpm._全体実績予測=0,"",_xlpm._全体実績予測),
  "")
)</f>
        <v>3.6790645168827076</v>
      </c>
      <c r="BF57" s="805">
        <f>_xlfn.LET(_xlpm._全体実績予測,
  INDEX('在庫使用計画 (全体実績+予測）0701'!$A$1:$BD$195,
    MATCH($C57,'在庫使用計画 (全体実績+予測）0701'!$C$1:$C$195,0),
    MATCH(BF$1,'在庫使用計画 (全体実績+予測）0701'!$A$1:$BD$1,0)
),
  IFERROR(
    IF(_xlpm._全体実績予測=0,"",_xlpm._全体実績予測),
  "")
)</f>
        <v>5.7824184680924553</v>
      </c>
      <c r="BG57" s="2091" t="s">
        <v>2661</v>
      </c>
    </row>
    <row r="58" spans="1:61" ht="18.75" customHeight="1">
      <c r="A58" s="32" t="s">
        <v>1701</v>
      </c>
      <c r="B58" s="26" t="str">
        <v>MSH-15F5-255H-5060-L6 Creator</v>
      </c>
      <c r="C58" s="25" t="s">
        <v>1780</v>
      </c>
      <c r="D58" s="26" t="s">
        <v>1779</v>
      </c>
      <c r="E58" s="24">
        <v>5060</v>
      </c>
      <c r="F58" s="24" t="s">
        <v>1347</v>
      </c>
      <c r="G58" s="69">
        <v>20</v>
      </c>
      <c r="H58" s="38">
        <f ca="1">_xlfn.LET(_xlpm._今月から4ヶ月計画合計,
  SUM(
    OFFSET($A58,0,
      MATCH(
        EDATE(基準データ!$C$5,3),$A$1:$BE$1,1
      )-4,1,4)),
  IF($C58="","",_xlpm._今月から4ヶ月計画合計
)
)</f>
        <v>0</v>
      </c>
      <c r="I58" s="38">
        <f>SUMIFS(マスタ_EOLリスト[在庫],マスタ_EOLリスト[製品型番],'在庫使用計画 (計画　予測)'!$C:$C)</f>
        <v>20</v>
      </c>
      <c r="J58" s="1116" t="str" cm="1">
        <f t="array" ref="J58">_xlfn.IFS($C58="","",
  $G58="","発売前？",
  $G58=0,"在庫なし",
  TRUE,
  IFERROR(
    _xlfn.LET(
      _xlpm._在庫注残,     $G58,
      _xlpm._しきい値,     _xlpm._在庫注残 * 0.75,
      _xlpm._見出し元,     $K$1:$BT$1,
      _xlpm._計画,         $K58:$BT58,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合計0、在庫+注残20のため不足</v>
      </c>
      <c r="K58" s="38"/>
      <c r="L58" s="38"/>
      <c r="M58" s="38"/>
      <c r="N58" s="38"/>
      <c r="O58" s="38"/>
      <c r="P58" s="38"/>
      <c r="Q58" s="116"/>
      <c r="R58" s="1350"/>
      <c r="S58" s="219"/>
      <c r="T58" s="219"/>
      <c r="U58" s="219"/>
      <c r="V58" s="298"/>
      <c r="W58" s="299"/>
      <c r="X58" s="299"/>
      <c r="Y58" s="299"/>
      <c r="Z58" s="299"/>
      <c r="AA58" s="299"/>
      <c r="AB58" s="299"/>
      <c r="AC58" s="805" t="s">
        <v>21</v>
      </c>
      <c r="AD58" s="244" t="s">
        <v>21</v>
      </c>
      <c r="AE58" s="224" t="s">
        <v>21</v>
      </c>
      <c r="AF58" s="224">
        <v>115</v>
      </c>
      <c r="AG58" s="224">
        <v>115</v>
      </c>
      <c r="AH58" s="237">
        <v>10.333333333333332</v>
      </c>
      <c r="AI58" s="804">
        <v>14</v>
      </c>
      <c r="AJ58" s="224">
        <v>34</v>
      </c>
      <c r="AK58" s="224">
        <v>35</v>
      </c>
      <c r="AL58" s="224">
        <v>226</v>
      </c>
      <c r="AM58" s="224">
        <f>_xlfn.XLOOKUP(
$C58,
'在庫使用計画 (ノート全体試算)'!$C$1:$C$170,
'在庫使用計画 (ノート全体試算)'!AN$1:AN$170,
"")</f>
        <v>193</v>
      </c>
      <c r="AN58" s="237">
        <f>_xlfn.XLOOKUP(
$C58,
'在庫使用計画 (ノート全体試算)'!$C$1:$C$170,
'在庫使用計画 (ノート全体試算)'!AO$1:AO$170,
"")</f>
        <v>66</v>
      </c>
      <c r="AO58" s="237" t="str">
        <f>_xlfn.XLOOKUP(
$C58,
'在庫使用計画 (ノート全体試算)'!$C$1:$C$170,
'在庫使用計画 (ノート全体試算)'!AP$1:AP$170,
"")</f>
        <v/>
      </c>
      <c r="AP58" s="224" t="str">
        <f>_xlfn.XLOOKUP(
$C58,
'在庫使用計画 (ノート全体試算)'!$C$1:$C$170,
'在庫使用計画 (ノート全体試算)'!AQ$1:AQ$170,
"")</f>
        <v/>
      </c>
      <c r="AQ58" s="1050" t="str">
        <f>_xlfn.XLOOKUP(
$C58,
'在庫使用計画 (ノート全体試算)'!$C$1:$C$170,
'在庫使用計画 (ノート全体試算)'!AR$1:AR$170,
"")</f>
        <v/>
      </c>
      <c r="AR58" s="2130" t="str">
        <f>_xlfn.XLOOKUP(
$C58,
'在庫使用計画 (ノート全体試算)'!$C$1:$C$170,
'在庫使用計画 (ノート全体試算)'!AS$1:AS$170,
"")</f>
        <v/>
      </c>
      <c r="AS58" s="244" t="str">
        <f>_xlfn.XLOOKUP(
$C58,
'在庫使用計画 (ノート全体試算)'!$C$1:$C$170,
'在庫使用計画 (ノート全体試算)'!AT$1:AT$170,
"")</f>
        <v/>
      </c>
      <c r="AT58" s="805" t="str">
        <f>_xlfn.XLOOKUP(
$C58,
'在庫使用計画 (ノート全体試算)'!$C$1:$C$170,
'在庫使用計画 (ノート全体試算)'!AU$1:AU$170,
"")</f>
        <v/>
      </c>
      <c r="AU58" s="804" t="str">
        <f>_xlfn.XLOOKUP(
$C58,
'在庫使用計画 (ノート全体試算)'!$C$1:$C$170,
'在庫使用計画 (ノート全体試算)'!AV$1:AV$170,
"")</f>
        <v/>
      </c>
      <c r="AV58" s="224" t="str">
        <f>_xlfn.XLOOKUP(
$C58,
'在庫使用計画 (ノート全体試算)'!$C$1:$C$170,
'在庫使用計画 (ノート全体試算)'!AW$1:AW$170,
"")</f>
        <v/>
      </c>
      <c r="AW58" s="224" t="str">
        <f>_xlfn.XLOOKUP(
$C58,
'在庫使用計画 (ノート全体試算)'!$C$1:$C$170,
'在庫使用計画 (ノート全体試算)'!AX$1:AX$170,
"")</f>
        <v/>
      </c>
      <c r="AX58" s="224" t="str">
        <f>_xlfn.XLOOKUP(
$C58,
'在庫使用計画 (ノート全体試算)'!$C$1:$C$170,
'在庫使用計画 (ノート全体試算)'!AY$1:AY$170,
"")</f>
        <v/>
      </c>
      <c r="AY58" s="224" t="str">
        <f>_xlfn.XLOOKUP(
$C58,
'在庫使用計画 (ノート全体試算)'!$C$1:$C$170,
'在庫使用計画 (ノート全体試算)'!AZ$1:AZ$170,
"")</f>
        <v/>
      </c>
      <c r="AZ58" s="224" t="str">
        <f>_xlfn.XLOOKUP(
$C58,
'在庫使用計画 (ノート全体試算)'!$C$1:$C$170,
'在庫使用計画 (ノート全体試算)'!BA$1:BA$170,
"")</f>
        <v/>
      </c>
      <c r="BA58" s="224" t="str">
        <f>_xlfn.XLOOKUP(
$C58,
'在庫使用計画 (ノート全体試算)'!$C$1:$C$170,
'在庫使用計画 (ノート全体試算)'!BB$1:BB$170,
"")</f>
        <v/>
      </c>
      <c r="BB58" s="224" t="str">
        <f>_xlfn.XLOOKUP(
$C58,
'在庫使用計画 (ノート全体試算)'!$C$1:$C$170,
'在庫使用計画 (ノート全体試算)'!BC$1:BC$170,
"")</f>
        <v/>
      </c>
      <c r="BC58" s="224" t="str">
        <f>_xlfn.XLOOKUP(
$C58,
'在庫使用計画 (ノート全体試算)'!$C$1:$C$170,
'在庫使用計画 (ノート全体試算)'!BD$1:BD$170,
"")</f>
        <v/>
      </c>
      <c r="BD58" s="224" t="str">
        <f>_xlfn.XLOOKUP(
$C58,
'在庫使用計画 (ノート全体試算)'!$C$1:$C$170,
'在庫使用計画 (ノート全体試算)'!BE$1:BE$170,
"")</f>
        <v/>
      </c>
      <c r="BE58" s="224" t="str">
        <f>_xlfn.XLOOKUP(
$C58,
'在庫使用計画 (ノート全体試算)'!$C$1:$C$170,
'在庫使用計画 (ノート全体試算)'!BF$1:BF$170,
"")</f>
        <v/>
      </c>
      <c r="BF58" s="805" t="str">
        <f>_xlfn.XLOOKUP(
$C58,
'在庫使用計画 (ノート全体試算)'!$C$1:$C$170,
'在庫使用計画 (ノート全体試算)'!BG$1:BG$170,
"")</f>
        <v/>
      </c>
      <c r="BG58" s="2091" t="s">
        <v>2655</v>
      </c>
    </row>
    <row r="59" spans="1:61" ht="18.75" customHeight="1" thickBot="1">
      <c r="A59" s="445"/>
      <c r="B59" s="446" t="str">
        <v>MSH-15F5-255H-5060-L6 Creator</v>
      </c>
      <c r="C59" s="452" t="s">
        <v>1780</v>
      </c>
      <c r="D59" s="446" t="s">
        <v>1763</v>
      </c>
      <c r="E59" s="446"/>
      <c r="F59" s="447"/>
      <c r="G59" s="448">
        <v>20</v>
      </c>
      <c r="H59" s="448">
        <f ca="1">_xlfn.LET(_xlpm._今月から4ヶ月計画合計,
  SUM(
    OFFSET($A59,0,
      MATCH(
        EDATE(基準データ!$C$5,3),$A$1:$BE$1,1
      )-4,1,4)),
  IF($C59="","",_xlpm._今月から4ヶ月計画合計
)
)</f>
        <v>563.8182442669812</v>
      </c>
      <c r="I59" s="448">
        <f t="shared" si="10"/>
        <v>20</v>
      </c>
      <c r="J59" s="1116" cm="1">
        <f t="array" ref="J59">_xlfn.IFS($C59="","",
  $G59="","発売前？",
  $G59=0,"在庫なし",
  TRUE,
  IFERROR(
    _xlfn.LET(
      _xlpm._在庫注残,     $G59,
      _xlpm._しきい値,     _xlpm._在庫注残 * 0.75,
      _xlpm._見出し元,     $K$1:$BT$1,
      _xlpm._計画,         $K59:$BT59,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46204</v>
      </c>
      <c r="K59" s="448"/>
      <c r="L59" s="448"/>
      <c r="M59" s="448"/>
      <c r="N59" s="448"/>
      <c r="O59" s="448"/>
      <c r="P59" s="448"/>
      <c r="Q59" s="540"/>
      <c r="R59" s="900"/>
      <c r="S59" s="449"/>
      <c r="T59" s="449"/>
      <c r="U59" s="449"/>
      <c r="V59" s="450"/>
      <c r="W59" s="455" t="s">
        <v>21</v>
      </c>
      <c r="X59" s="455" t="s">
        <v>21</v>
      </c>
      <c r="Y59" s="455" t="s">
        <v>21</v>
      </c>
      <c r="Z59" s="453" t="s">
        <v>21</v>
      </c>
      <c r="AA59" s="453" t="s">
        <v>21</v>
      </c>
      <c r="AB59" s="449" t="s">
        <v>21</v>
      </c>
      <c r="AC59" s="899" t="s">
        <v>21</v>
      </c>
      <c r="AD59" s="1290" t="s">
        <v>21</v>
      </c>
      <c r="AE59" s="453" t="s">
        <v>21</v>
      </c>
      <c r="AF59" s="453">
        <v>1</v>
      </c>
      <c r="AG59" s="451">
        <v>10</v>
      </c>
      <c r="AH59" s="237">
        <v>12</v>
      </c>
      <c r="AI59" s="896">
        <v>20</v>
      </c>
      <c r="AJ59" s="451">
        <v>11</v>
      </c>
      <c r="AK59" s="451">
        <v>24</v>
      </c>
      <c r="AL59" s="451">
        <v>109</v>
      </c>
      <c r="AM59" s="451">
        <f>_xlfn.LET(_xlpm._全体実績予測,
  INDEX('在庫使用計画 (全体実績+予測）0701'!$A$1:$BD$195,
    MATCH($C59,'在庫使用計画 (全体実績+予測）0701'!$C$1:$C$195,0),
    MATCH(AM$1,'在庫使用計画 (全体実績+予測）0701'!$A$1:$BD$1,0)
),
  IFERROR(
    IF(_xlpm._全体実績予測=0,"",_xlpm._全体実績予測),
  "")
)</f>
        <v>580</v>
      </c>
      <c r="AN59" s="889">
        <f>_xlfn.LET(_xlpm._全体実績予測,
  INDEX('在庫使用計画 (全体実績+予測）0701'!$A$1:$BD$195,
    MATCH($C59,'在庫使用計画 (全体実績+予測）0701'!$C$1:$C$195,0),
    MATCH(AN$1,'在庫使用計画 (全体実績+予測）0701'!$A$1:$BD$1,0)
),
  IFERROR(
    IF(_xlpm._全体実績予測=0,"",_xlpm._全体実績予測),
  "")
)</f>
        <v>131.78571428571431</v>
      </c>
      <c r="AO59" s="889">
        <f>_xlfn.LET(_xlpm._全体実績予測,
  INDEX('在庫使用計画 (全体実績+予測）0701'!$A$1:$BD$195,
    MATCH($C59,'在庫使用計画 (全体実績+予測）0701'!$C$1:$C$195,0),
    MATCH(AO$1,'在庫使用計画 (全体実績+予測）0701'!$A$1:$BD$1,0)
),
  IFERROR(
    IF(_xlpm._全体実績予測=0,"",_xlpm._全体実績予測),
  "")
)</f>
        <v>129.45769767709626</v>
      </c>
      <c r="AP59" s="451">
        <f>_xlfn.LET(_xlpm._全体実績予測,
  INDEX('在庫使用計画 (全体実績+予測）0701'!$A$1:$BD$195,
    MATCH($C59,'在庫使用計画 (全体実績+予測）0701'!$C$1:$C$195,0),
    MATCH(AP$1,'在庫使用計画 (全体実績+予測）0701'!$A$1:$BD$1,0)
),
  IFERROR(
    IF(_xlpm._全体実績予測=0,"",_xlpm._全体実績予測),
  "")
)</f>
        <v>136.92889676423212</v>
      </c>
      <c r="AQ59" s="2121">
        <f>_xlfn.LET(_xlpm._全体実績予測,
  INDEX('在庫使用計画 (全体実績+予測）0701'!$A$1:$BD$195,
    MATCH($C59,'在庫使用計画 (全体実績+予測）0701'!$C$1:$C$195,0),
    MATCH(AQ$1,'在庫使用計画 (全体実績+予測）0701'!$A$1:$BD$1,0)
),
  IFERROR(
    IF(_xlpm._全体実績予測=0,"",_xlpm._全体実績予測),
  "")
)</f>
        <v>147.98776507852403</v>
      </c>
      <c r="AR59" s="2137">
        <f>_xlfn.LET(_xlpm._全体実績予測,
  INDEX('在庫使用計画 (全体実績+予測）0701'!$A$1:$BD$195,
    MATCH($C59,'在庫使用計画 (全体実績+予測）0701'!$C$1:$C$195,0),
    MATCH(AR$1,'在庫使用計画 (全体実績+予測）0701'!$A$1:$BD$1,0)
),
  IFERROR(
    IF(_xlpm._全体実績予測=0,"",_xlpm._全体実績予測),
  "")
)</f>
        <v>149.44388474712878</v>
      </c>
      <c r="AS59" s="1292">
        <f>_xlfn.LET(_xlpm._全体実績予測,
  INDEX('在庫使用計画 (全体実績+予測）0701'!$A$1:$BD$195,
    MATCH($C59,'在庫使用計画 (全体実績+予測）0701'!$C$1:$C$195,0),
    MATCH(AS$1,'在庫使用計画 (全体実績+予測）0701'!$A$1:$BD$1,0)
),
  IFERROR(
    IF(_xlpm._全体実績予測=0,"",_xlpm._全体実績予測),
  "")
)</f>
        <v>150.84164519219107</v>
      </c>
      <c r="AT59" s="897">
        <f>_xlfn.LET(_xlpm._全体実績予測,
  INDEX('在庫使用計画 (全体実績+予測）0701'!$A$1:$BD$195,
    MATCH($C59,'在庫使用計画 (全体実績+予測）0701'!$C$1:$C$195,0),
    MATCH(AT$1,'在庫使用計画 (全体実績+予測）0701'!$A$1:$BD$1,0)
),
  IFERROR(
    IF(_xlpm._全体実績予測=0,"",_xlpm._全体実績予測),
  "")
)</f>
        <v>237.07915719179076</v>
      </c>
      <c r="AU59" s="896">
        <f>_xlfn.LET(_xlpm._全体実績予測,
  INDEX('在庫使用計画 (全体実績+予測）0701'!$A$1:$BD$195,
    MATCH($C59,'在庫使用計画 (全体実績+予測）0701'!$C$1:$C$195,0),
    MATCH(AU$1,'在庫使用計画 (全体実績+予測）0701'!$A$1:$BD$1,0)
),
  IFERROR(
    IF(_xlpm._全体実績予測=0,"",_xlpm._全体実績予測),
  "")
)</f>
        <v>200.52218704546641</v>
      </c>
      <c r="AV59" s="451">
        <f>_xlfn.LET(_xlpm._全体実績予測,
  INDEX('在庫使用計画 (全体実績+予測）0701'!$A$1:$BD$195,
    MATCH($C59,'在庫使用計画 (全体実績+予測）0701'!$C$1:$C$195,0),
    MATCH(AV$1,'在庫使用計画 (全体実績+予測）0701'!$A$1:$BD$1,0)
),
  IFERROR(
    IF(_xlpm._全体実績予測=0,"",_xlpm._全体実績予測),
  "")
)</f>
        <v>132.57716027172509</v>
      </c>
      <c r="AW59" s="451">
        <f>_xlfn.LET(_xlpm._全体実績予測,
  INDEX('在庫使用計画 (全体実績+予測）0701'!$A$1:$BD$195,
    MATCH($C59,'在庫使用計画 (全体実績+予測）0701'!$C$1:$C$195,0),
    MATCH(AW$1,'在庫使用計画 (全体実績+予測）0701'!$A$1:$BD$1,0)
),
  IFERROR(
    IF(_xlpm._全体実績予測=0,"",_xlpm._全体実績予測),
  "")
)</f>
        <v>198.3978210183933</v>
      </c>
      <c r="AX59" s="451">
        <f>_xlfn.LET(_xlpm._全体実績予測,
  INDEX('在庫使用計画 (全体実績+予測）0701'!$A$1:$BD$195,
    MATCH($C59,'在庫使用計画 (全体実績+予測）0701'!$C$1:$C$195,0),
    MATCH(AX$1,'在庫使用計画 (全体実績+予測）0701'!$A$1:$BD$1,0)
),
  IFERROR(
    IF(_xlpm._全体実績予測=0,"",_xlpm._全体実績予測),
  "")
)</f>
        <v>148.28261183055852</v>
      </c>
      <c r="AY59" s="451">
        <f>_xlfn.LET(_xlpm._全体実績予測,
  INDEX('在庫使用計画 (全体実績+予測）0701'!$A$1:$BD$195,
    MATCH($C59,'在庫使用計画 (全体実績+予測）0701'!$C$1:$C$195,0),
    MATCH(AY$1,'在庫使用計画 (全体実績+予測）0701'!$A$1:$BD$1,0)
),
  IFERROR(
    IF(_xlpm._全体実績予測=0,"",_xlpm._全体実績予測),
  "")
)</f>
        <v>125.40239630407879</v>
      </c>
      <c r="AZ59" s="451">
        <f>_xlfn.LET(_xlpm._全体実績予測,
  INDEX('在庫使用計画 (全体実績+予測）0701'!$A$1:$BD$195,
    MATCH($C59,'在庫使用計画 (全体実績+予測）0701'!$C$1:$C$195,0),
    MATCH(AZ$1,'在庫使用計画 (全体実績+予測）0701'!$A$1:$BD$1,0)
),
  IFERROR(
    IF(_xlpm._全体実績予測=0,"",_xlpm._全体実績予測),
  "")
)</f>
        <v>131.78571428571431</v>
      </c>
      <c r="BA59" s="451">
        <f>_xlfn.LET(_xlpm._全体実績予測,
  INDEX('在庫使用計画 (全体実績+予測）0701'!$A$1:$BD$195,
    MATCH($C59,'在庫使用計画 (全体実績+予測）0701'!$C$1:$C$195,0),
    MATCH(BA$1,'在庫使用計画 (全体実績+予測）0701'!$A$1:$BD$1,0)
),
  IFERROR(
    IF(_xlpm._全体実績予測=0,"",_xlpm._全体実績予測),
  "")
)</f>
        <v>129.45769767709626</v>
      </c>
      <c r="BB59" s="451">
        <f>_xlfn.LET(_xlpm._全体実績予測,
  INDEX('在庫使用計画 (全体実績+予測）0701'!$A$1:$BD$195,
    MATCH($C59,'在庫使用計画 (全体実績+予測）0701'!$C$1:$C$195,0),
    MATCH(BB$1,'在庫使用計画 (全体実績+予測）0701'!$A$1:$BD$1,0)
),
  IFERROR(
    IF(_xlpm._全体実績予測=0,"",_xlpm._全体実績予測),
  "")
)</f>
        <v>136.92889676423212</v>
      </c>
      <c r="BC59" s="451">
        <f>_xlfn.LET(_xlpm._全体実績予測,
  INDEX('在庫使用計画 (全体実績+予測）0701'!$A$1:$BD$195,
    MATCH($C59,'在庫使用計画 (全体実績+予測）0701'!$C$1:$C$195,0),
    MATCH(BC$1,'在庫使用計画 (全体実績+予測）0701'!$A$1:$BD$1,0)
),
  IFERROR(
    IF(_xlpm._全体実績予測=0,"",_xlpm._全体実績予測),
  "")
)</f>
        <v>147.98776507852403</v>
      </c>
      <c r="BD59" s="451">
        <f>_xlfn.LET(_xlpm._全体実績予測,
  INDEX('在庫使用計画 (全体実績+予測）0701'!$A$1:$BD$195,
    MATCH($C59,'在庫使用計画 (全体実績+予測）0701'!$C$1:$C$195,0),
    MATCH(BD$1,'在庫使用計画 (全体実績+予測）0701'!$A$1:$BD$1,0)
),
  IFERROR(
    IF(_xlpm._全体実績予測=0,"",_xlpm._全体実績予測),
  "")
)</f>
        <v>149.44388474712878</v>
      </c>
      <c r="BE59" s="451">
        <f>_xlfn.LET(_xlpm._全体実績予測,
  INDEX('在庫使用計画 (全体実績+予測）0701'!$A$1:$BD$195,
    MATCH($C59,'在庫使用計画 (全体実績+予測）0701'!$C$1:$C$195,0),
    MATCH(BE$1,'在庫使用計画 (全体実績+予測）0701'!$A$1:$BD$1,0)
),
  IFERROR(
    IF(_xlpm._全体実績予測=0,"",_xlpm._全体実績予測),
  "")
)</f>
        <v>150.84164519219107</v>
      </c>
      <c r="BF59" s="897">
        <f>_xlfn.LET(_xlpm._全体実績予測,
  INDEX('在庫使用計画 (全体実績+予測）0701'!$A$1:$BD$195,
    MATCH($C59,'在庫使用計画 (全体実績+予測）0701'!$C$1:$C$195,0),
    MATCH(BF$1,'在庫使用計画 (全体実績+予測）0701'!$A$1:$BD$1,0)
),
  IFERROR(
    IF(_xlpm._全体実績予測=0,"",_xlpm._全体実績予測),
  "")
)</f>
        <v>237.07915719179076</v>
      </c>
    </row>
    <row r="60" spans="1:61" ht="18.75" customHeight="1">
      <c r="A60" s="67" t="s">
        <v>1781</v>
      </c>
      <c r="B60" s="111" t="str">
        <v>CLE-V54-AI9-470-UMA-L6 Creator</v>
      </c>
      <c r="C60" s="1264" t="s">
        <v>435</v>
      </c>
      <c r="D60" s="1267" t="s">
        <v>1782</v>
      </c>
      <c r="E60" s="68" t="s">
        <v>1783</v>
      </c>
      <c r="F60" s="112" t="s">
        <v>1347</v>
      </c>
      <c r="G60" s="38">
        <v>420</v>
      </c>
      <c r="H60" s="38">
        <f ca="1">_xlfn.LET(_xlpm._今月から4ヶ月計画合計,
  SUM(
    OFFSET($A60,0,
      MATCH(
        EDATE(基準データ!$C$5,3),$A$1:$BE$1,1
      )-4,1,4)),
  IF($C60="","",_xlpm._今月から4ヶ月計画合計
)
)</f>
        <v>414.40373973593449</v>
      </c>
      <c r="I60" s="38">
        <f>SUMIFS(マスタ_EOLリスト[在庫],マスタ_EOLリスト[製品型番],'在庫使用計画 (計画　予測)'!$C:$C)</f>
        <v>420</v>
      </c>
      <c r="J60" s="1116" cm="1">
        <f t="array" ref="J60">_xlfn.IFS($C60="","",
  $G60="","発売前？",
  $G60=0,"在庫なし",
  TRUE,
  IFERROR(
    _xlfn.LET(
      _xlpm._在庫注残,     $G60,
      _xlpm._しきい値,     _xlpm._在庫注残 * 0.75,
      _xlpm._見出し元,     $K$1:$BT$1,
      _xlpm._計画,         $K60:$BT60,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46296</v>
      </c>
      <c r="K60" s="74"/>
      <c r="L60" s="74"/>
      <c r="M60" s="74"/>
      <c r="N60" s="118"/>
      <c r="O60" s="121"/>
      <c r="P60" s="121"/>
      <c r="Q60" s="1325"/>
      <c r="R60" s="1361"/>
      <c r="S60" s="219" t="s">
        <v>21</v>
      </c>
      <c r="T60" s="224" t="s">
        <v>21</v>
      </c>
      <c r="U60" s="224" t="s">
        <v>21</v>
      </c>
      <c r="V60" s="224" t="s">
        <v>21</v>
      </c>
      <c r="W60" s="224" t="s">
        <v>21</v>
      </c>
      <c r="X60" s="224" t="s">
        <v>21</v>
      </c>
      <c r="Y60" s="224" t="s">
        <v>21</v>
      </c>
      <c r="Z60" s="224" t="s">
        <v>21</v>
      </c>
      <c r="AA60" s="224" t="s">
        <v>21</v>
      </c>
      <c r="AB60" s="224" t="s">
        <v>21</v>
      </c>
      <c r="AC60" s="805" t="s">
        <v>21</v>
      </c>
      <c r="AD60" s="244" t="s">
        <v>21</v>
      </c>
      <c r="AE60" s="224" t="s">
        <v>21</v>
      </c>
      <c r="AF60" s="224" t="s">
        <v>21</v>
      </c>
      <c r="AG60" s="224" t="s">
        <v>21</v>
      </c>
      <c r="AH60" s="237" t="s">
        <v>21</v>
      </c>
      <c r="AI60" s="804" t="s">
        <v>21</v>
      </c>
      <c r="AJ60" s="224">
        <v>20</v>
      </c>
      <c r="AK60" s="224">
        <v>20</v>
      </c>
      <c r="AL60" s="224">
        <v>6</v>
      </c>
      <c r="AM60" s="224">
        <f>_xlfn.XLOOKUP(
$C60,
'在庫使用計画 (ノート全体試算)'!$C$1:$C$170,
'在庫使用計画 (ノート全体試算)'!AN$1:AN$170,
"")</f>
        <v>5</v>
      </c>
      <c r="AN60" s="237">
        <f>_xlfn.XLOOKUP(
$C60,
'在庫使用計画 (ノート全体試算)'!$C$1:$C$170,
'在庫使用計画 (ノート全体試算)'!AO$1:AO$170,
"")</f>
        <v>5</v>
      </c>
      <c r="AO60" s="237">
        <f>_xlfn.XLOOKUP(
$C60,
'在庫使用計画 (ノート全体試算)'!$C$1:$C$170,
'在庫使用計画 (ノート全体試算)'!AP$1:AP$170,
"")</f>
        <v>89</v>
      </c>
      <c r="AP60" s="224">
        <f>_xlfn.XLOOKUP(
$C60,
'在庫使用計画 (ノート全体試算)'!$C$1:$C$170,
'在庫使用計画 (ノート全体試算)'!AQ$1:AQ$170,
"")</f>
        <v>101</v>
      </c>
      <c r="AQ60" s="1050">
        <f>_xlfn.XLOOKUP(
$C60,
'在庫使用計画 (ノート全体試算)'!$C$1:$C$170,
'在庫使用計画 (ノート全体試算)'!AR$1:AR$170,
"")</f>
        <v>108.38104765093021</v>
      </c>
      <c r="AR60" s="2130">
        <f>_xlfn.XLOOKUP(
$C60,
'在庫使用計画 (ノート全体試算)'!$C$1:$C$170,
'在庫使用計画 (ノート全体試算)'!AS$1:AS$170,
"")</f>
        <v>116.02269208500429</v>
      </c>
      <c r="AS60" s="244">
        <f>_xlfn.XLOOKUP(
$C60,
'在庫使用計画 (ノート全体試算)'!$C$1:$C$170,
'在庫使用計画 (ノート全体試算)'!AT$1:AT$170,
"")</f>
        <v>99</v>
      </c>
      <c r="AT60" s="805">
        <f>_xlfn.XLOOKUP(
$C60,
'在庫使用計画 (ノート全体試算)'!$C$1:$C$170,
'在庫使用計画 (ノート全体試算)'!AU$1:AU$170,
"")</f>
        <v>141.65353559208609</v>
      </c>
      <c r="AU60" s="804">
        <f>_xlfn.XLOOKUP(
$C60,
'在庫使用計画 (ノート全体試算)'!$C$1:$C$170,
'在庫使用計画 (ノート全体試算)'!AV$1:AV$170,
"")</f>
        <v>114.47582368774925</v>
      </c>
      <c r="AV60" s="224">
        <f>_xlfn.XLOOKUP(
$C60,
'在庫使用計画 (ノート全体試算)'!$C$1:$C$170,
'在庫使用計画 (ノート全体試算)'!AW$1:AW$170,
"")</f>
        <v>107.92924533569183</v>
      </c>
      <c r="AW60" s="224">
        <f>_xlfn.XLOOKUP(
$C60,
'在庫使用計画 (ノート全体試算)'!$C$1:$C$170,
'在庫使用計画 (ノート全体試算)'!AX$1:AX$170,
"")</f>
        <v>159.50046265542471</v>
      </c>
      <c r="AX60" s="224" t="str">
        <f>_xlfn.XLOOKUP(
$C60,
'在庫使用計画 (ノート全体試算)'!$C$1:$C$170,
'在庫使用計画 (ノート全体試算)'!AY$1:AY$170,
"")</f>
        <v/>
      </c>
      <c r="AY60" s="224" t="str">
        <f>_xlfn.XLOOKUP(
$C60,
'在庫使用計画 (ノート全体試算)'!$C$1:$C$170,
'在庫使用計画 (ノート全体試算)'!AZ$1:AZ$170,
"")</f>
        <v/>
      </c>
      <c r="AZ60" s="224" t="str">
        <f>_xlfn.XLOOKUP(
$C60,
'在庫使用計画 (ノート全体試算)'!$C$1:$C$170,
'在庫使用計画 (ノート全体試算)'!BA$1:BA$170,
"")</f>
        <v/>
      </c>
      <c r="BA60" s="224" t="str">
        <f>_xlfn.XLOOKUP(
$C60,
'在庫使用計画 (ノート全体試算)'!$C$1:$C$170,
'在庫使用計画 (ノート全体試算)'!BB$1:BB$170,
"")</f>
        <v/>
      </c>
      <c r="BB60" s="224" t="str">
        <f>_xlfn.XLOOKUP(
$C60,
'在庫使用計画 (ノート全体試算)'!$C$1:$C$170,
'在庫使用計画 (ノート全体試算)'!BC$1:BC$170,
"")</f>
        <v/>
      </c>
      <c r="BC60" s="224" t="str">
        <f>_xlfn.XLOOKUP(
$C60,
'在庫使用計画 (ノート全体試算)'!$C$1:$C$170,
'在庫使用計画 (ノート全体試算)'!BD$1:BD$170,
"")</f>
        <v/>
      </c>
      <c r="BD60" s="224" t="str">
        <f>_xlfn.XLOOKUP(
$C60,
'在庫使用計画 (ノート全体試算)'!$C$1:$C$170,
'在庫使用計画 (ノート全体試算)'!BE$1:BE$170,
"")</f>
        <v/>
      </c>
      <c r="BE60" s="224" t="str">
        <f>_xlfn.XLOOKUP(
$C60,
'在庫使用計画 (ノート全体試算)'!$C$1:$C$170,
'在庫使用計画 (ノート全体試算)'!BF$1:BF$170,
"")</f>
        <v/>
      </c>
      <c r="BF60" s="805" t="str">
        <f>_xlfn.XLOOKUP(
$C60,
'在庫使用計画 (ノート全体試算)'!$C$1:$C$170,
'在庫使用計画 (ノート全体試算)'!BG$1:BG$170,
"")</f>
        <v/>
      </c>
      <c r="BG60" s="2091" t="s">
        <v>2661</v>
      </c>
    </row>
    <row r="61" spans="1:61" ht="18.75" customHeight="1" thickBot="1">
      <c r="A61" s="445"/>
      <c r="B61" s="1261" t="str">
        <v>CLE-V54-AI9-470-UMA-L6 Creator</v>
      </c>
      <c r="C61" s="1265" t="s">
        <v>435</v>
      </c>
      <c r="D61" s="1262" t="s">
        <v>1763</v>
      </c>
      <c r="E61" s="446"/>
      <c r="F61" s="447"/>
      <c r="G61" s="448">
        <v>420</v>
      </c>
      <c r="H61" s="448">
        <f ca="1">_xlfn.LET(_xlpm._今月から4ヶ月計画合計,
  SUM(
    OFFSET($A61,0,
      MATCH(
        EDATE(基準データ!$C$5,3),$A$1:$BE$1,1
      )-4,1,4)),
  IF($C61="","",_xlpm._今月から4ヶ月計画合計
)
)</f>
        <v>9.1677763295444095</v>
      </c>
      <c r="I61" s="448">
        <f t="shared" si="10"/>
        <v>420</v>
      </c>
      <c r="J61" s="1116" t="str" cm="1">
        <f t="array" ref="J61">_xlfn.IFS($C61="","",
  $G61="","発売前？",
  $G61=0,"在庫なし",
  TRUE,
  IFERROR(
    _xlfn.LET(
      _xlpm._在庫注残,     $G61,
      _xlpm._しきい値,     _xlpm._在庫注残 * 0.75,
      _xlpm._見出し元,     $K$1:$BT$1,
      _xlpm._計画,         $K61:$BT61,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合計46、在庫+注残420のため不足</v>
      </c>
      <c r="K61" s="448"/>
      <c r="L61" s="448"/>
      <c r="M61" s="448"/>
      <c r="N61" s="448"/>
      <c r="O61" s="448"/>
      <c r="P61" s="448"/>
      <c r="Q61" s="540"/>
      <c r="R61" s="900"/>
      <c r="S61" s="449"/>
      <c r="T61" s="449"/>
      <c r="U61" s="449"/>
      <c r="V61" s="450"/>
      <c r="W61" s="451" t="s">
        <v>21</v>
      </c>
      <c r="X61" s="451" t="s">
        <v>21</v>
      </c>
      <c r="Y61" s="455" t="s">
        <v>21</v>
      </c>
      <c r="Z61" s="507" t="s">
        <v>21</v>
      </c>
      <c r="AA61" s="453" t="s">
        <v>21</v>
      </c>
      <c r="AB61" s="449" t="s">
        <v>21</v>
      </c>
      <c r="AC61" s="899" t="s">
        <v>21</v>
      </c>
      <c r="AD61" s="1290" t="s">
        <v>21</v>
      </c>
      <c r="AE61" s="453" t="s">
        <v>21</v>
      </c>
      <c r="AF61" s="453" t="s">
        <v>21</v>
      </c>
      <c r="AG61" s="451" t="s">
        <v>21</v>
      </c>
      <c r="AH61" s="237" t="s">
        <v>21</v>
      </c>
      <c r="AI61" s="896" t="s">
        <v>21</v>
      </c>
      <c r="AJ61" s="451" t="s">
        <v>21</v>
      </c>
      <c r="AK61" s="451">
        <v>1</v>
      </c>
      <c r="AL61" s="451" t="s">
        <v>21</v>
      </c>
      <c r="AM61" s="451">
        <f>_xlfn.LET(_xlpm._全体実績予測,
  INDEX('在庫使用計画 (全体実績+予測）0701'!$A$1:$BD$195,
    MATCH($C61,'在庫使用計画 (全体実績+予測）0701'!$C$1:$C$195,0),
    MATCH(AM$1,'在庫使用計画 (全体実績+予測）0701'!$A$1:$BD$1,0)
),
  IFERROR(
    IF(_xlpm._全体実績予測=0,"",_xlpm._全体実績予測),
  "")
)</f>
        <v>4</v>
      </c>
      <c r="AN61" s="889">
        <f>_xlfn.LET(_xlpm._全体実績予測,
  INDEX('在庫使用計画 (全体実績+予測）0701'!$A$1:$BD$195,
    MATCH($C61,'在庫使用計画 (全体実績+予測）0701'!$C$1:$C$195,0),
    MATCH(AN$1,'在庫使用計画 (全体実績+予測）0701'!$A$1:$BD$1,0)
),
  IFERROR(
    IF(_xlpm._全体実績予測=0,"",_xlpm._全体実績予測),
  "")
)</f>
        <v>2.1428571428571428</v>
      </c>
      <c r="AO61" s="889">
        <f>_xlfn.LET(_xlpm._全体実績予測,
  INDEX('在庫使用計画 (全体実績+予測）0701'!$A$1:$BD$195,
    MATCH($C61,'在庫使用計画 (全体実績+予測）0701'!$C$1:$C$195,0),
    MATCH(AO$1,'在庫使用計画 (全体実績+予測）0701'!$A$1:$BD$1,0)
),
  IFERROR(
    IF(_xlpm._全体実績予測=0,"",_xlpm._全体実績予測),
  "")
)</f>
        <v>2.1050032142617274</v>
      </c>
      <c r="AP61" s="451">
        <f>_xlfn.LET(_xlpm._全体実績予測,
  INDEX('在庫使用計画 (全体実績+予測）0701'!$A$1:$BD$195,
    MATCH($C61,'在庫使用計画 (全体実績+予測）0701'!$C$1:$C$195,0),
    MATCH(AP$1,'在庫使用計画 (全体実績+予測）0701'!$A$1:$BD$1,0)
),
  IFERROR(
    IF(_xlpm._全体実績予測=0,"",_xlpm._全体実績予測),
  "")
)</f>
        <v>2.2264861262476767</v>
      </c>
      <c r="AQ61" s="2121">
        <f>_xlfn.LET(_xlpm._全体実績予測,
  INDEX('在庫使用計画 (全体実績+予測）0701'!$A$1:$BD$195,
    MATCH($C61,'在庫使用計画 (全体実績+予測）0701'!$C$1:$C$195,0),
    MATCH(AQ$1,'在庫使用計画 (全体実績+予測）0701'!$A$1:$BD$1,0)
),
  IFERROR(
    IF(_xlpm._全体実績予測=0,"",_xlpm._全体実績予測),
  "")
)</f>
        <v>2.4063051232280328</v>
      </c>
      <c r="AR61" s="2137">
        <f>_xlfn.LET(_xlpm._全体実績予測,
  INDEX('在庫使用計画 (全体実績+予測）0701'!$A$1:$BD$195,
    MATCH($C61,'在庫使用計画 (全体実績+予測）0701'!$C$1:$C$195,0),
    MATCH(AR$1,'在庫使用計画 (全体実績+予測）0701'!$A$1:$BD$1,0)
),
  IFERROR(
    IF(_xlpm._全体実績予測=0,"",_xlpm._全体実績予測),
  "")
)</f>
        <v>2.4299818658069716</v>
      </c>
      <c r="AS61" s="1292">
        <f>_xlfn.LET(_xlpm._全体実績予測,
  INDEX('在庫使用計画 (全体実績+予測）0701'!$A$1:$BD$195,
    MATCH($C61,'在庫使用計画 (全体実績+予測）0701'!$C$1:$C$195,0),
    MATCH(AS$1,'在庫使用計画 (全体実績+予測）0701'!$A$1:$BD$1,0)
),
  IFERROR(
    IF(_xlpm._全体実績予測=0,"",_xlpm._全体実績予測),
  "")
)</f>
        <v>2.4527096779218058</v>
      </c>
      <c r="AT61" s="897">
        <f>_xlfn.LET(_xlpm._全体実績予測,
  INDEX('在庫使用計画 (全体実績+予測）0701'!$A$1:$BD$195,
    MATCH($C61,'在庫使用計画 (全体実績+予測）0701'!$C$1:$C$195,0),
    MATCH(AT$1,'在庫使用計画 (全体実績+予測）0701'!$A$1:$BD$1,0)
),
  IFERROR(
    IF(_xlpm._全体実績予測=0,"",_xlpm._全体実績予測),
  "")
)</f>
        <v>3.8549456453949715</v>
      </c>
      <c r="AU61" s="896">
        <f>_xlfn.LET(_xlpm._全体実績予測,
  INDEX('在庫使用計画 (全体実績+予測）0701'!$A$1:$BD$195,
    MATCH($C61,'在庫使用計画 (全体実績+予測）0701'!$C$1:$C$195,0),
    MATCH(AU$1,'在庫使用計画 (全体実績+予測）0701'!$A$1:$BD$1,0)
),
  IFERROR(
    IF(_xlpm._全体実績予測=0,"",_xlpm._全体実績予測),
  "")
)</f>
        <v>3.2605233665929494</v>
      </c>
      <c r="AV61" s="451">
        <f>_xlfn.LET(_xlpm._全体実績予測,
  INDEX('在庫使用計画 (全体実績+予測）0701'!$A$1:$BD$195,
    MATCH($C61,'在庫使用計画 (全体実績+予測）0701'!$C$1:$C$195,0),
    MATCH(AV$1,'在庫使用計画 (全体実績+予測）0701'!$A$1:$BD$1,0)
),
  IFERROR(
    IF(_xlpm._全体実績予測=0,"",_xlpm._全体実績予測),
  "")
)</f>
        <v>2.1557261832800823</v>
      </c>
      <c r="AW61" s="451">
        <f>_xlfn.LET(_xlpm._全体実績予測,
  INDEX('在庫使用計画 (全体実績+予測）0701'!$A$1:$BD$195,
    MATCH($C61,'在庫使用計画 (全体実績+予測）0701'!$C$1:$C$195,0),
    MATCH(AW$1,'在庫使用計画 (全体実績+予測）0701'!$A$1:$BD$1,0)
),
  IFERROR(
    IF(_xlpm._全体実績予測=0,"",_xlpm._全体実績予測),
  "")
)</f>
        <v>3.2259808295673698</v>
      </c>
      <c r="AX61" s="451">
        <f>_xlfn.LET(_xlpm._全体実績予測,
  INDEX('在庫使用計画 (全体実績+予測）0701'!$A$1:$BD$195,
    MATCH($C61,'在庫使用計画 (全体実績+予測）0701'!$C$1:$C$195,0),
    MATCH(AX$1,'在庫使用計画 (全体実績+予測）0701'!$A$1:$BD$1,0)
),
  IFERROR(
    IF(_xlpm._全体実績予測=0,"",_xlpm._全体実績予測),
  "")
)</f>
        <v>2.4110993793586744</v>
      </c>
      <c r="AY61" s="451">
        <f>_xlfn.LET(_xlpm._全体実績予測,
  INDEX('在庫使用計画 (全体実績+予測）0701'!$A$1:$BD$195,
    MATCH($C61,'在庫使用計画 (全体実績+予測）0701'!$C$1:$C$195,0),
    MATCH(AY$1,'在庫使用計画 (全体実績+予測）0701'!$A$1:$BD$1,0)
),
  IFERROR(
    IF(_xlpm._全体実績予測=0,"",_xlpm._全体実績予測),
  "")
)</f>
        <v>2.0390633545378658</v>
      </c>
      <c r="AZ61" s="451">
        <f>_xlfn.LET(_xlpm._全体実績予測,
  INDEX('在庫使用計画 (全体実績+予測）0701'!$A$1:$BD$195,
    MATCH($C61,'在庫使用計画 (全体実績+予測）0701'!$C$1:$C$195,0),
    MATCH(AZ$1,'在庫使用計画 (全体実績+予測）0701'!$A$1:$BD$1,0)
),
  IFERROR(
    IF(_xlpm._全体実績予測=0,"",_xlpm._全体実績予測),
  "")
)</f>
        <v>2.1428571428571423</v>
      </c>
      <c r="BA61" s="451">
        <f>_xlfn.LET(_xlpm._全体実績予測,
  INDEX('在庫使用計画 (全体実績+予測）0701'!$A$1:$BD$195,
    MATCH($C61,'在庫使用計画 (全体実績+予測）0701'!$C$1:$C$195,0),
    MATCH(BA$1,'在庫使用計画 (全体実績+予測）0701'!$A$1:$BD$1,0)
),
  IFERROR(
    IF(_xlpm._全体実績予測=0,"",_xlpm._全体実績予測),
  "")
)</f>
        <v>2.105003214261727</v>
      </c>
      <c r="BB61" s="451">
        <f>_xlfn.LET(_xlpm._全体実績予測,
  INDEX('在庫使用計画 (全体実績+予測）0701'!$A$1:$BD$195,
    MATCH($C61,'在庫使用計画 (全体実績+予測）0701'!$C$1:$C$195,0),
    MATCH(BB$1,'在庫使用計画 (全体実績+予測）0701'!$A$1:$BD$1,0)
),
  IFERROR(
    IF(_xlpm._全体実績予測=0,"",_xlpm._全体実績予測),
  "")
)</f>
        <v>2.2264861262476758</v>
      </c>
      <c r="BC61" s="451">
        <f>_xlfn.LET(_xlpm._全体実績予測,
  INDEX('在庫使用計画 (全体実績+予測）0701'!$A$1:$BD$195,
    MATCH($C61,'在庫使用計画 (全体実績+予測）0701'!$C$1:$C$195,0),
    MATCH(BC$1,'在庫使用計画 (全体実績+予測）0701'!$A$1:$BD$1,0)
),
  IFERROR(
    IF(_xlpm._全体実績予測=0,"",_xlpm._全体実績予測),
  "")
)</f>
        <v>2.4063051232280319</v>
      </c>
      <c r="BD61" s="451">
        <f>_xlfn.LET(_xlpm._全体実績予測,
  INDEX('在庫使用計画 (全体実績+予測）0701'!$A$1:$BD$195,
    MATCH($C61,'在庫使用計画 (全体実績+予測）0701'!$C$1:$C$195,0),
    MATCH(BD$1,'在庫使用計画 (全体実績+予測）0701'!$A$1:$BD$1,0)
),
  IFERROR(
    IF(_xlpm._全体実績予測=0,"",_xlpm._全体実績予測),
  "")
)</f>
        <v>2.4299818658069707</v>
      </c>
      <c r="BE61" s="451">
        <f>_xlfn.LET(_xlpm._全体実績予測,
  INDEX('在庫使用計画 (全体実績+予測）0701'!$A$1:$BD$195,
    MATCH($C61,'在庫使用計画 (全体実績+予測）0701'!$C$1:$C$195,0),
    MATCH(BE$1,'在庫使用計画 (全体実績+予測）0701'!$A$1:$BD$1,0)
),
  IFERROR(
    IF(_xlpm._全体実績予測=0,"",_xlpm._全体実績予測),
  "")
)</f>
        <v>2.4527096779218049</v>
      </c>
      <c r="BF61" s="897">
        <f>_xlfn.LET(_xlpm._全体実績予測,
  INDEX('在庫使用計画 (全体実績+予測）0701'!$A$1:$BD$195,
    MATCH($C61,'在庫使用計画 (全体実績+予測）0701'!$C$1:$C$195,0),
    MATCH(BF$1,'在庫使用計画 (全体実績+予測）0701'!$A$1:$BD$1,0)
),
  IFERROR(
    IF(_xlpm._全体実績予測=0,"",_xlpm._全体実績予測),
  "")
)</f>
        <v>3.8549456453949702</v>
      </c>
      <c r="BG61" s="2091" t="s">
        <v>2691</v>
      </c>
      <c r="BH61" t="s">
        <v>2692</v>
      </c>
      <c r="BI61" t="s">
        <v>2693</v>
      </c>
    </row>
    <row r="62" spans="1:61" ht="18.75" customHeight="1">
      <c r="A62" s="67" t="s">
        <v>1781</v>
      </c>
      <c r="B62" s="26" t="str">
        <v>CLE-V54-HX370-UMA-L6 Creator</v>
      </c>
      <c r="C62" s="25" t="s">
        <v>1784</v>
      </c>
      <c r="D62" s="68" t="s">
        <v>1782</v>
      </c>
      <c r="E62" s="68" t="s">
        <v>1783</v>
      </c>
      <c r="F62" s="112" t="s">
        <v>1347</v>
      </c>
      <c r="G62" s="38">
        <v>26</v>
      </c>
      <c r="H62" s="38">
        <f ca="1">_xlfn.LET(_xlpm._今月から4ヶ月計画合計,
  SUM(
    OFFSET($A62,0,
      MATCH(
        EDATE(基準データ!$C$5,3),$A$1:$BE$1,1
      )-4,1,4)),
  IF($C62="","",_xlpm._今月から4ヶ月計画合計
)
)</f>
        <v>20</v>
      </c>
      <c r="I62" s="38">
        <f>SUMIFS(マスタ_EOLリスト[在庫],マスタ_EOLリスト[製品型番],'在庫使用計画 (計画　予測)'!$C:$C)</f>
        <v>26</v>
      </c>
      <c r="J62" s="1116" t="str" cm="1">
        <f t="array" ref="J62">_xlfn.IFS($C62="","",
  $G62="","発売前？",
  $G62=0,"在庫なし",
  TRUE,
  IFERROR(
    _xlfn.LET(
      _xlpm._在庫注残,     $G62,
      _xlpm._しきい値,     _xlpm._在庫注残 * 0.75,
      _xlpm._見出し元,     $K$1:$BT$1,
      _xlpm._計画,         $K62:$BT62,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合計19、在庫+注残26のため不足</v>
      </c>
      <c r="K62" s="74"/>
      <c r="L62" s="74"/>
      <c r="M62" s="74"/>
      <c r="N62" s="118"/>
      <c r="O62" s="121"/>
      <c r="P62" s="121"/>
      <c r="Q62" s="1325"/>
      <c r="R62" s="1361"/>
      <c r="S62" s="219" t="s">
        <v>21</v>
      </c>
      <c r="T62" s="224" t="s">
        <v>21</v>
      </c>
      <c r="U62" s="224" t="s">
        <v>21</v>
      </c>
      <c r="V62" s="224" t="s">
        <v>21</v>
      </c>
      <c r="W62" s="224" t="s">
        <v>21</v>
      </c>
      <c r="X62" s="224">
        <v>45</v>
      </c>
      <c r="Y62" s="224">
        <v>255</v>
      </c>
      <c r="Z62" s="224">
        <v>155</v>
      </c>
      <c r="AA62" s="224">
        <v>175</v>
      </c>
      <c r="AB62" s="224">
        <v>185</v>
      </c>
      <c r="AC62" s="805">
        <v>195</v>
      </c>
      <c r="AD62" s="244">
        <v>125</v>
      </c>
      <c r="AE62" s="224">
        <v>176</v>
      </c>
      <c r="AF62" s="224">
        <v>265</v>
      </c>
      <c r="AG62" s="224">
        <v>170</v>
      </c>
      <c r="AH62" s="237">
        <v>175.38888888888889</v>
      </c>
      <c r="AI62" s="804">
        <v>125</v>
      </c>
      <c r="AJ62" s="224">
        <v>107.760796324655</v>
      </c>
      <c r="AK62" s="224">
        <v>146.88917815211843</v>
      </c>
      <c r="AL62" s="224">
        <v>226</v>
      </c>
      <c r="AM62" s="224">
        <f>_xlfn.XLOOKUP(
$C62,
'在庫使用計画 (ノート全体試算)'!$C$1:$C$170,
'在庫使用計画 (ノート全体試算)'!AN$1:AN$170,
"")</f>
        <v>193</v>
      </c>
      <c r="AN62" s="237">
        <f>_xlfn.XLOOKUP(
$C62,
'在庫使用計画 (ノート全体試算)'!$C$1:$C$170,
'在庫使用計画 (ノート全体試算)'!AO$1:AO$170,
"")</f>
        <v>165</v>
      </c>
      <c r="AO62" s="237">
        <f>_xlfn.XLOOKUP(
$C62,
'在庫使用計画 (ノート全体試算)'!$C$1:$C$170,
'在庫使用計画 (ノート全体試算)'!AP$1:AP$170,
"")</f>
        <v>20</v>
      </c>
      <c r="AP62" s="224" t="str">
        <f>_xlfn.XLOOKUP(
$C62,
'在庫使用計画 (ノート全体試算)'!$C$1:$C$170,
'在庫使用計画 (ノート全体試算)'!AQ$1:AQ$170,
"")</f>
        <v/>
      </c>
      <c r="AQ62" s="1050" t="str">
        <f>_xlfn.XLOOKUP(
$C62,
'在庫使用計画 (ノート全体試算)'!$C$1:$C$170,
'在庫使用計画 (ノート全体試算)'!AR$1:AR$170,
"")</f>
        <v/>
      </c>
      <c r="AR62" s="2130" t="str">
        <f>_xlfn.XLOOKUP(
$C62,
'在庫使用計画 (ノート全体試算)'!$C$1:$C$170,
'在庫使用計画 (ノート全体試算)'!AS$1:AS$170,
"")</f>
        <v/>
      </c>
      <c r="AS62" s="244" t="str">
        <f>_xlfn.XLOOKUP(
$C62,
'在庫使用計画 (ノート全体試算)'!$C$1:$C$170,
'在庫使用計画 (ノート全体試算)'!AT$1:AT$170,
"")</f>
        <v/>
      </c>
      <c r="AT62" s="805" t="str">
        <f>_xlfn.XLOOKUP(
$C62,
'在庫使用計画 (ノート全体試算)'!$C$1:$C$170,
'在庫使用計画 (ノート全体試算)'!AU$1:AU$170,
"")</f>
        <v/>
      </c>
      <c r="AU62" s="804" t="str">
        <f>_xlfn.XLOOKUP(
$C62,
'在庫使用計画 (ノート全体試算)'!$C$1:$C$170,
'在庫使用計画 (ノート全体試算)'!AV$1:AV$170,
"")</f>
        <v/>
      </c>
      <c r="AV62" s="224" t="str">
        <f>_xlfn.XLOOKUP(
$C62,
'在庫使用計画 (ノート全体試算)'!$C$1:$C$170,
'在庫使用計画 (ノート全体試算)'!AW$1:AW$170,
"")</f>
        <v/>
      </c>
      <c r="AW62" s="224" t="str">
        <f>_xlfn.XLOOKUP(
$C62,
'在庫使用計画 (ノート全体試算)'!$C$1:$C$170,
'在庫使用計画 (ノート全体試算)'!AX$1:AX$170,
"")</f>
        <v/>
      </c>
      <c r="AX62" s="224" t="str">
        <f>_xlfn.XLOOKUP(
$C62,
'在庫使用計画 (ノート全体試算)'!$C$1:$C$170,
'在庫使用計画 (ノート全体試算)'!AY$1:AY$170,
"")</f>
        <v/>
      </c>
      <c r="AY62" s="224" t="str">
        <f>_xlfn.XLOOKUP(
$C62,
'在庫使用計画 (ノート全体試算)'!$C$1:$C$170,
'在庫使用計画 (ノート全体試算)'!AZ$1:AZ$170,
"")</f>
        <v/>
      </c>
      <c r="AZ62" s="224" t="str">
        <f>_xlfn.XLOOKUP(
$C62,
'在庫使用計画 (ノート全体試算)'!$C$1:$C$170,
'在庫使用計画 (ノート全体試算)'!BA$1:BA$170,
"")</f>
        <v/>
      </c>
      <c r="BA62" s="224" t="str">
        <f>_xlfn.XLOOKUP(
$C62,
'在庫使用計画 (ノート全体試算)'!$C$1:$C$170,
'在庫使用計画 (ノート全体試算)'!BB$1:BB$170,
"")</f>
        <v/>
      </c>
      <c r="BB62" s="224" t="str">
        <f>_xlfn.XLOOKUP(
$C62,
'在庫使用計画 (ノート全体試算)'!$C$1:$C$170,
'在庫使用計画 (ノート全体試算)'!BC$1:BC$170,
"")</f>
        <v/>
      </c>
      <c r="BC62" s="224" t="str">
        <f>_xlfn.XLOOKUP(
$C62,
'在庫使用計画 (ノート全体試算)'!$C$1:$C$170,
'在庫使用計画 (ノート全体試算)'!BD$1:BD$170,
"")</f>
        <v/>
      </c>
      <c r="BD62" s="224" t="str">
        <f>_xlfn.XLOOKUP(
$C62,
'在庫使用計画 (ノート全体試算)'!$C$1:$C$170,
'在庫使用計画 (ノート全体試算)'!BE$1:BE$170,
"")</f>
        <v/>
      </c>
      <c r="BE62" s="224" t="str">
        <f>_xlfn.XLOOKUP(
$C62,
'在庫使用計画 (ノート全体試算)'!$C$1:$C$170,
'在庫使用計画 (ノート全体試算)'!BF$1:BF$170,
"")</f>
        <v/>
      </c>
      <c r="BF62" s="805" t="str">
        <f>_xlfn.XLOOKUP(
$C62,
'在庫使用計画 (ノート全体試算)'!$C$1:$C$170,
'在庫使用計画 (ノート全体試算)'!BG$1:BG$170,
"")</f>
        <v/>
      </c>
      <c r="BG62" s="2091" t="s">
        <v>2655</v>
      </c>
    </row>
    <row r="63" spans="1:61" ht="18.75" customHeight="1">
      <c r="A63" s="445"/>
      <c r="B63" s="446" t="str">
        <v>CLE-V54-HX370-UMA-L6 Creator</v>
      </c>
      <c r="C63" s="452" t="s">
        <v>486</v>
      </c>
      <c r="D63" s="446" t="s">
        <v>1763</v>
      </c>
      <c r="E63" s="446"/>
      <c r="F63" s="447"/>
      <c r="G63" s="448">
        <v>26</v>
      </c>
      <c r="H63" s="448">
        <f ca="1">_xlfn.LET(_xlpm._今月から4ヶ月計画合計,
  SUM(
    OFFSET($A63,0,
      MATCH(
        EDATE(基準データ!$C$5,3),$A$1:$BE$1,1
      )-4,1,4)),
  IF($C63="","",_xlpm._今月から4ヶ月計画合計
)
)</f>
        <v>609.6571259147031</v>
      </c>
      <c r="I63" s="448">
        <f t="shared" si="10"/>
        <v>26</v>
      </c>
      <c r="J63" s="1116" cm="1">
        <f t="array" ref="J63">_xlfn.IFS($C63="","",
  $G63="","発売前？",
  $G63=0,"在庫なし",
  TRUE,
  IFERROR(
    _xlfn.LET(
      _xlpm._在庫注残,     $G63,
      _xlpm._しきい値,     _xlpm._在庫注残 * 0.75,
      _xlpm._見出し元,     $K$1:$BT$1,
      _xlpm._計画,         $K63:$BT63,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46204</v>
      </c>
      <c r="K63" s="448"/>
      <c r="L63" s="448"/>
      <c r="M63" s="448"/>
      <c r="N63" s="448"/>
      <c r="O63" s="448"/>
      <c r="P63" s="448"/>
      <c r="Q63" s="540"/>
      <c r="R63" s="900"/>
      <c r="S63" s="449"/>
      <c r="T63" s="449"/>
      <c r="U63" s="449"/>
      <c r="V63" s="450"/>
      <c r="W63" s="451" t="s">
        <v>21</v>
      </c>
      <c r="X63" s="451" t="s">
        <v>21</v>
      </c>
      <c r="Y63" s="455">
        <v>98</v>
      </c>
      <c r="Z63" s="507">
        <v>116</v>
      </c>
      <c r="AA63" s="453">
        <v>119</v>
      </c>
      <c r="AB63" s="449">
        <v>101</v>
      </c>
      <c r="AC63" s="899">
        <v>125</v>
      </c>
      <c r="AD63" s="1290">
        <v>155</v>
      </c>
      <c r="AE63" s="453">
        <v>156</v>
      </c>
      <c r="AF63" s="453">
        <v>231</v>
      </c>
      <c r="AG63" s="451">
        <v>97</v>
      </c>
      <c r="AH63" s="237">
        <v>192</v>
      </c>
      <c r="AI63" s="896">
        <v>125</v>
      </c>
      <c r="AJ63" s="451">
        <v>29</v>
      </c>
      <c r="AK63" s="451">
        <v>97</v>
      </c>
      <c r="AL63" s="451">
        <v>168</v>
      </c>
      <c r="AM63" s="451">
        <f>_xlfn.LET(_xlpm._全体実績予測,
  INDEX('在庫使用計画 (全体実績+予測）0701'!$A$1:$BD$195,
    MATCH($C63,'在庫使用計画 (全体実績+予測）0701'!$C$1:$C$195,0),
    MATCH(AM$1,'在庫使用計画 (全体実績+予測）0701'!$A$1:$BD$1,0)
),
  IFERROR(
    IF(_xlpm._全体実績予測=0,"",_xlpm._全体実績予測),
  "")
)</f>
        <v>256</v>
      </c>
      <c r="AN63" s="889">
        <f>_xlfn.LET(_xlpm._全体実績予測,
  INDEX('在庫使用計画 (全体実績+予測）0701'!$A$1:$BD$195,
    MATCH($C63,'在庫使用計画 (全体実績+予測）0701'!$C$1:$C$195,0),
    MATCH(AN$1,'在庫使用計画 (全体実績+予測）0701'!$A$1:$BD$1,0)
),
  IFERROR(
    IF(_xlpm._全体実績予測=0,"",_xlpm._全体実績予測),
  "")
)</f>
        <v>142.5</v>
      </c>
      <c r="AO63" s="889">
        <f>_xlfn.LET(_xlpm._全体実績予測,
  INDEX('在庫使用計画 (全体実績+予測）0701'!$A$1:$BD$195,
    MATCH($C63,'在庫使用計画 (全体実績+予測）0701'!$C$1:$C$195,0),
    MATCH(AO$1,'在庫使用計画 (全体実績+予測）0701'!$A$1:$BD$1,0)
),
  IFERROR(
    IF(_xlpm._全体実績予測=0,"",_xlpm._全体実績予測),
  "")
)</f>
        <v>139.98271374840488</v>
      </c>
      <c r="AP63" s="451">
        <f>_xlfn.LET(_xlpm._全体実績予測,
  INDEX('在庫使用計画 (全体実績+予測）0701'!$A$1:$BD$195,
    MATCH($C63,'在庫使用計画 (全体実績+予測）0701'!$C$1:$C$195,0),
    MATCH(AP$1,'在庫使用計画 (全体実績+予測）0701'!$A$1:$BD$1,0)
),
  IFERROR(
    IF(_xlpm._全体実績予測=0,"",_xlpm._全体実績予測),
  "")
)</f>
        <v>148.0613273954705</v>
      </c>
      <c r="AQ63" s="2121">
        <f>_xlfn.LET(_xlpm._全体実績予測,
  INDEX('在庫使用計画 (全体実績+予測）0701'!$A$1:$BD$195,
    MATCH($C63,'在庫使用計画 (全体実績+予測）0701'!$C$1:$C$195,0),
    MATCH(AQ$1,'在庫使用計画 (全体実績+予測）0701'!$A$1:$BD$1,0)
),
  IFERROR(
    IF(_xlpm._全体実績予測=0,"",_xlpm._全体実績予測),
  "")
)</f>
        <v>160.01929069466419</v>
      </c>
      <c r="AR63" s="2137">
        <f>_xlfn.LET(_xlpm._全体実績予測,
  INDEX('在庫使用計画 (全体実績+予測）0701'!$A$1:$BD$195,
    MATCH($C63,'在庫使用計画 (全体実績+予測）0701'!$C$1:$C$195,0),
    MATCH(AR$1,'在庫使用計画 (全体実績+予測）0701'!$A$1:$BD$1,0)
),
  IFERROR(
    IF(_xlpm._全体実績予測=0,"",_xlpm._全体実績予測),
  "")
)</f>
        <v>161.59379407616365</v>
      </c>
      <c r="AS63" s="1292">
        <f>_xlfn.LET(_xlpm._全体実績予測,
  INDEX('在庫使用計画 (全体実績+予測）0701'!$A$1:$BD$195,
    MATCH($C63,'在庫使用計画 (全体実績+予測）0701'!$C$1:$C$195,0),
    MATCH(AS$1,'在庫使用計画 (全体実績+予測）0701'!$A$1:$BD$1,0)
),
  IFERROR(
    IF(_xlpm._全体実績予測=0,"",_xlpm._全体実績予測),
  "")
)</f>
        <v>163.10519358180011</v>
      </c>
      <c r="AT63" s="897">
        <f>_xlfn.LET(_xlpm._全体実績予測,
  INDEX('在庫使用計画 (全体実績+予測）0701'!$A$1:$BD$195,
    MATCH($C63,'在庫使用計画 (全体実績+予測）0701'!$C$1:$C$195,0),
    MATCH(AT$1,'在庫使用計画 (全体実績+予測）0701'!$A$1:$BD$1,0)
),
  IFERROR(
    IF(_xlpm._全体実績予測=0,"",_xlpm._全体実績予測),
  "")
)</f>
        <v>256.35388541876563</v>
      </c>
      <c r="AU63" s="896">
        <f>_xlfn.LET(_xlpm._全体実績予測,
  INDEX('在庫使用計画 (全体実績+予測）0701'!$A$1:$BD$195,
    MATCH($C63,'在庫使用計画 (全体実績+予測）0701'!$C$1:$C$195,0),
    MATCH(AU$1,'在庫使用計画 (全体実績+予測）0701'!$A$1:$BD$1,0)
),
  IFERROR(
    IF(_xlpm._全体実績予測=0,"",_xlpm._全体実績予測),
  "")
)</f>
        <v>216.82480387843117</v>
      </c>
      <c r="AV63" s="451">
        <f>_xlfn.LET(_xlpm._全体実績予測,
  INDEX('在庫使用計画 (全体実績+予測）0701'!$A$1:$BD$195,
    MATCH($C63,'在庫使用計画 (全体実績+予測）0701'!$C$1:$C$195,0),
    MATCH(AV$1,'在庫使用計画 (全体実績+予測）0701'!$A$1:$BD$1,0)
),
  IFERROR(
    IF(_xlpm._全体実績予測=0,"",_xlpm._全体実績予測),
  "")
)</f>
        <v>143.35579118812549</v>
      </c>
      <c r="AW63" s="451">
        <f>_xlfn.LET(_xlpm._全体実績予測,
  INDEX('在庫使用計画 (全体実績+予測）0701'!$A$1:$BD$195,
    MATCH($C63,'在庫使用計画 (全体実績+予測）0701'!$C$1:$C$195,0),
    MATCH(AW$1,'在庫使用計画 (全体実績+予測）0701'!$A$1:$BD$1,0)
),
  IFERROR(
    IF(_xlpm._全体実績予測=0,"",_xlpm._全体実績予測),
  "")
)</f>
        <v>214.52772516623014</v>
      </c>
      <c r="AX63" s="451">
        <f>_xlfn.LET(_xlpm._全体実績予測,
  INDEX('在庫使用計画 (全体実績+予測）0701'!$A$1:$BD$195,
    MATCH($C63,'在庫使用計画 (全体実績+予測）0701'!$C$1:$C$195,0),
    MATCH(AX$1,'在庫使用計画 (全体実績+予測）0701'!$A$1:$BD$1,0)
),
  IFERROR(
    IF(_xlpm._全体実績予測=0,"",_xlpm._全体実績予測),
  "")
)</f>
        <v>160.33810872735188</v>
      </c>
      <c r="AY63" s="451">
        <f>_xlfn.LET(_xlpm._全体実績予測,
  INDEX('在庫使用計画 (全体実績+予測）0701'!$A$1:$BD$195,
    MATCH($C63,'在庫使用計画 (全体実績+予測）0701'!$C$1:$C$195,0),
    MATCH(AY$1,'在庫使用計画 (全体実績+予測）0701'!$A$1:$BD$1,0)
),
  IFERROR(
    IF(_xlpm._全体実績予測=0,"",_xlpm._全体実績予測),
  "")
)</f>
        <v>135.59771307676812</v>
      </c>
      <c r="AZ63" s="451">
        <f>_xlfn.LET(_xlpm._全体実績予測,
  INDEX('在庫使用計画 (全体実績+予測）0701'!$A$1:$BD$195,
    MATCH($C63,'在庫使用計画 (全体実績+予測）0701'!$C$1:$C$195,0),
    MATCH(AZ$1,'在庫使用計画 (全体実績+予測）0701'!$A$1:$BD$1,0)
),
  IFERROR(
    IF(_xlpm._全体実績予測=0,"",_xlpm._全体実績予測),
  "")
)</f>
        <v>142.50000000000003</v>
      </c>
      <c r="BA63" s="451">
        <f>_xlfn.LET(_xlpm._全体実績予測,
  INDEX('在庫使用計画 (全体実績+予測）0701'!$A$1:$BD$195,
    MATCH($C63,'在庫使用計画 (全体実績+予測）0701'!$C$1:$C$195,0),
    MATCH(BA$1,'在庫使用計画 (全体実績+予測）0701'!$A$1:$BD$1,0)
),
  IFERROR(
    IF(_xlpm._全体実績予測=0,"",_xlpm._全体実績予測),
  "")
)</f>
        <v>139.9827137484049</v>
      </c>
      <c r="BB63" s="451">
        <f>_xlfn.LET(_xlpm._全体実績予測,
  INDEX('在庫使用計画 (全体実績+予測）0701'!$A$1:$BD$195,
    MATCH($C63,'在庫使用計画 (全体実績+予測）0701'!$C$1:$C$195,0),
    MATCH(BB$1,'在庫使用計画 (全体実績+予測）0701'!$A$1:$BD$1,0)
),
  IFERROR(
    IF(_xlpm._全体実績予測=0,"",_xlpm._全体実績予測),
  "")
)</f>
        <v>148.06132739547053</v>
      </c>
      <c r="BC63" s="451">
        <f>_xlfn.LET(_xlpm._全体実績予測,
  INDEX('在庫使用計画 (全体実績+予測）0701'!$A$1:$BD$195,
    MATCH($C63,'在庫使用計画 (全体実績+予測）0701'!$C$1:$C$195,0),
    MATCH(BC$1,'在庫使用計画 (全体実績+予測）0701'!$A$1:$BD$1,0)
),
  IFERROR(
    IF(_xlpm._全体実績予測=0,"",_xlpm._全体実績予測),
  "")
)</f>
        <v>160.01929069466422</v>
      </c>
      <c r="BD63" s="451">
        <f>_xlfn.LET(_xlpm._全体実績予測,
  INDEX('在庫使用計画 (全体実績+予測）0701'!$A$1:$BD$195,
    MATCH($C63,'在庫使用計画 (全体実績+予測）0701'!$C$1:$C$195,0),
    MATCH(BD$1,'在庫使用計画 (全体実績+予測）0701'!$A$1:$BD$1,0)
),
  IFERROR(
    IF(_xlpm._全体実績予測=0,"",_xlpm._全体実績予測),
  "")
)</f>
        <v>161.59379407616368</v>
      </c>
      <c r="BE63" s="451">
        <f>_xlfn.LET(_xlpm._全体実績予測,
  INDEX('在庫使用計画 (全体実績+予測）0701'!$A$1:$BD$195,
    MATCH($C63,'在庫使用計画 (全体実績+予測）0701'!$C$1:$C$195,0),
    MATCH(BE$1,'在庫使用計画 (全体実績+予測）0701'!$A$1:$BD$1,0)
),
  IFERROR(
    IF(_xlpm._全体実績予測=0,"",_xlpm._全体実績予測),
  "")
)</f>
        <v>163.10519358180014</v>
      </c>
      <c r="BF63" s="897">
        <f>_xlfn.LET(_xlpm._全体実績予測,
  INDEX('在庫使用計画 (全体実績+予測）0701'!$A$1:$BD$195,
    MATCH($C63,'在庫使用計画 (全体実績+予測）0701'!$C$1:$C$195,0),
    MATCH(BF$1,'在庫使用計画 (全体実績+予測）0701'!$A$1:$BD$1,0)
),
  IFERROR(
    IF(_xlpm._全体実績予測=0,"",_xlpm._全体実績予測),
  "")
)</f>
        <v>256.35388541876569</v>
      </c>
    </row>
    <row r="64" spans="1:61" ht="18.75" customHeight="1">
      <c r="A64" s="67"/>
      <c r="B64" s="26" t="str">
        <v/>
      </c>
      <c r="C64" s="373"/>
      <c r="D64" s="68"/>
      <c r="E64" s="68"/>
      <c r="F64" s="68"/>
      <c r="G64" s="355" t="str">
        <v/>
      </c>
      <c r="H64" s="38"/>
      <c r="I64" s="355"/>
      <c r="J64" s="1116" t="str" cm="1">
        <f t="array" ref="J64">_xlfn.IFS($C64="","",
  $G64="","発売前？",
  $G64=0,"在庫なし",
  TRUE,
  IFERROR(
    _xlfn.LET(
      _xlpm._在庫注残,     $G64,
      _xlpm._しきい値,     _xlpm._在庫注残 * 0.75,
      _xlpm._見出し元,     $K$1:$BT$1,
      _xlpm._計画,         $K64:$BT64,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
      </c>
      <c r="K64" s="38"/>
      <c r="L64" s="38"/>
      <c r="M64" s="38"/>
      <c r="N64" s="38"/>
      <c r="O64" s="38"/>
      <c r="P64" s="38"/>
      <c r="Q64" s="116"/>
      <c r="R64" s="1350"/>
      <c r="S64" s="219"/>
      <c r="T64" s="219"/>
      <c r="U64" s="219"/>
      <c r="V64" s="219"/>
      <c r="W64" s="224"/>
      <c r="X64" s="224"/>
      <c r="Y64" s="224"/>
      <c r="Z64" s="237"/>
      <c r="AA64" s="224"/>
      <c r="AB64" s="224" t="s">
        <v>21</v>
      </c>
      <c r="AC64" s="805" t="s">
        <v>21</v>
      </c>
      <c r="AD64" s="244" t="s">
        <v>21</v>
      </c>
      <c r="AE64" s="224" t="s">
        <v>21</v>
      </c>
      <c r="AF64" s="224" t="s">
        <v>21</v>
      </c>
      <c r="AG64" s="224" t="s">
        <v>21</v>
      </c>
      <c r="AH64" s="237" t="s">
        <v>21</v>
      </c>
      <c r="AI64" s="804" t="s">
        <v>21</v>
      </c>
      <c r="AJ64" s="224" t="s">
        <v>21</v>
      </c>
      <c r="AK64" s="224" t="s">
        <v>21</v>
      </c>
      <c r="AL64" s="224" t="s">
        <v>21</v>
      </c>
      <c r="AM64" s="224" t="str">
        <f>IFERROR(IF(SUM(INDEX('在庫使用計画 (一般)'!$A$1:$BF$557,MATCH($C64,'在庫使用計画 (一般)'!$C$1:$C$557,0),MATCH(AM$1,'在庫使用計画 (一般)'!$A$1:$BF$1,0)),INDEX('在庫使用計画 (法人)'!$A$1:$AT$578,MATCH($C64,'在庫使用計画 (法人)'!$C$1:$C$578,0),MATCH(AM$1,'在庫使用計画 (法人)'!$A$1:$AT$1,0)))=0,"",SUM(INDEX('在庫使用計画 (一般)'!$A$1:$BF$557,MATCH($C64,'在庫使用計画 (一般)'!$C$1:$C$557,0),MATCH(AM$1,'在庫使用計画 (一般)'!$A$1:$BF$1,0)),INDEX('在庫使用計画 (法人)'!$A$1:$AT$578,MATCH($C64,'在庫使用計画 (法人)'!$C$1:$C$578,0),MATCH(AM$1,'在庫使用計画 (法人)'!$A$1:$AT$1,0)))),"")</f>
        <v/>
      </c>
      <c r="AN64" s="237" t="str">
        <f>IFERROR(IF(SUM(INDEX('在庫使用計画 (一般)'!$A$1:$BF$557,MATCH($C64,'在庫使用計画 (一般)'!$C$1:$C$557,0),MATCH(AN$1,'在庫使用計画 (一般)'!$A$1:$BF$1,0)),INDEX('在庫使用計画 (法人)'!$A$1:$AT$578,MATCH($C64,'在庫使用計画 (法人)'!$C$1:$C$578,0),MATCH(AN$1,'在庫使用計画 (法人)'!$A$1:$AT$1,0)))=0,"",SUM(INDEX('在庫使用計画 (一般)'!$A$1:$BF$557,MATCH($C64,'在庫使用計画 (一般)'!$C$1:$C$557,0),MATCH(AN$1,'在庫使用計画 (一般)'!$A$1:$BF$1,0)),INDEX('在庫使用計画 (法人)'!$A$1:$AT$578,MATCH($C64,'在庫使用計画 (法人)'!$C$1:$C$578,0),MATCH(AN$1,'在庫使用計画 (法人)'!$A$1:$AT$1,0)))),"")</f>
        <v/>
      </c>
      <c r="AO64" s="237" t="str">
        <f>IFERROR(IF(SUM(INDEX('在庫使用計画 (一般)'!$A$1:$BF$557,MATCH($C64,'在庫使用計画 (一般)'!$C$1:$C$557,0),MATCH(AO$1,'在庫使用計画 (一般)'!$A$1:$BF$1,0)),INDEX('在庫使用計画 (法人)'!$A$1:$AT$578,MATCH($C64,'在庫使用計画 (法人)'!$C$1:$C$578,0),MATCH(AO$1,'在庫使用計画 (法人)'!$A$1:$AT$1,0)))=0,"",SUM(INDEX('在庫使用計画 (一般)'!$A$1:$BF$557,MATCH($C64,'在庫使用計画 (一般)'!$C$1:$C$557,0),MATCH(AO$1,'在庫使用計画 (一般)'!$A$1:$BF$1,0)),INDEX('在庫使用計画 (法人)'!$A$1:$AT$578,MATCH($C64,'在庫使用計画 (法人)'!$C$1:$C$578,0),MATCH(AO$1,'在庫使用計画 (法人)'!$A$1:$AT$1,0)))),"")</f>
        <v/>
      </c>
      <c r="AP64" s="224" t="str">
        <f>IFERROR(IF(SUM(INDEX('在庫使用計画 (一般)'!$A$1:$BF$557,MATCH($C64,'在庫使用計画 (一般)'!$C$1:$C$557,0),MATCH(AP$1,'在庫使用計画 (一般)'!$A$1:$BF$1,0)),INDEX('在庫使用計画 (法人)'!$A$1:$AT$578,MATCH($C64,'在庫使用計画 (法人)'!$C$1:$C$578,0),MATCH(AP$1,'在庫使用計画 (法人)'!$A$1:$AT$1,0)))=0,"",SUM(INDEX('在庫使用計画 (一般)'!$A$1:$BF$557,MATCH($C64,'在庫使用計画 (一般)'!$C$1:$C$557,0),MATCH(AP$1,'在庫使用計画 (一般)'!$A$1:$BF$1,0)),INDEX('在庫使用計画 (法人)'!$A$1:$AT$578,MATCH($C64,'在庫使用計画 (法人)'!$C$1:$C$578,0),MATCH(AP$1,'在庫使用計画 (法人)'!$A$1:$AT$1,0)))),"")</f>
        <v/>
      </c>
      <c r="AQ64" s="1050" t="str">
        <f>IFERROR(IF(SUM(INDEX('在庫使用計画 (一般)'!$A$1:$BF$557,MATCH($C64,'在庫使用計画 (一般)'!$C$1:$C$557,0),MATCH(AQ$1,'在庫使用計画 (一般)'!$A$1:$BF$1,0)),INDEX('在庫使用計画 (法人)'!$A$1:$AT$578,MATCH($C64,'在庫使用計画 (法人)'!$C$1:$C$578,0),MATCH(AQ$1,'在庫使用計画 (法人)'!$A$1:$AT$1,0)))=0,"",SUM(INDEX('在庫使用計画 (一般)'!$A$1:$BF$557,MATCH($C64,'在庫使用計画 (一般)'!$C$1:$C$557,0),MATCH(AQ$1,'在庫使用計画 (一般)'!$A$1:$BF$1,0)),INDEX('在庫使用計画 (法人)'!$A$1:$AT$578,MATCH($C64,'在庫使用計画 (法人)'!$C$1:$C$578,0),MATCH(AQ$1,'在庫使用計画 (法人)'!$A$1:$AT$1,0)))),"")</f>
        <v/>
      </c>
      <c r="AR64" s="2130" t="str">
        <f>IFERROR(IF(SUM(INDEX('在庫使用計画 (一般)'!$A$1:$BF$557,MATCH($C64,'在庫使用計画 (一般)'!$C$1:$C$557,0),MATCH(AR$1,'在庫使用計画 (一般)'!$A$1:$BF$1,0)),INDEX('在庫使用計画 (法人)'!$A$1:$AT$578,MATCH($C64,'在庫使用計画 (法人)'!$C$1:$C$578,0),MATCH(AR$1,'在庫使用計画 (法人)'!$A$1:$AT$1,0)))=0,"",SUM(INDEX('在庫使用計画 (一般)'!$A$1:$BF$557,MATCH($C64,'在庫使用計画 (一般)'!$C$1:$C$557,0),MATCH(AR$1,'在庫使用計画 (一般)'!$A$1:$BF$1,0)),INDEX('在庫使用計画 (法人)'!$A$1:$AT$578,MATCH($C64,'在庫使用計画 (法人)'!$C$1:$C$578,0),MATCH(AR$1,'在庫使用計画 (法人)'!$A$1:$AT$1,0)))),"")</f>
        <v/>
      </c>
      <c r="AS64" s="244" t="str">
        <f>IFERROR(IF(SUM(INDEX('在庫使用計画 (一般)'!$A$1:$BF$557,MATCH($C64,'在庫使用計画 (一般)'!$C$1:$C$557,0),MATCH(AS$1,'在庫使用計画 (一般)'!$A$1:$BF$1,0)),INDEX('在庫使用計画 (法人)'!$A$1:$AT$578,MATCH($C64,'在庫使用計画 (法人)'!$C$1:$C$578,0),MATCH(AS$1,'在庫使用計画 (法人)'!$A$1:$AT$1,0)))=0,"",SUM(INDEX('在庫使用計画 (一般)'!$A$1:$BF$557,MATCH($C64,'在庫使用計画 (一般)'!$C$1:$C$557,0),MATCH(AS$1,'在庫使用計画 (一般)'!$A$1:$BF$1,0)),INDEX('在庫使用計画 (法人)'!$A$1:$AT$578,MATCH($C64,'在庫使用計画 (法人)'!$C$1:$C$578,0),MATCH(AS$1,'在庫使用計画 (法人)'!$A$1:$AT$1,0)))),"")</f>
        <v/>
      </c>
      <c r="AT64" s="805" t="str">
        <f>IFERROR(IF(SUM(INDEX('在庫使用計画 (一般)'!$A$1:$BF$557,MATCH($C64,'在庫使用計画 (一般)'!$C$1:$C$557,0),MATCH(AT$1,'在庫使用計画 (一般)'!$A$1:$BF$1,0)),INDEX('在庫使用計画 (法人)'!$A$1:$AT$578,MATCH($C64,'在庫使用計画 (法人)'!$C$1:$C$578,0),MATCH(AT$1,'在庫使用計画 (法人)'!$A$1:$AT$1,0)))=0,"",SUM(INDEX('在庫使用計画 (一般)'!$A$1:$BF$557,MATCH($C64,'在庫使用計画 (一般)'!$C$1:$C$557,0),MATCH(AT$1,'在庫使用計画 (一般)'!$A$1:$BF$1,0)),INDEX('在庫使用計画 (法人)'!$A$1:$AT$578,MATCH($C64,'在庫使用計画 (法人)'!$C$1:$C$578,0),MATCH(AT$1,'在庫使用計画 (法人)'!$A$1:$AT$1,0)))),"")</f>
        <v/>
      </c>
      <c r="AU64" s="804" t="str">
        <f>IFERROR(IF(SUM(INDEX('在庫使用計画 (一般)'!$A$1:$BF$557,MATCH($C64,'在庫使用計画 (一般)'!$C$1:$C$557,0),MATCH(AU$1,'在庫使用計画 (一般)'!$A$1:$BF$1,0)),INDEX('在庫使用計画 (法人)'!$A$1:$AT$578,MATCH($C64,'在庫使用計画 (法人)'!$C$1:$C$578,0),MATCH(AU$1,'在庫使用計画 (法人)'!$A$1:$AT$1,0)))=0,"",SUM(INDEX('在庫使用計画 (一般)'!$A$1:$BF$557,MATCH($C64,'在庫使用計画 (一般)'!$C$1:$C$557,0),MATCH(AU$1,'在庫使用計画 (一般)'!$A$1:$BF$1,0)),INDEX('在庫使用計画 (法人)'!$A$1:$AT$578,MATCH($C64,'在庫使用計画 (法人)'!$C$1:$C$578,0),MATCH(AU$1,'在庫使用計画 (法人)'!$A$1:$AT$1,0)))),"")</f>
        <v/>
      </c>
      <c r="AV64" s="224" t="str">
        <f>IFERROR(IF(SUM(INDEX('在庫使用計画 (一般)'!$A$1:$BF$557,MATCH($C64,'在庫使用計画 (一般)'!$C$1:$C$557,0),MATCH(AV$1,'在庫使用計画 (一般)'!$A$1:$BF$1,0)),INDEX('在庫使用計画 (法人)'!$A$1:$AT$578,MATCH($C64,'在庫使用計画 (法人)'!$C$1:$C$578,0),MATCH(AV$1,'在庫使用計画 (法人)'!$A$1:$AT$1,0)))=0,"",SUM(INDEX('在庫使用計画 (一般)'!$A$1:$BF$557,MATCH($C64,'在庫使用計画 (一般)'!$C$1:$C$557,0),MATCH(AV$1,'在庫使用計画 (一般)'!$A$1:$BF$1,0)),INDEX('在庫使用計画 (法人)'!$A$1:$AT$578,MATCH($C64,'在庫使用計画 (法人)'!$C$1:$C$578,0),MATCH(AV$1,'在庫使用計画 (法人)'!$A$1:$AT$1,0)))),"")</f>
        <v/>
      </c>
      <c r="AW64" s="224" t="str">
        <f>IFERROR(IF(SUM(INDEX('在庫使用計画 (一般)'!$A$1:$BF$557,MATCH($C64,'在庫使用計画 (一般)'!$C$1:$C$557,0),MATCH(AW$1,'在庫使用計画 (一般)'!$A$1:$BF$1,0)),INDEX('在庫使用計画 (法人)'!$A$1:$AT$578,MATCH($C64,'在庫使用計画 (法人)'!$C$1:$C$578,0),MATCH(AW$1,'在庫使用計画 (法人)'!$A$1:$AT$1,0)))=0,"",SUM(INDEX('在庫使用計画 (一般)'!$A$1:$BF$557,MATCH($C64,'在庫使用計画 (一般)'!$C$1:$C$557,0),MATCH(AW$1,'在庫使用計画 (一般)'!$A$1:$BF$1,0)),INDEX('在庫使用計画 (法人)'!$A$1:$AT$578,MATCH($C64,'在庫使用計画 (法人)'!$C$1:$C$578,0),MATCH(AW$1,'在庫使用計画 (法人)'!$A$1:$AT$1,0)))),"")</f>
        <v/>
      </c>
      <c r="AX64" s="224" t="str">
        <f>IFERROR(IF(SUM(INDEX('在庫使用計画 (一般)'!$A$1:$BF$557,MATCH($C64,'在庫使用計画 (一般)'!$C$1:$C$557,0),MATCH(AX$1,'在庫使用計画 (一般)'!$A$1:$BF$1,0)),INDEX('在庫使用計画 (法人)'!$A$1:$AT$578,MATCH($C64,'在庫使用計画 (法人)'!$C$1:$C$578,0),MATCH(AX$1,'在庫使用計画 (法人)'!$A$1:$AT$1,0)))=0,"",SUM(INDEX('在庫使用計画 (一般)'!$A$1:$BF$557,MATCH($C64,'在庫使用計画 (一般)'!$C$1:$C$557,0),MATCH(AX$1,'在庫使用計画 (一般)'!$A$1:$BF$1,0)),INDEX('在庫使用計画 (法人)'!$A$1:$AT$578,MATCH($C64,'在庫使用計画 (法人)'!$C$1:$C$578,0),MATCH(AX$1,'在庫使用計画 (法人)'!$A$1:$AT$1,0)))),"")</f>
        <v/>
      </c>
      <c r="AY64" s="224" t="str">
        <f>IFERROR(IF(SUM(INDEX('在庫使用計画 (一般)'!$A$1:$BF$557,MATCH($C64,'在庫使用計画 (一般)'!$C$1:$C$557,0),MATCH(AY$1,'在庫使用計画 (一般)'!$A$1:$BF$1,0)),INDEX('在庫使用計画 (法人)'!$A$1:$AT$578,MATCH($C64,'在庫使用計画 (法人)'!$C$1:$C$578,0),MATCH(AY$1,'在庫使用計画 (法人)'!$A$1:$AT$1,0)))=0,"",SUM(INDEX('在庫使用計画 (一般)'!$A$1:$BF$557,MATCH($C64,'在庫使用計画 (一般)'!$C$1:$C$557,0),MATCH(AY$1,'在庫使用計画 (一般)'!$A$1:$BF$1,0)),INDEX('在庫使用計画 (法人)'!$A$1:$AT$578,MATCH($C64,'在庫使用計画 (法人)'!$C$1:$C$578,0),MATCH(AY$1,'在庫使用計画 (法人)'!$A$1:$AT$1,0)))),"")</f>
        <v/>
      </c>
      <c r="AZ64" s="224" t="str">
        <f>IFERROR(IF(SUM(INDEX('在庫使用計画 (一般)'!$A$1:$BF$557,MATCH($C64,'在庫使用計画 (一般)'!$C$1:$C$557,0),MATCH(AZ$1,'在庫使用計画 (一般)'!$A$1:$BF$1,0)),INDEX('在庫使用計画 (法人)'!$A$1:$AT$578,MATCH($C64,'在庫使用計画 (法人)'!$C$1:$C$578,0),MATCH(AZ$1,'在庫使用計画 (法人)'!$A$1:$AT$1,0)))=0,"",SUM(INDEX('在庫使用計画 (一般)'!$A$1:$BF$557,MATCH($C64,'在庫使用計画 (一般)'!$C$1:$C$557,0),MATCH(AZ$1,'在庫使用計画 (一般)'!$A$1:$BF$1,0)),INDEX('在庫使用計画 (法人)'!$A$1:$AT$578,MATCH($C64,'在庫使用計画 (法人)'!$C$1:$C$578,0),MATCH(AZ$1,'在庫使用計画 (法人)'!$A$1:$AT$1,0)))),"")</f>
        <v/>
      </c>
      <c r="BA64" s="224" t="str">
        <f>IFERROR(IF(SUM(INDEX('在庫使用計画 (一般)'!$A$1:$BF$557,MATCH($C64,'在庫使用計画 (一般)'!$C$1:$C$557,0),MATCH(BA$1,'在庫使用計画 (一般)'!$A$1:$BF$1,0)),INDEX('在庫使用計画 (法人)'!$A$1:$AT$578,MATCH($C64,'在庫使用計画 (法人)'!$C$1:$C$578,0),MATCH(BA$1,'在庫使用計画 (法人)'!$A$1:$AT$1,0)))=0,"",SUM(INDEX('在庫使用計画 (一般)'!$A$1:$BF$557,MATCH($C64,'在庫使用計画 (一般)'!$C$1:$C$557,0),MATCH(BA$1,'在庫使用計画 (一般)'!$A$1:$BF$1,0)),INDEX('在庫使用計画 (法人)'!$A$1:$AT$578,MATCH($C64,'在庫使用計画 (法人)'!$C$1:$C$578,0),MATCH(BA$1,'在庫使用計画 (法人)'!$A$1:$AT$1,0)))),"")</f>
        <v/>
      </c>
      <c r="BB64" s="224" t="str">
        <f>IFERROR(IF(SUM(INDEX('在庫使用計画 (一般)'!$A$1:$BF$557,MATCH($C64,'在庫使用計画 (一般)'!$C$1:$C$557,0),MATCH(BB$1,'在庫使用計画 (一般)'!$A$1:$BF$1,0)),INDEX('在庫使用計画 (法人)'!$A$1:$AT$578,MATCH($C64,'在庫使用計画 (法人)'!$C$1:$C$578,0),MATCH(BB$1,'在庫使用計画 (法人)'!$A$1:$AT$1,0)))=0,"",SUM(INDEX('在庫使用計画 (一般)'!$A$1:$BF$557,MATCH($C64,'在庫使用計画 (一般)'!$C$1:$C$557,0),MATCH(BB$1,'在庫使用計画 (一般)'!$A$1:$BF$1,0)),INDEX('在庫使用計画 (法人)'!$A$1:$AT$578,MATCH($C64,'在庫使用計画 (法人)'!$C$1:$C$578,0),MATCH(BB$1,'在庫使用計画 (法人)'!$A$1:$AT$1,0)))),"")</f>
        <v/>
      </c>
      <c r="BC64" s="224" t="str">
        <f>IFERROR(IF(SUM(INDEX('在庫使用計画 (一般)'!$A$1:$BF$557,MATCH($C64,'在庫使用計画 (一般)'!$C$1:$C$557,0),MATCH(BC$1,'在庫使用計画 (一般)'!$A$1:$BF$1,0)),INDEX('在庫使用計画 (法人)'!$A$1:$AT$578,MATCH($C64,'在庫使用計画 (法人)'!$C$1:$C$578,0),MATCH(BC$1,'在庫使用計画 (法人)'!$A$1:$AT$1,0)))=0,"",SUM(INDEX('在庫使用計画 (一般)'!$A$1:$BF$557,MATCH($C64,'在庫使用計画 (一般)'!$C$1:$C$557,0),MATCH(BC$1,'在庫使用計画 (一般)'!$A$1:$BF$1,0)),INDEX('在庫使用計画 (法人)'!$A$1:$AT$578,MATCH($C64,'在庫使用計画 (法人)'!$C$1:$C$578,0),MATCH(BC$1,'在庫使用計画 (法人)'!$A$1:$AT$1,0)))),"")</f>
        <v/>
      </c>
      <c r="BD64" s="224" t="str">
        <f>IFERROR(IF(SUM(INDEX('在庫使用計画 (一般)'!$A$1:$BF$557,MATCH($C64,'在庫使用計画 (一般)'!$C$1:$C$557,0),MATCH(BD$1,'在庫使用計画 (一般)'!$A$1:$BF$1,0)),INDEX('在庫使用計画 (法人)'!$A$1:$AT$578,MATCH($C64,'在庫使用計画 (法人)'!$C$1:$C$578,0),MATCH(BD$1,'在庫使用計画 (法人)'!$A$1:$AT$1,0)))=0,"",SUM(INDEX('在庫使用計画 (一般)'!$A$1:$BF$557,MATCH($C64,'在庫使用計画 (一般)'!$C$1:$C$557,0),MATCH(BD$1,'在庫使用計画 (一般)'!$A$1:$BF$1,0)),INDEX('在庫使用計画 (法人)'!$A$1:$AT$578,MATCH($C64,'在庫使用計画 (法人)'!$C$1:$C$578,0),MATCH(BD$1,'在庫使用計画 (法人)'!$A$1:$AT$1,0)))),"")</f>
        <v/>
      </c>
      <c r="BE64" s="224" t="str">
        <f>IFERROR(IF(SUM(INDEX('在庫使用計画 (一般)'!$A$1:$BF$557,MATCH($C64,'在庫使用計画 (一般)'!$C$1:$C$557,0),MATCH(BE$1,'在庫使用計画 (一般)'!$A$1:$BF$1,0)),INDEX('在庫使用計画 (法人)'!$A$1:$AT$578,MATCH($C64,'在庫使用計画 (法人)'!$C$1:$C$578,0),MATCH(BE$1,'在庫使用計画 (法人)'!$A$1:$AT$1,0)))=0,"",SUM(INDEX('在庫使用計画 (一般)'!$A$1:$BF$557,MATCH($C64,'在庫使用計画 (一般)'!$C$1:$C$557,0),MATCH(BE$1,'在庫使用計画 (一般)'!$A$1:$BF$1,0)),INDEX('在庫使用計画 (法人)'!$A$1:$AT$578,MATCH($C64,'在庫使用計画 (法人)'!$C$1:$C$578,0),MATCH(BE$1,'在庫使用計画 (法人)'!$A$1:$AT$1,0)))),"")</f>
        <v/>
      </c>
      <c r="BF64" s="805" t="str">
        <f>IFERROR(IF(SUM(INDEX('在庫使用計画 (一般)'!$A$1:$BF$557,MATCH($C64,'在庫使用計画 (一般)'!$C$1:$C$557,0),MATCH(BF$1,'在庫使用計画 (一般)'!$A$1:$BF$1,0)),INDEX('在庫使用計画 (法人)'!$A$1:$AT$578,MATCH($C64,'在庫使用計画 (法人)'!$C$1:$C$578,0),MATCH(BF$1,'在庫使用計画 (法人)'!$A$1:$AT$1,0)))=0,"",SUM(INDEX('在庫使用計画 (一般)'!$A$1:$BF$557,MATCH($C64,'在庫使用計画 (一般)'!$C$1:$C$557,0),MATCH(BF$1,'在庫使用計画 (一般)'!$A$1:$BF$1,0)),INDEX('在庫使用計画 (法人)'!$A$1:$AT$578,MATCH($C64,'在庫使用計画 (法人)'!$C$1:$C$578,0),MATCH(BF$1,'在庫使用計画 (法人)'!$A$1:$AT$1,0)))),"")</f>
        <v/>
      </c>
    </row>
    <row r="65" spans="1:60" ht="18.75" customHeight="1">
      <c r="A65" s="67" t="s">
        <v>1785</v>
      </c>
      <c r="B65" s="1163" t="str">
        <v>CLE-V35-14650HX-5060-L6 Creator</v>
      </c>
      <c r="C65" s="25" t="s">
        <v>1786</v>
      </c>
      <c r="D65" s="1267" t="s">
        <v>1787</v>
      </c>
      <c r="E65" s="68">
        <v>5060</v>
      </c>
      <c r="F65" s="68"/>
      <c r="G65" s="355">
        <v>536</v>
      </c>
      <c r="H65" s="38">
        <f ca="1">_xlfn.LET(_xlpm._今月から4ヶ月計画合計,
  SUM(
    OFFSET($A65,0,
      MATCH(
        EDATE(基準データ!$C$5,3),$A$1:$BE$1,1
      )-4,1,4)),
  IF($C65="","",_xlpm._今月から4ヶ月計画合計
)
)</f>
        <v>470.24424598020568</v>
      </c>
      <c r="I65" s="38">
        <f>SUMIFS(マスタ_EOLリスト[在庫],マスタ_EOLリスト[製品型番],'在庫使用計画 (計画　予測)'!$C:$C)</f>
        <v>536</v>
      </c>
      <c r="J65" s="1116" cm="1">
        <f t="array" ref="J65">_xlfn.IFS($C65="","",
  $G65="","発売前？",
  $G65=0,"在庫なし",
  TRUE,
  IFERROR(
    _xlfn.LET(
      _xlpm._在庫注残,     $G65,
      _xlpm._しきい値,     _xlpm._在庫注残 * 0.75,
      _xlpm._見出し元,     $K$1:$BT$1,
      _xlpm._計画,         $K65:$BT65,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46266</v>
      </c>
      <c r="K65" s="38"/>
      <c r="L65" s="38"/>
      <c r="M65" s="38"/>
      <c r="N65" s="38"/>
      <c r="O65" s="38"/>
      <c r="P65" s="38"/>
      <c r="Q65" s="116"/>
      <c r="R65" s="1350"/>
      <c r="S65" s="219"/>
      <c r="T65" s="219"/>
      <c r="U65" s="219"/>
      <c r="V65" s="219"/>
      <c r="W65" s="224" t="s">
        <v>21</v>
      </c>
      <c r="X65" s="224" t="s">
        <v>21</v>
      </c>
      <c r="Y65" s="224" t="s">
        <v>21</v>
      </c>
      <c r="Z65" s="224" t="s">
        <v>21</v>
      </c>
      <c r="AA65" s="224" t="s">
        <v>21</v>
      </c>
      <c r="AB65" s="224" t="s">
        <v>21</v>
      </c>
      <c r="AC65" s="805">
        <v>235</v>
      </c>
      <c r="AD65" s="244">
        <v>120</v>
      </c>
      <c r="AE65" s="224">
        <v>310</v>
      </c>
      <c r="AF65" s="224">
        <v>230</v>
      </c>
      <c r="AG65" s="224">
        <v>200</v>
      </c>
      <c r="AH65" s="237">
        <v>222.5</v>
      </c>
      <c r="AI65" s="804">
        <v>157</v>
      </c>
      <c r="AJ65" s="224">
        <v>163.74456355283309</v>
      </c>
      <c r="AK65" s="224">
        <v>176.61490556406329</v>
      </c>
      <c r="AL65" s="224">
        <v>100</v>
      </c>
      <c r="AM65" s="224">
        <f>_xlfn.XLOOKUP(
$C65,
'在庫使用計画 (ノート全体試算)'!$C$1:$C$170,
'在庫使用計画 (ノート全体試算)'!AN$1:AN$170,
"")</f>
        <v>115</v>
      </c>
      <c r="AN65" s="237">
        <f>_xlfn.XLOOKUP(
$C65,
'在庫使用計画 (ノート全体試算)'!$C$1:$C$170,
'在庫使用計画 (ノート全体試算)'!AO$1:AO$170,
"")</f>
        <v>128</v>
      </c>
      <c r="AO65" s="237">
        <f>_xlfn.XLOOKUP(
$C65,
'在庫使用計画 (ノート全体試算)'!$C$1:$C$170,
'在庫使用計画 (ノート全体試算)'!AP$1:AP$170,
"")</f>
        <v>198</v>
      </c>
      <c r="AP65" s="224">
        <f>_xlfn.XLOOKUP(
$C65,
'在庫使用計画 (ノート全体試算)'!$C$1:$C$170,
'在庫使用計画 (ノート全体試算)'!AQ$1:AQ$170,
"")</f>
        <v>134.89566991296857</v>
      </c>
      <c r="AQ65" s="1050">
        <f>_xlfn.XLOOKUP(
$C65,
'在庫使用計画 (ノート全体試算)'!$C$1:$C$170,
'在庫使用計画 (ノート全体試算)'!AR$1:AR$170,
"")</f>
        <v>137.3485760672371</v>
      </c>
      <c r="AR65" s="2130" t="str">
        <f>_xlfn.XLOOKUP(
$C65,
'在庫使用計画 (ノート全体試算)'!$C$1:$C$170,
'在庫使用計画 (ノート全体試算)'!AS$1:AS$170,
"")</f>
        <v/>
      </c>
      <c r="AS65" s="244" t="str">
        <f>_xlfn.XLOOKUP(
$C65,
'在庫使用計画 (ノート全体試算)'!$C$1:$C$170,
'在庫使用計画 (ノート全体試算)'!AT$1:AT$170,
"")</f>
        <v/>
      </c>
      <c r="AT65" s="805" t="str">
        <f>_xlfn.XLOOKUP(
$C65,
'在庫使用計画 (ノート全体試算)'!$C$1:$C$170,
'在庫使用計画 (ノート全体試算)'!AU$1:AU$170,
"")</f>
        <v/>
      </c>
      <c r="AU65" s="804" t="str">
        <f>_xlfn.XLOOKUP(
$C65,
'在庫使用計画 (ノート全体試算)'!$C$1:$C$170,
'在庫使用計画 (ノート全体試算)'!AV$1:AV$170,
"")</f>
        <v/>
      </c>
      <c r="AV65" s="224" t="str">
        <f>_xlfn.XLOOKUP(
$C65,
'在庫使用計画 (ノート全体試算)'!$C$1:$C$170,
'在庫使用計画 (ノート全体試算)'!AW$1:AW$170,
"")</f>
        <v/>
      </c>
      <c r="AW65" s="224" t="str">
        <f>_xlfn.XLOOKUP(
$C65,
'在庫使用計画 (ノート全体試算)'!$C$1:$C$170,
'在庫使用計画 (ノート全体試算)'!AX$1:AX$170,
"")</f>
        <v/>
      </c>
      <c r="AX65" s="224" t="str">
        <f>_xlfn.XLOOKUP(
$C65,
'在庫使用計画 (ノート全体試算)'!$C$1:$C$170,
'在庫使用計画 (ノート全体試算)'!AY$1:AY$170,
"")</f>
        <v/>
      </c>
      <c r="AY65" s="224" t="str">
        <f>_xlfn.XLOOKUP(
$C65,
'在庫使用計画 (ノート全体試算)'!$C$1:$C$170,
'在庫使用計画 (ノート全体試算)'!AZ$1:AZ$170,
"")</f>
        <v/>
      </c>
      <c r="AZ65" s="224" t="str">
        <f>_xlfn.XLOOKUP(
$C65,
'在庫使用計画 (ノート全体試算)'!$C$1:$C$170,
'在庫使用計画 (ノート全体試算)'!BA$1:BA$170,
"")</f>
        <v/>
      </c>
      <c r="BA65" s="224" t="str">
        <f>_xlfn.XLOOKUP(
$C65,
'在庫使用計画 (ノート全体試算)'!$C$1:$C$170,
'在庫使用計画 (ノート全体試算)'!BB$1:BB$170,
"")</f>
        <v/>
      </c>
      <c r="BB65" s="224" t="str">
        <f>_xlfn.XLOOKUP(
$C65,
'在庫使用計画 (ノート全体試算)'!$C$1:$C$170,
'在庫使用計画 (ノート全体試算)'!BC$1:BC$170,
"")</f>
        <v/>
      </c>
      <c r="BC65" s="224" t="str">
        <f>_xlfn.XLOOKUP(
$C65,
'在庫使用計画 (ノート全体試算)'!$C$1:$C$170,
'在庫使用計画 (ノート全体試算)'!BD$1:BD$170,
"")</f>
        <v/>
      </c>
      <c r="BD65" s="224" t="str">
        <f>_xlfn.XLOOKUP(
$C65,
'在庫使用計画 (ノート全体試算)'!$C$1:$C$170,
'在庫使用計画 (ノート全体試算)'!BE$1:BE$170,
"")</f>
        <v/>
      </c>
      <c r="BE65" s="224" t="str">
        <f>_xlfn.XLOOKUP(
$C65,
'在庫使用計画 (ノート全体試算)'!$C$1:$C$170,
'在庫使用計画 (ノート全体試算)'!BF$1:BF$170,
"")</f>
        <v/>
      </c>
      <c r="BF65" s="805" t="str">
        <f>_xlfn.XLOOKUP(
$C65,
'在庫使用計画 (ノート全体試算)'!$C$1:$C$170,
'在庫使用計画 (ノート全体試算)'!BG$1:BG$170,
"")</f>
        <v/>
      </c>
      <c r="BG65" s="2091" t="s">
        <v>2663</v>
      </c>
    </row>
    <row r="66" spans="1:60" ht="18.75" customHeight="1">
      <c r="A66" s="445"/>
      <c r="B66" s="1261" t="str">
        <v>CLE-V35-14650HX-5060-L6 Creator</v>
      </c>
      <c r="C66" s="452" t="s">
        <v>1786</v>
      </c>
      <c r="D66" s="1262" t="s">
        <v>1763</v>
      </c>
      <c r="E66" s="446"/>
      <c r="F66" s="447"/>
      <c r="G66" s="448">
        <v>536</v>
      </c>
      <c r="H66" s="448">
        <f ca="1">_xlfn.LET(_xlpm._今月から4ヶ月計画合計,
  SUM(
    OFFSET($A66,0,
      MATCH(
        EDATE(基準データ!$C$5,3),$A$1:$BE$1,1
      )-4,1,4)),
  IF($C66="","",_xlpm._今月から4ヶ月計画合計
)
)</f>
        <v>302.53661887496548</v>
      </c>
      <c r="I66" s="448">
        <f t="shared" ref="I66:I76" si="11">I65</f>
        <v>536</v>
      </c>
      <c r="J66" s="1116" cm="1">
        <f t="array" ref="J66">_xlfn.IFS($C66="","",
  $G66="","発売前？",
  $G66=0,"在庫なし",
  TRUE,
  IFERROR(
    _xlfn.LET(
      _xlpm._在庫注残,     $G66,
      _xlpm._しきい値,     _xlpm._在庫注残 * 0.75,
      _xlpm._見出し元,     $K$1:$BT$1,
      _xlpm._計画,         $K66:$BT66,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46357</v>
      </c>
      <c r="K66" s="448"/>
      <c r="L66" s="448"/>
      <c r="M66" s="448"/>
      <c r="N66" s="448"/>
      <c r="O66" s="448"/>
      <c r="P66" s="448"/>
      <c r="Q66" s="540"/>
      <c r="R66" s="900"/>
      <c r="S66" s="449"/>
      <c r="T66" s="449"/>
      <c r="U66" s="449"/>
      <c r="V66" s="450"/>
      <c r="W66" s="455" t="s">
        <v>21</v>
      </c>
      <c r="X66" s="455" t="s">
        <v>21</v>
      </c>
      <c r="Y66" s="455" t="s">
        <v>21</v>
      </c>
      <c r="Z66" s="453" t="s">
        <v>21</v>
      </c>
      <c r="AA66" s="453" t="s">
        <v>21</v>
      </c>
      <c r="AB66" s="449">
        <v>2</v>
      </c>
      <c r="AC66" s="899">
        <v>70</v>
      </c>
      <c r="AD66" s="1290">
        <v>180</v>
      </c>
      <c r="AE66" s="453">
        <v>229</v>
      </c>
      <c r="AF66" s="453">
        <v>189</v>
      </c>
      <c r="AG66" s="451">
        <v>161</v>
      </c>
      <c r="AH66" s="237">
        <v>238</v>
      </c>
      <c r="AI66" s="896">
        <v>160</v>
      </c>
      <c r="AJ66" s="451">
        <v>141</v>
      </c>
      <c r="AK66" s="451">
        <v>141</v>
      </c>
      <c r="AL66" s="451">
        <v>71</v>
      </c>
      <c r="AM66" s="451">
        <f>_xlfn.LET(_xlpm._全体実績予測,
  INDEX('在庫使用計画 (全体実績+予測）0701'!$A$1:$BD$195,
    MATCH($C66,'在庫使用計画 (全体実績+予測）0701'!$C$1:$C$195,0),
    MATCH(AM$1,'在庫使用計画 (全体実績+予測）0701'!$A$1:$BD$1,0)
),
  IFERROR(
    IF(_xlpm._全体実績予測=0,"",_xlpm._全体実績予測),
  "")
)</f>
        <v>56</v>
      </c>
      <c r="AN66" s="889">
        <f>_xlfn.LET(_xlpm._全体実績予測,
  INDEX('在庫使用計画 (全体実績+予測）0701'!$A$1:$BD$195,
    MATCH($C66,'在庫使用計画 (全体実績+予測）0701'!$C$1:$C$195,0),
    MATCH(AN$1,'在庫使用計画 (全体実績+予測）0701'!$A$1:$BD$1,0)
),
  IFERROR(
    IF(_xlpm._全体実績予測=0,"",_xlpm._全体実績予測),
  "")
)</f>
        <v>70.714285714285722</v>
      </c>
      <c r="AO66" s="889">
        <f>_xlfn.LET(_xlpm._全体実績予測,
  INDEX('在庫使用計画 (全体実績+予測）0701'!$A$1:$BD$195,
    MATCH($C66,'在庫使用計画 (全体実績+予測）0701'!$C$1:$C$195,0),
    MATCH(AO$1,'在庫使用計画 (全体実績+予測）0701'!$A$1:$BD$1,0)
),
  IFERROR(
    IF(_xlpm._全体実績予測=0,"",_xlpm._全体実績予測),
  "")
)</f>
        <v>69.465106070637006</v>
      </c>
      <c r="AP66" s="451">
        <f>_xlfn.LET(_xlpm._全体実績予測,
  INDEX('在庫使用計画 (全体実績+予測）0701'!$A$1:$BD$195,
    MATCH($C66,'在庫使用計画 (全体実績+予測）0701'!$C$1:$C$195,0),
    MATCH(AP$1,'在庫使用計画 (全体実績+予測）0701'!$A$1:$BD$1,0)
),
  IFERROR(
    IF(_xlpm._全体実績予測=0,"",_xlpm._全体実績予測),
  "")
)</f>
        <v>73.474042166173319</v>
      </c>
      <c r="AQ66" s="2121">
        <f>_xlfn.LET(_xlpm._全体実績予測,
  INDEX('在庫使用計画 (全体実績+予測）0701'!$A$1:$BD$195,
    MATCH($C66,'在庫使用計画 (全体実績+予測）0701'!$C$1:$C$195,0),
    MATCH(AQ$1,'在庫使用計画 (全体実績+予測）0701'!$A$1:$BD$1,0)
),
  IFERROR(
    IF(_xlpm._全体実績予測=0,"",_xlpm._全体実績予測),
  "")
)</f>
        <v>79.408069066525073</v>
      </c>
      <c r="AR66" s="2137">
        <f>_xlfn.LET(_xlpm._全体実績予測,
  INDEX('在庫使用計画 (全体実績+予測）0701'!$A$1:$BD$195,
    MATCH($C66,'在庫使用計画 (全体実績+予測）0701'!$C$1:$C$195,0),
    MATCH(AR$1,'在庫使用計画 (全体実績+予測）0701'!$A$1:$BD$1,0)
),
  IFERROR(
    IF(_xlpm._全体実績予測=0,"",_xlpm._全体実績予測),
  "")
)</f>
        <v>80.189401571630057</v>
      </c>
      <c r="AS66" s="1292">
        <f>_xlfn.LET(_xlpm._全体実績予測,
  INDEX('在庫使用計画 (全体実績+予測）0701'!$A$1:$BD$195,
    MATCH($C66,'在庫使用計画 (全体実績+予測）0701'!$C$1:$C$195,0),
    MATCH(AS$1,'在庫使用計画 (全体実績+予測）0701'!$A$1:$BD$1,0)
),
  IFERROR(
    IF(_xlpm._全体実績予測=0,"",_xlpm._全体実績予測),
  "")
)</f>
        <v>80.939419371419575</v>
      </c>
      <c r="AT66" s="897">
        <f>_xlfn.LET(_xlpm._全体実績予測,
  INDEX('在庫使用計画 (全体実績+予測）0701'!$A$1:$BD$195,
    MATCH($C66,'在庫使用計画 (全体実績+予測）0701'!$C$1:$C$195,0),
    MATCH(AT$1,'在庫使用計画 (全体実績+予測）0701'!$A$1:$BD$1,0)
),
  IFERROR(
    IF(_xlpm._全体実績予測=0,"",_xlpm._全体実績予測),
  "")
)</f>
        <v>127.21320629803402</v>
      </c>
      <c r="AU66" s="896">
        <f>_xlfn.LET(_xlpm._全体実績予測,
  INDEX('在庫使用計画 (全体実績+予測）0701'!$A$1:$BD$195,
    MATCH($C66,'在庫使用計画 (全体実績+予測）0701'!$C$1:$C$195,0),
    MATCH(AU$1,'在庫使用計画 (全体実績+予測）0701'!$A$1:$BD$1,0)
),
  IFERROR(
    IF(_xlpm._全体実績予測=0,"",_xlpm._全体実績予測),
  "")
)</f>
        <v>107.5972710975673</v>
      </c>
      <c r="AV66" s="451">
        <f>_xlfn.LET(_xlpm._全体実績予測,
  INDEX('在庫使用計画 (全体実績+予測）0701'!$A$1:$BD$195,
    MATCH($C66,'在庫使用計画 (全体実績+予測）0701'!$C$1:$C$195,0),
    MATCH(AV$1,'在庫使用計画 (全体実績+予測）0701'!$A$1:$BD$1,0)
),
  IFERROR(
    IF(_xlpm._全体実績予測=0,"",_xlpm._全体実績予測),
  "")
)</f>
        <v>71.138964048242698</v>
      </c>
      <c r="AW66" s="451">
        <f>_xlfn.LET(_xlpm._全体実績予測,
  INDEX('在庫使用計画 (全体実績+予測）0701'!$A$1:$BD$195,
    MATCH($C66,'在庫使用計画 (全体実績+予測）0701'!$C$1:$C$195,0),
    MATCH(AW$1,'在庫使用計画 (全体実績+予測）0701'!$A$1:$BD$1,0)
),
  IFERROR(
    IF(_xlpm._全体実績予測=0,"",_xlpm._全体実績予測),
  "")
)</f>
        <v>106.45736737572318</v>
      </c>
      <c r="AX66" s="451">
        <f>_xlfn.LET(_xlpm._全体実績予測,
  INDEX('在庫使用計画 (全体実績+予測）0701'!$A$1:$BD$195,
    MATCH($C66,'在庫使用計画 (全体実績+予測）0701'!$C$1:$C$195,0),
    MATCH(AX$1,'在庫使用計画 (全体実績+予測）0701'!$A$1:$BD$1,0)
),
  IFERROR(
    IF(_xlpm._全体実績予測=0,"",_xlpm._全体実績予測),
  "")
)</f>
        <v>79.56627951883624</v>
      </c>
      <c r="AY66" s="451">
        <f>_xlfn.LET(_xlpm._全体実績予測,
  INDEX('在庫使用計画 (全体実績+予測）0701'!$A$1:$BD$195,
    MATCH($C66,'在庫使用計画 (全体実績+予測）0701'!$C$1:$C$195,0),
    MATCH(AY$1,'在庫使用計画 (全体実績+予測）0701'!$A$1:$BD$1,0)
),
  IFERROR(
    IF(_xlpm._全体実績予測=0,"",_xlpm._全体実績予測),
  "")
)</f>
        <v>67.289090699749565</v>
      </c>
      <c r="AZ66" s="451">
        <f>_xlfn.LET(_xlpm._全体実績予測,
  INDEX('在庫使用計画 (全体実績+予測）0701'!$A$1:$BD$195,
    MATCH($C66,'在庫使用計画 (全体実績+予測）0701'!$C$1:$C$195,0),
    MATCH(AZ$1,'在庫使用計画 (全体実績+予測）0701'!$A$1:$BD$1,0)
),
  IFERROR(
    IF(_xlpm._全体実績予測=0,"",_xlpm._全体実績予測),
  "")
)</f>
        <v>70.714285714285694</v>
      </c>
      <c r="BA66" s="451">
        <f>_xlfn.LET(_xlpm._全体実績予測,
  INDEX('在庫使用計画 (全体実績+予測）0701'!$A$1:$BD$195,
    MATCH($C66,'在庫使用計画 (全体実績+予測）0701'!$C$1:$C$195,0),
    MATCH(BA$1,'在庫使用計画 (全体実績+予測）0701'!$A$1:$BD$1,0)
),
  IFERROR(
    IF(_xlpm._全体実績予測=0,"",_xlpm._全体実績予測),
  "")
)</f>
        <v>69.465106070636978</v>
      </c>
      <c r="BB66" s="451">
        <f>_xlfn.LET(_xlpm._全体実績予測,
  INDEX('在庫使用計画 (全体実績+予測）0701'!$A$1:$BD$195,
    MATCH($C66,'在庫使用計画 (全体実績+予測）0701'!$C$1:$C$195,0),
    MATCH(BB$1,'在庫使用計画 (全体実績+予測）0701'!$A$1:$BD$1,0)
),
  IFERROR(
    IF(_xlpm._全体実績予測=0,"",_xlpm._全体実績予測),
  "")
)</f>
        <v>73.474042166173291</v>
      </c>
      <c r="BC66" s="451">
        <f>_xlfn.LET(_xlpm._全体実績予測,
  INDEX('在庫使用計画 (全体実績+予測）0701'!$A$1:$BD$195,
    MATCH($C66,'在庫使用計画 (全体実績+予測）0701'!$C$1:$C$195,0),
    MATCH(BC$1,'在庫使用計画 (全体実績+予測）0701'!$A$1:$BD$1,0)
),
  IFERROR(
    IF(_xlpm._全体実績予測=0,"",_xlpm._全体実績予測),
  "")
)</f>
        <v>79.408069066525044</v>
      </c>
      <c r="BD66" s="451">
        <f>_xlfn.LET(_xlpm._全体実績予測,
  INDEX('在庫使用計画 (全体実績+予測）0701'!$A$1:$BD$195,
    MATCH($C66,'在庫使用計画 (全体実績+予測）0701'!$C$1:$C$195,0),
    MATCH(BD$1,'在庫使用計画 (全体実績+予測）0701'!$A$1:$BD$1,0)
),
  IFERROR(
    IF(_xlpm._全体実績予測=0,"",_xlpm._全体実績予測),
  "")
)</f>
        <v>80.189401571630029</v>
      </c>
      <c r="BE66" s="451">
        <f>_xlfn.LET(_xlpm._全体実績予測,
  INDEX('在庫使用計画 (全体実績+予測）0701'!$A$1:$BD$195,
    MATCH($C66,'在庫使用計画 (全体実績+予測）0701'!$C$1:$C$195,0),
    MATCH(BE$1,'在庫使用計画 (全体実績+予測）0701'!$A$1:$BD$1,0)
),
  IFERROR(
    IF(_xlpm._全体実績予測=0,"",_xlpm._全体実績予測),
  "")
)</f>
        <v>80.939419371419547</v>
      </c>
      <c r="BF66" s="897">
        <f>_xlfn.LET(_xlpm._全体実績予測,
  INDEX('在庫使用計画 (全体実績+予測）0701'!$A$1:$BD$195,
    MATCH($C66,'在庫使用計画 (全体実績+予測）0701'!$C$1:$C$195,0),
    MATCH(BF$1,'在庫使用計画 (全体実績+予測）0701'!$A$1:$BD$1,0)
),
  IFERROR(
    IF(_xlpm._全体実績予測=0,"",_xlpm._全体実績予測),
  "")
)</f>
        <v>127.21320629803398</v>
      </c>
      <c r="BG66" s="2091" t="s">
        <v>2687</v>
      </c>
    </row>
    <row r="67" spans="1:60" ht="18.75" customHeight="1">
      <c r="A67" s="67" t="s">
        <v>1785</v>
      </c>
      <c r="B67" s="1163" t="str">
        <v>CLE-V35-14650HX-5050-L6 Creator</v>
      </c>
      <c r="C67" s="25" t="s">
        <v>1388</v>
      </c>
      <c r="D67" s="1267" t="s">
        <v>1787</v>
      </c>
      <c r="E67" s="68">
        <v>5050</v>
      </c>
      <c r="F67" s="68"/>
      <c r="G67" s="355">
        <v>42</v>
      </c>
      <c r="H67" s="38">
        <f ca="1">_xlfn.LET(_xlpm._今月から4ヶ月計画合計,
  SUM(
    OFFSET($A67,0,
      MATCH(
        EDATE(基準データ!$C$5,3),$A$1:$BE$1,1
      )-4,1,4)),
  IF($C67="","",_xlpm._今月から4ヶ月計画合計
)
)</f>
        <v>78.120554374283486</v>
      </c>
      <c r="I67" s="38">
        <f>SUMIFS(マスタ_EOLリスト[在庫],マスタ_EOLリスト[製品型番],'在庫使用計画 (計画　予測)'!$C:$C)</f>
        <v>42</v>
      </c>
      <c r="J67" s="1116" cm="1">
        <f t="array" ref="J67">_xlfn.IFS($C67="","",
  $G67="","発売前？",
  $G67=0,"在庫なし",
  TRUE,
  IFERROR(
    _xlfn.LET(
      _xlpm._在庫注残,     $G67,
      _xlpm._しきい値,     _xlpm._在庫注残 * 0.75,
      _xlpm._見出し元,     $K$1:$BT$1,
      _xlpm._計画,         $K67:$BT67,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46204</v>
      </c>
      <c r="K67" s="38"/>
      <c r="L67" s="38"/>
      <c r="M67" s="38"/>
      <c r="N67" s="38"/>
      <c r="O67" s="38"/>
      <c r="P67" s="38"/>
      <c r="Q67" s="116"/>
      <c r="R67" s="1350"/>
      <c r="S67" s="219"/>
      <c r="T67" s="219"/>
      <c r="U67" s="219"/>
      <c r="V67" s="219"/>
      <c r="W67" s="224" t="s">
        <v>21</v>
      </c>
      <c r="X67" s="224" t="s">
        <v>21</v>
      </c>
      <c r="Y67" s="224" t="s">
        <v>21</v>
      </c>
      <c r="Z67" s="224" t="s">
        <v>21</v>
      </c>
      <c r="AA67" s="224" t="s">
        <v>21</v>
      </c>
      <c r="AB67" s="224">
        <v>5</v>
      </c>
      <c r="AC67" s="805">
        <v>213</v>
      </c>
      <c r="AD67" s="244">
        <v>113</v>
      </c>
      <c r="AE67" s="224">
        <v>148</v>
      </c>
      <c r="AF67" s="224">
        <v>116.07208717518861</v>
      </c>
      <c r="AG67" s="224">
        <v>155</v>
      </c>
      <c r="AH67" s="237">
        <v>121.38888888888889</v>
      </c>
      <c r="AI67" s="804">
        <v>105</v>
      </c>
      <c r="AJ67" s="224">
        <v>108.30842266462481</v>
      </c>
      <c r="AK67" s="224">
        <v>142.21117917304747</v>
      </c>
      <c r="AL67" s="224">
        <v>104.75160796324657</v>
      </c>
      <c r="AM67" s="224">
        <f>_xlfn.XLOOKUP(
$C67,
'在庫使用計画 (ノート全体試算)'!$C$1:$C$170,
'在庫使用計画 (ノート全体試算)'!AN$1:AN$170,
"")</f>
        <v>59.531393568147024</v>
      </c>
      <c r="AN67" s="237">
        <f>_xlfn.XLOOKUP(
$C67,
'在庫使用計画 (ノート全体試算)'!$C$1:$C$170,
'在庫使用計画 (ノート全体試算)'!AO$1:AO$170,
"")</f>
        <v>72.073966525012679</v>
      </c>
      <c r="AO67" s="237">
        <f>_xlfn.XLOOKUP(
$C67,
'在庫使用計画 (ノート全体試算)'!$C$1:$C$170,
'在庫使用計画 (ノート全体試算)'!AP$1:AP$170,
"")</f>
        <v>78.120554374283486</v>
      </c>
      <c r="AP67" s="224" t="str">
        <f>_xlfn.XLOOKUP(
$C67,
'在庫使用計画 (ノート全体試算)'!$C$1:$C$170,
'在庫使用計画 (ノート全体試算)'!AQ$1:AQ$170,
"")</f>
        <v/>
      </c>
      <c r="AQ67" s="1050" t="str">
        <f>_xlfn.XLOOKUP(
$C67,
'在庫使用計画 (ノート全体試算)'!$C$1:$C$170,
'在庫使用計画 (ノート全体試算)'!AR$1:AR$170,
"")</f>
        <v/>
      </c>
      <c r="AR67" s="2130" t="str">
        <f>_xlfn.XLOOKUP(
$C67,
'在庫使用計画 (ノート全体試算)'!$C$1:$C$170,
'在庫使用計画 (ノート全体試算)'!AS$1:AS$170,
"")</f>
        <v/>
      </c>
      <c r="AS67" s="244" t="str">
        <f>_xlfn.XLOOKUP(
$C67,
'在庫使用計画 (ノート全体試算)'!$C$1:$C$170,
'在庫使用計画 (ノート全体試算)'!AT$1:AT$170,
"")</f>
        <v/>
      </c>
      <c r="AT67" s="805" t="str">
        <f>_xlfn.XLOOKUP(
$C67,
'在庫使用計画 (ノート全体試算)'!$C$1:$C$170,
'在庫使用計画 (ノート全体試算)'!AU$1:AU$170,
"")</f>
        <v/>
      </c>
      <c r="AU67" s="804" t="str">
        <f>_xlfn.XLOOKUP(
$C67,
'在庫使用計画 (ノート全体試算)'!$C$1:$C$170,
'在庫使用計画 (ノート全体試算)'!AV$1:AV$170,
"")</f>
        <v/>
      </c>
      <c r="AV67" s="224" t="str">
        <f>_xlfn.XLOOKUP(
$C67,
'在庫使用計画 (ノート全体試算)'!$C$1:$C$170,
'在庫使用計画 (ノート全体試算)'!AW$1:AW$170,
"")</f>
        <v/>
      </c>
      <c r="AW67" s="224" t="str">
        <f>_xlfn.XLOOKUP(
$C67,
'在庫使用計画 (ノート全体試算)'!$C$1:$C$170,
'在庫使用計画 (ノート全体試算)'!AX$1:AX$170,
"")</f>
        <v/>
      </c>
      <c r="AX67" s="224" t="str">
        <f>_xlfn.XLOOKUP(
$C67,
'在庫使用計画 (ノート全体試算)'!$C$1:$C$170,
'在庫使用計画 (ノート全体試算)'!AY$1:AY$170,
"")</f>
        <v/>
      </c>
      <c r="AY67" s="224" t="str">
        <f>_xlfn.XLOOKUP(
$C67,
'在庫使用計画 (ノート全体試算)'!$C$1:$C$170,
'在庫使用計画 (ノート全体試算)'!AZ$1:AZ$170,
"")</f>
        <v/>
      </c>
      <c r="AZ67" s="224" t="str">
        <f>_xlfn.XLOOKUP(
$C67,
'在庫使用計画 (ノート全体試算)'!$C$1:$C$170,
'在庫使用計画 (ノート全体試算)'!BA$1:BA$170,
"")</f>
        <v/>
      </c>
      <c r="BA67" s="224" t="str">
        <f>_xlfn.XLOOKUP(
$C67,
'在庫使用計画 (ノート全体試算)'!$C$1:$C$170,
'在庫使用計画 (ノート全体試算)'!BB$1:BB$170,
"")</f>
        <v/>
      </c>
      <c r="BB67" s="224" t="str">
        <f>_xlfn.XLOOKUP(
$C67,
'在庫使用計画 (ノート全体試算)'!$C$1:$C$170,
'在庫使用計画 (ノート全体試算)'!BC$1:BC$170,
"")</f>
        <v/>
      </c>
      <c r="BC67" s="224" t="str">
        <f>_xlfn.XLOOKUP(
$C67,
'在庫使用計画 (ノート全体試算)'!$C$1:$C$170,
'在庫使用計画 (ノート全体試算)'!BD$1:BD$170,
"")</f>
        <v/>
      </c>
      <c r="BD67" s="224" t="str">
        <f>_xlfn.XLOOKUP(
$C67,
'在庫使用計画 (ノート全体試算)'!$C$1:$C$170,
'在庫使用計画 (ノート全体試算)'!BE$1:BE$170,
"")</f>
        <v/>
      </c>
      <c r="BE67" s="224" t="str">
        <f>_xlfn.XLOOKUP(
$C67,
'在庫使用計画 (ノート全体試算)'!$C$1:$C$170,
'在庫使用計画 (ノート全体試算)'!BF$1:BF$170,
"")</f>
        <v/>
      </c>
      <c r="BF67" s="805" t="str">
        <f>_xlfn.XLOOKUP(
$C67,
'在庫使用計画 (ノート全体試算)'!$C$1:$C$170,
'在庫使用計画 (ノート全体試算)'!BG$1:BG$170,
"")</f>
        <v/>
      </c>
      <c r="BG67" s="2091" t="s">
        <v>2655</v>
      </c>
    </row>
    <row r="68" spans="1:60" ht="18.75" customHeight="1" thickBot="1">
      <c r="A68" s="445"/>
      <c r="B68" s="1261" t="str">
        <v>CLE-V35-14650HX-5050-L6 Creator</v>
      </c>
      <c r="C68" s="1302" t="s">
        <v>1388</v>
      </c>
      <c r="D68" s="1262" t="s">
        <v>1763</v>
      </c>
      <c r="E68" s="446"/>
      <c r="F68" s="447"/>
      <c r="G68" s="448">
        <v>42</v>
      </c>
      <c r="H68" s="448">
        <f ca="1">_xlfn.LET(_xlpm._今月から4ヶ月計画合計,
  SUM(
    OFFSET($A68,0,
      MATCH(
        EDATE(基準データ!$C$5,3),$A$1:$BE$1,1
      )-4,1,4)),
  IF($C68="","",_xlpm._今月から4ヶ月計画合計
)
)</f>
        <v>573.29161314084354</v>
      </c>
      <c r="I68" s="448">
        <f t="shared" si="11"/>
        <v>42</v>
      </c>
      <c r="J68" s="1116" cm="1">
        <f t="array" ref="J68">_xlfn.IFS($C68="","",
  $G68="","発売前？",
  $G68=0,"在庫なし",
  TRUE,
  IFERROR(
    _xlfn.LET(
      _xlpm._在庫注残,     $G68,
      _xlpm._しきい値,     _xlpm._在庫注残 * 0.75,
      _xlpm._見出し元,     $K$1:$BT$1,
      _xlpm._計画,         $K68:$BT68,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46204</v>
      </c>
      <c r="K68" s="448"/>
      <c r="L68" s="448"/>
      <c r="M68" s="448"/>
      <c r="N68" s="448"/>
      <c r="O68" s="448"/>
      <c r="P68" s="448"/>
      <c r="Q68" s="540"/>
      <c r="R68" s="900"/>
      <c r="S68" s="449"/>
      <c r="T68" s="449"/>
      <c r="U68" s="449"/>
      <c r="V68" s="450"/>
      <c r="W68" s="455" t="s">
        <v>21</v>
      </c>
      <c r="X68" s="455" t="s">
        <v>21</v>
      </c>
      <c r="Y68" s="455" t="s">
        <v>21</v>
      </c>
      <c r="Z68" s="453" t="s">
        <v>21</v>
      </c>
      <c r="AA68" s="453" t="s">
        <v>21</v>
      </c>
      <c r="AB68" s="449" t="s">
        <v>21</v>
      </c>
      <c r="AC68" s="899">
        <v>69</v>
      </c>
      <c r="AD68" s="1290">
        <v>114</v>
      </c>
      <c r="AE68" s="453">
        <v>138</v>
      </c>
      <c r="AF68" s="453">
        <v>189</v>
      </c>
      <c r="AG68" s="451">
        <v>99</v>
      </c>
      <c r="AH68" s="237">
        <v>141</v>
      </c>
      <c r="AI68" s="896">
        <v>106</v>
      </c>
      <c r="AJ68" s="451">
        <v>57</v>
      </c>
      <c r="AK68" s="451">
        <v>126</v>
      </c>
      <c r="AL68" s="451">
        <v>76</v>
      </c>
      <c r="AM68" s="451">
        <f>_xlfn.LET(_xlpm._全体実績予測,
  INDEX('在庫使用計画 (全体実績+予測）0701'!$A$1:$BD$195,
    MATCH($C68,'在庫使用計画 (全体実績+予測）0701'!$C$1:$C$195,0),
    MATCH(AM$1,'在庫使用計画 (全体実績+予測）0701'!$A$1:$BD$1,0)
),
  IFERROR(
    IF(_xlpm._全体実績予測=0,"",_xlpm._全体実績予測),
  "")
)</f>
        <v>44</v>
      </c>
      <c r="AN68" s="889">
        <f>_xlfn.LET(_xlpm._全体実績予測,
  INDEX('在庫使用計画 (全体実績+予測）0701'!$A$1:$BD$195,
    MATCH($C68,'在庫使用計画 (全体実績+予測）0701'!$C$1:$C$195,0),
    MATCH(AN$1,'在庫使用計画 (全体実績+予測）0701'!$A$1:$BD$1,0)
),
  IFERROR(
    IF(_xlpm._全体実績予測=0,"",_xlpm._全体実績予測),
  "")
)</f>
        <v>134</v>
      </c>
      <c r="AO68" s="889">
        <f>_xlfn.LET(_xlpm._全体実績予測,
  INDEX('在庫使用計画 (全体実績+予測）0701'!$A$1:$BD$195,
    MATCH($C68,'在庫使用計画 (全体実績+予測）0701'!$C$1:$C$195,0),
    MATCH(AO$1,'在庫使用計画 (全体実績+予測）0701'!$A$1:$BD$1,0)
),
  IFERROR(
    IF(_xlpm._全体実績予測=0,"",_xlpm._全体実績予測),
  "")
)</f>
        <v>131.63286766516669</v>
      </c>
      <c r="AP68" s="451">
        <f>_xlfn.LET(_xlpm._全体実績予測,
  INDEX('在庫使用計画 (全体実績+予測）0701'!$A$1:$BD$195,
    MATCH($C68,'在庫使用計画 (全体実績+予測）0701'!$C$1:$C$195,0),
    MATCH(AP$1,'在庫使用計画 (全体実績+予測）0701'!$A$1:$BD$1,0)
),
  IFERROR(
    IF(_xlpm._全体実績予測=0,"",_xlpm._全体実績予測),
  "")
)</f>
        <v>139.22959909468804</v>
      </c>
      <c r="AQ68" s="2121">
        <f>_xlfn.LET(_xlpm._全体実績予測,
  INDEX('在庫使用計画 (全体実績+予測）0701'!$A$1:$BD$195,
    MATCH($C68,'在庫使用計画 (全体実績+予測）0701'!$C$1:$C$195,0),
    MATCH(AQ$1,'在庫使用計画 (全体実績+予測）0701'!$A$1:$BD$1,0)
),
  IFERROR(
    IF(_xlpm._全体実績予測=0,"",_xlpm._全体実績予測),
  "")
)</f>
        <v>150.47428037252629</v>
      </c>
      <c r="AR68" s="2137">
        <f>_xlfn.LET(_xlpm._全体実績予測,
  INDEX('在庫使用計画 (全体実績+予測）0701'!$A$1:$BD$195,
    MATCH($C68,'在庫使用計画 (全体実績+予測）0701'!$C$1:$C$195,0),
    MATCH(AR$1,'在庫使用計画 (全体実績+予測）0701'!$A$1:$BD$1,0)
),
  IFERROR(
    IF(_xlpm._全体実績予測=0,"",_xlpm._全体実績予測),
  "")
)</f>
        <v>151.9548660084626</v>
      </c>
      <c r="AS68" s="1292">
        <f>_xlfn.LET(_xlpm._全体実績予測,
  INDEX('在庫使用計画 (全体実績+予測）0701'!$A$1:$BD$195,
    MATCH($C68,'在庫使用計画 (全体実績+予測）0701'!$C$1:$C$195,0),
    MATCH(AS$1,'在庫使用計画 (全体実績+予測）0701'!$A$1:$BD$1,0)
),
  IFERROR(
    IF(_xlpm._全体実績予測=0,"",_xlpm._全体実績予測),
  "")
)</f>
        <v>153.37611185937689</v>
      </c>
      <c r="AT68" s="897">
        <f>_xlfn.LET(_xlpm._全体実績予測,
  INDEX('在庫使用計画 (全体実績+予測）0701'!$A$1:$BD$195,
    MATCH($C68,'在庫使用計画 (全体実績+予測）0701'!$C$1:$C$195,0),
    MATCH(AT$1,'在庫使用計画 (全体実績+予測）0701'!$A$1:$BD$1,0)
),
  IFERROR(
    IF(_xlpm._全体実績予測=0,"",_xlpm._全体実績予測),
  "")
)</f>
        <v>241.0626010253655</v>
      </c>
      <c r="AU68" s="896">
        <f>_xlfn.LET(_xlpm._全体実績予測,
  INDEX('在庫使用計画 (全体実績+予測）0701'!$A$1:$BD$195,
    MATCH($C68,'在庫使用計画 (全体実績+予測）0701'!$C$1:$C$195,0),
    MATCH(AU$1,'在庫使用計画 (全体実績+予測）0701'!$A$1:$BD$1,0)
),
  IFERROR(
    IF(_xlpm._全体実績予測=0,"",_xlpm._全体実績予測),
  "")
)</f>
        <v>203.89139452427906</v>
      </c>
      <c r="AV68" s="451">
        <f>_xlfn.LET(_xlpm._全体実績予測,
  INDEX('在庫使用計画 (全体実績+予測）0701'!$A$1:$BD$195,
    MATCH($C68,'在庫使用計画 (全体実績+予測）0701'!$C$1:$C$195,0),
    MATCH(AV$1,'在庫使用計画 (全体実績+予測）0701'!$A$1:$BD$1,0)
),
  IFERROR(
    IF(_xlpm._全体実績予測=0,"",_xlpm._全体実績予測),
  "")
)</f>
        <v>134.80474399444779</v>
      </c>
      <c r="AW68" s="451">
        <f>_xlfn.LET(_xlpm._全体実績予測,
  INDEX('在庫使用計画 (全体実績+予測）0701'!$A$1:$BD$195,
    MATCH($C68,'在庫使用計画 (全体実績+予測）0701'!$C$1:$C$195,0),
    MATCH(AW$1,'在庫使用計画 (全体実績+予測）0701'!$A$1:$BD$1,0)
),
  IFERROR(
    IF(_xlpm._全体実績予測=0,"",_xlpm._全体実績予測),
  "")
)</f>
        <v>201.73133454227951</v>
      </c>
      <c r="AX68" s="451">
        <f>_xlfn.LET(_xlpm._全体実績予測,
  INDEX('在庫使用計画 (全体実績+予測）0701'!$A$1:$BD$195,
    MATCH($C68,'在庫使用計画 (全体実績+予測）0701'!$C$1:$C$195,0),
    MATCH(AX$1,'在庫使用計画 (全体実績+予測）0701'!$A$1:$BD$1,0)
),
  IFERROR(
    IF(_xlpm._全体実績予測=0,"",_xlpm._全体実績予測),
  "")
)</f>
        <v>150.77408118922909</v>
      </c>
      <c r="AY68" s="451">
        <f>_xlfn.LET(_xlpm._全体実績予測,
  INDEX('在庫使用計画 (全体実績+予測）0701'!$A$1:$BD$195,
    MATCH($C68,'在庫使用計画 (全体実績+予測）0701'!$C$1:$C$195,0),
    MATCH(AY$1,'在庫使用計画 (全体実績+予測）0701'!$A$1:$BD$1,0)
),
  IFERROR(
    IF(_xlpm._全体実績予測=0,"",_xlpm._全体実績予測),
  "")
)</f>
        <v>127.50942843710121</v>
      </c>
      <c r="AZ68" s="451">
        <f>_xlfn.LET(_xlpm._全体実績予測,
  INDEX('在庫使用計画 (全体実績+予測）0701'!$A$1:$BD$195,
    MATCH($C68,'在庫使用計画 (全体実績+予測）0701'!$C$1:$C$195,0),
    MATCH(AZ$1,'在庫使用計画 (全体実績+予測）0701'!$A$1:$BD$1,0)
),
  IFERROR(
    IF(_xlpm._全体実績予測=0,"",_xlpm._全体実績予測),
  "")
)</f>
        <v>133.99999999999997</v>
      </c>
      <c r="BA68" s="451">
        <f>_xlfn.LET(_xlpm._全体実績予測,
  INDEX('在庫使用計画 (全体実績+予測）0701'!$A$1:$BD$195,
    MATCH($C68,'在庫使用計画 (全体実績+予測）0701'!$C$1:$C$195,0),
    MATCH(BA$1,'在庫使用計画 (全体実績+予測）0701'!$A$1:$BD$1,0)
),
  IFERROR(
    IF(_xlpm._全体実績予測=0,"",_xlpm._全体実績予測),
  "")
)</f>
        <v>131.63286766516666</v>
      </c>
      <c r="BB68" s="451">
        <f>_xlfn.LET(_xlpm._全体実績予測,
  INDEX('在庫使用計画 (全体実績+予測）0701'!$A$1:$BD$195,
    MATCH($C68,'在庫使用計画 (全体実績+予測）0701'!$C$1:$C$195,0),
    MATCH(BB$1,'在庫使用計画 (全体実績+予測）0701'!$A$1:$BD$1,0)
),
  IFERROR(
    IF(_xlpm._全体実績予測=0,"",_xlpm._全体実績予測),
  "")
)</f>
        <v>139.22959909468801</v>
      </c>
      <c r="BC68" s="451">
        <f>_xlfn.LET(_xlpm._全体実績予測,
  INDEX('在庫使用計画 (全体実績+予測）0701'!$A$1:$BD$195,
    MATCH($C68,'在庫使用計画 (全体実績+予測）0701'!$C$1:$C$195,0),
    MATCH(BC$1,'在庫使用計画 (全体実績+予測）0701'!$A$1:$BD$1,0)
),
  IFERROR(
    IF(_xlpm._全体実績予測=0,"",_xlpm._全体実績予測),
  "")
)</f>
        <v>150.47428037252627</v>
      </c>
      <c r="BD68" s="451">
        <f>_xlfn.LET(_xlpm._全体実績予測,
  INDEX('在庫使用計画 (全体実績+予測）0701'!$A$1:$BD$195,
    MATCH($C68,'在庫使用計画 (全体実績+予測）0701'!$C$1:$C$195,0),
    MATCH(BD$1,'在庫使用計画 (全体実績+予測）0701'!$A$1:$BD$1,0)
),
  IFERROR(
    IF(_xlpm._全体実績予測=0,"",_xlpm._全体実績予測),
  "")
)</f>
        <v>151.95486600846257</v>
      </c>
      <c r="BE68" s="451">
        <f>_xlfn.LET(_xlpm._全体実績予測,
  INDEX('在庫使用計画 (全体実績+予測）0701'!$A$1:$BD$195,
    MATCH($C68,'在庫使用計画 (全体実績+予測）0701'!$C$1:$C$195,0),
    MATCH(BE$1,'在庫使用計画 (全体実績+予測）0701'!$A$1:$BD$1,0)
),
  IFERROR(
    IF(_xlpm._全体実績予測=0,"",_xlpm._全体実績予測),
  "")
)</f>
        <v>153.37611185937686</v>
      </c>
      <c r="BF68" s="897">
        <f>_xlfn.LET(_xlpm._全体実績予測,
  INDEX('在庫使用計画 (全体実績+予測）0701'!$A$1:$BD$195,
    MATCH($C68,'在庫使用計画 (全体実績+予測）0701'!$C$1:$C$195,0),
    MATCH(BF$1,'在庫使用計画 (全体実績+予測）0701'!$A$1:$BD$1,0)
),
  IFERROR(
    IF(_xlpm._全体実績予測=0,"",_xlpm._全体実績予測),
  "")
)</f>
        <v>241.06260102536544</v>
      </c>
    </row>
    <row r="69" spans="1:60" ht="18.75" customHeight="1">
      <c r="A69" s="32" t="s">
        <v>1701</v>
      </c>
      <c r="B69" s="111" t="str">
        <v>QNT-NLT-240H-5060-L6-GC</v>
      </c>
      <c r="C69" s="1264" t="s">
        <v>448</v>
      </c>
      <c r="D69" s="1258" t="s">
        <v>1779</v>
      </c>
      <c r="E69" s="24">
        <v>5060</v>
      </c>
      <c r="F69" s="24" t="s">
        <v>1347</v>
      </c>
      <c r="G69" s="69">
        <v>1100</v>
      </c>
      <c r="H69" s="38">
        <f ca="1">_xlfn.LET(_xlpm._今月から4ヶ月計画合計,
  SUM(
    OFFSET($A69,0,
      MATCH(
        EDATE(基準データ!$C$5,3),$A$1:$BE$1,1
      )-4,1,4)),
  IF($C69="","",_xlpm._今月から4ヶ月計画合計
)
)</f>
        <v>438</v>
      </c>
      <c r="I69" s="38">
        <f>SUMIFS(マスタ_EOLリスト[在庫],マスタ_EOLリスト[製品型番],'在庫使用計画 (計画　予測)'!$C:$C)</f>
        <v>0</v>
      </c>
      <c r="J69" s="1116" cm="1">
        <f t="array" ref="J69">_xlfn.IFS($C69="","",
  $G69="","発売前？",
  $G69=0,"在庫なし",
  TRUE,
  IFERROR(
    _xlfn.LET(
      _xlpm._在庫注残,     $G69,
      _xlpm._しきい値,     _xlpm._在庫注残 * 0.75,
      _xlpm._見出し元,     $K$1:$BT$1,
      _xlpm._計画,         $K69:$BT69,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46357</v>
      </c>
      <c r="K69" s="38"/>
      <c r="L69" s="38"/>
      <c r="M69" s="38"/>
      <c r="N69" s="38"/>
      <c r="O69" s="38"/>
      <c r="P69" s="38"/>
      <c r="Q69" s="116"/>
      <c r="R69" s="1350"/>
      <c r="S69" s="219"/>
      <c r="T69" s="219"/>
      <c r="U69" s="219"/>
      <c r="V69" s="298"/>
      <c r="W69" s="224"/>
      <c r="X69" s="299"/>
      <c r="Y69" s="299"/>
      <c r="Z69" s="299"/>
      <c r="AA69" s="299"/>
      <c r="AB69" s="299"/>
      <c r="AC69" s="805" t="s">
        <v>21</v>
      </c>
      <c r="AD69" s="244" t="s">
        <v>21</v>
      </c>
      <c r="AE69" s="224" t="s">
        <v>21</v>
      </c>
      <c r="AF69" s="224" t="s">
        <v>21</v>
      </c>
      <c r="AG69" s="224" t="s">
        <v>21</v>
      </c>
      <c r="AH69" s="237" t="s">
        <v>21</v>
      </c>
      <c r="AI69" s="804" t="s">
        <v>21</v>
      </c>
      <c r="AJ69" s="224" t="s">
        <v>21</v>
      </c>
      <c r="AK69" s="224" t="s">
        <v>21</v>
      </c>
      <c r="AL69" s="224" t="s">
        <v>21</v>
      </c>
      <c r="AM69" s="224" t="str">
        <f>_xlfn.XLOOKUP(
$C69,
'在庫使用計画 (ノート全体試算)'!$C$1:$C$170,
'在庫使用計画 (ノート全体試算)'!AN$1:AN$170,
"")</f>
        <v/>
      </c>
      <c r="AN69" s="237" t="str">
        <f>_xlfn.XLOOKUP(
$C69,
'在庫使用計画 (ノート全体試算)'!$C$1:$C$170,
'在庫使用計画 (ノート全体試算)'!AO$1:AO$170,
"")</f>
        <v/>
      </c>
      <c r="AO69" s="237" t="str">
        <f>_xlfn.XLOOKUP(
$C69,
'在庫使用計画 (ノート全体試算)'!$C$1:$C$170,
'在庫使用計画 (ノート全体試算)'!AP$1:AP$170,
"")</f>
        <v/>
      </c>
      <c r="AP69" s="224">
        <f>_xlfn.XLOOKUP(
$C69,
'在庫使用計画 (ノート全体試算)'!$C$1:$C$170,
'在庫使用計画 (ノート全体試算)'!AQ$1:AQ$170,
"")</f>
        <v>6</v>
      </c>
      <c r="AQ69" s="1050">
        <f>_xlfn.XLOOKUP(
$C69,
'在庫使用計画 (ノート全体試算)'!$C$1:$C$170,
'在庫使用計画 (ノート全体試算)'!AR$1:AR$170,
"")</f>
        <v>156</v>
      </c>
      <c r="AR69" s="2130">
        <f>_xlfn.XLOOKUP(
$C69,
'在庫使用計画 (ノート全体試算)'!$C$1:$C$170,
'在庫使用計画 (ノート全体試算)'!AS$1:AS$170,
"")</f>
        <v>276</v>
      </c>
      <c r="AS69" s="244">
        <f>_xlfn.XLOOKUP(
$C69,
'在庫使用計画 (ノート全体試算)'!$C$1:$C$170,
'在庫使用計画 (ノート全体試算)'!AT$1:AT$170,
"")</f>
        <v>286</v>
      </c>
      <c r="AT69" s="805">
        <f>_xlfn.XLOOKUP(
$C69,
'在庫使用計画 (ノート全体試算)'!$C$1:$C$170,
'在庫使用計画 (ノート全体試算)'!AU$1:AU$170,
"")</f>
        <v>486</v>
      </c>
      <c r="AU69" s="804">
        <f>_xlfn.XLOOKUP(
$C69,
'在庫使用計画 (ノート全体試算)'!$C$1:$C$170,
'在庫使用計画 (ノート全体試算)'!AV$1:AV$170,
"")</f>
        <v>420.22488382886178</v>
      </c>
      <c r="AV69" s="224">
        <f>_xlfn.XLOOKUP(
$C69,
'在庫使用計画 (ノート全体試算)'!$C$1:$C$170,
'在庫使用計画 (ノート全体試算)'!AW$1:AW$170,
"")</f>
        <v>396.53642656338479</v>
      </c>
      <c r="AW69" s="224">
        <f>_xlfn.XLOOKUP(
$C69,
'在庫使用計画 (ノート全体試算)'!$C$1:$C$170,
'在庫使用計画 (ノート全体試算)'!AX$1:AX$170,
"")</f>
        <v>583.14422561663957</v>
      </c>
      <c r="AX69" s="224">
        <f>_xlfn.XLOOKUP(
$C69,
'在庫使用計画 (ノート全体試算)'!$C$1:$C$170,
'在庫使用計画 (ノート全体試算)'!AY$1:AY$170,
"")</f>
        <v>6</v>
      </c>
      <c r="AY69" s="224">
        <f>_xlfn.XLOOKUP(
$C69,
'在庫使用計画 (ノート全体試算)'!$C$1:$C$170,
'在庫使用計画 (ノート全体試算)'!AZ$1:AZ$170,
"")</f>
        <v>6</v>
      </c>
      <c r="AZ69" s="224" t="str">
        <f>_xlfn.XLOOKUP(
$C69,
'在庫使用計画 (ノート全体試算)'!$C$1:$C$170,
'在庫使用計画 (ノート全体試算)'!BA$1:BA$170,
"")</f>
        <v/>
      </c>
      <c r="BA69" s="224" t="str">
        <f>_xlfn.XLOOKUP(
$C69,
'在庫使用計画 (ノート全体試算)'!$C$1:$C$170,
'在庫使用計画 (ノート全体試算)'!BB$1:BB$170,
"")</f>
        <v/>
      </c>
      <c r="BB69" s="224" t="str">
        <f>_xlfn.XLOOKUP(
$C69,
'在庫使用計画 (ノート全体試算)'!$C$1:$C$170,
'在庫使用計画 (ノート全体試算)'!BC$1:BC$170,
"")</f>
        <v/>
      </c>
      <c r="BC69" s="224" t="str">
        <f>_xlfn.XLOOKUP(
$C69,
'在庫使用計画 (ノート全体試算)'!$C$1:$C$170,
'在庫使用計画 (ノート全体試算)'!BD$1:BD$170,
"")</f>
        <v/>
      </c>
      <c r="BD69" s="224" t="str">
        <f>_xlfn.XLOOKUP(
$C69,
'在庫使用計画 (ノート全体試算)'!$C$1:$C$170,
'在庫使用計画 (ノート全体試算)'!BE$1:BE$170,
"")</f>
        <v/>
      </c>
      <c r="BE69" s="224" t="str">
        <f>_xlfn.XLOOKUP(
$C69,
'在庫使用計画 (ノート全体試算)'!$C$1:$C$170,
'在庫使用計画 (ノート全体試算)'!BF$1:BF$170,
"")</f>
        <v/>
      </c>
      <c r="BF69" s="805" t="str">
        <f>_xlfn.XLOOKUP(
$C69,
'在庫使用計画 (ノート全体試算)'!$C$1:$C$170,
'在庫使用計画 (ノート全体試算)'!BG$1:BG$170,
"")</f>
        <v/>
      </c>
      <c r="BG69" s="2091" t="s">
        <v>2658</v>
      </c>
    </row>
    <row r="70" spans="1:60" ht="18.75" customHeight="1" thickBot="1">
      <c r="A70" s="33"/>
      <c r="B70" s="111" t="str">
        <v>QNT-NLT-240H-5060-L6-GC</v>
      </c>
      <c r="C70" s="1284" t="s">
        <v>448</v>
      </c>
      <c r="D70" s="1258" t="s">
        <v>1763</v>
      </c>
      <c r="E70" s="26"/>
      <c r="F70" s="24"/>
      <c r="G70" s="38">
        <v>1100</v>
      </c>
      <c r="H70" s="448">
        <f ca="1">_xlfn.LET(_xlpm._今月から4ヶ月計画合計,
  SUM(
    OFFSET($A70,0,
      MATCH(
        EDATE(基準データ!$C$5,3),$A$1:$BE$1,1
      )-4,1,4)),
  IF($C70="","",_xlpm._今月から4ヶ月計画合計
)
)</f>
        <v>0</v>
      </c>
      <c r="I70" s="38">
        <f t="shared" si="11"/>
        <v>0</v>
      </c>
      <c r="J70" s="1116" t="str" cm="1">
        <f t="array" ref="J70">_xlfn.IFS($C70="","",
  $G70="","発売前？",
  $G70=0,"在庫なし",
  TRUE,
  IFERROR(
    _xlfn.LET(
      _xlpm._在庫注残,     $G70,
      _xlpm._しきい値,     _xlpm._在庫注残 * 0.75,
      _xlpm._見出し元,     $K$1:$BT$1,
      _xlpm._計画,         $K70:$BT70,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合計0、在庫+注残1,100のため不足</v>
      </c>
      <c r="K70" s="38"/>
      <c r="L70" s="38"/>
      <c r="M70" s="38"/>
      <c r="N70" s="38"/>
      <c r="O70" s="38"/>
      <c r="P70" s="38"/>
      <c r="Q70" s="116"/>
      <c r="R70" s="1350"/>
      <c r="S70" s="219"/>
      <c r="T70" s="219"/>
      <c r="U70" s="219"/>
      <c r="V70" s="222"/>
      <c r="W70" s="529" t="s">
        <v>21</v>
      </c>
      <c r="X70" s="529" t="s">
        <v>21</v>
      </c>
      <c r="Y70" s="529" t="s">
        <v>21</v>
      </c>
      <c r="Z70" s="468" t="s">
        <v>21</v>
      </c>
      <c r="AA70" s="468" t="s">
        <v>21</v>
      </c>
      <c r="AB70" s="219" t="s">
        <v>21</v>
      </c>
      <c r="AC70" s="1351" t="s">
        <v>21</v>
      </c>
      <c r="AD70" s="1336" t="s">
        <v>21</v>
      </c>
      <c r="AE70" s="468" t="s">
        <v>21</v>
      </c>
      <c r="AF70" s="468" t="s">
        <v>21</v>
      </c>
      <c r="AG70" s="224" t="s">
        <v>21</v>
      </c>
      <c r="AH70" s="237" t="s">
        <v>21</v>
      </c>
      <c r="AI70" s="804" t="s">
        <v>21</v>
      </c>
      <c r="AJ70" s="224" t="s">
        <v>21</v>
      </c>
      <c r="AK70" s="224" t="s">
        <v>21</v>
      </c>
      <c r="AL70" s="224" t="s">
        <v>21</v>
      </c>
      <c r="AM70" s="224" t="str">
        <f>_xlfn.LET(_xlpm._全体実績予測,
  INDEX('在庫使用計画 (全体実績+予測）0701'!$A$1:$BD$195,
    MATCH($C70,'在庫使用計画 (全体実績+予測）0701'!$C$1:$C$195,0),
    MATCH(AM$1,'在庫使用計画 (全体実績+予測）0701'!$A$1:$BD$1,0)
),
  IFERROR(
    IF(_xlpm._全体実績予測=0,"",_xlpm._全体実績予測),
  "")
)</f>
        <v/>
      </c>
      <c r="AN70" s="237" t="str">
        <f>_xlfn.LET(_xlpm._全体実績予測,
  INDEX('在庫使用計画 (全体実績+予測）0701'!$A$1:$BD$195,
    MATCH($C70,'在庫使用計画 (全体実績+予測）0701'!$C$1:$C$195,0),
    MATCH(AN$1,'在庫使用計画 (全体実績+予測）0701'!$A$1:$BD$1,0)
),
  IFERROR(
    IF(_xlpm._全体実績予測=0,"",_xlpm._全体実績予測),
  "")
)</f>
        <v/>
      </c>
      <c r="AO70" s="237" t="str">
        <f>_xlfn.LET(_xlpm._全体実績予測,
  INDEX('在庫使用計画 (全体実績+予測）0701'!$A$1:$BD$195,
    MATCH($C70,'在庫使用計画 (全体実績+予測）0701'!$C$1:$C$195,0),
    MATCH(AO$1,'在庫使用計画 (全体実績+予測）0701'!$A$1:$BD$1,0)
),
  IFERROR(
    IF(_xlpm._全体実績予測=0,"",_xlpm._全体実績予測),
  "")
)</f>
        <v/>
      </c>
      <c r="AP70" s="224" t="str">
        <f>_xlfn.LET(_xlpm._全体実績予測,
  INDEX('在庫使用計画 (全体実績+予測）0701'!$A$1:$BD$195,
    MATCH($C70,'在庫使用計画 (全体実績+予測）0701'!$C$1:$C$195,0),
    MATCH(AP$1,'在庫使用計画 (全体実績+予測）0701'!$A$1:$BD$1,0)
),
  IFERROR(
    IF(_xlpm._全体実績予測=0,"",_xlpm._全体実績予測),
  "")
)</f>
        <v/>
      </c>
      <c r="AQ70" s="1050" t="str">
        <f>_xlfn.LET(_xlpm._全体実績予測,
  INDEX('在庫使用計画 (全体実績+予測）0701'!$A$1:$BD$195,
    MATCH($C70,'在庫使用計画 (全体実績+予測）0701'!$C$1:$C$195,0),
    MATCH(AQ$1,'在庫使用計画 (全体実績+予測）0701'!$A$1:$BD$1,0)
),
  IFERROR(
    IF(_xlpm._全体実績予測=0,"",_xlpm._全体実績予測),
  "")
)</f>
        <v/>
      </c>
      <c r="AR70" s="2130" t="str">
        <f>_xlfn.LET(_xlpm._全体実績予測,
  INDEX('在庫使用計画 (全体実績+予測）0701'!$A$1:$BD$195,
    MATCH($C70,'在庫使用計画 (全体実績+予測）0701'!$C$1:$C$195,0),
    MATCH(AR$1,'在庫使用計画 (全体実績+予測）0701'!$A$1:$BD$1,0)
),
  IFERROR(
    IF(_xlpm._全体実績予測=0,"",_xlpm._全体実績予測),
  "")
)</f>
        <v/>
      </c>
      <c r="AS70" s="244" t="str">
        <f>_xlfn.LET(_xlpm._全体実績予測,
  INDEX('在庫使用計画 (全体実績+予測）0701'!$A$1:$BD$195,
    MATCH($C70,'在庫使用計画 (全体実績+予測）0701'!$C$1:$C$195,0),
    MATCH(AS$1,'在庫使用計画 (全体実績+予測）0701'!$A$1:$BD$1,0)
),
  IFERROR(
    IF(_xlpm._全体実績予測=0,"",_xlpm._全体実績予測),
  "")
)</f>
        <v/>
      </c>
      <c r="AT70" s="805" t="str">
        <f>_xlfn.LET(_xlpm._全体実績予測,
  INDEX('在庫使用計画 (全体実績+予測）0701'!$A$1:$BD$195,
    MATCH($C70,'在庫使用計画 (全体実績+予測）0701'!$C$1:$C$195,0),
    MATCH(AT$1,'在庫使用計画 (全体実績+予測）0701'!$A$1:$BD$1,0)
),
  IFERROR(
    IF(_xlpm._全体実績予測=0,"",_xlpm._全体実績予測),
  "")
)</f>
        <v/>
      </c>
      <c r="AU70" s="804" t="str">
        <f>_xlfn.LET(_xlpm._全体実績予測,
  INDEX('在庫使用計画 (全体実績+予測）0701'!$A$1:$BD$195,
    MATCH($C70,'在庫使用計画 (全体実績+予測）0701'!$C$1:$C$195,0),
    MATCH(AU$1,'在庫使用計画 (全体実績+予測）0701'!$A$1:$BD$1,0)
),
  IFERROR(
    IF(_xlpm._全体実績予測=0,"",_xlpm._全体実績予測),
  "")
)</f>
        <v/>
      </c>
      <c r="AV70" s="224" t="str">
        <f>_xlfn.LET(_xlpm._全体実績予測,
  INDEX('在庫使用計画 (全体実績+予測）0701'!$A$1:$BD$195,
    MATCH($C70,'在庫使用計画 (全体実績+予測）0701'!$C$1:$C$195,0),
    MATCH(AV$1,'在庫使用計画 (全体実績+予測）0701'!$A$1:$BD$1,0)
),
  IFERROR(
    IF(_xlpm._全体実績予測=0,"",_xlpm._全体実績予測),
  "")
)</f>
        <v/>
      </c>
      <c r="AW70" s="224" t="str">
        <f>_xlfn.LET(_xlpm._全体実績予測,
  INDEX('在庫使用計画 (全体実績+予測）0701'!$A$1:$BD$195,
    MATCH($C70,'在庫使用計画 (全体実績+予測）0701'!$C$1:$C$195,0),
    MATCH(AW$1,'在庫使用計画 (全体実績+予測）0701'!$A$1:$BD$1,0)
),
  IFERROR(
    IF(_xlpm._全体実績予測=0,"",_xlpm._全体実績予測),
  "")
)</f>
        <v/>
      </c>
      <c r="AX70" s="224" t="str">
        <f>_xlfn.LET(_xlpm._全体実績予測,
  INDEX('在庫使用計画 (全体実績+予測）0701'!$A$1:$BD$195,
    MATCH($C70,'在庫使用計画 (全体実績+予測）0701'!$C$1:$C$195,0),
    MATCH(AX$1,'在庫使用計画 (全体実績+予測）0701'!$A$1:$BD$1,0)
),
  IFERROR(
    IF(_xlpm._全体実績予測=0,"",_xlpm._全体実績予測),
  "")
)</f>
        <v/>
      </c>
      <c r="AY70" s="224" t="str">
        <f>_xlfn.LET(_xlpm._全体実績予測,
  INDEX('在庫使用計画 (全体実績+予測）0701'!$A$1:$BD$195,
    MATCH($C70,'在庫使用計画 (全体実績+予測）0701'!$C$1:$C$195,0),
    MATCH(AY$1,'在庫使用計画 (全体実績+予測）0701'!$A$1:$BD$1,0)
),
  IFERROR(
    IF(_xlpm._全体実績予測=0,"",_xlpm._全体実績予測),
  "")
)</f>
        <v/>
      </c>
      <c r="AZ70" s="224" t="str">
        <f>_xlfn.LET(_xlpm._全体実績予測,
  INDEX('在庫使用計画 (全体実績+予測）0701'!$A$1:$BD$195,
    MATCH($C70,'在庫使用計画 (全体実績+予測）0701'!$C$1:$C$195,0),
    MATCH(AZ$1,'在庫使用計画 (全体実績+予測）0701'!$A$1:$BD$1,0)
),
  IFERROR(
    IF(_xlpm._全体実績予測=0,"",_xlpm._全体実績予測),
  "")
)</f>
        <v/>
      </c>
      <c r="BA70" s="224" t="str">
        <f>_xlfn.LET(_xlpm._全体実績予測,
  INDEX('在庫使用計画 (全体実績+予測）0701'!$A$1:$BD$195,
    MATCH($C70,'在庫使用計画 (全体実績+予測）0701'!$C$1:$C$195,0),
    MATCH(BA$1,'在庫使用計画 (全体実績+予測）0701'!$A$1:$BD$1,0)
),
  IFERROR(
    IF(_xlpm._全体実績予測=0,"",_xlpm._全体実績予測),
  "")
)</f>
        <v/>
      </c>
      <c r="BB70" s="224" t="str">
        <f>_xlfn.LET(_xlpm._全体実績予測,
  INDEX('在庫使用計画 (全体実績+予測）0701'!$A$1:$BD$195,
    MATCH($C70,'在庫使用計画 (全体実績+予測）0701'!$C$1:$C$195,0),
    MATCH(BB$1,'在庫使用計画 (全体実績+予測）0701'!$A$1:$BD$1,0)
),
  IFERROR(
    IF(_xlpm._全体実績予測=0,"",_xlpm._全体実績予測),
  "")
)</f>
        <v/>
      </c>
      <c r="BC70" s="224" t="str">
        <f>_xlfn.LET(_xlpm._全体実績予測,
  INDEX('在庫使用計画 (全体実績+予測）0701'!$A$1:$BD$195,
    MATCH($C70,'在庫使用計画 (全体実績+予測）0701'!$C$1:$C$195,0),
    MATCH(BC$1,'在庫使用計画 (全体実績+予測）0701'!$A$1:$BD$1,0)
),
  IFERROR(
    IF(_xlpm._全体実績予測=0,"",_xlpm._全体実績予測),
  "")
)</f>
        <v/>
      </c>
      <c r="BD70" s="224" t="str">
        <f>_xlfn.LET(_xlpm._全体実績予測,
  INDEX('在庫使用計画 (全体実績+予測）0701'!$A$1:$BD$195,
    MATCH($C70,'在庫使用計画 (全体実績+予測）0701'!$C$1:$C$195,0),
    MATCH(BD$1,'在庫使用計画 (全体実績+予測）0701'!$A$1:$BD$1,0)
),
  IFERROR(
    IF(_xlpm._全体実績予測=0,"",_xlpm._全体実績予測),
  "")
)</f>
        <v/>
      </c>
      <c r="BE70" s="224" t="str">
        <f>_xlfn.LET(_xlpm._全体実績予測,
  INDEX('在庫使用計画 (全体実績+予測）0701'!$A$1:$BD$195,
    MATCH($C70,'在庫使用計画 (全体実績+予測）0701'!$C$1:$C$195,0),
    MATCH(BE$1,'在庫使用計画 (全体実績+予測）0701'!$A$1:$BD$1,0)
),
  IFERROR(
    IF(_xlpm._全体実績予測=0,"",_xlpm._全体実績予測),
  "")
)</f>
        <v/>
      </c>
      <c r="BF70" s="805" t="str">
        <f>_xlfn.LET(_xlpm._全体実績予測,
  INDEX('在庫使用計画 (全体実績+予測）0701'!$A$1:$BD$195,
    MATCH($C70,'在庫使用計画 (全体実績+予測）0701'!$C$1:$C$195,0),
    MATCH(BF$1,'在庫使用計画 (全体実績+予測）0701'!$A$1:$BD$1,0)
),
  IFERROR(
    IF(_xlpm._全体実績予測=0,"",_xlpm._全体実績予測),
  "")
)</f>
        <v/>
      </c>
    </row>
    <row r="71" spans="1:60" ht="18.75" customHeight="1">
      <c r="A71" s="32" t="s">
        <v>1701</v>
      </c>
      <c r="B71" s="111" t="str">
        <v>QNT-NLT-240H-5050-L6-GC</v>
      </c>
      <c r="C71" s="1264" t="s">
        <v>453</v>
      </c>
      <c r="D71" s="1258" t="s">
        <v>1779</v>
      </c>
      <c r="E71" s="24">
        <v>5060</v>
      </c>
      <c r="F71" s="24" t="s">
        <v>1347</v>
      </c>
      <c r="G71" s="69">
        <v>730</v>
      </c>
      <c r="H71" s="38">
        <f ca="1">_xlfn.LET(_xlpm._今月から4ヶ月計画合計,
  SUM(
    OFFSET($A71,0,
      MATCH(
        EDATE(基準データ!$C$5,3),$A$1:$BE$1,1
      )-4,1,4)),
  IF($C71="","",_xlpm._今月から4ヶ月計画合計
)
)</f>
        <v>274</v>
      </c>
      <c r="I71" s="38">
        <f>SUMIFS(マスタ_EOLリスト[在庫],マスタ_EOLリスト[製品型番],'在庫使用計画 (計画　予測)'!$C:$C)</f>
        <v>0</v>
      </c>
      <c r="J71" s="1116" cm="1">
        <f t="array" ref="J71">_xlfn.IFS($C71="","",
  $G71="","発売前？",
  $G71=0,"在庫なし",
  TRUE,
  IFERROR(
    _xlfn.LET(
      _xlpm._在庫注残,     $G71,
      _xlpm._しきい値,     _xlpm._在庫注残 * 0.75,
      _xlpm._見出し元,     $K$1:$BT$1,
      _xlpm._計画,         $K71:$BT71,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46357</v>
      </c>
      <c r="K71" s="38"/>
      <c r="L71" s="38"/>
      <c r="M71" s="38"/>
      <c r="N71" s="38"/>
      <c r="O71" s="38"/>
      <c r="P71" s="38"/>
      <c r="Q71" s="116"/>
      <c r="R71" s="1350"/>
      <c r="S71" s="219"/>
      <c r="T71" s="219"/>
      <c r="U71" s="219"/>
      <c r="V71" s="219"/>
      <c r="W71" s="224"/>
      <c r="X71" s="224"/>
      <c r="Y71" s="224"/>
      <c r="Z71" s="224"/>
      <c r="AA71" s="224"/>
      <c r="AB71" s="224"/>
      <c r="AC71" s="805" t="s">
        <v>21</v>
      </c>
      <c r="AD71" s="244" t="s">
        <v>21</v>
      </c>
      <c r="AE71" s="224" t="s">
        <v>21</v>
      </c>
      <c r="AF71" s="224" t="s">
        <v>21</v>
      </c>
      <c r="AG71" s="224" t="s">
        <v>21</v>
      </c>
      <c r="AH71" s="237" t="s">
        <v>21</v>
      </c>
      <c r="AI71" s="804" t="s">
        <v>21</v>
      </c>
      <c r="AJ71" s="224" t="s">
        <v>21</v>
      </c>
      <c r="AK71" s="224" t="s">
        <v>21</v>
      </c>
      <c r="AL71" s="224" t="s">
        <v>21</v>
      </c>
      <c r="AM71" s="224" t="str">
        <f>_xlfn.XLOOKUP(
$C71,
'在庫使用計画 (ノート全体試算)'!$C$1:$C$170,
'在庫使用計画 (ノート全体試算)'!AN$1:AN$170,
"")</f>
        <v/>
      </c>
      <c r="AN71" s="237" t="str">
        <f>_xlfn.XLOOKUP(
$C71,
'在庫使用計画 (ノート全体試算)'!$C$1:$C$170,
'在庫使用計画 (ノート全体試算)'!AO$1:AO$170,
"")</f>
        <v/>
      </c>
      <c r="AO71" s="237" t="str">
        <f>_xlfn.XLOOKUP(
$C71,
'在庫使用計画 (ノート全体試算)'!$C$1:$C$170,
'在庫使用計画 (ノート全体試算)'!AP$1:AP$170,
"")</f>
        <v/>
      </c>
      <c r="AP71" s="224">
        <f>_xlfn.XLOOKUP(
$C71,
'在庫使用計画 (ノート全体試算)'!$C$1:$C$170,
'在庫使用計画 (ノート全体試算)'!AQ$1:AQ$170,
"")</f>
        <v>12</v>
      </c>
      <c r="AQ71" s="1050">
        <f>_xlfn.XLOOKUP(
$C71,
'在庫使用計画 (ノート全体試算)'!$C$1:$C$170,
'在庫使用計画 (ノート全体試算)'!AR$1:AR$170,
"")</f>
        <v>114</v>
      </c>
      <c r="AR71" s="2130">
        <f>_xlfn.XLOOKUP(
$C71,
'在庫使用計画 (ノート全体試算)'!$C$1:$C$170,
'在庫使用計画 (ノート全体試算)'!AS$1:AS$170,
"")</f>
        <v>148</v>
      </c>
      <c r="AS71" s="244">
        <f>_xlfn.XLOOKUP(
$C71,
'在庫使用計画 (ノート全体試算)'!$C$1:$C$170,
'在庫使用計画 (ノート全体試算)'!AT$1:AT$170,
"")</f>
        <v>147.50852462875864</v>
      </c>
      <c r="AT71" s="805">
        <f>_xlfn.XLOOKUP(
$C71,
'在庫使用計画 (ノート全体試算)'!$C$1:$C$170,
'在庫使用計画 (ノート全体試算)'!AU$1:AU$170,
"")</f>
        <v>211.78197581875483</v>
      </c>
      <c r="AU71" s="804">
        <f>_xlfn.XLOOKUP(
$C71,
'在庫使用計画 (ノート全体試算)'!$C$1:$C$170,
'在庫使用計画 (ノート全体試算)'!AV$1:AV$170,
"")</f>
        <v>176.81664806903669</v>
      </c>
      <c r="AV71" s="224">
        <f>_xlfn.XLOOKUP(
$C71,
'在庫使用計画 (ノート全体試算)'!$C$1:$C$170,
'在庫使用計画 (ノート全体試算)'!AW$1:AW$170,
"")</f>
        <v>167.10527010070606</v>
      </c>
      <c r="AW71" s="224">
        <f>_xlfn.XLOOKUP(
$C71,
'在庫使用計画 (ノート全体試算)'!$C$1:$C$170,
'在庫使用計画 (ノート全体試算)'!AX$1:AX$170,
"")</f>
        <v>243.60746051922408</v>
      </c>
      <c r="AX71" s="224">
        <f>_xlfn.XLOOKUP(
$C71,
'在庫使用計画 (ノート全体試算)'!$C$1:$C$170,
'在庫使用計画 (ノート全体試算)'!AY$1:AY$170,
"")</f>
        <v>4</v>
      </c>
      <c r="AY71" s="224">
        <f>_xlfn.XLOOKUP(
$C71,
'在庫使用計画 (ノート全体試算)'!$C$1:$C$170,
'在庫使用計画 (ノート全体試算)'!AZ$1:AZ$170,
"")</f>
        <v>4</v>
      </c>
      <c r="AZ71" s="224" t="str">
        <f>_xlfn.XLOOKUP(
$C71,
'在庫使用計画 (ノート全体試算)'!$C$1:$C$170,
'在庫使用計画 (ノート全体試算)'!BA$1:BA$170,
"")</f>
        <v/>
      </c>
      <c r="BA71" s="224" t="str">
        <f>_xlfn.XLOOKUP(
$C71,
'在庫使用計画 (ノート全体試算)'!$C$1:$C$170,
'在庫使用計画 (ノート全体試算)'!BB$1:BB$170,
"")</f>
        <v/>
      </c>
      <c r="BB71" s="224" t="str">
        <f>_xlfn.XLOOKUP(
$C71,
'在庫使用計画 (ノート全体試算)'!$C$1:$C$170,
'在庫使用計画 (ノート全体試算)'!BC$1:BC$170,
"")</f>
        <v/>
      </c>
      <c r="BC71" s="224" t="str">
        <f>_xlfn.XLOOKUP(
$C71,
'在庫使用計画 (ノート全体試算)'!$C$1:$C$170,
'在庫使用計画 (ノート全体試算)'!BD$1:BD$170,
"")</f>
        <v/>
      </c>
      <c r="BD71" s="224" t="str">
        <f>_xlfn.XLOOKUP(
$C71,
'在庫使用計画 (ノート全体試算)'!$C$1:$C$170,
'在庫使用計画 (ノート全体試算)'!BE$1:BE$170,
"")</f>
        <v/>
      </c>
      <c r="BE71" s="224" t="str">
        <f>_xlfn.XLOOKUP(
$C71,
'在庫使用計画 (ノート全体試算)'!$C$1:$C$170,
'在庫使用計画 (ノート全体試算)'!BF$1:BF$170,
"")</f>
        <v/>
      </c>
      <c r="BF71" s="805" t="str">
        <f>_xlfn.XLOOKUP(
$C71,
'在庫使用計画 (ノート全体試算)'!$C$1:$C$170,
'在庫使用計画 (ノート全体試算)'!BG$1:BG$170,
"")</f>
        <v/>
      </c>
      <c r="BG71" s="2091" t="s">
        <v>2664</v>
      </c>
    </row>
    <row r="72" spans="1:60" ht="18.75" customHeight="1" thickBot="1">
      <c r="A72" s="33"/>
      <c r="B72" s="111" t="str">
        <v>QNT-NLT-240H-5050-L6-GC</v>
      </c>
      <c r="C72" s="1284" t="s">
        <v>453</v>
      </c>
      <c r="D72" s="1258" t="s">
        <v>1763</v>
      </c>
      <c r="E72" s="26"/>
      <c r="F72" s="24"/>
      <c r="G72" s="38">
        <v>730</v>
      </c>
      <c r="H72" s="448">
        <f ca="1">_xlfn.LET(_xlpm._今月から4ヶ月計画合計,
  SUM(
    OFFSET($A72,0,
      MATCH(
        EDATE(基準データ!$C$5,3),$A$1:$BE$1,1
      )-4,1,4)),
  IF($C72="","",_xlpm._今月から4ヶ月計画合計
)
)</f>
        <v>0</v>
      </c>
      <c r="I72" s="38">
        <f t="shared" si="11"/>
        <v>0</v>
      </c>
      <c r="J72" s="1116" t="str" cm="1">
        <f t="array" ref="J72">_xlfn.IFS($C72="","",
  $G72="","発売前？",
  $G72=0,"在庫なし",
  TRUE,
  IFERROR(
    _xlfn.LET(
      _xlpm._在庫注残,     $G72,
      _xlpm._しきい値,     _xlpm._在庫注残 * 0.75,
      _xlpm._見出し元,     $K$1:$BT$1,
      _xlpm._計画,         $K72:$BT72,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合計0、在庫+注残730のため不足</v>
      </c>
      <c r="K72" s="38"/>
      <c r="L72" s="38"/>
      <c r="M72" s="38"/>
      <c r="N72" s="38"/>
      <c r="O72" s="38"/>
      <c r="P72" s="38"/>
      <c r="Q72" s="116"/>
      <c r="R72" s="1350"/>
      <c r="S72" s="219"/>
      <c r="T72" s="219"/>
      <c r="U72" s="219"/>
      <c r="V72" s="222"/>
      <c r="W72" s="529" t="s">
        <v>21</v>
      </c>
      <c r="X72" s="529" t="s">
        <v>21</v>
      </c>
      <c r="Y72" s="529" t="s">
        <v>21</v>
      </c>
      <c r="Z72" s="468" t="s">
        <v>21</v>
      </c>
      <c r="AA72" s="468" t="s">
        <v>21</v>
      </c>
      <c r="AB72" s="219" t="s">
        <v>21</v>
      </c>
      <c r="AC72" s="1351" t="s">
        <v>21</v>
      </c>
      <c r="AD72" s="1336" t="s">
        <v>21</v>
      </c>
      <c r="AE72" s="468" t="s">
        <v>21</v>
      </c>
      <c r="AF72" s="468" t="s">
        <v>21</v>
      </c>
      <c r="AG72" s="224" t="s">
        <v>21</v>
      </c>
      <c r="AH72" s="237" t="s">
        <v>21</v>
      </c>
      <c r="AI72" s="804" t="s">
        <v>21</v>
      </c>
      <c r="AJ72" s="224" t="s">
        <v>21</v>
      </c>
      <c r="AK72" s="224" t="s">
        <v>21</v>
      </c>
      <c r="AL72" s="224" t="s">
        <v>21</v>
      </c>
      <c r="AM72" s="224" t="str">
        <f>_xlfn.LET(_xlpm._全体実績予測,
  INDEX('在庫使用計画 (全体実績+予測）0701'!$A$1:$BD$195,
    MATCH($C72,'在庫使用計画 (全体実績+予測）0701'!$C$1:$C$195,0),
    MATCH(AM$1,'在庫使用計画 (全体実績+予測）0701'!$A$1:$BD$1,0)
),
  IFERROR(
    IF(_xlpm._全体実績予測=0,"",_xlpm._全体実績予測),
  "")
)</f>
        <v/>
      </c>
      <c r="AN72" s="237" t="str">
        <f>_xlfn.LET(_xlpm._全体実績予測,
  INDEX('在庫使用計画 (全体実績+予測）0701'!$A$1:$BD$195,
    MATCH($C72,'在庫使用計画 (全体実績+予測）0701'!$C$1:$C$195,0),
    MATCH(AN$1,'在庫使用計画 (全体実績+予測）0701'!$A$1:$BD$1,0)
),
  IFERROR(
    IF(_xlpm._全体実績予測=0,"",_xlpm._全体実績予測),
  "")
)</f>
        <v/>
      </c>
      <c r="AO72" s="237" t="str">
        <f>_xlfn.LET(_xlpm._全体実績予測,
  INDEX('在庫使用計画 (全体実績+予測）0701'!$A$1:$BD$195,
    MATCH($C72,'在庫使用計画 (全体実績+予測）0701'!$C$1:$C$195,0),
    MATCH(AO$1,'在庫使用計画 (全体実績+予測）0701'!$A$1:$BD$1,0)
),
  IFERROR(
    IF(_xlpm._全体実績予測=0,"",_xlpm._全体実績予測),
  "")
)</f>
        <v/>
      </c>
      <c r="AP72" s="224" t="str">
        <f>_xlfn.LET(_xlpm._全体実績予測,
  INDEX('在庫使用計画 (全体実績+予測）0701'!$A$1:$BD$195,
    MATCH($C72,'在庫使用計画 (全体実績+予測）0701'!$C$1:$C$195,0),
    MATCH(AP$1,'在庫使用計画 (全体実績+予測）0701'!$A$1:$BD$1,0)
),
  IFERROR(
    IF(_xlpm._全体実績予測=0,"",_xlpm._全体実績予測),
  "")
)</f>
        <v/>
      </c>
      <c r="AQ72" s="1050" t="str">
        <f>_xlfn.LET(_xlpm._全体実績予測,
  INDEX('在庫使用計画 (全体実績+予測）0701'!$A$1:$BD$195,
    MATCH($C72,'在庫使用計画 (全体実績+予測）0701'!$C$1:$C$195,0),
    MATCH(AQ$1,'在庫使用計画 (全体実績+予測）0701'!$A$1:$BD$1,0)
),
  IFERROR(
    IF(_xlpm._全体実績予測=0,"",_xlpm._全体実績予測),
  "")
)</f>
        <v/>
      </c>
      <c r="AR72" s="2130" t="str">
        <f>_xlfn.LET(_xlpm._全体実績予測,
  INDEX('在庫使用計画 (全体実績+予測）0701'!$A$1:$BD$195,
    MATCH($C72,'在庫使用計画 (全体実績+予測）0701'!$C$1:$C$195,0),
    MATCH(AR$1,'在庫使用計画 (全体実績+予測）0701'!$A$1:$BD$1,0)
),
  IFERROR(
    IF(_xlpm._全体実績予測=0,"",_xlpm._全体実績予測),
  "")
)</f>
        <v/>
      </c>
      <c r="AS72" s="244" t="str">
        <f>_xlfn.LET(_xlpm._全体実績予測,
  INDEX('在庫使用計画 (全体実績+予測）0701'!$A$1:$BD$195,
    MATCH($C72,'在庫使用計画 (全体実績+予測）0701'!$C$1:$C$195,0),
    MATCH(AS$1,'在庫使用計画 (全体実績+予測）0701'!$A$1:$BD$1,0)
),
  IFERROR(
    IF(_xlpm._全体実績予測=0,"",_xlpm._全体実績予測),
  "")
)</f>
        <v/>
      </c>
      <c r="AT72" s="805" t="str">
        <f>_xlfn.LET(_xlpm._全体実績予測,
  INDEX('在庫使用計画 (全体実績+予測）0701'!$A$1:$BD$195,
    MATCH($C72,'在庫使用計画 (全体実績+予測）0701'!$C$1:$C$195,0),
    MATCH(AT$1,'在庫使用計画 (全体実績+予測）0701'!$A$1:$BD$1,0)
),
  IFERROR(
    IF(_xlpm._全体実績予測=0,"",_xlpm._全体実績予測),
  "")
)</f>
        <v/>
      </c>
      <c r="AU72" s="804" t="str">
        <f>_xlfn.LET(_xlpm._全体実績予測,
  INDEX('在庫使用計画 (全体実績+予測）0701'!$A$1:$BD$195,
    MATCH($C72,'在庫使用計画 (全体実績+予測）0701'!$C$1:$C$195,0),
    MATCH(AU$1,'在庫使用計画 (全体実績+予測）0701'!$A$1:$BD$1,0)
),
  IFERROR(
    IF(_xlpm._全体実績予測=0,"",_xlpm._全体実績予測),
  "")
)</f>
        <v/>
      </c>
      <c r="AV72" s="224" t="str">
        <f>_xlfn.LET(_xlpm._全体実績予測,
  INDEX('在庫使用計画 (全体実績+予測）0701'!$A$1:$BD$195,
    MATCH($C72,'在庫使用計画 (全体実績+予測）0701'!$C$1:$C$195,0),
    MATCH(AV$1,'在庫使用計画 (全体実績+予測）0701'!$A$1:$BD$1,0)
),
  IFERROR(
    IF(_xlpm._全体実績予測=0,"",_xlpm._全体実績予測),
  "")
)</f>
        <v/>
      </c>
      <c r="AW72" s="224" t="str">
        <f>_xlfn.LET(_xlpm._全体実績予測,
  INDEX('在庫使用計画 (全体実績+予測）0701'!$A$1:$BD$195,
    MATCH($C72,'在庫使用計画 (全体実績+予測）0701'!$C$1:$C$195,0),
    MATCH(AW$1,'在庫使用計画 (全体実績+予測）0701'!$A$1:$BD$1,0)
),
  IFERROR(
    IF(_xlpm._全体実績予測=0,"",_xlpm._全体実績予測),
  "")
)</f>
        <v/>
      </c>
      <c r="AX72" s="224" t="str">
        <f>_xlfn.LET(_xlpm._全体実績予測,
  INDEX('在庫使用計画 (全体実績+予測）0701'!$A$1:$BD$195,
    MATCH($C72,'在庫使用計画 (全体実績+予測）0701'!$C$1:$C$195,0),
    MATCH(AX$1,'在庫使用計画 (全体実績+予測）0701'!$A$1:$BD$1,0)
),
  IFERROR(
    IF(_xlpm._全体実績予測=0,"",_xlpm._全体実績予測),
  "")
)</f>
        <v/>
      </c>
      <c r="AY72" s="224" t="str">
        <f>_xlfn.LET(_xlpm._全体実績予測,
  INDEX('在庫使用計画 (全体実績+予測）0701'!$A$1:$BD$195,
    MATCH($C72,'在庫使用計画 (全体実績+予測）0701'!$C$1:$C$195,0),
    MATCH(AY$1,'在庫使用計画 (全体実績+予測）0701'!$A$1:$BD$1,0)
),
  IFERROR(
    IF(_xlpm._全体実績予測=0,"",_xlpm._全体実績予測),
  "")
)</f>
        <v/>
      </c>
      <c r="AZ72" s="224" t="str">
        <f>_xlfn.LET(_xlpm._全体実績予測,
  INDEX('在庫使用計画 (全体実績+予測）0701'!$A$1:$BD$195,
    MATCH($C72,'在庫使用計画 (全体実績+予測）0701'!$C$1:$C$195,0),
    MATCH(AZ$1,'在庫使用計画 (全体実績+予測）0701'!$A$1:$BD$1,0)
),
  IFERROR(
    IF(_xlpm._全体実績予測=0,"",_xlpm._全体実績予測),
  "")
)</f>
        <v/>
      </c>
      <c r="BA72" s="224" t="str">
        <f>_xlfn.LET(_xlpm._全体実績予測,
  INDEX('在庫使用計画 (全体実績+予測）0701'!$A$1:$BD$195,
    MATCH($C72,'在庫使用計画 (全体実績+予測）0701'!$C$1:$C$195,0),
    MATCH(BA$1,'在庫使用計画 (全体実績+予測）0701'!$A$1:$BD$1,0)
),
  IFERROR(
    IF(_xlpm._全体実績予測=0,"",_xlpm._全体実績予測),
  "")
)</f>
        <v/>
      </c>
      <c r="BB72" s="224" t="str">
        <f>_xlfn.LET(_xlpm._全体実績予測,
  INDEX('在庫使用計画 (全体実績+予測）0701'!$A$1:$BD$195,
    MATCH($C72,'在庫使用計画 (全体実績+予測）0701'!$C$1:$C$195,0),
    MATCH(BB$1,'在庫使用計画 (全体実績+予測）0701'!$A$1:$BD$1,0)
),
  IFERROR(
    IF(_xlpm._全体実績予測=0,"",_xlpm._全体実績予測),
  "")
)</f>
        <v/>
      </c>
      <c r="BC72" s="224" t="str">
        <f>_xlfn.LET(_xlpm._全体実績予測,
  INDEX('在庫使用計画 (全体実績+予測）0701'!$A$1:$BD$195,
    MATCH($C72,'在庫使用計画 (全体実績+予測）0701'!$C$1:$C$195,0),
    MATCH(BC$1,'在庫使用計画 (全体実績+予測）0701'!$A$1:$BD$1,0)
),
  IFERROR(
    IF(_xlpm._全体実績予測=0,"",_xlpm._全体実績予測),
  "")
)</f>
        <v/>
      </c>
      <c r="BD72" s="224" t="str">
        <f>_xlfn.LET(_xlpm._全体実績予測,
  INDEX('在庫使用計画 (全体実績+予測）0701'!$A$1:$BD$195,
    MATCH($C72,'在庫使用計画 (全体実績+予測）0701'!$C$1:$C$195,0),
    MATCH(BD$1,'在庫使用計画 (全体実績+予測）0701'!$A$1:$BD$1,0)
),
  IFERROR(
    IF(_xlpm._全体実績予測=0,"",_xlpm._全体実績予測),
  "")
)</f>
        <v/>
      </c>
      <c r="BE72" s="224" t="str">
        <f>_xlfn.LET(_xlpm._全体実績予測,
  INDEX('在庫使用計画 (全体実績+予測）0701'!$A$1:$BD$195,
    MATCH($C72,'在庫使用計画 (全体実績+予測）0701'!$C$1:$C$195,0),
    MATCH(BE$1,'在庫使用計画 (全体実績+予測）0701'!$A$1:$BD$1,0)
),
  IFERROR(
    IF(_xlpm._全体実績予測=0,"",_xlpm._全体実績予測),
  "")
)</f>
        <v/>
      </c>
      <c r="BF72" s="805" t="str">
        <f>_xlfn.LET(_xlpm._全体実績予測,
  INDEX('在庫使用計画 (全体実績+予測）0701'!$A$1:$BD$195,
    MATCH($C72,'在庫使用計画 (全体実績+予測）0701'!$C$1:$C$195,0),
    MATCH(BF$1,'在庫使用計画 (全体実績+予測）0701'!$A$1:$BD$1,0)
),
  IFERROR(
    IF(_xlpm._全体実績予測=0,"",_xlpm._全体実績予測),
  "")
)</f>
        <v/>
      </c>
    </row>
    <row r="73" spans="1:60" ht="18.75" customHeight="1">
      <c r="A73" s="67" t="s">
        <v>1785</v>
      </c>
      <c r="B73" s="26" t="str">
        <v>UNW-E-13620H-4050-L6 Creator</v>
      </c>
      <c r="C73" s="531" t="s">
        <v>1788</v>
      </c>
      <c r="D73" s="68" t="s">
        <v>1367</v>
      </c>
      <c r="E73" s="68">
        <v>4050</v>
      </c>
      <c r="F73" s="68" t="s">
        <v>1347</v>
      </c>
      <c r="G73" s="38">
        <v>555</v>
      </c>
      <c r="H73" s="38">
        <f ca="1">_xlfn.LET(_xlpm._今月から4ヶ月計画合計,
  SUM(
    OFFSET($A73,0,
      MATCH(
        EDATE(基準データ!$C$5,3),$A$1:$BE$1,1
      )-4,1,4)),
  IF($C73="","",_xlpm._今月から4ヶ月計画合計
)
)</f>
        <v>516.93977701229846</v>
      </c>
      <c r="I73" s="38">
        <f>SUMIFS(マスタ_EOLリスト[在庫],マスタ_EOLリスト[製品型番],'在庫使用計画 (計画　予測)'!$C:$C)</f>
        <v>555</v>
      </c>
      <c r="J73" s="1116" cm="1">
        <f t="array" ref="J73">_xlfn.IFS($C73="","",
  $G73="","発売前？",
  $G73=0,"在庫なし",
  TRUE,
  IFERROR(
    _xlfn.LET(
      _xlpm._在庫注残,     $G73,
      _xlpm._しきい値,     _xlpm._在庫注残 * 0.75,
      _xlpm._見出し元,     $K$1:$BT$1,
      _xlpm._計画,         $K73:$BT73,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46235</v>
      </c>
      <c r="K73" s="38" t="s">
        <v>21</v>
      </c>
      <c r="L73" s="38" t="s">
        <v>21</v>
      </c>
      <c r="M73" s="38" t="s">
        <v>21</v>
      </c>
      <c r="N73" s="38" t="s">
        <v>21</v>
      </c>
      <c r="O73" s="38">
        <v>284.92643189249378</v>
      </c>
      <c r="P73" s="38">
        <v>298.72647030090781</v>
      </c>
      <c r="Q73" s="116">
        <v>306.84868063642557</v>
      </c>
      <c r="R73" s="1350">
        <v>205</v>
      </c>
      <c r="S73" s="219">
        <v>186</v>
      </c>
      <c r="T73" s="224">
        <v>245</v>
      </c>
      <c r="U73" s="224">
        <v>255</v>
      </c>
      <c r="V73" s="219">
        <v>305</v>
      </c>
      <c r="W73" s="224">
        <v>150</v>
      </c>
      <c r="X73" s="224">
        <v>185</v>
      </c>
      <c r="Y73" s="224">
        <v>295</v>
      </c>
      <c r="Z73" s="224">
        <v>155</v>
      </c>
      <c r="AA73" s="224">
        <v>135</v>
      </c>
      <c r="AB73" s="224">
        <v>145</v>
      </c>
      <c r="AC73" s="805">
        <v>265</v>
      </c>
      <c r="AD73" s="244">
        <v>185</v>
      </c>
      <c r="AE73" s="224">
        <v>202</v>
      </c>
      <c r="AF73" s="224">
        <v>154.10813076278291</v>
      </c>
      <c r="AG73" s="224">
        <v>175</v>
      </c>
      <c r="AH73" s="237">
        <v>125.11111111111111</v>
      </c>
      <c r="AI73" s="804">
        <v>87</v>
      </c>
      <c r="AJ73" s="224">
        <v>90.663399693721288</v>
      </c>
      <c r="AK73" s="224">
        <v>121.24354262378766</v>
      </c>
      <c r="AL73" s="224">
        <v>68.850976504137847</v>
      </c>
      <c r="AM73" s="224">
        <f>_xlfn.XLOOKUP(
$C73,
'在庫使用計画 (ノート全体試算)'!$C$1:$C$170,
'在庫使用計画 (ノート全体試算)'!AN$1:AN$170,
"")</f>
        <v>221</v>
      </c>
      <c r="AN73" s="237">
        <f>_xlfn.XLOOKUP(
$C73,
'在庫使用計画 (ノート全体試算)'!$C$1:$C$170,
'在庫使用計画 (ノート全体試算)'!AO$1:AO$170,
"")</f>
        <v>229</v>
      </c>
      <c r="AO73" s="237">
        <f>_xlfn.XLOOKUP(
$C73,
'在庫使用計画 (ノート全体試算)'!$C$1:$C$170,
'在庫使用計画 (ノート全体試算)'!AP$1:AP$170,
"")</f>
        <v>276</v>
      </c>
      <c r="AP73" s="224">
        <f>_xlfn.XLOOKUP(
$C73,
'在庫使用計画 (ノート全体試算)'!$C$1:$C$170,
'在庫使用計画 (ノート全体試算)'!AQ$1:AQ$170,
"")</f>
        <v>240.93977701229841</v>
      </c>
      <c r="AQ73" s="1050" t="str">
        <f>_xlfn.XLOOKUP(
$C73,
'在庫使用計画 (ノート全体試算)'!$C$1:$C$170,
'在庫使用計画 (ノート全体試算)'!AR$1:AR$170,
"")</f>
        <v/>
      </c>
      <c r="AR73" s="2130" t="str">
        <f>_xlfn.XLOOKUP(
$C73,
'在庫使用計画 (ノート全体試算)'!$C$1:$C$170,
'在庫使用計画 (ノート全体試算)'!AS$1:AS$170,
"")</f>
        <v/>
      </c>
      <c r="AS73" s="244" t="str">
        <f>_xlfn.XLOOKUP(
$C73,
'在庫使用計画 (ノート全体試算)'!$C$1:$C$170,
'在庫使用計画 (ノート全体試算)'!AT$1:AT$170,
"")</f>
        <v/>
      </c>
      <c r="AT73" s="805" t="str">
        <f>_xlfn.XLOOKUP(
$C73,
'在庫使用計画 (ノート全体試算)'!$C$1:$C$170,
'在庫使用計画 (ノート全体試算)'!AU$1:AU$170,
"")</f>
        <v/>
      </c>
      <c r="AU73" s="804" t="str">
        <f>_xlfn.XLOOKUP(
$C73,
'在庫使用計画 (ノート全体試算)'!$C$1:$C$170,
'在庫使用計画 (ノート全体試算)'!AV$1:AV$170,
"")</f>
        <v/>
      </c>
      <c r="AV73" s="224" t="str">
        <f>_xlfn.XLOOKUP(
$C73,
'在庫使用計画 (ノート全体試算)'!$C$1:$C$170,
'在庫使用計画 (ノート全体試算)'!AW$1:AW$170,
"")</f>
        <v/>
      </c>
      <c r="AW73" s="224" t="str">
        <f>_xlfn.XLOOKUP(
$C73,
'在庫使用計画 (ノート全体試算)'!$C$1:$C$170,
'在庫使用計画 (ノート全体試算)'!AX$1:AX$170,
"")</f>
        <v/>
      </c>
      <c r="AX73" s="224" t="str">
        <f>_xlfn.XLOOKUP(
$C73,
'在庫使用計画 (ノート全体試算)'!$C$1:$C$170,
'在庫使用計画 (ノート全体試算)'!AY$1:AY$170,
"")</f>
        <v/>
      </c>
      <c r="AY73" s="224" t="str">
        <f>_xlfn.XLOOKUP(
$C73,
'在庫使用計画 (ノート全体試算)'!$C$1:$C$170,
'在庫使用計画 (ノート全体試算)'!AZ$1:AZ$170,
"")</f>
        <v/>
      </c>
      <c r="AZ73" s="224" t="str">
        <f>_xlfn.XLOOKUP(
$C73,
'在庫使用計画 (ノート全体試算)'!$C$1:$C$170,
'在庫使用計画 (ノート全体試算)'!BA$1:BA$170,
"")</f>
        <v/>
      </c>
      <c r="BA73" s="224" t="str">
        <f>_xlfn.XLOOKUP(
$C73,
'在庫使用計画 (ノート全体試算)'!$C$1:$C$170,
'在庫使用計画 (ノート全体試算)'!BB$1:BB$170,
"")</f>
        <v/>
      </c>
      <c r="BB73" s="224" t="str">
        <f>_xlfn.XLOOKUP(
$C73,
'在庫使用計画 (ノート全体試算)'!$C$1:$C$170,
'在庫使用計画 (ノート全体試算)'!BC$1:BC$170,
"")</f>
        <v/>
      </c>
      <c r="BC73" s="224" t="str">
        <f>_xlfn.XLOOKUP(
$C73,
'在庫使用計画 (ノート全体試算)'!$C$1:$C$170,
'在庫使用計画 (ノート全体試算)'!BD$1:BD$170,
"")</f>
        <v/>
      </c>
      <c r="BD73" s="224" t="str">
        <f>_xlfn.XLOOKUP(
$C73,
'在庫使用計画 (ノート全体試算)'!$C$1:$C$170,
'在庫使用計画 (ノート全体試算)'!BE$1:BE$170,
"")</f>
        <v/>
      </c>
      <c r="BE73" s="224" t="str">
        <f>_xlfn.XLOOKUP(
$C73,
'在庫使用計画 (ノート全体試算)'!$C$1:$C$170,
'在庫使用計画 (ノート全体試算)'!BF$1:BF$170,
"")</f>
        <v/>
      </c>
      <c r="BF73" s="805" t="str">
        <f>_xlfn.XLOOKUP(
$C73,
'在庫使用計画 (ノート全体試算)'!$C$1:$C$170,
'在庫使用計画 (ノート全体試算)'!BG$1:BG$170,
"")</f>
        <v/>
      </c>
      <c r="BG73" s="2091" t="s">
        <v>2656</v>
      </c>
    </row>
    <row r="74" spans="1:60" ht="18.75" customHeight="1">
      <c r="A74" s="445"/>
      <c r="B74" s="446" t="str">
        <v>UNW-E-13620H-4050-L6 Creator</v>
      </c>
      <c r="C74" s="452" t="s">
        <v>458</v>
      </c>
      <c r="D74" s="446" t="s">
        <v>1763</v>
      </c>
      <c r="E74" s="446"/>
      <c r="F74" s="447"/>
      <c r="G74" s="448">
        <v>555</v>
      </c>
      <c r="H74" s="448">
        <f ca="1">_xlfn.LET(_xlpm._今月から4ヶ月計画合計,
  SUM(
    OFFSET($A74,0,
      MATCH(
        EDATE(基準データ!$C$5,3),$A$1:$BE$1,1
      )-4,1,4)),
  IF($C74="","",_xlpm._今月から4ヶ月計画合計
)
)</f>
        <v>802.18042883513556</v>
      </c>
      <c r="I74" s="448">
        <f t="shared" si="11"/>
        <v>555</v>
      </c>
      <c r="J74" s="1116" cm="1">
        <f t="array" ref="J74">_xlfn.IFS($C74="","",
  $G74="","発売前？",
  $G74=0,"在庫なし",
  TRUE,
  IFERROR(
    _xlfn.LET(
      _xlpm._在庫注残,     $G74,
      _xlpm._しきい値,     _xlpm._在庫注残 * 0.75,
      _xlpm._見出し元,     $K$1:$BT$1,
      _xlpm._計画,         $K74:$BT74,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46266</v>
      </c>
      <c r="K74" s="448"/>
      <c r="L74" s="448"/>
      <c r="M74" s="448"/>
      <c r="N74" s="448"/>
      <c r="O74" s="448"/>
      <c r="P74" s="448"/>
      <c r="Q74" s="540"/>
      <c r="R74" s="900"/>
      <c r="S74" s="449"/>
      <c r="T74" s="449"/>
      <c r="U74" s="449"/>
      <c r="V74" s="450"/>
      <c r="W74" s="455">
        <v>176</v>
      </c>
      <c r="X74" s="455">
        <v>79</v>
      </c>
      <c r="Y74" s="455">
        <v>106</v>
      </c>
      <c r="Z74" s="507">
        <v>105</v>
      </c>
      <c r="AA74" s="453">
        <v>73</v>
      </c>
      <c r="AB74" s="449">
        <v>112</v>
      </c>
      <c r="AC74" s="899">
        <v>157</v>
      </c>
      <c r="AD74" s="1290">
        <v>276</v>
      </c>
      <c r="AE74" s="453">
        <v>181</v>
      </c>
      <c r="AF74" s="453">
        <v>218</v>
      </c>
      <c r="AG74" s="451">
        <v>103</v>
      </c>
      <c r="AH74" s="237">
        <v>163</v>
      </c>
      <c r="AI74" s="896">
        <v>88</v>
      </c>
      <c r="AJ74" s="451">
        <v>44</v>
      </c>
      <c r="AK74" s="451">
        <v>90</v>
      </c>
      <c r="AL74" s="451">
        <v>117</v>
      </c>
      <c r="AM74" s="451">
        <f>_xlfn.LET(_xlpm._全体実績予測,
  INDEX('在庫使用計画 (全体実績+予測）0701'!$A$1:$BD$195,
    MATCH($C74,'在庫使用計画 (全体実績+予測）0701'!$C$1:$C$195,0),
    MATCH(AM$1,'在庫使用計画 (全体実績+予測）0701'!$A$1:$BD$1,0)
),
  IFERROR(
    IF(_xlpm._全体実績予測=0,"",_xlpm._全体実績予測),
  "")
)</f>
        <v>64</v>
      </c>
      <c r="AN74" s="889">
        <f>_xlfn.LET(_xlpm._全体実績予測,
  INDEX('在庫使用計画 (全体実績+予測）0701'!$A$1:$BD$195,
    MATCH($C74,'在庫使用計画 (全体実績+予測）0701'!$C$1:$C$195,0),
    MATCH(AN$1,'在庫使用計画 (全体実績+予測）0701'!$A$1:$BD$1,0)
),
  IFERROR(
    IF(_xlpm._全体実績予測=0,"",_xlpm._全体実績予測),
  "")
)</f>
        <v>187.5</v>
      </c>
      <c r="AO74" s="889">
        <f>_xlfn.LET(_xlpm._全体実績予測,
  INDEX('在庫使用計画 (全体実績+予測）0701'!$A$1:$BD$195,
    MATCH($C74,'在庫使用計画 (全体実績+予測）0701'!$C$1:$C$195,0),
    MATCH(AO$1,'在庫使用計画 (全体実績+予測）0701'!$A$1:$BD$1,0)
),
  IFERROR(
    IF(_xlpm._全体実績予測=0,"",_xlpm._全体実績予測),
  "")
)</f>
        <v>184.18778124790114</v>
      </c>
      <c r="AP74" s="451">
        <f>_xlfn.LET(_xlpm._全体実績予測,
  INDEX('在庫使用計画 (全体実績+予測）0701'!$A$1:$BD$195,
    MATCH($C74,'在庫使用計画 (全体実績+予測）0701'!$C$1:$C$195,0),
    MATCH(AP$1,'在庫使用計画 (全体実績+予測）0701'!$A$1:$BD$1,0)
),
  IFERROR(
    IF(_xlpm._全体実績予測=0,"",_xlpm._全体実績予測),
  "")
)</f>
        <v>194.81753604667168</v>
      </c>
      <c r="AQ74" s="2121">
        <f>_xlfn.LET(_xlpm._全体実績予測,
  INDEX('在庫使用計画 (全体実績+予測）0701'!$A$1:$BD$195,
    MATCH($C74,'在庫使用計画 (全体実績+予測）0701'!$C$1:$C$195,0),
    MATCH(AQ$1,'在庫使用計画 (全体実績+予測）0701'!$A$1:$BD$1,0)
),
  IFERROR(
    IF(_xlpm._全体実績予測=0,"",_xlpm._全体実績予測),
  "")
)</f>
        <v>210.55169828245283</v>
      </c>
      <c r="AR74" s="2137">
        <f>_xlfn.LET(_xlpm._全体実績予測,
  INDEX('在庫使用計画 (全体実績+予測）0701'!$A$1:$BD$195,
    MATCH($C74,'在庫使用計画 (全体実績+予測）0701'!$C$1:$C$195,0),
    MATCH(AR$1,'在庫使用計画 (全体実績+予測）0701'!$A$1:$BD$1,0)
),
  IFERROR(
    IF(_xlpm._全体実績予測=0,"",_xlpm._全体実績予測),
  "")
)</f>
        <v>212.62341325810999</v>
      </c>
      <c r="AS74" s="1292">
        <f>_xlfn.LET(_xlpm._全体実績予測,
  INDEX('在庫使用計画 (全体実績+予測）0701'!$A$1:$BD$195,
    MATCH($C74,'在庫使用計画 (全体実績+予測）0701'!$C$1:$C$195,0),
    MATCH(AS$1,'在庫使用計画 (全体実績+予測）0701'!$A$1:$BD$1,0)
),
  IFERROR(
    IF(_xlpm._全体実績予測=0,"",_xlpm._全体実績予測),
  "")
)</f>
        <v>214.61209681815797</v>
      </c>
      <c r="AT74" s="897">
        <f>_xlfn.LET(_xlpm._全体実績予測,
  INDEX('在庫使用計画 (全体実績+予測）0701'!$A$1:$BD$195,
    MATCH($C74,'在庫使用計画 (全体実績+予測）0701'!$C$1:$C$195,0),
    MATCH(AT$1,'在庫使用計画 (全体実績+予測）0701'!$A$1:$BD$1,0)
),
  IFERROR(
    IF(_xlpm._全体実績予測=0,"",_xlpm._全体実績予測),
  "")
)</f>
        <v>337.30774397205994</v>
      </c>
      <c r="AU74" s="896">
        <f>_xlfn.LET(_xlpm._全体実績予測,
  INDEX('在庫使用計画 (全体実績+予測）0701'!$A$1:$BD$195,
    MATCH($C74,'在庫使用計画 (全体実績+予測）0701'!$C$1:$C$195,0),
    MATCH(AU$1,'在庫使用計画 (全体実績+予測）0701'!$A$1:$BD$1,0)
),
  IFERROR(
    IF(_xlpm._全体実績予測=0,"",_xlpm._全体実績予測),
  "")
)</f>
        <v>285.29579457688305</v>
      </c>
      <c r="AV74" s="451">
        <f>_xlfn.LET(_xlpm._全体実績予測,
  INDEX('在庫使用計画 (全体実績+予測）0701'!$A$1:$BD$195,
    MATCH($C74,'在庫使用計画 (全体実績+予測）0701'!$C$1:$C$195,0),
    MATCH(AV$1,'在庫使用計画 (全体実績+予測）0701'!$A$1:$BD$1,0)
),
  IFERROR(
    IF(_xlpm._全体実績予測=0,"",_xlpm._全体実績予測),
  "")
)</f>
        <v>188.62604103700718</v>
      </c>
      <c r="AW74" s="451">
        <f>_xlfn.LET(_xlpm._全体実績予測,
  INDEX('在庫使用計画 (全体実績+予測）0701'!$A$1:$BD$195,
    MATCH($C74,'在庫使用計画 (全体実績+予測）0701'!$C$1:$C$195,0),
    MATCH(AW$1,'在庫使用計画 (全体実績+予測）0701'!$A$1:$BD$1,0)
),
  IFERROR(
    IF(_xlpm._全体実績予測=0,"",_xlpm._全体実績予測),
  "")
)</f>
        <v>282.27332258714483</v>
      </c>
      <c r="AX74" s="451">
        <f>_xlfn.LET(_xlpm._全体実績予測,
  INDEX('在庫使用計画 (全体実績+予測）0701'!$A$1:$BD$195,
    MATCH($C74,'在庫使用計画 (全体実績+予測）0701'!$C$1:$C$195,0),
    MATCH(AX$1,'在庫使用計画 (全体実績+予測）0701'!$A$1:$BD$1,0)
),
  IFERROR(
    IF(_xlpm._全体実績予測=0,"",_xlpm._全体実績予測),
  "")
)</f>
        <v>210.971195693884</v>
      </c>
      <c r="AY74" s="451">
        <f>_xlfn.LET(_xlpm._全体実績予測,
  INDEX('在庫使用計画 (全体実績+予測）0701'!$A$1:$BD$195,
    MATCH($C74,'在庫使用計画 (全体実績+予測）0701'!$C$1:$C$195,0),
    MATCH(AY$1,'在庫使用計画 (全体実績+予測）0701'!$A$1:$BD$1,0)
),
  IFERROR(
    IF(_xlpm._全体実績予測=0,"",_xlpm._全体実績予測),
  "")
)</f>
        <v>178.41804352206327</v>
      </c>
      <c r="AZ74" s="451">
        <f>_xlfn.LET(_xlpm._全体実績予測,
  INDEX('在庫使用計画 (全体実績+予測）0701'!$A$1:$BD$195,
    MATCH($C74,'在庫使用計画 (全体実績+予測）0701'!$C$1:$C$195,0),
    MATCH(AZ$1,'在庫使用計画 (全体実績+予測）0701'!$A$1:$BD$1,0)
),
  IFERROR(
    IF(_xlpm._全体実績予測=0,"",_xlpm._全体実績予測),
  "")
)</f>
        <v>187.5</v>
      </c>
      <c r="BA74" s="451">
        <f>_xlfn.LET(_xlpm._全体実績予測,
  INDEX('在庫使用計画 (全体実績+予測）0701'!$A$1:$BD$195,
    MATCH($C74,'在庫使用計画 (全体実績+予測）0701'!$C$1:$C$195,0),
    MATCH(BA$1,'在庫使用計画 (全体実績+予測）0701'!$A$1:$BD$1,0)
),
  IFERROR(
    IF(_xlpm._全体実績予測=0,"",_xlpm._全体実績予測),
  "")
)</f>
        <v>184.18778124790114</v>
      </c>
      <c r="BB74" s="451">
        <f>_xlfn.LET(_xlpm._全体実績予測,
  INDEX('在庫使用計画 (全体実績+予測）0701'!$A$1:$BD$195,
    MATCH($C74,'在庫使用計画 (全体実績+予測）0701'!$C$1:$C$195,0),
    MATCH(BB$1,'在庫使用計画 (全体実績+予測）0701'!$A$1:$BD$1,0)
),
  IFERROR(
    IF(_xlpm._全体実績予測=0,"",_xlpm._全体実績予測),
  "")
)</f>
        <v>194.81753604667168</v>
      </c>
      <c r="BC74" s="451">
        <f>_xlfn.LET(_xlpm._全体実績予測,
  INDEX('在庫使用計画 (全体実績+予測）0701'!$A$1:$BD$195,
    MATCH($C74,'在庫使用計画 (全体実績+予測）0701'!$C$1:$C$195,0),
    MATCH(BC$1,'在庫使用計画 (全体実績+予測）0701'!$A$1:$BD$1,0)
),
  IFERROR(
    IF(_xlpm._全体実績予測=0,"",_xlpm._全体実績予測),
  "")
)</f>
        <v>210.55169828245283</v>
      </c>
      <c r="BD74" s="451">
        <f>_xlfn.LET(_xlpm._全体実績予測,
  INDEX('在庫使用計画 (全体実績+予測）0701'!$A$1:$BD$195,
    MATCH($C74,'在庫使用計画 (全体実績+予測）0701'!$C$1:$C$195,0),
    MATCH(BD$1,'在庫使用計画 (全体実績+予測）0701'!$A$1:$BD$1,0)
),
  IFERROR(
    IF(_xlpm._全体実績予測=0,"",_xlpm._全体実績予測),
  "")
)</f>
        <v>212.62341325810999</v>
      </c>
      <c r="BE74" s="451">
        <f>_xlfn.LET(_xlpm._全体実績予測,
  INDEX('在庫使用計画 (全体実績+予測）0701'!$A$1:$BD$195,
    MATCH($C74,'在庫使用計画 (全体実績+予測）0701'!$C$1:$C$195,0),
    MATCH(BE$1,'在庫使用計画 (全体実績+予測）0701'!$A$1:$BD$1,0)
),
  IFERROR(
    IF(_xlpm._全体実績予測=0,"",_xlpm._全体実績予測),
  "")
)</f>
        <v>214.61209681815797</v>
      </c>
      <c r="BF74" s="897">
        <f>_xlfn.LET(_xlpm._全体実績予測,
  INDEX('在庫使用計画 (全体実績+予測）0701'!$A$1:$BD$195,
    MATCH($C74,'在庫使用計画 (全体実績+予測）0701'!$C$1:$C$195,0),
    MATCH(BF$1,'在庫使用計画 (全体実績+予測）0701'!$A$1:$BD$1,0)
),
  IFERROR(
    IF(_xlpm._全体実績予測=0,"",_xlpm._全体実績予測),
  "")
)</f>
        <v>337.30774397205994</v>
      </c>
    </row>
    <row r="75" spans="1:60" ht="18.75" customHeight="1">
      <c r="A75" s="67" t="s">
        <v>1785</v>
      </c>
      <c r="B75" s="26" t="str">
        <v>UNW-E-13620H-3050-L6 Creator</v>
      </c>
      <c r="C75" s="25" t="s">
        <v>1789</v>
      </c>
      <c r="D75" s="68" t="s">
        <v>1367</v>
      </c>
      <c r="E75" s="68">
        <v>3050</v>
      </c>
      <c r="F75" s="68" t="s">
        <v>1347</v>
      </c>
      <c r="G75" s="38">
        <v>11</v>
      </c>
      <c r="H75" s="38">
        <f ca="1">_xlfn.LET(_xlpm._今月から4ヶ月計画合計,
  SUM(
    OFFSET($A75,0,
      MATCH(
        EDATE(基準データ!$C$5,3),$A$1:$BE$1,1
      )-4,1,4)),
  IF($C75="","",_xlpm._今月から4ヶ月計画合計
)
)</f>
        <v>10</v>
      </c>
      <c r="I75" s="38">
        <f>SUMIFS(マスタ_EOLリスト[在庫],マスタ_EOLリスト[製品型番],'在庫使用計画 (計画　予測)'!$C:$C)</f>
        <v>11</v>
      </c>
      <c r="J75" s="1116" cm="1">
        <f t="array" ref="J75">_xlfn.IFS($C75="","",
  $G75="","発売前？",
  $G75=0,"在庫なし",
  TRUE,
  IFERROR(
    _xlfn.LET(
      _xlpm._在庫注残,     $G75,
      _xlpm._しきい値,     _xlpm._在庫注残 * 0.75,
      _xlpm._見出し元,     $K$1:$BT$1,
      _xlpm._計画,         $K75:$BT75,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46204</v>
      </c>
      <c r="K75" s="38" t="s">
        <v>21</v>
      </c>
      <c r="L75" s="38" t="s">
        <v>21</v>
      </c>
      <c r="M75" s="38" t="s">
        <v>21</v>
      </c>
      <c r="N75" s="38" t="s">
        <v>21</v>
      </c>
      <c r="O75" s="38">
        <v>355.40803986561724</v>
      </c>
      <c r="P75" s="38">
        <v>369.15808787613474</v>
      </c>
      <c r="Q75" s="116">
        <v>417.31085079553196</v>
      </c>
      <c r="R75" s="1350">
        <v>318.70663994021902</v>
      </c>
      <c r="S75" s="219">
        <v>280.37814869187599</v>
      </c>
      <c r="T75" s="224">
        <v>302</v>
      </c>
      <c r="U75" s="224">
        <v>322</v>
      </c>
      <c r="V75" s="219">
        <v>505</v>
      </c>
      <c r="W75" s="224">
        <v>485</v>
      </c>
      <c r="X75" s="224">
        <v>355</v>
      </c>
      <c r="Y75" s="224">
        <v>505</v>
      </c>
      <c r="Z75" s="224">
        <v>225</v>
      </c>
      <c r="AA75" s="224">
        <v>205</v>
      </c>
      <c r="AB75" s="224">
        <v>335</v>
      </c>
      <c r="AC75" s="805">
        <v>245</v>
      </c>
      <c r="AD75" s="244">
        <v>320</v>
      </c>
      <c r="AE75" s="224">
        <v>395</v>
      </c>
      <c r="AF75" s="224">
        <v>275.18021793797152</v>
      </c>
      <c r="AG75" s="224">
        <v>320</v>
      </c>
      <c r="AH75" s="237">
        <v>251.72222222222223</v>
      </c>
      <c r="AI75" s="804">
        <v>182</v>
      </c>
      <c r="AJ75" s="224">
        <v>175.97182235834609</v>
      </c>
      <c r="AK75" s="224">
        <v>224.45472179683512</v>
      </c>
      <c r="AL75" s="224">
        <v>93</v>
      </c>
      <c r="AM75" s="224">
        <f>_xlfn.XLOOKUP(
$C75,
'在庫使用計画 (ノート全体試算)'!$C$1:$C$170,
'在庫使用計画 (ノート全体試算)'!AN$1:AN$170,
"")</f>
        <v>120</v>
      </c>
      <c r="AN75" s="237">
        <f>_xlfn.XLOOKUP(
$C75,
'在庫使用計画 (ノート全体試算)'!$C$1:$C$170,
'在庫使用計画 (ノート全体試算)'!AO$1:AO$170,
"")</f>
        <v>10</v>
      </c>
      <c r="AO75" s="237">
        <f>_xlfn.XLOOKUP(
$C75,
'在庫使用計画 (ノート全体試算)'!$C$1:$C$170,
'在庫使用計画 (ノート全体試算)'!AP$1:AP$170,
"")</f>
        <v>10</v>
      </c>
      <c r="AP75" s="224" t="str">
        <f>_xlfn.XLOOKUP(
$C75,
'在庫使用計画 (ノート全体試算)'!$C$1:$C$170,
'在庫使用計画 (ノート全体試算)'!AQ$1:AQ$170,
"")</f>
        <v/>
      </c>
      <c r="AQ75" s="1050" t="str">
        <f>_xlfn.XLOOKUP(
$C75,
'在庫使用計画 (ノート全体試算)'!$C$1:$C$170,
'在庫使用計画 (ノート全体試算)'!AR$1:AR$170,
"")</f>
        <v/>
      </c>
      <c r="AR75" s="2130" t="str">
        <f>_xlfn.XLOOKUP(
$C75,
'在庫使用計画 (ノート全体試算)'!$C$1:$C$170,
'在庫使用計画 (ノート全体試算)'!AS$1:AS$170,
"")</f>
        <v/>
      </c>
      <c r="AS75" s="244" t="str">
        <f>_xlfn.XLOOKUP(
$C75,
'在庫使用計画 (ノート全体試算)'!$C$1:$C$170,
'在庫使用計画 (ノート全体試算)'!AT$1:AT$170,
"")</f>
        <v/>
      </c>
      <c r="AT75" s="805" t="str">
        <f>_xlfn.XLOOKUP(
$C75,
'在庫使用計画 (ノート全体試算)'!$C$1:$C$170,
'在庫使用計画 (ノート全体試算)'!AU$1:AU$170,
"")</f>
        <v/>
      </c>
      <c r="AU75" s="804" t="str">
        <f>_xlfn.XLOOKUP(
$C75,
'在庫使用計画 (ノート全体試算)'!$C$1:$C$170,
'在庫使用計画 (ノート全体試算)'!AV$1:AV$170,
"")</f>
        <v/>
      </c>
      <c r="AV75" s="224" t="str">
        <f>_xlfn.XLOOKUP(
$C75,
'在庫使用計画 (ノート全体試算)'!$C$1:$C$170,
'在庫使用計画 (ノート全体試算)'!AW$1:AW$170,
"")</f>
        <v/>
      </c>
      <c r="AW75" s="224" t="str">
        <f>_xlfn.XLOOKUP(
$C75,
'在庫使用計画 (ノート全体試算)'!$C$1:$C$170,
'在庫使用計画 (ノート全体試算)'!AX$1:AX$170,
"")</f>
        <v/>
      </c>
      <c r="AX75" s="224" t="str">
        <f>_xlfn.XLOOKUP(
$C75,
'在庫使用計画 (ノート全体試算)'!$C$1:$C$170,
'在庫使用計画 (ノート全体試算)'!AY$1:AY$170,
"")</f>
        <v/>
      </c>
      <c r="AY75" s="224" t="str">
        <f>_xlfn.XLOOKUP(
$C75,
'在庫使用計画 (ノート全体試算)'!$C$1:$C$170,
'在庫使用計画 (ノート全体試算)'!AZ$1:AZ$170,
"")</f>
        <v/>
      </c>
      <c r="AZ75" s="224" t="str">
        <f>_xlfn.XLOOKUP(
$C75,
'在庫使用計画 (ノート全体試算)'!$C$1:$C$170,
'在庫使用計画 (ノート全体試算)'!BA$1:BA$170,
"")</f>
        <v/>
      </c>
      <c r="BA75" s="224" t="str">
        <f>_xlfn.XLOOKUP(
$C75,
'在庫使用計画 (ノート全体試算)'!$C$1:$C$170,
'在庫使用計画 (ノート全体試算)'!BB$1:BB$170,
"")</f>
        <v/>
      </c>
      <c r="BB75" s="224" t="str">
        <f>_xlfn.XLOOKUP(
$C75,
'在庫使用計画 (ノート全体試算)'!$C$1:$C$170,
'在庫使用計画 (ノート全体試算)'!BC$1:BC$170,
"")</f>
        <v/>
      </c>
      <c r="BC75" s="224" t="str">
        <f>_xlfn.XLOOKUP(
$C75,
'在庫使用計画 (ノート全体試算)'!$C$1:$C$170,
'在庫使用計画 (ノート全体試算)'!BD$1:BD$170,
"")</f>
        <v/>
      </c>
      <c r="BD75" s="224" t="str">
        <f>_xlfn.XLOOKUP(
$C75,
'在庫使用計画 (ノート全体試算)'!$C$1:$C$170,
'在庫使用計画 (ノート全体試算)'!BE$1:BE$170,
"")</f>
        <v/>
      </c>
      <c r="BE75" s="224" t="str">
        <f>_xlfn.XLOOKUP(
$C75,
'在庫使用計画 (ノート全体試算)'!$C$1:$C$170,
'在庫使用計画 (ノート全体試算)'!BF$1:BF$170,
"")</f>
        <v/>
      </c>
      <c r="BF75" s="805" t="str">
        <f>_xlfn.XLOOKUP(
$C75,
'在庫使用計画 (ノート全体試算)'!$C$1:$C$170,
'在庫使用計画 (ノート全体試算)'!BG$1:BG$170,
"")</f>
        <v/>
      </c>
      <c r="BG75" s="2091" t="s">
        <v>2655</v>
      </c>
    </row>
    <row r="76" spans="1:60" ht="18.75" customHeight="1">
      <c r="A76" s="445"/>
      <c r="B76" s="446" t="str">
        <v>UNW-E-13620H-3050-L6 Creator</v>
      </c>
      <c r="C76" s="452" t="s">
        <v>463</v>
      </c>
      <c r="D76" s="446" t="s">
        <v>1763</v>
      </c>
      <c r="E76" s="446"/>
      <c r="F76" s="447"/>
      <c r="G76" s="448">
        <v>11</v>
      </c>
      <c r="H76" s="448">
        <f ca="1">_xlfn.LET(_xlpm._今月から4ヶ月計画合計,
  SUM(
    OFFSET($A76,0,
      MATCH(
        EDATE(基準データ!$C$5,3),$A$1:$BE$1,1
      )-4,1,4)),
  IF($C76="","",_xlpm._今月から4ヶ月計画合計
)
)</f>
        <v>137.51664494316611</v>
      </c>
      <c r="I76" s="448">
        <f t="shared" si="11"/>
        <v>11</v>
      </c>
      <c r="J76" s="1116" cm="1">
        <f t="array" ref="J76">_xlfn.IFS($C76="","",
  $G76="","発売前？",
  $G76=0,"在庫なし",
  TRUE,
  IFERROR(
    _xlfn.LET(
      _xlpm._在庫注残,     $G76,
      _xlpm._しきい値,     _xlpm._在庫注残 * 0.75,
      _xlpm._見出し元,     $K$1:$BT$1,
      _xlpm._計画,         $K76:$BT76,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46204</v>
      </c>
      <c r="K76" s="448"/>
      <c r="L76" s="448"/>
      <c r="M76" s="448"/>
      <c r="N76" s="448"/>
      <c r="O76" s="448"/>
      <c r="P76" s="448"/>
      <c r="Q76" s="540"/>
      <c r="R76" s="900"/>
      <c r="S76" s="449"/>
      <c r="T76" s="449"/>
      <c r="U76" s="449"/>
      <c r="V76" s="450"/>
      <c r="W76" s="455">
        <v>349</v>
      </c>
      <c r="X76" s="455">
        <v>201</v>
      </c>
      <c r="Y76" s="455">
        <v>248</v>
      </c>
      <c r="Z76" s="507">
        <v>220</v>
      </c>
      <c r="AA76" s="453">
        <v>197</v>
      </c>
      <c r="AB76" s="449">
        <v>242</v>
      </c>
      <c r="AC76" s="899">
        <v>378</v>
      </c>
      <c r="AD76" s="1290">
        <v>534</v>
      </c>
      <c r="AE76" s="453">
        <v>439</v>
      </c>
      <c r="AF76" s="453">
        <v>280</v>
      </c>
      <c r="AG76" s="451">
        <v>112</v>
      </c>
      <c r="AH76" s="237">
        <v>309</v>
      </c>
      <c r="AI76" s="896">
        <v>184</v>
      </c>
      <c r="AJ76" s="451">
        <v>85</v>
      </c>
      <c r="AK76" s="451">
        <v>105</v>
      </c>
      <c r="AL76" s="451">
        <v>97</v>
      </c>
      <c r="AM76" s="451">
        <f>_xlfn.LET(_xlpm._全体実績予測,
  INDEX('在庫使用計画 (全体実績+予測）0701'!$A$1:$BD$195,
    MATCH($C76,'在庫使用計画 (全体実績+予測）0701'!$C$1:$C$195,0),
    MATCH(AM$1,'在庫使用計画 (全体実績+予測）0701'!$A$1:$BD$1,0)
),
  IFERROR(
    IF(_xlpm._全体実績予測=0,"",_xlpm._全体実績予測),
  "")
)</f>
        <v>85</v>
      </c>
      <c r="AN76" s="889">
        <f>_xlfn.LET(_xlpm._全体実績予測,
  INDEX('在庫使用計画 (全体実績+予測）0701'!$A$1:$BD$195,
    MATCH($C76,'在庫使用計画 (全体実績+予測）0701'!$C$1:$C$195,0),
    MATCH(AN$1,'在庫使用計画 (全体実績+予測）0701'!$A$1:$BD$1,0)
),
  IFERROR(
    IF(_xlpm._全体実績予測=0,"",_xlpm._全体実績予測),
  "")
)</f>
        <v>32.142857142857139</v>
      </c>
      <c r="AO76" s="889">
        <f>_xlfn.LET(_xlpm._全体実績予測,
  INDEX('在庫使用計画 (全体実績+予測）0701'!$A$1:$BD$195,
    MATCH($C76,'在庫使用計画 (全体実績+予測）0701'!$C$1:$C$195,0),
    MATCH(AO$1,'在庫使用計画 (全体実績+予測）0701'!$A$1:$BD$1,0)
),
  IFERROR(
    IF(_xlpm._全体実績予測=0,"",_xlpm._全体実績予測),
  "")
)</f>
        <v>31.575048213925907</v>
      </c>
      <c r="AP76" s="451">
        <f>_xlfn.LET(_xlpm._全体実績予測,
  INDEX('在庫使用計画 (全体実績+予測）0701'!$A$1:$BD$195,
    MATCH($C76,'在庫使用計画 (全体実績+予測）0701'!$C$1:$C$195,0),
    MATCH(AP$1,'在庫使用計画 (全体実績+予測）0701'!$A$1:$BD$1,0)
),
  IFERROR(
    IF(_xlpm._全体実績予測=0,"",_xlpm._全体実績予測),
  "")
)</f>
        <v>33.397291893715142</v>
      </c>
      <c r="AQ76" s="2121">
        <f>_xlfn.LET(_xlpm._全体実績予測,
  INDEX('在庫使用計画 (全体実績+予測）0701'!$A$1:$BD$195,
    MATCH($C76,'在庫使用計画 (全体実績+予測）0701'!$C$1:$C$195,0),
    MATCH(AQ$1,'在庫使用計画 (全体実績+予測）0701'!$A$1:$BD$1,0)
),
  IFERROR(
    IF(_xlpm._全体実績予測=0,"",_xlpm._全体実績予測),
  "")
)</f>
        <v>36.094576848420481</v>
      </c>
      <c r="AR76" s="2137">
        <f>_xlfn.LET(_xlpm._全体実績予測,
  INDEX('在庫使用計画 (全体実績+予測）0701'!$A$1:$BD$195,
    MATCH($C76,'在庫使用計画 (全体実績+予測）0701'!$C$1:$C$195,0),
    MATCH(AR$1,'在庫使用計画 (全体実績+予測）0701'!$A$1:$BD$1,0)
),
  IFERROR(
    IF(_xlpm._全体実績予測=0,"",_xlpm._全体実績予測),
  "")
)</f>
        <v>36.449727987104566</v>
      </c>
      <c r="AS76" s="1292">
        <f>_xlfn.LET(_xlpm._全体実績予測,
  INDEX('在庫使用計画 (全体実績+予測）0701'!$A$1:$BD$195,
    MATCH($C76,'在庫使用計画 (全体実績+予測）0701'!$C$1:$C$195,0),
    MATCH(AS$1,'在庫使用計画 (全体実績+予測）0701'!$A$1:$BD$1,0)
),
  IFERROR(
    IF(_xlpm._全体実績予測=0,"",_xlpm._全体実績予測),
  "")
)</f>
        <v>36.790645168827076</v>
      </c>
      <c r="AT76" s="897">
        <f>_xlfn.LET(_xlpm._全体実績予測,
  INDEX('在庫使用計画 (全体実績+予測）0701'!$A$1:$BD$195,
    MATCH($C76,'在庫使用計画 (全体実績+予測）0701'!$C$1:$C$195,0),
    MATCH(AT$1,'在庫使用計画 (全体実績+予測）0701'!$A$1:$BD$1,0)
),
  IFERROR(
    IF(_xlpm._全体実績予測=0,"",_xlpm._全体実績予測),
  "")
)</f>
        <v>57.824184680924553</v>
      </c>
      <c r="AU76" s="896">
        <f>_xlfn.LET(_xlpm._全体実績予測,
  INDEX('在庫使用計画 (全体実績+予測）0701'!$A$1:$BD$195,
    MATCH($C76,'在庫使用計画 (全体実績+予測）0701'!$C$1:$C$195,0),
    MATCH(AU$1,'在庫使用計画 (全体実績+予測）0701'!$A$1:$BD$1,0)
),
  IFERROR(
    IF(_xlpm._全体実績予測=0,"",_xlpm._全体実績予測),
  "")
)</f>
        <v>48.907850498894227</v>
      </c>
      <c r="AV76" s="451">
        <f>_xlfn.LET(_xlpm._全体実績予測,
  INDEX('在庫使用計画 (全体実績+予測）0701'!$A$1:$BD$195,
    MATCH($C76,'在庫使用計画 (全体実績+予測）0701'!$C$1:$C$195,0),
    MATCH(AV$1,'在庫使用計画 (全体実績+予測）0701'!$A$1:$BD$1,0)
),
  IFERROR(
    IF(_xlpm._全体実績予測=0,"",_xlpm._全体実績予測),
  "")
)</f>
        <v>32.335892749201228</v>
      </c>
      <c r="AW76" s="451">
        <f>_xlfn.LET(_xlpm._全体実績予測,
  INDEX('在庫使用計画 (全体実績+予測）0701'!$A$1:$BD$195,
    MATCH($C76,'在庫使用計画 (全体実績+予測）0701'!$C$1:$C$195,0),
    MATCH(AW$1,'在庫使用計画 (全体実績+予測）0701'!$A$1:$BD$1,0)
),
  IFERROR(
    IF(_xlpm._全体実績予測=0,"",_xlpm._全体実績予測),
  "")
)</f>
        <v>48.38971244351054</v>
      </c>
      <c r="AX76" s="451">
        <f>_xlfn.LET(_xlpm._全体実績予測,
  INDEX('在庫使用計画 (全体実績+予測）0701'!$A$1:$BD$195,
    MATCH($C76,'在庫使用計画 (全体実績+予測）0701'!$C$1:$C$195,0),
    MATCH(AX$1,'在庫使用計画 (全体実績+予測）0701'!$A$1:$BD$1,0)
),
  IFERROR(
    IF(_xlpm._全体実績予測=0,"",_xlpm._全体実績予測),
  "")
)</f>
        <v>36.166490690380108</v>
      </c>
      <c r="AY76" s="451">
        <f>_xlfn.LET(_xlpm._全体実績予測,
  INDEX('在庫使用計画 (全体実績+予測）0701'!$A$1:$BD$195,
    MATCH($C76,'在庫使用計画 (全体実績+予測）0701'!$C$1:$C$195,0),
    MATCH(AY$1,'在庫使用計画 (全体実績+予測）0701'!$A$1:$BD$1,0)
),
  IFERROR(
    IF(_xlpm._全体実績予測=0,"",_xlpm._全体実績予測),
  "")
)</f>
        <v>30.585950318067983</v>
      </c>
      <c r="AZ76" s="451">
        <f>_xlfn.LET(_xlpm._全体実績予測,
  INDEX('在庫使用計画 (全体実績+予測）0701'!$A$1:$BD$195,
    MATCH($C76,'在庫使用計画 (全体実績+予測）0701'!$C$1:$C$195,0),
    MATCH(AZ$1,'在庫使用計画 (全体実績+予測）0701'!$A$1:$BD$1,0)
),
  IFERROR(
    IF(_xlpm._全体実績予測=0,"",_xlpm._全体実績予測),
  "")
)</f>
        <v>32.142857142857132</v>
      </c>
      <c r="BA76" s="451">
        <f>_xlfn.LET(_xlpm._全体実績予測,
  INDEX('在庫使用計画 (全体実績+予測）0701'!$A$1:$BD$195,
    MATCH($C76,'在庫使用計画 (全体実績+予測）0701'!$C$1:$C$195,0),
    MATCH(BA$1,'在庫使用計画 (全体実績+予測）0701'!$A$1:$BD$1,0)
),
  IFERROR(
    IF(_xlpm._全体実績予測=0,"",_xlpm._全体実績予測),
  "")
)</f>
        <v>31.5750482139259</v>
      </c>
      <c r="BB76" s="451">
        <f>_xlfn.LET(_xlpm._全体実績予測,
  INDEX('在庫使用計画 (全体実績+予測）0701'!$A$1:$BD$195,
    MATCH($C76,'在庫使用計画 (全体実績+予測）0701'!$C$1:$C$195,0),
    MATCH(BB$1,'在庫使用計画 (全体実績+予測）0701'!$A$1:$BD$1,0)
),
  IFERROR(
    IF(_xlpm._全体実績予測=0,"",_xlpm._全体実績予測),
  "")
)</f>
        <v>33.397291893715135</v>
      </c>
      <c r="BC76" s="451">
        <f>_xlfn.LET(_xlpm._全体実績予測,
  INDEX('在庫使用計画 (全体実績+予測）0701'!$A$1:$BD$195,
    MATCH($C76,'在庫使用計画 (全体実績+予測）0701'!$C$1:$C$195,0),
    MATCH(BC$1,'在庫使用計画 (全体実績+予測）0701'!$A$1:$BD$1,0)
),
  IFERROR(
    IF(_xlpm._全体実績予測=0,"",_xlpm._全体実績予測),
  "")
)</f>
        <v>36.094576848420473</v>
      </c>
      <c r="BD76" s="451">
        <f>_xlfn.LET(_xlpm._全体実績予測,
  INDEX('在庫使用計画 (全体実績+予測）0701'!$A$1:$BD$195,
    MATCH($C76,'在庫使用計画 (全体実績+予測）0701'!$C$1:$C$195,0),
    MATCH(BD$1,'在庫使用計画 (全体実績+予測）0701'!$A$1:$BD$1,0)
),
  IFERROR(
    IF(_xlpm._全体実績予測=0,"",_xlpm._全体実績予測),
  "")
)</f>
        <v>36.449727987104559</v>
      </c>
      <c r="BE76" s="451">
        <f>_xlfn.LET(_xlpm._全体実績予測,
  INDEX('在庫使用計画 (全体実績+予測）0701'!$A$1:$BD$195,
    MATCH($C76,'在庫使用計画 (全体実績+予測）0701'!$C$1:$C$195,0),
    MATCH(BE$1,'在庫使用計画 (全体実績+予測）0701'!$A$1:$BD$1,0)
),
  IFERROR(
    IF(_xlpm._全体実績予測=0,"",_xlpm._全体実績予測),
  "")
)</f>
        <v>36.790645168827069</v>
      </c>
      <c r="BF76" s="897">
        <f>_xlfn.LET(_xlpm._全体実績予測,
  INDEX('在庫使用計画 (全体実績+予測）0701'!$A$1:$BD$195,
    MATCH($C76,'在庫使用計画 (全体実績+予測）0701'!$C$1:$C$195,0),
    MATCH(BF$1,'在庫使用計画 (全体実績+予測）0701'!$A$1:$BD$1,0)
),
  IFERROR(
    IF(_xlpm._全体実績予測=0,"",_xlpm._全体実績予測),
  "")
)</f>
        <v>57.824184680924539</v>
      </c>
    </row>
    <row r="77" spans="1:60" ht="18.75" customHeight="1" thickBot="1">
      <c r="A77" s="67"/>
      <c r="B77" s="26" t="str">
        <v/>
      </c>
      <c r="C77" s="373"/>
      <c r="D77" s="68"/>
      <c r="E77" s="68"/>
      <c r="F77" s="68"/>
      <c r="G77" s="355" t="str">
        <v/>
      </c>
      <c r="H77" s="38"/>
      <c r="I77" s="355"/>
      <c r="J77" s="1116" t="str" cm="1">
        <f t="array" ref="J77">_xlfn.IFS($C77="","",
  $G77="","発売前？",
  $G77=0,"在庫なし",
  TRUE,
  IFERROR(
    _xlfn.LET(
      _xlpm._在庫注残,     $G77,
      _xlpm._しきい値,     _xlpm._在庫注残 * 0.75,
      _xlpm._見出し元,     $K$1:$BT$1,
      _xlpm._計画,         $K77:$BT77,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
      </c>
      <c r="K77" s="38"/>
      <c r="L77" s="38"/>
      <c r="M77" s="38"/>
      <c r="N77" s="38"/>
      <c r="O77" s="38"/>
      <c r="P77" s="38"/>
      <c r="Q77" s="116"/>
      <c r="R77" s="1350"/>
      <c r="S77" s="219"/>
      <c r="T77" s="219"/>
      <c r="U77" s="219"/>
      <c r="V77" s="219"/>
      <c r="W77" s="224"/>
      <c r="X77" s="224"/>
      <c r="Y77" s="224"/>
      <c r="Z77" s="224"/>
      <c r="AA77" s="224"/>
      <c r="AB77" s="224" t="s">
        <v>21</v>
      </c>
      <c r="AC77" s="805" t="s">
        <v>21</v>
      </c>
      <c r="AD77" s="244" t="s">
        <v>21</v>
      </c>
      <c r="AE77" s="224" t="s">
        <v>21</v>
      </c>
      <c r="AF77" s="224" t="s">
        <v>21</v>
      </c>
      <c r="AG77" s="224" t="s">
        <v>21</v>
      </c>
      <c r="AH77" s="237" t="s">
        <v>21</v>
      </c>
      <c r="AI77" s="804" t="s">
        <v>21</v>
      </c>
      <c r="AJ77" s="224" t="s">
        <v>21</v>
      </c>
      <c r="AK77" s="224" t="s">
        <v>21</v>
      </c>
      <c r="AL77" s="224" t="s">
        <v>21</v>
      </c>
      <c r="AM77" s="224" t="str">
        <f>IFERROR(IF(SUM(INDEX('在庫使用計画 (一般)'!$A$1:$BF$557,MATCH($C77,'在庫使用計画 (一般)'!$C$1:$C$557,0),MATCH(AM$1,'在庫使用計画 (一般)'!$A$1:$BF$1,0)),INDEX('在庫使用計画 (法人)'!$A$1:$AT$578,MATCH($C77,'在庫使用計画 (法人)'!$C$1:$C$578,0),MATCH(AM$1,'在庫使用計画 (法人)'!$A$1:$AT$1,0)))=0,"",SUM(INDEX('在庫使用計画 (一般)'!$A$1:$BF$557,MATCH($C77,'在庫使用計画 (一般)'!$C$1:$C$557,0),MATCH(AM$1,'在庫使用計画 (一般)'!$A$1:$BF$1,0)),INDEX('在庫使用計画 (法人)'!$A$1:$AT$578,MATCH($C77,'在庫使用計画 (法人)'!$C$1:$C$578,0),MATCH(AM$1,'在庫使用計画 (法人)'!$A$1:$AT$1,0)))),"")</f>
        <v/>
      </c>
      <c r="AN77" s="237" t="str">
        <f>IFERROR(IF(SUM(INDEX('在庫使用計画 (一般)'!$A$1:$BF$557,MATCH($C77,'在庫使用計画 (一般)'!$C$1:$C$557,0),MATCH(AN$1,'在庫使用計画 (一般)'!$A$1:$BF$1,0)),INDEX('在庫使用計画 (法人)'!$A$1:$AT$578,MATCH($C77,'在庫使用計画 (法人)'!$C$1:$C$578,0),MATCH(AN$1,'在庫使用計画 (法人)'!$A$1:$AT$1,0)))=0,"",SUM(INDEX('在庫使用計画 (一般)'!$A$1:$BF$557,MATCH($C77,'在庫使用計画 (一般)'!$C$1:$C$557,0),MATCH(AN$1,'在庫使用計画 (一般)'!$A$1:$BF$1,0)),INDEX('在庫使用計画 (法人)'!$A$1:$AT$578,MATCH($C77,'在庫使用計画 (法人)'!$C$1:$C$578,0),MATCH(AN$1,'在庫使用計画 (法人)'!$A$1:$AT$1,0)))),"")</f>
        <v/>
      </c>
      <c r="AO77" s="237" t="str">
        <f>IFERROR(IF(SUM(INDEX('在庫使用計画 (一般)'!$A$1:$BF$557,MATCH($C77,'在庫使用計画 (一般)'!$C$1:$C$557,0),MATCH(AO$1,'在庫使用計画 (一般)'!$A$1:$BF$1,0)),INDEX('在庫使用計画 (法人)'!$A$1:$AT$578,MATCH($C77,'在庫使用計画 (法人)'!$C$1:$C$578,0),MATCH(AO$1,'在庫使用計画 (法人)'!$A$1:$AT$1,0)))=0,"",SUM(INDEX('在庫使用計画 (一般)'!$A$1:$BF$557,MATCH($C77,'在庫使用計画 (一般)'!$C$1:$C$557,0),MATCH(AO$1,'在庫使用計画 (一般)'!$A$1:$BF$1,0)),INDEX('在庫使用計画 (法人)'!$A$1:$AT$578,MATCH($C77,'在庫使用計画 (法人)'!$C$1:$C$578,0),MATCH(AO$1,'在庫使用計画 (法人)'!$A$1:$AT$1,0)))),"")</f>
        <v/>
      </c>
      <c r="AP77" s="224" t="str">
        <f>IFERROR(IF(SUM(INDEX('在庫使用計画 (一般)'!$A$1:$BF$557,MATCH($C77,'在庫使用計画 (一般)'!$C$1:$C$557,0),MATCH(AP$1,'在庫使用計画 (一般)'!$A$1:$BF$1,0)),INDEX('在庫使用計画 (法人)'!$A$1:$AT$578,MATCH($C77,'在庫使用計画 (法人)'!$C$1:$C$578,0),MATCH(AP$1,'在庫使用計画 (法人)'!$A$1:$AT$1,0)))=0,"",SUM(INDEX('在庫使用計画 (一般)'!$A$1:$BF$557,MATCH($C77,'在庫使用計画 (一般)'!$C$1:$C$557,0),MATCH(AP$1,'在庫使用計画 (一般)'!$A$1:$BF$1,0)),INDEX('在庫使用計画 (法人)'!$A$1:$AT$578,MATCH($C77,'在庫使用計画 (法人)'!$C$1:$C$578,0),MATCH(AP$1,'在庫使用計画 (法人)'!$A$1:$AT$1,0)))),"")</f>
        <v/>
      </c>
      <c r="AQ77" s="1050" t="str">
        <f>IFERROR(IF(SUM(INDEX('在庫使用計画 (一般)'!$A$1:$BF$557,MATCH($C77,'在庫使用計画 (一般)'!$C$1:$C$557,0),MATCH(AQ$1,'在庫使用計画 (一般)'!$A$1:$BF$1,0)),INDEX('在庫使用計画 (法人)'!$A$1:$AT$578,MATCH($C77,'在庫使用計画 (法人)'!$C$1:$C$578,0),MATCH(AQ$1,'在庫使用計画 (法人)'!$A$1:$AT$1,0)))=0,"",SUM(INDEX('在庫使用計画 (一般)'!$A$1:$BF$557,MATCH($C77,'在庫使用計画 (一般)'!$C$1:$C$557,0),MATCH(AQ$1,'在庫使用計画 (一般)'!$A$1:$BF$1,0)),INDEX('在庫使用計画 (法人)'!$A$1:$AT$578,MATCH($C77,'在庫使用計画 (法人)'!$C$1:$C$578,0),MATCH(AQ$1,'在庫使用計画 (法人)'!$A$1:$AT$1,0)))),"")</f>
        <v/>
      </c>
      <c r="AR77" s="2130" t="str">
        <f>IFERROR(IF(SUM(INDEX('在庫使用計画 (一般)'!$A$1:$BF$557,MATCH($C77,'在庫使用計画 (一般)'!$C$1:$C$557,0),MATCH(AR$1,'在庫使用計画 (一般)'!$A$1:$BF$1,0)),INDEX('在庫使用計画 (法人)'!$A$1:$AT$578,MATCH($C77,'在庫使用計画 (法人)'!$C$1:$C$578,0),MATCH(AR$1,'在庫使用計画 (法人)'!$A$1:$AT$1,0)))=0,"",SUM(INDEX('在庫使用計画 (一般)'!$A$1:$BF$557,MATCH($C77,'在庫使用計画 (一般)'!$C$1:$C$557,0),MATCH(AR$1,'在庫使用計画 (一般)'!$A$1:$BF$1,0)),INDEX('在庫使用計画 (法人)'!$A$1:$AT$578,MATCH($C77,'在庫使用計画 (法人)'!$C$1:$C$578,0),MATCH(AR$1,'在庫使用計画 (法人)'!$A$1:$AT$1,0)))),"")</f>
        <v/>
      </c>
      <c r="AS77" s="244" t="str">
        <f>IFERROR(IF(SUM(INDEX('在庫使用計画 (一般)'!$A$1:$BF$557,MATCH($C77,'在庫使用計画 (一般)'!$C$1:$C$557,0),MATCH(AS$1,'在庫使用計画 (一般)'!$A$1:$BF$1,0)),INDEX('在庫使用計画 (法人)'!$A$1:$AT$578,MATCH($C77,'在庫使用計画 (法人)'!$C$1:$C$578,0),MATCH(AS$1,'在庫使用計画 (法人)'!$A$1:$AT$1,0)))=0,"",SUM(INDEX('在庫使用計画 (一般)'!$A$1:$BF$557,MATCH($C77,'在庫使用計画 (一般)'!$C$1:$C$557,0),MATCH(AS$1,'在庫使用計画 (一般)'!$A$1:$BF$1,0)),INDEX('在庫使用計画 (法人)'!$A$1:$AT$578,MATCH($C77,'在庫使用計画 (法人)'!$C$1:$C$578,0),MATCH(AS$1,'在庫使用計画 (法人)'!$A$1:$AT$1,0)))),"")</f>
        <v/>
      </c>
      <c r="AT77" s="805" t="str">
        <f>IFERROR(IF(SUM(INDEX('在庫使用計画 (一般)'!$A$1:$BF$557,MATCH($C77,'在庫使用計画 (一般)'!$C$1:$C$557,0),MATCH(AT$1,'在庫使用計画 (一般)'!$A$1:$BF$1,0)),INDEX('在庫使用計画 (法人)'!$A$1:$AT$578,MATCH($C77,'在庫使用計画 (法人)'!$C$1:$C$578,0),MATCH(AT$1,'在庫使用計画 (法人)'!$A$1:$AT$1,0)))=0,"",SUM(INDEX('在庫使用計画 (一般)'!$A$1:$BF$557,MATCH($C77,'在庫使用計画 (一般)'!$C$1:$C$557,0),MATCH(AT$1,'在庫使用計画 (一般)'!$A$1:$BF$1,0)),INDEX('在庫使用計画 (法人)'!$A$1:$AT$578,MATCH($C77,'在庫使用計画 (法人)'!$C$1:$C$578,0),MATCH(AT$1,'在庫使用計画 (法人)'!$A$1:$AT$1,0)))),"")</f>
        <v/>
      </c>
      <c r="AU77" s="804" t="str">
        <f>IFERROR(IF(SUM(INDEX('在庫使用計画 (一般)'!$A$1:$BF$557,MATCH($C77,'在庫使用計画 (一般)'!$C$1:$C$557,0),MATCH(AU$1,'在庫使用計画 (一般)'!$A$1:$BF$1,0)),INDEX('在庫使用計画 (法人)'!$A$1:$AT$578,MATCH($C77,'在庫使用計画 (法人)'!$C$1:$C$578,0),MATCH(AU$1,'在庫使用計画 (法人)'!$A$1:$AT$1,0)))=0,"",SUM(INDEX('在庫使用計画 (一般)'!$A$1:$BF$557,MATCH($C77,'在庫使用計画 (一般)'!$C$1:$C$557,0),MATCH(AU$1,'在庫使用計画 (一般)'!$A$1:$BF$1,0)),INDEX('在庫使用計画 (法人)'!$A$1:$AT$578,MATCH($C77,'在庫使用計画 (法人)'!$C$1:$C$578,0),MATCH(AU$1,'在庫使用計画 (法人)'!$A$1:$AT$1,0)))),"")</f>
        <v/>
      </c>
      <c r="AV77" s="224" t="str">
        <f>IFERROR(IF(SUM(INDEX('在庫使用計画 (一般)'!$A$1:$BF$557,MATCH($C77,'在庫使用計画 (一般)'!$C$1:$C$557,0),MATCH(AV$1,'在庫使用計画 (一般)'!$A$1:$BF$1,0)),INDEX('在庫使用計画 (法人)'!$A$1:$AT$578,MATCH($C77,'在庫使用計画 (法人)'!$C$1:$C$578,0),MATCH(AV$1,'在庫使用計画 (法人)'!$A$1:$AT$1,0)))=0,"",SUM(INDEX('在庫使用計画 (一般)'!$A$1:$BF$557,MATCH($C77,'在庫使用計画 (一般)'!$C$1:$C$557,0),MATCH(AV$1,'在庫使用計画 (一般)'!$A$1:$BF$1,0)),INDEX('在庫使用計画 (法人)'!$A$1:$AT$578,MATCH($C77,'在庫使用計画 (法人)'!$C$1:$C$578,0),MATCH(AV$1,'在庫使用計画 (法人)'!$A$1:$AT$1,0)))),"")</f>
        <v/>
      </c>
      <c r="AW77" s="224" t="str">
        <f>IFERROR(IF(SUM(INDEX('在庫使用計画 (一般)'!$A$1:$BF$557,MATCH($C77,'在庫使用計画 (一般)'!$C$1:$C$557,0),MATCH(AW$1,'在庫使用計画 (一般)'!$A$1:$BF$1,0)),INDEX('在庫使用計画 (法人)'!$A$1:$AT$578,MATCH($C77,'在庫使用計画 (法人)'!$C$1:$C$578,0),MATCH(AW$1,'在庫使用計画 (法人)'!$A$1:$AT$1,0)))=0,"",SUM(INDEX('在庫使用計画 (一般)'!$A$1:$BF$557,MATCH($C77,'在庫使用計画 (一般)'!$C$1:$C$557,0),MATCH(AW$1,'在庫使用計画 (一般)'!$A$1:$BF$1,0)),INDEX('在庫使用計画 (法人)'!$A$1:$AT$578,MATCH($C77,'在庫使用計画 (法人)'!$C$1:$C$578,0),MATCH(AW$1,'在庫使用計画 (法人)'!$A$1:$AT$1,0)))),"")</f>
        <v/>
      </c>
      <c r="AX77" s="224" t="str">
        <f>IFERROR(IF(SUM(INDEX('在庫使用計画 (一般)'!$A$1:$BF$557,MATCH($C77,'在庫使用計画 (一般)'!$C$1:$C$557,0),MATCH(AX$1,'在庫使用計画 (一般)'!$A$1:$BF$1,0)),INDEX('在庫使用計画 (法人)'!$A$1:$AT$578,MATCH($C77,'在庫使用計画 (法人)'!$C$1:$C$578,0),MATCH(AX$1,'在庫使用計画 (法人)'!$A$1:$AT$1,0)))=0,"",SUM(INDEX('在庫使用計画 (一般)'!$A$1:$BF$557,MATCH($C77,'在庫使用計画 (一般)'!$C$1:$C$557,0),MATCH(AX$1,'在庫使用計画 (一般)'!$A$1:$BF$1,0)),INDEX('在庫使用計画 (法人)'!$A$1:$AT$578,MATCH($C77,'在庫使用計画 (法人)'!$C$1:$C$578,0),MATCH(AX$1,'在庫使用計画 (法人)'!$A$1:$AT$1,0)))),"")</f>
        <v/>
      </c>
      <c r="AY77" s="224" t="str">
        <f>IFERROR(IF(SUM(INDEX('在庫使用計画 (一般)'!$A$1:$BF$557,MATCH($C77,'在庫使用計画 (一般)'!$C$1:$C$557,0),MATCH(AY$1,'在庫使用計画 (一般)'!$A$1:$BF$1,0)),INDEX('在庫使用計画 (法人)'!$A$1:$AT$578,MATCH($C77,'在庫使用計画 (法人)'!$C$1:$C$578,0),MATCH(AY$1,'在庫使用計画 (法人)'!$A$1:$AT$1,0)))=0,"",SUM(INDEX('在庫使用計画 (一般)'!$A$1:$BF$557,MATCH($C77,'在庫使用計画 (一般)'!$C$1:$C$557,0),MATCH(AY$1,'在庫使用計画 (一般)'!$A$1:$BF$1,0)),INDEX('在庫使用計画 (法人)'!$A$1:$AT$578,MATCH($C77,'在庫使用計画 (法人)'!$C$1:$C$578,0),MATCH(AY$1,'在庫使用計画 (法人)'!$A$1:$AT$1,0)))),"")</f>
        <v/>
      </c>
      <c r="AZ77" s="224" t="str">
        <f>IFERROR(IF(SUM(INDEX('在庫使用計画 (一般)'!$A$1:$BF$557,MATCH($C77,'在庫使用計画 (一般)'!$C$1:$C$557,0),MATCH(AZ$1,'在庫使用計画 (一般)'!$A$1:$BF$1,0)),INDEX('在庫使用計画 (法人)'!$A$1:$AT$578,MATCH($C77,'在庫使用計画 (法人)'!$C$1:$C$578,0),MATCH(AZ$1,'在庫使用計画 (法人)'!$A$1:$AT$1,0)))=0,"",SUM(INDEX('在庫使用計画 (一般)'!$A$1:$BF$557,MATCH($C77,'在庫使用計画 (一般)'!$C$1:$C$557,0),MATCH(AZ$1,'在庫使用計画 (一般)'!$A$1:$BF$1,0)),INDEX('在庫使用計画 (法人)'!$A$1:$AT$578,MATCH($C77,'在庫使用計画 (法人)'!$C$1:$C$578,0),MATCH(AZ$1,'在庫使用計画 (法人)'!$A$1:$AT$1,0)))),"")</f>
        <v/>
      </c>
      <c r="BA77" s="224" t="str">
        <f>IFERROR(IF(SUM(INDEX('在庫使用計画 (一般)'!$A$1:$BF$557,MATCH($C77,'在庫使用計画 (一般)'!$C$1:$C$557,0),MATCH(BA$1,'在庫使用計画 (一般)'!$A$1:$BF$1,0)),INDEX('在庫使用計画 (法人)'!$A$1:$AT$578,MATCH($C77,'在庫使用計画 (法人)'!$C$1:$C$578,0),MATCH(BA$1,'在庫使用計画 (法人)'!$A$1:$AT$1,0)))=0,"",SUM(INDEX('在庫使用計画 (一般)'!$A$1:$BF$557,MATCH($C77,'在庫使用計画 (一般)'!$C$1:$C$557,0),MATCH(BA$1,'在庫使用計画 (一般)'!$A$1:$BF$1,0)),INDEX('在庫使用計画 (法人)'!$A$1:$AT$578,MATCH($C77,'在庫使用計画 (法人)'!$C$1:$C$578,0),MATCH(BA$1,'在庫使用計画 (法人)'!$A$1:$AT$1,0)))),"")</f>
        <v/>
      </c>
      <c r="BB77" s="224" t="str">
        <f>IFERROR(IF(SUM(INDEX('在庫使用計画 (一般)'!$A$1:$BF$557,MATCH($C77,'在庫使用計画 (一般)'!$C$1:$C$557,0),MATCH(BB$1,'在庫使用計画 (一般)'!$A$1:$BF$1,0)),INDEX('在庫使用計画 (法人)'!$A$1:$AT$578,MATCH($C77,'在庫使用計画 (法人)'!$C$1:$C$578,0),MATCH(BB$1,'在庫使用計画 (法人)'!$A$1:$AT$1,0)))=0,"",SUM(INDEX('在庫使用計画 (一般)'!$A$1:$BF$557,MATCH($C77,'在庫使用計画 (一般)'!$C$1:$C$557,0),MATCH(BB$1,'在庫使用計画 (一般)'!$A$1:$BF$1,0)),INDEX('在庫使用計画 (法人)'!$A$1:$AT$578,MATCH($C77,'在庫使用計画 (法人)'!$C$1:$C$578,0),MATCH(BB$1,'在庫使用計画 (法人)'!$A$1:$AT$1,0)))),"")</f>
        <v/>
      </c>
      <c r="BC77" s="224" t="str">
        <f>IFERROR(IF(SUM(INDEX('在庫使用計画 (一般)'!$A$1:$BF$557,MATCH($C77,'在庫使用計画 (一般)'!$C$1:$C$557,0),MATCH(BC$1,'在庫使用計画 (一般)'!$A$1:$BF$1,0)),INDEX('在庫使用計画 (法人)'!$A$1:$AT$578,MATCH($C77,'在庫使用計画 (法人)'!$C$1:$C$578,0),MATCH(BC$1,'在庫使用計画 (法人)'!$A$1:$AT$1,0)))=0,"",SUM(INDEX('在庫使用計画 (一般)'!$A$1:$BF$557,MATCH($C77,'在庫使用計画 (一般)'!$C$1:$C$557,0),MATCH(BC$1,'在庫使用計画 (一般)'!$A$1:$BF$1,0)),INDEX('在庫使用計画 (法人)'!$A$1:$AT$578,MATCH($C77,'在庫使用計画 (法人)'!$C$1:$C$578,0),MATCH(BC$1,'在庫使用計画 (法人)'!$A$1:$AT$1,0)))),"")</f>
        <v/>
      </c>
      <c r="BD77" s="224" t="str">
        <f>IFERROR(IF(SUM(INDEX('在庫使用計画 (一般)'!$A$1:$BF$557,MATCH($C77,'在庫使用計画 (一般)'!$C$1:$C$557,0),MATCH(BD$1,'在庫使用計画 (一般)'!$A$1:$BF$1,0)),INDEX('在庫使用計画 (法人)'!$A$1:$AT$578,MATCH($C77,'在庫使用計画 (法人)'!$C$1:$C$578,0),MATCH(BD$1,'在庫使用計画 (法人)'!$A$1:$AT$1,0)))=0,"",SUM(INDEX('在庫使用計画 (一般)'!$A$1:$BF$557,MATCH($C77,'在庫使用計画 (一般)'!$C$1:$C$557,0),MATCH(BD$1,'在庫使用計画 (一般)'!$A$1:$BF$1,0)),INDEX('在庫使用計画 (法人)'!$A$1:$AT$578,MATCH($C77,'在庫使用計画 (法人)'!$C$1:$C$578,0),MATCH(BD$1,'在庫使用計画 (法人)'!$A$1:$AT$1,0)))),"")</f>
        <v/>
      </c>
      <c r="BE77" s="224" t="str">
        <f>IFERROR(IF(SUM(INDEX('在庫使用計画 (一般)'!$A$1:$BF$557,MATCH($C77,'在庫使用計画 (一般)'!$C$1:$C$557,0),MATCH(BE$1,'在庫使用計画 (一般)'!$A$1:$BF$1,0)),INDEX('在庫使用計画 (法人)'!$A$1:$AT$578,MATCH($C77,'在庫使用計画 (法人)'!$C$1:$C$578,0),MATCH(BE$1,'在庫使用計画 (法人)'!$A$1:$AT$1,0)))=0,"",SUM(INDEX('在庫使用計画 (一般)'!$A$1:$BF$557,MATCH($C77,'在庫使用計画 (一般)'!$C$1:$C$557,0),MATCH(BE$1,'在庫使用計画 (一般)'!$A$1:$BF$1,0)),INDEX('在庫使用計画 (法人)'!$A$1:$AT$578,MATCH($C77,'在庫使用計画 (法人)'!$C$1:$C$578,0),MATCH(BE$1,'在庫使用計画 (法人)'!$A$1:$AT$1,0)))),"")</f>
        <v/>
      </c>
      <c r="BF77" s="805" t="str">
        <f>IFERROR(IF(SUM(INDEX('在庫使用計画 (一般)'!$A$1:$BF$557,MATCH($C77,'在庫使用計画 (一般)'!$C$1:$C$557,0),MATCH(BF$1,'在庫使用計画 (一般)'!$A$1:$BF$1,0)),INDEX('在庫使用計画 (法人)'!$A$1:$AT$578,MATCH($C77,'在庫使用計画 (法人)'!$C$1:$C$578,0),MATCH(BF$1,'在庫使用計画 (法人)'!$A$1:$AT$1,0)))=0,"",SUM(INDEX('在庫使用計画 (一般)'!$A$1:$BF$557,MATCH($C77,'在庫使用計画 (一般)'!$C$1:$C$557,0),MATCH(BF$1,'在庫使用計画 (一般)'!$A$1:$BF$1,0)),INDEX('在庫使用計画 (法人)'!$A$1:$AT$578,MATCH($C77,'在庫使用計画 (法人)'!$C$1:$C$578,0),MATCH(BF$1,'在庫使用計画 (法人)'!$A$1:$AT$1,0)))),"")</f>
        <v/>
      </c>
    </row>
    <row r="78" spans="1:60" ht="18.75" customHeight="1">
      <c r="A78" s="67" t="s">
        <v>1781</v>
      </c>
      <c r="B78" s="111" t="str">
        <v>WZN-A14JG-125U-UMA-16G-L7-GC</v>
      </c>
      <c r="C78" s="1264" t="s">
        <v>1645</v>
      </c>
      <c r="D78" s="1267" t="s">
        <v>1782</v>
      </c>
      <c r="E78" s="68" t="s">
        <v>1783</v>
      </c>
      <c r="F78" s="112" t="s">
        <v>1347</v>
      </c>
      <c r="G78" s="38">
        <v>555</v>
      </c>
      <c r="H78" s="38">
        <f ca="1">_xlfn.LET(_xlpm._今月から4ヶ月計画合計,
  SUM(
    OFFSET($A78,0,
      MATCH(
        EDATE(基準データ!$C$5,3),$A$1:$BE$1,1
      )-4,1,4)),
  IF($C78="","",_xlpm._今月から4ヶ月計画合計
)
)</f>
        <v>164</v>
      </c>
      <c r="I78" s="38">
        <f>SUMIFS(マスタ_EOLリスト[在庫],マスタ_EOLリスト[製品型番],'在庫使用計画 (計画　予測)'!$C:$C)</f>
        <v>0</v>
      </c>
      <c r="J78" s="1116" cm="1">
        <f t="array" ref="J78">_xlfn.IFS($C78="","",
  $G78="","発売前？",
  $G78=0,"在庫なし",
  TRUE,
  IFERROR(
    _xlfn.LET(
      _xlpm._在庫注残,     $G78,
      _xlpm._しきい値,     _xlpm._在庫注残 * 0.75,
      _xlpm._見出し元,     $K$1:$BT$1,
      _xlpm._計画,         $K78:$BT78,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46357</v>
      </c>
      <c r="K78" s="74"/>
      <c r="L78" s="74"/>
      <c r="M78" s="74"/>
      <c r="N78" s="118"/>
      <c r="O78" s="121"/>
      <c r="P78" s="121"/>
      <c r="Q78" s="1325"/>
      <c r="R78" s="1361"/>
      <c r="S78" s="219" t="s">
        <v>21</v>
      </c>
      <c r="T78" s="224" t="s">
        <v>21</v>
      </c>
      <c r="U78" s="224" t="s">
        <v>21</v>
      </c>
      <c r="V78" s="224" t="s">
        <v>21</v>
      </c>
      <c r="W78" s="224" t="s">
        <v>21</v>
      </c>
      <c r="X78" s="224" t="s">
        <v>21</v>
      </c>
      <c r="Y78" s="224" t="s">
        <v>21</v>
      </c>
      <c r="Z78" s="224" t="s">
        <v>21</v>
      </c>
      <c r="AA78" s="224" t="s">
        <v>21</v>
      </c>
      <c r="AB78" s="224" t="s">
        <v>21</v>
      </c>
      <c r="AC78" s="805" t="s">
        <v>21</v>
      </c>
      <c r="AD78" s="244" t="s">
        <v>21</v>
      </c>
      <c r="AE78" s="224" t="s">
        <v>21</v>
      </c>
      <c r="AF78" s="224" t="s">
        <v>21</v>
      </c>
      <c r="AG78" s="224" t="s">
        <v>21</v>
      </c>
      <c r="AH78" s="237" t="s">
        <v>21</v>
      </c>
      <c r="AI78" s="804" t="s">
        <v>21</v>
      </c>
      <c r="AJ78" s="224" t="s">
        <v>21</v>
      </c>
      <c r="AK78" s="224" t="s">
        <v>21</v>
      </c>
      <c r="AL78" s="224" t="s">
        <v>21</v>
      </c>
      <c r="AM78" s="224" t="str">
        <f>_xlfn.XLOOKUP(
$C78,
'在庫使用計画 (ノート全体試算)'!$C$1:$C$170,
'在庫使用計画 (ノート全体試算)'!AN$1:AN$170,
"")</f>
        <v/>
      </c>
      <c r="AN78" s="237" t="str">
        <f>_xlfn.XLOOKUP(
$C78,
'在庫使用計画 (ノート全体試算)'!$C$1:$C$170,
'在庫使用計画 (ノート全体試算)'!AO$1:AO$170,
"")</f>
        <v/>
      </c>
      <c r="AO78" s="237" t="str">
        <f>_xlfn.XLOOKUP(
$C78,
'在庫使用計画 (ノート全体試算)'!$C$1:$C$170,
'在庫使用計画 (ノート全体試算)'!AP$1:AP$170,
"")</f>
        <v/>
      </c>
      <c r="AP78" s="224" t="str">
        <f>_xlfn.XLOOKUP(
$C78,
'在庫使用計画 (ノート全体試算)'!$C$1:$C$170,
'在庫使用計画 (ノート全体試算)'!AQ$1:AQ$170,
"")</f>
        <v/>
      </c>
      <c r="AQ78" s="1050">
        <f>_xlfn.XLOOKUP(
$C78,
'在庫使用計画 (ノート全体試算)'!$C$1:$C$170,
'在庫使用計画 (ノート全体試算)'!AR$1:AR$170,
"")</f>
        <v>51</v>
      </c>
      <c r="AR78" s="2130">
        <f>_xlfn.XLOOKUP(
$C78,
'在庫使用計画 (ノート全体試算)'!$C$1:$C$170,
'在庫使用計画 (ノート全体試算)'!AS$1:AS$170,
"")</f>
        <v>113</v>
      </c>
      <c r="AS78" s="244">
        <f>_xlfn.XLOOKUP(
$C78,
'在庫使用計画 (ノート全体試算)'!$C$1:$C$170,
'在庫使用計画 (ノート全体試算)'!AT$1:AT$170,
"")</f>
        <v>105</v>
      </c>
      <c r="AT78" s="805">
        <f>_xlfn.XLOOKUP(
$C78,
'在庫使用計画 (ノート全体試算)'!$C$1:$C$170,
'在庫使用計画 (ノート全体試算)'!AU$1:AU$170,
"")</f>
        <v>165</v>
      </c>
      <c r="AU78" s="804">
        <f>_xlfn.XLOOKUP(
$C78,
'在庫使用計画 (ノート全体試算)'!$C$1:$C$170,
'在庫使用計画 (ノート全体試算)'!AV$1:AV$170,
"")</f>
        <v>155</v>
      </c>
      <c r="AV78" s="224">
        <f>_xlfn.XLOOKUP(
$C78,
'在庫使用計画 (ノート全体試算)'!$C$1:$C$170,
'在庫使用計画 (ノート全体試算)'!AW$1:AW$170,
"")</f>
        <v>105</v>
      </c>
      <c r="AW78" s="224">
        <f>_xlfn.XLOOKUP(
$C78,
'在庫使用計画 (ノート全体試算)'!$C$1:$C$170,
'在庫使用計画 (ノート全体試算)'!AX$1:AX$170,
"")</f>
        <v>165</v>
      </c>
      <c r="AX78" s="224">
        <f>_xlfn.XLOOKUP(
$C78,
'在庫使用計画 (ノート全体試算)'!$C$1:$C$170,
'在庫使用計画 (ノート全体試算)'!AY$1:AY$170,
"")</f>
        <v>105</v>
      </c>
      <c r="AY78" s="224">
        <f>_xlfn.XLOOKUP(
$C78,
'在庫使用計画 (ノート全体試算)'!$C$1:$C$170,
'在庫使用計画 (ノート全体試算)'!AZ$1:AZ$170,
"")</f>
        <v>85</v>
      </c>
      <c r="AZ78" s="224">
        <f>_xlfn.XLOOKUP(
$C78,
'在庫使用計画 (ノート全体試算)'!$C$1:$C$170,
'在庫使用計画 (ノート全体試算)'!BA$1:BA$170,
"")</f>
        <v>85</v>
      </c>
      <c r="BA78" s="224">
        <f>_xlfn.XLOOKUP(
$C78,
'在庫使用計画 (ノート全体試算)'!$C$1:$C$170,
'在庫使用計画 (ノート全体試算)'!BB$1:BB$170,
"")</f>
        <v>85</v>
      </c>
      <c r="BB78" s="224">
        <f>_xlfn.XLOOKUP(
$C78,
'在庫使用計画 (ノート全体試算)'!$C$1:$C$170,
'在庫使用計画 (ノート全体試算)'!BC$1:BC$170,
"")</f>
        <v>135</v>
      </c>
      <c r="BC78" s="224" t="str">
        <f>_xlfn.XLOOKUP(
$C78,
'在庫使用計画 (ノート全体試算)'!$C$1:$C$170,
'在庫使用計画 (ノート全体試算)'!BD$1:BD$170,
"")</f>
        <v/>
      </c>
      <c r="BD78" s="224" t="str">
        <f>_xlfn.XLOOKUP(
$C78,
'在庫使用計画 (ノート全体試算)'!$C$1:$C$170,
'在庫使用計画 (ノート全体試算)'!BE$1:BE$170,
"")</f>
        <v/>
      </c>
      <c r="BE78" s="224" t="str">
        <f>_xlfn.XLOOKUP(
$C78,
'在庫使用計画 (ノート全体試算)'!$C$1:$C$170,
'在庫使用計画 (ノート全体試算)'!BF$1:BF$170,
"")</f>
        <v/>
      </c>
      <c r="BF78" s="805" t="str">
        <f>_xlfn.XLOOKUP(
$C78,
'在庫使用計画 (ノート全体試算)'!$C$1:$C$170,
'在庫使用計画 (ノート全体試算)'!BG$1:BG$170,
"")</f>
        <v/>
      </c>
      <c r="BG78" s="2091" t="s">
        <v>2665</v>
      </c>
      <c r="BH78" t="s">
        <v>2694</v>
      </c>
    </row>
    <row r="79" spans="1:60" ht="18.75" customHeight="1" thickBot="1">
      <c r="A79" s="445"/>
      <c r="B79" s="1261" t="str">
        <v>WZN-A14JG-125U-UMA-16G-L7-GC</v>
      </c>
      <c r="C79" s="1265" t="s">
        <v>1645</v>
      </c>
      <c r="D79" s="1262" t="s">
        <v>1763</v>
      </c>
      <c r="E79" s="446"/>
      <c r="F79" s="447"/>
      <c r="G79" s="448">
        <v>555</v>
      </c>
      <c r="H79" s="448">
        <f ca="1">_xlfn.LET(_xlpm._今月から4ヶ月計画合計,
  SUM(
    OFFSET($A79,0,
      MATCH(
        EDATE(基準データ!$C$5,3),$A$1:$BE$1,1
      )-4,1,4)),
  IF($C79="","",_xlpm._今月から4ヶ月計画合計
)
)</f>
        <v>0</v>
      </c>
      <c r="I79" s="448">
        <f t="shared" ref="I79:I81" si="12">I78</f>
        <v>0</v>
      </c>
      <c r="J79" s="1116" t="str" cm="1">
        <f t="array" ref="J79">_xlfn.IFS($C79="","",
  $G79="","発売前？",
  $G79=0,"在庫なし",
  TRUE,
  IFERROR(
    _xlfn.LET(
      _xlpm._在庫注残,     $G79,
      _xlpm._しきい値,     _xlpm._在庫注残 * 0.75,
      _xlpm._見出し元,     $K$1:$BT$1,
      _xlpm._計画,         $K79:$BT79,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合計0、在庫+注残555のため不足</v>
      </c>
      <c r="K79" s="448"/>
      <c r="L79" s="448"/>
      <c r="M79" s="448"/>
      <c r="N79" s="448"/>
      <c r="O79" s="448"/>
      <c r="P79" s="448"/>
      <c r="Q79" s="540"/>
      <c r="R79" s="900"/>
      <c r="S79" s="449"/>
      <c r="T79" s="449"/>
      <c r="U79" s="449"/>
      <c r="V79" s="450"/>
      <c r="W79" s="451" t="s">
        <v>21</v>
      </c>
      <c r="X79" s="451" t="s">
        <v>21</v>
      </c>
      <c r="Y79" s="455" t="s">
        <v>21</v>
      </c>
      <c r="Z79" s="507" t="s">
        <v>21</v>
      </c>
      <c r="AA79" s="453" t="s">
        <v>21</v>
      </c>
      <c r="AB79" s="449" t="s">
        <v>21</v>
      </c>
      <c r="AC79" s="899" t="s">
        <v>21</v>
      </c>
      <c r="AD79" s="1290" t="s">
        <v>21</v>
      </c>
      <c r="AE79" s="453" t="s">
        <v>21</v>
      </c>
      <c r="AF79" s="453" t="s">
        <v>21</v>
      </c>
      <c r="AG79" s="451" t="s">
        <v>21</v>
      </c>
      <c r="AH79" s="237" t="s">
        <v>21</v>
      </c>
      <c r="AI79" s="896" t="s">
        <v>21</v>
      </c>
      <c r="AJ79" s="451" t="s">
        <v>21</v>
      </c>
      <c r="AK79" s="451" t="s">
        <v>21</v>
      </c>
      <c r="AL79" s="451" t="s">
        <v>21</v>
      </c>
      <c r="AM79" s="451" t="str">
        <f>_xlfn.LET(_xlpm._全体実績予測,
  INDEX('在庫使用計画 (全体実績+予測）0701'!$A$1:$BD$195,
    MATCH($C79,'在庫使用計画 (全体実績+予測）0701'!$C$1:$C$195,0),
    MATCH(AM$1,'在庫使用計画 (全体実績+予測）0701'!$A$1:$BD$1,0)
),
  IFERROR(
    IF(_xlpm._全体実績予測=0,"",_xlpm._全体実績予測),
  "")
)</f>
        <v/>
      </c>
      <c r="AN79" s="889" t="str">
        <f>_xlfn.LET(_xlpm._全体実績予測,
  INDEX('在庫使用計画 (全体実績+予測）0701'!$A$1:$BD$195,
    MATCH($C79,'在庫使用計画 (全体実績+予測）0701'!$C$1:$C$195,0),
    MATCH(AN$1,'在庫使用計画 (全体実績+予測）0701'!$A$1:$BD$1,0)
),
  IFERROR(
    IF(_xlpm._全体実績予測=0,"",_xlpm._全体実績予測),
  "")
)</f>
        <v/>
      </c>
      <c r="AO79" s="889" t="str">
        <f>_xlfn.LET(_xlpm._全体実績予測,
  INDEX('在庫使用計画 (全体実績+予測）0701'!$A$1:$BD$195,
    MATCH($C79,'在庫使用計画 (全体実績+予測）0701'!$C$1:$C$195,0),
    MATCH(AO$1,'在庫使用計画 (全体実績+予測）0701'!$A$1:$BD$1,0)
),
  IFERROR(
    IF(_xlpm._全体実績予測=0,"",_xlpm._全体実績予測),
  "")
)</f>
        <v/>
      </c>
      <c r="AP79" s="451" t="str">
        <f>_xlfn.LET(_xlpm._全体実績予測,
  INDEX('在庫使用計画 (全体実績+予測）0701'!$A$1:$BD$195,
    MATCH($C79,'在庫使用計画 (全体実績+予測）0701'!$C$1:$C$195,0),
    MATCH(AP$1,'在庫使用計画 (全体実績+予測）0701'!$A$1:$BD$1,0)
),
  IFERROR(
    IF(_xlpm._全体実績予測=0,"",_xlpm._全体実績予測),
  "")
)</f>
        <v/>
      </c>
      <c r="AQ79" s="2121" t="str">
        <f>_xlfn.LET(_xlpm._全体実績予測,
  INDEX('在庫使用計画 (全体実績+予測）0701'!$A$1:$BD$195,
    MATCH($C79,'在庫使用計画 (全体実績+予測）0701'!$C$1:$C$195,0),
    MATCH(AQ$1,'在庫使用計画 (全体実績+予測）0701'!$A$1:$BD$1,0)
),
  IFERROR(
    IF(_xlpm._全体実績予測=0,"",_xlpm._全体実績予測),
  "")
)</f>
        <v/>
      </c>
      <c r="AR79" s="2137" t="str">
        <f>_xlfn.LET(_xlpm._全体実績予測,
  INDEX('在庫使用計画 (全体実績+予測）0701'!$A$1:$BD$195,
    MATCH($C79,'在庫使用計画 (全体実績+予測）0701'!$C$1:$C$195,0),
    MATCH(AR$1,'在庫使用計画 (全体実績+予測）0701'!$A$1:$BD$1,0)
),
  IFERROR(
    IF(_xlpm._全体実績予測=0,"",_xlpm._全体実績予測),
  "")
)</f>
        <v/>
      </c>
      <c r="AS79" s="1292" t="str">
        <f>_xlfn.LET(_xlpm._全体実績予測,
  INDEX('在庫使用計画 (全体実績+予測）0701'!$A$1:$BD$195,
    MATCH($C79,'在庫使用計画 (全体実績+予測）0701'!$C$1:$C$195,0),
    MATCH(AS$1,'在庫使用計画 (全体実績+予測）0701'!$A$1:$BD$1,0)
),
  IFERROR(
    IF(_xlpm._全体実績予測=0,"",_xlpm._全体実績予測),
  "")
)</f>
        <v/>
      </c>
      <c r="AT79" s="897" t="str">
        <f>_xlfn.LET(_xlpm._全体実績予測,
  INDEX('在庫使用計画 (全体実績+予測）0701'!$A$1:$BD$195,
    MATCH($C79,'在庫使用計画 (全体実績+予測）0701'!$C$1:$C$195,0),
    MATCH(AT$1,'在庫使用計画 (全体実績+予測）0701'!$A$1:$BD$1,0)
),
  IFERROR(
    IF(_xlpm._全体実績予測=0,"",_xlpm._全体実績予測),
  "")
)</f>
        <v/>
      </c>
      <c r="AU79" s="896" t="str">
        <f>_xlfn.LET(_xlpm._全体実績予測,
  INDEX('在庫使用計画 (全体実績+予測）0701'!$A$1:$BD$195,
    MATCH($C79,'在庫使用計画 (全体実績+予測）0701'!$C$1:$C$195,0),
    MATCH(AU$1,'在庫使用計画 (全体実績+予測）0701'!$A$1:$BD$1,0)
),
  IFERROR(
    IF(_xlpm._全体実績予測=0,"",_xlpm._全体実績予測),
  "")
)</f>
        <v/>
      </c>
      <c r="AV79" s="451" t="str">
        <f>_xlfn.LET(_xlpm._全体実績予測,
  INDEX('在庫使用計画 (全体実績+予測）0701'!$A$1:$BD$195,
    MATCH($C79,'在庫使用計画 (全体実績+予測）0701'!$C$1:$C$195,0),
    MATCH(AV$1,'在庫使用計画 (全体実績+予測）0701'!$A$1:$BD$1,0)
),
  IFERROR(
    IF(_xlpm._全体実績予測=0,"",_xlpm._全体実績予測),
  "")
)</f>
        <v/>
      </c>
      <c r="AW79" s="451" t="str">
        <f>_xlfn.LET(_xlpm._全体実績予測,
  INDEX('在庫使用計画 (全体実績+予測）0701'!$A$1:$BD$195,
    MATCH($C79,'在庫使用計画 (全体実績+予測）0701'!$C$1:$C$195,0),
    MATCH(AW$1,'在庫使用計画 (全体実績+予測）0701'!$A$1:$BD$1,0)
),
  IFERROR(
    IF(_xlpm._全体実績予測=0,"",_xlpm._全体実績予測),
  "")
)</f>
        <v/>
      </c>
      <c r="AX79" s="451" t="str">
        <f>_xlfn.LET(_xlpm._全体実績予測,
  INDEX('在庫使用計画 (全体実績+予測）0701'!$A$1:$BD$195,
    MATCH($C79,'在庫使用計画 (全体実績+予測）0701'!$C$1:$C$195,0),
    MATCH(AX$1,'在庫使用計画 (全体実績+予測）0701'!$A$1:$BD$1,0)
),
  IFERROR(
    IF(_xlpm._全体実績予測=0,"",_xlpm._全体実績予測),
  "")
)</f>
        <v/>
      </c>
      <c r="AY79" s="451" t="str">
        <f>_xlfn.LET(_xlpm._全体実績予測,
  INDEX('在庫使用計画 (全体実績+予測）0701'!$A$1:$BD$195,
    MATCH($C79,'在庫使用計画 (全体実績+予測）0701'!$C$1:$C$195,0),
    MATCH(AY$1,'在庫使用計画 (全体実績+予測）0701'!$A$1:$BD$1,0)
),
  IFERROR(
    IF(_xlpm._全体実績予測=0,"",_xlpm._全体実績予測),
  "")
)</f>
        <v/>
      </c>
      <c r="AZ79" s="451" t="str">
        <f>_xlfn.LET(_xlpm._全体実績予測,
  INDEX('在庫使用計画 (全体実績+予測）0701'!$A$1:$BD$195,
    MATCH($C79,'在庫使用計画 (全体実績+予測）0701'!$C$1:$C$195,0),
    MATCH(AZ$1,'在庫使用計画 (全体実績+予測）0701'!$A$1:$BD$1,0)
),
  IFERROR(
    IF(_xlpm._全体実績予測=0,"",_xlpm._全体実績予測),
  "")
)</f>
        <v/>
      </c>
      <c r="BA79" s="451" t="str">
        <f>_xlfn.LET(_xlpm._全体実績予測,
  INDEX('在庫使用計画 (全体実績+予測）0701'!$A$1:$BD$195,
    MATCH($C79,'在庫使用計画 (全体実績+予測）0701'!$C$1:$C$195,0),
    MATCH(BA$1,'在庫使用計画 (全体実績+予測）0701'!$A$1:$BD$1,0)
),
  IFERROR(
    IF(_xlpm._全体実績予測=0,"",_xlpm._全体実績予測),
  "")
)</f>
        <v/>
      </c>
      <c r="BB79" s="451" t="str">
        <f>_xlfn.LET(_xlpm._全体実績予測,
  INDEX('在庫使用計画 (全体実績+予測）0701'!$A$1:$BD$195,
    MATCH($C79,'在庫使用計画 (全体実績+予測）0701'!$C$1:$C$195,0),
    MATCH(BB$1,'在庫使用計画 (全体実績+予測）0701'!$A$1:$BD$1,0)
),
  IFERROR(
    IF(_xlpm._全体実績予測=0,"",_xlpm._全体実績予測),
  "")
)</f>
        <v/>
      </c>
      <c r="BC79" s="451" t="str">
        <f>_xlfn.LET(_xlpm._全体実績予測,
  INDEX('在庫使用計画 (全体実績+予測）0701'!$A$1:$BD$195,
    MATCH($C79,'在庫使用計画 (全体実績+予測）0701'!$C$1:$C$195,0),
    MATCH(BC$1,'在庫使用計画 (全体実績+予測）0701'!$A$1:$BD$1,0)
),
  IFERROR(
    IF(_xlpm._全体実績予測=0,"",_xlpm._全体実績予測),
  "")
)</f>
        <v/>
      </c>
      <c r="BD79" s="451" t="str">
        <f>_xlfn.LET(_xlpm._全体実績予測,
  INDEX('在庫使用計画 (全体実績+予測）0701'!$A$1:$BD$195,
    MATCH($C79,'在庫使用計画 (全体実績+予測）0701'!$C$1:$C$195,0),
    MATCH(BD$1,'在庫使用計画 (全体実績+予測）0701'!$A$1:$BD$1,0)
),
  IFERROR(
    IF(_xlpm._全体実績予測=0,"",_xlpm._全体実績予測),
  "")
)</f>
        <v/>
      </c>
      <c r="BE79" s="451" t="str">
        <f>_xlfn.LET(_xlpm._全体実績予測,
  INDEX('在庫使用計画 (全体実績+予測）0701'!$A$1:$BD$195,
    MATCH($C79,'在庫使用計画 (全体実績+予測）0701'!$C$1:$C$195,0),
    MATCH(BE$1,'在庫使用計画 (全体実績+予測）0701'!$A$1:$BD$1,0)
),
  IFERROR(
    IF(_xlpm._全体実績予測=0,"",_xlpm._全体実績予測),
  "")
)</f>
        <v/>
      </c>
      <c r="BF79" s="897" t="str">
        <f>_xlfn.LET(_xlpm._全体実績予測,
  INDEX('在庫使用計画 (全体実績+予測）0701'!$A$1:$BD$195,
    MATCH($C79,'在庫使用計画 (全体実績+予測）0701'!$C$1:$C$195,0),
    MATCH(BF$1,'在庫使用計画 (全体実績+予測）0701'!$A$1:$BD$1,0)
),
  IFERROR(
    IF(_xlpm._全体実績予測=0,"",_xlpm._全体実績予測),
  "")
)</f>
        <v/>
      </c>
    </row>
    <row r="80" spans="1:60" ht="18.75" customHeight="1">
      <c r="A80" s="67" t="s">
        <v>1781</v>
      </c>
      <c r="B80" s="111" t="str">
        <v>WZN-A14JG-125U-UMA-32G-L7-GC</v>
      </c>
      <c r="C80" s="1264" t="s">
        <v>1646</v>
      </c>
      <c r="D80" s="1267" t="s">
        <v>1782</v>
      </c>
      <c r="E80" s="68" t="s">
        <v>1783</v>
      </c>
      <c r="F80" s="112" t="s">
        <v>1347</v>
      </c>
      <c r="G80" s="38">
        <v>505</v>
      </c>
      <c r="H80" s="38">
        <f ca="1">_xlfn.LET(_xlpm._今月から4ヶ月計画合計,
  SUM(
    OFFSET($A80,0,
      MATCH(
        EDATE(基準データ!$C$5,3),$A$1:$BE$1,1
      )-4,1,4)),
  IF($C80="","",_xlpm._今月から4ヶ月計画合計
)
)</f>
        <v>134</v>
      </c>
      <c r="I80" s="38">
        <f>SUMIFS(マスタ_EOLリスト[在庫],マスタ_EOLリスト[製品型番],'在庫使用計画 (計画　予測)'!$C:$C)</f>
        <v>0</v>
      </c>
      <c r="J80" s="1116" cm="1">
        <f t="array" ref="J80">_xlfn.IFS($C80="","",
  $G80="","発売前？",
  $G80=0,"在庫なし",
  TRUE,
  IFERROR(
    _xlfn.LET(
      _xlpm._在庫注残,     $G80,
      _xlpm._しきい値,     _xlpm._在庫注残 * 0.75,
      _xlpm._見出し元,     $K$1:$BT$1,
      _xlpm._計画,         $K80:$BT80,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46357</v>
      </c>
      <c r="K80" s="74"/>
      <c r="L80" s="74"/>
      <c r="M80" s="74"/>
      <c r="N80" s="118"/>
      <c r="O80" s="121"/>
      <c r="P80" s="121"/>
      <c r="Q80" s="1325"/>
      <c r="R80" s="1361"/>
      <c r="S80" s="219" t="s">
        <v>21</v>
      </c>
      <c r="T80" s="224" t="s">
        <v>21</v>
      </c>
      <c r="U80" s="224" t="s">
        <v>21</v>
      </c>
      <c r="V80" s="224" t="s">
        <v>21</v>
      </c>
      <c r="W80" s="224" t="s">
        <v>21</v>
      </c>
      <c r="X80" s="224" t="s">
        <v>21</v>
      </c>
      <c r="Y80" s="224" t="s">
        <v>21</v>
      </c>
      <c r="Z80" s="224" t="s">
        <v>21</v>
      </c>
      <c r="AA80" s="224" t="s">
        <v>21</v>
      </c>
      <c r="AB80" s="224" t="s">
        <v>21</v>
      </c>
      <c r="AC80" s="805" t="s">
        <v>21</v>
      </c>
      <c r="AD80" s="244" t="s">
        <v>21</v>
      </c>
      <c r="AE80" s="224" t="s">
        <v>21</v>
      </c>
      <c r="AF80" s="224" t="s">
        <v>21</v>
      </c>
      <c r="AG80" s="224" t="s">
        <v>21</v>
      </c>
      <c r="AH80" s="237" t="s">
        <v>21</v>
      </c>
      <c r="AI80" s="804" t="s">
        <v>21</v>
      </c>
      <c r="AJ80" s="224" t="s">
        <v>21</v>
      </c>
      <c r="AK80" s="224" t="s">
        <v>21</v>
      </c>
      <c r="AL80" s="224" t="s">
        <v>21</v>
      </c>
      <c r="AM80" s="224" t="str">
        <f>_xlfn.XLOOKUP(
$C80,
'在庫使用計画 (ノート全体試算)'!$C$1:$C$170,
'在庫使用計画 (ノート全体試算)'!AN$1:AN$170,
"")</f>
        <v/>
      </c>
      <c r="AN80" s="237" t="str">
        <f>_xlfn.XLOOKUP(
$C80,
'在庫使用計画 (ノート全体試算)'!$C$1:$C$170,
'在庫使用計画 (ノート全体試算)'!AO$1:AO$170,
"")</f>
        <v/>
      </c>
      <c r="AO80" s="237" t="str">
        <f>_xlfn.XLOOKUP(
$C80,
'在庫使用計画 (ノート全体試算)'!$C$1:$C$170,
'在庫使用計画 (ノート全体試算)'!AP$1:AP$170,
"")</f>
        <v/>
      </c>
      <c r="AP80" s="224" t="str">
        <f>_xlfn.XLOOKUP(
$C80,
'在庫使用計画 (ノート全体試算)'!$C$1:$C$170,
'在庫使用計画 (ノート全体試算)'!AQ$1:AQ$170,
"")</f>
        <v/>
      </c>
      <c r="AQ80" s="1050">
        <f>_xlfn.XLOOKUP(
$C80,
'在庫使用計画 (ノート全体試算)'!$C$1:$C$170,
'在庫使用計画 (ノート全体試算)'!AR$1:AR$170,
"")</f>
        <v>41</v>
      </c>
      <c r="AR80" s="2130">
        <f>_xlfn.XLOOKUP(
$C80,
'在庫使用計画 (ノート全体試算)'!$C$1:$C$170,
'在庫使用計画 (ノート全体試算)'!AS$1:AS$170,
"")</f>
        <v>93</v>
      </c>
      <c r="AS80" s="244">
        <f>_xlfn.XLOOKUP(
$C80,
'在庫使用計画 (ノート全体試算)'!$C$1:$C$170,
'在庫使用計画 (ノート全体試算)'!AT$1:AT$170,
"")</f>
        <v>85</v>
      </c>
      <c r="AT80" s="805">
        <f>_xlfn.XLOOKUP(
$C80,
'在庫使用計画 (ノート全体試算)'!$C$1:$C$170,
'在庫使用計画 (ノート全体試算)'!AU$1:AU$170,
"")</f>
        <v>165</v>
      </c>
      <c r="AU80" s="804">
        <f>_xlfn.XLOOKUP(
$C80,
'在庫使用計画 (ノート全体試算)'!$C$1:$C$170,
'在庫使用計画 (ノート全体試算)'!AV$1:AV$170,
"")</f>
        <v>155</v>
      </c>
      <c r="AV80" s="224">
        <f>_xlfn.XLOOKUP(
$C80,
'在庫使用計画 (ノート全体試算)'!$C$1:$C$170,
'在庫使用計画 (ノート全体試算)'!AW$1:AW$170,
"")</f>
        <v>105</v>
      </c>
      <c r="AW80" s="224">
        <f>_xlfn.XLOOKUP(
$C80,
'在庫使用計画 (ノート全体試算)'!$C$1:$C$170,
'在庫使用計画 (ノート全体試算)'!AX$1:AX$170,
"")</f>
        <v>165</v>
      </c>
      <c r="AX80" s="224">
        <f>_xlfn.XLOOKUP(
$C80,
'在庫使用計画 (ノート全体試算)'!$C$1:$C$170,
'在庫使用計画 (ノート全体試算)'!AY$1:AY$170,
"")</f>
        <v>95</v>
      </c>
      <c r="AY80" s="224">
        <f>_xlfn.XLOOKUP(
$C80,
'在庫使用計画 (ノート全体試算)'!$C$1:$C$170,
'在庫使用計画 (ノート全体試算)'!AZ$1:AZ$170,
"")</f>
        <v>75</v>
      </c>
      <c r="AZ80" s="224">
        <f>_xlfn.XLOOKUP(
$C80,
'在庫使用計画 (ノート全体試算)'!$C$1:$C$170,
'在庫使用計画 (ノート全体試算)'!BA$1:BA$170,
"")</f>
        <v>75</v>
      </c>
      <c r="BA80" s="224">
        <f>_xlfn.XLOOKUP(
$C80,
'在庫使用計画 (ノート全体試算)'!$C$1:$C$170,
'在庫使用計画 (ノート全体試算)'!BB$1:BB$170,
"")</f>
        <v>75</v>
      </c>
      <c r="BB80" s="224">
        <f>_xlfn.XLOOKUP(
$C80,
'在庫使用計画 (ノート全体試算)'!$C$1:$C$170,
'在庫使用計画 (ノート全体試算)'!BC$1:BC$170,
"")</f>
        <v>125</v>
      </c>
      <c r="BC80" s="224" t="str">
        <f>_xlfn.XLOOKUP(
$C80,
'在庫使用計画 (ノート全体試算)'!$C$1:$C$170,
'在庫使用計画 (ノート全体試算)'!BD$1:BD$170,
"")</f>
        <v/>
      </c>
      <c r="BD80" s="224" t="str">
        <f>_xlfn.XLOOKUP(
$C80,
'在庫使用計画 (ノート全体試算)'!$C$1:$C$170,
'在庫使用計画 (ノート全体試算)'!BE$1:BE$170,
"")</f>
        <v/>
      </c>
      <c r="BE80" s="224" t="str">
        <f>_xlfn.XLOOKUP(
$C80,
'在庫使用計画 (ノート全体試算)'!$C$1:$C$170,
'在庫使用計画 (ノート全体試算)'!BF$1:BF$170,
"")</f>
        <v/>
      </c>
      <c r="BF80" s="805" t="str">
        <f>_xlfn.XLOOKUP(
$C80,
'在庫使用計画 (ノート全体試算)'!$C$1:$C$170,
'在庫使用計画 (ノート全体試算)'!BG$1:BG$170,
"")</f>
        <v/>
      </c>
      <c r="BG80" s="2091" t="s">
        <v>2665</v>
      </c>
      <c r="BH80" t="s">
        <v>2694</v>
      </c>
    </row>
    <row r="81" spans="1:59" ht="18.75" customHeight="1" thickBot="1">
      <c r="A81" s="445"/>
      <c r="B81" s="1261" t="str">
        <v>WZN-A14JG-125U-UMA-32G-L7-GC</v>
      </c>
      <c r="C81" s="1265" t="s">
        <v>1646</v>
      </c>
      <c r="D81" s="1262" t="s">
        <v>1763</v>
      </c>
      <c r="E81" s="446"/>
      <c r="F81" s="447"/>
      <c r="G81" s="448">
        <v>505</v>
      </c>
      <c r="H81" s="448">
        <f ca="1">_xlfn.LET(_xlpm._今月から4ヶ月計画合計,
  SUM(
    OFFSET($A81,0,
      MATCH(
        EDATE(基準データ!$C$5,3),$A$1:$BE$1,1
      )-4,1,4)),
  IF($C81="","",_xlpm._今月から4ヶ月計画合計
)
)</f>
        <v>0</v>
      </c>
      <c r="I81" s="448">
        <f t="shared" si="12"/>
        <v>0</v>
      </c>
      <c r="J81" s="1116" t="str" cm="1">
        <f t="array" ref="J81">_xlfn.IFS($C81="","",
  $G81="","発売前？",
  $G81=0,"在庫なし",
  TRUE,
  IFERROR(
    _xlfn.LET(
      _xlpm._在庫注残,     $G81,
      _xlpm._しきい値,     _xlpm._在庫注残 * 0.75,
      _xlpm._見出し元,     $K$1:$BT$1,
      _xlpm._計画,         $K81:$BT81,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合計0、在庫+注残505のため不足</v>
      </c>
      <c r="K81" s="448"/>
      <c r="L81" s="448"/>
      <c r="M81" s="448"/>
      <c r="N81" s="448"/>
      <c r="O81" s="448"/>
      <c r="P81" s="448"/>
      <c r="Q81" s="540"/>
      <c r="R81" s="900"/>
      <c r="S81" s="449"/>
      <c r="T81" s="449"/>
      <c r="U81" s="449"/>
      <c r="V81" s="450"/>
      <c r="W81" s="451" t="s">
        <v>21</v>
      </c>
      <c r="X81" s="451" t="s">
        <v>21</v>
      </c>
      <c r="Y81" s="455" t="s">
        <v>21</v>
      </c>
      <c r="Z81" s="507" t="s">
        <v>21</v>
      </c>
      <c r="AA81" s="453" t="s">
        <v>21</v>
      </c>
      <c r="AB81" s="449" t="s">
        <v>21</v>
      </c>
      <c r="AC81" s="899" t="s">
        <v>21</v>
      </c>
      <c r="AD81" s="1290" t="s">
        <v>21</v>
      </c>
      <c r="AE81" s="453" t="s">
        <v>21</v>
      </c>
      <c r="AF81" s="453" t="s">
        <v>21</v>
      </c>
      <c r="AG81" s="451" t="s">
        <v>21</v>
      </c>
      <c r="AH81" s="237" t="s">
        <v>21</v>
      </c>
      <c r="AI81" s="896" t="s">
        <v>21</v>
      </c>
      <c r="AJ81" s="451" t="s">
        <v>21</v>
      </c>
      <c r="AK81" s="451" t="s">
        <v>21</v>
      </c>
      <c r="AL81" s="451" t="s">
        <v>21</v>
      </c>
      <c r="AM81" s="451" t="str">
        <f>_xlfn.LET(_xlpm._全体実績予測,
  INDEX('在庫使用計画 (全体実績+予測）0701'!$A$1:$BD$195,
    MATCH($C81,'在庫使用計画 (全体実績+予測）0701'!$C$1:$C$195,0),
    MATCH(AM$1,'在庫使用計画 (全体実績+予測）0701'!$A$1:$BD$1,0)
),
  IFERROR(
    IF(_xlpm._全体実績予測=0,"",_xlpm._全体実績予測),
  "")
)</f>
        <v/>
      </c>
      <c r="AN81" s="889" t="str">
        <f>_xlfn.LET(_xlpm._全体実績予測,
  INDEX('在庫使用計画 (全体実績+予測）0701'!$A$1:$BD$195,
    MATCH($C81,'在庫使用計画 (全体実績+予測）0701'!$C$1:$C$195,0),
    MATCH(AN$1,'在庫使用計画 (全体実績+予測）0701'!$A$1:$BD$1,0)
),
  IFERROR(
    IF(_xlpm._全体実績予測=0,"",_xlpm._全体実績予測),
  "")
)</f>
        <v/>
      </c>
      <c r="AO81" s="889" t="str">
        <f>_xlfn.LET(_xlpm._全体実績予測,
  INDEX('在庫使用計画 (全体実績+予測）0701'!$A$1:$BD$195,
    MATCH($C81,'在庫使用計画 (全体実績+予測）0701'!$C$1:$C$195,0),
    MATCH(AO$1,'在庫使用計画 (全体実績+予測）0701'!$A$1:$BD$1,0)
),
  IFERROR(
    IF(_xlpm._全体実績予測=0,"",_xlpm._全体実績予測),
  "")
)</f>
        <v/>
      </c>
      <c r="AP81" s="451" t="str">
        <f>_xlfn.LET(_xlpm._全体実績予測,
  INDEX('在庫使用計画 (全体実績+予測）0701'!$A$1:$BD$195,
    MATCH($C81,'在庫使用計画 (全体実績+予測）0701'!$C$1:$C$195,0),
    MATCH(AP$1,'在庫使用計画 (全体実績+予測）0701'!$A$1:$BD$1,0)
),
  IFERROR(
    IF(_xlpm._全体実績予測=0,"",_xlpm._全体実績予測),
  "")
)</f>
        <v/>
      </c>
      <c r="AQ81" s="2121" t="str">
        <f>_xlfn.LET(_xlpm._全体実績予測,
  INDEX('在庫使用計画 (全体実績+予測）0701'!$A$1:$BD$195,
    MATCH($C81,'在庫使用計画 (全体実績+予測）0701'!$C$1:$C$195,0),
    MATCH(AQ$1,'在庫使用計画 (全体実績+予測）0701'!$A$1:$BD$1,0)
),
  IFERROR(
    IF(_xlpm._全体実績予測=0,"",_xlpm._全体実績予測),
  "")
)</f>
        <v/>
      </c>
      <c r="AR81" s="2137" t="str">
        <f>_xlfn.LET(_xlpm._全体実績予測,
  INDEX('在庫使用計画 (全体実績+予測）0701'!$A$1:$BD$195,
    MATCH($C81,'在庫使用計画 (全体実績+予測）0701'!$C$1:$C$195,0),
    MATCH(AR$1,'在庫使用計画 (全体実績+予測）0701'!$A$1:$BD$1,0)
),
  IFERROR(
    IF(_xlpm._全体実績予測=0,"",_xlpm._全体実績予測),
  "")
)</f>
        <v/>
      </c>
      <c r="AS81" s="1292" t="str">
        <f>_xlfn.LET(_xlpm._全体実績予測,
  INDEX('在庫使用計画 (全体実績+予測）0701'!$A$1:$BD$195,
    MATCH($C81,'在庫使用計画 (全体実績+予測）0701'!$C$1:$C$195,0),
    MATCH(AS$1,'在庫使用計画 (全体実績+予測）0701'!$A$1:$BD$1,0)
),
  IFERROR(
    IF(_xlpm._全体実績予測=0,"",_xlpm._全体実績予測),
  "")
)</f>
        <v/>
      </c>
      <c r="AT81" s="897" t="str">
        <f>_xlfn.LET(_xlpm._全体実績予測,
  INDEX('在庫使用計画 (全体実績+予測）0701'!$A$1:$BD$195,
    MATCH($C81,'在庫使用計画 (全体実績+予測）0701'!$C$1:$C$195,0),
    MATCH(AT$1,'在庫使用計画 (全体実績+予測）0701'!$A$1:$BD$1,0)
),
  IFERROR(
    IF(_xlpm._全体実績予測=0,"",_xlpm._全体実績予測),
  "")
)</f>
        <v/>
      </c>
      <c r="AU81" s="896" t="str">
        <f>_xlfn.LET(_xlpm._全体実績予測,
  INDEX('在庫使用計画 (全体実績+予測）0701'!$A$1:$BD$195,
    MATCH($C81,'在庫使用計画 (全体実績+予測）0701'!$C$1:$C$195,0),
    MATCH(AU$1,'在庫使用計画 (全体実績+予測）0701'!$A$1:$BD$1,0)
),
  IFERROR(
    IF(_xlpm._全体実績予測=0,"",_xlpm._全体実績予測),
  "")
)</f>
        <v/>
      </c>
      <c r="AV81" s="451" t="str">
        <f>_xlfn.LET(_xlpm._全体実績予測,
  INDEX('在庫使用計画 (全体実績+予測）0701'!$A$1:$BD$195,
    MATCH($C81,'在庫使用計画 (全体実績+予測）0701'!$C$1:$C$195,0),
    MATCH(AV$1,'在庫使用計画 (全体実績+予測）0701'!$A$1:$BD$1,0)
),
  IFERROR(
    IF(_xlpm._全体実績予測=0,"",_xlpm._全体実績予測),
  "")
)</f>
        <v/>
      </c>
      <c r="AW81" s="451" t="str">
        <f>_xlfn.LET(_xlpm._全体実績予測,
  INDEX('在庫使用計画 (全体実績+予測）0701'!$A$1:$BD$195,
    MATCH($C81,'在庫使用計画 (全体実績+予測）0701'!$C$1:$C$195,0),
    MATCH(AW$1,'在庫使用計画 (全体実績+予測）0701'!$A$1:$BD$1,0)
),
  IFERROR(
    IF(_xlpm._全体実績予測=0,"",_xlpm._全体実績予測),
  "")
)</f>
        <v/>
      </c>
      <c r="AX81" s="451" t="str">
        <f>_xlfn.LET(_xlpm._全体実績予測,
  INDEX('在庫使用計画 (全体実績+予測）0701'!$A$1:$BD$195,
    MATCH($C81,'在庫使用計画 (全体実績+予測）0701'!$C$1:$C$195,0),
    MATCH(AX$1,'在庫使用計画 (全体実績+予測）0701'!$A$1:$BD$1,0)
),
  IFERROR(
    IF(_xlpm._全体実績予測=0,"",_xlpm._全体実績予測),
  "")
)</f>
        <v/>
      </c>
      <c r="AY81" s="451" t="str">
        <f>_xlfn.LET(_xlpm._全体実績予測,
  INDEX('在庫使用計画 (全体実績+予測）0701'!$A$1:$BD$195,
    MATCH($C81,'在庫使用計画 (全体実績+予測）0701'!$C$1:$C$195,0),
    MATCH(AY$1,'在庫使用計画 (全体実績+予測）0701'!$A$1:$BD$1,0)
),
  IFERROR(
    IF(_xlpm._全体実績予測=0,"",_xlpm._全体実績予測),
  "")
)</f>
        <v/>
      </c>
      <c r="AZ81" s="451" t="str">
        <f>_xlfn.LET(_xlpm._全体実績予測,
  INDEX('在庫使用計画 (全体実績+予測）0701'!$A$1:$BD$195,
    MATCH($C81,'在庫使用計画 (全体実績+予測）0701'!$C$1:$C$195,0),
    MATCH(AZ$1,'在庫使用計画 (全体実績+予測）0701'!$A$1:$BD$1,0)
),
  IFERROR(
    IF(_xlpm._全体実績予測=0,"",_xlpm._全体実績予測),
  "")
)</f>
        <v/>
      </c>
      <c r="BA81" s="451" t="str">
        <f>_xlfn.LET(_xlpm._全体実績予測,
  INDEX('在庫使用計画 (全体実績+予測）0701'!$A$1:$BD$195,
    MATCH($C81,'在庫使用計画 (全体実績+予測）0701'!$C$1:$C$195,0),
    MATCH(BA$1,'在庫使用計画 (全体実績+予測）0701'!$A$1:$BD$1,0)
),
  IFERROR(
    IF(_xlpm._全体実績予測=0,"",_xlpm._全体実績予測),
  "")
)</f>
        <v/>
      </c>
      <c r="BB81" s="451" t="str">
        <f>_xlfn.LET(_xlpm._全体実績予測,
  INDEX('在庫使用計画 (全体実績+予測）0701'!$A$1:$BD$195,
    MATCH($C81,'在庫使用計画 (全体実績+予測）0701'!$C$1:$C$195,0),
    MATCH(BB$1,'在庫使用計画 (全体実績+予測）0701'!$A$1:$BD$1,0)
),
  IFERROR(
    IF(_xlpm._全体実績予測=0,"",_xlpm._全体実績予測),
  "")
)</f>
        <v/>
      </c>
      <c r="BC81" s="451" t="str">
        <f>_xlfn.LET(_xlpm._全体実績予測,
  INDEX('在庫使用計画 (全体実績+予測）0701'!$A$1:$BD$195,
    MATCH($C81,'在庫使用計画 (全体実績+予測）0701'!$C$1:$C$195,0),
    MATCH(BC$1,'在庫使用計画 (全体実績+予測）0701'!$A$1:$BD$1,0)
),
  IFERROR(
    IF(_xlpm._全体実績予測=0,"",_xlpm._全体実績予測),
  "")
)</f>
        <v/>
      </c>
      <c r="BD81" s="451" t="str">
        <f>_xlfn.LET(_xlpm._全体実績予測,
  INDEX('在庫使用計画 (全体実績+予測）0701'!$A$1:$BD$195,
    MATCH($C81,'在庫使用計画 (全体実績+予測）0701'!$C$1:$C$195,0),
    MATCH(BD$1,'在庫使用計画 (全体実績+予測）0701'!$A$1:$BD$1,0)
),
  IFERROR(
    IF(_xlpm._全体実績予測=0,"",_xlpm._全体実績予測),
  "")
)</f>
        <v/>
      </c>
      <c r="BE81" s="451" t="str">
        <f>_xlfn.LET(_xlpm._全体実績予測,
  INDEX('在庫使用計画 (全体実績+予測）0701'!$A$1:$BD$195,
    MATCH($C81,'在庫使用計画 (全体実績+予測）0701'!$C$1:$C$195,0),
    MATCH(BE$1,'在庫使用計画 (全体実績+予測）0701'!$A$1:$BD$1,0)
),
  IFERROR(
    IF(_xlpm._全体実績予測=0,"",_xlpm._全体実績予測),
  "")
)</f>
        <v/>
      </c>
      <c r="BF81" s="897" t="str">
        <f>_xlfn.LET(_xlpm._全体実績予測,
  INDEX('在庫使用計画 (全体実績+予測）0701'!$A$1:$BD$195,
    MATCH($C81,'在庫使用計画 (全体実績+予測）0701'!$C$1:$C$195,0),
    MATCH(BF$1,'在庫使用計画 (全体実績+予測）0701'!$A$1:$BD$1,0)
),
  IFERROR(
    IF(_xlpm._全体実績予測=0,"",_xlpm._全体実績予測),
  "")
)</f>
        <v/>
      </c>
    </row>
    <row r="82" spans="1:59" ht="18.75" customHeight="1">
      <c r="A82" s="67"/>
      <c r="B82" s="26" t="str">
        <v/>
      </c>
      <c r="C82" s="25"/>
      <c r="D82" s="68"/>
      <c r="E82" s="68"/>
      <c r="F82" s="68"/>
      <c r="G82" s="355" t="str">
        <v/>
      </c>
      <c r="H82" s="38"/>
      <c r="I82" s="355"/>
      <c r="J82" s="1116" t="str" cm="1">
        <f t="array" ref="J82">_xlfn.IFS($C82="","",
  $G82="","発売前？",
  $G82=0,"在庫なし",
  TRUE,
  IFERROR(
    _xlfn.LET(
      _xlpm._在庫注残,     $G82,
      _xlpm._しきい値,     _xlpm._在庫注残 * 0.75,
      _xlpm._見出し元,     $K$1:$BT$1,
      _xlpm._計画,         $K82:$BT82,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
      </c>
      <c r="K82" s="38"/>
      <c r="L82" s="38"/>
      <c r="M82" s="38"/>
      <c r="N82" s="38"/>
      <c r="O82" s="38"/>
      <c r="P82" s="38"/>
      <c r="Q82" s="116"/>
      <c r="R82" s="1350"/>
      <c r="S82" s="219"/>
      <c r="T82" s="219"/>
      <c r="U82" s="219"/>
      <c r="V82" s="219"/>
      <c r="W82" s="224"/>
      <c r="X82" s="224"/>
      <c r="Y82" s="224"/>
      <c r="Z82" s="224"/>
      <c r="AA82" s="224"/>
      <c r="AB82" s="224" t="s">
        <v>21</v>
      </c>
      <c r="AC82" s="805" t="s">
        <v>21</v>
      </c>
      <c r="AD82" s="244" t="s">
        <v>21</v>
      </c>
      <c r="AE82" s="224" t="s">
        <v>21</v>
      </c>
      <c r="AF82" s="224" t="s">
        <v>21</v>
      </c>
      <c r="AG82" s="224" t="s">
        <v>21</v>
      </c>
      <c r="AH82" s="237" t="s">
        <v>21</v>
      </c>
      <c r="AI82" s="804" t="s">
        <v>21</v>
      </c>
      <c r="AJ82" s="224" t="s">
        <v>21</v>
      </c>
      <c r="AK82" s="224" t="s">
        <v>21</v>
      </c>
      <c r="AL82" s="224" t="s">
        <v>21</v>
      </c>
      <c r="AM82" s="224" t="str">
        <f>IFERROR(IF(SUM(INDEX('在庫使用計画 (一般)'!$A$1:$BF$557,MATCH($C82,'在庫使用計画 (一般)'!$C$1:$C$557,0),MATCH(AM$1,'在庫使用計画 (一般)'!$A$1:$BF$1,0)),INDEX('在庫使用計画 (法人)'!$A$1:$AT$578,MATCH($C82,'在庫使用計画 (法人)'!$C$1:$C$578,0),MATCH(AM$1,'在庫使用計画 (法人)'!$A$1:$AT$1,0)))=0,"",SUM(INDEX('在庫使用計画 (一般)'!$A$1:$BF$557,MATCH($C82,'在庫使用計画 (一般)'!$C$1:$C$557,0),MATCH(AM$1,'在庫使用計画 (一般)'!$A$1:$BF$1,0)),INDEX('在庫使用計画 (法人)'!$A$1:$AT$578,MATCH($C82,'在庫使用計画 (法人)'!$C$1:$C$578,0),MATCH(AM$1,'在庫使用計画 (法人)'!$A$1:$AT$1,0)))),"")</f>
        <v/>
      </c>
      <c r="AN82" s="237" t="str">
        <f>IFERROR(IF(SUM(INDEX('在庫使用計画 (一般)'!$A$1:$BF$557,MATCH($C82,'在庫使用計画 (一般)'!$C$1:$C$557,0),MATCH(AN$1,'在庫使用計画 (一般)'!$A$1:$BF$1,0)),INDEX('在庫使用計画 (法人)'!$A$1:$AT$578,MATCH($C82,'在庫使用計画 (法人)'!$C$1:$C$578,0),MATCH(AN$1,'在庫使用計画 (法人)'!$A$1:$AT$1,0)))=0,"",SUM(INDEX('在庫使用計画 (一般)'!$A$1:$BF$557,MATCH($C82,'在庫使用計画 (一般)'!$C$1:$C$557,0),MATCH(AN$1,'在庫使用計画 (一般)'!$A$1:$BF$1,0)),INDEX('在庫使用計画 (法人)'!$A$1:$AT$578,MATCH($C82,'在庫使用計画 (法人)'!$C$1:$C$578,0),MATCH(AN$1,'在庫使用計画 (法人)'!$A$1:$AT$1,0)))),"")</f>
        <v/>
      </c>
      <c r="AO82" s="237" t="str">
        <f>IFERROR(IF(SUM(INDEX('在庫使用計画 (一般)'!$A$1:$BF$557,MATCH($C82,'在庫使用計画 (一般)'!$C$1:$C$557,0),MATCH(AO$1,'在庫使用計画 (一般)'!$A$1:$BF$1,0)),INDEX('在庫使用計画 (法人)'!$A$1:$AT$578,MATCH($C82,'在庫使用計画 (法人)'!$C$1:$C$578,0),MATCH(AO$1,'在庫使用計画 (法人)'!$A$1:$AT$1,0)))=0,"",SUM(INDEX('在庫使用計画 (一般)'!$A$1:$BF$557,MATCH($C82,'在庫使用計画 (一般)'!$C$1:$C$557,0),MATCH(AO$1,'在庫使用計画 (一般)'!$A$1:$BF$1,0)),INDEX('在庫使用計画 (法人)'!$A$1:$AT$578,MATCH($C82,'在庫使用計画 (法人)'!$C$1:$C$578,0),MATCH(AO$1,'在庫使用計画 (法人)'!$A$1:$AT$1,0)))),"")</f>
        <v/>
      </c>
      <c r="AP82" s="224" t="str">
        <f>IFERROR(IF(SUM(INDEX('在庫使用計画 (一般)'!$A$1:$BF$557,MATCH($C82,'在庫使用計画 (一般)'!$C$1:$C$557,0),MATCH(AP$1,'在庫使用計画 (一般)'!$A$1:$BF$1,0)),INDEX('在庫使用計画 (法人)'!$A$1:$AT$578,MATCH($C82,'在庫使用計画 (法人)'!$C$1:$C$578,0),MATCH(AP$1,'在庫使用計画 (法人)'!$A$1:$AT$1,0)))=0,"",SUM(INDEX('在庫使用計画 (一般)'!$A$1:$BF$557,MATCH($C82,'在庫使用計画 (一般)'!$C$1:$C$557,0),MATCH(AP$1,'在庫使用計画 (一般)'!$A$1:$BF$1,0)),INDEX('在庫使用計画 (法人)'!$A$1:$AT$578,MATCH($C82,'在庫使用計画 (法人)'!$C$1:$C$578,0),MATCH(AP$1,'在庫使用計画 (法人)'!$A$1:$AT$1,0)))),"")</f>
        <v/>
      </c>
      <c r="AQ82" s="1050" t="str">
        <f>IFERROR(IF(SUM(INDEX('在庫使用計画 (一般)'!$A$1:$BF$557,MATCH($C82,'在庫使用計画 (一般)'!$C$1:$C$557,0),MATCH(AQ$1,'在庫使用計画 (一般)'!$A$1:$BF$1,0)),INDEX('在庫使用計画 (法人)'!$A$1:$AT$578,MATCH($C82,'在庫使用計画 (法人)'!$C$1:$C$578,0),MATCH(AQ$1,'在庫使用計画 (法人)'!$A$1:$AT$1,0)))=0,"",SUM(INDEX('在庫使用計画 (一般)'!$A$1:$BF$557,MATCH($C82,'在庫使用計画 (一般)'!$C$1:$C$557,0),MATCH(AQ$1,'在庫使用計画 (一般)'!$A$1:$BF$1,0)),INDEX('在庫使用計画 (法人)'!$A$1:$AT$578,MATCH($C82,'在庫使用計画 (法人)'!$C$1:$C$578,0),MATCH(AQ$1,'在庫使用計画 (法人)'!$A$1:$AT$1,0)))),"")</f>
        <v/>
      </c>
      <c r="AR82" s="2130" t="str">
        <f>IFERROR(IF(SUM(INDEX('在庫使用計画 (一般)'!$A$1:$BF$557,MATCH($C82,'在庫使用計画 (一般)'!$C$1:$C$557,0),MATCH(AR$1,'在庫使用計画 (一般)'!$A$1:$BF$1,0)),INDEX('在庫使用計画 (法人)'!$A$1:$AT$578,MATCH($C82,'在庫使用計画 (法人)'!$C$1:$C$578,0),MATCH(AR$1,'在庫使用計画 (法人)'!$A$1:$AT$1,0)))=0,"",SUM(INDEX('在庫使用計画 (一般)'!$A$1:$BF$557,MATCH($C82,'在庫使用計画 (一般)'!$C$1:$C$557,0),MATCH(AR$1,'在庫使用計画 (一般)'!$A$1:$BF$1,0)),INDEX('在庫使用計画 (法人)'!$A$1:$AT$578,MATCH($C82,'在庫使用計画 (法人)'!$C$1:$C$578,0),MATCH(AR$1,'在庫使用計画 (法人)'!$A$1:$AT$1,0)))),"")</f>
        <v/>
      </c>
      <c r="AS82" s="244" t="str">
        <f>IFERROR(IF(SUM(INDEX('在庫使用計画 (一般)'!$A$1:$BF$557,MATCH($C82,'在庫使用計画 (一般)'!$C$1:$C$557,0),MATCH(AS$1,'在庫使用計画 (一般)'!$A$1:$BF$1,0)),INDEX('在庫使用計画 (法人)'!$A$1:$AT$578,MATCH($C82,'在庫使用計画 (法人)'!$C$1:$C$578,0),MATCH(AS$1,'在庫使用計画 (法人)'!$A$1:$AT$1,0)))=0,"",SUM(INDEX('在庫使用計画 (一般)'!$A$1:$BF$557,MATCH($C82,'在庫使用計画 (一般)'!$C$1:$C$557,0),MATCH(AS$1,'在庫使用計画 (一般)'!$A$1:$BF$1,0)),INDEX('在庫使用計画 (法人)'!$A$1:$AT$578,MATCH($C82,'在庫使用計画 (法人)'!$C$1:$C$578,0),MATCH(AS$1,'在庫使用計画 (法人)'!$A$1:$AT$1,0)))),"")</f>
        <v/>
      </c>
      <c r="AT82" s="805" t="str">
        <f>IFERROR(IF(SUM(INDEX('在庫使用計画 (一般)'!$A$1:$BF$557,MATCH($C82,'在庫使用計画 (一般)'!$C$1:$C$557,0),MATCH(AT$1,'在庫使用計画 (一般)'!$A$1:$BF$1,0)),INDEX('在庫使用計画 (法人)'!$A$1:$AT$578,MATCH($C82,'在庫使用計画 (法人)'!$C$1:$C$578,0),MATCH(AT$1,'在庫使用計画 (法人)'!$A$1:$AT$1,0)))=0,"",SUM(INDEX('在庫使用計画 (一般)'!$A$1:$BF$557,MATCH($C82,'在庫使用計画 (一般)'!$C$1:$C$557,0),MATCH(AT$1,'在庫使用計画 (一般)'!$A$1:$BF$1,0)),INDEX('在庫使用計画 (法人)'!$A$1:$AT$578,MATCH($C82,'在庫使用計画 (法人)'!$C$1:$C$578,0),MATCH(AT$1,'在庫使用計画 (法人)'!$A$1:$AT$1,0)))),"")</f>
        <v/>
      </c>
      <c r="AU82" s="804"/>
      <c r="AV82" s="224"/>
      <c r="AW82" s="224"/>
      <c r="AX82" s="224"/>
      <c r="AY82" s="224"/>
      <c r="AZ82" s="224"/>
      <c r="BA82" s="224"/>
      <c r="BB82" s="224"/>
      <c r="BC82" s="224"/>
      <c r="BD82" s="224"/>
      <c r="BE82" s="224"/>
      <c r="BF82" s="805"/>
    </row>
    <row r="83" spans="1:59" ht="18.75" customHeight="1">
      <c r="A83" s="33"/>
      <c r="B83" s="380"/>
      <c r="C83" s="26"/>
      <c r="D83" s="26"/>
      <c r="E83" s="26"/>
      <c r="F83" s="26"/>
      <c r="G83" s="43"/>
      <c r="H83" s="38"/>
      <c r="I83" s="43"/>
      <c r="J83" s="1165"/>
      <c r="K83" s="1164"/>
      <c r="L83" s="38"/>
      <c r="M83" s="38"/>
      <c r="N83" s="38"/>
      <c r="O83" s="38"/>
      <c r="P83" s="38"/>
      <c r="Q83" s="116"/>
      <c r="R83" s="1350"/>
      <c r="S83" s="219"/>
      <c r="T83" s="219"/>
      <c r="U83" s="219"/>
      <c r="V83" s="219"/>
      <c r="W83" s="440"/>
      <c r="X83" s="440"/>
      <c r="Y83" s="440"/>
      <c r="Z83" s="440"/>
      <c r="AA83" s="440"/>
      <c r="AB83" s="440"/>
      <c r="AC83" s="1362"/>
      <c r="AD83" s="1190">
        <v>1.0577115090195033</v>
      </c>
      <c r="AE83" s="1184">
        <v>1.0807635829662263</v>
      </c>
      <c r="AF83" s="1184">
        <v>1.0098394598217773</v>
      </c>
      <c r="AG83" s="1184">
        <v>1.0093530788993301</v>
      </c>
      <c r="AH83" s="1185">
        <v>1.5717089063151117</v>
      </c>
      <c r="AI83" s="1184">
        <v>0.84580268219550514</v>
      </c>
      <c r="AJ83" s="1184">
        <v>0.66115955658145964</v>
      </c>
      <c r="AK83" s="1184">
        <v>1.496470588235294</v>
      </c>
      <c r="AL83" s="1184">
        <v>0.74740040525350004</v>
      </c>
      <c r="AM83" s="1184">
        <v>0.84569859375943024</v>
      </c>
      <c r="AN83" s="1185">
        <v>1.0509026794524492</v>
      </c>
      <c r="AO83" s="1185">
        <v>0.98233483332213944</v>
      </c>
      <c r="AP83" s="1184">
        <v>1.0577115090195033</v>
      </c>
      <c r="AQ83" s="2122">
        <v>1.0807635829662263</v>
      </c>
      <c r="AR83" s="2138">
        <v>1.0098394598217773</v>
      </c>
      <c r="AS83" s="1190">
        <v>1.0093530788993301</v>
      </c>
      <c r="AT83" s="1185">
        <v>1.5717089063151117</v>
      </c>
      <c r="AU83" s="1175">
        <v>0.84580268219550514</v>
      </c>
      <c r="AV83" s="1174">
        <v>0.66115955658145964</v>
      </c>
      <c r="AW83" s="1174">
        <v>1.496470588235294</v>
      </c>
      <c r="AX83" s="1174">
        <v>0.74740040525350004</v>
      </c>
      <c r="AY83" s="1174">
        <v>0.84569859375943024</v>
      </c>
      <c r="AZ83" s="1174">
        <v>1.0509026794524492</v>
      </c>
      <c r="BA83" s="1174">
        <v>0.98233483332213944</v>
      </c>
      <c r="BB83" s="1174">
        <v>1.0577115090195033</v>
      </c>
      <c r="BC83" s="1174">
        <v>1.0807635829662263</v>
      </c>
      <c r="BD83" s="1174">
        <v>1.0098394598217773</v>
      </c>
      <c r="BE83" s="1174">
        <v>1.0093530788993301</v>
      </c>
      <c r="BF83" s="1176">
        <v>1.5717089063151117</v>
      </c>
    </row>
    <row r="84" spans="1:59" ht="18.75" customHeight="1">
      <c r="A84" s="152"/>
      <c r="B84" s="152" t="s">
        <v>1390</v>
      </c>
      <c r="C84" s="152" t="s">
        <v>1790</v>
      </c>
      <c r="D84" s="152"/>
      <c r="E84" s="152"/>
      <c r="F84" s="152"/>
      <c r="G84" s="356">
        <f>SUMIFS(在庫確認!C:C,在庫確認!B:B,'在庫使用計画 (計画　予測)'!C:C)</f>
        <v>0</v>
      </c>
      <c r="H84" s="45"/>
      <c r="I84" s="356"/>
      <c r="J84" s="1106"/>
      <c r="K84" s="45">
        <v>0</v>
      </c>
      <c r="L84" s="45">
        <v>0</v>
      </c>
      <c r="M84" s="45">
        <v>0</v>
      </c>
      <c r="N84" s="45">
        <v>0</v>
      </c>
      <c r="O84" s="45">
        <v>640.33447175811102</v>
      </c>
      <c r="P84" s="45">
        <v>769.88455817704255</v>
      </c>
      <c r="Q84" s="388">
        <v>1046.1595314319575</v>
      </c>
      <c r="R84" s="836">
        <v>675.70663994021902</v>
      </c>
      <c r="S84" s="45">
        <v>618.37814869187605</v>
      </c>
      <c r="T84" s="45">
        <v>752</v>
      </c>
      <c r="U84" s="45">
        <v>832</v>
      </c>
      <c r="V84" s="45">
        <v>1215</v>
      </c>
      <c r="W84" s="45">
        <v>1415</v>
      </c>
      <c r="X84" s="45">
        <v>1020</v>
      </c>
      <c r="Y84" s="45">
        <v>1862</v>
      </c>
      <c r="Z84" s="45">
        <v>1096</v>
      </c>
      <c r="AA84" s="45">
        <v>904</v>
      </c>
      <c r="AB84" s="45">
        <v>1127</v>
      </c>
      <c r="AC84" s="807">
        <v>1221</v>
      </c>
      <c r="AD84" s="418">
        <v>963</v>
      </c>
      <c r="AE84" s="225">
        <v>1320</v>
      </c>
      <c r="AF84" s="225">
        <v>1224.712489522213</v>
      </c>
      <c r="AG84" s="225">
        <v>1187</v>
      </c>
      <c r="AH84" s="798">
        <v>960.38888888888891</v>
      </c>
      <c r="AI84" s="806">
        <v>711</v>
      </c>
      <c r="AJ84" s="225">
        <v>762.25635528330736</v>
      </c>
      <c r="AK84" s="225">
        <v>950.12388973966301</v>
      </c>
      <c r="AL84" s="225">
        <v>907.60258446738442</v>
      </c>
      <c r="AM84" s="225">
        <f ca="1">SUM(_xlfn.XLOOKUP($C84,'在庫使用計画 (一般)'!$C:$C,OFFSET('在庫使用計画 (一般)'!$A:$A,0,_xlfn.XMATCH(AM1,'在庫使用計画 (一般)'!1:1)-1)),_xlfn.XLOOKUP($C84,'在庫使用計画 (法人)'!$C:$C,OFFSET('在庫使用計画 (法人)'!$A:$A,0,_xlfn.XMATCH(AM1,'在庫使用計画 (法人)'!1:1)-1)))</f>
        <v>980.531393568147</v>
      </c>
      <c r="AN84" s="798">
        <f ca="1">SUM(_xlfn.XLOOKUP($C84,'在庫使用計画 (一般)'!$C:$C,OFFSET('在庫使用計画 (一般)'!$A:$A,0,_xlfn.XMATCH(AN1,'在庫使用計画 (一般)'!1:1)-1)),_xlfn.XLOOKUP($C84,'在庫使用計画 (法人)'!$C:$C,OFFSET('在庫使用計画 (法人)'!$A:$A,0,_xlfn.XMATCH(AN1,'在庫使用計画 (法人)'!1:1)-1)))</f>
        <v>750.07396652501268</v>
      </c>
      <c r="AO84" s="798">
        <f ca="1">SUM(_xlfn.XLOOKUP($C84,'在庫使用計画 (一般)'!$C:$C,OFFSET('在庫使用計画 (一般)'!$A:$A,0,_xlfn.XMATCH(AO1,'在庫使用計画 (一般)'!1:1)-1)),_xlfn.XLOOKUP($C84,'在庫使用計画 (法人)'!$C:$C,OFFSET('在庫使用計画 (法人)'!$A:$A,0,_xlfn.XMATCH(AO1,'在庫使用計画 (法人)'!1:1)-1)))</f>
        <v>701.12055437428353</v>
      </c>
      <c r="AP84" s="225">
        <f ca="1">SUM(_xlfn.XLOOKUP($C84,'在庫使用計画 (一般)'!$C:$C,OFFSET('在庫使用計画 (一般)'!$A:$A,0,_xlfn.XMATCH(AP1,'在庫使用計画 (一般)'!1:1)-1)),_xlfn.XLOOKUP($C84,'在庫使用計画 (法人)'!$C:$C,OFFSET('在庫使用計画 (法人)'!$A:$A,0,_xlfn.XMATCH(AP1,'在庫使用計画 (法人)'!1:1)-1)))</f>
        <v>566.42822016674279</v>
      </c>
      <c r="AQ84" s="2116">
        <f ca="1">SUM(_xlfn.XLOOKUP($C84,'在庫使用計画 (一般)'!$C:$C,OFFSET('在庫使用計画 (一般)'!$A:$A,0,_xlfn.XMATCH(AQ1,'在庫使用計画 (一般)'!1:1)-1)),_xlfn.XLOOKUP($C84,'在庫使用計画 (法人)'!$C:$C,OFFSET('在庫使用計画 (法人)'!$A:$A,0,_xlfn.XMATCH(AQ1,'在庫使用計画 (法人)'!1:1)-1)))</f>
        <v>689.53613146091107</v>
      </c>
      <c r="AR84" s="2132">
        <f ca="1">SUM(_xlfn.XLOOKUP($C84,'在庫使用計画 (一般)'!$C:$C,OFFSET('在庫使用計画 (一般)'!$A:$A,0,_xlfn.XMATCH(AR1,'在庫使用計画 (一般)'!1:1)-1)),_xlfn.XLOOKUP($C84,'在庫使用計画 (法人)'!$C:$C,OFFSET('在庫使用計画 (法人)'!$A:$A,0,_xlfn.XMATCH(AR1,'在庫使用計画 (法人)'!1:1)-1)))</f>
        <v>875.12109289363275</v>
      </c>
      <c r="AS84" s="418">
        <f ca="1">SUM(_xlfn.XLOOKUP($C84,'在庫使用計画 (一般)'!$C:$C,OFFSET('在庫使用計画 (一般)'!$A:$A,0,_xlfn.XMATCH(AS1,'在庫使用計画 (一般)'!1:1)-1)),_xlfn.XLOOKUP($C84,'在庫使用計画 (法人)'!$C:$C,OFFSET('在庫使用計画 (法人)'!$A:$A,0,_xlfn.XMATCH(AS1,'在庫使用計画 (法人)'!1:1)-1)))</f>
        <v>867.67240292239444</v>
      </c>
      <c r="AT84" s="807">
        <f ca="1">SUM(_xlfn.XLOOKUP($C84,'在庫使用計画 (一般)'!$C:$C,OFFSET('在庫使用計画 (一般)'!$A:$A,0,_xlfn.XMATCH(AT1,'在庫使用計画 (一般)'!1:1)-1)),_xlfn.XLOOKUP($C84,'在庫使用計画 (法人)'!$C:$C,OFFSET('在庫使用計画 (法人)'!$A:$A,0,_xlfn.XMATCH(AT1,'在庫使用計画 (法人)'!1:1)-1)))</f>
        <v>1306.5866748127835</v>
      </c>
      <c r="AU84" s="806">
        <f ca="1">SUM(_xlfn.XLOOKUP($C84,'在庫使用計画 (一般)'!$C:$C,OFFSET('在庫使用計画 (一般)'!$A:$A,0,_xlfn.XMATCH(AU1,'在庫使用計画 (一般)'!1:1)-1)),_xlfn.XLOOKUP($C84,'在庫使用計画 (法人)'!$C:$C,OFFSET('在庫使用計画 (法人)'!$A:$A,0,_xlfn.XMATCH(AU1,'在庫使用計画 (法人)'!1:1)-1)))</f>
        <v>1130.3149705589944</v>
      </c>
      <c r="AV84" s="225">
        <f ca="1">SUM(_xlfn.XLOOKUP($C84,'在庫使用計画 (一般)'!$C:$C,OFFSET('在庫使用計画 (一般)'!$A:$A,0,_xlfn.XMATCH(AV1,'在庫使用計画 (一般)'!1:1)-1)),_xlfn.XLOOKUP($C84,'在庫使用計画 (法人)'!$C:$C,OFFSET('在庫使用計画 (法人)'!$A:$A,0,_xlfn.XMATCH(AV1,'在庫使用計画 (法人)'!1:1)-1)))</f>
        <v>983.91951117796282</v>
      </c>
      <c r="AW84" s="225">
        <f ca="1">SUM(_xlfn.XLOOKUP($C84,'在庫使用計画 (一般)'!$C:$C,OFFSET('在庫使用計画 (一般)'!$A:$A,0,_xlfn.XMATCH(AW1,'在庫使用計画 (一般)'!1:1)-1)),_xlfn.XLOOKUP($C84,'在庫使用計画 (法人)'!$C:$C,OFFSET('在庫使用計画 (法人)'!$A:$A,0,_xlfn.XMATCH(AW1,'在庫使用計画 (法人)'!1:1)-1)))</f>
        <v>1455.6484475205659</v>
      </c>
      <c r="AX84" s="225">
        <f ca="1">SUM(_xlfn.XLOOKUP($C84,'在庫使用計画 (一般)'!$C:$C,OFFSET('在庫使用計画 (一般)'!$A:$A,0,_xlfn.XMATCH(AX1,'在庫使用計画 (一般)'!1:1)-1)),_xlfn.XLOOKUP($C84,'在庫使用計画 (法人)'!$C:$C,OFFSET('在庫使用計画 (法人)'!$A:$A,0,_xlfn.XMATCH(AX1,'在庫使用計画 (法人)'!1:1)-1)))</f>
        <v>241</v>
      </c>
      <c r="AY84" s="225">
        <f ca="1">SUM(_xlfn.XLOOKUP($C84,'在庫使用計画 (一般)'!$C:$C,OFFSET('在庫使用計画 (一般)'!$A:$A,0,_xlfn.XMATCH(AY1,'在庫使用計画 (一般)'!1:1)-1)),_xlfn.XLOOKUP($C84,'在庫使用計画 (法人)'!$C:$C,OFFSET('在庫使用計画 (法人)'!$A:$A,0,_xlfn.XMATCH(AY1,'在庫使用計画 (法人)'!1:1)-1)))</f>
        <v>201</v>
      </c>
      <c r="AZ84" s="225">
        <f ca="1">SUM(_xlfn.XLOOKUP($C84,'在庫使用計画 (一般)'!$C:$C,OFFSET('在庫使用計画 (一般)'!$A:$A,0,_xlfn.XMATCH(AZ1,'在庫使用計画 (一般)'!1:1)-1)),_xlfn.XLOOKUP($C84,'在庫使用計画 (法人)'!$C:$C,OFFSET('在庫使用計画 (法人)'!$A:$A,0,_xlfn.XMATCH(AZ1,'在庫使用計画 (法人)'!1:1)-1)))</f>
        <v>182</v>
      </c>
      <c r="BA84" s="225">
        <f ca="1">SUM(_xlfn.XLOOKUP($C84,'在庫使用計画 (一般)'!$C:$C,OFFSET('在庫使用計画 (一般)'!$A:$A,0,_xlfn.XMATCH(BA1,'在庫使用計画 (一般)'!1:1)-1)),_xlfn.XLOOKUP($C84,'在庫使用計画 (法人)'!$C:$C,OFFSET('在庫使用計画 (法人)'!$A:$A,0,_xlfn.XMATCH(BA1,'在庫使用計画 (法人)'!1:1)-1)))</f>
        <v>182</v>
      </c>
      <c r="BB84" s="225">
        <f ca="1">SUM(_xlfn.XLOOKUP($C84,'在庫使用計画 (一般)'!$C:$C,OFFSET('在庫使用計画 (一般)'!$A:$A,0,_xlfn.XMATCH(BB1,'在庫使用計画 (一般)'!1:1)-1)),_xlfn.XLOOKUP($C84,'在庫使用計画 (法人)'!$C:$C,OFFSET('在庫使用計画 (法人)'!$A:$A,0,_xlfn.XMATCH(BB1,'在庫使用計画 (法人)'!1:1)-1)))</f>
        <v>282</v>
      </c>
      <c r="BC84" s="225">
        <f ca="1">SUM(_xlfn.XLOOKUP($C84,'在庫使用計画 (一般)'!$C:$C,OFFSET('在庫使用計画 (一般)'!$A:$A,0,_xlfn.XMATCH(BC1,'在庫使用計画 (一般)'!1:1)-1)),_xlfn.XLOOKUP($C84,'在庫使用計画 (法人)'!$C:$C,OFFSET('在庫使用計画 (法人)'!$A:$A,0,_xlfn.XMATCH(BC1,'在庫使用計画 (法人)'!1:1)-1)))</f>
        <v>0</v>
      </c>
      <c r="BD84" s="225">
        <f ca="1">SUM(_xlfn.XLOOKUP($C84,'在庫使用計画 (一般)'!$C:$C,OFFSET('在庫使用計画 (一般)'!$A:$A,0,_xlfn.XMATCH(BD1,'在庫使用計画 (一般)'!1:1)-1)),_xlfn.XLOOKUP($C84,'在庫使用計画 (法人)'!$C:$C,OFFSET('在庫使用計画 (法人)'!$A:$A,0,_xlfn.XMATCH(BD1,'在庫使用計画 (法人)'!1:1)-1)))</f>
        <v>0</v>
      </c>
      <c r="BE84" s="225">
        <f ca="1">SUM(_xlfn.XLOOKUP($C84,'在庫使用計画 (一般)'!$C:$C,OFFSET('在庫使用計画 (一般)'!$A:$A,0,_xlfn.XMATCH(BE1,'在庫使用計画 (一般)'!1:1)-1)),_xlfn.XLOOKUP($C84,'在庫使用計画 (法人)'!$C:$C,OFFSET('在庫使用計画 (法人)'!$A:$A,0,_xlfn.XMATCH(BE1,'在庫使用計画 (法人)'!1:1)-1)))</f>
        <v>0</v>
      </c>
      <c r="BF84" s="807">
        <f ca="1">SUM(_xlfn.XLOOKUP($C84,'在庫使用計画 (一般)'!$C:$C,OFFSET('在庫使用計画 (一般)'!$A:$A,0,_xlfn.XMATCH(BF1,'在庫使用計画 (一般)'!1:1)-1)),_xlfn.XLOOKUP($C84,'在庫使用計画 (法人)'!$C:$C,OFFSET('在庫使用計画 (法人)'!$A:$A,0,_xlfn.XMATCH(BF1,'在庫使用計画 (法人)'!1:1)-1)))</f>
        <v>0</v>
      </c>
    </row>
    <row r="85" spans="1:59" ht="18.75" customHeight="1">
      <c r="A85" s="446"/>
      <c r="B85" s="446"/>
      <c r="C85" s="446" t="s">
        <v>1648</v>
      </c>
      <c r="D85" s="538"/>
      <c r="E85" s="538"/>
      <c r="F85" s="538"/>
      <c r="G85" s="539"/>
      <c r="H85" s="448"/>
      <c r="I85" s="539"/>
      <c r="J85" s="1107"/>
      <c r="K85" s="448"/>
      <c r="L85" s="448"/>
      <c r="M85" s="448"/>
      <c r="N85" s="448"/>
      <c r="O85" s="448"/>
      <c r="P85" s="448"/>
      <c r="Q85" s="540"/>
      <c r="R85" s="900"/>
      <c r="S85" s="448"/>
      <c r="T85" s="448"/>
      <c r="U85" s="448"/>
      <c r="V85" s="540"/>
      <c r="W85" s="1355"/>
      <c r="X85" s="1355"/>
      <c r="Y85" s="1355"/>
      <c r="Z85" s="1355"/>
      <c r="AA85" s="448"/>
      <c r="AB85" s="448"/>
      <c r="AC85" s="899">
        <v>1025</v>
      </c>
      <c r="AD85" s="1290">
        <v>1386</v>
      </c>
      <c r="AE85" s="453">
        <v>1243</v>
      </c>
      <c r="AF85" s="453">
        <v>1202</v>
      </c>
      <c r="AG85" s="453">
        <v>625</v>
      </c>
      <c r="AH85" s="890">
        <v>1107</v>
      </c>
      <c r="AI85" s="898">
        <v>724</v>
      </c>
      <c r="AJ85" s="453">
        <v>405</v>
      </c>
      <c r="AK85" s="453">
        <v>670</v>
      </c>
      <c r="AL85" s="453">
        <v>715</v>
      </c>
      <c r="AM85" s="453">
        <f>IFERROR(IF(SUM(INDEX('在庫使用計画 (全体実績+予測）0701'!$A$1:$ZY$522,MATCH($C85,'在庫使用計画 (全体実績+予測）0701'!$C$1:$C$522,0),MATCH(AM$1,'在庫使用計画 (全体実績+予測）0701'!$A$1:$ZY$1,0)))=0,"",SUM(INDEX('在庫使用計画 (全体実績+予測）0701'!$A$1:$ZY$522,MATCH($C85,'在庫使用計画 (全体実績+予測）0701'!$C$1:$C$522,0),MATCH(AM$1,'在庫使用計画 (全体実績+予測）0701'!$A$1:$ZY$1,0)))),"")</f>
        <v>1178</v>
      </c>
      <c r="AN85" s="890">
        <f>IFERROR(IF(SUM(INDEX('在庫使用計画 (全体実績+予測）0701'!$A$1:$ZY$522,MATCH($C85,'在庫使用計画 (全体実績+予測）0701'!$C$1:$C$522,0),MATCH(AN$1,'在庫使用計画 (全体実績+予測）0701'!$A$1:$ZY$1,0)))=0,"",SUM(INDEX('在庫使用計画 (全体実績+予測）0701'!$A$1:$ZY$522,MATCH($C85,'在庫使用計画 (全体実績+予測）0701'!$C$1:$C$522,0),MATCH(AN$1,'在庫使用計画 (全体実績+予測）0701'!$A$1:$ZY$1,0)))),"")</f>
        <v>761.85714285714289</v>
      </c>
      <c r="AO85" s="890">
        <f>IFERROR(IF(SUM(INDEX('在庫使用計画 (全体実績+予測）0701'!$A$1:$ZY$522,MATCH($C85,'在庫使用計画 (全体実績+予測）0701'!$C$1:$C$522,0),MATCH(AO$1,'在庫使用計画 (全体実績+予測）0701'!$A$1:$ZY$1,0)))=0,"",SUM(INDEX('在庫使用計画 (全体実績+予測）0701'!$A$1:$ZY$522,MATCH($C85,'在庫使用計画 (全体実績+予測）0701'!$C$1:$C$522,0),MATCH(AO$1,'在庫使用計画 (全体実績+予測）0701'!$A$1:$ZY$1,0)))),"")</f>
        <v>748.39880944385288</v>
      </c>
      <c r="AP85" s="453">
        <f>IFERROR(IF(SUM(INDEX('在庫使用計画 (全体実績+予測）0701'!$A$1:$ZY$522,MATCH($C85,'在庫使用計画 (全体実績+予測）0701'!$C$1:$C$522,0),MATCH(AP$1,'在庫使用計画 (全体実績+予測）0701'!$A$1:$ZY$1,0)))=0,"",SUM(INDEX('在庫使用計画 (全体実績+予測）0701'!$A$1:$ZY$522,MATCH($C85,'在庫使用計画 (全体実績+予測）0701'!$C$1:$C$522,0),MATCH(AP$1,'在庫使用計画 (全体実績+予測）0701'!$A$1:$ZY$1,0)))),"")</f>
        <v>791.59003408525723</v>
      </c>
      <c r="AQ85" s="2117">
        <f>IFERROR(IF(SUM(INDEX('在庫使用計画 (全体実績+予測）0701'!$A$1:$ZY$522,MATCH($C85,'在庫使用計画 (全体実績+予測）0701'!$C$1:$C$522,0),MATCH(AQ$1,'在庫使用計画 (全体実績+予測）0701'!$A$1:$ZY$1,0)))=0,"",SUM(INDEX('在庫使用計画 (全体実績+予測）0701'!$A$1:$ZY$522,MATCH($C85,'在庫使用計画 (全体実績+予測）0701'!$C$1:$C$522,0),MATCH(AQ$1,'在庫使用計画 (全体実績+予測）0701'!$A$1:$ZY$1,0)))),"")</f>
        <v>855.52168147833981</v>
      </c>
      <c r="AR85" s="2133">
        <f>IFERROR(IF(SUM(INDEX('在庫使用計画 (全体実績+予測）0701'!$A$1:$ZY$522,MATCH($C85,'在庫使用計画 (全体実績+予測）0701'!$C$1:$C$522,0),MATCH(AR$1,'在庫使用計画 (全体実績+予測）0701'!$A$1:$ZY$1,0)))=0,"",SUM(INDEX('在庫使用計画 (全体実績+予測）0701'!$A$1:$ZY$522,MATCH($C85,'在庫使用計画 (全体実績+予測）0701'!$C$1:$C$522,0),MATCH(AR$1,'在庫使用計画 (全体実績+予測）0701'!$A$1:$ZY$1,0)))),"")</f>
        <v>863.93955268990533</v>
      </c>
      <c r="AS85" s="1290">
        <f>IFERROR(IF(SUM(INDEX('在庫使用計画 (全体実績+予測）0701'!$A$1:$ZY$522,MATCH($C85,'在庫使用計画 (全体実績+予測）0701'!$C$1:$C$522,0),MATCH(AS$1,'在庫使用計画 (全体実績+予測）0701'!$A$1:$ZY$1,0)))=0,"",SUM(INDEX('在庫使用計画 (全体実績+予測）0701'!$A$1:$ZY$522,MATCH($C85,'在庫使用計画 (全体実績+予測）0701'!$C$1:$C$522,0),MATCH(AS$1,'在庫使用計画 (全体実績+予測）0701'!$A$1:$ZY$1,0)))),"")</f>
        <v>872.02004749046591</v>
      </c>
      <c r="AT85" s="899">
        <f>IFERROR(IF(SUM(INDEX('在庫使用計画 (全体実績+予測）0701'!$A$1:$ZY$522,MATCH($C85,'在庫使用計画 (全体実績+予測）0701'!$C$1:$C$522,0),MATCH(AT$1,'在庫使用計画 (全体実績+予測）0701'!$A$1:$ZY$1,0)))=0,"",SUM(INDEX('在庫使用計画 (全体実績+予測）0701'!$A$1:$ZY$522,MATCH($C85,'在庫使用計画 (全体実績+予測）0701'!$C$1:$C$522,0),MATCH(AT$1,'在庫使用計画 (全体実績+予測）0701'!$A$1:$ZY$1,0)))),"")</f>
        <v>1370.5616751260923</v>
      </c>
      <c r="AU85" s="898">
        <f>IFERROR(IF(SUM(INDEX('在庫使用計画 (全体実績+予測）0701'!$A$1:$ZY$522,MATCH($C85,'在庫使用計画 (全体実績+予測）0701'!$C$1:$C$522,0),MATCH(AU$1,'在庫使用計画 (全体実績+予測）0701'!$A$1:$ZY$1,0)))=0,"",SUM(INDEX('在庫使用計画 (全体実績+予測）0701'!$A$1:$ZY$522,MATCH($C85,'在庫使用計画 (全体実績+予測）0701'!$C$1:$C$522,0),MATCH(AU$1,'在庫使用計画 (全体実績+予測）0701'!$A$1:$ZY$1,0)))),"")</f>
        <v>1159.2247409360132</v>
      </c>
      <c r="AV85" s="453">
        <f>IFERROR(IF(SUM(INDEX('在庫使用計画 (全体実績+予測）0701'!$A$1:$ZY$522,MATCH($C85,'在庫使用計画 (全体実績+予測）0701'!$C$1:$C$522,0),MATCH(AV$1,'在庫使用計画 (全体実績+予測）0701'!$A$1:$ZY$1,0)))=0,"",SUM(INDEX('在庫使用計画 (全体実績+予測）0701'!$A$1:$ZY$522,MATCH($C85,'在庫使用計画 (全体実績+予測）0701'!$C$1:$C$522,0),MATCH(AV$1,'在庫使用計画 (全体実績+予測）0701'!$A$1:$ZY$1,0)))),"")</f>
        <v>766.43251569551194</v>
      </c>
      <c r="AW85" s="453">
        <f>IFERROR(IF(SUM(INDEX('在庫使用計画 (全体実績+予測）0701'!$A$1:$ZY$522,MATCH($C85,'在庫使用計画 (全体実績+予測）0701'!$C$1:$C$522,0),MATCH(AW$1,'在庫使用計画 (全体実績+予測）0701'!$A$1:$ZY$1,0)))=0,"",SUM(INDEX('在庫使用計画 (全体実績+予測）0701'!$A$1:$ZY$522,MATCH($C85,'在庫使用計画 (全体実績+予測）0701'!$C$1:$C$522,0),MATCH(AW$1,'在庫使用計画 (全体実績+予測）0701'!$A$1:$ZY$1,0)))),"")</f>
        <v>1146.9437176055187</v>
      </c>
      <c r="AX85" s="453">
        <f>IFERROR(IF(SUM(INDEX('在庫使用計画 (全体実績+予測）0701'!$A$1:$ZY$522,MATCH($C85,'在庫使用計画 (全体実績+予測）0701'!$C$1:$C$522,0),MATCH(AX$1,'在庫使用計画 (全体実績+予測）0701'!$A$1:$ZY$1,0)))=0,"",SUM(INDEX('在庫使用計画 (全体実績+予測）0701'!$A$1:$ZY$522,MATCH($C85,'在庫使用計画 (全体実績+予測）0701'!$C$1:$C$522,0),MATCH(AX$1,'在庫使用計画 (全体実績+予測）0701'!$A$1:$ZY$1,0)))),"")</f>
        <v>857.22619934132092</v>
      </c>
      <c r="AY85" s="453">
        <f>IFERROR(IF(SUM(INDEX('在庫使用計画 (全体実績+予測）0701'!$A$1:$ZY$522,MATCH($C85,'在庫使用計画 (全体実績+予測）0701'!$C$1:$C$522,0),MATCH(AY$1,'在庫使用計画 (全体実績+予測）0701'!$A$1:$ZY$1,0)))=0,"",SUM(INDEX('在庫使用計画 (全体実績+予測）0701'!$A$1:$ZY$522,MATCH($C85,'在庫使用計画 (全体実績+予測）0701'!$C$1:$C$522,0),MATCH(AY$1,'在庫使用計画 (全体実績+予測）0701'!$A$1:$ZY$1,0)))),"")</f>
        <v>724.9549913166959</v>
      </c>
      <c r="AZ85" s="453">
        <f>IFERROR(IF(SUM(INDEX('在庫使用計画 (全体実績+予測）0701'!$A$1:$ZY$522,MATCH($C85,'在庫使用計画 (全体実績+予測）0701'!$C$1:$C$522,0),MATCH(AZ$1,'在庫使用計画 (全体実績+予測）0701'!$A$1:$ZY$1,0)))=0,"",SUM(INDEX('在庫使用計画 (全体実績+予測）0701'!$A$1:$ZY$522,MATCH($C85,'在庫使用計画 (全体実績+予測）0701'!$C$1:$C$522,0),MATCH(AZ$1,'在庫使用計画 (全体実績+予測）0701'!$A$1:$ZY$1,0)))),"")</f>
        <v>761.85714285714289</v>
      </c>
      <c r="BA85" s="453">
        <f>IFERROR(IF(SUM(INDEX('在庫使用計画 (全体実績+予測）0701'!$A$1:$ZY$522,MATCH($C85,'在庫使用計画 (全体実績+予測）0701'!$C$1:$C$522,0),MATCH(BA$1,'在庫使用計画 (全体実績+予測）0701'!$A$1:$ZY$1,0)))=0,"",SUM(INDEX('在庫使用計画 (全体実績+予測）0701'!$A$1:$ZY$522,MATCH($C85,'在庫使用計画 (全体実績+予測）0701'!$C$1:$C$522,0),MATCH(BA$1,'在庫使用計画 (全体実績+予測）0701'!$A$1:$ZY$1,0)))),"")</f>
        <v>748.39880944385288</v>
      </c>
      <c r="BB85" s="453">
        <f>IFERROR(IF(SUM(INDEX('在庫使用計画 (全体実績+予測）0701'!$A$1:$ZY$522,MATCH($C85,'在庫使用計画 (全体実績+予測）0701'!$C$1:$C$522,0),MATCH(BB$1,'在庫使用計画 (全体実績+予測）0701'!$A$1:$ZY$1,0)))=0,"",SUM(INDEX('在庫使用計画 (全体実績+予測）0701'!$A$1:$ZY$522,MATCH($C85,'在庫使用計画 (全体実績+予測）0701'!$C$1:$C$522,0),MATCH(BB$1,'在庫使用計画 (全体実績+予測）0701'!$A$1:$ZY$1,0)))),"")</f>
        <v>791.59003408525723</v>
      </c>
      <c r="BC85" s="453">
        <f>IFERROR(IF(SUM(INDEX('在庫使用計画 (全体実績+予測）0701'!$A$1:$ZY$522,MATCH($C85,'在庫使用計画 (全体実績+予測）0701'!$C$1:$C$522,0),MATCH(BC$1,'在庫使用計画 (全体実績+予測）0701'!$A$1:$ZY$1,0)))=0,"",SUM(INDEX('在庫使用計画 (全体実績+予測）0701'!$A$1:$ZY$522,MATCH($C85,'在庫使用計画 (全体実績+予測）0701'!$C$1:$C$522,0),MATCH(BC$1,'在庫使用計画 (全体実績+予測）0701'!$A$1:$ZY$1,0)))),"")</f>
        <v>855.52168147833981</v>
      </c>
      <c r="BD85" s="453">
        <f>IFERROR(IF(SUM(INDEX('在庫使用計画 (全体実績+予測）0701'!$A$1:$ZY$522,MATCH($C85,'在庫使用計画 (全体実績+予測）0701'!$C$1:$C$522,0),MATCH(BD$1,'在庫使用計画 (全体実績+予測）0701'!$A$1:$ZY$1,0)))=0,"",SUM(INDEX('在庫使用計画 (全体実績+予測）0701'!$A$1:$ZY$522,MATCH($C85,'在庫使用計画 (全体実績+予測）0701'!$C$1:$C$522,0),MATCH(BD$1,'在庫使用計画 (全体実績+予測）0701'!$A$1:$ZY$1,0)))),"")</f>
        <v>863.93955268990521</v>
      </c>
      <c r="BE85" s="453">
        <f>IFERROR(IF(SUM(INDEX('在庫使用計画 (全体実績+予測）0701'!$A$1:$ZY$522,MATCH($C85,'在庫使用計画 (全体実績+予測）0701'!$C$1:$C$522,0),MATCH(BE$1,'在庫使用計画 (全体実績+予測）0701'!$A$1:$ZY$1,0)))=0,"",SUM(INDEX('在庫使用計画 (全体実績+予測）0701'!$A$1:$ZY$522,MATCH($C85,'在庫使用計画 (全体実績+予測）0701'!$C$1:$C$522,0),MATCH(BE$1,'在庫使用計画 (全体実績+予測）0701'!$A$1:$ZY$1,0)))),"")</f>
        <v>872.02004749046591</v>
      </c>
      <c r="BF85" s="899">
        <f>IFERROR(IF(SUM(INDEX('在庫使用計画 (全体実績+予測）0701'!$A$1:$ZY$522,MATCH($C85,'在庫使用計画 (全体実績+予測）0701'!$C$1:$C$522,0),MATCH(BF$1,'在庫使用計画 (全体実績+予測）0701'!$A$1:$ZY$1,0)))=0,"",SUM(INDEX('在庫使用計画 (全体実績+予測）0701'!$A$1:$ZY$522,MATCH($C85,'在庫使用計画 (全体実績+予測）0701'!$C$1:$C$522,0),MATCH(BF$1,'在庫使用計画 (全体実績+予測）0701'!$A$1:$ZY$1,0)))),"")</f>
        <v>1370.5616751260923</v>
      </c>
    </row>
    <row r="86" spans="1:59" ht="18.75" customHeight="1">
      <c r="A86" s="541"/>
      <c r="B86" s="542" t="s">
        <v>1392</v>
      </c>
      <c r="C86" s="543"/>
      <c r="D86" s="191"/>
      <c r="E86" s="152"/>
      <c r="F86" s="152"/>
      <c r="G86" s="45"/>
      <c r="H86" s="45"/>
      <c r="I86" s="45"/>
      <c r="J86" s="1108"/>
      <c r="K86" s="185"/>
      <c r="L86" s="185"/>
      <c r="M86" s="185"/>
      <c r="N86" s="185"/>
      <c r="O86" s="185"/>
      <c r="P86" s="185"/>
      <c r="Q86" s="1326"/>
      <c r="R86" s="1363"/>
      <c r="S86" s="230"/>
      <c r="T86" s="230"/>
      <c r="U86" s="230"/>
      <c r="V86" s="230"/>
      <c r="W86" s="226"/>
      <c r="X86" s="226"/>
      <c r="Y86" s="199"/>
      <c r="Z86" s="243"/>
      <c r="AA86" s="199"/>
      <c r="AB86" s="322"/>
      <c r="AC86" s="840"/>
      <c r="AD86" s="1291"/>
      <c r="AE86" s="322"/>
      <c r="AF86" s="322"/>
      <c r="AG86" s="322"/>
      <c r="AH86" s="821"/>
      <c r="AI86" s="837"/>
      <c r="AJ86" s="322"/>
      <c r="AK86" s="322"/>
      <c r="AL86" s="322"/>
      <c r="AM86" s="322"/>
      <c r="AN86" s="821"/>
      <c r="AO86" s="821"/>
      <c r="AP86" s="322"/>
      <c r="AQ86" s="2118"/>
      <c r="AR86" s="2134"/>
      <c r="AS86" s="1291"/>
      <c r="AT86" s="840"/>
      <c r="AU86" s="837"/>
      <c r="AV86" s="322"/>
      <c r="AW86" s="322"/>
      <c r="AX86" s="322"/>
      <c r="AY86" s="322"/>
      <c r="AZ86" s="322"/>
      <c r="BA86" s="322"/>
      <c r="BB86" s="322"/>
      <c r="BC86" s="322"/>
      <c r="BD86" s="322"/>
      <c r="BE86" s="322"/>
      <c r="BF86" s="840"/>
    </row>
    <row r="87" spans="1:59" ht="18.75" customHeight="1">
      <c r="A87" s="544"/>
      <c r="B87" s="364" t="s">
        <v>1393</v>
      </c>
      <c r="C87" s="364" t="s">
        <v>1791</v>
      </c>
      <c r="D87" s="364"/>
      <c r="E87" s="364"/>
      <c r="F87" s="364"/>
      <c r="G87" s="545">
        <f>SUMIFS(在庫確認!C:C,在庫確認!B:B,'在庫使用計画 (計画　予測)'!C:C)</f>
        <v>0</v>
      </c>
      <c r="H87" s="365"/>
      <c r="I87" s="545"/>
      <c r="J87" s="1110"/>
      <c r="K87" s="365">
        <v>5</v>
      </c>
      <c r="L87" s="365">
        <v>10</v>
      </c>
      <c r="M87" s="365">
        <v>10</v>
      </c>
      <c r="N87" s="365">
        <v>5</v>
      </c>
      <c r="O87" s="365">
        <v>983.12210963044743</v>
      </c>
      <c r="P87" s="365">
        <v>1592.5555605362711</v>
      </c>
      <c r="Q87" s="1129">
        <v>1908.2197933529615</v>
      </c>
      <c r="R87" s="1364">
        <v>1404.1201873512448</v>
      </c>
      <c r="S87" s="365">
        <v>1439.0076956012917</v>
      </c>
      <c r="T87" s="365">
        <v>1492.5685686818651</v>
      </c>
      <c r="U87" s="365">
        <v>1955.3042173327076</v>
      </c>
      <c r="V87" s="365">
        <v>2391.2090970965855</v>
      </c>
      <c r="W87" s="365">
        <v>1415</v>
      </c>
      <c r="X87" s="365">
        <v>1020</v>
      </c>
      <c r="Y87" s="365">
        <v>1862</v>
      </c>
      <c r="Z87" s="365">
        <v>1096</v>
      </c>
      <c r="AA87" s="365">
        <v>904</v>
      </c>
      <c r="AB87" s="365">
        <v>1127</v>
      </c>
      <c r="AC87" s="1365">
        <v>4193.0680871626046</v>
      </c>
      <c r="AD87" s="1293">
        <v>3912.5363309463437</v>
      </c>
      <c r="AE87" s="45">
        <v>4843.9828439110097</v>
      </c>
      <c r="AF87" s="45">
        <v>4582.2534028460614</v>
      </c>
      <c r="AG87" s="45">
        <v>3947.8672594692298</v>
      </c>
      <c r="AH87" s="388">
        <v>3701.333333333333</v>
      </c>
      <c r="AI87" s="836">
        <v>2442.0192836145916</v>
      </c>
      <c r="AJ87" s="45">
        <v>3086.2511503988271</v>
      </c>
      <c r="AK87" s="45">
        <v>4614.027597888251</v>
      </c>
      <c r="AL87" s="45">
        <v>3620.1873114542973</v>
      </c>
      <c r="AM87" s="45">
        <f t="shared" ref="AM87:AT87" ca="1" si="13">AM46+AM84</f>
        <v>3221.531393568147</v>
      </c>
      <c r="AN87" s="388">
        <f t="shared" ca="1" si="13"/>
        <v>3122.6450593427003</v>
      </c>
      <c r="AO87" s="388">
        <f t="shared" ca="1" si="13"/>
        <v>3141.7978258727089</v>
      </c>
      <c r="AP87" s="45">
        <f t="shared" ca="1" si="13"/>
        <v>2989.7230377872811</v>
      </c>
      <c r="AQ87" s="2123">
        <f t="shared" ca="1" si="13"/>
        <v>2562.944234740095</v>
      </c>
      <c r="AR87" s="2139">
        <f t="shared" ca="1" si="13"/>
        <v>2505.8705006668051</v>
      </c>
      <c r="AS87" s="1293">
        <f t="shared" ca="1" si="13"/>
        <v>2601.2310429049658</v>
      </c>
      <c r="AT87" s="839">
        <f t="shared" ca="1" si="13"/>
        <v>3953.5384118161282</v>
      </c>
      <c r="AU87" s="836" t="e">
        <f t="shared" ref="AU87:BF87" ca="1" si="14">AU46+AU84</f>
        <v>#VALUE!</v>
      </c>
      <c r="AV87" s="45" t="e">
        <f t="shared" ca="1" si="14"/>
        <v>#VALUE!</v>
      </c>
      <c r="AW87" s="45" t="e">
        <f t="shared" ca="1" si="14"/>
        <v>#VALUE!</v>
      </c>
      <c r="AX87" s="45" t="e">
        <f t="shared" ca="1" si="14"/>
        <v>#VALUE!</v>
      </c>
      <c r="AY87" s="45" t="e">
        <f t="shared" ca="1" si="14"/>
        <v>#VALUE!</v>
      </c>
      <c r="AZ87" s="45" t="e">
        <f t="shared" ca="1" si="14"/>
        <v>#VALUE!</v>
      </c>
      <c r="BA87" s="45" t="e">
        <f t="shared" ca="1" si="14"/>
        <v>#VALUE!</v>
      </c>
      <c r="BB87" s="45" t="e">
        <f t="shared" ca="1" si="14"/>
        <v>#VALUE!</v>
      </c>
      <c r="BC87" s="45" t="e">
        <f t="shared" ca="1" si="14"/>
        <v>#VALUE!</v>
      </c>
      <c r="BD87" s="45" t="e">
        <f t="shared" ca="1" si="14"/>
        <v>#VALUE!</v>
      </c>
      <c r="BE87" s="45" t="e">
        <f t="shared" ca="1" si="14"/>
        <v>#VALUE!</v>
      </c>
      <c r="BF87" s="839" t="e">
        <f t="shared" ca="1" si="14"/>
        <v>#VALUE!</v>
      </c>
    </row>
    <row r="88" spans="1:59" ht="18.75" customHeight="1">
      <c r="A88" s="446"/>
      <c r="B88" s="446"/>
      <c r="C88" s="446" t="s">
        <v>1792</v>
      </c>
      <c r="D88" s="446"/>
      <c r="E88" s="446"/>
      <c r="F88" s="446"/>
      <c r="G88" s="539"/>
      <c r="H88" s="448"/>
      <c r="I88" s="539"/>
      <c r="J88" s="1107"/>
      <c r="K88" s="448"/>
      <c r="L88" s="448"/>
      <c r="M88" s="448"/>
      <c r="N88" s="448"/>
      <c r="O88" s="448"/>
      <c r="P88" s="448"/>
      <c r="Q88" s="540"/>
      <c r="R88" s="900"/>
      <c r="S88" s="448"/>
      <c r="T88" s="448"/>
      <c r="U88" s="448"/>
      <c r="V88" s="448"/>
      <c r="W88" s="448"/>
      <c r="X88" s="448"/>
      <c r="Y88" s="448"/>
      <c r="Z88" s="448"/>
      <c r="AA88" s="448"/>
      <c r="AB88" s="448"/>
      <c r="AC88" s="1366">
        <v>3894</v>
      </c>
      <c r="AD88" s="1337">
        <v>3647</v>
      </c>
      <c r="AE88" s="448">
        <v>3513</v>
      </c>
      <c r="AF88" s="448">
        <v>3756</v>
      </c>
      <c r="AG88" s="448">
        <v>2617</v>
      </c>
      <c r="AH88" s="540">
        <v>3950</v>
      </c>
      <c r="AI88" s="900">
        <v>2497</v>
      </c>
      <c r="AJ88" s="448">
        <v>2039</v>
      </c>
      <c r="AK88" s="448">
        <v>3131</v>
      </c>
      <c r="AL88" s="448">
        <v>2764</v>
      </c>
      <c r="AM88" s="448">
        <f t="shared" ref="AM88:AO88" si="15">IFERROR(AM47+AM85,"")</f>
        <v>3372</v>
      </c>
      <c r="AN88" s="540">
        <f t="shared" si="15"/>
        <v>3109.3571428571431</v>
      </c>
      <c r="AO88" s="540">
        <f t="shared" si="15"/>
        <v>3726.0687136975007</v>
      </c>
      <c r="AP88" s="451"/>
      <c r="AQ88" s="2121"/>
      <c r="AR88" s="2137"/>
      <c r="AS88" s="1292"/>
      <c r="AT88" s="897"/>
      <c r="AU88" s="900">
        <f t="shared" ref="AU88:BA88" si="16">IFERROR(AU47+AU85,"")</f>
        <v>3708.1902464483082</v>
      </c>
      <c r="AV88" s="448">
        <f t="shared" si="16"/>
        <v>3061.0018505659282</v>
      </c>
      <c r="AW88" s="448">
        <f t="shared" si="16"/>
        <v>4448.3649502621256</v>
      </c>
      <c r="AX88" s="448">
        <f t="shared" si="16"/>
        <v>3398.5226183600721</v>
      </c>
      <c r="AY88" s="448">
        <f t="shared" si="16"/>
        <v>2753.7175610988497</v>
      </c>
      <c r="AZ88" s="448">
        <f t="shared" si="16"/>
        <v>3109.3571428571431</v>
      </c>
      <c r="BA88" s="448">
        <f t="shared" si="16"/>
        <v>3726.0687136975002</v>
      </c>
      <c r="BB88" s="451"/>
      <c r="BC88" s="451"/>
      <c r="BD88" s="451"/>
      <c r="BE88" s="451"/>
      <c r="BF88" s="897"/>
    </row>
    <row r="89" spans="1:59" ht="18.75" customHeight="1" thickBot="1">
      <c r="A89" s="186"/>
      <c r="B89" s="187" t="s">
        <v>1394</v>
      </c>
      <c r="C89" s="188"/>
      <c r="D89" s="188"/>
      <c r="E89" s="187"/>
      <c r="F89" s="189"/>
      <c r="G89" s="202"/>
      <c r="H89" s="546"/>
      <c r="I89" s="546"/>
      <c r="J89" s="1111"/>
      <c r="K89" s="190">
        <v>4019</v>
      </c>
      <c r="L89" s="285">
        <v>3770</v>
      </c>
      <c r="M89" s="285">
        <v>5757</v>
      </c>
      <c r="N89" s="285">
        <v>4872</v>
      </c>
      <c r="O89" s="285">
        <v>3770</v>
      </c>
      <c r="P89" s="285">
        <v>4129</v>
      </c>
      <c r="Q89" s="1327">
        <v>3824</v>
      </c>
      <c r="R89" s="1367">
        <v>2919.1792034122345</v>
      </c>
      <c r="S89" s="197">
        <v>2806.02065373818</v>
      </c>
      <c r="T89" s="197">
        <v>2719.4458762311187</v>
      </c>
      <c r="U89" s="198">
        <v>2912.4680768635094</v>
      </c>
      <c r="V89" s="547">
        <v>4805.0358755231455</v>
      </c>
      <c r="W89" s="337">
        <v>4440.263414625133</v>
      </c>
      <c r="X89" s="547">
        <v>3200.305112035187</v>
      </c>
      <c r="Y89" s="548">
        <v>5548.5262228830134</v>
      </c>
      <c r="Z89" s="549">
        <v>4669.2410360134509</v>
      </c>
      <c r="AA89" s="550">
        <v>4226.8807137193162</v>
      </c>
      <c r="AB89" s="551">
        <v>4462.318009570301</v>
      </c>
      <c r="AC89" s="1368">
        <v>5010.43818071644</v>
      </c>
      <c r="AD89" s="1338"/>
      <c r="AE89" s="331"/>
      <c r="AF89" s="331"/>
      <c r="AG89" s="331"/>
      <c r="AH89" s="891"/>
      <c r="AI89" s="901"/>
      <c r="AJ89" s="332"/>
      <c r="AK89" s="332"/>
      <c r="AL89" s="332"/>
      <c r="AM89" s="332"/>
      <c r="AN89" s="1272"/>
      <c r="AO89" s="1272"/>
      <c r="AP89" s="332"/>
      <c r="AQ89" s="2124"/>
      <c r="AR89" s="2140"/>
      <c r="AS89" s="1294"/>
      <c r="AT89" s="902"/>
      <c r="AU89" s="901"/>
      <c r="AV89" s="332"/>
      <c r="AW89" s="332"/>
      <c r="AX89" s="332"/>
      <c r="AY89" s="332"/>
      <c r="AZ89" s="332"/>
      <c r="BA89" s="332"/>
      <c r="BB89" s="332"/>
      <c r="BC89" s="332"/>
      <c r="BD89" s="332"/>
      <c r="BE89" s="332"/>
      <c r="BF89" s="902"/>
    </row>
    <row r="90" spans="1:59" s="928" customFormat="1" ht="18.75" customHeight="1">
      <c r="A90" s="2147" t="s">
        <v>1395</v>
      </c>
      <c r="B90" s="30" t="s">
        <v>1395</v>
      </c>
      <c r="C90" s="30" t="s">
        <v>1758</v>
      </c>
      <c r="D90" s="30" t="s">
        <v>1324</v>
      </c>
      <c r="E90" s="30" t="s">
        <v>1325</v>
      </c>
      <c r="F90" s="30"/>
      <c r="G90" s="40" t="s">
        <v>1327</v>
      </c>
      <c r="H90" s="1389" t="s">
        <v>1759</v>
      </c>
      <c r="I90" s="664" t="s">
        <v>1760</v>
      </c>
      <c r="J90" s="1112" t="s">
        <v>1761</v>
      </c>
      <c r="K90" s="1312">
        <v>45292</v>
      </c>
      <c r="L90" s="1312">
        <v>45323</v>
      </c>
      <c r="M90" s="1312">
        <v>45352</v>
      </c>
      <c r="N90" s="1312">
        <v>45383</v>
      </c>
      <c r="O90" s="1312">
        <v>45413</v>
      </c>
      <c r="P90" s="1312">
        <v>45444</v>
      </c>
      <c r="Q90" s="1324">
        <v>45474</v>
      </c>
      <c r="R90" s="1360">
        <v>45505</v>
      </c>
      <c r="S90" s="1312">
        <v>45536</v>
      </c>
      <c r="T90" s="1312">
        <v>45566</v>
      </c>
      <c r="U90" s="1312">
        <v>45597</v>
      </c>
      <c r="V90" s="1312">
        <v>45627</v>
      </c>
      <c r="W90" s="1313">
        <v>45658</v>
      </c>
      <c r="X90" s="1313">
        <v>45689</v>
      </c>
      <c r="Y90" s="1313">
        <v>45717</v>
      </c>
      <c r="Z90" s="1314">
        <v>45748</v>
      </c>
      <c r="AA90" s="1313">
        <v>45778</v>
      </c>
      <c r="AB90" s="1313">
        <v>45809</v>
      </c>
      <c r="AC90" s="1316">
        <v>45839</v>
      </c>
      <c r="AD90" s="1315">
        <v>45870</v>
      </c>
      <c r="AE90" s="1313">
        <v>45901</v>
      </c>
      <c r="AF90" s="1313">
        <v>45931</v>
      </c>
      <c r="AG90" s="1313">
        <v>45962</v>
      </c>
      <c r="AH90" s="1314">
        <v>45992</v>
      </c>
      <c r="AI90" s="1360">
        <v>46023</v>
      </c>
      <c r="AJ90" s="1313">
        <v>46054</v>
      </c>
      <c r="AK90" s="1313">
        <v>46082</v>
      </c>
      <c r="AL90" s="1313">
        <v>46113</v>
      </c>
      <c r="AM90" s="1313">
        <v>46143</v>
      </c>
      <c r="AN90" s="1314">
        <v>46174</v>
      </c>
      <c r="AO90" s="1314">
        <v>46204</v>
      </c>
      <c r="AP90" s="1313">
        <v>46235</v>
      </c>
      <c r="AQ90" s="2120">
        <v>46266</v>
      </c>
      <c r="AR90" s="2136">
        <v>46296</v>
      </c>
      <c r="AS90" s="1315">
        <v>46327</v>
      </c>
      <c r="AT90" s="1316">
        <v>46357</v>
      </c>
      <c r="AU90" s="1360">
        <v>46388</v>
      </c>
      <c r="AV90" s="1317">
        <v>46419</v>
      </c>
      <c r="AW90" s="1317">
        <v>46447</v>
      </c>
      <c r="AX90" s="1317">
        <v>46478</v>
      </c>
      <c r="AY90" s="1317">
        <v>46508</v>
      </c>
      <c r="AZ90" s="1317">
        <v>46539</v>
      </c>
      <c r="BA90" s="1317">
        <v>46569</v>
      </c>
      <c r="BB90" s="1317">
        <v>46600</v>
      </c>
      <c r="BC90" s="1317">
        <v>46631</v>
      </c>
      <c r="BD90" s="1317">
        <v>46661</v>
      </c>
      <c r="BE90" s="1317">
        <v>46692</v>
      </c>
      <c r="BF90" s="1318">
        <v>46722</v>
      </c>
      <c r="BG90" s="2146"/>
    </row>
    <row r="91" spans="1:59" ht="18.75" customHeight="1">
      <c r="A91" s="303" t="s">
        <v>1793</v>
      </c>
      <c r="B91" s="934" t="str" cm="1">
        <f t="array" ref="B91:B175">IF(C91:C175="","",_xlfn.XLOOKUP(C91:C175,マスタ_EOLリスト[製品型番],マスタ_EOLリスト[綽名],"?"))</f>
        <v>MSH-15F3-185H-5000-L6 Thirdwave</v>
      </c>
      <c r="C91" s="305" t="s">
        <v>847</v>
      </c>
      <c r="D91" s="305" t="s">
        <v>1409</v>
      </c>
      <c r="E91" s="108" t="s">
        <v>1410</v>
      </c>
      <c r="F91" s="306" t="s">
        <v>1324</v>
      </c>
      <c r="G91" s="38" cm="1">
        <f t="array" ref="G91:G175">IF($C91:$C175="","",
_xlfn.XLOOKUP($C91:$C175,'在庫使用計画 (ノート全体試算)'!$C$1:$C$122,'在庫使用計画 (ノート全体試算)'!$G$1:$G$122,""))</f>
        <v>177</v>
      </c>
      <c r="H91" s="38">
        <f ca="1">_xlfn.LET(_xlpm._今月から4ヶ月計画合計,
  SUM(
    OFFSET($A91,0,
      MATCH(
        EDATE(基準データ!$C$5,3),$A$1:$BE$1,1
      )-4,1,4)),
  IF($C91="","",_xlpm._今月から4ヶ月計画合計
)
)</f>
        <v>96</v>
      </c>
      <c r="I91" s="38">
        <f>SUMIFS(マスタ_EOLリスト[在庫],マスタ_EOLリスト[製品型番],'在庫使用計画 (計画　予測)'!$C:$C)</f>
        <v>177</v>
      </c>
      <c r="J91" s="1116" t="str" cm="1">
        <f t="array" ref="J91">_xlfn.IFS($C91="","",
  $G91="","発売前？",
  $G91=0,"在庫なし",
  TRUE,
  IFERROR(
    _xlfn.LET(
      _xlpm._在庫注残,     $G91,
      _xlpm._しきい値,     _xlpm._在庫注残 * 0.75,
      _xlpm._見出し元,     $K$1:$BT$1,
      _xlpm._計画,         $K91:$BT91,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合計128、在庫+注残177のため不足</v>
      </c>
      <c r="K91" s="268"/>
      <c r="L91" s="268"/>
      <c r="M91" s="268"/>
      <c r="N91" s="180" t="s">
        <v>21</v>
      </c>
      <c r="O91" s="180" t="s">
        <v>21</v>
      </c>
      <c r="P91" s="180" t="s">
        <v>21</v>
      </c>
      <c r="Q91" s="1328" t="s">
        <v>21</v>
      </c>
      <c r="R91" s="1369" t="s">
        <v>21</v>
      </c>
      <c r="S91" s="299" t="s">
        <v>21</v>
      </c>
      <c r="T91" s="224" t="s">
        <v>21</v>
      </c>
      <c r="U91" s="224" t="s">
        <v>21</v>
      </c>
      <c r="V91" s="223" t="s">
        <v>21</v>
      </c>
      <c r="W91" s="224" t="s">
        <v>21</v>
      </c>
      <c r="X91" s="335" t="s">
        <v>21</v>
      </c>
      <c r="Y91" s="335" t="s">
        <v>21</v>
      </c>
      <c r="Z91" s="335" t="s">
        <v>21</v>
      </c>
      <c r="AA91" s="335" t="s">
        <v>21</v>
      </c>
      <c r="AB91" s="335" t="s">
        <v>21</v>
      </c>
      <c r="AC91" s="1370" t="s">
        <v>21</v>
      </c>
      <c r="AD91" s="1339">
        <v>3</v>
      </c>
      <c r="AE91" s="335">
        <v>4</v>
      </c>
      <c r="AF91" s="335">
        <v>7</v>
      </c>
      <c r="AG91" s="335">
        <v>11</v>
      </c>
      <c r="AH91" s="237">
        <v>1</v>
      </c>
      <c r="AI91" s="845" t="s">
        <v>21</v>
      </c>
      <c r="AJ91" s="224">
        <v>1</v>
      </c>
      <c r="AK91" s="224">
        <v>1</v>
      </c>
      <c r="AL91" s="224">
        <v>26</v>
      </c>
      <c r="AM91" s="224">
        <f>_xlfn.XLOOKUP(
$C91,
'在庫使用計画 (ノート全体試算)'!$C$1:$C$170,
'在庫使用計画 (ノート全体試算)'!AN$1:AN$170,
"")</f>
        <v>13</v>
      </c>
      <c r="AN91" s="237">
        <f>_xlfn.XLOOKUP(
$C91,
'在庫使用計画 (ノート全体試算)'!$C$1:$C$170,
'在庫使用計画 (ノート全体試算)'!AO$1:AO$170,
"")</f>
        <v>12</v>
      </c>
      <c r="AO91" s="237">
        <f>_xlfn.XLOOKUP(
$C91,
'在庫使用計画 (ノート全体試算)'!$C$1:$C$170,
'在庫使用計画 (ノート全体試算)'!AP$1:AP$170,
"")</f>
        <v>13</v>
      </c>
      <c r="AP91" s="224">
        <f>_xlfn.XLOOKUP(
$C91,
'在庫使用計画 (ノート全体試算)'!$C$1:$C$170,
'在庫使用計画 (ノート全体試算)'!AQ$1:AQ$170,
"")</f>
        <v>36</v>
      </c>
      <c r="AQ91" s="1050">
        <f>_xlfn.XLOOKUP(
$C91,
'在庫使用計画 (ノート全体試算)'!$C$1:$C$170,
'在庫使用計画 (ノート全体試算)'!AR$1:AR$170,
"")</f>
        <v>26</v>
      </c>
      <c r="AR91" s="2130">
        <f>_xlfn.XLOOKUP(
$C91,
'在庫使用計画 (ノート全体試算)'!$C$1:$C$170,
'在庫使用計画 (ノート全体試算)'!AS$1:AS$170,
"")</f>
        <v>21</v>
      </c>
      <c r="AS91" s="244">
        <f>_xlfn.XLOOKUP(
$C91,
'在庫使用計画 (ノート全体試算)'!$C$1:$C$170,
'在庫使用計画 (ノート全体試算)'!AT$1:AT$170,
"")</f>
        <v>21</v>
      </c>
      <c r="AT91" s="805">
        <f>_xlfn.XLOOKUP(
$C91,
'在庫使用計画 (ノート全体試算)'!$C$1:$C$170,
'在庫使用計画 (ノート全体試算)'!AU$1:AU$170,
"")</f>
        <v>11</v>
      </c>
      <c r="AU91" s="845" t="str">
        <f>_xlfn.XLOOKUP(
$C91,
'在庫使用計画 (ノート全体試算)'!$C$1:$C$170,
'在庫使用計画 (ノート全体試算)'!AV$1:AV$170,
"")</f>
        <v/>
      </c>
      <c r="AV91" s="224" t="str">
        <f>_xlfn.XLOOKUP(
$C91,
'在庫使用計画 (ノート全体試算)'!$C$1:$C$170,
'在庫使用計画 (ノート全体試算)'!AW$1:AW$170,
"")</f>
        <v/>
      </c>
      <c r="AW91" s="224" t="str">
        <f>_xlfn.XLOOKUP(
$C91,
'在庫使用計画 (ノート全体試算)'!$C$1:$C$170,
'在庫使用計画 (ノート全体試算)'!AX$1:AX$170,
"")</f>
        <v/>
      </c>
      <c r="AX91" s="224" t="str">
        <f>_xlfn.XLOOKUP(
$C91,
'在庫使用計画 (ノート全体試算)'!$C$1:$C$170,
'在庫使用計画 (ノート全体試算)'!AY$1:AY$170,
"")</f>
        <v/>
      </c>
      <c r="AY91" s="224" t="str">
        <f>_xlfn.XLOOKUP(
$C91,
'在庫使用計画 (ノート全体試算)'!$C$1:$C$170,
'在庫使用計画 (ノート全体試算)'!AZ$1:AZ$170,
"")</f>
        <v/>
      </c>
      <c r="AZ91" s="224" t="str">
        <f>_xlfn.XLOOKUP(
$C91,
'在庫使用計画 (ノート全体試算)'!$C$1:$C$170,
'在庫使用計画 (ノート全体試算)'!BA$1:BA$170,
"")</f>
        <v/>
      </c>
      <c r="BA91" s="224" t="str">
        <f>_xlfn.XLOOKUP(
$C91,
'在庫使用計画 (ノート全体試算)'!$C$1:$C$170,
'在庫使用計画 (ノート全体試算)'!BB$1:BB$170,
"")</f>
        <v/>
      </c>
      <c r="BB91" s="224" t="str">
        <f>_xlfn.XLOOKUP(
$C91,
'在庫使用計画 (ノート全体試算)'!$C$1:$C$170,
'在庫使用計画 (ノート全体試算)'!BC$1:BC$170,
"")</f>
        <v/>
      </c>
      <c r="BC91" s="224" t="str">
        <f>_xlfn.XLOOKUP(
$C91,
'在庫使用計画 (ノート全体試算)'!$C$1:$C$170,
'在庫使用計画 (ノート全体試算)'!BD$1:BD$170,
"")</f>
        <v/>
      </c>
      <c r="BD91" s="224" t="str">
        <f>_xlfn.XLOOKUP(
$C91,
'在庫使用計画 (ノート全体試算)'!$C$1:$C$170,
'在庫使用計画 (ノート全体試算)'!BE$1:BE$170,
"")</f>
        <v/>
      </c>
      <c r="BE91" s="224" t="str">
        <f>_xlfn.XLOOKUP(
$C91,
'在庫使用計画 (ノート全体試算)'!$C$1:$C$170,
'在庫使用計画 (ノート全体試算)'!BF$1:BF$170,
"")</f>
        <v/>
      </c>
      <c r="BF91" s="805" t="str">
        <f>_xlfn.XLOOKUP(
$C91,
'在庫使用計画 (ノート全体試算)'!$C$1:$C$170,
'在庫使用計画 (ノート全体試算)'!BG$1:BG$170,
"")</f>
        <v/>
      </c>
      <c r="BG91" s="2091" t="s">
        <v>2667</v>
      </c>
    </row>
    <row r="92" spans="1:59" ht="18.75" customHeight="1">
      <c r="A92" s="459"/>
      <c r="B92" s="460" t="str">
        <v>MSH-15F3-185H-5000-L6 Thirdwave</v>
      </c>
      <c r="C92" s="461" t="s">
        <v>847</v>
      </c>
      <c r="D92" s="460" t="s">
        <v>1763</v>
      </c>
      <c r="E92" s="460"/>
      <c r="F92" s="462"/>
      <c r="G92" s="463">
        <v>177</v>
      </c>
      <c r="H92" s="448">
        <f ca="1">_xlfn.LET(_xlpm._今月から4ヶ月計画合計,
  SUM(
    OFFSET($A92,0,
      MATCH(
        EDATE(基準データ!$C$5,3),$A$1:$BE$1,1
      )-4,1,4)),
  IF($C92="","",_xlpm._今月から4ヶ月計画合計
)
)</f>
        <v>0</v>
      </c>
      <c r="I92" s="448">
        <f t="shared" ref="I92:I96" si="17">I91</f>
        <v>177</v>
      </c>
      <c r="J92" s="1116" t="str" cm="1">
        <f t="array" ref="J92">_xlfn.IFS($C92="","",
  $G92="","発売前？",
  $G92=0,"在庫なし",
  TRUE,
  IFERROR(
    _xlfn.LET(
      _xlpm._在庫注残,     $G92,
      _xlpm._しきい値,     _xlpm._在庫注残 * 0.75,
      _xlpm._見出し元,     $K$1:$BT$1,
      _xlpm._計画,         $K92:$BT92,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合計0、在庫+注残177のため不足</v>
      </c>
      <c r="K92" s="463"/>
      <c r="L92" s="463"/>
      <c r="M92" s="463"/>
      <c r="N92" s="463"/>
      <c r="O92" s="463"/>
      <c r="P92" s="463"/>
      <c r="Q92" s="1329"/>
      <c r="R92" s="1371"/>
      <c r="S92" s="451"/>
      <c r="T92" s="451"/>
      <c r="U92" s="451"/>
      <c r="V92" s="464"/>
      <c r="W92" s="475" t="s">
        <v>21</v>
      </c>
      <c r="X92" s="475" t="s">
        <v>21</v>
      </c>
      <c r="Y92" s="475" t="s">
        <v>21</v>
      </c>
      <c r="Z92" s="517" t="s">
        <v>21</v>
      </c>
      <c r="AA92" s="465" t="s">
        <v>21</v>
      </c>
      <c r="AB92" s="451" t="s">
        <v>21</v>
      </c>
      <c r="AC92" s="1372" t="s">
        <v>21</v>
      </c>
      <c r="AD92" s="1340" t="s">
        <v>21</v>
      </c>
      <c r="AE92" s="465" t="s">
        <v>21</v>
      </c>
      <c r="AF92" s="465" t="s">
        <v>21</v>
      </c>
      <c r="AG92" s="451">
        <v>2</v>
      </c>
      <c r="AH92" s="237">
        <v>1</v>
      </c>
      <c r="AI92" s="896" t="s">
        <v>21</v>
      </c>
      <c r="AJ92" s="451">
        <v>1</v>
      </c>
      <c r="AK92" s="451">
        <v>1</v>
      </c>
      <c r="AL92" s="451">
        <v>15</v>
      </c>
      <c r="AM92" s="451" t="str">
        <f>_xlfn.LET(_xlpm._全体実績予測,
  INDEX('在庫使用計画 (全体実績+予測）0701'!$A$1:$BD$195,
    MATCH($C92,'在庫使用計画 (全体実績+予測）0701'!$C$1:$C$195,0),
    MATCH(AM$1,'在庫使用計画 (全体実績+予測）0701'!$A$1:$BD$1,0)
),
  IFERROR(
    IF(_xlpm._全体実績予測=0,"",_xlpm._全体実績予測),
  "")
)</f>
        <v/>
      </c>
      <c r="AN92" s="889" t="str">
        <f>_xlfn.LET(_xlpm._全体実績予測,
  INDEX('在庫使用計画 (全体実績+予測）0701'!$A$1:$BD$195,
    MATCH($C92,'在庫使用計画 (全体実績+予測）0701'!$C$1:$C$195,0),
    MATCH(AN$1,'在庫使用計画 (全体実績+予測）0701'!$A$1:$BD$1,0)
),
  IFERROR(
    IF(_xlpm._全体実績予測=0,"",_xlpm._全体実績予測),
  "")
)</f>
        <v/>
      </c>
      <c r="AO92" s="889" t="str">
        <f>_xlfn.LET(_xlpm._全体実績予測,
  INDEX('在庫使用計画 (全体実績+予測）0701'!$A$1:$BD$195,
    MATCH($C92,'在庫使用計画 (全体実績+予測）0701'!$C$1:$C$195,0),
    MATCH(AO$1,'在庫使用計画 (全体実績+予測）0701'!$A$1:$BD$1,0)
),
  IFERROR(
    IF(_xlpm._全体実績予測=0,"",_xlpm._全体実績予測),
  "")
)</f>
        <v/>
      </c>
      <c r="AP92" s="451" t="str">
        <f>_xlfn.LET(_xlpm._全体実績予測,
  INDEX('在庫使用計画 (全体実績+予測）0701'!$A$1:$BD$195,
    MATCH($C92,'在庫使用計画 (全体実績+予測）0701'!$C$1:$C$195,0),
    MATCH(AP$1,'在庫使用計画 (全体実績+予測）0701'!$A$1:$BD$1,0)
),
  IFERROR(
    IF(_xlpm._全体実績予測=0,"",_xlpm._全体実績予測),
  "")
)</f>
        <v/>
      </c>
      <c r="AQ92" s="2121" t="str">
        <f>_xlfn.LET(_xlpm._全体実績予測,
  INDEX('在庫使用計画 (全体実績+予測）0701'!$A$1:$BD$195,
    MATCH($C92,'在庫使用計画 (全体実績+予測）0701'!$C$1:$C$195,0),
    MATCH(AQ$1,'在庫使用計画 (全体実績+予測）0701'!$A$1:$BD$1,0)
),
  IFERROR(
    IF(_xlpm._全体実績予測=0,"",_xlpm._全体実績予測),
  "")
)</f>
        <v/>
      </c>
      <c r="AR92" s="2137" t="str">
        <f>_xlfn.LET(_xlpm._全体実績予測,
  INDEX('在庫使用計画 (全体実績+予測）0701'!$A$1:$BD$195,
    MATCH($C92,'在庫使用計画 (全体実績+予測）0701'!$C$1:$C$195,0),
    MATCH(AR$1,'在庫使用計画 (全体実績+予測）0701'!$A$1:$BD$1,0)
),
  IFERROR(
    IF(_xlpm._全体実績予測=0,"",_xlpm._全体実績予測),
  "")
)</f>
        <v/>
      </c>
      <c r="AS92" s="1292" t="str">
        <f>_xlfn.LET(_xlpm._全体実績予測,
  INDEX('在庫使用計画 (全体実績+予測）0701'!$A$1:$BD$195,
    MATCH($C92,'在庫使用計画 (全体実績+予測）0701'!$C$1:$C$195,0),
    MATCH(AS$1,'在庫使用計画 (全体実績+予測）0701'!$A$1:$BD$1,0)
),
  IFERROR(
    IF(_xlpm._全体実績予測=0,"",_xlpm._全体実績予測),
  "")
)</f>
        <v/>
      </c>
      <c r="AT92" s="897" t="str">
        <f>_xlfn.LET(_xlpm._全体実績予測,
  INDEX('在庫使用計画 (全体実績+予測）0701'!$A$1:$BD$195,
    MATCH($C92,'在庫使用計画 (全体実績+予測）0701'!$C$1:$C$195,0),
    MATCH(AT$1,'在庫使用計画 (全体実績+予測）0701'!$A$1:$BD$1,0)
),
  IFERROR(
    IF(_xlpm._全体実績予測=0,"",_xlpm._全体実績予測),
  "")
)</f>
        <v/>
      </c>
      <c r="AU92" s="896" t="str">
        <f>_xlfn.LET(_xlpm._全体実績予測,
  INDEX('在庫使用計画 (全体実績+予測）0701'!$A$1:$BD$195,
    MATCH($C92,'在庫使用計画 (全体実績+予測）0701'!$C$1:$C$195,0),
    MATCH(AU$1,'在庫使用計画 (全体実績+予測）0701'!$A$1:$BD$1,0)
),
  IFERROR(
    IF(_xlpm._全体実績予測=0,"",_xlpm._全体実績予測),
  "")
)</f>
        <v/>
      </c>
      <c r="AV92" s="451" t="str">
        <f>_xlfn.LET(_xlpm._全体実績予測,
  INDEX('在庫使用計画 (全体実績+予測）0701'!$A$1:$BD$195,
    MATCH($C92,'在庫使用計画 (全体実績+予測）0701'!$C$1:$C$195,0),
    MATCH(AV$1,'在庫使用計画 (全体実績+予測）0701'!$A$1:$BD$1,0)
),
  IFERROR(
    IF(_xlpm._全体実績予測=0,"",_xlpm._全体実績予測),
  "")
)</f>
        <v/>
      </c>
      <c r="AW92" s="451" t="str">
        <f>_xlfn.LET(_xlpm._全体実績予測,
  INDEX('在庫使用計画 (全体実績+予測）0701'!$A$1:$BD$195,
    MATCH($C92,'在庫使用計画 (全体実績+予測）0701'!$C$1:$C$195,0),
    MATCH(AW$1,'在庫使用計画 (全体実績+予測）0701'!$A$1:$BD$1,0)
),
  IFERROR(
    IF(_xlpm._全体実績予測=0,"",_xlpm._全体実績予測),
  "")
)</f>
        <v/>
      </c>
      <c r="AX92" s="451" t="str">
        <f>_xlfn.LET(_xlpm._全体実績予測,
  INDEX('在庫使用計画 (全体実績+予測）0701'!$A$1:$BD$195,
    MATCH($C92,'在庫使用計画 (全体実績+予測）0701'!$C$1:$C$195,0),
    MATCH(AX$1,'在庫使用計画 (全体実績+予測）0701'!$A$1:$BD$1,0)
),
  IFERROR(
    IF(_xlpm._全体実績予測=0,"",_xlpm._全体実績予測),
  "")
)</f>
        <v/>
      </c>
      <c r="AY92" s="451" t="str">
        <f>_xlfn.LET(_xlpm._全体実績予測,
  INDEX('在庫使用計画 (全体実績+予測）0701'!$A$1:$BD$195,
    MATCH($C92,'在庫使用計画 (全体実績+予測）0701'!$C$1:$C$195,0),
    MATCH(AY$1,'在庫使用計画 (全体実績+予測）0701'!$A$1:$BD$1,0)
),
  IFERROR(
    IF(_xlpm._全体実績予測=0,"",_xlpm._全体実績予測),
  "")
)</f>
        <v/>
      </c>
      <c r="AZ92" s="451" t="str">
        <f>_xlfn.LET(_xlpm._全体実績予測,
  INDEX('在庫使用計画 (全体実績+予測）0701'!$A$1:$BD$195,
    MATCH($C92,'在庫使用計画 (全体実績+予測）0701'!$C$1:$C$195,0),
    MATCH(AZ$1,'在庫使用計画 (全体実績+予測）0701'!$A$1:$BD$1,0)
),
  IFERROR(
    IF(_xlpm._全体実績予測=0,"",_xlpm._全体実績予測),
  "")
)</f>
        <v/>
      </c>
      <c r="BA92" s="451" t="str">
        <f>_xlfn.LET(_xlpm._全体実績予測,
  INDEX('在庫使用計画 (全体実績+予測）0701'!$A$1:$BD$195,
    MATCH($C92,'在庫使用計画 (全体実績+予測）0701'!$C$1:$C$195,0),
    MATCH(BA$1,'在庫使用計画 (全体実績+予測）0701'!$A$1:$BD$1,0)
),
  IFERROR(
    IF(_xlpm._全体実績予測=0,"",_xlpm._全体実績予測),
  "")
)</f>
        <v/>
      </c>
      <c r="BB92" s="451" t="str">
        <f>_xlfn.LET(_xlpm._全体実績予測,
  INDEX('在庫使用計画 (全体実績+予測）0701'!$A$1:$BD$195,
    MATCH($C92,'在庫使用計画 (全体実績+予測）0701'!$C$1:$C$195,0),
    MATCH(BB$1,'在庫使用計画 (全体実績+予測）0701'!$A$1:$BD$1,0)
),
  IFERROR(
    IF(_xlpm._全体実績予測=0,"",_xlpm._全体実績予測),
  "")
)</f>
        <v/>
      </c>
      <c r="BC92" s="451" t="str">
        <f>_xlfn.LET(_xlpm._全体実績予測,
  INDEX('在庫使用計画 (全体実績+予測）0701'!$A$1:$BD$195,
    MATCH($C92,'在庫使用計画 (全体実績+予測）0701'!$C$1:$C$195,0),
    MATCH(BC$1,'在庫使用計画 (全体実績+予測）0701'!$A$1:$BD$1,0)
),
  IFERROR(
    IF(_xlpm._全体実績予測=0,"",_xlpm._全体実績予測),
  "")
)</f>
        <v/>
      </c>
      <c r="BD92" s="451" t="str">
        <f>_xlfn.LET(_xlpm._全体実績予測,
  INDEX('在庫使用計画 (全体実績+予測）0701'!$A$1:$BD$195,
    MATCH($C92,'在庫使用計画 (全体実績+予測）0701'!$C$1:$C$195,0),
    MATCH(BD$1,'在庫使用計画 (全体実績+予測）0701'!$A$1:$BD$1,0)
),
  IFERROR(
    IF(_xlpm._全体実績予測=0,"",_xlpm._全体実績予測),
  "")
)</f>
        <v/>
      </c>
      <c r="BE92" s="451" t="str">
        <f>_xlfn.LET(_xlpm._全体実績予測,
  INDEX('在庫使用計画 (全体実績+予測）0701'!$A$1:$BD$195,
    MATCH($C92,'在庫使用計画 (全体実績+予測）0701'!$C$1:$C$195,0),
    MATCH(BE$1,'在庫使用計画 (全体実績+予測）0701'!$A$1:$BD$1,0)
),
  IFERROR(
    IF(_xlpm._全体実績予測=0,"",_xlpm._全体実績予測),
  "")
)</f>
        <v/>
      </c>
      <c r="BF92" s="897" t="str">
        <f>_xlfn.LET(_xlpm._全体実績予測,
  INDEX('在庫使用計画 (全体実績+予測）0701'!$A$1:$BD$195,
    MATCH($C92,'在庫使用計画 (全体実績+予測）0701'!$C$1:$C$195,0),
    MATCH(BF$1,'在庫使用計画 (全体実績+予測）0701'!$A$1:$BD$1,0)
),
  IFERROR(
    IF(_xlpm._全体実績予測=0,"",_xlpm._全体実績予測),
  "")
)</f>
        <v/>
      </c>
    </row>
    <row r="93" spans="1:59" ht="18.75" customHeight="1">
      <c r="A93" s="303" t="s">
        <v>1793</v>
      </c>
      <c r="B93" s="300" t="str">
        <v>MSH-15F4-185H-2000-L6 Thirdwave</v>
      </c>
      <c r="C93" s="194" t="s">
        <v>854</v>
      </c>
      <c r="D93" s="194" t="s">
        <v>1409</v>
      </c>
      <c r="E93" s="68" t="s">
        <v>1410</v>
      </c>
      <c r="F93" s="195" t="s">
        <v>1324</v>
      </c>
      <c r="G93" s="38">
        <v>36</v>
      </c>
      <c r="H93" s="38">
        <f ca="1">_xlfn.LET(_xlpm._今月から4ヶ月計画合計,
  SUM(
    OFFSET($A93,0,
      MATCH(
        EDATE(基準データ!$C$5,3),$A$1:$BE$1,1
      )-4,1,4)),
  IF($C93="","",_xlpm._今月から4ヶ月計画合計
)
)</f>
        <v>6</v>
      </c>
      <c r="I93" s="38">
        <f>SUMIFS(マスタ_EOLリスト[在庫],マスタ_EOLリスト[製品型番],'在庫使用計画 (計画　予測)'!$C:$C)</f>
        <v>36</v>
      </c>
      <c r="J93" s="1116" t="str" cm="1">
        <f t="array" ref="J93">_xlfn.IFS($C93="","",
  $G93="","発売前？",
  $G93=0,"在庫なし",
  TRUE,
  IFERROR(
    _xlfn.LET(
      _xlpm._在庫注残,     $G93,
      _xlpm._しきい値,     _xlpm._在庫注残 * 0.75,
      _xlpm._見出し元,     $K$1:$BT$1,
      _xlpm._計画,         $K93:$BT93,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合計6、在庫+注残36のため不足</v>
      </c>
      <c r="K93" s="319"/>
      <c r="L93" s="319"/>
      <c r="M93" s="319"/>
      <c r="N93" s="311" t="s">
        <v>21</v>
      </c>
      <c r="O93" s="311" t="s">
        <v>21</v>
      </c>
      <c r="P93" s="311" t="s">
        <v>21</v>
      </c>
      <c r="Q93" s="313" t="s">
        <v>21</v>
      </c>
      <c r="R93" s="1353" t="s">
        <v>21</v>
      </c>
      <c r="S93" s="298" t="s">
        <v>21</v>
      </c>
      <c r="T93" s="219" t="s">
        <v>21</v>
      </c>
      <c r="U93" s="219" t="s">
        <v>21</v>
      </c>
      <c r="V93" s="222" t="s">
        <v>21</v>
      </c>
      <c r="W93" s="219" t="s">
        <v>21</v>
      </c>
      <c r="X93" s="333" t="s">
        <v>21</v>
      </c>
      <c r="Y93" s="333" t="s">
        <v>21</v>
      </c>
      <c r="Z93" s="333" t="s">
        <v>21</v>
      </c>
      <c r="AA93" s="333" t="s">
        <v>21</v>
      </c>
      <c r="AB93" s="333" t="s">
        <v>21</v>
      </c>
      <c r="AC93" s="1373" t="s">
        <v>21</v>
      </c>
      <c r="AD93" s="1341">
        <v>2</v>
      </c>
      <c r="AE93" s="333">
        <v>2</v>
      </c>
      <c r="AF93" s="333">
        <v>3</v>
      </c>
      <c r="AG93" s="333">
        <v>3</v>
      </c>
      <c r="AH93" s="237">
        <v>1</v>
      </c>
      <c r="AI93" s="845">
        <v>1</v>
      </c>
      <c r="AJ93" s="224">
        <v>12</v>
      </c>
      <c r="AK93" s="224">
        <v>9</v>
      </c>
      <c r="AL93" s="224">
        <v>13</v>
      </c>
      <c r="AM93" s="224">
        <f>_xlfn.XLOOKUP(
$C93,
'在庫使用計画 (ノート全体試算)'!$C$1:$C$170,
'在庫使用計画 (ノート全体試算)'!AN$1:AN$170,
"")</f>
        <v>28</v>
      </c>
      <c r="AN93" s="237">
        <f>_xlfn.XLOOKUP(
$C93,
'在庫使用計画 (ノート全体試算)'!$C$1:$C$170,
'在庫使用計画 (ノート全体試算)'!AO$1:AO$170,
"")</f>
        <v>16</v>
      </c>
      <c r="AO93" s="237">
        <f>_xlfn.XLOOKUP(
$C93,
'在庫使用計画 (ノート全体試算)'!$C$1:$C$170,
'在庫使用計画 (ノート全体試算)'!AP$1:AP$170,
"")</f>
        <v>6</v>
      </c>
      <c r="AP93" s="224" t="str">
        <f>_xlfn.XLOOKUP(
$C93,
'在庫使用計画 (ノート全体試算)'!$C$1:$C$170,
'在庫使用計画 (ノート全体試算)'!AQ$1:AQ$170,
"")</f>
        <v/>
      </c>
      <c r="AQ93" s="1050" t="str">
        <f>_xlfn.XLOOKUP(
$C93,
'在庫使用計画 (ノート全体試算)'!$C$1:$C$170,
'在庫使用計画 (ノート全体試算)'!AR$1:AR$170,
"")</f>
        <v/>
      </c>
      <c r="AR93" s="2130" t="str">
        <f>_xlfn.XLOOKUP(
$C93,
'在庫使用計画 (ノート全体試算)'!$C$1:$C$170,
'在庫使用計画 (ノート全体試算)'!AS$1:AS$170,
"")</f>
        <v/>
      </c>
      <c r="AS93" s="244" t="str">
        <f>_xlfn.XLOOKUP(
$C93,
'在庫使用計画 (ノート全体試算)'!$C$1:$C$170,
'在庫使用計画 (ノート全体試算)'!AT$1:AT$170,
"")</f>
        <v/>
      </c>
      <c r="AT93" s="805" t="str">
        <f>_xlfn.XLOOKUP(
$C93,
'在庫使用計画 (ノート全体試算)'!$C$1:$C$170,
'在庫使用計画 (ノート全体試算)'!AU$1:AU$170,
"")</f>
        <v/>
      </c>
      <c r="AU93" s="845" t="str">
        <f>_xlfn.XLOOKUP(
$C93,
'在庫使用計画 (ノート全体試算)'!$C$1:$C$170,
'在庫使用計画 (ノート全体試算)'!AV$1:AV$170,
"")</f>
        <v/>
      </c>
      <c r="AV93" s="224" t="str">
        <f>_xlfn.XLOOKUP(
$C93,
'在庫使用計画 (ノート全体試算)'!$C$1:$C$170,
'在庫使用計画 (ノート全体試算)'!AW$1:AW$170,
"")</f>
        <v/>
      </c>
      <c r="AW93" s="224" t="str">
        <f>_xlfn.XLOOKUP(
$C93,
'在庫使用計画 (ノート全体試算)'!$C$1:$C$170,
'在庫使用計画 (ノート全体試算)'!AX$1:AX$170,
"")</f>
        <v/>
      </c>
      <c r="AX93" s="224" t="str">
        <f>_xlfn.XLOOKUP(
$C93,
'在庫使用計画 (ノート全体試算)'!$C$1:$C$170,
'在庫使用計画 (ノート全体試算)'!AY$1:AY$170,
"")</f>
        <v/>
      </c>
      <c r="AY93" s="224" t="str">
        <f>_xlfn.XLOOKUP(
$C93,
'在庫使用計画 (ノート全体試算)'!$C$1:$C$170,
'在庫使用計画 (ノート全体試算)'!AZ$1:AZ$170,
"")</f>
        <v/>
      </c>
      <c r="AZ93" s="224" t="str">
        <f>_xlfn.XLOOKUP(
$C93,
'在庫使用計画 (ノート全体試算)'!$C$1:$C$170,
'在庫使用計画 (ノート全体試算)'!BA$1:BA$170,
"")</f>
        <v/>
      </c>
      <c r="BA93" s="224" t="str">
        <f>_xlfn.XLOOKUP(
$C93,
'在庫使用計画 (ノート全体試算)'!$C$1:$C$170,
'在庫使用計画 (ノート全体試算)'!BB$1:BB$170,
"")</f>
        <v/>
      </c>
      <c r="BB93" s="224" t="str">
        <f>_xlfn.XLOOKUP(
$C93,
'在庫使用計画 (ノート全体試算)'!$C$1:$C$170,
'在庫使用計画 (ノート全体試算)'!BC$1:BC$170,
"")</f>
        <v/>
      </c>
      <c r="BC93" s="224" t="str">
        <f>_xlfn.XLOOKUP(
$C93,
'在庫使用計画 (ノート全体試算)'!$C$1:$C$170,
'在庫使用計画 (ノート全体試算)'!BD$1:BD$170,
"")</f>
        <v/>
      </c>
      <c r="BD93" s="224" t="str">
        <f>_xlfn.XLOOKUP(
$C93,
'在庫使用計画 (ノート全体試算)'!$C$1:$C$170,
'在庫使用計画 (ノート全体試算)'!BE$1:BE$170,
"")</f>
        <v/>
      </c>
      <c r="BE93" s="224" t="str">
        <f>_xlfn.XLOOKUP(
$C93,
'在庫使用計画 (ノート全体試算)'!$C$1:$C$170,
'在庫使用計画 (ノート全体試算)'!BF$1:BF$170,
"")</f>
        <v/>
      </c>
      <c r="BF93" s="805" t="str">
        <f>_xlfn.XLOOKUP(
$C93,
'在庫使用計画 (ノート全体試算)'!$C$1:$C$170,
'在庫使用計画 (ノート全体試算)'!BG$1:BG$170,
"")</f>
        <v/>
      </c>
      <c r="BG93" s="2091" t="s">
        <v>2667</v>
      </c>
    </row>
    <row r="94" spans="1:59" ht="18.75" customHeight="1" thickBot="1">
      <c r="A94" s="445"/>
      <c r="B94" s="446" t="str">
        <v>MSH-15F4-185H-2000-L6 Thirdwave</v>
      </c>
      <c r="C94" s="1274" t="s">
        <v>854</v>
      </c>
      <c r="D94" s="446" t="s">
        <v>1763</v>
      </c>
      <c r="E94" s="446"/>
      <c r="F94" s="447"/>
      <c r="G94" s="448">
        <v>36</v>
      </c>
      <c r="H94" s="448">
        <f ca="1">_xlfn.LET(_xlpm._今月から4ヶ月計画合計,
  SUM(
    OFFSET($A94,0,
      MATCH(
        EDATE(基準データ!$C$5,3),$A$1:$BE$1,1
      )-4,1,4)),
  IF($C94="","",_xlpm._今月から4ヶ月計画合計
)
)</f>
        <v>79.619426721194074</v>
      </c>
      <c r="I94" s="448">
        <f t="shared" si="17"/>
        <v>36</v>
      </c>
      <c r="J94" s="1116" cm="1">
        <f t="array" ref="J94">_xlfn.IFS($C94="","",
  $G94="","発売前？",
  $G94=0,"在庫なし",
  TRUE,
  IFERROR(
    _xlfn.LET(
      _xlpm._在庫注残,     $G94,
      _xlpm._しきい値,     _xlpm._在庫注残 * 0.75,
      _xlpm._見出し元,     $K$1:$BT$1,
      _xlpm._計画,         $K94:$BT94,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46235</v>
      </c>
      <c r="K94" s="448"/>
      <c r="L94" s="448"/>
      <c r="M94" s="448"/>
      <c r="N94" s="448"/>
      <c r="O94" s="448"/>
      <c r="P94" s="448"/>
      <c r="Q94" s="540"/>
      <c r="R94" s="900"/>
      <c r="S94" s="449"/>
      <c r="T94" s="449"/>
      <c r="U94" s="449"/>
      <c r="V94" s="450"/>
      <c r="W94" s="455" t="s">
        <v>21</v>
      </c>
      <c r="X94" s="455" t="s">
        <v>21</v>
      </c>
      <c r="Y94" s="455" t="s">
        <v>21</v>
      </c>
      <c r="Z94" s="507" t="s">
        <v>21</v>
      </c>
      <c r="AA94" s="453" t="s">
        <v>21</v>
      </c>
      <c r="AB94" s="449" t="s">
        <v>21</v>
      </c>
      <c r="AC94" s="899" t="s">
        <v>21</v>
      </c>
      <c r="AD94" s="1290" t="s">
        <v>21</v>
      </c>
      <c r="AE94" s="453" t="s">
        <v>21</v>
      </c>
      <c r="AF94" s="453" t="s">
        <v>21</v>
      </c>
      <c r="AG94" s="451" t="s">
        <v>21</v>
      </c>
      <c r="AH94" s="237">
        <v>1</v>
      </c>
      <c r="AI94" s="896">
        <v>1</v>
      </c>
      <c r="AJ94" s="451">
        <v>12</v>
      </c>
      <c r="AK94" s="451">
        <v>10</v>
      </c>
      <c r="AL94" s="451">
        <v>1</v>
      </c>
      <c r="AM94" s="451">
        <f>_xlfn.LET(_xlpm._全体実績予測,
  INDEX('在庫使用計画 (全体実績+予測）0701'!$A$1:$BD$195,
    MATCH($C94,'在庫使用計画 (全体実績+予測）0701'!$C$1:$C$195,0),
    MATCH(AM$1,'在庫使用計画 (全体実績+予測）0701'!$A$1:$BD$1,0)
),
  IFERROR(
    IF(_xlpm._全体実績予測=0,"",_xlpm._全体実績予測),
  "")
)</f>
        <v>4</v>
      </c>
      <c r="AN94" s="889">
        <f>_xlfn.LET(_xlpm._全体実績予測,
  INDEX('在庫使用計画 (全体実績+予測）0701'!$A$1:$BD$195,
    MATCH($C94,'在庫使用計画 (全体実績+予測）0701'!$C$1:$C$195,0),
    MATCH(AN$1,'在庫使用計画 (全体実績+予測）0701'!$A$1:$BD$1,0)
),
  IFERROR(
    IF(_xlpm._全体実績予測=0,"",_xlpm._全体実績予測),
  "")
)</f>
        <v>18.214285714285712</v>
      </c>
      <c r="AO94" s="889">
        <f>_xlfn.LET(_xlpm._全体実績予測,
  INDEX('在庫使用計画 (全体実績+予測）0701'!$A$1:$BD$195,
    MATCH($C94,'在庫使用計画 (全体実績+予測）0701'!$C$1:$C$195,0),
    MATCH(AO$1,'在庫使用計画 (全体実績+予測）0701'!$A$1:$BD$1,0)
),
  IFERROR(
    IF(_xlpm._全体実績予測=0,"",_xlpm._全体実績予測),
  "")
)</f>
        <v>19.988528361382677</v>
      </c>
      <c r="AP94" s="451">
        <f>_xlfn.LET(_xlpm._全体実績予測,
  INDEX('在庫使用計画 (全体実績+予測）0701'!$A$1:$BD$195,
    MATCH($C94,'在庫使用計画 (全体実績+予測）0701'!$C$1:$C$195,0),
    MATCH(AP$1,'在庫使用計画 (全体実績+予測）0701'!$A$1:$BD$1,0)
),
  IFERROR(
    IF(_xlpm._全体実績予測=0,"",_xlpm._全体実績予測),
  "")
)</f>
        <v>18.38463101688134</v>
      </c>
      <c r="AQ94" s="2121">
        <f>_xlfn.LET(_xlpm._全体実績予測,
  INDEX('在庫使用計画 (全体実績+予測）0701'!$A$1:$BD$195,
    MATCH($C94,'在庫使用計画 (全体実績+予測）0701'!$C$1:$C$195,0),
    MATCH(AQ$1,'在庫使用計画 (全体実績+予測）0701'!$A$1:$BD$1,0)
),
  IFERROR(
    IF(_xlpm._全体実績予測=0,"",_xlpm._全体実績予測),
  "")
)</f>
        <v>19.859607512320153</v>
      </c>
      <c r="AR94" s="2137">
        <f>_xlfn.LET(_xlpm._全体実績予測,
  INDEX('在庫使用計画 (全体実績+予測）0701'!$A$1:$BD$195,
    MATCH($C94,'在庫使用計画 (全体実績+予測）0701'!$C$1:$C$195,0),
    MATCH(AR$1,'在庫使用計画 (全体実績+予測）0701'!$A$1:$BD$1,0)
),
  IFERROR(
    IF(_xlpm._全体実績予測=0,"",_xlpm._全体実績予測),
  "")
)</f>
        <v>21.386659830609901</v>
      </c>
      <c r="AS94" s="1292">
        <f>_xlfn.LET(_xlpm._全体実績予測,
  INDEX('在庫使用計画 (全体実績+予測）0701'!$A$1:$BD$195,
    MATCH($C94,'在庫使用計画 (全体実績+予測）0701'!$C$1:$C$195,0),
    MATCH(AS$1,'在庫使用計画 (全体実績+予測）0701'!$A$1:$BD$1,0)
),
  IFERROR(
    IF(_xlpm._全体実績予測=0,"",_xlpm._全体実績予測),
  "")
)</f>
        <v>22.134119385440812</v>
      </c>
      <c r="AT94" s="897">
        <f>_xlfn.LET(_xlpm._全体実績予測,
  INDEX('在庫使用計画 (全体実績+予測）0701'!$A$1:$BD$195,
    MATCH($C94,'在庫使用計画 (全体実績+予測）0701'!$C$1:$C$195,0),
    MATCH(AT$1,'在庫使用計画 (全体実績+予測）0701'!$A$1:$BD$1,0)
),
  IFERROR(
    IF(_xlpm._全体実績予測=0,"",_xlpm._全体実績予測),
  "")
)</f>
        <v>32.624102152178388</v>
      </c>
      <c r="AU94" s="896">
        <f>_xlfn.LET(_xlpm._全体実績予測,
  INDEX('在庫使用計画 (全体実績+予測）0701'!$A$1:$BD$195,
    MATCH($C94,'在庫使用計画 (全体実績+予測）0701'!$C$1:$C$195,0),
    MATCH(AU$1,'在庫使用計画 (全体実績+予測）0701'!$A$1:$BD$1,0)
),
  IFERROR(
    IF(_xlpm._全体実績予測=0,"",_xlpm._全体実績予測),
  "")
)</f>
        <v>28.153572758347941</v>
      </c>
      <c r="AV94" s="451">
        <f>_xlfn.LET(_xlpm._全体実績予測,
  INDEX('在庫使用計画 (全体実績+予測）0701'!$A$1:$BD$195,
    MATCH($C94,'在庫使用計画 (全体実績+予測）0701'!$C$1:$C$195,0),
    MATCH(AV$1,'在庫使用計画 (全体実績+予測）0701'!$A$1:$BD$1,0)
),
  IFERROR(
    IF(_xlpm._全体実績予測=0,"",_xlpm._全体実績予測),
  "")
)</f>
        <v>26.543542238230373</v>
      </c>
      <c r="AW94" s="451">
        <f>_xlfn.LET(_xlpm._全体実績予測,
  INDEX('在庫使用計画 (全体実績+予測）0701'!$A$1:$BD$195,
    MATCH($C94,'在庫使用計画 (全体実績+予測）0701'!$C$1:$C$195,0),
    MATCH(AW$1,'在庫使用計画 (全体実績+予測）0701'!$A$1:$BD$1,0)
),
  IFERROR(
    IF(_xlpm._全体実績予測=0,"",_xlpm._全体実績予測),
  "")
)</f>
        <v>39.226692027202375</v>
      </c>
      <c r="AX94" s="451">
        <f>_xlfn.LET(_xlpm._全体実績予測,
  INDEX('在庫使用計画 (全体実績+予測）0701'!$A$1:$BD$195,
    MATCH($C94,'在庫使用計画 (全体実績+予測）0701'!$C$1:$C$195,0),
    MATCH(AX$1,'在庫使用計画 (全体実績+予測）0701'!$A$1:$BD$1,0)
),
  IFERROR(
    IF(_xlpm._全体実績予測=0,"",_xlpm._全体実績予測),
  "")
)</f>
        <v>24.086447648227864</v>
      </c>
      <c r="AY94" s="451">
        <f>_xlfn.LET(_xlpm._全体実績予測,
  INDEX('在庫使用計画 (全体実績+予測）0701'!$A$1:$BD$195,
    MATCH($C94,'在庫使用計画 (全体実績+予測）0701'!$C$1:$C$195,0),
    MATCH(AY$1,'在庫使用計画 (全体実績+予測）0701'!$A$1:$BD$1,0)
),
  IFERROR(
    IF(_xlpm._全体実績予測=0,"",_xlpm._全体実績予測),
  "")
)</f>
        <v>17.468221738059764</v>
      </c>
      <c r="AZ94" s="451">
        <f>_xlfn.LET(_xlpm._全体実績予測,
  INDEX('在庫使用計画 (全体実績+予測）0701'!$A$1:$BD$195,
    MATCH($C94,'在庫使用計画 (全体実績+予測）0701'!$C$1:$C$195,0),
    MATCH(AZ$1,'在庫使用計画 (全体実績+予測）0701'!$A$1:$BD$1,0)
),
  IFERROR(
    IF(_xlpm._全体実績予測=0,"",_xlpm._全体実績予測),
  "")
)</f>
        <v>18.214285714285708</v>
      </c>
      <c r="BA94" s="451">
        <f>_xlfn.LET(_xlpm._全体実績予測,
  INDEX('在庫使用計画 (全体実績+予測）0701'!$A$1:$BD$195,
    MATCH($C94,'在庫使用計画 (全体実績+予測）0701'!$C$1:$C$195,0),
    MATCH(BA$1,'在庫使用計画 (全体実績+予測）0701'!$A$1:$BD$1,0)
),
  IFERROR(
    IF(_xlpm._全体実績予測=0,"",_xlpm._全体実績予測),
  "")
)</f>
        <v>19.988528361382674</v>
      </c>
      <c r="BB94" s="451">
        <f>_xlfn.LET(_xlpm._全体実績予測,
  INDEX('在庫使用計画 (全体実績+予測）0701'!$A$1:$BD$195,
    MATCH($C94,'在庫使用計画 (全体実績+予測）0701'!$C$1:$C$195,0),
    MATCH(BB$1,'在庫使用計画 (全体実績+予測）0701'!$A$1:$BD$1,0)
),
  IFERROR(
    IF(_xlpm._全体実績予測=0,"",_xlpm._全体実績予測),
  "")
)</f>
        <v>18.384631016881336</v>
      </c>
      <c r="BC94" s="451">
        <f>_xlfn.LET(_xlpm._全体実績予測,
  INDEX('在庫使用計画 (全体実績+予測）0701'!$A$1:$BD$195,
    MATCH($C94,'在庫使用計画 (全体実績+予測）0701'!$C$1:$C$195,0),
    MATCH(BC$1,'在庫使用計画 (全体実績+予測）0701'!$A$1:$BD$1,0)
),
  IFERROR(
    IF(_xlpm._全体実績予測=0,"",_xlpm._全体実績予測),
  "")
)</f>
        <v>19.859607512320149</v>
      </c>
      <c r="BD94" s="451">
        <f>_xlfn.LET(_xlpm._全体実績予測,
  INDEX('在庫使用計画 (全体実績+予測）0701'!$A$1:$BD$195,
    MATCH($C94,'在庫使用計画 (全体実績+予測）0701'!$C$1:$C$195,0),
    MATCH(BD$1,'在庫使用計画 (全体実績+予測）0701'!$A$1:$BD$1,0)
),
  IFERROR(
    IF(_xlpm._全体実績予測=0,"",_xlpm._全体実績予測),
  "")
)</f>
        <v>21.386659830609897</v>
      </c>
      <c r="BE94" s="451">
        <f>_xlfn.LET(_xlpm._全体実績予測,
  INDEX('在庫使用計画 (全体実績+予測）0701'!$A$1:$BD$195,
    MATCH($C94,'在庫使用計画 (全体実績+予測）0701'!$C$1:$C$195,0),
    MATCH(BE$1,'在庫使用計画 (全体実績+予測）0701'!$A$1:$BD$1,0)
),
  IFERROR(
    IF(_xlpm._全体実績予測=0,"",_xlpm._全体実績予測),
  "")
)</f>
        <v>22.134119385440808</v>
      </c>
      <c r="BF94" s="897">
        <f>_xlfn.LET(_xlpm._全体実績予測,
  INDEX('在庫使用計画 (全体実績+予測）0701'!$A$1:$BD$195,
    MATCH($C94,'在庫使用計画 (全体実績+予測）0701'!$C$1:$C$195,0),
    MATCH(BF$1,'在庫使用計画 (全体実績+予測）0701'!$A$1:$BD$1,0)
),
  IFERROR(
    IF(_xlpm._全体実績予測=0,"",_xlpm._全体実績予測),
  "")
)</f>
        <v>32.624102152178388</v>
      </c>
    </row>
    <row r="95" spans="1:59" ht="18.75" customHeight="1">
      <c r="A95" s="303" t="s">
        <v>1793</v>
      </c>
      <c r="B95" s="739" t="str">
        <v>UNW-U-14650HX-5060-L6 Thirdwave</v>
      </c>
      <c r="C95" s="1259" t="s">
        <v>1794</v>
      </c>
      <c r="D95" s="58" t="s">
        <v>1412</v>
      </c>
      <c r="E95" s="68" t="s">
        <v>1410</v>
      </c>
      <c r="F95" s="195" t="s">
        <v>1324</v>
      </c>
      <c r="G95" s="38">
        <v>230</v>
      </c>
      <c r="H95" s="38">
        <f ca="1">_xlfn.LET(_xlpm._今月から4ヶ月計画合計,
  SUM(
    OFFSET($A95,0,
      MATCH(
        EDATE(基準データ!$C$5,3),$A$1:$BE$1,1
      )-4,1,4)),
  IF($C95="","",_xlpm._今月から4ヶ月計画合計
)
)</f>
        <v>540</v>
      </c>
      <c r="I95" s="38">
        <f>SUMIFS(マスタ_EOLリスト[在庫],マスタ_EOLリスト[製品型番],'在庫使用計画 (計画　予測)'!$C:$C)</f>
        <v>230</v>
      </c>
      <c r="J95" s="1116" cm="1">
        <f t="array" ref="J95">_xlfn.IFS($C95="","",
  $G95="","発売前？",
  $G95=0,"在庫なし",
  TRUE,
  IFERROR(
    _xlfn.LET(
      _xlpm._在庫注残,     $G95,
      _xlpm._しきい値,     _xlpm._在庫注残 * 0.75,
      _xlpm._見出し元,     $K$1:$BT$1,
      _xlpm._計画,         $K95:$BT95,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46235</v>
      </c>
      <c r="K95" s="319"/>
      <c r="L95" s="319"/>
      <c r="M95" s="319"/>
      <c r="N95" s="311"/>
      <c r="O95" s="311"/>
      <c r="P95" s="311"/>
      <c r="Q95" s="313"/>
      <c r="R95" s="1353"/>
      <c r="S95" s="298"/>
      <c r="T95" s="298" t="s">
        <v>21</v>
      </c>
      <c r="U95" s="298" t="s">
        <v>21</v>
      </c>
      <c r="V95" s="219" t="s">
        <v>21</v>
      </c>
      <c r="W95" s="219" t="s">
        <v>21</v>
      </c>
      <c r="X95" s="333" t="s">
        <v>21</v>
      </c>
      <c r="Y95" s="333" t="s">
        <v>21</v>
      </c>
      <c r="Z95" s="333" t="s">
        <v>21</v>
      </c>
      <c r="AA95" s="333" t="s">
        <v>21</v>
      </c>
      <c r="AB95" s="333" t="s">
        <v>21</v>
      </c>
      <c r="AC95" s="1373" t="s">
        <v>21</v>
      </c>
      <c r="AD95" s="1341" t="s">
        <v>21</v>
      </c>
      <c r="AE95" s="333" t="s">
        <v>21</v>
      </c>
      <c r="AF95" s="333" t="s">
        <v>21</v>
      </c>
      <c r="AG95" s="333" t="s">
        <v>21</v>
      </c>
      <c r="AH95" s="237" t="s">
        <v>21</v>
      </c>
      <c r="AI95" s="845" t="s">
        <v>21</v>
      </c>
      <c r="AJ95" s="224">
        <v>23</v>
      </c>
      <c r="AK95" s="224">
        <v>371</v>
      </c>
      <c r="AL95" s="224">
        <v>320</v>
      </c>
      <c r="AM95" s="224">
        <f>_xlfn.XLOOKUP(
$C95,
'在庫使用計画 (ノート全体試算)'!$C$1:$C$170,
'在庫使用計画 (ノート全体試算)'!AN$1:AN$170,
"")</f>
        <v>220</v>
      </c>
      <c r="AN95" s="237">
        <f>_xlfn.XLOOKUP(
$C95,
'在庫使用計画 (ノート全体試算)'!$C$1:$C$170,
'在庫使用計画 (ノート全体試算)'!AO$1:AO$170,
"")</f>
        <v>790</v>
      </c>
      <c r="AO95" s="237">
        <f>_xlfn.XLOOKUP(
$C95,
'在庫使用計画 (ノート全体試算)'!$C$1:$C$170,
'在庫使用計画 (ノート全体試算)'!AP$1:AP$170,
"")</f>
        <v>110</v>
      </c>
      <c r="AP95" s="224">
        <f>_xlfn.XLOOKUP(
$C95,
'在庫使用計画 (ノート全体試算)'!$C$1:$C$170,
'在庫使用計画 (ノート全体試算)'!AQ$1:AQ$170,
"")</f>
        <v>120</v>
      </c>
      <c r="AQ95" s="1050">
        <f>_xlfn.XLOOKUP(
$C95,
'在庫使用計画 (ノート全体試算)'!$C$1:$C$170,
'在庫使用計画 (ノート全体試算)'!AR$1:AR$170,
"")</f>
        <v>155</v>
      </c>
      <c r="AR95" s="2130">
        <f>_xlfn.XLOOKUP(
$C95,
'在庫使用計画 (ノート全体試算)'!$C$1:$C$170,
'在庫使用計画 (ノート全体試算)'!AS$1:AS$170,
"")</f>
        <v>155</v>
      </c>
      <c r="AS95" s="244">
        <f>_xlfn.XLOOKUP(
$C95,
'在庫使用計画 (ノート全体試算)'!$C$1:$C$170,
'在庫使用計画 (ノート全体試算)'!AT$1:AT$170,
"")</f>
        <v>755</v>
      </c>
      <c r="AT95" s="805">
        <f>_xlfn.XLOOKUP(
$C95,
'在庫使用計画 (ノート全体試算)'!$C$1:$C$170,
'在庫使用計画 (ノート全体試算)'!AU$1:AU$170,
"")</f>
        <v>235</v>
      </c>
      <c r="AU95" s="845">
        <f>_xlfn.XLOOKUP(
$C95,
'在庫使用計画 (ノート全体試算)'!$C$1:$C$170,
'在庫使用計画 (ノート全体試算)'!AV$1:AV$170,
"")</f>
        <v>165</v>
      </c>
      <c r="AV95" s="224">
        <f>_xlfn.XLOOKUP(
$C95,
'在庫使用計画 (ノート全体試算)'!$C$1:$C$170,
'在庫使用計画 (ノート全体試算)'!AW$1:AW$170,
"")</f>
        <v>585</v>
      </c>
      <c r="AW95" s="224">
        <f>_xlfn.XLOOKUP(
$C95,
'在庫使用計画 (ノート全体試算)'!$C$1:$C$170,
'在庫使用計画 (ノート全体試算)'!AX$1:AX$170,
"")</f>
        <v>285</v>
      </c>
      <c r="AX95" s="224">
        <f>_xlfn.XLOOKUP(
$C95,
'在庫使用計画 (ノート全体試算)'!$C$1:$C$170,
'在庫使用計画 (ノート全体試算)'!AY$1:AY$170,
"")</f>
        <v>155</v>
      </c>
      <c r="AY95" s="224" t="str">
        <f>_xlfn.XLOOKUP(
$C95,
'在庫使用計画 (ノート全体試算)'!$C$1:$C$170,
'在庫使用計画 (ノート全体試算)'!AZ$1:AZ$170,
"")</f>
        <v/>
      </c>
      <c r="AZ95" s="224" t="str">
        <f>_xlfn.XLOOKUP(
$C95,
'在庫使用計画 (ノート全体試算)'!$C$1:$C$170,
'在庫使用計画 (ノート全体試算)'!BA$1:BA$170,
"")</f>
        <v/>
      </c>
      <c r="BA95" s="224" t="str">
        <f>_xlfn.XLOOKUP(
$C95,
'在庫使用計画 (ノート全体試算)'!$C$1:$C$170,
'在庫使用計画 (ノート全体試算)'!BB$1:BB$170,
"")</f>
        <v/>
      </c>
      <c r="BB95" s="224" t="str">
        <f>_xlfn.XLOOKUP(
$C95,
'在庫使用計画 (ノート全体試算)'!$C$1:$C$170,
'在庫使用計画 (ノート全体試算)'!BC$1:BC$170,
"")</f>
        <v/>
      </c>
      <c r="BC95" s="224" t="str">
        <f>_xlfn.XLOOKUP(
$C95,
'在庫使用計画 (ノート全体試算)'!$C$1:$C$170,
'在庫使用計画 (ノート全体試算)'!BD$1:BD$170,
"")</f>
        <v/>
      </c>
      <c r="BD95" s="224" t="str">
        <f>_xlfn.XLOOKUP(
$C95,
'在庫使用計画 (ノート全体試算)'!$C$1:$C$170,
'在庫使用計画 (ノート全体試算)'!BE$1:BE$170,
"")</f>
        <v/>
      </c>
      <c r="BE95" s="224" t="str">
        <f>_xlfn.XLOOKUP(
$C95,
'在庫使用計画 (ノート全体試算)'!$C$1:$C$170,
'在庫使用計画 (ノート全体試算)'!BF$1:BF$170,
"")</f>
        <v/>
      </c>
      <c r="BF95" s="805" t="str">
        <f>_xlfn.XLOOKUP(
$C95,
'在庫使用計画 (ノート全体試算)'!$C$1:$C$170,
'在庫使用計画 (ノート全体試算)'!BG$1:BG$170,
"")</f>
        <v/>
      </c>
      <c r="BG95" s="2091" t="s">
        <v>2668</v>
      </c>
    </row>
    <row r="96" spans="1:59" ht="18.75" customHeight="1" thickBot="1">
      <c r="A96" s="445"/>
      <c r="B96" s="1261" t="str">
        <v>UNW-U-14650HX-5060-L6 Thirdwave</v>
      </c>
      <c r="C96" s="1275" t="s">
        <v>586</v>
      </c>
      <c r="D96" s="1262" t="s">
        <v>1763</v>
      </c>
      <c r="E96" s="446"/>
      <c r="F96" s="447"/>
      <c r="G96" s="448">
        <v>230</v>
      </c>
      <c r="H96" s="448">
        <f ca="1">_xlfn.LET(_xlpm._今月から4ヶ月計画合計,
  SUM(
    OFFSET($A96,0,
      MATCH(
        EDATE(基準データ!$C$5,3),$A$1:$BE$1,1
      )-4,1,4)),
  IF($C96="","",_xlpm._今月から4ヶ月計画合計
)
)</f>
        <v>3573.5072110747701</v>
      </c>
      <c r="I96" s="448">
        <f t="shared" si="17"/>
        <v>230</v>
      </c>
      <c r="J96" s="1116" cm="1">
        <f t="array" ref="J96">_xlfn.IFS($C96="","",
  $G96="","発売前？",
  $G96=0,"在庫なし",
  TRUE,
  IFERROR(
    _xlfn.LET(
      _xlpm._在庫注残,     $G96,
      _xlpm._しきい値,     _xlpm._在庫注残 * 0.75,
      _xlpm._見出し元,     $K$1:$BT$1,
      _xlpm._計画,         $K96:$BT96,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46204</v>
      </c>
      <c r="K96" s="448"/>
      <c r="L96" s="448"/>
      <c r="M96" s="448"/>
      <c r="N96" s="448"/>
      <c r="O96" s="448"/>
      <c r="P96" s="448"/>
      <c r="Q96" s="540"/>
      <c r="R96" s="900"/>
      <c r="S96" s="449"/>
      <c r="T96" s="449"/>
      <c r="U96" s="449"/>
      <c r="V96" s="450"/>
      <c r="W96" s="455" t="s">
        <v>21</v>
      </c>
      <c r="X96" s="455" t="s">
        <v>21</v>
      </c>
      <c r="Y96" s="455" t="s">
        <v>21</v>
      </c>
      <c r="Z96" s="507" t="s">
        <v>21</v>
      </c>
      <c r="AA96" s="453" t="s">
        <v>21</v>
      </c>
      <c r="AB96" s="449" t="s">
        <v>21</v>
      </c>
      <c r="AC96" s="899" t="s">
        <v>21</v>
      </c>
      <c r="AD96" s="1290" t="s">
        <v>21</v>
      </c>
      <c r="AE96" s="453" t="s">
        <v>21</v>
      </c>
      <c r="AF96" s="453" t="s">
        <v>21</v>
      </c>
      <c r="AG96" s="451" t="s">
        <v>21</v>
      </c>
      <c r="AH96" s="237" t="s">
        <v>21</v>
      </c>
      <c r="AI96" s="896" t="s">
        <v>21</v>
      </c>
      <c r="AJ96" s="451">
        <v>25</v>
      </c>
      <c r="AK96" s="451">
        <v>373</v>
      </c>
      <c r="AL96" s="451">
        <v>93</v>
      </c>
      <c r="AM96" s="451">
        <f>_xlfn.LET(_xlpm._全体実績予測,
  INDEX('在庫使用計画 (全体実績+予測）0701'!$A$1:$BD$195,
    MATCH($C96,'在庫使用計画 (全体実績+予測）0701'!$C$1:$C$195,0),
    MATCH(AM$1,'在庫使用計画 (全体実績+予測）0701'!$A$1:$BD$1,0)
),
  IFERROR(
    IF(_xlpm._全体実績予測=0,"",_xlpm._全体実績予測),
  "")
)</f>
        <v>28</v>
      </c>
      <c r="AN96" s="889">
        <f>_xlfn.LET(_xlpm._全体実績予測,
  INDEX('在庫使用計画 (全体実績+予測）0701'!$A$1:$BD$195,
    MATCH($C96,'在庫使用計画 (全体実績+予測）0701'!$C$1:$C$195,0),
    MATCH(AN$1,'在庫使用計画 (全体実績+予測）0701'!$A$1:$BD$1,0)
),
  IFERROR(
    IF(_xlpm._全体実績予測=0,"",_xlpm._全体実績予測),
  "")
)</f>
        <v>817.5</v>
      </c>
      <c r="AO96" s="889">
        <f>_xlfn.LET(_xlpm._全体実績予測,
  INDEX('在庫使用計画 (全体実績+予測）0701'!$A$1:$BD$195,
    MATCH($C96,'在庫使用計画 (全体実績+予測）0701'!$C$1:$C$195,0),
    MATCH(AO$1,'在庫使用計画 (全体実績+予測）0701'!$A$1:$BD$1,0)
),
  IFERROR(
    IF(_xlpm._全体実績予測=0,"",_xlpm._全体実績予測),
  "")
)</f>
        <v>897.13218469029323</v>
      </c>
      <c r="AP96" s="451">
        <f>_xlfn.LET(_xlpm._全体実績予測,
  INDEX('在庫使用計画 (全体実績+予測）0701'!$A$1:$BD$195,
    MATCH($C96,'在庫使用計画 (全体実績+予測）0701'!$C$1:$C$195,0),
    MATCH(AP$1,'在庫使用計画 (全体実績+予測）0701'!$A$1:$BD$1,0)
),
  IFERROR(
    IF(_xlpm._全体実績予測=0,"",_xlpm._全体実績予測),
  "")
)</f>
        <v>825.14549799296856</v>
      </c>
      <c r="AQ96" s="2121">
        <f>_xlfn.LET(_xlpm._全体実績予測,
  INDEX('在庫使用計画 (全体実績+予測）0701'!$A$1:$BD$195,
    MATCH($C96,'在庫使用計画 (全体実績+予測）0701'!$C$1:$C$195,0),
    MATCH(AQ$1,'在庫使用計画 (全体実績+予測）0701'!$A$1:$BD$1,0)
),
  IFERROR(
    IF(_xlpm._全体実績予測=0,"",_xlpm._全体実績予測),
  "")
)</f>
        <v>891.34591364119296</v>
      </c>
      <c r="AR96" s="2137">
        <f>_xlfn.LET(_xlpm._全体実績予測,
  INDEX('在庫使用計画 (全体実績+予測）0701'!$A$1:$BD$195,
    MATCH($C96,'在庫使用計画 (全体実績+予測）0701'!$C$1:$C$195,0),
    MATCH(AR$1,'在庫使用計画 (全体実績+予測）0701'!$A$1:$BD$1,0)
),
  IFERROR(
    IF(_xlpm._全体実績予測=0,"",_xlpm._全体実績予測),
  "")
)</f>
        <v>959.88361475031525</v>
      </c>
      <c r="AS96" s="1292">
        <f>_xlfn.LET(_xlpm._全体実績予測,
  INDEX('在庫使用計画 (全体実績+予測）0701'!$A$1:$BD$195,
    MATCH($C96,'在庫使用計画 (全体実績+予測）0701'!$C$1:$C$195,0),
    MATCH(AS$1,'在庫使用計画 (全体実績+予測）0701'!$A$1:$BD$1,0)
),
  IFERROR(
    IF(_xlpm._全体実績予測=0,"",_xlpm._全体実績予測),
  "")
)</f>
        <v>993.43135829949085</v>
      </c>
      <c r="AT96" s="897">
        <f>_xlfn.LET(_xlpm._全体実績予測,
  INDEX('在庫使用計画 (全体実績+予測）0701'!$A$1:$BD$195,
    MATCH($C96,'在庫使用計画 (全体実績+予測）0701'!$C$1:$C$195,0),
    MATCH(AT$1,'在庫使用計画 (全体実績+予測）0701'!$A$1:$BD$1,0)
),
  IFERROR(
    IF(_xlpm._全体実績予測=0,"",_xlpm._全体実績予測),
  "")
)</f>
        <v>1464.2464671830658</v>
      </c>
      <c r="AU96" s="896">
        <f>_xlfn.LET(_xlpm._全体実績予測,
  INDEX('在庫使用計画 (全体実績+予測）0701'!$A$1:$BD$195,
    MATCH($C96,'在庫使用計画 (全体実績+予測）0701'!$C$1:$C$195,0),
    MATCH(AU$1,'在庫使用計画 (全体実績+予測）0701'!$A$1:$BD$1,0)
),
  IFERROR(
    IF(_xlpm._全体実績予測=0,"",_xlpm._全体実績予測),
  "")
)</f>
        <v>1263.5985890952638</v>
      </c>
      <c r="AV96" s="451">
        <f>_xlfn.LET(_xlpm._全体実績予測,
  INDEX('在庫使用計画 (全体実績+予測）0701'!$A$1:$BD$195,
    MATCH($C96,'在庫使用計画 (全体実績+予測）0701'!$C$1:$C$195,0),
    MATCH(AV$1,'在庫使用計画 (全体実績+予測）0701'!$A$1:$BD$1,0)
),
  IFERROR(
    IF(_xlpm._全体実績予測=0,"",_xlpm._全体実績予測),
  "")
)</f>
        <v>1191.3366310452811</v>
      </c>
      <c r="AW96" s="451">
        <f>_xlfn.LET(_xlpm._全体実績予測,
  INDEX('在庫使用計画 (全体実績+予測）0701'!$A$1:$BD$195,
    MATCH($C96,'在庫使用計画 (全体実績+予測）0701'!$C$1:$C$195,0),
    MATCH(AW$1,'在庫使用計画 (全体実績+予測）0701'!$A$1:$BD$1,0)
),
  IFERROR(
    IF(_xlpm._全体実績予測=0,"",_xlpm._全体実績予測),
  "")
)</f>
        <v>1760.5862362797304</v>
      </c>
      <c r="AX96" s="451">
        <f>_xlfn.LET(_xlpm._全体実績予測,
  INDEX('在庫使用計画 (全体実績+予測）0701'!$A$1:$BD$195,
    MATCH($C96,'在庫使用計画 (全体実績+予測）0701'!$C$1:$C$195,0),
    MATCH(AX$1,'在庫使用計画 (全体実績+予測）0701'!$A$1:$BD$1,0)
),
  IFERROR(
    IF(_xlpm._全体実績予測=0,"",_xlpm._全体実績予測),
  "")
)</f>
        <v>1081.056444446933</v>
      </c>
      <c r="AY96" s="451">
        <f>_xlfn.LET(_xlpm._全体実績予測,
  INDEX('在庫使用計画 (全体実績+予測）0701'!$A$1:$BD$195,
    MATCH($C96,'在庫使用計画 (全体実績+予測）0701'!$C$1:$C$195,0),
    MATCH(AY$1,'在庫使用計画 (全体実績+予測）0701'!$A$1:$BD$1,0)
),
  IFERROR(
    IF(_xlpm._全体実績予測=0,"",_xlpm._全体実績予測),
  "")
)</f>
        <v>784.01489330232948</v>
      </c>
      <c r="AZ96" s="451">
        <f>_xlfn.LET(_xlpm._全体実績予測,
  INDEX('在庫使用計画 (全体実績+予測）0701'!$A$1:$BD$195,
    MATCH($C96,'在庫使用計画 (全体実績+予測）0701'!$C$1:$C$195,0),
    MATCH(AZ$1,'在庫使用計画 (全体実績+予測）0701'!$A$1:$BD$1,0)
),
  IFERROR(
    IF(_xlpm._全体実績予測=0,"",_xlpm._全体実績予測),
  "")
)</f>
        <v>817.49999999999989</v>
      </c>
      <c r="BA96" s="451">
        <f>_xlfn.LET(_xlpm._全体実績予測,
  INDEX('在庫使用計画 (全体実績+予測）0701'!$A$1:$BD$195,
    MATCH($C96,'在庫使用計画 (全体実績+予測）0701'!$C$1:$C$195,0),
    MATCH(BA$1,'在庫使用計画 (全体実績+予測）0701'!$A$1:$BD$1,0)
),
  IFERROR(
    IF(_xlpm._全体実績予測=0,"",_xlpm._全体実績予測),
  "")
)</f>
        <v>897.13218469029312</v>
      </c>
      <c r="BB96" s="451">
        <f>_xlfn.LET(_xlpm._全体実績予測,
  INDEX('在庫使用計画 (全体実績+予測）0701'!$A$1:$BD$195,
    MATCH($C96,'在庫使用計画 (全体実績+予測）0701'!$C$1:$C$195,0),
    MATCH(BB$1,'在庫使用計画 (全体実績+予測）0701'!$A$1:$BD$1,0)
),
  IFERROR(
    IF(_xlpm._全体実績予測=0,"",_xlpm._全体実績予測),
  "")
)</f>
        <v>825.14549799296844</v>
      </c>
      <c r="BC96" s="451">
        <f>_xlfn.LET(_xlpm._全体実績予測,
  INDEX('在庫使用計画 (全体実績+予測）0701'!$A$1:$BD$195,
    MATCH($C96,'在庫使用計画 (全体実績+予測）0701'!$C$1:$C$195,0),
    MATCH(BC$1,'在庫使用計画 (全体実績+予測）0701'!$A$1:$BD$1,0)
),
  IFERROR(
    IF(_xlpm._全体実績予測=0,"",_xlpm._全体実績予測),
  "")
)</f>
        <v>891.34591364119285</v>
      </c>
      <c r="BD96" s="451">
        <f>_xlfn.LET(_xlpm._全体実績予測,
  INDEX('在庫使用計画 (全体実績+予測）0701'!$A$1:$BD$195,
    MATCH($C96,'在庫使用計画 (全体実績+予測）0701'!$C$1:$C$195,0),
    MATCH(BD$1,'在庫使用計画 (全体実績+予測）0701'!$A$1:$BD$1,0)
),
  IFERROR(
    IF(_xlpm._全体実績予測=0,"",_xlpm._全体実績予測),
  "")
)</f>
        <v>959.88361475031513</v>
      </c>
      <c r="BE96" s="451">
        <f>_xlfn.LET(_xlpm._全体実績予測,
  INDEX('在庫使用計画 (全体実績+予測）0701'!$A$1:$BD$195,
    MATCH($C96,'在庫使用計画 (全体実績+予測）0701'!$C$1:$C$195,0),
    MATCH(BE$1,'在庫使用計画 (全体実績+予測）0701'!$A$1:$BD$1,0)
),
  IFERROR(
    IF(_xlpm._全体実績予測=0,"",_xlpm._全体実績予測),
  "")
)</f>
        <v>993.43135829949074</v>
      </c>
      <c r="BF96" s="897">
        <f>_xlfn.LET(_xlpm._全体実績予測,
  INDEX('在庫使用計画 (全体実績+予測）0701'!$A$1:$BD$195,
    MATCH($C96,'在庫使用計画 (全体実績+予測）0701'!$C$1:$C$195,0),
    MATCH(BF$1,'在庫使用計画 (全体実績+予測）0701'!$A$1:$BD$1,0)
),
  IFERROR(
    IF(_xlpm._全体実績予測=0,"",_xlpm._全体実績予測),
  "")
)</f>
        <v>1464.2464671830655</v>
      </c>
    </row>
    <row r="97" spans="1:60" ht="18.75" customHeight="1" thickBot="1">
      <c r="A97" s="71"/>
      <c r="B97" s="28" t="str">
        <v/>
      </c>
      <c r="C97" s="1048"/>
      <c r="D97" s="34" t="s">
        <v>1415</v>
      </c>
      <c r="E97" s="68" t="s">
        <v>1416</v>
      </c>
      <c r="F97" s="68" t="s">
        <v>1347</v>
      </c>
      <c r="G97" s="38" t="str">
        <v/>
      </c>
      <c r="H97" s="38" t="str">
        <f ca="1">_xlfn.LET(_xlpm._今月から4ヶ月計画合計,
  SUM(
    OFFSET($A97,0,
      MATCH(
        EDATE(基準データ!$C$5,3),$A$1:$BE$1,1
      )-4,1,4)),
  IF($C97="","",_xlpm._今月から4ヶ月計画合計
)
)</f>
        <v/>
      </c>
      <c r="I97" s="38">
        <f>SUMIFS(在庫確認!$D:$D,在庫確認!$B:$B,'在庫使用計画 (計画　予測)'!$C:$C)</f>
        <v>0</v>
      </c>
      <c r="J97" s="1116" t="str" cm="1">
        <f t="array" ref="J97">_xlfn.IFS($C97="","",
  $G97="","発売前？",
  $G97=0,"在庫なし",
  TRUE,
  IFERROR(
    _xlfn.LET(
      _xlpm._在庫注残,     $G97,
      _xlpm._しきい値,     _xlpm._在庫注残 * 0.75,
      _xlpm._見出し元,     $K$1:$BT$1,
      _xlpm._計画,         $K97:$BT97,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
      </c>
      <c r="K97" s="311" t="s">
        <v>21</v>
      </c>
      <c r="L97" s="311" t="s">
        <v>21</v>
      </c>
      <c r="M97" s="311" t="s">
        <v>21</v>
      </c>
      <c r="N97" s="38" t="s">
        <v>21</v>
      </c>
      <c r="O97" s="38" t="s">
        <v>21</v>
      </c>
      <c r="P97" s="38" t="s">
        <v>21</v>
      </c>
      <c r="Q97" s="116" t="s">
        <v>21</v>
      </c>
      <c r="R97" s="1350" t="s">
        <v>21</v>
      </c>
      <c r="S97" s="219" t="s">
        <v>21</v>
      </c>
      <c r="T97" s="219" t="s">
        <v>21</v>
      </c>
      <c r="U97" s="219" t="s">
        <v>21</v>
      </c>
      <c r="V97" s="219" t="s">
        <v>21</v>
      </c>
      <c r="W97" s="224" t="s">
        <v>21</v>
      </c>
      <c r="X97" s="335" t="s">
        <v>21</v>
      </c>
      <c r="Y97" s="335" t="s">
        <v>21</v>
      </c>
      <c r="Z97" s="335" t="s">
        <v>21</v>
      </c>
      <c r="AA97" s="335" t="s">
        <v>21</v>
      </c>
      <c r="AB97" s="335" t="s">
        <v>21</v>
      </c>
      <c r="AC97" s="1370" t="s">
        <v>21</v>
      </c>
      <c r="AD97" s="1342" t="s">
        <v>21</v>
      </c>
      <c r="AE97" s="419" t="s">
        <v>21</v>
      </c>
      <c r="AF97" s="335" t="s">
        <v>21</v>
      </c>
      <c r="AG97" s="335" t="s">
        <v>21</v>
      </c>
      <c r="AH97" s="823" t="s">
        <v>21</v>
      </c>
      <c r="AI97" s="845" t="s">
        <v>21</v>
      </c>
      <c r="AJ97" s="224" t="s">
        <v>21</v>
      </c>
      <c r="AK97" s="224" t="s">
        <v>21</v>
      </c>
      <c r="AL97" s="224" t="s">
        <v>21</v>
      </c>
      <c r="AM97" s="224" t="str">
        <f>IFERROR(IF(SUM(INDEX('在庫使用計画 (一般)'!$A$1:$BF$557,MATCH($C97,'在庫使用計画 (一般)'!$C$1:$C$557,0),MATCH(AM$1,'在庫使用計画 (一般)'!$A$1:$BF$1,0)),INDEX('在庫使用計画 (法人)'!$A$1:$AT$578,MATCH($C97,'在庫使用計画 (法人)'!$C$1:$C$578,0),MATCH(AM$1,'在庫使用計画 (法人)'!$A$1:$AT$1,0)))=0,"",SUM(INDEX('在庫使用計画 (一般)'!$A$1:$BF$557,MATCH($C97,'在庫使用計画 (一般)'!$C$1:$C$557,0),MATCH(AM$1,'在庫使用計画 (一般)'!$A$1:$BF$1,0)),INDEX('在庫使用計画 (法人)'!$A$1:$AT$578,MATCH($C97,'在庫使用計画 (法人)'!$C$1:$C$578,0),MATCH(AM$1,'在庫使用計画 (法人)'!$A$1:$AT$1,0)))),"")</f>
        <v/>
      </c>
      <c r="AN97" s="237" t="str">
        <f>IFERROR(IF(SUM(INDEX('在庫使用計画 (一般)'!$A$1:$BF$557,MATCH($C97,'在庫使用計画 (一般)'!$C$1:$C$557,0),MATCH(AN$1,'在庫使用計画 (一般)'!$A$1:$BF$1,0)),INDEX('在庫使用計画 (法人)'!$A$1:$AT$578,MATCH($C97,'在庫使用計画 (法人)'!$C$1:$C$578,0),MATCH(AN$1,'在庫使用計画 (法人)'!$A$1:$AT$1,0)))=0,"",SUM(INDEX('在庫使用計画 (一般)'!$A$1:$BF$557,MATCH($C97,'在庫使用計画 (一般)'!$C$1:$C$557,0),MATCH(AN$1,'在庫使用計画 (一般)'!$A$1:$BF$1,0)),INDEX('在庫使用計画 (法人)'!$A$1:$AT$578,MATCH($C97,'在庫使用計画 (法人)'!$C$1:$C$578,0),MATCH(AN$1,'在庫使用計画 (法人)'!$A$1:$AT$1,0)))),"")</f>
        <v/>
      </c>
      <c r="AO97" s="237" t="str">
        <f>IFERROR(IF(SUM(INDEX('在庫使用計画 (一般)'!$A$1:$BF$557,MATCH($C97,'在庫使用計画 (一般)'!$C$1:$C$557,0),MATCH(AO$1,'在庫使用計画 (一般)'!$A$1:$BF$1,0)),INDEX('在庫使用計画 (法人)'!$A$1:$AT$578,MATCH($C97,'在庫使用計画 (法人)'!$C$1:$C$578,0),MATCH(AO$1,'在庫使用計画 (法人)'!$A$1:$AT$1,0)))=0,"",SUM(INDEX('在庫使用計画 (一般)'!$A$1:$BF$557,MATCH($C97,'在庫使用計画 (一般)'!$C$1:$C$557,0),MATCH(AO$1,'在庫使用計画 (一般)'!$A$1:$BF$1,0)),INDEX('在庫使用計画 (法人)'!$A$1:$AT$578,MATCH($C97,'在庫使用計画 (法人)'!$C$1:$C$578,0),MATCH(AO$1,'在庫使用計画 (法人)'!$A$1:$AT$1,0)))),"")</f>
        <v/>
      </c>
      <c r="AP97" s="224" t="str">
        <f>IFERROR(IF(SUM(INDEX('在庫使用計画 (一般)'!$A$1:$BF$557,MATCH($C97,'在庫使用計画 (一般)'!$C$1:$C$557,0),MATCH(AP$1,'在庫使用計画 (一般)'!$A$1:$BF$1,0)),INDEX('在庫使用計画 (法人)'!$A$1:$AT$578,MATCH($C97,'在庫使用計画 (法人)'!$C$1:$C$578,0),MATCH(AP$1,'在庫使用計画 (法人)'!$A$1:$AT$1,0)))=0,"",SUM(INDEX('在庫使用計画 (一般)'!$A$1:$BF$557,MATCH($C97,'在庫使用計画 (一般)'!$C$1:$C$557,0),MATCH(AP$1,'在庫使用計画 (一般)'!$A$1:$BF$1,0)),INDEX('在庫使用計画 (法人)'!$A$1:$AT$578,MATCH($C97,'在庫使用計画 (法人)'!$C$1:$C$578,0),MATCH(AP$1,'在庫使用計画 (法人)'!$A$1:$AT$1,0)))),"")</f>
        <v/>
      </c>
      <c r="AQ97" s="1050" t="str">
        <f>IFERROR(IF(SUM(INDEX('在庫使用計画 (一般)'!$A$1:$BF$557,MATCH($C97,'在庫使用計画 (一般)'!$C$1:$C$557,0),MATCH(AQ$1,'在庫使用計画 (一般)'!$A$1:$BF$1,0)),INDEX('在庫使用計画 (法人)'!$A$1:$AT$578,MATCH($C97,'在庫使用計画 (法人)'!$C$1:$C$578,0),MATCH(AQ$1,'在庫使用計画 (法人)'!$A$1:$AT$1,0)))=0,"",SUM(INDEX('在庫使用計画 (一般)'!$A$1:$BF$557,MATCH($C97,'在庫使用計画 (一般)'!$C$1:$C$557,0),MATCH(AQ$1,'在庫使用計画 (一般)'!$A$1:$BF$1,0)),INDEX('在庫使用計画 (法人)'!$A$1:$AT$578,MATCH($C97,'在庫使用計画 (法人)'!$C$1:$C$578,0),MATCH(AQ$1,'在庫使用計画 (法人)'!$A$1:$AT$1,0)))),"")</f>
        <v/>
      </c>
      <c r="AR97" s="2130" t="str">
        <f>IFERROR(IF(SUM(INDEX('在庫使用計画 (一般)'!$A$1:$BF$557,MATCH($C97,'在庫使用計画 (一般)'!$C$1:$C$557,0),MATCH(AR$1,'在庫使用計画 (一般)'!$A$1:$BF$1,0)),INDEX('在庫使用計画 (法人)'!$A$1:$AT$578,MATCH($C97,'在庫使用計画 (法人)'!$C$1:$C$578,0),MATCH(AR$1,'在庫使用計画 (法人)'!$A$1:$AT$1,0)))=0,"",SUM(INDEX('在庫使用計画 (一般)'!$A$1:$BF$557,MATCH($C97,'在庫使用計画 (一般)'!$C$1:$C$557,0),MATCH(AR$1,'在庫使用計画 (一般)'!$A$1:$BF$1,0)),INDEX('在庫使用計画 (法人)'!$A$1:$AT$578,MATCH($C97,'在庫使用計画 (法人)'!$C$1:$C$578,0),MATCH(AR$1,'在庫使用計画 (法人)'!$A$1:$AT$1,0)))),"")</f>
        <v/>
      </c>
      <c r="AS97" s="244" t="str">
        <f>IFERROR(IF(SUM(INDEX('在庫使用計画 (一般)'!$A$1:$BF$557,MATCH($C97,'在庫使用計画 (一般)'!$C$1:$C$557,0),MATCH(AS$1,'在庫使用計画 (一般)'!$A$1:$BF$1,0)),INDEX('在庫使用計画 (法人)'!$A$1:$AT$578,MATCH($C97,'在庫使用計画 (法人)'!$C$1:$C$578,0),MATCH(AS$1,'在庫使用計画 (法人)'!$A$1:$AT$1,0)))=0,"",SUM(INDEX('在庫使用計画 (一般)'!$A$1:$BF$557,MATCH($C97,'在庫使用計画 (一般)'!$C$1:$C$557,0),MATCH(AS$1,'在庫使用計画 (一般)'!$A$1:$BF$1,0)),INDEX('在庫使用計画 (法人)'!$A$1:$AT$578,MATCH($C97,'在庫使用計画 (法人)'!$C$1:$C$578,0),MATCH(AS$1,'在庫使用計画 (法人)'!$A$1:$AT$1,0)))),"")</f>
        <v/>
      </c>
      <c r="AT97" s="805" t="str">
        <f>IFERROR(IF(SUM(INDEX('在庫使用計画 (一般)'!$A$1:$BF$557,MATCH($C97,'在庫使用計画 (一般)'!$C$1:$C$557,0),MATCH(AT$1,'在庫使用計画 (一般)'!$A$1:$BF$1,0)),INDEX('在庫使用計画 (法人)'!$A$1:$AT$578,MATCH($C97,'在庫使用計画 (法人)'!$C$1:$C$578,0),MATCH(AT$1,'在庫使用計画 (法人)'!$A$1:$AT$1,0)))=0,"",SUM(INDEX('在庫使用計画 (一般)'!$A$1:$BF$557,MATCH($C97,'在庫使用計画 (一般)'!$C$1:$C$557,0),MATCH(AT$1,'在庫使用計画 (一般)'!$A$1:$BF$1,0)),INDEX('在庫使用計画 (法人)'!$A$1:$AT$578,MATCH($C97,'在庫使用計画 (法人)'!$C$1:$C$578,0),MATCH(AT$1,'在庫使用計画 (法人)'!$A$1:$AT$1,0)))),"")</f>
        <v/>
      </c>
      <c r="AU97" s="845" t="str">
        <f>IFERROR(IF(SUM(INDEX('在庫使用計画 (一般)'!$A$1:$BF$557,MATCH($C97,'在庫使用計画 (一般)'!$C$1:$C$557,0),MATCH(AU$1,'在庫使用計画 (一般)'!$A$1:$BF$1,0)),INDEX('在庫使用計画 (法人)'!$A$1:$AT$578,MATCH($C97,'在庫使用計画 (法人)'!$C$1:$C$578,0),MATCH(AU$1,'在庫使用計画 (法人)'!$A$1:$AT$1,0)))=0,"",SUM(INDEX('在庫使用計画 (一般)'!$A$1:$BF$557,MATCH($C97,'在庫使用計画 (一般)'!$C$1:$C$557,0),MATCH(AU$1,'在庫使用計画 (一般)'!$A$1:$BF$1,0)),INDEX('在庫使用計画 (法人)'!$A$1:$AT$578,MATCH($C97,'在庫使用計画 (法人)'!$C$1:$C$578,0),MATCH(AU$1,'在庫使用計画 (法人)'!$A$1:$AT$1,0)))),"")</f>
        <v/>
      </c>
      <c r="AV97" s="224" t="str">
        <f>IFERROR(IF(SUM(INDEX('在庫使用計画 (一般)'!$A$1:$BF$557,MATCH($C97,'在庫使用計画 (一般)'!$C$1:$C$557,0),MATCH(AV$1,'在庫使用計画 (一般)'!$A$1:$BF$1,0)),INDEX('在庫使用計画 (法人)'!$A$1:$AT$578,MATCH($C97,'在庫使用計画 (法人)'!$C$1:$C$578,0),MATCH(AV$1,'在庫使用計画 (法人)'!$A$1:$AT$1,0)))=0,"",SUM(INDEX('在庫使用計画 (一般)'!$A$1:$BF$557,MATCH($C97,'在庫使用計画 (一般)'!$C$1:$C$557,0),MATCH(AV$1,'在庫使用計画 (一般)'!$A$1:$BF$1,0)),INDEX('在庫使用計画 (法人)'!$A$1:$AT$578,MATCH($C97,'在庫使用計画 (法人)'!$C$1:$C$578,0),MATCH(AV$1,'在庫使用計画 (法人)'!$A$1:$AT$1,0)))),"")</f>
        <v/>
      </c>
      <c r="AW97" s="224" t="str">
        <f>IFERROR(IF(SUM(INDEX('在庫使用計画 (一般)'!$A$1:$BF$557,MATCH($C97,'在庫使用計画 (一般)'!$C$1:$C$557,0),MATCH(AW$1,'在庫使用計画 (一般)'!$A$1:$BF$1,0)),INDEX('在庫使用計画 (法人)'!$A$1:$AT$578,MATCH($C97,'在庫使用計画 (法人)'!$C$1:$C$578,0),MATCH(AW$1,'在庫使用計画 (法人)'!$A$1:$AT$1,0)))=0,"",SUM(INDEX('在庫使用計画 (一般)'!$A$1:$BF$557,MATCH($C97,'在庫使用計画 (一般)'!$C$1:$C$557,0),MATCH(AW$1,'在庫使用計画 (一般)'!$A$1:$BF$1,0)),INDEX('在庫使用計画 (法人)'!$A$1:$AT$578,MATCH($C97,'在庫使用計画 (法人)'!$C$1:$C$578,0),MATCH(AW$1,'在庫使用計画 (法人)'!$A$1:$AT$1,0)))),"")</f>
        <v/>
      </c>
      <c r="AX97" s="224" t="str">
        <f>IFERROR(IF(SUM(INDEX('在庫使用計画 (一般)'!$A$1:$BF$557,MATCH($C97,'在庫使用計画 (一般)'!$C$1:$C$557,0),MATCH(AX$1,'在庫使用計画 (一般)'!$A$1:$BF$1,0)),INDEX('在庫使用計画 (法人)'!$A$1:$AT$578,MATCH($C97,'在庫使用計画 (法人)'!$C$1:$C$578,0),MATCH(AX$1,'在庫使用計画 (法人)'!$A$1:$AT$1,0)))=0,"",SUM(INDEX('在庫使用計画 (一般)'!$A$1:$BF$557,MATCH($C97,'在庫使用計画 (一般)'!$C$1:$C$557,0),MATCH(AX$1,'在庫使用計画 (一般)'!$A$1:$BF$1,0)),INDEX('在庫使用計画 (法人)'!$A$1:$AT$578,MATCH($C97,'在庫使用計画 (法人)'!$C$1:$C$578,0),MATCH(AX$1,'在庫使用計画 (法人)'!$A$1:$AT$1,0)))),"")</f>
        <v/>
      </c>
      <c r="AY97" s="224" t="str">
        <f>IFERROR(IF(SUM(INDEX('在庫使用計画 (一般)'!$A$1:$BF$557,MATCH($C97,'在庫使用計画 (一般)'!$C$1:$C$557,0),MATCH(AY$1,'在庫使用計画 (一般)'!$A$1:$BF$1,0)),INDEX('在庫使用計画 (法人)'!$A$1:$AT$578,MATCH($C97,'在庫使用計画 (法人)'!$C$1:$C$578,0),MATCH(AY$1,'在庫使用計画 (法人)'!$A$1:$AT$1,0)))=0,"",SUM(INDEX('在庫使用計画 (一般)'!$A$1:$BF$557,MATCH($C97,'在庫使用計画 (一般)'!$C$1:$C$557,0),MATCH(AY$1,'在庫使用計画 (一般)'!$A$1:$BF$1,0)),INDEX('在庫使用計画 (法人)'!$A$1:$AT$578,MATCH($C97,'在庫使用計画 (法人)'!$C$1:$C$578,0),MATCH(AY$1,'在庫使用計画 (法人)'!$A$1:$AT$1,0)))),"")</f>
        <v/>
      </c>
      <c r="AZ97" s="224" t="str">
        <f>IFERROR(IF(SUM(INDEX('在庫使用計画 (一般)'!$A$1:$BF$557,MATCH($C97,'在庫使用計画 (一般)'!$C$1:$C$557,0),MATCH(AZ$1,'在庫使用計画 (一般)'!$A$1:$BF$1,0)),INDEX('在庫使用計画 (法人)'!$A$1:$AT$578,MATCH($C97,'在庫使用計画 (法人)'!$C$1:$C$578,0),MATCH(AZ$1,'在庫使用計画 (法人)'!$A$1:$AT$1,0)))=0,"",SUM(INDEX('在庫使用計画 (一般)'!$A$1:$BF$557,MATCH($C97,'在庫使用計画 (一般)'!$C$1:$C$557,0),MATCH(AZ$1,'在庫使用計画 (一般)'!$A$1:$BF$1,0)),INDEX('在庫使用計画 (法人)'!$A$1:$AT$578,MATCH($C97,'在庫使用計画 (法人)'!$C$1:$C$578,0),MATCH(AZ$1,'在庫使用計画 (法人)'!$A$1:$AT$1,0)))),"")</f>
        <v/>
      </c>
      <c r="BA97" s="224" t="str">
        <f>IFERROR(IF(SUM(INDEX('在庫使用計画 (一般)'!$A$1:$BF$557,MATCH($C97,'在庫使用計画 (一般)'!$C$1:$C$557,0),MATCH(BA$1,'在庫使用計画 (一般)'!$A$1:$BF$1,0)),INDEX('在庫使用計画 (法人)'!$A$1:$AT$578,MATCH($C97,'在庫使用計画 (法人)'!$C$1:$C$578,0),MATCH(BA$1,'在庫使用計画 (法人)'!$A$1:$AT$1,0)))=0,"",SUM(INDEX('在庫使用計画 (一般)'!$A$1:$BF$557,MATCH($C97,'在庫使用計画 (一般)'!$C$1:$C$557,0),MATCH(BA$1,'在庫使用計画 (一般)'!$A$1:$BF$1,0)),INDEX('在庫使用計画 (法人)'!$A$1:$AT$578,MATCH($C97,'在庫使用計画 (法人)'!$C$1:$C$578,0),MATCH(BA$1,'在庫使用計画 (法人)'!$A$1:$AT$1,0)))),"")</f>
        <v/>
      </c>
      <c r="BB97" s="224" t="str">
        <f>IFERROR(IF(SUM(INDEX('在庫使用計画 (一般)'!$A$1:$BF$557,MATCH($C97,'在庫使用計画 (一般)'!$C$1:$C$557,0),MATCH(BB$1,'在庫使用計画 (一般)'!$A$1:$BF$1,0)),INDEX('在庫使用計画 (法人)'!$A$1:$AT$578,MATCH($C97,'在庫使用計画 (法人)'!$C$1:$C$578,0),MATCH(BB$1,'在庫使用計画 (法人)'!$A$1:$AT$1,0)))=0,"",SUM(INDEX('在庫使用計画 (一般)'!$A$1:$BF$557,MATCH($C97,'在庫使用計画 (一般)'!$C$1:$C$557,0),MATCH(BB$1,'在庫使用計画 (一般)'!$A$1:$BF$1,0)),INDEX('在庫使用計画 (法人)'!$A$1:$AT$578,MATCH($C97,'在庫使用計画 (法人)'!$C$1:$C$578,0),MATCH(BB$1,'在庫使用計画 (法人)'!$A$1:$AT$1,0)))),"")</f>
        <v/>
      </c>
      <c r="BC97" s="224" t="str">
        <f>IFERROR(IF(SUM(INDEX('在庫使用計画 (一般)'!$A$1:$BF$557,MATCH($C97,'在庫使用計画 (一般)'!$C$1:$C$557,0),MATCH(BC$1,'在庫使用計画 (一般)'!$A$1:$BF$1,0)),INDEX('在庫使用計画 (法人)'!$A$1:$AT$578,MATCH($C97,'在庫使用計画 (法人)'!$C$1:$C$578,0),MATCH(BC$1,'在庫使用計画 (法人)'!$A$1:$AT$1,0)))=0,"",SUM(INDEX('在庫使用計画 (一般)'!$A$1:$BF$557,MATCH($C97,'在庫使用計画 (一般)'!$C$1:$C$557,0),MATCH(BC$1,'在庫使用計画 (一般)'!$A$1:$BF$1,0)),INDEX('在庫使用計画 (法人)'!$A$1:$AT$578,MATCH($C97,'在庫使用計画 (法人)'!$C$1:$C$578,0),MATCH(BC$1,'在庫使用計画 (法人)'!$A$1:$AT$1,0)))),"")</f>
        <v/>
      </c>
      <c r="BD97" s="224" t="str">
        <f>IFERROR(IF(SUM(INDEX('在庫使用計画 (一般)'!$A$1:$BF$557,MATCH($C97,'在庫使用計画 (一般)'!$C$1:$C$557,0),MATCH(BD$1,'在庫使用計画 (一般)'!$A$1:$BF$1,0)),INDEX('在庫使用計画 (法人)'!$A$1:$AT$578,MATCH($C97,'在庫使用計画 (法人)'!$C$1:$C$578,0),MATCH(BD$1,'在庫使用計画 (法人)'!$A$1:$AT$1,0)))=0,"",SUM(INDEX('在庫使用計画 (一般)'!$A$1:$BF$557,MATCH($C97,'在庫使用計画 (一般)'!$C$1:$C$557,0),MATCH(BD$1,'在庫使用計画 (一般)'!$A$1:$BF$1,0)),INDEX('在庫使用計画 (法人)'!$A$1:$AT$578,MATCH($C97,'在庫使用計画 (法人)'!$C$1:$C$578,0),MATCH(BD$1,'在庫使用計画 (法人)'!$A$1:$AT$1,0)))),"")</f>
        <v/>
      </c>
      <c r="BE97" s="224" t="str">
        <f>IFERROR(IF(SUM(INDEX('在庫使用計画 (一般)'!$A$1:$BF$557,MATCH($C97,'在庫使用計画 (一般)'!$C$1:$C$557,0),MATCH(BE$1,'在庫使用計画 (一般)'!$A$1:$BF$1,0)),INDEX('在庫使用計画 (法人)'!$A$1:$AT$578,MATCH($C97,'在庫使用計画 (法人)'!$C$1:$C$578,0),MATCH(BE$1,'在庫使用計画 (法人)'!$A$1:$AT$1,0)))=0,"",SUM(INDEX('在庫使用計画 (一般)'!$A$1:$BF$557,MATCH($C97,'在庫使用計画 (一般)'!$C$1:$C$557,0),MATCH(BE$1,'在庫使用計画 (一般)'!$A$1:$BF$1,0)),INDEX('在庫使用計画 (法人)'!$A$1:$AT$578,MATCH($C97,'在庫使用計画 (法人)'!$C$1:$C$578,0),MATCH(BE$1,'在庫使用計画 (法人)'!$A$1:$AT$1,0)))),"")</f>
        <v/>
      </c>
      <c r="BF97" s="805" t="str">
        <f>IFERROR(IF(SUM(INDEX('在庫使用計画 (一般)'!$A$1:$BF$557,MATCH($C97,'在庫使用計画 (一般)'!$C$1:$C$557,0),MATCH(BF$1,'在庫使用計画 (一般)'!$A$1:$BF$1,0)),INDEX('在庫使用計画 (法人)'!$A$1:$AT$578,MATCH($C97,'在庫使用計画 (法人)'!$C$1:$C$578,0),MATCH(BF$1,'在庫使用計画 (法人)'!$A$1:$AT$1,0)))=0,"",SUM(INDEX('在庫使用計画 (一般)'!$A$1:$BF$557,MATCH($C97,'在庫使用計画 (一般)'!$C$1:$C$557,0),MATCH(BF$1,'在庫使用計画 (一般)'!$A$1:$BF$1,0)),INDEX('在庫使用計画 (法人)'!$A$1:$AT$578,MATCH($C97,'在庫使用計画 (法人)'!$C$1:$C$578,0),MATCH(BF$1,'在庫使用計画 (法人)'!$A$1:$AT$1,0)))),"")</f>
        <v/>
      </c>
    </row>
    <row r="98" spans="1:60" ht="18.75" customHeight="1">
      <c r="A98" s="303" t="s">
        <v>1504</v>
      </c>
      <c r="B98" s="1276" t="str">
        <v>CLE-NL75-1334U-UMA-L6-TPM Thirdwave</v>
      </c>
      <c r="C98" s="1279" t="s">
        <v>623</v>
      </c>
      <c r="D98" s="102" t="s">
        <v>1409</v>
      </c>
      <c r="E98" s="108" t="s">
        <v>1410</v>
      </c>
      <c r="F98" s="306" t="s">
        <v>1324</v>
      </c>
      <c r="G98" s="74">
        <v>436</v>
      </c>
      <c r="H98" s="38">
        <f ca="1">_xlfn.LET(_xlpm._今月から4ヶ月計画合計,
  SUM(
    OFFSET($A98,0,
      MATCH(
        EDATE(基準データ!$C$5,3),$A$1:$BE$1,1
      )-4,1,4)),
  IF($C98="","",_xlpm._今月から4ヶ月計画合計
)
)</f>
        <v>178</v>
      </c>
      <c r="I98" s="38">
        <f>SUMIFS(マスタ_EOLリスト[在庫],マスタ_EOLリスト[製品型番],'在庫使用計画 (計画　予測)'!$C:$C)</f>
        <v>136</v>
      </c>
      <c r="J98" s="1116" cm="1">
        <f t="array" ref="J98">_xlfn.IFS($C98="","",
  $G98="","発売前？",
  $G98=0,"在庫なし",
  TRUE,
  IFERROR(
    _xlfn.LET(
      _xlpm._在庫注残,     $G98,
      _xlpm._しきい値,     _xlpm._在庫注残 * 0.75,
      _xlpm._見出し元,     $K$1:$BT$1,
      _xlpm._計画,         $K98:$BT98,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46419</v>
      </c>
      <c r="K98" s="268"/>
      <c r="L98" s="268"/>
      <c r="M98" s="268"/>
      <c r="N98" s="180" t="s">
        <v>21</v>
      </c>
      <c r="O98" s="180" t="s">
        <v>21</v>
      </c>
      <c r="P98" s="180" t="s">
        <v>21</v>
      </c>
      <c r="Q98" s="1328" t="s">
        <v>21</v>
      </c>
      <c r="R98" s="1369" t="s">
        <v>21</v>
      </c>
      <c r="S98" s="299" t="s">
        <v>21</v>
      </c>
      <c r="T98" s="224">
        <v>60</v>
      </c>
      <c r="U98" s="224">
        <v>60</v>
      </c>
      <c r="V98" s="223">
        <v>40</v>
      </c>
      <c r="W98" s="224" t="s">
        <v>21</v>
      </c>
      <c r="X98" s="335" t="s">
        <v>21</v>
      </c>
      <c r="Y98" s="335" t="s">
        <v>21</v>
      </c>
      <c r="Z98" s="335" t="s">
        <v>21</v>
      </c>
      <c r="AA98" s="335" t="s">
        <v>21</v>
      </c>
      <c r="AB98" s="335" t="s">
        <v>21</v>
      </c>
      <c r="AC98" s="1370" t="s">
        <v>21</v>
      </c>
      <c r="AD98" s="1339" t="s">
        <v>21</v>
      </c>
      <c r="AE98" s="335" t="s">
        <v>21</v>
      </c>
      <c r="AF98" s="335" t="s">
        <v>21</v>
      </c>
      <c r="AG98" s="335">
        <v>15</v>
      </c>
      <c r="AH98" s="237" t="s">
        <v>21</v>
      </c>
      <c r="AI98" s="845">
        <v>10</v>
      </c>
      <c r="AJ98" s="224">
        <v>30</v>
      </c>
      <c r="AK98" s="224">
        <v>40</v>
      </c>
      <c r="AL98" s="224">
        <v>32</v>
      </c>
      <c r="AM98" s="224">
        <f>_xlfn.XLOOKUP(
$C98,
'在庫使用計画 (ノート全体試算)'!$C$1:$C$170,
'在庫使用計画 (ノート全体試算)'!AN$1:AN$170,
"")</f>
        <v>40</v>
      </c>
      <c r="AN98" s="237">
        <f>_xlfn.XLOOKUP(
$C98,
'在庫使用計画 (ノート全体試算)'!$C$1:$C$170,
'在庫使用計画 (ノート全体試算)'!AO$1:AO$170,
"")</f>
        <v>40</v>
      </c>
      <c r="AO98" s="237">
        <f>_xlfn.XLOOKUP(
$C98,
'在庫使用計画 (ノート全体試算)'!$C$1:$C$170,
'在庫使用計画 (ノート全体試算)'!AP$1:AP$170,
"")</f>
        <v>60</v>
      </c>
      <c r="AP98" s="224">
        <f>_xlfn.XLOOKUP(
$C98,
'在庫使用計画 (ノート全体試算)'!$C$1:$C$170,
'在庫使用計画 (ノート全体試算)'!AQ$1:AQ$170,
"")</f>
        <v>36</v>
      </c>
      <c r="AQ98" s="1050">
        <f>_xlfn.XLOOKUP(
$C98,
'在庫使用計画 (ノート全体試算)'!$C$1:$C$170,
'在庫使用計画 (ノート全体試算)'!AR$1:AR$170,
"")</f>
        <v>36</v>
      </c>
      <c r="AR98" s="2130">
        <f>_xlfn.XLOOKUP(
$C98,
'在庫使用計画 (ノート全体試算)'!$C$1:$C$170,
'在庫使用計画 (ノート全体試算)'!AS$1:AS$170,
"")</f>
        <v>46</v>
      </c>
      <c r="AS98" s="244">
        <f>_xlfn.XLOOKUP(
$C98,
'在庫使用計画 (ノート全体試算)'!$C$1:$C$170,
'在庫使用計画 (ノート全体試算)'!AT$1:AT$170,
"")</f>
        <v>40</v>
      </c>
      <c r="AT98" s="805">
        <f>_xlfn.XLOOKUP(
$C98,
'在庫使用計画 (ノート全体試算)'!$C$1:$C$170,
'在庫使用計画 (ノート全体試算)'!AU$1:AU$170,
"")</f>
        <v>60</v>
      </c>
      <c r="AU98" s="845">
        <f>_xlfn.XLOOKUP(
$C98,
'在庫使用計画 (ノート全体試算)'!$C$1:$C$170,
'在庫使用計画 (ノート全体試算)'!AV$1:AV$170,
"")</f>
        <v>50</v>
      </c>
      <c r="AV98" s="224">
        <f>_xlfn.XLOOKUP(
$C98,
'在庫使用計画 (ノート全体試算)'!$C$1:$C$170,
'在庫使用計画 (ノート全体試算)'!AW$1:AW$170,
"")</f>
        <v>40</v>
      </c>
      <c r="AW98" s="224">
        <f>_xlfn.XLOOKUP(
$C98,
'在庫使用計画 (ノート全体試算)'!$C$1:$C$170,
'在庫使用計画 (ノート全体試算)'!AX$1:AX$170,
"")</f>
        <v>60</v>
      </c>
      <c r="AX98" s="224" t="str">
        <f>_xlfn.XLOOKUP(
$C98,
'在庫使用計画 (ノート全体試算)'!$C$1:$C$170,
'在庫使用計画 (ノート全体試算)'!AY$1:AY$170,
"")</f>
        <v/>
      </c>
      <c r="AY98" s="224" t="str">
        <f>_xlfn.XLOOKUP(
$C98,
'在庫使用計画 (ノート全体試算)'!$C$1:$C$170,
'在庫使用計画 (ノート全体試算)'!AZ$1:AZ$170,
"")</f>
        <v/>
      </c>
      <c r="AZ98" s="224" t="str">
        <f>_xlfn.XLOOKUP(
$C98,
'在庫使用計画 (ノート全体試算)'!$C$1:$C$170,
'在庫使用計画 (ノート全体試算)'!BA$1:BA$170,
"")</f>
        <v/>
      </c>
      <c r="BA98" s="224" t="str">
        <f>_xlfn.XLOOKUP(
$C98,
'在庫使用計画 (ノート全体試算)'!$C$1:$C$170,
'在庫使用計画 (ノート全体試算)'!BB$1:BB$170,
"")</f>
        <v/>
      </c>
      <c r="BB98" s="224" t="str">
        <f>_xlfn.XLOOKUP(
$C98,
'在庫使用計画 (ノート全体試算)'!$C$1:$C$170,
'在庫使用計画 (ノート全体試算)'!BC$1:BC$170,
"")</f>
        <v/>
      </c>
      <c r="BC98" s="224" t="str">
        <f>_xlfn.XLOOKUP(
$C98,
'在庫使用計画 (ノート全体試算)'!$C$1:$C$170,
'在庫使用計画 (ノート全体試算)'!BD$1:BD$170,
"")</f>
        <v/>
      </c>
      <c r="BD98" s="224" t="str">
        <f>_xlfn.XLOOKUP(
$C98,
'在庫使用計画 (ノート全体試算)'!$C$1:$C$170,
'在庫使用計画 (ノート全体試算)'!BE$1:BE$170,
"")</f>
        <v/>
      </c>
      <c r="BE98" s="224" t="str">
        <f>_xlfn.XLOOKUP(
$C98,
'在庫使用計画 (ノート全体試算)'!$C$1:$C$170,
'在庫使用計画 (ノート全体試算)'!BF$1:BF$170,
"")</f>
        <v/>
      </c>
      <c r="BF98" s="805" t="str">
        <f>_xlfn.XLOOKUP(
$C98,
'在庫使用計画 (ノート全体試算)'!$C$1:$C$170,
'在庫使用計画 (ノート全体試算)'!BG$1:BG$170,
"")</f>
        <v/>
      </c>
      <c r="BG98" s="2091" t="s">
        <v>2656</v>
      </c>
    </row>
    <row r="99" spans="1:60" ht="18.75" customHeight="1" thickBot="1">
      <c r="A99" s="459"/>
      <c r="B99" s="1277" t="str">
        <v>CLE-NL75-1334U-UMA-L6-TPM Thirdwave</v>
      </c>
      <c r="C99" s="1280" t="s">
        <v>623</v>
      </c>
      <c r="D99" s="1278" t="s">
        <v>1763</v>
      </c>
      <c r="E99" s="460"/>
      <c r="F99" s="462"/>
      <c r="G99" s="463">
        <v>436</v>
      </c>
      <c r="H99" s="448">
        <f ca="1">_xlfn.LET(_xlpm._今月から4ヶ月計画合計,
  SUM(
    OFFSET($A99,0,
      MATCH(
        EDATE(基準データ!$C$5,3),$A$1:$BE$1,1
      )-4,1,4)),
  IF($C99="","",_xlpm._今月から4ヶ月計画合計
)
)</f>
        <v>177.97283620031618</v>
      </c>
      <c r="I99" s="448">
        <f t="shared" ref="I99:I101" si="18">I98</f>
        <v>136</v>
      </c>
      <c r="J99" s="1116" cm="1">
        <f t="array" ref="J99">_xlfn.IFS($C99="","",
  $G99="","発売前？",
  $G99=0,"在庫なし",
  TRUE,
  IFERROR(
    _xlfn.LET(
      _xlpm._在庫注残,     $G99,
      _xlpm._しきい値,     _xlpm._在庫注残 * 0.75,
      _xlpm._見出し元,     $K$1:$BT$1,
      _xlpm._計画,         $K99:$BT99,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46388</v>
      </c>
      <c r="K99" s="463"/>
      <c r="L99" s="463"/>
      <c r="M99" s="463"/>
      <c r="N99" s="463"/>
      <c r="O99" s="463"/>
      <c r="P99" s="463"/>
      <c r="Q99" s="1329"/>
      <c r="R99" s="1371"/>
      <c r="S99" s="451"/>
      <c r="T99" s="451"/>
      <c r="U99" s="451"/>
      <c r="V99" s="464"/>
      <c r="W99" s="475" t="s">
        <v>21</v>
      </c>
      <c r="X99" s="475" t="s">
        <v>21</v>
      </c>
      <c r="Y99" s="475" t="s">
        <v>21</v>
      </c>
      <c r="Z99" s="517" t="s">
        <v>21</v>
      </c>
      <c r="AA99" s="465" t="s">
        <v>21</v>
      </c>
      <c r="AB99" s="451" t="s">
        <v>21</v>
      </c>
      <c r="AC99" s="1372" t="s">
        <v>21</v>
      </c>
      <c r="AD99" s="1340" t="s">
        <v>21</v>
      </c>
      <c r="AE99" s="465" t="s">
        <v>21</v>
      </c>
      <c r="AF99" s="465" t="s">
        <v>21</v>
      </c>
      <c r="AG99" s="451" t="s">
        <v>21</v>
      </c>
      <c r="AH99" s="237" t="s">
        <v>21</v>
      </c>
      <c r="AI99" s="896" t="s">
        <v>21</v>
      </c>
      <c r="AJ99" s="451">
        <v>9</v>
      </c>
      <c r="AK99" s="451">
        <v>22</v>
      </c>
      <c r="AL99" s="451">
        <v>34</v>
      </c>
      <c r="AM99" s="451">
        <f>_xlfn.LET(_xlpm._全体実績予測,
  INDEX('在庫使用計画 (全体実績+予測）0701'!$A$1:$BD$195,
    MATCH($C99,'在庫使用計画 (全体実績+予測）0701'!$C$1:$C$195,0),
    MATCH(AM$1,'在庫使用計画 (全体実績+予測）0701'!$A$1:$BD$1,0)
),
  IFERROR(
    IF(_xlpm._全体実績予測=0,"",_xlpm._全体実績予測),
  "")
)</f>
        <v>44</v>
      </c>
      <c r="AN99" s="889">
        <f>_xlfn.LET(_xlpm._全体実績予測,
  INDEX('在庫使用計画 (全体実績+予測）0701'!$A$1:$BD$195,
    MATCH($C99,'在庫使用計画 (全体実績+予測）0701'!$C$1:$C$195,0),
    MATCH(AN$1,'在庫使用計画 (全体実績+予測）0701'!$A$1:$BD$1,0)
),
  IFERROR(
    IF(_xlpm._全体実績予測=0,"",_xlpm._全体実績予測),
  "")
)</f>
        <v>40.714285714285715</v>
      </c>
      <c r="AO99" s="889">
        <f>_xlfn.LET(_xlpm._全体実績予測,
  INDEX('在庫使用計画 (全体実績+予測）0701'!$A$1:$BD$195,
    MATCH($C99,'在庫使用計画 (全体実績+予測）0701'!$C$1:$C$195,0),
    MATCH(AO$1,'在庫使用計画 (全体実績+予測）0701'!$A$1:$BD$1,0)
),
  IFERROR(
    IF(_xlpm._全体実績予測=0,"",_xlpm._全体実績予測),
  "")
)</f>
        <v>44.680239866620106</v>
      </c>
      <c r="AP99" s="451">
        <f>_xlfn.LET(_xlpm._全体実績予測,
  INDEX('在庫使用計画 (全体実績+予測）0701'!$A$1:$BD$195,
    MATCH($C99,'在庫使用計画 (全体実績+予測）0701'!$C$1:$C$195,0),
    MATCH(AP$1,'在庫使用計画 (全体実績+予測）0701'!$A$1:$BD$1,0)
),
  IFERROR(
    IF(_xlpm._全体実績予測=0,"",_xlpm._全体実績予測),
  "")
)</f>
        <v>41.095057567146526</v>
      </c>
      <c r="AQ99" s="2121">
        <f>_xlfn.LET(_xlpm._全体実績予測,
  INDEX('在庫使用計画 (全体実績+予測）0701'!$A$1:$BD$195,
    MATCH($C99,'在庫使用計画 (全体実績+予測）0701'!$C$1:$C$195,0),
    MATCH(AQ$1,'在庫使用計画 (全体実績+予測）0701'!$A$1:$BD$1,0)
),
  IFERROR(
    IF(_xlpm._全体実績予測=0,"",_xlpm._全体実績予測),
  "")
)</f>
        <v>44.392063851068578</v>
      </c>
      <c r="AR99" s="2137">
        <f>_xlfn.LET(_xlpm._全体実績予測,
  INDEX('在庫使用計画 (全体実績+予測）0701'!$A$1:$BD$195,
    MATCH($C99,'在庫使用計画 (全体実績+予測）0701'!$C$1:$C$195,0),
    MATCH(AR$1,'在庫使用計画 (全体実績+予測）0701'!$A$1:$BD$1,0)
),
  IFERROR(
    IF(_xlpm._全体実績予測=0,"",_xlpm._全体実績予測),
  "")
)</f>
        <v>47.805474915480957</v>
      </c>
      <c r="AS99" s="1292">
        <f>_xlfn.LET(_xlpm._全体実績予測,
  INDEX('在庫使用計画 (全体実績+予測）0701'!$A$1:$BD$195,
    MATCH($C99,'在庫使用計画 (全体実績+予測）0701'!$C$1:$C$195,0),
    MATCH(AS$1,'在庫使用計画 (全体実績+予測）0701'!$A$1:$BD$1,0)
),
  IFERROR(
    IF(_xlpm._全体実績予測=0,"",_xlpm._全体実績予測),
  "")
)</f>
        <v>49.476266861573585</v>
      </c>
      <c r="AT99" s="897">
        <f>_xlfn.LET(_xlpm._全体実績予測,
  INDEX('在庫使用計画 (全体実績+予測）0701'!$A$1:$BD$195,
    MATCH($C99,'在庫使用計画 (全体実績+予測）0701'!$C$1:$C$195,0),
    MATCH(AT$1,'在庫使用計画 (全体実績+予測）0701'!$A$1:$BD$1,0)
),
  IFERROR(
    IF(_xlpm._全体実績予測=0,"",_xlpm._全体実績予測),
  "")
)</f>
        <v>72.924463634281111</v>
      </c>
      <c r="AU99" s="896">
        <f>_xlfn.LET(_xlpm._全体実績予測,
  INDEX('在庫使用計画 (全体実績+予測）0701'!$A$1:$BD$195,
    MATCH($C99,'在庫使用計画 (全体実績+予測）0701'!$C$1:$C$195,0),
    MATCH(AU$1,'在庫使用計画 (全体実績+予測）0701'!$A$1:$BD$1,0)
),
  IFERROR(
    IF(_xlpm._全体実績予測=0,"",_xlpm._全体実績予測),
  "")
)</f>
        <v>62.931515577483644</v>
      </c>
      <c r="AV99" s="451">
        <f>_xlfn.LET(_xlpm._全体実績予測,
  INDEX('在庫使用計画 (全体実績+予測）0701'!$A$1:$BD$195,
    MATCH($C99,'在庫使用計画 (全体実績+予測）0701'!$C$1:$C$195,0),
    MATCH(AV$1,'在庫使用計画 (全体実績+予測）0701'!$A$1:$BD$1,0)
),
  IFERROR(
    IF(_xlpm._全体実績予測=0,"",_xlpm._全体実績予測),
  "")
)</f>
        <v>59.332623826632606</v>
      </c>
      <c r="AW99" s="451">
        <f>_xlfn.LET(_xlpm._全体実績予測,
  INDEX('在庫使用計画 (全体実績+予測）0701'!$A$1:$BD$195,
    MATCH($C99,'在庫使用計画 (全体実績+予測）0701'!$C$1:$C$195,0),
    MATCH(AW$1,'在庫使用計画 (全体実績+予測）0701'!$A$1:$BD$1,0)
),
  IFERROR(
    IF(_xlpm._全体実績予測=0,"",_xlpm._全体実績予測),
  "")
)</f>
        <v>87.683193943158258</v>
      </c>
      <c r="AX99" s="451">
        <f>_xlfn.LET(_xlpm._全体実績予測,
  INDEX('在庫使用計画 (全体実績+予測）0701'!$A$1:$BD$195,
    MATCH($C99,'在庫使用計画 (全体実績+予測）0701'!$C$1:$C$195,0),
    MATCH(AX$1,'在庫使用計画 (全体実績+予測）0701'!$A$1:$BD$1,0)
),
  IFERROR(
    IF(_xlpm._全体実績予測=0,"",_xlpm._全体実績予測),
  "")
)</f>
        <v>53.84029474309758</v>
      </c>
      <c r="AY99" s="451">
        <f>_xlfn.LET(_xlpm._全体実績予測,
  INDEX('在庫使用計画 (全体実績+予測）0701'!$A$1:$BD$195,
    MATCH($C99,'在庫使用計画 (全体実績+予測）0701'!$C$1:$C$195,0),
    MATCH(AY$1,'在庫使用計画 (全体実績+予測）0701'!$A$1:$BD$1,0)
),
  IFERROR(
    IF(_xlpm._全体実績予測=0,"",_xlpm._全体実績予測),
  "")
)</f>
        <v>39.046613296839475</v>
      </c>
      <c r="AZ99" s="451">
        <f>_xlfn.LET(_xlpm._全体実績予測,
  INDEX('在庫使用計画 (全体実績+予測）0701'!$A$1:$BD$195,
    MATCH($C99,'在庫使用計画 (全体実績+予測）0701'!$C$1:$C$195,0),
    MATCH(AZ$1,'在庫使用計画 (全体実績+予測）0701'!$A$1:$BD$1,0)
),
  IFERROR(
    IF(_xlpm._全体実績予測=0,"",_xlpm._全体実績予測),
  "")
)</f>
        <v>40.714285714285701</v>
      </c>
      <c r="BA99" s="451">
        <f>_xlfn.LET(_xlpm._全体実績予測,
  INDEX('在庫使用計画 (全体実績+予測）0701'!$A$1:$BD$195,
    MATCH($C99,'在庫使用計画 (全体実績+予測）0701'!$C$1:$C$195,0),
    MATCH(BA$1,'在庫使用計画 (全体実績+予測）0701'!$A$1:$BD$1,0)
),
  IFERROR(
    IF(_xlpm._全体実績予測=0,"",_xlpm._全体実績予測),
  "")
)</f>
        <v>44.680239866620092</v>
      </c>
      <c r="BB99" s="451">
        <f>_xlfn.LET(_xlpm._全体実績予測,
  INDEX('在庫使用計画 (全体実績+予測）0701'!$A$1:$BD$195,
    MATCH($C99,'在庫使用計画 (全体実績+予測）0701'!$C$1:$C$195,0),
    MATCH(BB$1,'在庫使用計画 (全体実績+予測）0701'!$A$1:$BD$1,0)
),
  IFERROR(
    IF(_xlpm._全体実績予測=0,"",_xlpm._全体実績予測),
  "")
)</f>
        <v>41.095057567146519</v>
      </c>
      <c r="BC99" s="451">
        <f>_xlfn.LET(_xlpm._全体実績予測,
  INDEX('在庫使用計画 (全体実績+予測）0701'!$A$1:$BD$195,
    MATCH($C99,'在庫使用計画 (全体実績+予測）0701'!$C$1:$C$195,0),
    MATCH(BC$1,'在庫使用計画 (全体実績+予測）0701'!$A$1:$BD$1,0)
),
  IFERROR(
    IF(_xlpm._全体実績予測=0,"",_xlpm._全体実績予測),
  "")
)</f>
        <v>44.392063851068571</v>
      </c>
      <c r="BD99" s="451">
        <f>_xlfn.LET(_xlpm._全体実績予測,
  INDEX('在庫使用計画 (全体実績+予測）0701'!$A$1:$BD$195,
    MATCH($C99,'在庫使用計画 (全体実績+予測）0701'!$C$1:$C$195,0),
    MATCH(BD$1,'在庫使用計画 (全体実績+予測）0701'!$A$1:$BD$1,0)
),
  IFERROR(
    IF(_xlpm._全体実績予測=0,"",_xlpm._全体実績予測),
  "")
)</f>
        <v>47.80547491548095</v>
      </c>
      <c r="BE99" s="451">
        <f>_xlfn.LET(_xlpm._全体実績予測,
  INDEX('在庫使用計画 (全体実績+予測）0701'!$A$1:$BD$195,
    MATCH($C99,'在庫使用計画 (全体実績+予測）0701'!$C$1:$C$195,0),
    MATCH(BE$1,'在庫使用計画 (全体実績+予測）0701'!$A$1:$BD$1,0)
),
  IFERROR(
    IF(_xlpm._全体実績予測=0,"",_xlpm._全体実績予測),
  "")
)</f>
        <v>49.476266861573578</v>
      </c>
      <c r="BF99" s="897">
        <f>_xlfn.LET(_xlpm._全体実績予測,
  INDEX('在庫使用計画 (全体実績+予測）0701'!$A$1:$BD$195,
    MATCH($C99,'在庫使用計画 (全体実績+予測）0701'!$C$1:$C$195,0),
    MATCH(BF$1,'在庫使用計画 (全体実績+予測）0701'!$A$1:$BD$1,0)
),
  IFERROR(
    IF(_xlpm._全体実績予測=0,"",_xlpm._全体実績予測),
  "")
)</f>
        <v>72.924463634281111</v>
      </c>
    </row>
    <row r="100" spans="1:60" ht="18.75" customHeight="1">
      <c r="A100" s="107" t="s">
        <v>1406</v>
      </c>
      <c r="B100" s="1276" t="str">
        <v>CLE-L26-U7-355-UMA-32G-L7 Thirdwave</v>
      </c>
      <c r="C100" s="1279" t="s">
        <v>1795</v>
      </c>
      <c r="D100" s="102" t="s">
        <v>1412</v>
      </c>
      <c r="E100" s="108" t="s">
        <v>1410</v>
      </c>
      <c r="F100" s="306" t="s">
        <v>1324</v>
      </c>
      <c r="G100" s="74">
        <v>168</v>
      </c>
      <c r="H100" s="38">
        <f ca="1">_xlfn.LET(_xlpm._今月から4ヶ月計画合計,
  SUM(
    OFFSET($A100,0,
      MATCH(
        EDATE(基準データ!$C$5,3),$A$1:$BE$1,1
      )-4,1,4)),
  IF($C100="","",_xlpm._今月から4ヶ月計画合計
)
)</f>
        <v>87</v>
      </c>
      <c r="I100" s="74">
        <f>SUMIFS(マスタ_EOLリスト[在庫],マスタ_EOLリスト[製品型番],'在庫使用計画 (計画　予測)'!$C:$C)</f>
        <v>168</v>
      </c>
      <c r="J100" s="1116" cm="1">
        <f t="array" ref="J100">_xlfn.IFS($C100="","",
  $G100="","発売前？",
  $G100=0,"在庫なし",
  TRUE,
  IFERROR(
    _xlfn.LET(
      _xlpm._在庫注残,     $G100,
      _xlpm._しきい値,     _xlpm._在庫注残 * 0.75,
      _xlpm._見出し元,     $K$1:$BT$1,
      _xlpm._計画,         $K100:$BT100,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46388</v>
      </c>
      <c r="K100" s="268"/>
      <c r="L100" s="268"/>
      <c r="M100" s="268"/>
      <c r="N100" s="180"/>
      <c r="O100" s="180"/>
      <c r="P100" s="180"/>
      <c r="Q100" s="1328"/>
      <c r="R100" s="1369"/>
      <c r="S100" s="299"/>
      <c r="T100" s="299" t="s">
        <v>21</v>
      </c>
      <c r="U100" s="299" t="s">
        <v>21</v>
      </c>
      <c r="V100" s="224" t="s">
        <v>21</v>
      </c>
      <c r="W100" s="224" t="s">
        <v>21</v>
      </c>
      <c r="X100" s="335" t="s">
        <v>21</v>
      </c>
      <c r="Y100" s="335" t="s">
        <v>21</v>
      </c>
      <c r="Z100" s="335" t="s">
        <v>21</v>
      </c>
      <c r="AA100" s="335" t="s">
        <v>21</v>
      </c>
      <c r="AB100" s="335" t="s">
        <v>21</v>
      </c>
      <c r="AC100" s="1370" t="s">
        <v>21</v>
      </c>
      <c r="AD100" s="1339" t="s">
        <v>21</v>
      </c>
      <c r="AE100" s="335" t="s">
        <v>21</v>
      </c>
      <c r="AF100" s="335" t="s">
        <v>21</v>
      </c>
      <c r="AG100" s="335" t="s">
        <v>21</v>
      </c>
      <c r="AH100" s="237" t="s">
        <v>21</v>
      </c>
      <c r="AI100" s="845" t="s">
        <v>21</v>
      </c>
      <c r="AJ100" s="224">
        <v>40</v>
      </c>
      <c r="AK100" s="224">
        <v>50</v>
      </c>
      <c r="AL100" s="224">
        <v>42</v>
      </c>
      <c r="AM100" s="224">
        <f>_xlfn.XLOOKUP(
$C100,
'在庫使用計画 (ノート全体試算)'!$C$1:$C$170,
'在庫使用計画 (ノート全体試算)'!AN$1:AN$170,
"")</f>
        <v>20</v>
      </c>
      <c r="AN100" s="237">
        <f>_xlfn.XLOOKUP(
$C100,
'在庫使用計画 (ノート全体試算)'!$C$1:$C$170,
'在庫使用計画 (ノート全体試算)'!AO$1:AO$170,
"")</f>
        <v>20</v>
      </c>
      <c r="AO100" s="237">
        <f>_xlfn.XLOOKUP(
$C100,
'在庫使用計画 (ノート全体試算)'!$C$1:$C$170,
'在庫使用計画 (ノート全体試算)'!AP$1:AP$170,
"")</f>
        <v>26</v>
      </c>
      <c r="AP100" s="224">
        <f>_xlfn.XLOOKUP(
$C100,
'在庫使用計画 (ノート全体試算)'!$C$1:$C$170,
'在庫使用計画 (ノート全体試算)'!AQ$1:AQ$170,
"")</f>
        <v>24</v>
      </c>
      <c r="AQ100" s="1050">
        <f>_xlfn.XLOOKUP(
$C100,
'在庫使用計画 (ノート全体試算)'!$C$1:$C$170,
'在庫使用計画 (ノート全体試算)'!AR$1:AR$170,
"")</f>
        <v>21</v>
      </c>
      <c r="AR100" s="2130">
        <f>_xlfn.XLOOKUP(
$C100,
'在庫使用計画 (ノート全体試算)'!$C$1:$C$170,
'在庫使用計画 (ノート全体試算)'!AS$1:AS$170,
"")</f>
        <v>16</v>
      </c>
      <c r="AS100" s="244">
        <f>_xlfn.XLOOKUP(
$C100,
'在庫使用計画 (ノート全体試算)'!$C$1:$C$170,
'在庫使用計画 (ノート全体試算)'!AT$1:AT$170,
"")</f>
        <v>14</v>
      </c>
      <c r="AT100" s="805">
        <f>_xlfn.XLOOKUP(
$C100,
'在庫使用計画 (ノート全体試算)'!$C$1:$C$170,
'在庫使用計画 (ノート全体試算)'!AU$1:AU$170,
"")</f>
        <v>20</v>
      </c>
      <c r="AU100" s="845">
        <f>_xlfn.XLOOKUP(
$C100,
'在庫使用計画 (ノート全体試算)'!$C$1:$C$170,
'在庫使用計画 (ノート全体試算)'!AV$1:AV$170,
"")</f>
        <v>22</v>
      </c>
      <c r="AV100" s="224">
        <f>_xlfn.XLOOKUP(
$C100,
'在庫使用計画 (ノート全体試算)'!$C$1:$C$170,
'在庫使用計画 (ノート全体試算)'!AW$1:AW$170,
"")</f>
        <v>17</v>
      </c>
      <c r="AW100" s="224" t="str">
        <f>_xlfn.XLOOKUP(
$C100,
'在庫使用計画 (ノート全体試算)'!$C$1:$C$170,
'在庫使用計画 (ノート全体試算)'!AX$1:AX$170,
"")</f>
        <v/>
      </c>
      <c r="AX100" s="224" t="str">
        <f>_xlfn.XLOOKUP(
$C100,
'在庫使用計画 (ノート全体試算)'!$C$1:$C$170,
'在庫使用計画 (ノート全体試算)'!AY$1:AY$170,
"")</f>
        <v/>
      </c>
      <c r="AY100" s="224" t="str">
        <f>_xlfn.XLOOKUP(
$C100,
'在庫使用計画 (ノート全体試算)'!$C$1:$C$170,
'在庫使用計画 (ノート全体試算)'!AZ$1:AZ$170,
"")</f>
        <v/>
      </c>
      <c r="AZ100" s="224" t="str">
        <f>_xlfn.XLOOKUP(
$C100,
'在庫使用計画 (ノート全体試算)'!$C$1:$C$170,
'在庫使用計画 (ノート全体試算)'!BA$1:BA$170,
"")</f>
        <v/>
      </c>
      <c r="BA100" s="224" t="str">
        <f>_xlfn.XLOOKUP(
$C100,
'在庫使用計画 (ノート全体試算)'!$C$1:$C$170,
'在庫使用計画 (ノート全体試算)'!BB$1:BB$170,
"")</f>
        <v/>
      </c>
      <c r="BB100" s="224" t="str">
        <f>_xlfn.XLOOKUP(
$C100,
'在庫使用計画 (ノート全体試算)'!$C$1:$C$170,
'在庫使用計画 (ノート全体試算)'!BC$1:BC$170,
"")</f>
        <v/>
      </c>
      <c r="BC100" s="224" t="str">
        <f>_xlfn.XLOOKUP(
$C100,
'在庫使用計画 (ノート全体試算)'!$C$1:$C$170,
'在庫使用計画 (ノート全体試算)'!BD$1:BD$170,
"")</f>
        <v/>
      </c>
      <c r="BD100" s="224" t="str">
        <f>_xlfn.XLOOKUP(
$C100,
'在庫使用計画 (ノート全体試算)'!$C$1:$C$170,
'在庫使用計画 (ノート全体試算)'!BE$1:BE$170,
"")</f>
        <v/>
      </c>
      <c r="BE100" s="224" t="str">
        <f>_xlfn.XLOOKUP(
$C100,
'在庫使用計画 (ノート全体試算)'!$C$1:$C$170,
'在庫使用計画 (ノート全体試算)'!BF$1:BF$170,
"")</f>
        <v/>
      </c>
      <c r="BF100" s="805" t="str">
        <f>_xlfn.XLOOKUP(
$C100,
'在庫使用計画 (ノート全体試算)'!$C$1:$C$170,
'在庫使用計画 (ノート全体試算)'!BG$1:BG$170,
"")</f>
        <v/>
      </c>
      <c r="BG100" s="2091" t="s">
        <v>2656</v>
      </c>
    </row>
    <row r="101" spans="1:60" ht="18.75" customHeight="1" thickBot="1">
      <c r="A101" s="459"/>
      <c r="B101" s="1277" t="str">
        <v>CLE-L26-U7-355-UMA-32G-L7 Thirdwave</v>
      </c>
      <c r="C101" s="1280" t="s">
        <v>551</v>
      </c>
      <c r="D101" s="1278" t="s">
        <v>1763</v>
      </c>
      <c r="E101" s="460"/>
      <c r="F101" s="462"/>
      <c r="G101" s="463">
        <v>168</v>
      </c>
      <c r="H101" s="448">
        <f ca="1">_xlfn.LET(_xlpm._今月から4ヶ月計画合計,
  SUM(
    OFFSET($A101,0,
      MATCH(
        EDATE(基準データ!$C$5,3),$A$1:$BE$1,1
      )-4,1,4)),
  IF($C101="","",_xlpm._今月から4ヶ月計画合計
)
)</f>
        <v>88.98641810015809</v>
      </c>
      <c r="I101" s="463">
        <f t="shared" si="18"/>
        <v>168</v>
      </c>
      <c r="J101" s="1116" cm="1">
        <f t="array" ref="J101">_xlfn.IFS($C101="","",
  $G101="","発売前？",
  $G101=0,"在庫なし",
  TRUE,
  IFERROR(
    _xlfn.LET(
      _xlpm._在庫注残,     $G101,
      _xlpm._しきい値,     _xlpm._在庫注残 * 0.75,
      _xlpm._見出し元,     $K$1:$BT$1,
      _xlpm._計画,         $K101:$BT101,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46357</v>
      </c>
      <c r="K101" s="463"/>
      <c r="L101" s="463"/>
      <c r="M101" s="463"/>
      <c r="N101" s="463"/>
      <c r="O101" s="463"/>
      <c r="P101" s="463"/>
      <c r="Q101" s="1329"/>
      <c r="R101" s="1371"/>
      <c r="S101" s="451"/>
      <c r="T101" s="451"/>
      <c r="U101" s="451"/>
      <c r="V101" s="464"/>
      <c r="W101" s="475">
        <v>214</v>
      </c>
      <c r="X101" s="475">
        <v>144</v>
      </c>
      <c r="Y101" s="475">
        <v>546</v>
      </c>
      <c r="Z101" s="517">
        <v>248</v>
      </c>
      <c r="AA101" s="465">
        <v>152</v>
      </c>
      <c r="AB101" s="451">
        <v>268</v>
      </c>
      <c r="AC101" s="1372">
        <v>7</v>
      </c>
      <c r="AD101" s="1340">
        <v>26</v>
      </c>
      <c r="AE101" s="465" t="s">
        <v>21</v>
      </c>
      <c r="AF101" s="465" t="s">
        <v>21</v>
      </c>
      <c r="AG101" s="451" t="s">
        <v>21</v>
      </c>
      <c r="AH101" s="237" t="s">
        <v>21</v>
      </c>
      <c r="AI101" s="804" t="s">
        <v>21</v>
      </c>
      <c r="AJ101" s="451">
        <v>2</v>
      </c>
      <c r="AK101" s="451">
        <v>2</v>
      </c>
      <c r="AL101" s="451">
        <v>14</v>
      </c>
      <c r="AM101" s="451">
        <f>_xlfn.LET(_xlpm._全体実績予測,
  INDEX('在庫使用計画 (全体実績+予測）0701'!$A$1:$BD$195,
    MATCH($C101,'在庫使用計画 (全体実績+予測）0701'!$C$1:$C$195,0),
    MATCH(AM$1,'在庫使用計画 (全体実績+予測）0701'!$A$1:$BD$1,0)
),
  IFERROR(
    IF(_xlpm._全体実績予測=0,"",_xlpm._全体実績予測),
  "")
)</f>
        <v>22</v>
      </c>
      <c r="AN101" s="889">
        <f>_xlfn.LET(_xlpm._全体実績予測,
  INDEX('在庫使用計画 (全体実績+予測）0701'!$A$1:$BD$195,
    MATCH($C101,'在庫使用計画 (全体実績+予測）0701'!$C$1:$C$195,0),
    MATCH(AN$1,'在庫使用計画 (全体実績+予測）0701'!$A$1:$BD$1,0)
),
  IFERROR(
    IF(_xlpm._全体実績予測=0,"",_xlpm._全体実績予測),
  "")
)</f>
        <v>20.357142857142858</v>
      </c>
      <c r="AO101" s="889">
        <f>_xlfn.LET(_xlpm._全体実績予測,
  INDEX('在庫使用計画 (全体実績+予測）0701'!$A$1:$BD$195,
    MATCH($C101,'在庫使用計画 (全体実績+予測）0701'!$C$1:$C$195,0),
    MATCH(AO$1,'在庫使用計画 (全体実績+予測）0701'!$A$1:$BD$1,0)
),
  IFERROR(
    IF(_xlpm._全体実績予測=0,"",_xlpm._全体実績予測),
  "")
)</f>
        <v>22.340119933310053</v>
      </c>
      <c r="AP101" s="451">
        <f>_xlfn.LET(_xlpm._全体実績予測,
  INDEX('在庫使用計画 (全体実績+予測）0701'!$A$1:$BD$195,
    MATCH($C101,'在庫使用計画 (全体実績+予測）0701'!$C$1:$C$195,0),
    MATCH(AP$1,'在庫使用計画 (全体実績+予測）0701'!$A$1:$BD$1,0)
),
  IFERROR(
    IF(_xlpm._全体実績予測=0,"",_xlpm._全体実績予測),
  "")
)</f>
        <v>20.547528783573263</v>
      </c>
      <c r="AQ101" s="2121">
        <f>_xlfn.LET(_xlpm._全体実績予測,
  INDEX('在庫使用計画 (全体実績+予測）0701'!$A$1:$BD$195,
    MATCH($C101,'在庫使用計画 (全体実績+予測）0701'!$C$1:$C$195,0),
    MATCH(AQ$1,'在庫使用計画 (全体実績+予測）0701'!$A$1:$BD$1,0)
),
  IFERROR(
    IF(_xlpm._全体実績予測=0,"",_xlpm._全体実績予測),
  "")
)</f>
        <v>22.196031925534289</v>
      </c>
      <c r="AR101" s="2137">
        <f>_xlfn.LET(_xlpm._全体実績予測,
  INDEX('在庫使用計画 (全体実績+予測）0701'!$A$1:$BD$195,
    MATCH($C101,'在庫使用計画 (全体実績+予測）0701'!$C$1:$C$195,0),
    MATCH(AR$1,'在庫使用計画 (全体実績+予測）0701'!$A$1:$BD$1,0)
),
  IFERROR(
    IF(_xlpm._全体実績予測=0,"",_xlpm._全体実績予測),
  "")
)</f>
        <v>23.902737457740479</v>
      </c>
      <c r="AS101" s="1292">
        <f>_xlfn.LET(_xlpm._全体実績予測,
  INDEX('在庫使用計画 (全体実績+予測）0701'!$A$1:$BD$195,
    MATCH($C101,'在庫使用計画 (全体実績+予測）0701'!$C$1:$C$195,0),
    MATCH(AS$1,'在庫使用計画 (全体実績+予測）0701'!$A$1:$BD$1,0)
),
  IFERROR(
    IF(_xlpm._全体実績予測=0,"",_xlpm._全体実績予測),
  "")
)</f>
        <v>24.738133430786792</v>
      </c>
      <c r="AT101" s="897">
        <f>_xlfn.LET(_xlpm._全体実績予測,
  INDEX('在庫使用計画 (全体実績+予測）0701'!$A$1:$BD$195,
    MATCH($C101,'在庫使用計画 (全体実績+予測）0701'!$C$1:$C$195,0),
    MATCH(AT$1,'在庫使用計画 (全体実績+予測）0701'!$A$1:$BD$1,0)
),
  IFERROR(
    IF(_xlpm._全体実績予測=0,"",_xlpm._全体実績予測),
  "")
)</f>
        <v>36.462231817140555</v>
      </c>
      <c r="AU101" s="804">
        <f>_xlfn.LET(_xlpm._全体実績予測,
  INDEX('在庫使用計画 (全体実績+予測）0701'!$A$1:$BD$195,
    MATCH($C101,'在庫使用計画 (全体実績+予測）0701'!$C$1:$C$195,0),
    MATCH(AU$1,'在庫使用計画 (全体実績+予測）0701'!$A$1:$BD$1,0)
),
  IFERROR(
    IF(_xlpm._全体実績予測=0,"",_xlpm._全体実績予測),
  "")
)</f>
        <v>31.465757788741822</v>
      </c>
      <c r="AV101" s="451">
        <f>_xlfn.LET(_xlpm._全体実績予測,
  INDEX('在庫使用計画 (全体実績+予測）0701'!$A$1:$BD$195,
    MATCH($C101,'在庫使用計画 (全体実績+予測）0701'!$C$1:$C$195,0),
    MATCH(AV$1,'在庫使用計画 (全体実績+予測）0701'!$A$1:$BD$1,0)
),
  IFERROR(
    IF(_xlpm._全体実績予測=0,"",_xlpm._全体実績予測),
  "")
)</f>
        <v>29.666311913316303</v>
      </c>
      <c r="AW101" s="451">
        <f>_xlfn.LET(_xlpm._全体実績予測,
  INDEX('在庫使用計画 (全体実績+予測）0701'!$A$1:$BD$195,
    MATCH($C101,'在庫使用計画 (全体実績+予測）0701'!$C$1:$C$195,0),
    MATCH(AW$1,'在庫使用計画 (全体実績+予測）0701'!$A$1:$BD$1,0)
),
  IFERROR(
    IF(_xlpm._全体実績予測=0,"",_xlpm._全体実績予測),
  "")
)</f>
        <v>43.841596971579129</v>
      </c>
      <c r="AX101" s="451">
        <f>_xlfn.LET(_xlpm._全体実績予測,
  INDEX('在庫使用計画 (全体実績+予測）0701'!$A$1:$BD$195,
    MATCH($C101,'在庫使用計画 (全体実績+予測）0701'!$C$1:$C$195,0),
    MATCH(AX$1,'在庫使用計画 (全体実績+予測）0701'!$A$1:$BD$1,0)
),
  IFERROR(
    IF(_xlpm._全体実績予測=0,"",_xlpm._全体実績予測),
  "")
)</f>
        <v>26.92014737154879</v>
      </c>
      <c r="AY101" s="451">
        <f>_xlfn.LET(_xlpm._全体実績予測,
  INDEX('在庫使用計画 (全体実績+予測）0701'!$A$1:$BD$195,
    MATCH($C101,'在庫使用計画 (全体実績+予測）0701'!$C$1:$C$195,0),
    MATCH(AY$1,'在庫使用計画 (全体実績+予測）0701'!$A$1:$BD$1,0)
),
  IFERROR(
    IF(_xlpm._全体実績予測=0,"",_xlpm._全体実績予測),
  "")
)</f>
        <v>19.523306648419737</v>
      </c>
      <c r="AZ101" s="451">
        <f>_xlfn.LET(_xlpm._全体実績予測,
  INDEX('在庫使用計画 (全体実績+予測）0701'!$A$1:$BD$195,
    MATCH($C101,'在庫使用計画 (全体実績+予測）0701'!$C$1:$C$195,0),
    MATCH(AZ$1,'在庫使用計画 (全体実績+予測）0701'!$A$1:$BD$1,0)
),
  IFERROR(
    IF(_xlpm._全体実績予測=0,"",_xlpm._全体実績予測),
  "")
)</f>
        <v>20.357142857142851</v>
      </c>
      <c r="BA101" s="451">
        <f>_xlfn.LET(_xlpm._全体実績予測,
  INDEX('在庫使用計画 (全体実績+予測）0701'!$A$1:$BD$195,
    MATCH($C101,'在庫使用計画 (全体実績+予測）0701'!$C$1:$C$195,0),
    MATCH(BA$1,'在庫使用計画 (全体実績+予測）0701'!$A$1:$BD$1,0)
),
  IFERROR(
    IF(_xlpm._全体実績予測=0,"",_xlpm._全体実績予測),
  "")
)</f>
        <v>22.340119933310046</v>
      </c>
      <c r="BB101" s="451">
        <f>_xlfn.LET(_xlpm._全体実績予測,
  INDEX('在庫使用計画 (全体実績+予測）0701'!$A$1:$BD$195,
    MATCH($C101,'在庫使用計画 (全体実績+予測）0701'!$C$1:$C$195,0),
    MATCH(BB$1,'在庫使用計画 (全体実績+予測）0701'!$A$1:$BD$1,0)
),
  IFERROR(
    IF(_xlpm._全体実績予測=0,"",_xlpm._全体実績予測),
  "")
)</f>
        <v>20.547528783573259</v>
      </c>
      <c r="BC101" s="451">
        <f>_xlfn.LET(_xlpm._全体実績予測,
  INDEX('在庫使用計画 (全体実績+予測）0701'!$A$1:$BD$195,
    MATCH($C101,'在庫使用計画 (全体実績+予測）0701'!$C$1:$C$195,0),
    MATCH(BC$1,'在庫使用計画 (全体実績+予測）0701'!$A$1:$BD$1,0)
),
  IFERROR(
    IF(_xlpm._全体実績予測=0,"",_xlpm._全体実績予測),
  "")
)</f>
        <v>22.196031925534285</v>
      </c>
      <c r="BD101" s="451">
        <f>_xlfn.LET(_xlpm._全体実績予測,
  INDEX('在庫使用計画 (全体実績+予測）0701'!$A$1:$BD$195,
    MATCH($C101,'在庫使用計画 (全体実績+予測）0701'!$C$1:$C$195,0),
    MATCH(BD$1,'在庫使用計画 (全体実績+予測）0701'!$A$1:$BD$1,0)
),
  IFERROR(
    IF(_xlpm._全体実績予測=0,"",_xlpm._全体実績予測),
  "")
)</f>
        <v>23.902737457740475</v>
      </c>
      <c r="BE101" s="451">
        <f>_xlfn.LET(_xlpm._全体実績予測,
  INDEX('在庫使用計画 (全体実績+予測）0701'!$A$1:$BD$195,
    MATCH($C101,'在庫使用計画 (全体実績+予測）0701'!$C$1:$C$195,0),
    MATCH(BE$1,'在庫使用計画 (全体実績+予測）0701'!$A$1:$BD$1,0)
),
  IFERROR(
    IF(_xlpm._全体実績予測=0,"",_xlpm._全体実績予測),
  "")
)</f>
        <v>24.738133430786789</v>
      </c>
      <c r="BF101" s="897">
        <f>_xlfn.LET(_xlpm._全体実績予測,
  INDEX('在庫使用計画 (全体実績+予測）0701'!$A$1:$BD$195,
    MATCH($C101,'在庫使用計画 (全体実績+予測）0701'!$C$1:$C$195,0),
    MATCH(BF$1,'在庫使用計画 (全体実績+予測）0701'!$A$1:$BD$1,0)
),
  IFERROR(
    IF(_xlpm._全体実績予測=0,"",_xlpm._全体実績予測),
  "")
)</f>
        <v>36.462231817140555</v>
      </c>
    </row>
    <row r="102" spans="1:60" ht="18.75" customHeight="1">
      <c r="A102" s="71"/>
      <c r="B102" s="28" t="str">
        <v/>
      </c>
      <c r="C102" s="1048"/>
      <c r="D102" s="34"/>
      <c r="E102" s="68"/>
      <c r="F102" s="68"/>
      <c r="G102" s="355" t="str">
        <v/>
      </c>
      <c r="H102" s="38"/>
      <c r="I102" s="355"/>
      <c r="J102" s="1116" t="str" cm="1">
        <f t="array" ref="J102">_xlfn.IFS($C102="","",
  $G102="","発売前？",
  $G102=0,"在庫なし",
  TRUE,
  IFERROR(
    _xlfn.LET(
      _xlpm._在庫注残,     $G102,
      _xlpm._しきい値,     _xlpm._在庫注残 * 0.75,
      _xlpm._見出し元,     $K$1:$BT$1,
      _xlpm._計画,         $K102:$BT102,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
      </c>
      <c r="K102" s="38"/>
      <c r="L102" s="38"/>
      <c r="M102" s="38"/>
      <c r="N102" s="38"/>
      <c r="O102" s="38"/>
      <c r="P102" s="38"/>
      <c r="Q102" s="116"/>
      <c r="R102" s="1350"/>
      <c r="S102" s="219"/>
      <c r="T102" s="219"/>
      <c r="U102" s="219"/>
      <c r="V102" s="219"/>
      <c r="W102" s="224"/>
      <c r="X102" s="335"/>
      <c r="Y102" s="335"/>
      <c r="Z102" s="335"/>
      <c r="AA102" s="335"/>
      <c r="AB102" s="334"/>
      <c r="AC102" s="1374"/>
      <c r="AD102" s="1343"/>
      <c r="AE102" s="334"/>
      <c r="AF102" s="334"/>
      <c r="AG102" s="334"/>
      <c r="AH102" s="825"/>
      <c r="AI102" s="846"/>
      <c r="AJ102" s="224"/>
      <c r="AK102" s="224"/>
      <c r="AL102" s="224"/>
      <c r="AM102" s="224"/>
      <c r="AN102" s="237"/>
      <c r="AO102" s="237"/>
      <c r="AP102" s="224"/>
      <c r="AQ102" s="1050"/>
      <c r="AR102" s="2130"/>
      <c r="AS102" s="244"/>
      <c r="AT102" s="805"/>
      <c r="AU102" s="846"/>
      <c r="AV102" s="224"/>
      <c r="AW102" s="224"/>
      <c r="AX102" s="224"/>
      <c r="AY102" s="224"/>
      <c r="AZ102" s="224"/>
      <c r="BA102" s="224"/>
      <c r="BB102" s="224"/>
      <c r="BC102" s="224"/>
      <c r="BD102" s="224"/>
      <c r="BE102" s="224"/>
      <c r="BF102" s="805"/>
    </row>
    <row r="103" spans="1:60" ht="18.75" customHeight="1">
      <c r="A103" s="71" t="s">
        <v>1419</v>
      </c>
      <c r="B103" s="1160" t="str">
        <v>QNT-LGHB-1355U-UMA-L6</v>
      </c>
      <c r="C103" s="25" t="s">
        <v>1421</v>
      </c>
      <c r="D103" s="53" t="s">
        <v>1422</v>
      </c>
      <c r="E103" s="26" t="s">
        <v>1423</v>
      </c>
      <c r="F103" s="26" t="s">
        <v>1372</v>
      </c>
      <c r="G103" s="38">
        <v>104</v>
      </c>
      <c r="H103" s="38">
        <f ca="1">_xlfn.LET(_xlpm._今月から4ヶ月計画合計,
  SUM(
    OFFSET($A103,0,
      MATCH(
        EDATE(基準データ!$C$5,3),$A$1:$BE$1,1
      )-4,1,4)),
  IF($C103="","",_xlpm._今月から4ヶ月計画合計
)
)</f>
        <v>0</v>
      </c>
      <c r="I103" s="38">
        <f>SUMIFS(マスタ_EOLリスト[在庫],マスタ_EOLリスト[製品型番],'在庫使用計画 (計画　予測)'!$C:$C)</f>
        <v>104</v>
      </c>
      <c r="J103" s="1116" t="str" cm="1">
        <f t="array" ref="J103">_xlfn.IFS($C103="","",
  $G103="","発売前？",
  $G103=0,"在庫なし",
  TRUE,
  IFERROR(
    _xlfn.LET(
      _xlpm._在庫注残,     $G103,
      _xlpm._しきい値,     _xlpm._在庫注残 * 0.75,
      _xlpm._見出し元,     $K$1:$BT$1,
      _xlpm._計画,         $K103:$BT103,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合計0、在庫+注残104のため不足</v>
      </c>
      <c r="K103" s="38">
        <v>502</v>
      </c>
      <c r="L103" s="38">
        <v>260</v>
      </c>
      <c r="M103" s="38">
        <v>360</v>
      </c>
      <c r="N103" s="38">
        <v>330</v>
      </c>
      <c r="O103" s="38">
        <v>300</v>
      </c>
      <c r="P103" s="38">
        <v>340</v>
      </c>
      <c r="Q103" s="116">
        <v>341</v>
      </c>
      <c r="R103" s="1350">
        <v>334</v>
      </c>
      <c r="S103" s="219">
        <v>323</v>
      </c>
      <c r="T103" s="219">
        <v>319</v>
      </c>
      <c r="U103" s="219">
        <v>415</v>
      </c>
      <c r="V103" s="219">
        <v>450</v>
      </c>
      <c r="W103" s="224">
        <v>415</v>
      </c>
      <c r="X103" s="335">
        <v>532</v>
      </c>
      <c r="Y103" s="335">
        <v>630</v>
      </c>
      <c r="Z103" s="335">
        <v>90</v>
      </c>
      <c r="AA103" s="335">
        <v>50</v>
      </c>
      <c r="AB103" s="335">
        <v>50</v>
      </c>
      <c r="AC103" s="1370" t="s">
        <v>21</v>
      </c>
      <c r="AD103" s="1339" t="s">
        <v>21</v>
      </c>
      <c r="AE103" s="335">
        <v>161</v>
      </c>
      <c r="AF103" s="335">
        <v>146</v>
      </c>
      <c r="AG103" s="335">
        <v>110</v>
      </c>
      <c r="AH103" s="823">
        <v>193</v>
      </c>
      <c r="AI103" s="845">
        <v>88</v>
      </c>
      <c r="AJ103" s="224">
        <v>62</v>
      </c>
      <c r="AK103" s="224">
        <v>489</v>
      </c>
      <c r="AL103" s="224">
        <v>51</v>
      </c>
      <c r="AM103" s="224">
        <f>_xlfn.XLOOKUP(
$C103,
'在庫使用計画 (ノート全体試算)'!$C$1:$C$170,
'在庫使用計画 (ノート全体試算)'!AN$1:AN$170,
"")</f>
        <v>109</v>
      </c>
      <c r="AN103" s="237" t="str">
        <f>_xlfn.XLOOKUP(
$C103,
'在庫使用計画 (ノート全体試算)'!$C$1:$C$170,
'在庫使用計画 (ノート全体試算)'!AO$1:AO$170,
"")</f>
        <v/>
      </c>
      <c r="AO103" s="237" t="str">
        <f>_xlfn.XLOOKUP(
$C103,
'在庫使用計画 (ノート全体試算)'!$C$1:$C$170,
'在庫使用計画 (ノート全体試算)'!AP$1:AP$170,
"")</f>
        <v/>
      </c>
      <c r="AP103" s="224" t="str">
        <f>_xlfn.XLOOKUP(
$C103,
'在庫使用計画 (ノート全体試算)'!$C$1:$C$170,
'在庫使用計画 (ノート全体試算)'!AQ$1:AQ$170,
"")</f>
        <v/>
      </c>
      <c r="AQ103" s="1050" t="str">
        <f>_xlfn.XLOOKUP(
$C103,
'在庫使用計画 (ノート全体試算)'!$C$1:$C$170,
'在庫使用計画 (ノート全体試算)'!AR$1:AR$170,
"")</f>
        <v/>
      </c>
      <c r="AR103" s="2130" t="str">
        <f>_xlfn.XLOOKUP(
$C103,
'在庫使用計画 (ノート全体試算)'!$C$1:$C$170,
'在庫使用計画 (ノート全体試算)'!AS$1:AS$170,
"")</f>
        <v/>
      </c>
      <c r="AS103" s="244" t="str">
        <f>_xlfn.XLOOKUP(
$C103,
'在庫使用計画 (ノート全体試算)'!$C$1:$C$170,
'在庫使用計画 (ノート全体試算)'!AT$1:AT$170,
"")</f>
        <v/>
      </c>
      <c r="AT103" s="805" t="str">
        <f>_xlfn.XLOOKUP(
$C103,
'在庫使用計画 (ノート全体試算)'!$C$1:$C$170,
'在庫使用計画 (ノート全体試算)'!AU$1:AU$170,
"")</f>
        <v/>
      </c>
      <c r="AU103" s="845" t="str">
        <f>_xlfn.XLOOKUP(
$C103,
'在庫使用計画 (ノート全体試算)'!$C$1:$C$170,
'在庫使用計画 (ノート全体試算)'!AV$1:AV$170,
"")</f>
        <v/>
      </c>
      <c r="AV103" s="224" t="str">
        <f>_xlfn.XLOOKUP(
$C103,
'在庫使用計画 (ノート全体試算)'!$C$1:$C$170,
'在庫使用計画 (ノート全体試算)'!AW$1:AW$170,
"")</f>
        <v/>
      </c>
      <c r="AW103" s="224" t="str">
        <f>_xlfn.XLOOKUP(
$C103,
'在庫使用計画 (ノート全体試算)'!$C$1:$C$170,
'在庫使用計画 (ノート全体試算)'!AX$1:AX$170,
"")</f>
        <v/>
      </c>
      <c r="AX103" s="224" t="str">
        <f>_xlfn.XLOOKUP(
$C103,
'在庫使用計画 (ノート全体試算)'!$C$1:$C$170,
'在庫使用計画 (ノート全体試算)'!AY$1:AY$170,
"")</f>
        <v/>
      </c>
      <c r="AY103" s="224" t="str">
        <f>_xlfn.XLOOKUP(
$C103,
'在庫使用計画 (ノート全体試算)'!$C$1:$C$170,
'在庫使用計画 (ノート全体試算)'!AZ$1:AZ$170,
"")</f>
        <v/>
      </c>
      <c r="AZ103" s="224" t="str">
        <f>_xlfn.XLOOKUP(
$C103,
'在庫使用計画 (ノート全体試算)'!$C$1:$C$170,
'在庫使用計画 (ノート全体試算)'!BA$1:BA$170,
"")</f>
        <v/>
      </c>
      <c r="BA103" s="224" t="str">
        <f>_xlfn.XLOOKUP(
$C103,
'在庫使用計画 (ノート全体試算)'!$C$1:$C$170,
'在庫使用計画 (ノート全体試算)'!BB$1:BB$170,
"")</f>
        <v/>
      </c>
      <c r="BB103" s="224" t="str">
        <f>_xlfn.XLOOKUP(
$C103,
'在庫使用計画 (ノート全体試算)'!$C$1:$C$170,
'在庫使用計画 (ノート全体試算)'!BC$1:BC$170,
"")</f>
        <v/>
      </c>
      <c r="BC103" s="224" t="str">
        <f>_xlfn.XLOOKUP(
$C103,
'在庫使用計画 (ノート全体試算)'!$C$1:$C$170,
'在庫使用計画 (ノート全体試算)'!BD$1:BD$170,
"")</f>
        <v/>
      </c>
      <c r="BD103" s="224" t="str">
        <f>_xlfn.XLOOKUP(
$C103,
'在庫使用計画 (ノート全体試算)'!$C$1:$C$170,
'在庫使用計画 (ノート全体試算)'!BE$1:BE$170,
"")</f>
        <v/>
      </c>
      <c r="BE103" s="224" t="str">
        <f>_xlfn.XLOOKUP(
$C103,
'在庫使用計画 (ノート全体試算)'!$C$1:$C$170,
'在庫使用計画 (ノート全体試算)'!BF$1:BF$170,
"")</f>
        <v/>
      </c>
      <c r="BF103" s="805" t="str">
        <f>_xlfn.XLOOKUP(
$C103,
'在庫使用計画 (ノート全体試算)'!$C$1:$C$170,
'在庫使用計画 (ノート全体試算)'!BG$1:BG$170,
"")</f>
        <v/>
      </c>
      <c r="BG103" s="2091" t="s">
        <v>2669</v>
      </c>
      <c r="BH103" s="2091" t="s">
        <v>1796</v>
      </c>
    </row>
    <row r="104" spans="1:60" ht="18.75" customHeight="1">
      <c r="A104" s="445"/>
      <c r="B104" s="1261" t="str">
        <v>QNT-LGHB-1355U-UMA-L6</v>
      </c>
      <c r="C104" s="452" t="s">
        <v>1421</v>
      </c>
      <c r="D104" s="1262" t="s">
        <v>1763</v>
      </c>
      <c r="E104" s="446"/>
      <c r="F104" s="447"/>
      <c r="G104" s="448">
        <v>104</v>
      </c>
      <c r="H104" s="448">
        <f ca="1">_xlfn.LET(_xlpm._今月から4ヶ月計画合計,
  SUM(
    OFFSET($A104,0,
      MATCH(
        EDATE(基準データ!$C$5,3),$A$1:$BE$1,1
      )-4,1,4)),
  IF($C104="","",_xlpm._今月から4ヶ月計画合計
)
)</f>
        <v>0</v>
      </c>
      <c r="I104" s="448">
        <f t="shared" ref="I104:I164" si="19">I103</f>
        <v>104</v>
      </c>
      <c r="J104" s="1116" t="str" cm="1">
        <f t="array" ref="J104">_xlfn.IFS($C104="","",
  $G104="","発売前？",
  $G104=0,"在庫なし",
  TRUE,
  IFERROR(
    _xlfn.LET(
      _xlpm._在庫注残,     $G104,
      _xlpm._しきい値,     _xlpm._在庫注残 * 0.75,
      _xlpm._見出し元,     $K$1:$BT$1,
      _xlpm._計画,         $K104:$BT104,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合計0、在庫+注残104のため不足</v>
      </c>
      <c r="K104" s="448"/>
      <c r="L104" s="448"/>
      <c r="M104" s="448"/>
      <c r="N104" s="448"/>
      <c r="O104" s="448"/>
      <c r="P104" s="448"/>
      <c r="Q104" s="540"/>
      <c r="R104" s="900"/>
      <c r="S104" s="449"/>
      <c r="T104" s="449"/>
      <c r="U104" s="449"/>
      <c r="V104" s="450"/>
      <c r="W104" s="455">
        <v>214</v>
      </c>
      <c r="X104" s="455">
        <v>144</v>
      </c>
      <c r="Y104" s="455">
        <v>546</v>
      </c>
      <c r="Z104" s="507">
        <v>248</v>
      </c>
      <c r="AA104" s="453">
        <v>152</v>
      </c>
      <c r="AB104" s="449">
        <v>268</v>
      </c>
      <c r="AC104" s="899">
        <v>7</v>
      </c>
      <c r="AD104" s="1290">
        <v>26</v>
      </c>
      <c r="AE104" s="453">
        <v>125</v>
      </c>
      <c r="AF104" s="453">
        <v>177</v>
      </c>
      <c r="AG104" s="451">
        <v>65</v>
      </c>
      <c r="AH104" s="889">
        <v>83</v>
      </c>
      <c r="AI104" s="896">
        <v>70</v>
      </c>
      <c r="AJ104" s="451">
        <v>46</v>
      </c>
      <c r="AK104" s="451">
        <v>458</v>
      </c>
      <c r="AL104" s="451">
        <v>33</v>
      </c>
      <c r="AM104" s="451" t="str">
        <f>_xlfn.LET(_xlpm._全体実績予測,
  INDEX('在庫使用計画 (全体実績+予測）0701'!$A$1:$BD$195,
    MATCH($C104,'在庫使用計画 (全体実績+予測）0701'!$C$1:$C$195,0),
    MATCH(AM$1,'在庫使用計画 (全体実績+予測）0701'!$A$1:$BD$1,0)
),
  IFERROR(
    IF(_xlpm._全体実績予測=0,"",_xlpm._全体実績予測),
  "")
)</f>
        <v/>
      </c>
      <c r="AN104" s="889" t="str">
        <f>_xlfn.LET(_xlpm._全体実績予測,
  INDEX('在庫使用計画 (全体実績+予測）0701'!$A$1:$BD$195,
    MATCH($C104,'在庫使用計画 (全体実績+予測）0701'!$C$1:$C$195,0),
    MATCH(AN$1,'在庫使用計画 (全体実績+予測）0701'!$A$1:$BD$1,0)
),
  IFERROR(
    IF(_xlpm._全体実績予測=0,"",_xlpm._全体実績予測),
  "")
)</f>
        <v/>
      </c>
      <c r="AO104" s="889" t="str">
        <f>_xlfn.LET(_xlpm._全体実績予測,
  INDEX('在庫使用計画 (全体実績+予測）0701'!$A$1:$BD$195,
    MATCH($C104,'在庫使用計画 (全体実績+予測）0701'!$C$1:$C$195,0),
    MATCH(AO$1,'在庫使用計画 (全体実績+予測）0701'!$A$1:$BD$1,0)
),
  IFERROR(
    IF(_xlpm._全体実績予測=0,"",_xlpm._全体実績予測),
  "")
)</f>
        <v/>
      </c>
      <c r="AP104" s="451" t="str">
        <f>_xlfn.LET(_xlpm._全体実績予測,
  INDEX('在庫使用計画 (全体実績+予測）0701'!$A$1:$BD$195,
    MATCH($C104,'在庫使用計画 (全体実績+予測）0701'!$C$1:$C$195,0),
    MATCH(AP$1,'在庫使用計画 (全体実績+予測）0701'!$A$1:$BD$1,0)
),
  IFERROR(
    IF(_xlpm._全体実績予測=0,"",_xlpm._全体実績予測),
  "")
)</f>
        <v/>
      </c>
      <c r="AQ104" s="2121" t="str">
        <f>_xlfn.LET(_xlpm._全体実績予測,
  INDEX('在庫使用計画 (全体実績+予測）0701'!$A$1:$BD$195,
    MATCH($C104,'在庫使用計画 (全体実績+予測）0701'!$C$1:$C$195,0),
    MATCH(AQ$1,'在庫使用計画 (全体実績+予測）0701'!$A$1:$BD$1,0)
),
  IFERROR(
    IF(_xlpm._全体実績予測=0,"",_xlpm._全体実績予測),
  "")
)</f>
        <v/>
      </c>
      <c r="AR104" s="2137" t="str">
        <f>_xlfn.LET(_xlpm._全体実績予測,
  INDEX('在庫使用計画 (全体実績+予測）0701'!$A$1:$BD$195,
    MATCH($C104,'在庫使用計画 (全体実績+予測）0701'!$C$1:$C$195,0),
    MATCH(AR$1,'在庫使用計画 (全体実績+予測）0701'!$A$1:$BD$1,0)
),
  IFERROR(
    IF(_xlpm._全体実績予測=0,"",_xlpm._全体実績予測),
  "")
)</f>
        <v/>
      </c>
      <c r="AS104" s="1292" t="str">
        <f>_xlfn.LET(_xlpm._全体実績予測,
  INDEX('在庫使用計画 (全体実績+予測）0701'!$A$1:$BD$195,
    MATCH($C104,'在庫使用計画 (全体実績+予測）0701'!$C$1:$C$195,0),
    MATCH(AS$1,'在庫使用計画 (全体実績+予測）0701'!$A$1:$BD$1,0)
),
  IFERROR(
    IF(_xlpm._全体実績予測=0,"",_xlpm._全体実績予測),
  "")
)</f>
        <v/>
      </c>
      <c r="AT104" s="897" t="str">
        <f>_xlfn.LET(_xlpm._全体実績予測,
  INDEX('在庫使用計画 (全体実績+予測）0701'!$A$1:$BD$195,
    MATCH($C104,'在庫使用計画 (全体実績+予測）0701'!$C$1:$C$195,0),
    MATCH(AT$1,'在庫使用計画 (全体実績+予測）0701'!$A$1:$BD$1,0)
),
  IFERROR(
    IF(_xlpm._全体実績予測=0,"",_xlpm._全体実績予測),
  "")
)</f>
        <v/>
      </c>
      <c r="AU104" s="896" t="str">
        <f>_xlfn.LET(_xlpm._全体実績予測,
  INDEX('在庫使用計画 (全体実績+予測）0701'!$A$1:$BD$195,
    MATCH($C104,'在庫使用計画 (全体実績+予測）0701'!$C$1:$C$195,0),
    MATCH(AU$1,'在庫使用計画 (全体実績+予測）0701'!$A$1:$BD$1,0)
),
  IFERROR(
    IF(_xlpm._全体実績予測=0,"",_xlpm._全体実績予測),
  "")
)</f>
        <v/>
      </c>
      <c r="AV104" s="451" t="str">
        <f>_xlfn.LET(_xlpm._全体実績予測,
  INDEX('在庫使用計画 (全体実績+予測）0701'!$A$1:$BD$195,
    MATCH($C104,'在庫使用計画 (全体実績+予測）0701'!$C$1:$C$195,0),
    MATCH(AV$1,'在庫使用計画 (全体実績+予測）0701'!$A$1:$BD$1,0)
),
  IFERROR(
    IF(_xlpm._全体実績予測=0,"",_xlpm._全体実績予測),
  "")
)</f>
        <v/>
      </c>
      <c r="AW104" s="451" t="str">
        <f>_xlfn.LET(_xlpm._全体実績予測,
  INDEX('在庫使用計画 (全体実績+予測）0701'!$A$1:$BD$195,
    MATCH($C104,'在庫使用計画 (全体実績+予測）0701'!$C$1:$C$195,0),
    MATCH(AW$1,'在庫使用計画 (全体実績+予測）0701'!$A$1:$BD$1,0)
),
  IFERROR(
    IF(_xlpm._全体実績予測=0,"",_xlpm._全体実績予測),
  "")
)</f>
        <v/>
      </c>
      <c r="AX104" s="451" t="str">
        <f>_xlfn.LET(_xlpm._全体実績予測,
  INDEX('在庫使用計画 (全体実績+予測）0701'!$A$1:$BD$195,
    MATCH($C104,'在庫使用計画 (全体実績+予測）0701'!$C$1:$C$195,0),
    MATCH(AX$1,'在庫使用計画 (全体実績+予測）0701'!$A$1:$BD$1,0)
),
  IFERROR(
    IF(_xlpm._全体実績予測=0,"",_xlpm._全体実績予測),
  "")
)</f>
        <v/>
      </c>
      <c r="AY104" s="451" t="str">
        <f>_xlfn.LET(_xlpm._全体実績予測,
  INDEX('在庫使用計画 (全体実績+予測）0701'!$A$1:$BD$195,
    MATCH($C104,'在庫使用計画 (全体実績+予測）0701'!$C$1:$C$195,0),
    MATCH(AY$1,'在庫使用計画 (全体実績+予測）0701'!$A$1:$BD$1,0)
),
  IFERROR(
    IF(_xlpm._全体実績予測=0,"",_xlpm._全体実績予測),
  "")
)</f>
        <v/>
      </c>
      <c r="AZ104" s="451" t="str">
        <f>_xlfn.LET(_xlpm._全体実績予測,
  INDEX('在庫使用計画 (全体実績+予測）0701'!$A$1:$BD$195,
    MATCH($C104,'在庫使用計画 (全体実績+予測）0701'!$C$1:$C$195,0),
    MATCH(AZ$1,'在庫使用計画 (全体実績+予測）0701'!$A$1:$BD$1,0)
),
  IFERROR(
    IF(_xlpm._全体実績予測=0,"",_xlpm._全体実績予測),
  "")
)</f>
        <v/>
      </c>
      <c r="BA104" s="451" t="str">
        <f>_xlfn.LET(_xlpm._全体実績予測,
  INDEX('在庫使用計画 (全体実績+予測）0701'!$A$1:$BD$195,
    MATCH($C104,'在庫使用計画 (全体実績+予測）0701'!$C$1:$C$195,0),
    MATCH(BA$1,'在庫使用計画 (全体実績+予測）0701'!$A$1:$BD$1,0)
),
  IFERROR(
    IF(_xlpm._全体実績予測=0,"",_xlpm._全体実績予測),
  "")
)</f>
        <v/>
      </c>
      <c r="BB104" s="451" t="str">
        <f>_xlfn.LET(_xlpm._全体実績予測,
  INDEX('在庫使用計画 (全体実績+予測）0701'!$A$1:$BD$195,
    MATCH($C104,'在庫使用計画 (全体実績+予測）0701'!$C$1:$C$195,0),
    MATCH(BB$1,'在庫使用計画 (全体実績+予測）0701'!$A$1:$BD$1,0)
),
  IFERROR(
    IF(_xlpm._全体実績予測=0,"",_xlpm._全体実績予測),
  "")
)</f>
        <v/>
      </c>
      <c r="BC104" s="451" t="str">
        <f>_xlfn.LET(_xlpm._全体実績予測,
  INDEX('在庫使用計画 (全体実績+予測）0701'!$A$1:$BD$195,
    MATCH($C104,'在庫使用計画 (全体実績+予測）0701'!$C$1:$C$195,0),
    MATCH(BC$1,'在庫使用計画 (全体実績+予測）0701'!$A$1:$BD$1,0)
),
  IFERROR(
    IF(_xlpm._全体実績予測=0,"",_xlpm._全体実績予測),
  "")
)</f>
        <v/>
      </c>
      <c r="BD104" s="451" t="str">
        <f>_xlfn.LET(_xlpm._全体実績予測,
  INDEX('在庫使用計画 (全体実績+予測）0701'!$A$1:$BD$195,
    MATCH($C104,'在庫使用計画 (全体実績+予測）0701'!$C$1:$C$195,0),
    MATCH(BD$1,'在庫使用計画 (全体実績+予測）0701'!$A$1:$BD$1,0)
),
  IFERROR(
    IF(_xlpm._全体実績予測=0,"",_xlpm._全体実績予測),
  "")
)</f>
        <v/>
      </c>
      <c r="BE104" s="451" t="str">
        <f>_xlfn.LET(_xlpm._全体実績予測,
  INDEX('在庫使用計画 (全体実績+予測）0701'!$A$1:$BD$195,
    MATCH($C104,'在庫使用計画 (全体実績+予測）0701'!$C$1:$C$195,0),
    MATCH(BE$1,'在庫使用計画 (全体実績+予測）0701'!$A$1:$BD$1,0)
),
  IFERROR(
    IF(_xlpm._全体実績予測=0,"",_xlpm._全体実績予測),
  "")
)</f>
        <v/>
      </c>
      <c r="BF104" s="897" t="str">
        <f>_xlfn.LET(_xlpm._全体実績予測,
  INDEX('在庫使用計画 (全体実績+予測）0701'!$A$1:$BD$195,
    MATCH($C104,'在庫使用計画 (全体実績+予測）0701'!$C$1:$C$195,0),
    MATCH(BF$1,'在庫使用計画 (全体実績+予測）0701'!$A$1:$BD$1,0)
),
  IFERROR(
    IF(_xlpm._全体実績予測=0,"",_xlpm._全体実績予測),
  "")
)</f>
        <v/>
      </c>
    </row>
    <row r="105" spans="1:60" ht="18.75" customHeight="1">
      <c r="A105" s="71" t="s">
        <v>1419</v>
      </c>
      <c r="B105" s="26" t="str">
        <v>WZN-1051-1355U-UMA-L6 Thirdwave</v>
      </c>
      <c r="C105" s="531" t="s">
        <v>1797</v>
      </c>
      <c r="D105" s="24" t="s">
        <v>1422</v>
      </c>
      <c r="E105" s="26" t="s">
        <v>1423</v>
      </c>
      <c r="F105" s="24" t="s">
        <v>1372</v>
      </c>
      <c r="G105" s="38">
        <v>69</v>
      </c>
      <c r="H105" s="38">
        <f ca="1">_xlfn.LET(_xlpm._今月から4ヶ月計画合計,
  SUM(
    OFFSET($A105,0,
      MATCH(
        EDATE(基準データ!$C$5,3),$A$1:$BE$1,1
      )-4,1,4)),
  IF($C105="","",_xlpm._今月から4ヶ月計画合計
)
)</f>
        <v>0</v>
      </c>
      <c r="I105" s="38">
        <f>SUMIFS(マスタ_EOLリスト[在庫],マスタ_EOLリスト[製品型番],'在庫使用計画 (計画　予測)'!$C:$C)</f>
        <v>69</v>
      </c>
      <c r="J105" s="1116" t="str" cm="1">
        <f t="array" ref="J105">_xlfn.IFS($C105="","",
  $G105="","発売前？",
  $G105=0,"在庫なし",
  TRUE,
  IFERROR(
    _xlfn.LET(
      _xlpm._在庫注残,     $G105,
      _xlpm._しきい値,     _xlpm._在庫注残 * 0.75,
      _xlpm._見出し元,     $K$1:$BT$1,
      _xlpm._計画,         $K105:$BT105,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合計0、在庫+注残69のため不足</v>
      </c>
      <c r="K105" s="311"/>
      <c r="L105" s="311"/>
      <c r="M105" s="311"/>
      <c r="N105" s="311"/>
      <c r="O105" s="311"/>
      <c r="P105" s="311"/>
      <c r="Q105" s="313"/>
      <c r="R105" s="1375"/>
      <c r="S105" s="298" t="s">
        <v>21</v>
      </c>
      <c r="T105" s="298" t="s">
        <v>21</v>
      </c>
      <c r="U105" s="298" t="s">
        <v>21</v>
      </c>
      <c r="V105" s="298" t="s">
        <v>21</v>
      </c>
      <c r="W105" s="299" t="s">
        <v>21</v>
      </c>
      <c r="X105" s="419" t="s">
        <v>21</v>
      </c>
      <c r="Y105" s="419" t="s">
        <v>21</v>
      </c>
      <c r="Z105" s="335">
        <v>240</v>
      </c>
      <c r="AA105" s="335">
        <v>230</v>
      </c>
      <c r="AB105" s="335">
        <v>220</v>
      </c>
      <c r="AC105" s="1370">
        <v>570</v>
      </c>
      <c r="AD105" s="1339">
        <v>686</v>
      </c>
      <c r="AE105" s="335">
        <v>170</v>
      </c>
      <c r="AF105" s="335">
        <v>330</v>
      </c>
      <c r="AG105" s="335">
        <v>395</v>
      </c>
      <c r="AH105" s="823">
        <v>306</v>
      </c>
      <c r="AI105" s="845">
        <v>265</v>
      </c>
      <c r="AJ105" s="224">
        <v>52</v>
      </c>
      <c r="AK105" s="224">
        <v>57</v>
      </c>
      <c r="AL105" s="224" t="s">
        <v>21</v>
      </c>
      <c r="AM105" s="224" t="str">
        <f>_xlfn.XLOOKUP(
$C105,
'在庫使用計画 (ノート全体試算)'!$C$1:$C$170,
'在庫使用計画 (ノート全体試算)'!AN$1:AN$170,
"")</f>
        <v/>
      </c>
      <c r="AN105" s="237">
        <f>_xlfn.XLOOKUP(
$C105,
'在庫使用計画 (ノート全体試算)'!$C$1:$C$170,
'在庫使用計画 (ノート全体試算)'!AO$1:AO$170,
"")</f>
        <v>69</v>
      </c>
      <c r="AO105" s="237" t="str">
        <f>_xlfn.XLOOKUP(
$C105,
'在庫使用計画 (ノート全体試算)'!$C$1:$C$170,
'在庫使用計画 (ノート全体試算)'!AP$1:AP$170,
"")</f>
        <v/>
      </c>
      <c r="AP105" s="224" t="str">
        <f>_xlfn.XLOOKUP(
$C105,
'在庫使用計画 (ノート全体試算)'!$C$1:$C$170,
'在庫使用計画 (ノート全体試算)'!AQ$1:AQ$170,
"")</f>
        <v/>
      </c>
      <c r="AQ105" s="1050" t="str">
        <f>_xlfn.XLOOKUP(
$C105,
'在庫使用計画 (ノート全体試算)'!$C$1:$C$170,
'在庫使用計画 (ノート全体試算)'!AR$1:AR$170,
"")</f>
        <v/>
      </c>
      <c r="AR105" s="2130" t="str">
        <f>_xlfn.XLOOKUP(
$C105,
'在庫使用計画 (ノート全体試算)'!$C$1:$C$170,
'在庫使用計画 (ノート全体試算)'!AS$1:AS$170,
"")</f>
        <v/>
      </c>
      <c r="AS105" s="244" t="str">
        <f>_xlfn.XLOOKUP(
$C105,
'在庫使用計画 (ノート全体試算)'!$C$1:$C$170,
'在庫使用計画 (ノート全体試算)'!AT$1:AT$170,
"")</f>
        <v/>
      </c>
      <c r="AT105" s="805" t="str">
        <f>_xlfn.XLOOKUP(
$C105,
'在庫使用計画 (ノート全体試算)'!$C$1:$C$170,
'在庫使用計画 (ノート全体試算)'!AU$1:AU$170,
"")</f>
        <v/>
      </c>
      <c r="AU105" s="845" t="str">
        <f>_xlfn.XLOOKUP(
$C105,
'在庫使用計画 (ノート全体試算)'!$C$1:$C$170,
'在庫使用計画 (ノート全体試算)'!AV$1:AV$170,
"")</f>
        <v/>
      </c>
      <c r="AV105" s="224" t="str">
        <f>_xlfn.XLOOKUP(
$C105,
'在庫使用計画 (ノート全体試算)'!$C$1:$C$170,
'在庫使用計画 (ノート全体試算)'!AW$1:AW$170,
"")</f>
        <v/>
      </c>
      <c r="AW105" s="224" t="str">
        <f>_xlfn.XLOOKUP(
$C105,
'在庫使用計画 (ノート全体試算)'!$C$1:$C$170,
'在庫使用計画 (ノート全体試算)'!AX$1:AX$170,
"")</f>
        <v/>
      </c>
      <c r="AX105" s="224" t="str">
        <f>_xlfn.XLOOKUP(
$C105,
'在庫使用計画 (ノート全体試算)'!$C$1:$C$170,
'在庫使用計画 (ノート全体試算)'!AY$1:AY$170,
"")</f>
        <v/>
      </c>
      <c r="AY105" s="224" t="str">
        <f>_xlfn.XLOOKUP(
$C105,
'在庫使用計画 (ノート全体試算)'!$C$1:$C$170,
'在庫使用計画 (ノート全体試算)'!AZ$1:AZ$170,
"")</f>
        <v/>
      </c>
      <c r="AZ105" s="224" t="str">
        <f>_xlfn.XLOOKUP(
$C105,
'在庫使用計画 (ノート全体試算)'!$C$1:$C$170,
'在庫使用計画 (ノート全体試算)'!BA$1:BA$170,
"")</f>
        <v/>
      </c>
      <c r="BA105" s="224" t="str">
        <f>_xlfn.XLOOKUP(
$C105,
'在庫使用計画 (ノート全体試算)'!$C$1:$C$170,
'在庫使用計画 (ノート全体試算)'!BB$1:BB$170,
"")</f>
        <v/>
      </c>
      <c r="BB105" s="224" t="str">
        <f>_xlfn.XLOOKUP(
$C105,
'在庫使用計画 (ノート全体試算)'!$C$1:$C$170,
'在庫使用計画 (ノート全体試算)'!BC$1:BC$170,
"")</f>
        <v/>
      </c>
      <c r="BC105" s="224" t="str">
        <f>_xlfn.XLOOKUP(
$C105,
'在庫使用計画 (ノート全体試算)'!$C$1:$C$170,
'在庫使用計画 (ノート全体試算)'!BD$1:BD$170,
"")</f>
        <v/>
      </c>
      <c r="BD105" s="224" t="str">
        <f>_xlfn.XLOOKUP(
$C105,
'在庫使用計画 (ノート全体試算)'!$C$1:$C$170,
'在庫使用計画 (ノート全体試算)'!BE$1:BE$170,
"")</f>
        <v/>
      </c>
      <c r="BE105" s="224" t="str">
        <f>_xlfn.XLOOKUP(
$C105,
'在庫使用計画 (ノート全体試算)'!$C$1:$C$170,
'在庫使用計画 (ノート全体試算)'!BF$1:BF$170,
"")</f>
        <v/>
      </c>
      <c r="BF105" s="805" t="str">
        <f>_xlfn.XLOOKUP(
$C105,
'在庫使用計画 (ノート全体試算)'!$C$1:$C$170,
'在庫使用計画 (ノート全体試算)'!BG$1:BG$170,
"")</f>
        <v/>
      </c>
      <c r="BG105" s="2091" t="s">
        <v>2670</v>
      </c>
    </row>
    <row r="106" spans="1:60" ht="18.75" customHeight="1" thickBot="1">
      <c r="A106" s="445"/>
      <c r="B106" s="446" t="str">
        <v>WZN-1051-1355U-UMA-L6 Thirdwave</v>
      </c>
      <c r="C106" s="1281" t="s">
        <v>1797</v>
      </c>
      <c r="D106" s="446" t="s">
        <v>1763</v>
      </c>
      <c r="E106" s="446"/>
      <c r="F106" s="447"/>
      <c r="G106" s="448">
        <v>69</v>
      </c>
      <c r="H106" s="448">
        <f ca="1">_xlfn.LET(_xlpm._今月から4ヶ月計画合計,
  SUM(
    OFFSET($A106,0,
      MATCH(
        EDATE(基準データ!$C$5,3),$A$1:$BE$1,1
      )-4,1,4)),
  IF($C106="","",_xlpm._今月から4ヶ月計画合計
)
)</f>
        <v>0</v>
      </c>
      <c r="I106" s="448">
        <f t="shared" si="19"/>
        <v>69</v>
      </c>
      <c r="J106" s="1116" t="str" cm="1">
        <f t="array" ref="J106">_xlfn.IFS($C106="","",
  $G106="","発売前？",
  $G106=0,"在庫なし",
  TRUE,
  IFERROR(
    _xlfn.LET(
      _xlpm._在庫注残,     $G106,
      _xlpm._しきい値,     _xlpm._在庫注残 * 0.75,
      _xlpm._見出し元,     $K$1:$BT$1,
      _xlpm._計画,         $K106:$BT106,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合計0、在庫+注残69のため不足</v>
      </c>
      <c r="K106" s="448"/>
      <c r="L106" s="448"/>
      <c r="M106" s="448"/>
      <c r="N106" s="448"/>
      <c r="O106" s="448"/>
      <c r="P106" s="448"/>
      <c r="Q106" s="540"/>
      <c r="R106" s="900"/>
      <c r="S106" s="449"/>
      <c r="T106" s="449"/>
      <c r="U106" s="449"/>
      <c r="V106" s="450"/>
      <c r="W106" s="455" t="s">
        <v>21</v>
      </c>
      <c r="X106" s="455" t="s">
        <v>21</v>
      </c>
      <c r="Y106" s="455">
        <v>1</v>
      </c>
      <c r="Z106" s="453">
        <v>138</v>
      </c>
      <c r="AA106" s="453">
        <v>173</v>
      </c>
      <c r="AB106" s="449">
        <v>126</v>
      </c>
      <c r="AC106" s="899">
        <v>391</v>
      </c>
      <c r="AD106" s="1290">
        <v>292</v>
      </c>
      <c r="AE106" s="453">
        <v>339</v>
      </c>
      <c r="AF106" s="453">
        <v>226</v>
      </c>
      <c r="AG106" s="451">
        <v>281</v>
      </c>
      <c r="AH106" s="889">
        <v>247</v>
      </c>
      <c r="AI106" s="896">
        <v>360</v>
      </c>
      <c r="AJ106" s="451">
        <v>72</v>
      </c>
      <c r="AK106" s="451">
        <v>57</v>
      </c>
      <c r="AL106" s="451" t="s">
        <v>21</v>
      </c>
      <c r="AM106" s="451" t="str">
        <f>_xlfn.LET(_xlpm._全体実績予測,
  INDEX('在庫使用計画 (全体実績+予測）0701'!$A$1:$BD$195,
    MATCH($C106,'在庫使用計画 (全体実績+予測）0701'!$C$1:$C$195,0),
    MATCH(AM$1,'在庫使用計画 (全体実績+予測）0701'!$A$1:$BD$1,0)
),
  IFERROR(
    IF(_xlpm._全体実績予測=0,"",_xlpm._全体実績予測),
  "")
)</f>
        <v/>
      </c>
      <c r="AN106" s="889" t="str">
        <f>_xlfn.LET(_xlpm._全体実績予測,
  INDEX('在庫使用計画 (全体実績+予測）0701'!$A$1:$BD$195,
    MATCH($C106,'在庫使用計画 (全体実績+予測）0701'!$C$1:$C$195,0),
    MATCH(AN$1,'在庫使用計画 (全体実績+予測）0701'!$A$1:$BD$1,0)
),
  IFERROR(
    IF(_xlpm._全体実績予測=0,"",_xlpm._全体実績予測),
  "")
)</f>
        <v/>
      </c>
      <c r="AO106" s="889" t="str">
        <f>_xlfn.LET(_xlpm._全体実績予測,
  INDEX('在庫使用計画 (全体実績+予測）0701'!$A$1:$BD$195,
    MATCH($C106,'在庫使用計画 (全体実績+予測）0701'!$C$1:$C$195,0),
    MATCH(AO$1,'在庫使用計画 (全体実績+予測）0701'!$A$1:$BD$1,0)
),
  IFERROR(
    IF(_xlpm._全体実績予測=0,"",_xlpm._全体実績予測),
  "")
)</f>
        <v/>
      </c>
      <c r="AP106" s="451" t="str">
        <f>_xlfn.LET(_xlpm._全体実績予測,
  INDEX('在庫使用計画 (全体実績+予測）0701'!$A$1:$BD$195,
    MATCH($C106,'在庫使用計画 (全体実績+予測）0701'!$C$1:$C$195,0),
    MATCH(AP$1,'在庫使用計画 (全体実績+予測）0701'!$A$1:$BD$1,0)
),
  IFERROR(
    IF(_xlpm._全体実績予測=0,"",_xlpm._全体実績予測),
  "")
)</f>
        <v/>
      </c>
      <c r="AQ106" s="2121" t="str">
        <f>_xlfn.LET(_xlpm._全体実績予測,
  INDEX('在庫使用計画 (全体実績+予測）0701'!$A$1:$BD$195,
    MATCH($C106,'在庫使用計画 (全体実績+予測）0701'!$C$1:$C$195,0),
    MATCH(AQ$1,'在庫使用計画 (全体実績+予測）0701'!$A$1:$BD$1,0)
),
  IFERROR(
    IF(_xlpm._全体実績予測=0,"",_xlpm._全体実績予測),
  "")
)</f>
        <v/>
      </c>
      <c r="AR106" s="2137" t="str">
        <f>_xlfn.LET(_xlpm._全体実績予測,
  INDEX('在庫使用計画 (全体実績+予測）0701'!$A$1:$BD$195,
    MATCH($C106,'在庫使用計画 (全体実績+予測）0701'!$C$1:$C$195,0),
    MATCH(AR$1,'在庫使用計画 (全体実績+予測）0701'!$A$1:$BD$1,0)
),
  IFERROR(
    IF(_xlpm._全体実績予測=0,"",_xlpm._全体実績予測),
  "")
)</f>
        <v/>
      </c>
      <c r="AS106" s="1292" t="str">
        <f>_xlfn.LET(_xlpm._全体実績予測,
  INDEX('在庫使用計画 (全体実績+予測）0701'!$A$1:$BD$195,
    MATCH($C106,'在庫使用計画 (全体実績+予測）0701'!$C$1:$C$195,0),
    MATCH(AS$1,'在庫使用計画 (全体実績+予測）0701'!$A$1:$BD$1,0)
),
  IFERROR(
    IF(_xlpm._全体実績予測=0,"",_xlpm._全体実績予測),
  "")
)</f>
        <v/>
      </c>
      <c r="AT106" s="897" t="str">
        <f>_xlfn.LET(_xlpm._全体実績予測,
  INDEX('在庫使用計画 (全体実績+予測）0701'!$A$1:$BD$195,
    MATCH($C106,'在庫使用計画 (全体実績+予測）0701'!$C$1:$C$195,0),
    MATCH(AT$1,'在庫使用計画 (全体実績+予測）0701'!$A$1:$BD$1,0)
),
  IFERROR(
    IF(_xlpm._全体実績予測=0,"",_xlpm._全体実績予測),
  "")
)</f>
        <v/>
      </c>
      <c r="AU106" s="896" t="str">
        <f>_xlfn.LET(_xlpm._全体実績予測,
  INDEX('在庫使用計画 (全体実績+予測）0701'!$A$1:$BD$195,
    MATCH($C106,'在庫使用計画 (全体実績+予測）0701'!$C$1:$C$195,0),
    MATCH(AU$1,'在庫使用計画 (全体実績+予測）0701'!$A$1:$BD$1,0)
),
  IFERROR(
    IF(_xlpm._全体実績予測=0,"",_xlpm._全体実績予測),
  "")
)</f>
        <v/>
      </c>
      <c r="AV106" s="451" t="str">
        <f>_xlfn.LET(_xlpm._全体実績予測,
  INDEX('在庫使用計画 (全体実績+予測）0701'!$A$1:$BD$195,
    MATCH($C106,'在庫使用計画 (全体実績+予測）0701'!$C$1:$C$195,0),
    MATCH(AV$1,'在庫使用計画 (全体実績+予測）0701'!$A$1:$BD$1,0)
),
  IFERROR(
    IF(_xlpm._全体実績予測=0,"",_xlpm._全体実績予測),
  "")
)</f>
        <v/>
      </c>
      <c r="AW106" s="451" t="str">
        <f>_xlfn.LET(_xlpm._全体実績予測,
  INDEX('在庫使用計画 (全体実績+予測）0701'!$A$1:$BD$195,
    MATCH($C106,'在庫使用計画 (全体実績+予測）0701'!$C$1:$C$195,0),
    MATCH(AW$1,'在庫使用計画 (全体実績+予測）0701'!$A$1:$BD$1,0)
),
  IFERROR(
    IF(_xlpm._全体実績予測=0,"",_xlpm._全体実績予測),
  "")
)</f>
        <v/>
      </c>
      <c r="AX106" s="451" t="str">
        <f>_xlfn.LET(_xlpm._全体実績予測,
  INDEX('在庫使用計画 (全体実績+予測）0701'!$A$1:$BD$195,
    MATCH($C106,'在庫使用計画 (全体実績+予測）0701'!$C$1:$C$195,0),
    MATCH(AX$1,'在庫使用計画 (全体実績+予測）0701'!$A$1:$BD$1,0)
),
  IFERROR(
    IF(_xlpm._全体実績予測=0,"",_xlpm._全体実績予測),
  "")
)</f>
        <v/>
      </c>
      <c r="AY106" s="451" t="str">
        <f>_xlfn.LET(_xlpm._全体実績予測,
  INDEX('在庫使用計画 (全体実績+予測）0701'!$A$1:$BD$195,
    MATCH($C106,'在庫使用計画 (全体実績+予測）0701'!$C$1:$C$195,0),
    MATCH(AY$1,'在庫使用計画 (全体実績+予測）0701'!$A$1:$BD$1,0)
),
  IFERROR(
    IF(_xlpm._全体実績予測=0,"",_xlpm._全体実績予測),
  "")
)</f>
        <v/>
      </c>
      <c r="AZ106" s="451" t="str">
        <f>_xlfn.LET(_xlpm._全体実績予測,
  INDEX('在庫使用計画 (全体実績+予測）0701'!$A$1:$BD$195,
    MATCH($C106,'在庫使用計画 (全体実績+予測）0701'!$C$1:$C$195,0),
    MATCH(AZ$1,'在庫使用計画 (全体実績+予測）0701'!$A$1:$BD$1,0)
),
  IFERROR(
    IF(_xlpm._全体実績予測=0,"",_xlpm._全体実績予測),
  "")
)</f>
        <v/>
      </c>
      <c r="BA106" s="451" t="str">
        <f>_xlfn.LET(_xlpm._全体実績予測,
  INDEX('在庫使用計画 (全体実績+予測）0701'!$A$1:$BD$195,
    MATCH($C106,'在庫使用計画 (全体実績+予測）0701'!$C$1:$C$195,0),
    MATCH(BA$1,'在庫使用計画 (全体実績+予測）0701'!$A$1:$BD$1,0)
),
  IFERROR(
    IF(_xlpm._全体実績予測=0,"",_xlpm._全体実績予測),
  "")
)</f>
        <v/>
      </c>
      <c r="BB106" s="451" t="str">
        <f>_xlfn.LET(_xlpm._全体実績予測,
  INDEX('在庫使用計画 (全体実績+予測）0701'!$A$1:$BD$195,
    MATCH($C106,'在庫使用計画 (全体実績+予測）0701'!$C$1:$C$195,0),
    MATCH(BB$1,'在庫使用計画 (全体実績+予測）0701'!$A$1:$BD$1,0)
),
  IFERROR(
    IF(_xlpm._全体実績予測=0,"",_xlpm._全体実績予測),
  "")
)</f>
        <v/>
      </c>
      <c r="BC106" s="451" t="str">
        <f>_xlfn.LET(_xlpm._全体実績予測,
  INDEX('在庫使用計画 (全体実績+予測）0701'!$A$1:$BD$195,
    MATCH($C106,'在庫使用計画 (全体実績+予測）0701'!$C$1:$C$195,0),
    MATCH(BC$1,'在庫使用計画 (全体実績+予測）0701'!$A$1:$BD$1,0)
),
  IFERROR(
    IF(_xlpm._全体実績予測=0,"",_xlpm._全体実績予測),
  "")
)</f>
        <v/>
      </c>
      <c r="BD106" s="451" t="str">
        <f>_xlfn.LET(_xlpm._全体実績予測,
  INDEX('在庫使用計画 (全体実績+予測）0701'!$A$1:$BD$195,
    MATCH($C106,'在庫使用計画 (全体実績+予測）0701'!$C$1:$C$195,0),
    MATCH(BD$1,'在庫使用計画 (全体実績+予測）0701'!$A$1:$BD$1,0)
),
  IFERROR(
    IF(_xlpm._全体実績予測=0,"",_xlpm._全体実績予測),
  "")
)</f>
        <v/>
      </c>
      <c r="BE106" s="451" t="str">
        <f>_xlfn.LET(_xlpm._全体実績予測,
  INDEX('在庫使用計画 (全体実績+予測）0701'!$A$1:$BD$195,
    MATCH($C106,'在庫使用計画 (全体実績+予測）0701'!$C$1:$C$195,0),
    MATCH(BE$1,'在庫使用計画 (全体実績+予測）0701'!$A$1:$BD$1,0)
),
  IFERROR(
    IF(_xlpm._全体実績予測=0,"",_xlpm._全体実績予測),
  "")
)</f>
        <v/>
      </c>
      <c r="BF106" s="897" t="str">
        <f>_xlfn.LET(_xlpm._全体実績予測,
  INDEX('在庫使用計画 (全体実績+予測）0701'!$A$1:$BD$195,
    MATCH($C106,'在庫使用計画 (全体実績+予測）0701'!$C$1:$C$195,0),
    MATCH(BF$1,'在庫使用計画 (全体実績+予測）0701'!$A$1:$BD$1,0)
),
  IFERROR(
    IF(_xlpm._全体実績予測=0,"",_xlpm._全体実績予測),
  "")
)</f>
        <v/>
      </c>
    </row>
    <row r="107" spans="1:60" ht="18.75" customHeight="1">
      <c r="A107" s="71" t="s">
        <v>1419</v>
      </c>
      <c r="B107" s="111" t="str">
        <v>CLE-NL55-1355U-UMA-L6-TPM Thirdwave</v>
      </c>
      <c r="C107" s="1264" t="s">
        <v>1425</v>
      </c>
      <c r="D107" s="53" t="s">
        <v>1422</v>
      </c>
      <c r="E107" s="26" t="s">
        <v>1423</v>
      </c>
      <c r="F107" s="24" t="s">
        <v>1372</v>
      </c>
      <c r="G107" s="38">
        <v>702</v>
      </c>
      <c r="H107" s="38">
        <f ca="1">_xlfn.LET(_xlpm._今月から4ヶ月計画合計,
  SUM(
    OFFSET($A107,0,
      MATCH(
        EDATE(基準データ!$C$5,3),$A$1:$BE$1,1
      )-4,1,4)),
  IF($C107="","",_xlpm._今月から4ヶ月計画合計
)
)</f>
        <v>443</v>
      </c>
      <c r="I107" s="38">
        <f>SUMIFS(マスタ_EOLリスト[在庫],マスタ_EOLリスト[製品型番],'在庫使用計画 (計画　予測)'!$C:$C)</f>
        <v>702</v>
      </c>
      <c r="J107" s="1116" t="str" cm="1">
        <f t="array" ref="J107">_xlfn.IFS($C107="","",
  $G107="","発売前？",
  $G107=0,"在庫なし",
  TRUE,
  IFERROR(
    _xlfn.LET(
      _xlpm._在庫注残,     $G107,
      _xlpm._しきい値,     _xlpm._在庫注残 * 0.75,
      _xlpm._見出し元,     $K$1:$BT$1,
      _xlpm._計画,         $K107:$BT107,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合計431、在庫+注残702のため不足</v>
      </c>
      <c r="K107" s="311"/>
      <c r="L107" s="311"/>
      <c r="M107" s="311"/>
      <c r="N107" s="311"/>
      <c r="O107" s="311"/>
      <c r="P107" s="311"/>
      <c r="Q107" s="313"/>
      <c r="R107" s="1375"/>
      <c r="S107" s="298" t="s">
        <v>21</v>
      </c>
      <c r="T107" s="298" t="s">
        <v>21</v>
      </c>
      <c r="U107" s="298" t="s">
        <v>21</v>
      </c>
      <c r="V107" s="298" t="s">
        <v>21</v>
      </c>
      <c r="W107" s="299" t="s">
        <v>21</v>
      </c>
      <c r="X107" s="419" t="s">
        <v>21</v>
      </c>
      <c r="Y107" s="419" t="s">
        <v>21</v>
      </c>
      <c r="Z107" s="335" t="s">
        <v>21</v>
      </c>
      <c r="AA107" s="335" t="s">
        <v>21</v>
      </c>
      <c r="AB107" s="335" t="s">
        <v>21</v>
      </c>
      <c r="AC107" s="1370" t="s">
        <v>21</v>
      </c>
      <c r="AD107" s="1339" t="s">
        <v>21</v>
      </c>
      <c r="AE107" s="335" t="s">
        <v>21</v>
      </c>
      <c r="AF107" s="335" t="s">
        <v>21</v>
      </c>
      <c r="AG107" s="335" t="s">
        <v>21</v>
      </c>
      <c r="AH107" s="823" t="s">
        <v>21</v>
      </c>
      <c r="AI107" s="845" t="s">
        <v>21</v>
      </c>
      <c r="AJ107" s="224">
        <v>10</v>
      </c>
      <c r="AK107" s="224">
        <v>163</v>
      </c>
      <c r="AL107" s="224">
        <v>105</v>
      </c>
      <c r="AM107" s="224">
        <f>_xlfn.XLOOKUP(
$C107,
'在庫使用計画 (ノート全体試算)'!$C$1:$C$170,
'在庫使用計画 (ノート全体試算)'!AN$1:AN$170,
"")</f>
        <v>241</v>
      </c>
      <c r="AN107" s="237">
        <f>_xlfn.XLOOKUP(
$C107,
'在庫使用計画 (ノート全体試算)'!$C$1:$C$170,
'在庫使用計画 (ノート全体試算)'!AO$1:AO$170,
"")</f>
        <v>246</v>
      </c>
      <c r="AO107" s="237">
        <f>_xlfn.XLOOKUP(
$C107,
'在庫使用計画 (ノート全体試算)'!$C$1:$C$170,
'在庫使用計画 (ノート全体試算)'!AP$1:AP$170,
"")</f>
        <v>385</v>
      </c>
      <c r="AP107" s="224">
        <f>_xlfn.XLOOKUP(
$C107,
'在庫使用計画 (ノート全体試算)'!$C$1:$C$170,
'在庫使用計画 (ノート全体試算)'!AQ$1:AQ$170,
"")</f>
        <v>58</v>
      </c>
      <c r="AQ107" s="1050" t="str">
        <f>_xlfn.XLOOKUP(
$C107,
'在庫使用計画 (ノート全体試算)'!$C$1:$C$170,
'在庫使用計画 (ノート全体試算)'!AR$1:AR$170,
"")</f>
        <v/>
      </c>
      <c r="AR107" s="2130" t="str">
        <f>_xlfn.XLOOKUP(
$C107,
'在庫使用計画 (ノート全体試算)'!$C$1:$C$170,
'在庫使用計画 (ノート全体試算)'!AS$1:AS$170,
"")</f>
        <v/>
      </c>
      <c r="AS107" s="244" t="str">
        <f>_xlfn.XLOOKUP(
$C107,
'在庫使用計画 (ノート全体試算)'!$C$1:$C$170,
'在庫使用計画 (ノート全体試算)'!AT$1:AT$170,
"")</f>
        <v/>
      </c>
      <c r="AT107" s="805" t="str">
        <f>_xlfn.XLOOKUP(
$C107,
'在庫使用計画 (ノート全体試算)'!$C$1:$C$170,
'在庫使用計画 (ノート全体試算)'!AU$1:AU$170,
"")</f>
        <v/>
      </c>
      <c r="AU107" s="845" t="str">
        <f>_xlfn.XLOOKUP(
$C107,
'在庫使用計画 (ノート全体試算)'!$C$1:$C$170,
'在庫使用計画 (ノート全体試算)'!AV$1:AV$170,
"")</f>
        <v/>
      </c>
      <c r="AV107" s="224" t="str">
        <f>_xlfn.XLOOKUP(
$C107,
'在庫使用計画 (ノート全体試算)'!$C$1:$C$170,
'在庫使用計画 (ノート全体試算)'!AW$1:AW$170,
"")</f>
        <v/>
      </c>
      <c r="AW107" s="224" t="str">
        <f>_xlfn.XLOOKUP(
$C107,
'在庫使用計画 (ノート全体試算)'!$C$1:$C$170,
'在庫使用計画 (ノート全体試算)'!AX$1:AX$170,
"")</f>
        <v/>
      </c>
      <c r="AX107" s="224" t="str">
        <f>_xlfn.XLOOKUP(
$C107,
'在庫使用計画 (ノート全体試算)'!$C$1:$C$170,
'在庫使用計画 (ノート全体試算)'!AY$1:AY$170,
"")</f>
        <v/>
      </c>
      <c r="AY107" s="224" t="str">
        <f>_xlfn.XLOOKUP(
$C107,
'在庫使用計画 (ノート全体試算)'!$C$1:$C$170,
'在庫使用計画 (ノート全体試算)'!AZ$1:AZ$170,
"")</f>
        <v/>
      </c>
      <c r="AZ107" s="224" t="str">
        <f>_xlfn.XLOOKUP(
$C107,
'在庫使用計画 (ノート全体試算)'!$C$1:$C$170,
'在庫使用計画 (ノート全体試算)'!BA$1:BA$170,
"")</f>
        <v/>
      </c>
      <c r="BA107" s="224" t="str">
        <f>_xlfn.XLOOKUP(
$C107,
'在庫使用計画 (ノート全体試算)'!$C$1:$C$170,
'在庫使用計画 (ノート全体試算)'!BB$1:BB$170,
"")</f>
        <v/>
      </c>
      <c r="BB107" s="224" t="str">
        <f>_xlfn.XLOOKUP(
$C107,
'在庫使用計画 (ノート全体試算)'!$C$1:$C$170,
'在庫使用計画 (ノート全体試算)'!BC$1:BC$170,
"")</f>
        <v/>
      </c>
      <c r="BC107" s="224" t="str">
        <f>_xlfn.XLOOKUP(
$C107,
'在庫使用計画 (ノート全体試算)'!$C$1:$C$170,
'在庫使用計画 (ノート全体試算)'!BD$1:BD$170,
"")</f>
        <v/>
      </c>
      <c r="BD107" s="224" t="str">
        <f>_xlfn.XLOOKUP(
$C107,
'在庫使用計画 (ノート全体試算)'!$C$1:$C$170,
'在庫使用計画 (ノート全体試算)'!BE$1:BE$170,
"")</f>
        <v/>
      </c>
      <c r="BE107" s="224" t="str">
        <f>_xlfn.XLOOKUP(
$C107,
'在庫使用計画 (ノート全体試算)'!$C$1:$C$170,
'在庫使用計画 (ノート全体試算)'!BF$1:BF$170,
"")</f>
        <v/>
      </c>
      <c r="BF107" s="805" t="str">
        <f>_xlfn.XLOOKUP(
$C107,
'在庫使用計画 (ノート全体試算)'!$C$1:$C$170,
'在庫使用計画 (ノート全体試算)'!BG$1:BG$170,
"")</f>
        <v/>
      </c>
      <c r="BG107" s="2091" t="s">
        <v>2671</v>
      </c>
      <c r="BH107" t="s">
        <v>2675</v>
      </c>
    </row>
    <row r="108" spans="1:60" ht="19.5" thickBot="1">
      <c r="A108" s="445"/>
      <c r="B108" s="1261" t="str">
        <v>CLE-NL55-1355U-UMA-L6-TPM Thirdwave</v>
      </c>
      <c r="C108" s="1265" t="s">
        <v>1425</v>
      </c>
      <c r="D108" s="1262" t="s">
        <v>1763</v>
      </c>
      <c r="E108" s="446"/>
      <c r="F108" s="447"/>
      <c r="G108" s="448">
        <v>702</v>
      </c>
      <c r="H108" s="448">
        <f ca="1">_xlfn.LET(_xlpm._今月から4ヶ月計画合計,
  SUM(
    OFFSET($A108,0,
      MATCH(
        EDATE(基準データ!$C$5,3),$A$1:$BE$1,1
      )-4,1,4)),
  IF($C108="","",_xlpm._今月から4ヶ月計画合計
)
)</f>
        <v>519.86802153250255</v>
      </c>
      <c r="I108" s="448">
        <f t="shared" si="19"/>
        <v>702</v>
      </c>
      <c r="J108" s="1116" cm="1">
        <f t="array" ref="J108">_xlfn.IFS($C108="","",
  $G108="","発売前？",
  $G108=0,"在庫なし",
  TRUE,
  IFERROR(
    _xlfn.LET(
      _xlpm._在庫注残,     $G108,
      _xlpm._しきい値,     _xlpm._在庫注残 * 0.75,
      _xlpm._見出し元,     $K$1:$BT$1,
      _xlpm._計画,         $K108:$BT108,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46327</v>
      </c>
      <c r="K108" s="448"/>
      <c r="L108" s="448"/>
      <c r="M108" s="448"/>
      <c r="N108" s="448"/>
      <c r="O108" s="448"/>
      <c r="P108" s="448"/>
      <c r="Q108" s="540"/>
      <c r="R108" s="900"/>
      <c r="S108" s="449"/>
      <c r="T108" s="449"/>
      <c r="U108" s="449"/>
      <c r="V108" s="450"/>
      <c r="W108" s="455" t="s">
        <v>21</v>
      </c>
      <c r="X108" s="455" t="s">
        <v>21</v>
      </c>
      <c r="Y108" s="455">
        <v>1</v>
      </c>
      <c r="Z108" s="453">
        <v>138</v>
      </c>
      <c r="AA108" s="453">
        <v>173</v>
      </c>
      <c r="AB108" s="449">
        <v>126</v>
      </c>
      <c r="AC108" s="899">
        <v>391</v>
      </c>
      <c r="AD108" s="1290">
        <v>292</v>
      </c>
      <c r="AE108" s="453" t="s">
        <v>21</v>
      </c>
      <c r="AF108" s="453" t="s">
        <v>21</v>
      </c>
      <c r="AG108" s="451" t="s">
        <v>21</v>
      </c>
      <c r="AH108" s="889" t="s">
        <v>21</v>
      </c>
      <c r="AI108" s="896" t="s">
        <v>21</v>
      </c>
      <c r="AJ108" s="451">
        <v>4</v>
      </c>
      <c r="AK108" s="451">
        <v>133</v>
      </c>
      <c r="AL108" s="451">
        <v>39</v>
      </c>
      <c r="AM108" s="451">
        <f>_xlfn.LET(_xlpm._全体実績予測,
  INDEX('在庫使用計画 (全体実績+予測）0701'!$A$1:$BD$195,
    MATCH($C108,'在庫使用計画 (全体実績+予測）0701'!$C$1:$C$195,0),
    MATCH(AM$1,'在庫使用計画 (全体実績+予測）0701'!$A$1:$BD$1,0)
),
  IFERROR(
    IF(_xlpm._全体実績予測=0,"",_xlpm._全体実績予測),
  "")
)</f>
        <v>67</v>
      </c>
      <c r="AN108" s="889">
        <f>_xlfn.LET(_xlpm._全体実績予測,
  INDEX('在庫使用計画 (全体実績+予測）0701'!$A$1:$BD$195,
    MATCH($C108,'在庫使用計画 (全体実績+予測）0701'!$C$1:$C$195,0),
    MATCH(AN$1,'在庫使用計画 (全体実績+予測）0701'!$A$1:$BD$1,0)
),
  IFERROR(
    IF(_xlpm._全体実績予測=0,"",_xlpm._全体実績予測),
  "")
)</f>
        <v>118.92857142857143</v>
      </c>
      <c r="AO108" s="889">
        <f>_xlfn.LET(_xlpm._全体実績予測,
  INDEX('在庫使用計画 (全体実績+予測）0701'!$A$1:$BD$195,
    MATCH($C108,'在庫使用計画 (全体実績+予測）0701'!$C$1:$C$195,0),
    MATCH(AO$1,'在庫使用計画 (全体実績+予測）0701'!$A$1:$BD$1,0)
),
  IFERROR(
    IF(_xlpm._全体実績予測=0,"",_xlpm._全体実績予測),
  "")
)</f>
        <v>130.51333224196927</v>
      </c>
      <c r="AP108" s="451">
        <f>_xlfn.LET(_xlpm._全体実績予測,
  INDEX('在庫使用計画 (全体実績+予測）0701'!$A$1:$BD$195,
    MATCH($C108,'在庫使用計画 (全体実績+予測）0701'!$C$1:$C$195,0),
    MATCH(AP$1,'在庫使用計画 (全体実績+予測）0701'!$A$1:$BD$1,0)
),
  IFERROR(
    IF(_xlpm._全体実績予測=0,"",_xlpm._全体実績予測),
  "")
)</f>
        <v>120.04082605140171</v>
      </c>
      <c r="AQ108" s="2121">
        <f>_xlfn.LET(_xlpm._全体実績予測,
  INDEX('在庫使用計画 (全体実績+予測）0701'!$A$1:$BD$195,
    MATCH($C108,'在庫使用計画 (全体実績+予測）0701'!$C$1:$C$195,0),
    MATCH(AQ$1,'在庫使用計画 (全体実績+予測）0701'!$A$1:$BD$1,0)
),
  IFERROR(
    IF(_xlpm._全体実績予測=0,"",_xlpm._全体実績予測),
  "")
)</f>
        <v>129.67155493338456</v>
      </c>
      <c r="AR108" s="2137">
        <f>_xlfn.LET(_xlpm._全体実績予測,
  INDEX('在庫使用計画 (全体実績+予測）0701'!$A$1:$BD$195,
    MATCH($C108,'在庫使用計画 (全体実績+予測）0701'!$C$1:$C$195,0),
    MATCH(AR$1,'在庫使用計画 (全体実績+予測）0701'!$A$1:$BD$1,0)
),
  IFERROR(
    IF(_xlpm._全体実績予測=0,"",_xlpm._全体実績予測),
  "")
)</f>
        <v>139.64230830574704</v>
      </c>
      <c r="AS108" s="1292">
        <f>_xlfn.LET(_xlpm._全体実績予測,
  INDEX('在庫使用計画 (全体実績+予測）0701'!$A$1:$BD$195,
    MATCH($C108,'在庫使用計画 (全体実績+予測）0701'!$C$1:$C$195,0),
    MATCH(AS$1,'在庫使用計画 (全体実績+予測）0701'!$A$1:$BD$1,0)
),
  IFERROR(
    IF(_xlpm._全体実績予測=0,"",_xlpm._全体実績予測),
  "")
)</f>
        <v>144.52277951670183</v>
      </c>
      <c r="AT108" s="897">
        <f>_xlfn.LET(_xlpm._全体実績予測,
  INDEX('在庫使用計画 (全体実績+予測）0701'!$A$1:$BD$195,
    MATCH($C108,'在庫使用計画 (全体実績+予測）0701'!$C$1:$C$195,0),
    MATCH(AT$1,'在庫使用計画 (全体実績+予測）0701'!$A$1:$BD$1,0)
),
  IFERROR(
    IF(_xlpm._全体実績予測=0,"",_xlpm._全体実績予測),
  "")
)</f>
        <v>213.01619640540017</v>
      </c>
      <c r="AU108" s="896">
        <f>_xlfn.LET(_xlpm._全体実績予測,
  INDEX('在庫使用計画 (全体実績+予測）0701'!$A$1:$BD$195,
    MATCH($C108,'在庫使用計画 (全体実績+予測）0701'!$C$1:$C$195,0),
    MATCH(AU$1,'在庫使用計画 (全体実績+予測）0701'!$A$1:$BD$1,0)
),
  IFERROR(
    IF(_xlpm._全体実績予測=0,"",_xlpm._全体実績予測),
  "")
)</f>
        <v>183.82626918686017</v>
      </c>
      <c r="AV108" s="451">
        <f>_xlfn.LET(_xlpm._全体実績予測,
  INDEX('在庫使用計画 (全体実績+予測）0701'!$A$1:$BD$195,
    MATCH($C108,'在庫使用計画 (全体実績+予測）0701'!$C$1:$C$195,0),
    MATCH(AV$1,'在庫使用計画 (全体実績+予測）0701'!$A$1:$BD$1,0)
),
  IFERROR(
    IF(_xlpm._全体実績予測=0,"",_xlpm._全体実績予測),
  "")
)</f>
        <v>173.31371696726899</v>
      </c>
      <c r="AW108" s="451">
        <f>_xlfn.LET(_xlpm._全体実績予測,
  INDEX('在庫使用計画 (全体実績+予測）0701'!$A$1:$BD$195,
    MATCH($C108,'在庫使用計画 (全体実績+予測）0701'!$C$1:$C$195,0),
    MATCH(AW$1,'在庫使用計画 (全体実績+予測）0701'!$A$1:$BD$1,0)
),
  IFERROR(
    IF(_xlpm._全体実績予測=0,"",_xlpm._全体実績予測),
  "")
)</f>
        <v>256.12722441290975</v>
      </c>
      <c r="AX108" s="451">
        <f>_xlfn.LET(_xlpm._全体実績予測,
  INDEX('在庫使用計画 (全体実績+予測）0701'!$A$1:$BD$195,
    MATCH($C108,'在庫使用計画 (全体実績+予測）0701'!$C$1:$C$195,0),
    MATCH(AX$1,'在庫使用計画 (全体実績+予測）0701'!$A$1:$BD$1,0)
),
  IFERROR(
    IF(_xlpm._全体実績予測=0,"",_xlpm._全体実績予測),
  "")
)</f>
        <v>157.27033464431142</v>
      </c>
      <c r="AY108" s="451">
        <f>_xlfn.LET(_xlpm._全体実績予測,
  INDEX('在庫使用計画 (全体実績+予測）0701'!$A$1:$BD$195,
    MATCH($C108,'在庫使用計画 (全体実績+予測）0701'!$C$1:$C$195,0),
    MATCH(AY$1,'在庫使用計画 (全体実績+予測）0701'!$A$1:$BD$1,0)
),
  IFERROR(
    IF(_xlpm._全体実績予測=0,"",_xlpm._全体実績予測),
  "")
)</f>
        <v>114.05721252497851</v>
      </c>
      <c r="AZ108" s="451">
        <f>_xlfn.LET(_xlpm._全体実績予測,
  INDEX('在庫使用計画 (全体実績+予測）0701'!$A$1:$BD$195,
    MATCH($C108,'在庫使用計画 (全体実績+予測）0701'!$C$1:$C$195,0),
    MATCH(AZ$1,'在庫使用計画 (全体実績+予測）0701'!$A$1:$BD$1,0)
),
  IFERROR(
    IF(_xlpm._全体実績予測=0,"",_xlpm._全体実績予測),
  "")
)</f>
        <v>118.92857142857144</v>
      </c>
      <c r="BA108" s="451">
        <f>_xlfn.LET(_xlpm._全体実績予測,
  INDEX('在庫使用計画 (全体実績+予測）0701'!$A$1:$BD$195,
    MATCH($C108,'在庫使用計画 (全体実績+予測）0701'!$C$1:$C$195,0),
    MATCH(BA$1,'在庫使用計画 (全体実績+予測）0701'!$A$1:$BD$1,0)
),
  IFERROR(
    IF(_xlpm._全体実績予測=0,"",_xlpm._全体実績予測),
  "")
)</f>
        <v>130.51333224196927</v>
      </c>
      <c r="BB108" s="451">
        <f>_xlfn.LET(_xlpm._全体実績予測,
  INDEX('在庫使用計画 (全体実績+予測）0701'!$A$1:$BD$195,
    MATCH($C108,'在庫使用計画 (全体実績+予測）0701'!$C$1:$C$195,0),
    MATCH(BB$1,'在庫使用計画 (全体実績+予測）0701'!$A$1:$BD$1,0)
),
  IFERROR(
    IF(_xlpm._全体実績予測=0,"",_xlpm._全体実績予測),
  "")
)</f>
        <v>120.04082605140171</v>
      </c>
      <c r="BC108" s="451">
        <f>_xlfn.LET(_xlpm._全体実績予測,
  INDEX('在庫使用計画 (全体実績+予測）0701'!$A$1:$BD$195,
    MATCH($C108,'在庫使用計画 (全体実績+予測）0701'!$C$1:$C$195,0),
    MATCH(BC$1,'在庫使用計画 (全体実績+予測）0701'!$A$1:$BD$1,0)
),
  IFERROR(
    IF(_xlpm._全体実績予測=0,"",_xlpm._全体実績予測),
  "")
)</f>
        <v>129.67155493338456</v>
      </c>
      <c r="BD108" s="451">
        <f>_xlfn.LET(_xlpm._全体実績予測,
  INDEX('在庫使用計画 (全体実績+予測）0701'!$A$1:$BD$195,
    MATCH($C108,'在庫使用計画 (全体実績+予測）0701'!$C$1:$C$195,0),
    MATCH(BD$1,'在庫使用計画 (全体実績+予測）0701'!$A$1:$BD$1,0)
),
  IFERROR(
    IF(_xlpm._全体実績予測=0,"",_xlpm._全体実績予測),
  "")
)</f>
        <v>139.64230830574704</v>
      </c>
      <c r="BE108" s="451">
        <f>_xlfn.LET(_xlpm._全体実績予測,
  INDEX('在庫使用計画 (全体実績+予測）0701'!$A$1:$BD$195,
    MATCH($C108,'在庫使用計画 (全体実績+予測）0701'!$C$1:$C$195,0),
    MATCH(BE$1,'在庫使用計画 (全体実績+予測）0701'!$A$1:$BD$1,0)
),
  IFERROR(
    IF(_xlpm._全体実績予測=0,"",_xlpm._全体実績予測),
  "")
)</f>
        <v>144.52277951670183</v>
      </c>
      <c r="BF108" s="897">
        <f>_xlfn.LET(_xlpm._全体実績予測,
  INDEX('在庫使用計画 (全体実績+予測）0701'!$A$1:$BD$195,
    MATCH($C108,'在庫使用計画 (全体実績+予測）0701'!$C$1:$C$195,0),
    MATCH(BF$1,'在庫使用計画 (全体実績+予測）0701'!$A$1:$BD$1,0)
),
  IFERROR(
    IF(_xlpm._全体実績予測=0,"",_xlpm._全体実績予測),
  "")
)</f>
        <v>213.01619640540017</v>
      </c>
      <c r="BG108" s="2091" t="s">
        <v>2672</v>
      </c>
    </row>
    <row r="109" spans="1:60" ht="18.75" customHeight="1">
      <c r="A109" s="71" t="s">
        <v>1419</v>
      </c>
      <c r="B109" s="111" t="str">
        <v>CLE-NL55-1355U-UMA-L6-TPM DDR4 TW</v>
      </c>
      <c r="C109" s="1264" t="s">
        <v>1798</v>
      </c>
      <c r="D109" s="53" t="s">
        <v>1422</v>
      </c>
      <c r="E109" s="26" t="s">
        <v>1423</v>
      </c>
      <c r="F109" s="24" t="s">
        <v>1372</v>
      </c>
      <c r="G109" s="38">
        <v>99</v>
      </c>
      <c r="H109" s="38">
        <f ca="1">_xlfn.LET(_xlpm._今月から4ヶ月計画合計,
  SUM(
    OFFSET($A109,0,
      MATCH(
        EDATE(基準データ!$C$5,3),$A$1:$BE$1,1
      )-4,1,4)),
  IF($C109="","",_xlpm._今月から4ヶ月計画合計
)
)</f>
        <v>140</v>
      </c>
      <c r="I109" s="38">
        <f>SUMIFS(マスタ_EOLリスト[在庫],マスタ_EOLリスト[製品型番],'在庫使用計画 (計画　予測)'!$C:$C)</f>
        <v>99</v>
      </c>
      <c r="J109" s="1116" cm="1">
        <f t="array" ref="J109">_xlfn.IFS($C109="","",
  $G109="","発売前？",
  $G109=0,"在庫なし",
  TRUE,
  IFERROR(
    _xlfn.LET(
      _xlpm._在庫注残,     $G109,
      _xlpm._しきい値,     _xlpm._在庫注残 * 0.75,
      _xlpm._見出し元,     $K$1:$BT$1,
      _xlpm._計画,         $K109:$BT109,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46204</v>
      </c>
      <c r="K109" s="311"/>
      <c r="L109" s="311"/>
      <c r="M109" s="311"/>
      <c r="N109" s="311"/>
      <c r="O109" s="311"/>
      <c r="P109" s="311"/>
      <c r="Q109" s="313"/>
      <c r="R109" s="1375"/>
      <c r="S109" s="298" t="s">
        <v>21</v>
      </c>
      <c r="T109" s="298" t="s">
        <v>21</v>
      </c>
      <c r="U109" s="298" t="s">
        <v>21</v>
      </c>
      <c r="V109" s="298" t="s">
        <v>21</v>
      </c>
      <c r="W109" s="299" t="s">
        <v>21</v>
      </c>
      <c r="X109" s="419" t="s">
        <v>21</v>
      </c>
      <c r="Y109" s="419" t="s">
        <v>21</v>
      </c>
      <c r="Z109" s="335" t="s">
        <v>21</v>
      </c>
      <c r="AA109" s="335" t="s">
        <v>21</v>
      </c>
      <c r="AB109" s="335" t="s">
        <v>21</v>
      </c>
      <c r="AC109" s="1370" t="s">
        <v>21</v>
      </c>
      <c r="AD109" s="1339" t="s">
        <v>21</v>
      </c>
      <c r="AE109" s="335" t="s">
        <v>21</v>
      </c>
      <c r="AF109" s="335" t="s">
        <v>21</v>
      </c>
      <c r="AG109" s="335" t="s">
        <v>21</v>
      </c>
      <c r="AH109" s="823">
        <v>0</v>
      </c>
      <c r="AI109" s="845" t="s">
        <v>21</v>
      </c>
      <c r="AJ109" s="224" t="s">
        <v>21</v>
      </c>
      <c r="AK109" s="224" t="s">
        <v>21</v>
      </c>
      <c r="AL109" s="224" t="s">
        <v>21</v>
      </c>
      <c r="AM109" s="224" t="str">
        <f>_xlfn.XLOOKUP(
$C109,
'在庫使用計画 (ノート全体試算)'!$C$1:$C$170,
'在庫使用計画 (ノート全体試算)'!AN$1:AN$170,
"")</f>
        <v/>
      </c>
      <c r="AN109" s="237" t="str">
        <f>_xlfn.XLOOKUP(
$C109,
'在庫使用計画 (ノート全体試算)'!$C$1:$C$170,
'在庫使用計画 (ノート全体試算)'!AO$1:AO$170,
"")</f>
        <v/>
      </c>
      <c r="AO109" s="237">
        <f>_xlfn.XLOOKUP(
$C109,
'在庫使用計画 (ノート全体試算)'!$C$1:$C$170,
'在庫使用計画 (ノート全体試算)'!AP$1:AP$170,
"")</f>
        <v>80</v>
      </c>
      <c r="AP109" s="224">
        <f>_xlfn.XLOOKUP(
$C109,
'在庫使用計画 (ノート全体試算)'!$C$1:$C$170,
'在庫使用計画 (ノート全体試算)'!AQ$1:AQ$170,
"")</f>
        <v>60</v>
      </c>
      <c r="AQ109" s="1050" t="str">
        <f>_xlfn.XLOOKUP(
$C109,
'在庫使用計画 (ノート全体試算)'!$C$1:$C$170,
'在庫使用計画 (ノート全体試算)'!AR$1:AR$170,
"")</f>
        <v/>
      </c>
      <c r="AR109" s="2130" t="str">
        <f>_xlfn.XLOOKUP(
$C109,
'在庫使用計画 (ノート全体試算)'!$C$1:$C$170,
'在庫使用計画 (ノート全体試算)'!AS$1:AS$170,
"")</f>
        <v/>
      </c>
      <c r="AS109" s="244" t="str">
        <f>_xlfn.XLOOKUP(
$C109,
'在庫使用計画 (ノート全体試算)'!$C$1:$C$170,
'在庫使用計画 (ノート全体試算)'!AT$1:AT$170,
"")</f>
        <v/>
      </c>
      <c r="AT109" s="805" t="str">
        <f>_xlfn.XLOOKUP(
$C109,
'在庫使用計画 (ノート全体試算)'!$C$1:$C$170,
'在庫使用計画 (ノート全体試算)'!AU$1:AU$170,
"")</f>
        <v/>
      </c>
      <c r="AU109" s="845" t="str">
        <f>_xlfn.XLOOKUP(
$C109,
'在庫使用計画 (ノート全体試算)'!$C$1:$C$170,
'在庫使用計画 (ノート全体試算)'!AV$1:AV$170,
"")</f>
        <v/>
      </c>
      <c r="AV109" s="224" t="str">
        <f>_xlfn.XLOOKUP(
$C109,
'在庫使用計画 (ノート全体試算)'!$C$1:$C$170,
'在庫使用計画 (ノート全体試算)'!AW$1:AW$170,
"")</f>
        <v/>
      </c>
      <c r="AW109" s="224" t="str">
        <f>_xlfn.XLOOKUP(
$C109,
'在庫使用計画 (ノート全体試算)'!$C$1:$C$170,
'在庫使用計画 (ノート全体試算)'!AX$1:AX$170,
"")</f>
        <v/>
      </c>
      <c r="AX109" s="224" t="str">
        <f>_xlfn.XLOOKUP(
$C109,
'在庫使用計画 (ノート全体試算)'!$C$1:$C$170,
'在庫使用計画 (ノート全体試算)'!AY$1:AY$170,
"")</f>
        <v/>
      </c>
      <c r="AY109" s="224" t="str">
        <f>_xlfn.XLOOKUP(
$C109,
'在庫使用計画 (ノート全体試算)'!$C$1:$C$170,
'在庫使用計画 (ノート全体試算)'!AZ$1:AZ$170,
"")</f>
        <v/>
      </c>
      <c r="AZ109" s="224" t="str">
        <f>_xlfn.XLOOKUP(
$C109,
'在庫使用計画 (ノート全体試算)'!$C$1:$C$170,
'在庫使用計画 (ノート全体試算)'!BA$1:BA$170,
"")</f>
        <v/>
      </c>
      <c r="BA109" s="224" t="str">
        <f>_xlfn.XLOOKUP(
$C109,
'在庫使用計画 (ノート全体試算)'!$C$1:$C$170,
'在庫使用計画 (ノート全体試算)'!BB$1:BB$170,
"")</f>
        <v/>
      </c>
      <c r="BB109" s="224" t="str">
        <f>_xlfn.XLOOKUP(
$C109,
'在庫使用計画 (ノート全体試算)'!$C$1:$C$170,
'在庫使用計画 (ノート全体試算)'!BC$1:BC$170,
"")</f>
        <v/>
      </c>
      <c r="BC109" s="224" t="str">
        <f>_xlfn.XLOOKUP(
$C109,
'在庫使用計画 (ノート全体試算)'!$C$1:$C$170,
'在庫使用計画 (ノート全体試算)'!BD$1:BD$170,
"")</f>
        <v/>
      </c>
      <c r="BD109" s="224" t="str">
        <f>_xlfn.XLOOKUP(
$C109,
'在庫使用計画 (ノート全体試算)'!$C$1:$C$170,
'在庫使用計画 (ノート全体試算)'!BE$1:BE$170,
"")</f>
        <v/>
      </c>
      <c r="BE109" s="224" t="str">
        <f>_xlfn.XLOOKUP(
$C109,
'在庫使用計画 (ノート全体試算)'!$C$1:$C$170,
'在庫使用計画 (ノート全体試算)'!BF$1:BF$170,
"")</f>
        <v/>
      </c>
      <c r="BF109" s="805" t="str">
        <f>_xlfn.XLOOKUP(
$C109,
'在庫使用計画 (ノート全体試算)'!$C$1:$C$170,
'在庫使用計画 (ノート全体試算)'!BG$1:BG$170,
"")</f>
        <v/>
      </c>
      <c r="BG109" s="2091" t="s">
        <v>2673</v>
      </c>
    </row>
    <row r="110" spans="1:60" ht="19.5" thickBot="1">
      <c r="A110" s="445"/>
      <c r="B110" s="1261" t="str">
        <v>CLE-NL55-1355U-UMA-L6-TPM DDR4 TW</v>
      </c>
      <c r="C110" s="1265" t="s">
        <v>1798</v>
      </c>
      <c r="D110" s="1262" t="s">
        <v>1763</v>
      </c>
      <c r="E110" s="446"/>
      <c r="F110" s="447"/>
      <c r="G110" s="448">
        <v>99</v>
      </c>
      <c r="H110" s="448">
        <f ca="1">_xlfn.LET(_xlpm._今月から4ヶ月計画合計,
  SUM(
    OFFSET($A110,0,
      MATCH(
        EDATE(基準データ!$C$5,3),$A$1:$BE$1,1
      )-4,1,4)),
  IF($C110="","",_xlpm._今月から4ヶ月計画合計
)
)</f>
        <v>0</v>
      </c>
      <c r="I110" s="448">
        <f t="shared" si="19"/>
        <v>99</v>
      </c>
      <c r="J110" s="1116" t="str" cm="1">
        <f t="array" ref="J110">_xlfn.IFS($C110="","",
  $G110="","発売前？",
  $G110=0,"在庫なし",
  TRUE,
  IFERROR(
    _xlfn.LET(
      _xlpm._在庫注残,     $G110,
      _xlpm._しきい値,     _xlpm._在庫注残 * 0.75,
      _xlpm._見出し元,     $K$1:$BT$1,
      _xlpm._計画,         $K110:$BT110,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合計0、在庫+注残99のため不足</v>
      </c>
      <c r="K110" s="448"/>
      <c r="L110" s="448"/>
      <c r="M110" s="448"/>
      <c r="N110" s="448"/>
      <c r="O110" s="448"/>
      <c r="P110" s="448"/>
      <c r="Q110" s="540"/>
      <c r="R110" s="900"/>
      <c r="S110" s="449"/>
      <c r="T110" s="449"/>
      <c r="U110" s="449"/>
      <c r="V110" s="450"/>
      <c r="W110" s="455" t="s">
        <v>21</v>
      </c>
      <c r="X110" s="455" t="s">
        <v>21</v>
      </c>
      <c r="Y110" s="455">
        <v>1</v>
      </c>
      <c r="Z110" s="453">
        <v>138</v>
      </c>
      <c r="AA110" s="453">
        <v>173</v>
      </c>
      <c r="AB110" s="449">
        <v>126</v>
      </c>
      <c r="AC110" s="899">
        <v>391</v>
      </c>
      <c r="AD110" s="1290">
        <v>292</v>
      </c>
      <c r="AE110" s="453" t="s">
        <v>21</v>
      </c>
      <c r="AF110" s="453" t="s">
        <v>21</v>
      </c>
      <c r="AG110" s="451" t="s">
        <v>21</v>
      </c>
      <c r="AH110" s="889" t="s">
        <v>21</v>
      </c>
      <c r="AI110" s="896" t="s">
        <v>21</v>
      </c>
      <c r="AJ110" s="451" t="s">
        <v>21</v>
      </c>
      <c r="AK110" s="451" t="s">
        <v>21</v>
      </c>
      <c r="AL110" s="451" t="s">
        <v>21</v>
      </c>
      <c r="AM110" s="451" t="str">
        <f>_xlfn.LET(_xlpm._全体実績予測,
  INDEX('在庫使用計画 (全体実績+予測）0701'!$A$1:$BD$195,
    MATCH($C110,'在庫使用計画 (全体実績+予測）0701'!$C$1:$C$195,0),
    MATCH(AM$1,'在庫使用計画 (全体実績+予測）0701'!$A$1:$BD$1,0)
),
  IFERROR(
    IF(_xlpm._全体実績予測=0,"",_xlpm._全体実績予測),
  "")
)</f>
        <v/>
      </c>
      <c r="AN110" s="889" t="str">
        <f>_xlfn.LET(_xlpm._全体実績予測,
  INDEX('在庫使用計画 (全体実績+予測）0701'!$A$1:$BD$195,
    MATCH($C110,'在庫使用計画 (全体実績+予測）0701'!$C$1:$C$195,0),
    MATCH(AN$1,'在庫使用計画 (全体実績+予測）0701'!$A$1:$BD$1,0)
),
  IFERROR(
    IF(_xlpm._全体実績予測=0,"",_xlpm._全体実績予測),
  "")
)</f>
        <v/>
      </c>
      <c r="AO110" s="889" t="str">
        <f>_xlfn.LET(_xlpm._全体実績予測,
  INDEX('在庫使用計画 (全体実績+予測）0701'!$A$1:$BD$195,
    MATCH($C110,'在庫使用計画 (全体実績+予測）0701'!$C$1:$C$195,0),
    MATCH(AO$1,'在庫使用計画 (全体実績+予測）0701'!$A$1:$BD$1,0)
),
  IFERROR(
    IF(_xlpm._全体実績予測=0,"",_xlpm._全体実績予測),
  "")
)</f>
        <v/>
      </c>
      <c r="AP110" s="451" t="str">
        <f>_xlfn.LET(_xlpm._全体実績予測,
  INDEX('在庫使用計画 (全体実績+予測）0701'!$A$1:$BD$195,
    MATCH($C110,'在庫使用計画 (全体実績+予測）0701'!$C$1:$C$195,0),
    MATCH(AP$1,'在庫使用計画 (全体実績+予測）0701'!$A$1:$BD$1,0)
),
  IFERROR(
    IF(_xlpm._全体実績予測=0,"",_xlpm._全体実績予測),
  "")
)</f>
        <v/>
      </c>
      <c r="AQ110" s="2121" t="str">
        <f>_xlfn.LET(_xlpm._全体実績予測,
  INDEX('在庫使用計画 (全体実績+予測）0701'!$A$1:$BD$195,
    MATCH($C110,'在庫使用計画 (全体実績+予測）0701'!$C$1:$C$195,0),
    MATCH(AQ$1,'在庫使用計画 (全体実績+予測）0701'!$A$1:$BD$1,0)
),
  IFERROR(
    IF(_xlpm._全体実績予測=0,"",_xlpm._全体実績予測),
  "")
)</f>
        <v/>
      </c>
      <c r="AR110" s="2137" t="str">
        <f>_xlfn.LET(_xlpm._全体実績予測,
  INDEX('在庫使用計画 (全体実績+予測）0701'!$A$1:$BD$195,
    MATCH($C110,'在庫使用計画 (全体実績+予測）0701'!$C$1:$C$195,0),
    MATCH(AR$1,'在庫使用計画 (全体実績+予測）0701'!$A$1:$BD$1,0)
),
  IFERROR(
    IF(_xlpm._全体実績予測=0,"",_xlpm._全体実績予測),
  "")
)</f>
        <v/>
      </c>
      <c r="AS110" s="1292" t="str">
        <f>_xlfn.LET(_xlpm._全体実績予測,
  INDEX('在庫使用計画 (全体実績+予測）0701'!$A$1:$BD$195,
    MATCH($C110,'在庫使用計画 (全体実績+予測）0701'!$C$1:$C$195,0),
    MATCH(AS$1,'在庫使用計画 (全体実績+予測）0701'!$A$1:$BD$1,0)
),
  IFERROR(
    IF(_xlpm._全体実績予測=0,"",_xlpm._全体実績予測),
  "")
)</f>
        <v/>
      </c>
      <c r="AT110" s="897" t="str">
        <f>_xlfn.LET(_xlpm._全体実績予測,
  INDEX('在庫使用計画 (全体実績+予測）0701'!$A$1:$BD$195,
    MATCH($C110,'在庫使用計画 (全体実績+予測）0701'!$C$1:$C$195,0),
    MATCH(AT$1,'在庫使用計画 (全体実績+予測）0701'!$A$1:$BD$1,0)
),
  IFERROR(
    IF(_xlpm._全体実績予測=0,"",_xlpm._全体実績予測),
  "")
)</f>
        <v/>
      </c>
      <c r="AU110" s="896" t="str">
        <f>_xlfn.LET(_xlpm._全体実績予測,
  INDEX('在庫使用計画 (全体実績+予測）0701'!$A$1:$BD$195,
    MATCH($C110,'在庫使用計画 (全体実績+予測）0701'!$C$1:$C$195,0),
    MATCH(AU$1,'在庫使用計画 (全体実績+予測）0701'!$A$1:$BD$1,0)
),
  IFERROR(
    IF(_xlpm._全体実績予測=0,"",_xlpm._全体実績予測),
  "")
)</f>
        <v/>
      </c>
      <c r="AV110" s="451" t="str">
        <f>_xlfn.LET(_xlpm._全体実績予測,
  INDEX('在庫使用計画 (全体実績+予測）0701'!$A$1:$BD$195,
    MATCH($C110,'在庫使用計画 (全体実績+予測）0701'!$C$1:$C$195,0),
    MATCH(AV$1,'在庫使用計画 (全体実績+予測）0701'!$A$1:$BD$1,0)
),
  IFERROR(
    IF(_xlpm._全体実績予測=0,"",_xlpm._全体実績予測),
  "")
)</f>
        <v/>
      </c>
      <c r="AW110" s="451" t="str">
        <f>_xlfn.LET(_xlpm._全体実績予測,
  INDEX('在庫使用計画 (全体実績+予測）0701'!$A$1:$BD$195,
    MATCH($C110,'在庫使用計画 (全体実績+予測）0701'!$C$1:$C$195,0),
    MATCH(AW$1,'在庫使用計画 (全体実績+予測）0701'!$A$1:$BD$1,0)
),
  IFERROR(
    IF(_xlpm._全体実績予測=0,"",_xlpm._全体実績予測),
  "")
)</f>
        <v/>
      </c>
      <c r="AX110" s="451" t="str">
        <f>_xlfn.LET(_xlpm._全体実績予測,
  INDEX('在庫使用計画 (全体実績+予測）0701'!$A$1:$BD$195,
    MATCH($C110,'在庫使用計画 (全体実績+予測）0701'!$C$1:$C$195,0),
    MATCH(AX$1,'在庫使用計画 (全体実績+予測）0701'!$A$1:$BD$1,0)
),
  IFERROR(
    IF(_xlpm._全体実績予測=0,"",_xlpm._全体実績予測),
  "")
)</f>
        <v/>
      </c>
      <c r="AY110" s="451" t="str">
        <f>_xlfn.LET(_xlpm._全体実績予測,
  INDEX('在庫使用計画 (全体実績+予測）0701'!$A$1:$BD$195,
    MATCH($C110,'在庫使用計画 (全体実績+予測）0701'!$C$1:$C$195,0),
    MATCH(AY$1,'在庫使用計画 (全体実績+予測）0701'!$A$1:$BD$1,0)
),
  IFERROR(
    IF(_xlpm._全体実績予測=0,"",_xlpm._全体実績予測),
  "")
)</f>
        <v/>
      </c>
      <c r="AZ110" s="451" t="str">
        <f>_xlfn.LET(_xlpm._全体実績予測,
  INDEX('在庫使用計画 (全体実績+予測）0701'!$A$1:$BD$195,
    MATCH($C110,'在庫使用計画 (全体実績+予測）0701'!$C$1:$C$195,0),
    MATCH(AZ$1,'在庫使用計画 (全体実績+予測）0701'!$A$1:$BD$1,0)
),
  IFERROR(
    IF(_xlpm._全体実績予測=0,"",_xlpm._全体実績予測),
  "")
)</f>
        <v/>
      </c>
      <c r="BA110" s="451" t="str">
        <f>_xlfn.LET(_xlpm._全体実績予測,
  INDEX('在庫使用計画 (全体実績+予測）0701'!$A$1:$BD$195,
    MATCH($C110,'在庫使用計画 (全体実績+予測）0701'!$C$1:$C$195,0),
    MATCH(BA$1,'在庫使用計画 (全体実績+予測）0701'!$A$1:$BD$1,0)
),
  IFERROR(
    IF(_xlpm._全体実績予測=0,"",_xlpm._全体実績予測),
  "")
)</f>
        <v/>
      </c>
      <c r="BB110" s="451" t="str">
        <f>_xlfn.LET(_xlpm._全体実績予測,
  INDEX('在庫使用計画 (全体実績+予測）0701'!$A$1:$BD$195,
    MATCH($C110,'在庫使用計画 (全体実績+予測）0701'!$C$1:$C$195,0),
    MATCH(BB$1,'在庫使用計画 (全体実績+予測）0701'!$A$1:$BD$1,0)
),
  IFERROR(
    IF(_xlpm._全体実績予測=0,"",_xlpm._全体実績予測),
  "")
)</f>
        <v/>
      </c>
      <c r="BC110" s="451" t="str">
        <f>_xlfn.LET(_xlpm._全体実績予測,
  INDEX('在庫使用計画 (全体実績+予測）0701'!$A$1:$BD$195,
    MATCH($C110,'在庫使用計画 (全体実績+予測）0701'!$C$1:$C$195,0),
    MATCH(BC$1,'在庫使用計画 (全体実績+予測）0701'!$A$1:$BD$1,0)
),
  IFERROR(
    IF(_xlpm._全体実績予測=0,"",_xlpm._全体実績予測),
  "")
)</f>
        <v/>
      </c>
      <c r="BD110" s="451" t="str">
        <f>_xlfn.LET(_xlpm._全体実績予測,
  INDEX('在庫使用計画 (全体実績+予測）0701'!$A$1:$BD$195,
    MATCH($C110,'在庫使用計画 (全体実績+予測）0701'!$C$1:$C$195,0),
    MATCH(BD$1,'在庫使用計画 (全体実績+予測）0701'!$A$1:$BD$1,0)
),
  IFERROR(
    IF(_xlpm._全体実績予測=0,"",_xlpm._全体実績予測),
  "")
)</f>
        <v/>
      </c>
      <c r="BE110" s="451" t="str">
        <f>_xlfn.LET(_xlpm._全体実績予測,
  INDEX('在庫使用計画 (全体実績+予測）0701'!$A$1:$BD$195,
    MATCH($C110,'在庫使用計画 (全体実績+予測）0701'!$C$1:$C$195,0),
    MATCH(BE$1,'在庫使用計画 (全体実績+予測）0701'!$A$1:$BD$1,0)
),
  IFERROR(
    IF(_xlpm._全体実績予測=0,"",_xlpm._全体実績予測),
  "")
)</f>
        <v/>
      </c>
      <c r="BF110" s="897" t="str">
        <f>_xlfn.LET(_xlpm._全体実績予測,
  INDEX('在庫使用計画 (全体実績+予測）0701'!$A$1:$BD$195,
    MATCH($C110,'在庫使用計画 (全体実績+予測）0701'!$C$1:$C$195,0),
    MATCH(BF$1,'在庫使用計画 (全体実績+予測）0701'!$A$1:$BD$1,0)
),
  IFERROR(
    IF(_xlpm._全体実績予測=0,"",_xlpm._全体実績予測),
  "")
)</f>
        <v/>
      </c>
    </row>
    <row r="111" spans="1:60">
      <c r="A111" s="71" t="s">
        <v>1419</v>
      </c>
      <c r="B111" s="111" t="str">
        <v>CLE-V75-155H-UMA-L6-TPM-DDR5</v>
      </c>
      <c r="C111" s="1264" t="s">
        <v>1654</v>
      </c>
      <c r="D111" s="53" t="s">
        <v>1422</v>
      </c>
      <c r="E111" s="26" t="s">
        <v>1423</v>
      </c>
      <c r="F111" s="24" t="s">
        <v>1372</v>
      </c>
      <c r="G111" s="38">
        <v>2201</v>
      </c>
      <c r="H111" s="38">
        <f ca="1">_xlfn.LET(_xlpm._今月から4ヶ月計画合計,
  SUM(
    OFFSET($A111,0,
      MATCH(
        EDATE(基準データ!$C$5,3),$A$1:$BE$1,1
      )-4,1,4)),
  IF($C111="","",_xlpm._今月から4ヶ月計画合計
)
)</f>
        <v>1828</v>
      </c>
      <c r="I111" s="38">
        <f>SUMIFS(マスタ_EOLリスト[在庫],マスタ_EOLリスト[製品型番],'在庫使用計画 (計画　予測)'!$C:$C)</f>
        <v>2</v>
      </c>
      <c r="J111" s="1116" cm="1">
        <f t="array" ref="J111">_xlfn.IFS($C111="","",
  $G111="","発売前？",
  $G111=0,"在庫なし",
  TRUE,
  IFERROR(
    _xlfn.LET(
      _xlpm._在庫注残,     $G111,
      _xlpm._しきい値,     _xlpm._在庫注残 * 0.75,
      _xlpm._見出し元,     $K$1:$BT$1,
      _xlpm._計画,         $K111:$BT111,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46296</v>
      </c>
      <c r="K111" s="311"/>
      <c r="L111" s="311"/>
      <c r="M111" s="311"/>
      <c r="N111" s="311"/>
      <c r="O111" s="311"/>
      <c r="P111" s="311"/>
      <c r="Q111" s="313"/>
      <c r="R111" s="1375"/>
      <c r="S111" s="298" t="s">
        <v>21</v>
      </c>
      <c r="T111" s="298" t="s">
        <v>21</v>
      </c>
      <c r="U111" s="298" t="s">
        <v>21</v>
      </c>
      <c r="V111" s="298" t="s">
        <v>21</v>
      </c>
      <c r="W111" s="299" t="s">
        <v>21</v>
      </c>
      <c r="X111" s="419" t="s">
        <v>21</v>
      </c>
      <c r="Y111" s="419" t="s">
        <v>21</v>
      </c>
      <c r="Z111" s="335" t="s">
        <v>21</v>
      </c>
      <c r="AA111" s="335" t="s">
        <v>21</v>
      </c>
      <c r="AB111" s="335" t="s">
        <v>21</v>
      </c>
      <c r="AC111" s="1370" t="s">
        <v>21</v>
      </c>
      <c r="AD111" s="1339" t="s">
        <v>21</v>
      </c>
      <c r="AE111" s="335" t="s">
        <v>21</v>
      </c>
      <c r="AF111" s="335" t="s">
        <v>21</v>
      </c>
      <c r="AG111" s="335" t="s">
        <v>21</v>
      </c>
      <c r="AH111" s="823" t="s">
        <v>21</v>
      </c>
      <c r="AI111" s="845" t="s">
        <v>21</v>
      </c>
      <c r="AJ111" s="224" t="s">
        <v>21</v>
      </c>
      <c r="AK111" s="224" t="s">
        <v>21</v>
      </c>
      <c r="AL111" s="224" t="s">
        <v>21</v>
      </c>
      <c r="AM111" s="224" t="str">
        <f>_xlfn.XLOOKUP(
$C111,
'在庫使用計画 (ノート全体試算)'!$C$1:$C$170,
'在庫使用計画 (ノート全体試算)'!AN$1:AN$170,
"")</f>
        <v/>
      </c>
      <c r="AN111" s="237" t="str">
        <f>_xlfn.XLOOKUP(
$C111,
'在庫使用計画 (ノート全体試算)'!$C$1:$C$170,
'在庫使用計画 (ノート全体試算)'!AO$1:AO$170,
"")</f>
        <v/>
      </c>
      <c r="AO111" s="237">
        <f>_xlfn.XLOOKUP(
$C111,
'在庫使用計画 (ノート全体試算)'!$C$1:$C$170,
'在庫使用計画 (ノート全体試算)'!AP$1:AP$170,
"")</f>
        <v>500</v>
      </c>
      <c r="AP111" s="224">
        <f>_xlfn.XLOOKUP(
$C111,
'在庫使用計画 (ノート全体試算)'!$C$1:$C$170,
'在庫使用計画 (ノート全体試算)'!AQ$1:AQ$170,
"")</f>
        <v>300</v>
      </c>
      <c r="AQ111" s="1050">
        <f>_xlfn.XLOOKUP(
$C111,
'在庫使用計画 (ノート全体試算)'!$C$1:$C$170,
'在庫使用計画 (ノート全体試算)'!AR$1:AR$170,
"")</f>
        <v>575</v>
      </c>
      <c r="AR111" s="2130">
        <f>_xlfn.XLOOKUP(
$C111,
'在庫使用計画 (ノート全体試算)'!$C$1:$C$170,
'在庫使用計画 (ノート全体試算)'!AS$1:AS$170,
"")</f>
        <v>453</v>
      </c>
      <c r="AS111" s="244">
        <f>_xlfn.XLOOKUP(
$C111,
'在庫使用計画 (ノート全体試算)'!$C$1:$C$170,
'在庫使用計画 (ノート全体試算)'!AT$1:AT$170,
"")</f>
        <v>439</v>
      </c>
      <c r="AT111" s="805">
        <f>_xlfn.XLOOKUP(
$C111,
'在庫使用計画 (ノート全体試算)'!$C$1:$C$170,
'在庫使用計画 (ノート全体試算)'!AU$1:AU$170,
"")</f>
        <v>572</v>
      </c>
      <c r="AU111" s="845">
        <f>_xlfn.XLOOKUP(
$C111,
'在庫使用計画 (ノート全体試算)'!$C$1:$C$170,
'在庫使用計画 (ノート全体試算)'!AV$1:AV$170,
"")</f>
        <v>398</v>
      </c>
      <c r="AV111" s="224">
        <f>_xlfn.XLOOKUP(
$C111,
'在庫使用計画 (ノート全体試算)'!$C$1:$C$170,
'在庫使用計画 (ノート全体試算)'!AW$1:AW$170,
"")</f>
        <v>630</v>
      </c>
      <c r="AW111" s="224">
        <f>_xlfn.XLOOKUP(
$C111,
'在庫使用計画 (ノート全体試算)'!$C$1:$C$170,
'在庫使用計画 (ノート全体試算)'!AX$1:AX$170,
"")</f>
        <v>402</v>
      </c>
      <c r="AX111" s="224">
        <f>_xlfn.XLOOKUP(
$C111,
'在庫使用計画 (ノート全体試算)'!$C$1:$C$170,
'在庫使用計画 (ノート全体試算)'!AY$1:AY$170,
"")</f>
        <v>319</v>
      </c>
      <c r="AY111" s="224">
        <f>_xlfn.XLOOKUP(
$C111,
'在庫使用計画 (ノート全体試算)'!$C$1:$C$170,
'在庫使用計画 (ノート全体試算)'!AZ$1:AZ$170,
"")</f>
        <v>705</v>
      </c>
      <c r="AZ111" s="224">
        <f>_xlfn.XLOOKUP(
$C111,
'在庫使用計画 (ノート全体試算)'!$C$1:$C$170,
'在庫使用計画 (ノート全体試算)'!BA$1:BA$170,
"")</f>
        <v>304</v>
      </c>
      <c r="BA111" s="224">
        <f>_xlfn.XLOOKUP(
$C111,
'在庫使用計画 (ノート全体試算)'!$C$1:$C$170,
'在庫使用計画 (ノート全体試算)'!BB$1:BB$170,
"")</f>
        <v>319</v>
      </c>
      <c r="BB111" s="224">
        <f>_xlfn.XLOOKUP(
$C111,
'在庫使用計画 (ノート全体試算)'!$C$1:$C$170,
'在庫使用計画 (ノート全体試算)'!BC$1:BC$170,
"")</f>
        <v>307</v>
      </c>
      <c r="BC111" s="224" t="str">
        <f>_xlfn.XLOOKUP(
$C111,
'在庫使用計画 (ノート全体試算)'!$C$1:$C$170,
'在庫使用計画 (ノート全体試算)'!BD$1:BD$170,
"")</f>
        <v/>
      </c>
      <c r="BD111" s="224" t="str">
        <f>_xlfn.XLOOKUP(
$C111,
'在庫使用計画 (ノート全体試算)'!$C$1:$C$170,
'在庫使用計画 (ノート全体試算)'!BE$1:BE$170,
"")</f>
        <v/>
      </c>
      <c r="BE111" s="224" t="str">
        <f>_xlfn.XLOOKUP(
$C111,
'在庫使用計画 (ノート全体試算)'!$C$1:$C$170,
'在庫使用計画 (ノート全体試算)'!BF$1:BF$170,
"")</f>
        <v/>
      </c>
      <c r="BF111" s="805" t="str">
        <f>_xlfn.XLOOKUP(
$C111,
'在庫使用計画 (ノート全体試算)'!$C$1:$C$170,
'在庫使用計画 (ノート全体試算)'!BG$1:BG$170,
"")</f>
        <v/>
      </c>
      <c r="BG111" s="2091" t="s">
        <v>2674</v>
      </c>
    </row>
    <row r="112" spans="1:60" ht="19.5" thickBot="1">
      <c r="A112" s="445"/>
      <c r="B112" s="1261" t="str">
        <v>CLE-V75-155H-UMA-L6-TPM-DDR5</v>
      </c>
      <c r="C112" s="1265" t="s">
        <v>1654</v>
      </c>
      <c r="D112" s="1262" t="s">
        <v>1763</v>
      </c>
      <c r="E112" s="446"/>
      <c r="F112" s="447"/>
      <c r="G112" s="448">
        <v>2201</v>
      </c>
      <c r="H112" s="448">
        <f ca="1">_xlfn.LET(_xlpm._今月から4ヶ月計画合計,
  SUM(
    OFFSET($A112,0,
      MATCH(
        EDATE(基準データ!$C$5,3),$A$1:$BE$1,1
      )-4,1,4)),
  IF($C112="","",_xlpm._今月から4ヶ月計画合計
)
)</f>
        <v>0</v>
      </c>
      <c r="I112" s="448">
        <f t="shared" si="19"/>
        <v>2</v>
      </c>
      <c r="J112" s="1116" t="str" cm="1">
        <f t="array" ref="J112">_xlfn.IFS($C112="","",
  $G112="","発売前？",
  $G112=0,"在庫なし",
  TRUE,
  IFERROR(
    _xlfn.LET(
      _xlpm._在庫注残,     $G112,
      _xlpm._しきい値,     _xlpm._在庫注残 * 0.75,
      _xlpm._見出し元,     $K$1:$BT$1,
      _xlpm._計画,         $K112:$BT112,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合計0、在庫+注残2,201のため不足</v>
      </c>
      <c r="K112" s="448"/>
      <c r="L112" s="448"/>
      <c r="M112" s="448"/>
      <c r="N112" s="448"/>
      <c r="O112" s="448"/>
      <c r="P112" s="448"/>
      <c r="Q112" s="540"/>
      <c r="R112" s="900"/>
      <c r="S112" s="449"/>
      <c r="T112" s="449"/>
      <c r="U112" s="449"/>
      <c r="V112" s="450"/>
      <c r="W112" s="455" t="s">
        <v>21</v>
      </c>
      <c r="X112" s="455" t="s">
        <v>21</v>
      </c>
      <c r="Y112" s="455">
        <v>1</v>
      </c>
      <c r="Z112" s="453">
        <v>138</v>
      </c>
      <c r="AA112" s="453">
        <v>173</v>
      </c>
      <c r="AB112" s="449">
        <v>126</v>
      </c>
      <c r="AC112" s="899">
        <v>391</v>
      </c>
      <c r="AD112" s="1290">
        <v>292</v>
      </c>
      <c r="AE112" s="453" t="s">
        <v>21</v>
      </c>
      <c r="AF112" s="453" t="s">
        <v>21</v>
      </c>
      <c r="AG112" s="451" t="s">
        <v>21</v>
      </c>
      <c r="AH112" s="889" t="s">
        <v>21</v>
      </c>
      <c r="AI112" s="896" t="s">
        <v>21</v>
      </c>
      <c r="AJ112" s="451" t="s">
        <v>21</v>
      </c>
      <c r="AK112" s="451" t="s">
        <v>21</v>
      </c>
      <c r="AL112" s="451" t="s">
        <v>21</v>
      </c>
      <c r="AM112" s="451" t="str">
        <f>_xlfn.LET(_xlpm._全体実績予測,
  INDEX('在庫使用計画 (全体実績+予測）0701'!$A$1:$BD$195,
    MATCH($C112,'在庫使用計画 (全体実績+予測）0701'!$C$1:$C$195,0),
    MATCH(AM$1,'在庫使用計画 (全体実績+予測）0701'!$A$1:$BD$1,0)
),
  IFERROR(
    IF(_xlpm._全体実績予測=0,"",_xlpm._全体実績予測),
  "")
)</f>
        <v/>
      </c>
      <c r="AN112" s="889" t="str">
        <f>_xlfn.LET(_xlpm._全体実績予測,
  INDEX('在庫使用計画 (全体実績+予測）0701'!$A$1:$BD$195,
    MATCH($C112,'在庫使用計画 (全体実績+予測）0701'!$C$1:$C$195,0),
    MATCH(AN$1,'在庫使用計画 (全体実績+予測）0701'!$A$1:$BD$1,0)
),
  IFERROR(
    IF(_xlpm._全体実績予測=0,"",_xlpm._全体実績予測),
  "")
)</f>
        <v/>
      </c>
      <c r="AO112" s="889" t="str">
        <f>_xlfn.LET(_xlpm._全体実績予測,
  INDEX('在庫使用計画 (全体実績+予測）0701'!$A$1:$BD$195,
    MATCH($C112,'在庫使用計画 (全体実績+予測）0701'!$C$1:$C$195,0),
    MATCH(AO$1,'在庫使用計画 (全体実績+予測）0701'!$A$1:$BD$1,0)
),
  IFERROR(
    IF(_xlpm._全体実績予測=0,"",_xlpm._全体実績予測),
  "")
)</f>
        <v/>
      </c>
      <c r="AP112" s="451" t="str">
        <f>_xlfn.LET(_xlpm._全体実績予測,
  INDEX('在庫使用計画 (全体実績+予測）0701'!$A$1:$BD$195,
    MATCH($C112,'在庫使用計画 (全体実績+予測）0701'!$C$1:$C$195,0),
    MATCH(AP$1,'在庫使用計画 (全体実績+予測）0701'!$A$1:$BD$1,0)
),
  IFERROR(
    IF(_xlpm._全体実績予測=0,"",_xlpm._全体実績予測),
  "")
)</f>
        <v/>
      </c>
      <c r="AQ112" s="2121" t="str">
        <f>_xlfn.LET(_xlpm._全体実績予測,
  INDEX('在庫使用計画 (全体実績+予測）0701'!$A$1:$BD$195,
    MATCH($C112,'在庫使用計画 (全体実績+予測）0701'!$C$1:$C$195,0),
    MATCH(AQ$1,'在庫使用計画 (全体実績+予測）0701'!$A$1:$BD$1,0)
),
  IFERROR(
    IF(_xlpm._全体実績予測=0,"",_xlpm._全体実績予測),
  "")
)</f>
        <v/>
      </c>
      <c r="AR112" s="2137" t="str">
        <f>_xlfn.LET(_xlpm._全体実績予測,
  INDEX('在庫使用計画 (全体実績+予測）0701'!$A$1:$BD$195,
    MATCH($C112,'在庫使用計画 (全体実績+予測）0701'!$C$1:$C$195,0),
    MATCH(AR$1,'在庫使用計画 (全体実績+予測）0701'!$A$1:$BD$1,0)
),
  IFERROR(
    IF(_xlpm._全体実績予測=0,"",_xlpm._全体実績予測),
  "")
)</f>
        <v/>
      </c>
      <c r="AS112" s="1292" t="str">
        <f>_xlfn.LET(_xlpm._全体実績予測,
  INDEX('在庫使用計画 (全体実績+予測）0701'!$A$1:$BD$195,
    MATCH($C112,'在庫使用計画 (全体実績+予測）0701'!$C$1:$C$195,0),
    MATCH(AS$1,'在庫使用計画 (全体実績+予測）0701'!$A$1:$BD$1,0)
),
  IFERROR(
    IF(_xlpm._全体実績予測=0,"",_xlpm._全体実績予測),
  "")
)</f>
        <v/>
      </c>
      <c r="AT112" s="897" t="str">
        <f>_xlfn.LET(_xlpm._全体実績予測,
  INDEX('在庫使用計画 (全体実績+予測）0701'!$A$1:$BD$195,
    MATCH($C112,'在庫使用計画 (全体実績+予測）0701'!$C$1:$C$195,0),
    MATCH(AT$1,'在庫使用計画 (全体実績+予測）0701'!$A$1:$BD$1,0)
),
  IFERROR(
    IF(_xlpm._全体実績予測=0,"",_xlpm._全体実績予測),
  "")
)</f>
        <v/>
      </c>
      <c r="AU112" s="896" t="str">
        <f>_xlfn.LET(_xlpm._全体実績予測,
  INDEX('在庫使用計画 (全体実績+予測）0701'!$A$1:$BD$195,
    MATCH($C112,'在庫使用計画 (全体実績+予測）0701'!$C$1:$C$195,0),
    MATCH(AU$1,'在庫使用計画 (全体実績+予測）0701'!$A$1:$BD$1,0)
),
  IFERROR(
    IF(_xlpm._全体実績予測=0,"",_xlpm._全体実績予測),
  "")
)</f>
        <v/>
      </c>
      <c r="AV112" s="451" t="str">
        <f>_xlfn.LET(_xlpm._全体実績予測,
  INDEX('在庫使用計画 (全体実績+予測）0701'!$A$1:$BD$195,
    MATCH($C112,'在庫使用計画 (全体実績+予測）0701'!$C$1:$C$195,0),
    MATCH(AV$1,'在庫使用計画 (全体実績+予測）0701'!$A$1:$BD$1,0)
),
  IFERROR(
    IF(_xlpm._全体実績予測=0,"",_xlpm._全体実績予測),
  "")
)</f>
        <v/>
      </c>
      <c r="AW112" s="451" t="str">
        <f>_xlfn.LET(_xlpm._全体実績予測,
  INDEX('在庫使用計画 (全体実績+予測）0701'!$A$1:$BD$195,
    MATCH($C112,'在庫使用計画 (全体実績+予測）0701'!$C$1:$C$195,0),
    MATCH(AW$1,'在庫使用計画 (全体実績+予測）0701'!$A$1:$BD$1,0)
),
  IFERROR(
    IF(_xlpm._全体実績予測=0,"",_xlpm._全体実績予測),
  "")
)</f>
        <v/>
      </c>
      <c r="AX112" s="451" t="str">
        <f>_xlfn.LET(_xlpm._全体実績予測,
  INDEX('在庫使用計画 (全体実績+予測）0701'!$A$1:$BD$195,
    MATCH($C112,'在庫使用計画 (全体実績+予測）0701'!$C$1:$C$195,0),
    MATCH(AX$1,'在庫使用計画 (全体実績+予測）0701'!$A$1:$BD$1,0)
),
  IFERROR(
    IF(_xlpm._全体実績予測=0,"",_xlpm._全体実績予測),
  "")
)</f>
        <v/>
      </c>
      <c r="AY112" s="451" t="str">
        <f>_xlfn.LET(_xlpm._全体実績予測,
  INDEX('在庫使用計画 (全体実績+予測）0701'!$A$1:$BD$195,
    MATCH($C112,'在庫使用計画 (全体実績+予測）0701'!$C$1:$C$195,0),
    MATCH(AY$1,'在庫使用計画 (全体実績+予測）0701'!$A$1:$BD$1,0)
),
  IFERROR(
    IF(_xlpm._全体実績予測=0,"",_xlpm._全体実績予測),
  "")
)</f>
        <v/>
      </c>
      <c r="AZ112" s="451" t="str">
        <f>_xlfn.LET(_xlpm._全体実績予測,
  INDEX('在庫使用計画 (全体実績+予測）0701'!$A$1:$BD$195,
    MATCH($C112,'在庫使用計画 (全体実績+予測）0701'!$C$1:$C$195,0),
    MATCH(AZ$1,'在庫使用計画 (全体実績+予測）0701'!$A$1:$BD$1,0)
),
  IFERROR(
    IF(_xlpm._全体実績予測=0,"",_xlpm._全体実績予測),
  "")
)</f>
        <v/>
      </c>
      <c r="BA112" s="451" t="str">
        <f>_xlfn.LET(_xlpm._全体実績予測,
  INDEX('在庫使用計画 (全体実績+予測）0701'!$A$1:$BD$195,
    MATCH($C112,'在庫使用計画 (全体実績+予測）0701'!$C$1:$C$195,0),
    MATCH(BA$1,'在庫使用計画 (全体実績+予測）0701'!$A$1:$BD$1,0)
),
  IFERROR(
    IF(_xlpm._全体実績予測=0,"",_xlpm._全体実績予測),
  "")
)</f>
        <v/>
      </c>
      <c r="BB112" s="451" t="str">
        <f>_xlfn.LET(_xlpm._全体実績予測,
  INDEX('在庫使用計画 (全体実績+予測）0701'!$A$1:$BD$195,
    MATCH($C112,'在庫使用計画 (全体実績+予測）0701'!$C$1:$C$195,0),
    MATCH(BB$1,'在庫使用計画 (全体実績+予測）0701'!$A$1:$BD$1,0)
),
  IFERROR(
    IF(_xlpm._全体実績予測=0,"",_xlpm._全体実績予測),
  "")
)</f>
        <v/>
      </c>
      <c r="BC112" s="451" t="str">
        <f>_xlfn.LET(_xlpm._全体実績予測,
  INDEX('在庫使用計画 (全体実績+予測）0701'!$A$1:$BD$195,
    MATCH($C112,'在庫使用計画 (全体実績+予測）0701'!$C$1:$C$195,0),
    MATCH(BC$1,'在庫使用計画 (全体実績+予測）0701'!$A$1:$BD$1,0)
),
  IFERROR(
    IF(_xlpm._全体実績予測=0,"",_xlpm._全体実績予測),
  "")
)</f>
        <v/>
      </c>
      <c r="BD112" s="451" t="str">
        <f>_xlfn.LET(_xlpm._全体実績予測,
  INDEX('在庫使用計画 (全体実績+予測）0701'!$A$1:$BD$195,
    MATCH($C112,'在庫使用計画 (全体実績+予測）0701'!$C$1:$C$195,0),
    MATCH(BD$1,'在庫使用計画 (全体実績+予測）0701'!$A$1:$BD$1,0)
),
  IFERROR(
    IF(_xlpm._全体実績予測=0,"",_xlpm._全体実績予測),
  "")
)</f>
        <v/>
      </c>
      <c r="BE112" s="451" t="str">
        <f>_xlfn.LET(_xlpm._全体実績予測,
  INDEX('在庫使用計画 (全体実績+予測）0701'!$A$1:$BD$195,
    MATCH($C112,'在庫使用計画 (全体実績+予測）0701'!$C$1:$C$195,0),
    MATCH(BE$1,'在庫使用計画 (全体実績+予測）0701'!$A$1:$BD$1,0)
),
  IFERROR(
    IF(_xlpm._全体実績予測=0,"",_xlpm._全体実績予測),
  "")
)</f>
        <v/>
      </c>
      <c r="BF112" s="897" t="str">
        <f>_xlfn.LET(_xlpm._全体実績予測,
  INDEX('在庫使用計画 (全体実績+予測）0701'!$A$1:$BD$195,
    MATCH($C112,'在庫使用計画 (全体実績+予測）0701'!$C$1:$C$195,0),
    MATCH(BF$1,'在庫使用計画 (全体実績+予測）0701'!$A$1:$BD$1,0)
),
  IFERROR(
    IF(_xlpm._全体実績予測=0,"",_xlpm._全体実績予測),
  "")
)</f>
        <v/>
      </c>
    </row>
    <row r="113" spans="1:60">
      <c r="A113" s="71" t="s">
        <v>1419</v>
      </c>
      <c r="B113" s="28" t="str">
        <v>QNT-LGHB-1335U-UMA-L6</v>
      </c>
      <c r="C113" s="531" t="s">
        <v>1429</v>
      </c>
      <c r="D113" s="25" t="s">
        <v>1430</v>
      </c>
      <c r="E113" s="26" t="s">
        <v>1423</v>
      </c>
      <c r="F113" s="26" t="s">
        <v>1372</v>
      </c>
      <c r="G113" s="38">
        <v>302</v>
      </c>
      <c r="H113" s="38">
        <f ca="1">_xlfn.LET(_xlpm._今月から4ヶ月計画合計,
  SUM(
    OFFSET($A113,0,
      MATCH(
        EDATE(基準データ!$C$5,3),$A$1:$BE$1,1
      )-4,1,4)),
  IF($C113="","",_xlpm._今月から4ヶ月計画合計
)
)</f>
        <v>300</v>
      </c>
      <c r="I113" s="38">
        <f>SUMIFS(マスタ_EOLリスト[在庫],マスタ_EOLリスト[製品型番],'在庫使用計画 (計画　予測)'!$C:$C)</f>
        <v>302</v>
      </c>
      <c r="J113" s="1116" cm="1">
        <f t="array" ref="J113">_xlfn.IFS($C113="","",
  $G113="","発売前？",
  $G113=0,"在庫なし",
  TRUE,
  IFERROR(
    _xlfn.LET(
      _xlpm._在庫注残,     $G113,
      _xlpm._しきい値,     _xlpm._在庫注残 * 0.75,
      _xlpm._見出し元,     $K$1:$BT$1,
      _xlpm._計画,         $K113:$BT113,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46204</v>
      </c>
      <c r="K113" s="38">
        <v>769</v>
      </c>
      <c r="L113" s="38">
        <v>480</v>
      </c>
      <c r="M113" s="38">
        <v>605</v>
      </c>
      <c r="N113" s="38">
        <v>560</v>
      </c>
      <c r="O113" s="38">
        <v>540</v>
      </c>
      <c r="P113" s="38">
        <v>565</v>
      </c>
      <c r="Q113" s="116">
        <v>635</v>
      </c>
      <c r="R113" s="1350">
        <v>440</v>
      </c>
      <c r="S113" s="219">
        <v>570</v>
      </c>
      <c r="T113" s="219">
        <v>540</v>
      </c>
      <c r="U113" s="219">
        <v>600</v>
      </c>
      <c r="V113" s="219">
        <v>596</v>
      </c>
      <c r="W113" s="224">
        <v>740</v>
      </c>
      <c r="X113" s="335">
        <v>1360</v>
      </c>
      <c r="Y113" s="335">
        <v>1220</v>
      </c>
      <c r="Z113" s="335">
        <v>480</v>
      </c>
      <c r="AA113" s="335">
        <v>250</v>
      </c>
      <c r="AB113" s="335">
        <v>280</v>
      </c>
      <c r="AC113" s="1370">
        <v>240</v>
      </c>
      <c r="AD113" s="1339">
        <v>86</v>
      </c>
      <c r="AE113" s="534" t="s">
        <v>21</v>
      </c>
      <c r="AF113" s="534" t="s">
        <v>21</v>
      </c>
      <c r="AG113" s="335">
        <v>120</v>
      </c>
      <c r="AH113" s="823">
        <v>192</v>
      </c>
      <c r="AI113" s="845">
        <v>162</v>
      </c>
      <c r="AJ113" s="224">
        <v>62</v>
      </c>
      <c r="AK113" s="224">
        <v>125</v>
      </c>
      <c r="AL113" s="224">
        <v>107</v>
      </c>
      <c r="AM113" s="224">
        <f>_xlfn.XLOOKUP(
$C113,
'在庫使用計画 (ノート全体試算)'!$C$1:$C$170,
'在庫使用計画 (ノート全体試算)'!AN$1:AN$170,
"")</f>
        <v>376</v>
      </c>
      <c r="AN113" s="237">
        <f>_xlfn.XLOOKUP(
$C113,
'在庫使用計画 (ノート全体試算)'!$C$1:$C$170,
'在庫使用計画 (ノート全体試算)'!AO$1:AO$170,
"")</f>
        <v>290</v>
      </c>
      <c r="AO113" s="237">
        <f>_xlfn.XLOOKUP(
$C113,
'在庫使用計画 (ノート全体試算)'!$C$1:$C$170,
'在庫使用計画 (ノート全体試算)'!AP$1:AP$170,
"")</f>
        <v>300</v>
      </c>
      <c r="AP113" s="224" t="str">
        <f>_xlfn.XLOOKUP(
$C113,
'在庫使用計画 (ノート全体試算)'!$C$1:$C$170,
'在庫使用計画 (ノート全体試算)'!AQ$1:AQ$170,
"")</f>
        <v/>
      </c>
      <c r="AQ113" s="1050" t="str">
        <f>_xlfn.XLOOKUP(
$C113,
'在庫使用計画 (ノート全体試算)'!$C$1:$C$170,
'在庫使用計画 (ノート全体試算)'!AR$1:AR$170,
"")</f>
        <v/>
      </c>
      <c r="AR113" s="2130" t="str">
        <f>_xlfn.XLOOKUP(
$C113,
'在庫使用計画 (ノート全体試算)'!$C$1:$C$170,
'在庫使用計画 (ノート全体試算)'!AS$1:AS$170,
"")</f>
        <v/>
      </c>
      <c r="AS113" s="244" t="str">
        <f>_xlfn.XLOOKUP(
$C113,
'在庫使用計画 (ノート全体試算)'!$C$1:$C$170,
'在庫使用計画 (ノート全体試算)'!AT$1:AT$170,
"")</f>
        <v/>
      </c>
      <c r="AT113" s="805" t="str">
        <f>_xlfn.XLOOKUP(
$C113,
'在庫使用計画 (ノート全体試算)'!$C$1:$C$170,
'在庫使用計画 (ノート全体試算)'!AU$1:AU$170,
"")</f>
        <v/>
      </c>
      <c r="AU113" s="845" t="str">
        <f>_xlfn.XLOOKUP(
$C113,
'在庫使用計画 (ノート全体試算)'!$C$1:$C$170,
'在庫使用計画 (ノート全体試算)'!AV$1:AV$170,
"")</f>
        <v/>
      </c>
      <c r="AV113" s="224" t="str">
        <f>_xlfn.XLOOKUP(
$C113,
'在庫使用計画 (ノート全体試算)'!$C$1:$C$170,
'在庫使用計画 (ノート全体試算)'!AW$1:AW$170,
"")</f>
        <v/>
      </c>
      <c r="AW113" s="224" t="str">
        <f>_xlfn.XLOOKUP(
$C113,
'在庫使用計画 (ノート全体試算)'!$C$1:$C$170,
'在庫使用計画 (ノート全体試算)'!AX$1:AX$170,
"")</f>
        <v/>
      </c>
      <c r="AX113" s="224" t="str">
        <f>_xlfn.XLOOKUP(
$C113,
'在庫使用計画 (ノート全体試算)'!$C$1:$C$170,
'在庫使用計画 (ノート全体試算)'!AY$1:AY$170,
"")</f>
        <v/>
      </c>
      <c r="AY113" s="224" t="str">
        <f>_xlfn.XLOOKUP(
$C113,
'在庫使用計画 (ノート全体試算)'!$C$1:$C$170,
'在庫使用計画 (ノート全体試算)'!AZ$1:AZ$170,
"")</f>
        <v/>
      </c>
      <c r="AZ113" s="224" t="str">
        <f>_xlfn.XLOOKUP(
$C113,
'在庫使用計画 (ノート全体試算)'!$C$1:$C$170,
'在庫使用計画 (ノート全体試算)'!BA$1:BA$170,
"")</f>
        <v/>
      </c>
      <c r="BA113" s="224" t="str">
        <f>_xlfn.XLOOKUP(
$C113,
'在庫使用計画 (ノート全体試算)'!$C$1:$C$170,
'在庫使用計画 (ノート全体試算)'!BB$1:BB$170,
"")</f>
        <v/>
      </c>
      <c r="BB113" s="224" t="str">
        <f>_xlfn.XLOOKUP(
$C113,
'在庫使用計画 (ノート全体試算)'!$C$1:$C$170,
'在庫使用計画 (ノート全体試算)'!BC$1:BC$170,
"")</f>
        <v/>
      </c>
      <c r="BC113" s="224" t="str">
        <f>_xlfn.XLOOKUP(
$C113,
'在庫使用計画 (ノート全体試算)'!$C$1:$C$170,
'在庫使用計画 (ノート全体試算)'!BD$1:BD$170,
"")</f>
        <v/>
      </c>
      <c r="BD113" s="224" t="str">
        <f>_xlfn.XLOOKUP(
$C113,
'在庫使用計画 (ノート全体試算)'!$C$1:$C$170,
'在庫使用計画 (ノート全体試算)'!BE$1:BE$170,
"")</f>
        <v/>
      </c>
      <c r="BE113" s="224" t="str">
        <f>_xlfn.XLOOKUP(
$C113,
'在庫使用計画 (ノート全体試算)'!$C$1:$C$170,
'在庫使用計画 (ノート全体試算)'!BF$1:BF$170,
"")</f>
        <v/>
      </c>
      <c r="BF113" s="805" t="str">
        <f>_xlfn.XLOOKUP(
$C113,
'在庫使用計画 (ノート全体試算)'!$C$1:$C$170,
'在庫使用計画 (ノート全体試算)'!BG$1:BG$170,
"")</f>
        <v/>
      </c>
      <c r="BG113" s="2091" t="s">
        <v>2671</v>
      </c>
    </row>
    <row r="114" spans="1:60">
      <c r="A114" s="445"/>
      <c r="B114" s="446" t="str">
        <v>QNT-LGHB-1335U-UMA-L6</v>
      </c>
      <c r="C114" s="452" t="s">
        <v>1429</v>
      </c>
      <c r="D114" s="446" t="s">
        <v>1763</v>
      </c>
      <c r="E114" s="446"/>
      <c r="F114" s="447"/>
      <c r="G114" s="481">
        <v>302</v>
      </c>
      <c r="H114" s="448">
        <f ca="1">_xlfn.LET(_xlpm._今月から4ヶ月計画合計,
  SUM(
    OFFSET($A114,0,
      MATCH(
        EDATE(基準データ!$C$5,3),$A$1:$BE$1,1
      )-4,1,4)),
  IF($C114="","",_xlpm._今月から4ヶ月計画合計
)
)</f>
        <v>1081.887504270343</v>
      </c>
      <c r="I114" s="448">
        <f t="shared" si="19"/>
        <v>302</v>
      </c>
      <c r="J114" s="1116" cm="1">
        <f t="array" ref="J114">_xlfn.IFS($C114="","",
  $G114="","発売前？",
  $G114=0,"在庫なし",
  TRUE,
  IFERROR(
    _xlfn.LET(
      _xlpm._在庫注残,     $G114,
      _xlpm._しきい値,     _xlpm._在庫注残 * 0.75,
      _xlpm._見出し元,     $K$1:$BT$1,
      _xlpm._計画,         $K114:$BT114,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46204</v>
      </c>
      <c r="K114" s="448"/>
      <c r="L114" s="448"/>
      <c r="M114" s="448"/>
      <c r="N114" s="448"/>
      <c r="O114" s="448"/>
      <c r="P114" s="448"/>
      <c r="Q114" s="540"/>
      <c r="R114" s="900"/>
      <c r="S114" s="449"/>
      <c r="T114" s="449"/>
      <c r="U114" s="449"/>
      <c r="V114" s="450"/>
      <c r="W114" s="455">
        <v>584</v>
      </c>
      <c r="X114" s="455">
        <v>487</v>
      </c>
      <c r="Y114" s="455">
        <v>690</v>
      </c>
      <c r="Z114" s="453">
        <v>413</v>
      </c>
      <c r="AA114" s="453">
        <v>255</v>
      </c>
      <c r="AB114" s="449">
        <v>379</v>
      </c>
      <c r="AC114" s="899">
        <v>355</v>
      </c>
      <c r="AD114" s="1290">
        <v>135</v>
      </c>
      <c r="AE114" s="453">
        <v>15</v>
      </c>
      <c r="AF114" s="453">
        <v>2</v>
      </c>
      <c r="AG114" s="465">
        <v>16</v>
      </c>
      <c r="AH114" s="892">
        <v>35</v>
      </c>
      <c r="AI114" s="903">
        <v>40</v>
      </c>
      <c r="AJ114" s="451">
        <v>27</v>
      </c>
      <c r="AK114" s="451">
        <v>141</v>
      </c>
      <c r="AL114" s="451">
        <v>45</v>
      </c>
      <c r="AM114" s="451">
        <f>_xlfn.LET(_xlpm._全体実績予測,
  INDEX('在庫使用計画 (全体実績+予測）0701'!$A$1:$BD$195,
    MATCH($C114,'在庫使用計画 (全体実績+予測）0701'!$C$1:$C$195,0),
    MATCH(AM$1,'在庫使用計画 (全体実績+予測）0701'!$A$1:$BD$1,0)
),
  IFERROR(
    IF(_xlpm._全体実績予測=0,"",_xlpm._全体実績予測),
  "")
)</f>
        <v>83</v>
      </c>
      <c r="AN114" s="889">
        <f>_xlfn.LET(_xlpm._全体実績予測,
  INDEX('在庫使用計画 (全体実績+予測）0701'!$A$1:$BD$195,
    MATCH($C114,'在庫使用計画 (全体実績+予測）0701'!$C$1:$C$195,0),
    MATCH(AN$1,'在庫使用計画 (全体実績+予測）0701'!$A$1:$BD$1,0)
),
  IFERROR(
    IF(_xlpm._全体実績予測=0,"",_xlpm._全体実績予測),
  "")
)</f>
        <v>247.5</v>
      </c>
      <c r="AO114" s="889">
        <f>_xlfn.LET(_xlpm._全体実績予測,
  INDEX('在庫使用計画 (全体実績+予測）0701'!$A$1:$BD$195,
    MATCH($C114,'在庫使用計画 (全体実績+予測）0701'!$C$1:$C$195,0),
    MATCH(AO$1,'在庫使用計画 (全体実績+予測）0701'!$A$1:$BD$1,0)
),
  IFERROR(
    IF(_xlpm._全体実績予測=0,"",_xlpm._全体実績予測),
  "")
)</f>
        <v>271.60882655761168</v>
      </c>
      <c r="AP114" s="451">
        <f>_xlfn.LET(_xlpm._全体実績予測,
  INDEX('在庫使用計画 (全体実績+予測）0701'!$A$1:$BD$195,
    MATCH($C114,'在庫使用計画 (全体実績+予測）0701'!$C$1:$C$195,0),
    MATCH(AP$1,'在庫使用計画 (全体実績+予測）0701'!$A$1:$BD$1,0)
),
  IFERROR(
    IF(_xlpm._全体実績予測=0,"",_xlpm._全体実績予測),
  "")
)</f>
        <v>249.81469205291705</v>
      </c>
      <c r="AQ114" s="2121">
        <f>_xlfn.LET(_xlpm._全体実績予測,
  INDEX('在庫使用計画 (全体実績+予測）0701'!$A$1:$BD$195,
    MATCH($C114,'在庫使用計画 (全体実績+予測）0701'!$C$1:$C$195,0),
    MATCH(AQ$1,'在庫使用計画 (全体実績+予測）0701'!$A$1:$BD$1,0)
),
  IFERROR(
    IF(_xlpm._全体実績予測=0,"",_xlpm._全体実績予測),
  "")
)</f>
        <v>269.85701972623269</v>
      </c>
      <c r="AR114" s="2137">
        <f>_xlfn.LET(_xlpm._全体実績予測,
  INDEX('在庫使用計画 (全体実績+予測）0701'!$A$1:$BD$195,
    MATCH($C114,'在庫使用計画 (全体実績+予測）0701'!$C$1:$C$195,0),
    MATCH(AR$1,'在庫使用計画 (全体実績+予測）0701'!$A$1:$BD$1,0)
),
  IFERROR(
    IF(_xlpm._全体実績予測=0,"",_xlpm._全体実績予測),
  "")
)</f>
        <v>290.60696593358165</v>
      </c>
      <c r="AS114" s="1292">
        <f>_xlfn.LET(_xlpm._全体実績予測,
  INDEX('在庫使用計画 (全体実績+予測）0701'!$A$1:$BD$195,
    MATCH($C114,'在庫使用計画 (全体実績+予測）0701'!$C$1:$C$195,0),
    MATCH(AS$1,'在庫使用計画 (全体実績+予測）0701'!$A$1:$BD$1,0)
),
  IFERROR(
    IF(_xlpm._全体実績予測=0,"",_xlpm._全体実績予測),
  "")
)</f>
        <v>300.76362223746054</v>
      </c>
      <c r="AT114" s="897">
        <f>_xlfn.LET(_xlpm._全体実績予測,
  INDEX('在庫使用計画 (全体実績+予測）0701'!$A$1:$BD$195,
    MATCH($C114,'在庫使用計画 (全体実績+予測）0701'!$C$1:$C$195,0),
    MATCH(AT$1,'在庫使用計画 (全体実績+予測）0701'!$A$1:$BD$1,0)
),
  IFERROR(
    IF(_xlpm._全体実績予測=0,"",_xlpm._全体実績予測),
  "")
)</f>
        <v>443.30397630313001</v>
      </c>
      <c r="AU114" s="903">
        <f>_xlfn.LET(_xlpm._全体実績予測,
  INDEX('在庫使用計画 (全体実績+予測）0701'!$A$1:$BD$195,
    MATCH($C114,'在庫使用計画 (全体実績+予測）0701'!$C$1:$C$195,0),
    MATCH(AU$1,'在庫使用計画 (全体実績+予測）0701'!$A$1:$BD$1,0)
),
  IFERROR(
    IF(_xlpm._全体実績予測=0,"",_xlpm._全体実績予測),
  "")
)</f>
        <v>382.55737101049277</v>
      </c>
      <c r="AV114" s="451">
        <f>_xlfn.LET(_xlpm._全体実績予測,
  INDEX('在庫使用計画 (全体実績+予測）0701'!$A$1:$BD$195,
    MATCH($C114,'在庫使用計画 (全体実績+予測）0701'!$C$1:$C$195,0),
    MATCH(AV$1,'在庫使用計画 (全体実績+予測）0701'!$A$1:$BD$1,0)
),
  IFERROR(
    IF(_xlpm._全体実績予測=0,"",_xlpm._全体実績予測),
  "")
)</f>
        <v>360.67989747242461</v>
      </c>
      <c r="AW114" s="451">
        <f>_xlfn.LET(_xlpm._全体実績予測,
  INDEX('在庫使用計画 (全体実績+予測）0701'!$A$1:$BD$195,
    MATCH($C114,'在庫使用計画 (全体実績+予測）0701'!$C$1:$C$195,0),
    MATCH(AW$1,'在庫使用計画 (全体実績+予測）0701'!$A$1:$BD$1,0)
),
  IFERROR(
    IF(_xlpm._全体実績予測=0,"",_xlpm._全体実績予測),
  "")
)</f>
        <v>533.02152107551478</v>
      </c>
      <c r="AX114" s="451">
        <f>_xlfn.LET(_xlpm._全体実績予測,
  INDEX('在庫使用計画 (全体実績+予測）0701'!$A$1:$BD$195,
    MATCH($C114,'在庫使用計画 (全体実績+予測）0701'!$C$1:$C$195,0),
    MATCH(AX$1,'在庫使用計画 (全体実績+予測）0701'!$A$1:$BD$1,0)
),
  IFERROR(
    IF(_xlpm._全体実績予測=0,"",_xlpm._全体実績予測),
  "")
)</f>
        <v>327.29231804356692</v>
      </c>
      <c r="AY114" s="451">
        <f>_xlfn.LET(_xlpm._全体実績予測,
  INDEX('在庫使用計画 (全体実績+予測）0701'!$A$1:$BD$195,
    MATCH($C114,'在庫使用計画 (全体実績+予測）0701'!$C$1:$C$195,0),
    MATCH(AY$1,'在庫使用計画 (全体実績+予測）0701'!$A$1:$BD$1,0)
),
  IFERROR(
    IF(_xlpm._全体実績予測=0,"",_xlpm._全体実績予測),
  "")
)</f>
        <v>237.36230714657685</v>
      </c>
      <c r="AZ114" s="451">
        <f>_xlfn.LET(_xlpm._全体実績予測,
  INDEX('在庫使用計画 (全体実績+予測）0701'!$A$1:$BD$195,
    MATCH($C114,'在庫使用計画 (全体実績+予測）0701'!$C$1:$C$195,0),
    MATCH(AZ$1,'在庫使用計画 (全体実績+予測）0701'!$A$1:$BD$1,0)
),
  IFERROR(
    IF(_xlpm._全体実績予測=0,"",_xlpm._全体実績予測),
  "")
)</f>
        <v>247.5</v>
      </c>
      <c r="BA114" s="451">
        <f>_xlfn.LET(_xlpm._全体実績予測,
  INDEX('在庫使用計画 (全体実績+予測）0701'!$A$1:$BD$195,
    MATCH($C114,'在庫使用計画 (全体実績+予測）0701'!$C$1:$C$195,0),
    MATCH(BA$1,'在庫使用計画 (全体実績+予測）0701'!$A$1:$BD$1,0)
),
  IFERROR(
    IF(_xlpm._全体実績予測=0,"",_xlpm._全体実績予測),
  "")
)</f>
        <v>271.60882655761168</v>
      </c>
      <c r="BB114" s="451">
        <f>_xlfn.LET(_xlpm._全体実績予測,
  INDEX('在庫使用計画 (全体実績+予測）0701'!$A$1:$BD$195,
    MATCH($C114,'在庫使用計画 (全体実績+予測）0701'!$C$1:$C$195,0),
    MATCH(BB$1,'在庫使用計画 (全体実績+予測）0701'!$A$1:$BD$1,0)
),
  IFERROR(
    IF(_xlpm._全体実績予測=0,"",_xlpm._全体実績予測),
  "")
)</f>
        <v>249.81469205291705</v>
      </c>
      <c r="BC114" s="451">
        <f>_xlfn.LET(_xlpm._全体実績予測,
  INDEX('在庫使用計画 (全体実績+予測）0701'!$A$1:$BD$195,
    MATCH($C114,'在庫使用計画 (全体実績+予測）0701'!$C$1:$C$195,0),
    MATCH(BC$1,'在庫使用計画 (全体実績+予測）0701'!$A$1:$BD$1,0)
),
  IFERROR(
    IF(_xlpm._全体実績予測=0,"",_xlpm._全体実績予測),
  "")
)</f>
        <v>269.85701972623269</v>
      </c>
      <c r="BD114" s="451">
        <f>_xlfn.LET(_xlpm._全体実績予測,
  INDEX('在庫使用計画 (全体実績+予測）0701'!$A$1:$BD$195,
    MATCH($C114,'在庫使用計画 (全体実績+予測）0701'!$C$1:$C$195,0),
    MATCH(BD$1,'在庫使用計画 (全体実績+予測）0701'!$A$1:$BD$1,0)
),
  IFERROR(
    IF(_xlpm._全体実績予測=0,"",_xlpm._全体実績予測),
  "")
)</f>
        <v>290.60696593358165</v>
      </c>
      <c r="BE114" s="451">
        <f>_xlfn.LET(_xlpm._全体実績予測,
  INDEX('在庫使用計画 (全体実績+予測）0701'!$A$1:$BD$195,
    MATCH($C114,'在庫使用計画 (全体実績+予測）0701'!$C$1:$C$195,0),
    MATCH(BE$1,'在庫使用計画 (全体実績+予測）0701'!$A$1:$BD$1,0)
),
  IFERROR(
    IF(_xlpm._全体実績予測=0,"",_xlpm._全体実績予測),
  "")
)</f>
        <v>300.76362223746054</v>
      </c>
      <c r="BF114" s="897">
        <f>_xlfn.LET(_xlpm._全体実績予測,
  INDEX('在庫使用計画 (全体実績+予測）0701'!$A$1:$BD$195,
    MATCH($C114,'在庫使用計画 (全体実績+予測）0701'!$C$1:$C$195,0),
    MATCH(BF$1,'在庫使用計画 (全体実績+予測）0701'!$A$1:$BD$1,0)
),
  IFERROR(
    IF(_xlpm._全体実績予測=0,"",_xlpm._全体実績予測),
  "")
)</f>
        <v>443.30397630313001</v>
      </c>
      <c r="BG114" s="2091" t="s">
        <v>2672</v>
      </c>
    </row>
    <row r="115" spans="1:60">
      <c r="A115" s="71" t="s">
        <v>1419</v>
      </c>
      <c r="B115" s="26" t="str">
        <v>WZN-1051-1335U-UMA-L6 Thirdwave</v>
      </c>
      <c r="C115" s="25" t="s">
        <v>638</v>
      </c>
      <c r="D115" s="25" t="s">
        <v>1432</v>
      </c>
      <c r="E115" s="26" t="s">
        <v>1423</v>
      </c>
      <c r="F115" s="24" t="s">
        <v>1372</v>
      </c>
      <c r="G115" s="38">
        <v>1</v>
      </c>
      <c r="H115" s="38">
        <f ca="1">_xlfn.LET(_xlpm._今月から4ヶ月計画合計,
  SUM(
    OFFSET($A115,0,
      MATCH(
        EDATE(基準データ!$C$5,3),$A$1:$BE$1,1
      )-4,1,4)),
  IF($C115="","",_xlpm._今月から4ヶ月計画合計
)
)</f>
        <v>0</v>
      </c>
      <c r="I115" s="38">
        <f>SUMIFS(マスタ_EOLリスト[在庫],マスタ_EOLリスト[製品型番],'在庫使用計画 (計画　予測)'!$C:$C)</f>
        <v>1</v>
      </c>
      <c r="J115" s="1116" t="str" cm="1">
        <f t="array" ref="J115">_xlfn.IFS($C115="","",
  $G115="","発売前？",
  $G115=0,"在庫なし",
  TRUE,
  IFERROR(
    _xlfn.LET(
      _xlpm._在庫注残,     $G115,
      _xlpm._しきい値,     _xlpm._在庫注残 * 0.75,
      _xlpm._見出し元,     $K$1:$BT$1,
      _xlpm._計画,         $K115:$BT115,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合計0、在庫+注残1のため不足</v>
      </c>
      <c r="K115" s="311"/>
      <c r="L115" s="311"/>
      <c r="M115" s="311"/>
      <c r="N115" s="311"/>
      <c r="O115" s="311"/>
      <c r="P115" s="311"/>
      <c r="Q115" s="313"/>
      <c r="R115" s="1375"/>
      <c r="S115" s="298" t="s">
        <v>21</v>
      </c>
      <c r="T115" s="298" t="s">
        <v>21</v>
      </c>
      <c r="U115" s="298" t="s">
        <v>21</v>
      </c>
      <c r="V115" s="298" t="s">
        <v>21</v>
      </c>
      <c r="W115" s="299" t="s">
        <v>21</v>
      </c>
      <c r="X115" s="419" t="s">
        <v>21</v>
      </c>
      <c r="Y115" s="419" t="s">
        <v>21</v>
      </c>
      <c r="Z115" s="335" t="s">
        <v>21</v>
      </c>
      <c r="AA115" s="335">
        <v>170</v>
      </c>
      <c r="AB115" s="335">
        <v>170</v>
      </c>
      <c r="AC115" s="1370">
        <v>200</v>
      </c>
      <c r="AD115" s="1339">
        <v>361</v>
      </c>
      <c r="AE115" s="438">
        <v>180</v>
      </c>
      <c r="AF115" s="335" t="s">
        <v>21</v>
      </c>
      <c r="AG115" s="335" t="s">
        <v>21</v>
      </c>
      <c r="AH115" s="823" t="s">
        <v>21</v>
      </c>
      <c r="AI115" s="845" t="s">
        <v>21</v>
      </c>
      <c r="AJ115" s="224" t="s">
        <v>21</v>
      </c>
      <c r="AK115" s="224" t="s">
        <v>21</v>
      </c>
      <c r="AL115" s="224" t="s">
        <v>21</v>
      </c>
      <c r="AM115" s="224" t="str">
        <f>_xlfn.XLOOKUP(
$C115,
'在庫使用計画 (ノート全体試算)'!$C$1:$C$170,
'在庫使用計画 (ノート全体試算)'!AN$1:AN$170,
"")</f>
        <v/>
      </c>
      <c r="AN115" s="237" t="str">
        <f>_xlfn.XLOOKUP(
$C115,
'在庫使用計画 (ノート全体試算)'!$C$1:$C$170,
'在庫使用計画 (ノート全体試算)'!AO$1:AO$170,
"")</f>
        <v/>
      </c>
      <c r="AO115" s="237" t="str">
        <f>_xlfn.XLOOKUP(
$C115,
'在庫使用計画 (ノート全体試算)'!$C$1:$C$170,
'在庫使用計画 (ノート全体試算)'!AP$1:AP$170,
"")</f>
        <v/>
      </c>
      <c r="AP115" s="224" t="str">
        <f>_xlfn.XLOOKUP(
$C115,
'在庫使用計画 (ノート全体試算)'!$C$1:$C$170,
'在庫使用計画 (ノート全体試算)'!AQ$1:AQ$170,
"")</f>
        <v/>
      </c>
      <c r="AQ115" s="1050" t="str">
        <f>_xlfn.XLOOKUP(
$C115,
'在庫使用計画 (ノート全体試算)'!$C$1:$C$170,
'在庫使用計画 (ノート全体試算)'!AR$1:AR$170,
"")</f>
        <v/>
      </c>
      <c r="AR115" s="2130" t="str">
        <f>_xlfn.XLOOKUP(
$C115,
'在庫使用計画 (ノート全体試算)'!$C$1:$C$170,
'在庫使用計画 (ノート全体試算)'!AS$1:AS$170,
"")</f>
        <v/>
      </c>
      <c r="AS115" s="244" t="str">
        <f>_xlfn.XLOOKUP(
$C115,
'在庫使用計画 (ノート全体試算)'!$C$1:$C$170,
'在庫使用計画 (ノート全体試算)'!AT$1:AT$170,
"")</f>
        <v/>
      </c>
      <c r="AT115" s="805" t="str">
        <f>_xlfn.XLOOKUP(
$C115,
'在庫使用計画 (ノート全体試算)'!$C$1:$C$170,
'在庫使用計画 (ノート全体試算)'!AU$1:AU$170,
"")</f>
        <v/>
      </c>
      <c r="AU115" s="845" t="str">
        <f>_xlfn.XLOOKUP(
$C115,
'在庫使用計画 (ノート全体試算)'!$C$1:$C$170,
'在庫使用計画 (ノート全体試算)'!AV$1:AV$170,
"")</f>
        <v/>
      </c>
      <c r="AV115" s="224" t="str">
        <f>_xlfn.XLOOKUP(
$C115,
'在庫使用計画 (ノート全体試算)'!$C$1:$C$170,
'在庫使用計画 (ノート全体試算)'!AW$1:AW$170,
"")</f>
        <v/>
      </c>
      <c r="AW115" s="224" t="str">
        <f>_xlfn.XLOOKUP(
$C115,
'在庫使用計画 (ノート全体試算)'!$C$1:$C$170,
'在庫使用計画 (ノート全体試算)'!AX$1:AX$170,
"")</f>
        <v/>
      </c>
      <c r="AX115" s="224" t="str">
        <f>_xlfn.XLOOKUP(
$C115,
'在庫使用計画 (ノート全体試算)'!$C$1:$C$170,
'在庫使用計画 (ノート全体試算)'!AY$1:AY$170,
"")</f>
        <v/>
      </c>
      <c r="AY115" s="224" t="str">
        <f>_xlfn.XLOOKUP(
$C115,
'在庫使用計画 (ノート全体試算)'!$C$1:$C$170,
'在庫使用計画 (ノート全体試算)'!AZ$1:AZ$170,
"")</f>
        <v/>
      </c>
      <c r="AZ115" s="224" t="str">
        <f>_xlfn.XLOOKUP(
$C115,
'在庫使用計画 (ノート全体試算)'!$C$1:$C$170,
'在庫使用計画 (ノート全体試算)'!BA$1:BA$170,
"")</f>
        <v/>
      </c>
      <c r="BA115" s="224" t="str">
        <f>_xlfn.XLOOKUP(
$C115,
'在庫使用計画 (ノート全体試算)'!$C$1:$C$170,
'在庫使用計画 (ノート全体試算)'!BB$1:BB$170,
"")</f>
        <v/>
      </c>
      <c r="BB115" s="224" t="str">
        <f>_xlfn.XLOOKUP(
$C115,
'在庫使用計画 (ノート全体試算)'!$C$1:$C$170,
'在庫使用計画 (ノート全体試算)'!BC$1:BC$170,
"")</f>
        <v/>
      </c>
      <c r="BC115" s="224" t="str">
        <f>_xlfn.XLOOKUP(
$C115,
'在庫使用計画 (ノート全体試算)'!$C$1:$C$170,
'在庫使用計画 (ノート全体試算)'!BD$1:BD$170,
"")</f>
        <v/>
      </c>
      <c r="BD115" s="224" t="str">
        <f>_xlfn.XLOOKUP(
$C115,
'在庫使用計画 (ノート全体試算)'!$C$1:$C$170,
'在庫使用計画 (ノート全体試算)'!BE$1:BE$170,
"")</f>
        <v/>
      </c>
      <c r="BE115" s="224" t="str">
        <f>_xlfn.XLOOKUP(
$C115,
'在庫使用計画 (ノート全体試算)'!$C$1:$C$170,
'在庫使用計画 (ノート全体試算)'!BF$1:BF$170,
"")</f>
        <v/>
      </c>
      <c r="BF115" s="805" t="str">
        <f>_xlfn.XLOOKUP(
$C115,
'在庫使用計画 (ノート全体試算)'!$C$1:$C$170,
'在庫使用計画 (ノート全体試算)'!BG$1:BG$170,
"")</f>
        <v/>
      </c>
      <c r="BG115" s="2091" t="s">
        <v>2655</v>
      </c>
    </row>
    <row r="116" spans="1:60">
      <c r="A116" s="445"/>
      <c r="B116" s="446" t="str">
        <v>WZN-1051-1335U-UMA-L6 Thirdwave</v>
      </c>
      <c r="C116" s="452" t="s">
        <v>638</v>
      </c>
      <c r="D116" s="446" t="s">
        <v>1763</v>
      </c>
      <c r="E116" s="446"/>
      <c r="F116" s="447"/>
      <c r="G116" s="448">
        <v>1</v>
      </c>
      <c r="H116" s="448">
        <f ca="1">_xlfn.LET(_xlpm._今月から4ヶ月計画合計,
  SUM(
    OFFSET($A116,0,
      MATCH(
        EDATE(基準データ!$C$5,3),$A$1:$BE$1,1
      )-4,1,4)),
  IF($C116="","",_xlpm._今月から4ヶ月計画合計
)
)</f>
        <v>0</v>
      </c>
      <c r="I116" s="448">
        <f t="shared" si="19"/>
        <v>1</v>
      </c>
      <c r="J116" s="1116" t="str" cm="1">
        <f t="array" ref="J116">_xlfn.IFS($C116="","",
  $G116="","発売前？",
  $G116=0,"在庫なし",
  TRUE,
  IFERROR(
    _xlfn.LET(
      _xlpm._在庫注残,     $G116,
      _xlpm._しきい値,     _xlpm._在庫注残 * 0.75,
      _xlpm._見出し元,     $K$1:$BT$1,
      _xlpm._計画,         $K116:$BT116,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合計0、在庫+注残1のため不足</v>
      </c>
      <c r="K116" s="448"/>
      <c r="L116" s="448"/>
      <c r="M116" s="448"/>
      <c r="N116" s="448"/>
      <c r="O116" s="448"/>
      <c r="P116" s="448"/>
      <c r="Q116" s="540"/>
      <c r="R116" s="900"/>
      <c r="S116" s="449"/>
      <c r="T116" s="449"/>
      <c r="U116" s="449"/>
      <c r="V116" s="450"/>
      <c r="W116" s="451" t="s">
        <v>21</v>
      </c>
      <c r="X116" s="451" t="s">
        <v>21</v>
      </c>
      <c r="Y116" s="451" t="s">
        <v>21</v>
      </c>
      <c r="Z116" s="453" t="s">
        <v>21</v>
      </c>
      <c r="AA116" s="453">
        <v>137</v>
      </c>
      <c r="AB116" s="449">
        <v>171</v>
      </c>
      <c r="AC116" s="899">
        <v>410</v>
      </c>
      <c r="AD116" s="1290">
        <v>389</v>
      </c>
      <c r="AE116" s="453">
        <v>259</v>
      </c>
      <c r="AF116" s="453">
        <v>2</v>
      </c>
      <c r="AG116" s="451">
        <v>-10</v>
      </c>
      <c r="AH116" s="889">
        <v>-21</v>
      </c>
      <c r="AI116" s="896">
        <v>20</v>
      </c>
      <c r="AJ116" s="451" t="s">
        <v>21</v>
      </c>
      <c r="AK116" s="451" t="s">
        <v>21</v>
      </c>
      <c r="AL116" s="451" t="s">
        <v>21</v>
      </c>
      <c r="AM116" s="451" t="str">
        <f>_xlfn.LET(_xlpm._全体実績予測,
  INDEX('在庫使用計画 (全体実績+予測）0701'!$A$1:$BD$195,
    MATCH($C116,'在庫使用計画 (全体実績+予測）0701'!$C$1:$C$195,0),
    MATCH(AM$1,'在庫使用計画 (全体実績+予測）0701'!$A$1:$BD$1,0)
),
  IFERROR(
    IF(_xlpm._全体実績予測=0,"",_xlpm._全体実績予測),
  "")
)</f>
        <v/>
      </c>
      <c r="AN116" s="889" t="str">
        <f>_xlfn.LET(_xlpm._全体実績予測,
  INDEX('在庫使用計画 (全体実績+予測）0701'!$A$1:$BD$195,
    MATCH($C116,'在庫使用計画 (全体実績+予測）0701'!$C$1:$C$195,0),
    MATCH(AN$1,'在庫使用計画 (全体実績+予測）0701'!$A$1:$BD$1,0)
),
  IFERROR(
    IF(_xlpm._全体実績予測=0,"",_xlpm._全体実績予測),
  "")
)</f>
        <v/>
      </c>
      <c r="AO116" s="889" t="str">
        <f>_xlfn.LET(_xlpm._全体実績予測,
  INDEX('在庫使用計画 (全体実績+予測）0701'!$A$1:$BD$195,
    MATCH($C116,'在庫使用計画 (全体実績+予測）0701'!$C$1:$C$195,0),
    MATCH(AO$1,'在庫使用計画 (全体実績+予測）0701'!$A$1:$BD$1,0)
),
  IFERROR(
    IF(_xlpm._全体実績予測=0,"",_xlpm._全体実績予測),
  "")
)</f>
        <v/>
      </c>
      <c r="AP116" s="451" t="str">
        <f>_xlfn.LET(_xlpm._全体実績予測,
  INDEX('在庫使用計画 (全体実績+予測）0701'!$A$1:$BD$195,
    MATCH($C116,'在庫使用計画 (全体実績+予測）0701'!$C$1:$C$195,0),
    MATCH(AP$1,'在庫使用計画 (全体実績+予測）0701'!$A$1:$BD$1,0)
),
  IFERROR(
    IF(_xlpm._全体実績予測=0,"",_xlpm._全体実績予測),
  "")
)</f>
        <v/>
      </c>
      <c r="AQ116" s="2121" t="str">
        <f>_xlfn.LET(_xlpm._全体実績予測,
  INDEX('在庫使用計画 (全体実績+予測）0701'!$A$1:$BD$195,
    MATCH($C116,'在庫使用計画 (全体実績+予測）0701'!$C$1:$C$195,0),
    MATCH(AQ$1,'在庫使用計画 (全体実績+予測）0701'!$A$1:$BD$1,0)
),
  IFERROR(
    IF(_xlpm._全体実績予測=0,"",_xlpm._全体実績予測),
  "")
)</f>
        <v/>
      </c>
      <c r="AR116" s="2137" t="str">
        <f>_xlfn.LET(_xlpm._全体実績予測,
  INDEX('在庫使用計画 (全体実績+予測）0701'!$A$1:$BD$195,
    MATCH($C116,'在庫使用計画 (全体実績+予測）0701'!$C$1:$C$195,0),
    MATCH(AR$1,'在庫使用計画 (全体実績+予測）0701'!$A$1:$BD$1,0)
),
  IFERROR(
    IF(_xlpm._全体実績予測=0,"",_xlpm._全体実績予測),
  "")
)</f>
        <v/>
      </c>
      <c r="AS116" s="1292" t="str">
        <f>_xlfn.LET(_xlpm._全体実績予測,
  INDEX('在庫使用計画 (全体実績+予測）0701'!$A$1:$BD$195,
    MATCH($C116,'在庫使用計画 (全体実績+予測）0701'!$C$1:$C$195,0),
    MATCH(AS$1,'在庫使用計画 (全体実績+予測）0701'!$A$1:$BD$1,0)
),
  IFERROR(
    IF(_xlpm._全体実績予測=0,"",_xlpm._全体実績予測),
  "")
)</f>
        <v/>
      </c>
      <c r="AT116" s="897" t="str">
        <f>_xlfn.LET(_xlpm._全体実績予測,
  INDEX('在庫使用計画 (全体実績+予測）0701'!$A$1:$BD$195,
    MATCH($C116,'在庫使用計画 (全体実績+予測）0701'!$C$1:$C$195,0),
    MATCH(AT$1,'在庫使用計画 (全体実績+予測）0701'!$A$1:$BD$1,0)
),
  IFERROR(
    IF(_xlpm._全体実績予測=0,"",_xlpm._全体実績予測),
  "")
)</f>
        <v/>
      </c>
      <c r="AU116" s="896" t="str">
        <f>_xlfn.LET(_xlpm._全体実績予測,
  INDEX('在庫使用計画 (全体実績+予測）0701'!$A$1:$BD$195,
    MATCH($C116,'在庫使用計画 (全体実績+予測）0701'!$C$1:$C$195,0),
    MATCH(AU$1,'在庫使用計画 (全体実績+予測）0701'!$A$1:$BD$1,0)
),
  IFERROR(
    IF(_xlpm._全体実績予測=0,"",_xlpm._全体実績予測),
  "")
)</f>
        <v/>
      </c>
      <c r="AV116" s="451" t="str">
        <f>_xlfn.LET(_xlpm._全体実績予測,
  INDEX('在庫使用計画 (全体実績+予測）0701'!$A$1:$BD$195,
    MATCH($C116,'在庫使用計画 (全体実績+予測）0701'!$C$1:$C$195,0),
    MATCH(AV$1,'在庫使用計画 (全体実績+予測）0701'!$A$1:$BD$1,0)
),
  IFERROR(
    IF(_xlpm._全体実績予測=0,"",_xlpm._全体実績予測),
  "")
)</f>
        <v/>
      </c>
      <c r="AW116" s="451" t="str">
        <f>_xlfn.LET(_xlpm._全体実績予測,
  INDEX('在庫使用計画 (全体実績+予測）0701'!$A$1:$BD$195,
    MATCH($C116,'在庫使用計画 (全体実績+予測）0701'!$C$1:$C$195,0),
    MATCH(AW$1,'在庫使用計画 (全体実績+予測）0701'!$A$1:$BD$1,0)
),
  IFERROR(
    IF(_xlpm._全体実績予測=0,"",_xlpm._全体実績予測),
  "")
)</f>
        <v/>
      </c>
      <c r="AX116" s="451" t="str">
        <f>_xlfn.LET(_xlpm._全体実績予測,
  INDEX('在庫使用計画 (全体実績+予測）0701'!$A$1:$BD$195,
    MATCH($C116,'在庫使用計画 (全体実績+予測）0701'!$C$1:$C$195,0),
    MATCH(AX$1,'在庫使用計画 (全体実績+予測）0701'!$A$1:$BD$1,0)
),
  IFERROR(
    IF(_xlpm._全体実績予測=0,"",_xlpm._全体実績予測),
  "")
)</f>
        <v/>
      </c>
      <c r="AY116" s="451" t="str">
        <f>_xlfn.LET(_xlpm._全体実績予測,
  INDEX('在庫使用計画 (全体実績+予測）0701'!$A$1:$BD$195,
    MATCH($C116,'在庫使用計画 (全体実績+予測）0701'!$C$1:$C$195,0),
    MATCH(AY$1,'在庫使用計画 (全体実績+予測）0701'!$A$1:$BD$1,0)
),
  IFERROR(
    IF(_xlpm._全体実績予測=0,"",_xlpm._全体実績予測),
  "")
)</f>
        <v/>
      </c>
      <c r="AZ116" s="451" t="str">
        <f>_xlfn.LET(_xlpm._全体実績予測,
  INDEX('在庫使用計画 (全体実績+予測）0701'!$A$1:$BD$195,
    MATCH($C116,'在庫使用計画 (全体実績+予測）0701'!$C$1:$C$195,0),
    MATCH(AZ$1,'在庫使用計画 (全体実績+予測）0701'!$A$1:$BD$1,0)
),
  IFERROR(
    IF(_xlpm._全体実績予測=0,"",_xlpm._全体実績予測),
  "")
)</f>
        <v/>
      </c>
      <c r="BA116" s="451" t="str">
        <f>_xlfn.LET(_xlpm._全体実績予測,
  INDEX('在庫使用計画 (全体実績+予測）0701'!$A$1:$BD$195,
    MATCH($C116,'在庫使用計画 (全体実績+予測）0701'!$C$1:$C$195,0),
    MATCH(BA$1,'在庫使用計画 (全体実績+予測）0701'!$A$1:$BD$1,0)
),
  IFERROR(
    IF(_xlpm._全体実績予測=0,"",_xlpm._全体実績予測),
  "")
)</f>
        <v/>
      </c>
      <c r="BB116" s="451" t="str">
        <f>_xlfn.LET(_xlpm._全体実績予測,
  INDEX('在庫使用計画 (全体実績+予測）0701'!$A$1:$BD$195,
    MATCH($C116,'在庫使用計画 (全体実績+予測）0701'!$C$1:$C$195,0),
    MATCH(BB$1,'在庫使用計画 (全体実績+予測）0701'!$A$1:$BD$1,0)
),
  IFERROR(
    IF(_xlpm._全体実績予測=0,"",_xlpm._全体実績予測),
  "")
)</f>
        <v/>
      </c>
      <c r="BC116" s="451" t="str">
        <f>_xlfn.LET(_xlpm._全体実績予測,
  INDEX('在庫使用計画 (全体実績+予測）0701'!$A$1:$BD$195,
    MATCH($C116,'在庫使用計画 (全体実績+予測）0701'!$C$1:$C$195,0),
    MATCH(BC$1,'在庫使用計画 (全体実績+予測）0701'!$A$1:$BD$1,0)
),
  IFERROR(
    IF(_xlpm._全体実績予測=0,"",_xlpm._全体実績予測),
  "")
)</f>
        <v/>
      </c>
      <c r="BD116" s="451" t="str">
        <f>_xlfn.LET(_xlpm._全体実績予測,
  INDEX('在庫使用計画 (全体実績+予測）0701'!$A$1:$BD$195,
    MATCH($C116,'在庫使用計画 (全体実績+予測）0701'!$C$1:$C$195,0),
    MATCH(BD$1,'在庫使用計画 (全体実績+予測）0701'!$A$1:$BD$1,0)
),
  IFERROR(
    IF(_xlpm._全体実績予測=0,"",_xlpm._全体実績予測),
  "")
)</f>
        <v/>
      </c>
      <c r="BE116" s="451" t="str">
        <f>_xlfn.LET(_xlpm._全体実績予測,
  INDEX('在庫使用計画 (全体実績+予測）0701'!$A$1:$BD$195,
    MATCH($C116,'在庫使用計画 (全体実績+予測）0701'!$C$1:$C$195,0),
    MATCH(BE$1,'在庫使用計画 (全体実績+予測）0701'!$A$1:$BD$1,0)
),
  IFERROR(
    IF(_xlpm._全体実績予測=0,"",_xlpm._全体実績予測),
  "")
)</f>
        <v/>
      </c>
      <c r="BF116" s="897" t="str">
        <f>_xlfn.LET(_xlpm._全体実績予測,
  INDEX('在庫使用計画 (全体実績+予測）0701'!$A$1:$BD$195,
    MATCH($C116,'在庫使用計画 (全体実績+予測）0701'!$C$1:$C$195,0),
    MATCH(BF$1,'在庫使用計画 (全体実績+予測）0701'!$A$1:$BD$1,0)
),
  IFERROR(
    IF(_xlpm._全体実績予測=0,"",_xlpm._全体実績予測),
  "")
)</f>
        <v/>
      </c>
    </row>
    <row r="117" spans="1:60" ht="18.75" customHeight="1">
      <c r="A117" s="71" t="s">
        <v>1419</v>
      </c>
      <c r="B117" s="26" t="str">
        <v>WZN-1051-1334U-UMA-L6 Thirdwave</v>
      </c>
      <c r="C117" s="25" t="s">
        <v>1433</v>
      </c>
      <c r="D117" s="25" t="s">
        <v>1434</v>
      </c>
      <c r="E117" s="26" t="s">
        <v>1423</v>
      </c>
      <c r="F117" s="24" t="s">
        <v>1372</v>
      </c>
      <c r="G117" s="38">
        <v>244</v>
      </c>
      <c r="H117" s="38">
        <f ca="1">_xlfn.LET(_xlpm._今月から4ヶ月計画合計,
  SUM(
    OFFSET($A117,0,
      MATCH(
        EDATE(基準データ!$C$5,3),$A$1:$BE$1,1
      )-4,1,4)),
  IF($C117="","",_xlpm._今月から4ヶ月計画合計
)
)</f>
        <v>58</v>
      </c>
      <c r="I117" s="38">
        <f>SUMIFS(マスタ_EOLリスト[在庫],マスタ_EOLリスト[製品型番],'在庫使用計画 (計画　予測)'!$C:$C)</f>
        <v>244</v>
      </c>
      <c r="J117" s="1116" t="str" cm="1">
        <f t="array" ref="J117">_xlfn.IFS($C117="","",
  $G117="","発売前？",
  $G117=0,"在庫なし",
  TRUE,
  IFERROR(
    _xlfn.LET(
      _xlpm._在庫注残,     $G117,
      _xlpm._しきい値,     _xlpm._在庫注残 * 0.75,
      _xlpm._見出し元,     $K$1:$BT$1,
      _xlpm._計画,         $K117:$BT117,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合計56、在庫+注残244のため不足</v>
      </c>
      <c r="K117" s="311"/>
      <c r="L117" s="311"/>
      <c r="M117" s="311"/>
      <c r="N117" s="311"/>
      <c r="O117" s="311"/>
      <c r="P117" s="311"/>
      <c r="Q117" s="313"/>
      <c r="R117" s="1375"/>
      <c r="S117" s="298" t="s">
        <v>21</v>
      </c>
      <c r="T117" s="298" t="s">
        <v>21</v>
      </c>
      <c r="U117" s="298" t="s">
        <v>21</v>
      </c>
      <c r="V117" s="298" t="s">
        <v>21</v>
      </c>
      <c r="W117" s="299" t="s">
        <v>21</v>
      </c>
      <c r="X117" s="419" t="s">
        <v>21</v>
      </c>
      <c r="Y117" s="419" t="s">
        <v>21</v>
      </c>
      <c r="Z117" s="335" t="s">
        <v>21</v>
      </c>
      <c r="AA117" s="335" t="s">
        <v>21</v>
      </c>
      <c r="AB117" s="335" t="s">
        <v>21</v>
      </c>
      <c r="AC117" s="1370" t="s">
        <v>21</v>
      </c>
      <c r="AD117" s="1339" t="s">
        <v>21</v>
      </c>
      <c r="AE117" s="438">
        <v>599</v>
      </c>
      <c r="AF117" s="335">
        <v>490</v>
      </c>
      <c r="AG117" s="335">
        <v>596</v>
      </c>
      <c r="AH117" s="823">
        <v>358</v>
      </c>
      <c r="AI117" s="845">
        <v>585</v>
      </c>
      <c r="AJ117" s="224">
        <v>301</v>
      </c>
      <c r="AK117" s="224">
        <v>730</v>
      </c>
      <c r="AL117" s="224">
        <v>34</v>
      </c>
      <c r="AM117" s="224">
        <f>_xlfn.XLOOKUP(
$C117,
'在庫使用計画 (ノート全体試算)'!$C$1:$C$170,
'在庫使用計画 (ノート全体試算)'!AN$1:AN$170,
"")</f>
        <v>368</v>
      </c>
      <c r="AN117" s="237">
        <f>_xlfn.XLOOKUP(
$C117,
'在庫使用計画 (ノート全体試算)'!$C$1:$C$170,
'在庫使用計画 (ノート全体試算)'!AO$1:AO$170,
"")</f>
        <v>166</v>
      </c>
      <c r="AO117" s="237">
        <f>_xlfn.XLOOKUP(
$C117,
'在庫使用計画 (ノート全体試算)'!$C$1:$C$170,
'在庫使用計画 (ノート全体試算)'!AP$1:AP$170,
"")</f>
        <v>58</v>
      </c>
      <c r="AP117" s="224" t="str">
        <f>_xlfn.XLOOKUP(
$C117,
'在庫使用計画 (ノート全体試算)'!$C$1:$C$170,
'在庫使用計画 (ノート全体試算)'!AQ$1:AQ$170,
"")</f>
        <v/>
      </c>
      <c r="AQ117" s="1050" t="str">
        <f>_xlfn.XLOOKUP(
$C117,
'在庫使用計画 (ノート全体試算)'!$C$1:$C$170,
'在庫使用計画 (ノート全体試算)'!AR$1:AR$170,
"")</f>
        <v/>
      </c>
      <c r="AR117" s="2130" t="str">
        <f>_xlfn.XLOOKUP(
$C117,
'在庫使用計画 (ノート全体試算)'!$C$1:$C$170,
'在庫使用計画 (ノート全体試算)'!AS$1:AS$170,
"")</f>
        <v/>
      </c>
      <c r="AS117" s="244" t="str">
        <f>_xlfn.XLOOKUP(
$C117,
'在庫使用計画 (ノート全体試算)'!$C$1:$C$170,
'在庫使用計画 (ノート全体試算)'!AT$1:AT$170,
"")</f>
        <v/>
      </c>
      <c r="AT117" s="805" t="str">
        <f>_xlfn.XLOOKUP(
$C117,
'在庫使用計画 (ノート全体試算)'!$C$1:$C$170,
'在庫使用計画 (ノート全体試算)'!AU$1:AU$170,
"")</f>
        <v/>
      </c>
      <c r="AU117" s="845" t="str">
        <f>_xlfn.XLOOKUP(
$C117,
'在庫使用計画 (ノート全体試算)'!$C$1:$C$170,
'在庫使用計画 (ノート全体試算)'!AV$1:AV$170,
"")</f>
        <v/>
      </c>
      <c r="AV117" s="224" t="str">
        <f>_xlfn.XLOOKUP(
$C117,
'在庫使用計画 (ノート全体試算)'!$C$1:$C$170,
'在庫使用計画 (ノート全体試算)'!AW$1:AW$170,
"")</f>
        <v/>
      </c>
      <c r="AW117" s="224" t="str">
        <f>_xlfn.XLOOKUP(
$C117,
'在庫使用計画 (ノート全体試算)'!$C$1:$C$170,
'在庫使用計画 (ノート全体試算)'!AX$1:AX$170,
"")</f>
        <v/>
      </c>
      <c r="AX117" s="224" t="str">
        <f>_xlfn.XLOOKUP(
$C117,
'在庫使用計画 (ノート全体試算)'!$C$1:$C$170,
'在庫使用計画 (ノート全体試算)'!AY$1:AY$170,
"")</f>
        <v/>
      </c>
      <c r="AY117" s="224" t="str">
        <f>_xlfn.XLOOKUP(
$C117,
'在庫使用計画 (ノート全体試算)'!$C$1:$C$170,
'在庫使用計画 (ノート全体試算)'!AZ$1:AZ$170,
"")</f>
        <v/>
      </c>
      <c r="AZ117" s="224" t="str">
        <f>_xlfn.XLOOKUP(
$C117,
'在庫使用計画 (ノート全体試算)'!$C$1:$C$170,
'在庫使用計画 (ノート全体試算)'!BA$1:BA$170,
"")</f>
        <v/>
      </c>
      <c r="BA117" s="224" t="str">
        <f>_xlfn.XLOOKUP(
$C117,
'在庫使用計画 (ノート全体試算)'!$C$1:$C$170,
'在庫使用計画 (ノート全体試算)'!BB$1:BB$170,
"")</f>
        <v/>
      </c>
      <c r="BB117" s="224" t="str">
        <f>_xlfn.XLOOKUP(
$C117,
'在庫使用計画 (ノート全体試算)'!$C$1:$C$170,
'在庫使用計画 (ノート全体試算)'!BC$1:BC$170,
"")</f>
        <v/>
      </c>
      <c r="BC117" s="224" t="str">
        <f>_xlfn.XLOOKUP(
$C117,
'在庫使用計画 (ノート全体試算)'!$C$1:$C$170,
'在庫使用計画 (ノート全体試算)'!BD$1:BD$170,
"")</f>
        <v/>
      </c>
      <c r="BD117" s="224" t="str">
        <f>_xlfn.XLOOKUP(
$C117,
'在庫使用計画 (ノート全体試算)'!$C$1:$C$170,
'在庫使用計画 (ノート全体試算)'!BE$1:BE$170,
"")</f>
        <v/>
      </c>
      <c r="BE117" s="224" t="str">
        <f>_xlfn.XLOOKUP(
$C117,
'在庫使用計画 (ノート全体試算)'!$C$1:$C$170,
'在庫使用計画 (ノート全体試算)'!BF$1:BF$170,
"")</f>
        <v/>
      </c>
      <c r="BF117" s="805" t="str">
        <f>_xlfn.XLOOKUP(
$C117,
'在庫使用計画 (ノート全体試算)'!$C$1:$C$170,
'在庫使用計画 (ノート全体試算)'!BG$1:BG$170,
"")</f>
        <v/>
      </c>
      <c r="BG117" s="2091" t="s">
        <v>2676</v>
      </c>
      <c r="BH117" t="s">
        <v>2677</v>
      </c>
    </row>
    <row r="118" spans="1:60" ht="18.75" customHeight="1" thickBot="1">
      <c r="A118" s="445"/>
      <c r="B118" s="446" t="str">
        <v>WZN-1051-1334U-UMA-L6 Thirdwave</v>
      </c>
      <c r="C118" s="1281" t="s">
        <v>1433</v>
      </c>
      <c r="D118" s="446" t="s">
        <v>1763</v>
      </c>
      <c r="E118" s="446"/>
      <c r="F118" s="447"/>
      <c r="G118" s="448">
        <v>244</v>
      </c>
      <c r="H118" s="448">
        <f ca="1">_xlfn.LET(_xlpm._今月から4ヶ月計画合計,
  SUM(
    OFFSET($A118,0,
      MATCH(
        EDATE(基準データ!$C$5,3),$A$1:$BE$1,1
      )-4,1,4)),
  IF($C118="","",_xlpm._今月から4ヶ月計画合計
)
)</f>
        <v>60.885443963266056</v>
      </c>
      <c r="I118" s="448">
        <f t="shared" si="19"/>
        <v>244</v>
      </c>
      <c r="J118" s="1116" cm="1">
        <f t="array" ref="J118">_xlfn.IFS($C118="","",
  $G118="","発売前？",
  $G118=0,"在庫なし",
  TRUE,
  IFERROR(
    _xlfn.LET(
      _xlpm._在庫注残,     $G118,
      _xlpm._しきい値,     _xlpm._在庫注残 * 0.75,
      _xlpm._見出し元,     $K$1:$BT$1,
      _xlpm._計画,         $K118:$BT118,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46478</v>
      </c>
      <c r="K118" s="448"/>
      <c r="L118" s="448"/>
      <c r="M118" s="448"/>
      <c r="N118" s="448"/>
      <c r="O118" s="448"/>
      <c r="P118" s="448"/>
      <c r="Q118" s="540"/>
      <c r="R118" s="900"/>
      <c r="S118" s="449"/>
      <c r="T118" s="449"/>
      <c r="U118" s="449"/>
      <c r="V118" s="450"/>
      <c r="W118" s="451" t="s">
        <v>21</v>
      </c>
      <c r="X118" s="451" t="s">
        <v>21</v>
      </c>
      <c r="Y118" s="451" t="s">
        <v>21</v>
      </c>
      <c r="Z118" s="453" t="s">
        <v>21</v>
      </c>
      <c r="AA118" s="453" t="s">
        <v>21</v>
      </c>
      <c r="AB118" s="449" t="s">
        <v>21</v>
      </c>
      <c r="AC118" s="899" t="s">
        <v>21</v>
      </c>
      <c r="AD118" s="1290" t="s">
        <v>21</v>
      </c>
      <c r="AE118" s="453">
        <v>336</v>
      </c>
      <c r="AF118" s="453">
        <v>512</v>
      </c>
      <c r="AG118" s="451">
        <v>530</v>
      </c>
      <c r="AH118" s="889">
        <v>511</v>
      </c>
      <c r="AI118" s="896">
        <v>411</v>
      </c>
      <c r="AJ118" s="451">
        <v>256</v>
      </c>
      <c r="AK118" s="451">
        <v>570</v>
      </c>
      <c r="AL118" s="451">
        <v>50</v>
      </c>
      <c r="AM118" s="451">
        <f>_xlfn.LET(_xlpm._全体実績予測,
  INDEX('在庫使用計画 (全体実績+予測）0701'!$A$1:$BD$195,
    MATCH($C118,'在庫使用計画 (全体実績+予測）0701'!$C$1:$C$195,0),
    MATCH(AM$1,'在庫使用計画 (全体実績+予測）0701'!$A$1:$BD$1,0)
),
  IFERROR(
    IF(_xlpm._全体実績予測=0,"",_xlpm._全体実績予測),
  "")
)</f>
        <v>315</v>
      </c>
      <c r="AN118" s="889">
        <f>_xlfn.LET(_xlpm._全体実績予測,
  INDEX('在庫使用計画 (全体実績+予測）0701'!$A$1:$BD$195,
    MATCH($C118,'在庫使用計画 (全体実績+予測）0701'!$C$1:$C$195,0),
    MATCH(AN$1,'在庫使用計画 (全体実績+予測）0701'!$A$1:$BD$1,0)
),
  IFERROR(
    IF(_xlpm._全体実績予測=0,"",_xlpm._全体実績予測),
  "")
)</f>
        <v>13.928571428571429</v>
      </c>
      <c r="AO118" s="889">
        <f>_xlfn.LET(_xlpm._全体実績予測,
  INDEX('在庫使用計画 (全体実績+予測）0701'!$A$1:$BD$195,
    MATCH($C118,'在庫使用計画 (全体実績+予測）0701'!$C$1:$C$195,0),
    MATCH(AO$1,'在庫使用計画 (全体実績+予測）0701'!$A$1:$BD$1,0)
),
  IFERROR(
    IF(_xlpm._全体実績予測=0,"",_xlpm._全体実績予測),
  "")
)</f>
        <v>15.285345217527931</v>
      </c>
      <c r="AP118" s="451">
        <f>_xlfn.LET(_xlpm._全体実績予測,
  INDEX('在庫使用計画 (全体実績+予測）0701'!$A$1:$BD$195,
    MATCH($C118,'在庫使用計画 (全体実績+予測）0701'!$C$1:$C$195,0),
    MATCH(AP$1,'在庫使用計画 (全体実績+予測）0701'!$A$1:$BD$1,0)
),
  IFERROR(
    IF(_xlpm._全体実績予測=0,"",_xlpm._全体実績予測),
  "")
)</f>
        <v>14.058835483497496</v>
      </c>
      <c r="AQ118" s="2121">
        <f>_xlfn.LET(_xlpm._全体実績予測,
  INDEX('在庫使用計画 (全体実績+予測）0701'!$A$1:$BD$195,
    MATCH($C118,'在庫使用計画 (全体実績+予測）0701'!$C$1:$C$195,0),
    MATCH(AQ$1,'在庫使用計画 (全体実績+予測）0701'!$A$1:$BD$1,0)
),
  IFERROR(
    IF(_xlpm._全体実績予測=0,"",_xlpm._全体実績予測),
  "")
)</f>
        <v>15.186758685891883</v>
      </c>
      <c r="AR118" s="2137">
        <f>_xlfn.LET(_xlpm._全体実績予測,
  INDEX('在庫使用計画 (全体実績+予測）0701'!$A$1:$BD$195,
    MATCH($C118,'在庫使用計画 (全体実績+予測）0701'!$C$1:$C$195,0),
    MATCH(AR$1,'在庫使用計画 (全体実績+予測）0701'!$A$1:$BD$1,0)
),
  IFERROR(
    IF(_xlpm._全体実績予測=0,"",_xlpm._全体実績予測),
  "")
)</f>
        <v>16.354504576348749</v>
      </c>
      <c r="AS118" s="1292">
        <f>_xlfn.LET(_xlpm._全体実績予測,
  INDEX('在庫使用計画 (全体実績+予測）0701'!$A$1:$BD$195,
    MATCH($C118,'在庫使用計画 (全体実績+予測）0701'!$C$1:$C$195,0),
    MATCH(AS$1,'在庫使用計画 (全体実績+予測）0701'!$A$1:$BD$1,0)
),
  IFERROR(
    IF(_xlpm._全体実績予測=0,"",_xlpm._全体実績予測),
  "")
)</f>
        <v>16.926091294748858</v>
      </c>
      <c r="AT118" s="897">
        <f>_xlfn.LET(_xlpm._全体実績予測,
  INDEX('在庫使用計画 (全体実績+予測）0701'!$A$1:$BD$195,
    MATCH($C118,'在庫使用計画 (全体実績+予測）0701'!$C$1:$C$195,0),
    MATCH(AT$1,'在庫使用計画 (全体実績+予測）0701'!$A$1:$BD$1,0)
),
  IFERROR(
    IF(_xlpm._全体実績予測=0,"",_xlpm._全体実績予測),
  "")
)</f>
        <v>24.947842822254064</v>
      </c>
      <c r="AU118" s="896">
        <f>_xlfn.LET(_xlpm._全体実績予測,
  INDEX('在庫使用計画 (全体実績+予測）0701'!$A$1:$BD$195,
    MATCH($C118,'在庫使用計画 (全体実績+予測）0701'!$C$1:$C$195,0),
    MATCH(AU$1,'在庫使用計画 (全体実績+予測）0701'!$A$1:$BD$1,0)
),
  IFERROR(
    IF(_xlpm._全体実績予測=0,"",_xlpm._全体実績予測),
  "")
)</f>
        <v>21.529202697560194</v>
      </c>
      <c r="AV118" s="451">
        <f>_xlfn.LET(_xlpm._全体実績予測,
  INDEX('在庫使用計画 (全体実績+予測）0701'!$A$1:$BD$195,
    MATCH($C118,'在庫使用計画 (全体実績+予測）0701'!$C$1:$C$195,0),
    MATCH(AV$1,'在庫使用計画 (全体実績+予測）0701'!$A$1:$BD$1,0)
),
  IFERROR(
    IF(_xlpm._全体実績予測=0,"",_xlpm._全体実績予測),
  "")
)</f>
        <v>20.298002888058523</v>
      </c>
      <c r="AW118" s="451">
        <f>_xlfn.LET(_xlpm._全体実績予測,
  INDEX('在庫使用計画 (全体実績+予測）0701'!$A$1:$BD$195,
    MATCH($C118,'在庫使用計画 (全体実績+予測）0701'!$C$1:$C$195,0),
    MATCH(AW$1,'在庫使用計画 (全体実績+予測）0701'!$A$1:$BD$1,0)
),
  IFERROR(
    IF(_xlpm._全体実績予測=0,"",_xlpm._全体実績予測),
  "")
)</f>
        <v>29.996882138448878</v>
      </c>
      <c r="AX118" s="451">
        <f>_xlfn.LET(_xlpm._全体実績予測,
  INDEX('在庫使用計画 (全体実績+予測）0701'!$A$1:$BD$195,
    MATCH($C118,'在庫使用計画 (全体実績+予測）0701'!$C$1:$C$195,0),
    MATCH(AX$1,'在庫使用計画 (全体実績+予測）0701'!$A$1:$BD$1,0)
),
  IFERROR(
    IF(_xlpm._全体実績予測=0,"",_xlpm._全体実績予測),
  "")
)</f>
        <v>18.419048201586016</v>
      </c>
      <c r="AY118" s="451">
        <f>_xlfn.LET(_xlpm._全体実績予測,
  INDEX('在庫使用計画 (全体実績+予測）0701'!$A$1:$BD$195,
    MATCH($C118,'在庫使用計画 (全体実績+予測）0701'!$C$1:$C$195,0),
    MATCH(AY$1,'在庫使用計画 (全体実績+予測）0701'!$A$1:$BD$1,0)
),
  IFERROR(
    IF(_xlpm._全体実績予測=0,"",_xlpm._全体実績予測),
  "")
)</f>
        <v>13.358051917339822</v>
      </c>
      <c r="AZ118" s="451">
        <f>_xlfn.LET(_xlpm._全体実績予測,
  INDEX('在庫使用計画 (全体実績+予測）0701'!$A$1:$BD$195,
    MATCH($C118,'在庫使用計画 (全体実績+予測）0701'!$C$1:$C$195,0),
    MATCH(AZ$1,'在庫使用計画 (全体実績+予測）0701'!$A$1:$BD$1,0)
),
  IFERROR(
    IF(_xlpm._全体実績予測=0,"",_xlpm._全体実績予測),
  "")
)</f>
        <v>13.928571428571427</v>
      </c>
      <c r="BA118" s="451">
        <f>_xlfn.LET(_xlpm._全体実績予測,
  INDEX('在庫使用計画 (全体実績+予測）0701'!$A$1:$BD$195,
    MATCH($C118,'在庫使用計画 (全体実績+予測）0701'!$C$1:$C$195,0),
    MATCH(BA$1,'在庫使用計画 (全体実績+予測）0701'!$A$1:$BD$1,0)
),
  IFERROR(
    IF(_xlpm._全体実績予測=0,"",_xlpm._全体実績予測),
  "")
)</f>
        <v>15.285345217527929</v>
      </c>
      <c r="BB118" s="451">
        <f>_xlfn.LET(_xlpm._全体実績予測,
  INDEX('在庫使用計画 (全体実績+予測）0701'!$A$1:$BD$195,
    MATCH($C118,'在庫使用計画 (全体実績+予測）0701'!$C$1:$C$195,0),
    MATCH(BB$1,'在庫使用計画 (全体実績+予測）0701'!$A$1:$BD$1,0)
),
  IFERROR(
    IF(_xlpm._全体実績予測=0,"",_xlpm._全体実績予測),
  "")
)</f>
        <v>14.058835483497495</v>
      </c>
      <c r="BC118" s="451">
        <f>_xlfn.LET(_xlpm._全体実績予測,
  INDEX('在庫使用計画 (全体実績+予測）0701'!$A$1:$BD$195,
    MATCH($C118,'在庫使用計画 (全体実績+予測）0701'!$C$1:$C$195,0),
    MATCH(BC$1,'在庫使用計画 (全体実績+予測）0701'!$A$1:$BD$1,0)
),
  IFERROR(
    IF(_xlpm._全体実績予測=0,"",_xlpm._全体実績予測),
  "")
)</f>
        <v>15.186758685891881</v>
      </c>
      <c r="BD118" s="451">
        <f>_xlfn.LET(_xlpm._全体実績予測,
  INDEX('在庫使用計画 (全体実績+予測）0701'!$A$1:$BD$195,
    MATCH($C118,'在庫使用計画 (全体実績+予測）0701'!$C$1:$C$195,0),
    MATCH(BD$1,'在庫使用計画 (全体実績+予測）0701'!$A$1:$BD$1,0)
),
  IFERROR(
    IF(_xlpm._全体実績予測=0,"",_xlpm._全体実績予測),
  "")
)</f>
        <v>16.354504576348749</v>
      </c>
      <c r="BE118" s="451">
        <f>_xlfn.LET(_xlpm._全体実績予測,
  INDEX('在庫使用計画 (全体実績+予測）0701'!$A$1:$BD$195,
    MATCH($C118,'在庫使用計画 (全体実績+予測）0701'!$C$1:$C$195,0),
    MATCH(BE$1,'在庫使用計画 (全体実績+予測）0701'!$A$1:$BD$1,0)
),
  IFERROR(
    IF(_xlpm._全体実績予測=0,"",_xlpm._全体実績予測),
  "")
)</f>
        <v>16.926091294748858</v>
      </c>
      <c r="BF118" s="897">
        <f>_xlfn.LET(_xlpm._全体実績予測,
  INDEX('在庫使用計画 (全体実績+予測）0701'!$A$1:$BD$195,
    MATCH($C118,'在庫使用計画 (全体実績+予測）0701'!$C$1:$C$195,0),
    MATCH(BF$1,'在庫使用計画 (全体実績+予測）0701'!$A$1:$BD$1,0)
),
  IFERROR(
    IF(_xlpm._全体実績予測=0,"",_xlpm._全体実績予測),
  "")
)</f>
        <v>24.947842822254064</v>
      </c>
      <c r="BG118" s="2091" t="s">
        <v>2672</v>
      </c>
    </row>
    <row r="119" spans="1:60">
      <c r="A119" s="71" t="s">
        <v>1419</v>
      </c>
      <c r="B119" s="111" t="str">
        <v>CLE-NL55-1334U-UMA-L6-TPM Thirdwave</v>
      </c>
      <c r="C119" s="1264" t="s">
        <v>1436</v>
      </c>
      <c r="D119" s="53" t="s">
        <v>1422</v>
      </c>
      <c r="E119" s="26" t="s">
        <v>1423</v>
      </c>
      <c r="F119" s="24" t="s">
        <v>1372</v>
      </c>
      <c r="G119" s="38">
        <v>471</v>
      </c>
      <c r="H119" s="38">
        <f ca="1">_xlfn.LET(_xlpm._今月から4ヶ月計画合計,
  SUM(
    OFFSET($A119,0,
      MATCH(
        EDATE(基準データ!$C$5,3),$A$1:$BE$1,1
      )-4,1,4)),
  IF($C119="","",_xlpm._今月から4ヶ月計画合計
)
)</f>
        <v>307</v>
      </c>
      <c r="I119" s="38">
        <f>SUMIFS(マスタ_EOLリスト[在庫],マスタ_EOLリスト[製品型番],'在庫使用計画 (計画　予測)'!$C:$C)</f>
        <v>471</v>
      </c>
      <c r="J119" s="1116" t="str" cm="1">
        <f t="array" ref="J119">_xlfn.IFS($C119="","",
  $G119="","発売前？",
  $G119=0,"在庫なし",
  TRUE,
  IFERROR(
    _xlfn.LET(
      _xlpm._在庫注残,     $G119,
      _xlpm._しきい値,     _xlpm._在庫注残 * 0.75,
      _xlpm._見出し元,     $K$1:$BT$1,
      _xlpm._計画,         $K119:$BT119,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合計300、在庫+注残471のため不足</v>
      </c>
      <c r="K119" s="311"/>
      <c r="L119" s="311"/>
      <c r="M119" s="311"/>
      <c r="N119" s="311"/>
      <c r="O119" s="311"/>
      <c r="P119" s="311"/>
      <c r="Q119" s="313"/>
      <c r="R119" s="1375"/>
      <c r="S119" s="298" t="s">
        <v>21</v>
      </c>
      <c r="T119" s="298" t="s">
        <v>21</v>
      </c>
      <c r="U119" s="298" t="s">
        <v>21</v>
      </c>
      <c r="V119" s="298" t="s">
        <v>21</v>
      </c>
      <c r="W119" s="299" t="s">
        <v>21</v>
      </c>
      <c r="X119" s="419" t="s">
        <v>21</v>
      </c>
      <c r="Y119" s="419" t="s">
        <v>21</v>
      </c>
      <c r="Z119" s="335" t="s">
        <v>21</v>
      </c>
      <c r="AA119" s="335" t="s">
        <v>21</v>
      </c>
      <c r="AB119" s="335" t="s">
        <v>21</v>
      </c>
      <c r="AC119" s="1370" t="s">
        <v>21</v>
      </c>
      <c r="AD119" s="1339" t="s">
        <v>21</v>
      </c>
      <c r="AE119" s="335" t="s">
        <v>21</v>
      </c>
      <c r="AF119" s="335" t="s">
        <v>21</v>
      </c>
      <c r="AG119" s="335" t="s">
        <v>21</v>
      </c>
      <c r="AH119" s="823" t="s">
        <v>21</v>
      </c>
      <c r="AI119" s="845" t="s">
        <v>21</v>
      </c>
      <c r="AJ119" s="224" t="s">
        <v>21</v>
      </c>
      <c r="AK119" s="224">
        <v>1</v>
      </c>
      <c r="AL119" s="224">
        <v>270</v>
      </c>
      <c r="AM119" s="224">
        <f>_xlfn.XLOOKUP(
$C119,
'在庫使用計画 (ノート全体試算)'!$C$1:$C$170,
'在庫使用計画 (ノート全体試算)'!AN$1:AN$170,
"")</f>
        <v>140</v>
      </c>
      <c r="AN119" s="237">
        <f>_xlfn.XLOOKUP(
$C119,
'在庫使用計画 (ノート全体試算)'!$C$1:$C$170,
'在庫使用計画 (ノート全体試算)'!AO$1:AO$170,
"")</f>
        <v>649</v>
      </c>
      <c r="AO119" s="237">
        <f>_xlfn.XLOOKUP(
$C119,
'在庫使用計画 (ノート全体試算)'!$C$1:$C$170,
'在庫使用計画 (ノート全体試算)'!AP$1:AP$170,
"")</f>
        <v>219</v>
      </c>
      <c r="AP119" s="224">
        <f>_xlfn.XLOOKUP(
$C119,
'在庫使用計画 (ノート全体試算)'!$C$1:$C$170,
'在庫使用計画 (ノート全体試算)'!AQ$1:AQ$170,
"")</f>
        <v>88</v>
      </c>
      <c r="AQ119" s="1050" t="str">
        <f>_xlfn.XLOOKUP(
$C119,
'在庫使用計画 (ノート全体試算)'!$C$1:$C$170,
'在庫使用計画 (ノート全体試算)'!AR$1:AR$170,
"")</f>
        <v/>
      </c>
      <c r="AR119" s="2130" t="str">
        <f>_xlfn.XLOOKUP(
$C119,
'在庫使用計画 (ノート全体試算)'!$C$1:$C$170,
'在庫使用計画 (ノート全体試算)'!AS$1:AS$170,
"")</f>
        <v/>
      </c>
      <c r="AS119" s="244" t="str">
        <f>_xlfn.XLOOKUP(
$C119,
'在庫使用計画 (ノート全体試算)'!$C$1:$C$170,
'在庫使用計画 (ノート全体試算)'!AT$1:AT$170,
"")</f>
        <v/>
      </c>
      <c r="AT119" s="805" t="str">
        <f>_xlfn.XLOOKUP(
$C119,
'在庫使用計画 (ノート全体試算)'!$C$1:$C$170,
'在庫使用計画 (ノート全体試算)'!AU$1:AU$170,
"")</f>
        <v/>
      </c>
      <c r="AU119" s="845" t="str">
        <f>_xlfn.XLOOKUP(
$C119,
'在庫使用計画 (ノート全体試算)'!$C$1:$C$170,
'在庫使用計画 (ノート全体試算)'!AV$1:AV$170,
"")</f>
        <v/>
      </c>
      <c r="AV119" s="224" t="str">
        <f>_xlfn.XLOOKUP(
$C119,
'在庫使用計画 (ノート全体試算)'!$C$1:$C$170,
'在庫使用計画 (ノート全体試算)'!AW$1:AW$170,
"")</f>
        <v/>
      </c>
      <c r="AW119" s="224" t="str">
        <f>_xlfn.XLOOKUP(
$C119,
'在庫使用計画 (ノート全体試算)'!$C$1:$C$170,
'在庫使用計画 (ノート全体試算)'!AX$1:AX$170,
"")</f>
        <v/>
      </c>
      <c r="AX119" s="224" t="str">
        <f>_xlfn.XLOOKUP(
$C119,
'在庫使用計画 (ノート全体試算)'!$C$1:$C$170,
'在庫使用計画 (ノート全体試算)'!AY$1:AY$170,
"")</f>
        <v/>
      </c>
      <c r="AY119" s="224" t="str">
        <f>_xlfn.XLOOKUP(
$C119,
'在庫使用計画 (ノート全体試算)'!$C$1:$C$170,
'在庫使用計画 (ノート全体試算)'!AZ$1:AZ$170,
"")</f>
        <v/>
      </c>
      <c r="AZ119" s="224" t="str">
        <f>_xlfn.XLOOKUP(
$C119,
'在庫使用計画 (ノート全体試算)'!$C$1:$C$170,
'在庫使用計画 (ノート全体試算)'!BA$1:BA$170,
"")</f>
        <v/>
      </c>
      <c r="BA119" s="224" t="str">
        <f>_xlfn.XLOOKUP(
$C119,
'在庫使用計画 (ノート全体試算)'!$C$1:$C$170,
'在庫使用計画 (ノート全体試算)'!BB$1:BB$170,
"")</f>
        <v/>
      </c>
      <c r="BB119" s="224" t="str">
        <f>_xlfn.XLOOKUP(
$C119,
'在庫使用計画 (ノート全体試算)'!$C$1:$C$170,
'在庫使用計画 (ノート全体試算)'!BC$1:BC$170,
"")</f>
        <v/>
      </c>
      <c r="BC119" s="224" t="str">
        <f>_xlfn.XLOOKUP(
$C119,
'在庫使用計画 (ノート全体試算)'!$C$1:$C$170,
'在庫使用計画 (ノート全体試算)'!BD$1:BD$170,
"")</f>
        <v/>
      </c>
      <c r="BD119" s="224" t="str">
        <f>_xlfn.XLOOKUP(
$C119,
'在庫使用計画 (ノート全体試算)'!$C$1:$C$170,
'在庫使用計画 (ノート全体試算)'!BE$1:BE$170,
"")</f>
        <v/>
      </c>
      <c r="BE119" s="224" t="str">
        <f>_xlfn.XLOOKUP(
$C119,
'在庫使用計画 (ノート全体試算)'!$C$1:$C$170,
'在庫使用計画 (ノート全体試算)'!BF$1:BF$170,
"")</f>
        <v/>
      </c>
      <c r="BF119" s="805" t="str">
        <f>_xlfn.XLOOKUP(
$C119,
'在庫使用計画 (ノート全体試算)'!$C$1:$C$170,
'在庫使用計画 (ノート全体試算)'!BG$1:BG$170,
"")</f>
        <v/>
      </c>
      <c r="BG119" s="2091" t="s">
        <v>2671</v>
      </c>
      <c r="BH119" t="s">
        <v>2677</v>
      </c>
    </row>
    <row r="120" spans="1:60" ht="19.5" thickBot="1">
      <c r="A120" s="445"/>
      <c r="B120" s="1261" t="str">
        <v>CLE-NL55-1334U-UMA-L6-TPM Thirdwave</v>
      </c>
      <c r="C120" s="1282" t="s">
        <v>1436</v>
      </c>
      <c r="D120" s="1262" t="s">
        <v>1763</v>
      </c>
      <c r="E120" s="446"/>
      <c r="F120" s="447"/>
      <c r="G120" s="448">
        <v>471</v>
      </c>
      <c r="H120" s="448">
        <f ca="1">_xlfn.LET(_xlpm._今月から4ヶ月計画合計,
  SUM(
    OFFSET($A120,0,
      MATCH(
        EDATE(基準データ!$C$5,3),$A$1:$BE$1,1
      )-4,1,4)),
  IF($C120="","",_xlpm._今月から4ヶ月計画合計
)
)</f>
        <v>2477.5692197359804</v>
      </c>
      <c r="I120" s="448">
        <f t="shared" si="19"/>
        <v>471</v>
      </c>
      <c r="J120" s="1116" cm="1">
        <f t="array" ref="J120">_xlfn.IFS($C120="","",
  $G120="","発売前？",
  $G120=0,"在庫なし",
  TRUE,
  IFERROR(
    _xlfn.LET(
      _xlpm._在庫注残,     $G120,
      _xlpm._しきい値,     _xlpm._在庫注残 * 0.75,
      _xlpm._見出し元,     $K$1:$BT$1,
      _xlpm._計画,         $K120:$BT120,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46204</v>
      </c>
      <c r="K120" s="448"/>
      <c r="L120" s="448"/>
      <c r="M120" s="448"/>
      <c r="N120" s="448"/>
      <c r="O120" s="448"/>
      <c r="P120" s="448"/>
      <c r="Q120" s="540"/>
      <c r="R120" s="900"/>
      <c r="S120" s="449"/>
      <c r="T120" s="449"/>
      <c r="U120" s="449"/>
      <c r="V120" s="450"/>
      <c r="W120" s="455" t="s">
        <v>21</v>
      </c>
      <c r="X120" s="455" t="s">
        <v>21</v>
      </c>
      <c r="Y120" s="455" t="s">
        <v>21</v>
      </c>
      <c r="Z120" s="453" t="s">
        <v>21</v>
      </c>
      <c r="AA120" s="453" t="s">
        <v>21</v>
      </c>
      <c r="AB120" s="449" t="s">
        <v>21</v>
      </c>
      <c r="AC120" s="899" t="s">
        <v>21</v>
      </c>
      <c r="AD120" s="1290" t="s">
        <v>21</v>
      </c>
      <c r="AE120" s="453" t="s">
        <v>21</v>
      </c>
      <c r="AF120" s="453" t="s">
        <v>21</v>
      </c>
      <c r="AG120" s="451" t="s">
        <v>21</v>
      </c>
      <c r="AH120" s="889" t="s">
        <v>21</v>
      </c>
      <c r="AI120" s="896" t="s">
        <v>21</v>
      </c>
      <c r="AJ120" s="451">
        <v>2</v>
      </c>
      <c r="AK120" s="451">
        <v>12</v>
      </c>
      <c r="AL120" s="451">
        <v>88</v>
      </c>
      <c r="AM120" s="451">
        <f>_xlfn.LET(_xlpm._全体実績予測,
  INDEX('在庫使用計画 (全体実績+予測）0701'!$A$1:$BD$195,
    MATCH($C120,'在庫使用計画 (全体実績+予測）0701'!$C$1:$C$195,0),
    MATCH(AM$1,'在庫使用計画 (全体実績+予測）0701'!$A$1:$BD$1,0)
),
  IFERROR(
    IF(_xlpm._全体実績予測=0,"",_xlpm._全体実績予測),
  "")
)</f>
        <v>117</v>
      </c>
      <c r="AN120" s="889">
        <f>_xlfn.LET(_xlpm._全体実績予測,
  INDEX('在庫使用計画 (全体実績+予測）0701'!$A$1:$BD$195,
    MATCH($C120,'在庫使用計画 (全体実績+予測）0701'!$C$1:$C$195,0),
    MATCH(AN$1,'在庫使用計画 (全体実績+予測）0701'!$A$1:$BD$1,0)
),
  IFERROR(
    IF(_xlpm._全体実績予測=0,"",_xlpm._全体実績予測),
  "")
)</f>
        <v>566.78571428571422</v>
      </c>
      <c r="AO120" s="889">
        <f>_xlfn.LET(_xlpm._全体実績予測,
  INDEX('在庫使用計画 (全体実績+予測）0701'!$A$1:$BD$195,
    MATCH($C120,'在庫使用計画 (全体実績+予測）0701'!$C$1:$C$195,0),
    MATCH(AO$1,'在庫使用計画 (全体実績+予測）0701'!$A$1:$BD$1,0)
),
  IFERROR(
    IF(_xlpm._全体実績予測=0,"",_xlpm._全体実績予測),
  "")
)</f>
        <v>621.99597077479041</v>
      </c>
      <c r="AP120" s="451">
        <f>_xlfn.LET(_xlpm._全体実績予測,
  INDEX('在庫使用計画 (全体実績+予測）0701'!$A$1:$BD$195,
    MATCH($C120,'在庫使用計画 (全体実績+予測）0701'!$C$1:$C$195,0),
    MATCH(AP$1,'在庫使用計画 (全体実績+予測）0701'!$A$1:$BD$1,0)
),
  IFERROR(
    IF(_xlpm._全体実績予測=0,"",_xlpm._全体実績予測),
  "")
)</f>
        <v>572.08645929001352</v>
      </c>
      <c r="AQ120" s="2121">
        <f>_xlfn.LET(_xlpm._全体実績予測,
  INDEX('在庫使用計画 (全体実績+予測）0701'!$A$1:$BD$195,
    MATCH($C120,'在庫使用計画 (全体実績+予測）0701'!$C$1:$C$195,0),
    MATCH(AQ$1,'在庫使用計画 (全体実績+予測）0701'!$A$1:$BD$1,0)
),
  IFERROR(
    IF(_xlpm._全体実績予測=0,"",_xlpm._全体実績予測),
  "")
)</f>
        <v>617.98425729513895</v>
      </c>
      <c r="AR120" s="2137">
        <f>_xlfn.LET(_xlpm._全体実績予測,
  INDEX('在庫使用計画 (全体実績+予測）0701'!$A$1:$BD$195,
    MATCH($C120,'在庫使用計画 (全体実績+予測）0701'!$C$1:$C$195,0),
    MATCH(AR$1,'在庫使用計画 (全体実績+予測）0701'!$A$1:$BD$1,0)
),
  IFERROR(
    IF(_xlpm._全体実績予測=0,"",_xlpm._全体実績予測),
  "")
)</f>
        <v>665.50253237603761</v>
      </c>
      <c r="AS120" s="1292">
        <f>_xlfn.LET(_xlpm._全体実績予測,
  INDEX('在庫使用計画 (全体実績+予測）0701'!$A$1:$BD$195,
    MATCH($C120,'在庫使用計画 (全体実績+予測）0701'!$C$1:$C$195,0),
    MATCH(AS$1,'在庫使用計画 (全体実績+予測）0701'!$A$1:$BD$1,0)
),
  IFERROR(
    IF(_xlpm._全体実績予測=0,"",_xlpm._全体実績予測),
  "")
)</f>
        <v>688.7617149940113</v>
      </c>
      <c r="AT120" s="897">
        <f>_xlfn.LET(_xlpm._全体実績予測,
  INDEX('在庫使用計画 (全体実績+予測）0701'!$A$1:$BD$195,
    MATCH($C120,'在庫使用計画 (全体実績+予測）0701'!$C$1:$C$195,0),
    MATCH(AT$1,'在庫使用計画 (全体実績+予測）0701'!$A$1:$BD$1,0)
),
  IFERROR(
    IF(_xlpm._全体実績予測=0,"",_xlpm._全体実績予測),
  "")
)</f>
        <v>1015.1852963824924</v>
      </c>
      <c r="AU120" s="896">
        <f>_xlfn.LET(_xlpm._全体実績予測,
  INDEX('在庫使用計画 (全体実績+予測）0701'!$A$1:$BD$195,
    MATCH($C120,'在庫使用計画 (全体実績+予測）0701'!$C$1:$C$195,0),
    MATCH(AU$1,'在庫使用計画 (全体実績+予測）0701'!$A$1:$BD$1,0)
),
  IFERROR(
    IF(_xlpm._全体実績予測=0,"",_xlpm._全体実績予測),
  "")
)</f>
        <v>876.07294053918031</v>
      </c>
      <c r="AV120" s="451">
        <f>_xlfn.LET(_xlpm._全体実績予測,
  INDEX('在庫使用計画 (全体実績+予測）0701'!$A$1:$BD$195,
    MATCH($C120,'在庫使用計画 (全体実績+予測）0701'!$C$1:$C$195,0),
    MATCH(AV$1,'在庫使用計画 (全体実績+予測）0701'!$A$1:$BD$1,0)
),
  IFERROR(
    IF(_xlpm._全体実績予測=0,"",_xlpm._全体実績予測),
  "")
)</f>
        <v>825.97257906022776</v>
      </c>
      <c r="AW120" s="451">
        <f>_xlfn.LET(_xlpm._全体実績予測,
  INDEX('在庫使用計画 (全体実績+予測）0701'!$A$1:$BD$195,
    MATCH($C120,'在庫使用計画 (全体実績+予測）0701'!$C$1:$C$195,0),
    MATCH(AW$1,'在庫使用計画 (全体実績+予測）0701'!$A$1:$BD$1,0)
),
  IFERROR(
    IF(_xlpm._全体実績予測=0,"",_xlpm._全体実績予測),
  "")
)</f>
        <v>1220.6423577876508</v>
      </c>
      <c r="AX120" s="451">
        <f>_xlfn.LET(_xlpm._全体実績予測,
  INDEX('在庫使用計画 (全体実績+予測）0701'!$A$1:$BD$195,
    MATCH($C120,'在庫使用計画 (全体実績+予測）0701'!$C$1:$C$195,0),
    MATCH(AX$1,'在庫使用計画 (全体実績+予測）0701'!$A$1:$BD$1,0)
),
  IFERROR(
    IF(_xlpm._全体実績予測=0,"",_xlpm._全体実績予測),
  "")
)</f>
        <v>749.51357681838488</v>
      </c>
      <c r="AY120" s="451">
        <f>_xlfn.LET(_xlpm._全体実績予測,
  INDEX('在庫使用計画 (全体実績+予測）0701'!$A$1:$BD$195,
    MATCH($C120,'在庫使用計画 (全体実績+予測）0701'!$C$1:$C$195,0),
    MATCH(AY$1,'在庫使用計画 (全体実績+予測）0701'!$A$1:$BD$1,0)
),
  IFERROR(
    IF(_xlpm._全体実績予測=0,"",_xlpm._全体実績予測),
  "")
)</f>
        <v>543.56995879021281</v>
      </c>
      <c r="AZ120" s="451">
        <f>_xlfn.LET(_xlpm._全体実績予測,
  INDEX('在庫使用計画 (全体実績+予測）0701'!$A$1:$BD$195,
    MATCH($C120,'在庫使用計画 (全体実績+予測）0701'!$C$1:$C$195,0),
    MATCH(AZ$1,'在庫使用計画 (全体実績+予測）0701'!$A$1:$BD$1,0)
),
  IFERROR(
    IF(_xlpm._全体実績予測=0,"",_xlpm._全体実績予測),
  "")
)</f>
        <v>566.78571428571422</v>
      </c>
      <c r="BA120" s="451">
        <f>_xlfn.LET(_xlpm._全体実績予測,
  INDEX('在庫使用計画 (全体実績+予測）0701'!$A$1:$BD$195,
    MATCH($C120,'在庫使用計画 (全体実績+予測）0701'!$C$1:$C$195,0),
    MATCH(BA$1,'在庫使用計画 (全体実績+予測）0701'!$A$1:$BD$1,0)
),
  IFERROR(
    IF(_xlpm._全体実績予測=0,"",_xlpm._全体実績予測),
  "")
)</f>
        <v>621.99597077479041</v>
      </c>
      <c r="BB120" s="451">
        <f>_xlfn.LET(_xlpm._全体実績予測,
  INDEX('在庫使用計画 (全体実績+予測）0701'!$A$1:$BD$195,
    MATCH($C120,'在庫使用計画 (全体実績+予測）0701'!$C$1:$C$195,0),
    MATCH(BB$1,'在庫使用計画 (全体実績+予測）0701'!$A$1:$BD$1,0)
),
  IFERROR(
    IF(_xlpm._全体実績予測=0,"",_xlpm._全体実績予測),
  "")
)</f>
        <v>572.08645929001352</v>
      </c>
      <c r="BC120" s="451">
        <f>_xlfn.LET(_xlpm._全体実績予測,
  INDEX('在庫使用計画 (全体実績+予測）0701'!$A$1:$BD$195,
    MATCH($C120,'在庫使用計画 (全体実績+予測）0701'!$C$1:$C$195,0),
    MATCH(BC$1,'在庫使用計画 (全体実績+予測）0701'!$A$1:$BD$1,0)
),
  IFERROR(
    IF(_xlpm._全体実績予測=0,"",_xlpm._全体実績予測),
  "")
)</f>
        <v>617.98425729513895</v>
      </c>
      <c r="BD120" s="451">
        <f>_xlfn.LET(_xlpm._全体実績予測,
  INDEX('在庫使用計画 (全体実績+予測）0701'!$A$1:$BD$195,
    MATCH($C120,'在庫使用計画 (全体実績+予測）0701'!$C$1:$C$195,0),
    MATCH(BD$1,'在庫使用計画 (全体実績+予測）0701'!$A$1:$BD$1,0)
),
  IFERROR(
    IF(_xlpm._全体実績予測=0,"",_xlpm._全体実績予測),
  "")
)</f>
        <v>665.50253237603761</v>
      </c>
      <c r="BE120" s="451">
        <f>_xlfn.LET(_xlpm._全体実績予測,
  INDEX('在庫使用計画 (全体実績+予測）0701'!$A$1:$BD$195,
    MATCH($C120,'在庫使用計画 (全体実績+予測）0701'!$C$1:$C$195,0),
    MATCH(BE$1,'在庫使用計画 (全体実績+予測）0701'!$A$1:$BD$1,0)
),
  IFERROR(
    IF(_xlpm._全体実績予測=0,"",_xlpm._全体実績予測),
  "")
)</f>
        <v>688.7617149940113</v>
      </c>
      <c r="BF120" s="897">
        <f>_xlfn.LET(_xlpm._全体実績予測,
  INDEX('在庫使用計画 (全体実績+予測）0701'!$A$1:$BD$195,
    MATCH($C120,'在庫使用計画 (全体実績+予測）0701'!$C$1:$C$195,0),
    MATCH(BF$1,'在庫使用計画 (全体実績+予測）0701'!$A$1:$BD$1,0)
),
  IFERROR(
    IF(_xlpm._全体実績予測=0,"",_xlpm._全体実績予測),
  "")
)</f>
        <v>1015.1852963824924</v>
      </c>
    </row>
    <row r="121" spans="1:60" ht="18.75" customHeight="1">
      <c r="A121" s="71" t="s">
        <v>1419</v>
      </c>
      <c r="B121" s="111" t="str">
        <v>CLE-NL55-1335U-UMA-L6-TPM DDR5 TW</v>
      </c>
      <c r="C121" s="1264" t="s">
        <v>1437</v>
      </c>
      <c r="D121" s="53" t="s">
        <v>1422</v>
      </c>
      <c r="E121" s="26" t="s">
        <v>1423</v>
      </c>
      <c r="F121" s="24" t="s">
        <v>1372</v>
      </c>
      <c r="G121" s="38">
        <v>833</v>
      </c>
      <c r="H121" s="38">
        <f ca="1">_xlfn.LET(_xlpm._今月から4ヶ月計画合計,
  SUM(
    OFFSET($A121,0,
      MATCH(
        EDATE(基準データ!$C$5,3),$A$1:$BE$1,1
      )-4,1,4)),
  IF($C121="","",_xlpm._今月から4ヶ月計画合計
)
)</f>
        <v>790</v>
      </c>
      <c r="I121" s="38">
        <f>SUMIFS(マスタ_EOLリスト[在庫],マスタ_EOLリスト[製品型番],'在庫使用計画 (計画　予測)'!$C:$C)</f>
        <v>833</v>
      </c>
      <c r="J121" s="1116" cm="1">
        <f t="array" ref="J121">_xlfn.IFS($C121="","",
  $G121="","発売前？",
  $G121=0,"在庫なし",
  TRUE,
  IFERROR(
    _xlfn.LET(
      _xlpm._在庫注残,     $G121,
      _xlpm._しきい値,     _xlpm._在庫注残 * 0.75,
      _xlpm._見出し元,     $K$1:$BT$1,
      _xlpm._計画,         $K121:$BT121,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46266</v>
      </c>
      <c r="K121" s="311"/>
      <c r="L121" s="311"/>
      <c r="M121" s="311"/>
      <c r="N121" s="311"/>
      <c r="O121" s="311"/>
      <c r="P121" s="311"/>
      <c r="Q121" s="313"/>
      <c r="R121" s="1375"/>
      <c r="S121" s="298" t="s">
        <v>21</v>
      </c>
      <c r="T121" s="298" t="s">
        <v>21</v>
      </c>
      <c r="U121" s="298" t="s">
        <v>21</v>
      </c>
      <c r="V121" s="298" t="s">
        <v>21</v>
      </c>
      <c r="W121" s="299" t="s">
        <v>21</v>
      </c>
      <c r="X121" s="419" t="s">
        <v>21</v>
      </c>
      <c r="Y121" s="419" t="s">
        <v>21</v>
      </c>
      <c r="Z121" s="335" t="s">
        <v>21</v>
      </c>
      <c r="AA121" s="335" t="s">
        <v>21</v>
      </c>
      <c r="AB121" s="335" t="s">
        <v>21</v>
      </c>
      <c r="AC121" s="1370" t="s">
        <v>21</v>
      </c>
      <c r="AD121" s="1339" t="s">
        <v>21</v>
      </c>
      <c r="AE121" s="335" t="s">
        <v>21</v>
      </c>
      <c r="AF121" s="335" t="s">
        <v>21</v>
      </c>
      <c r="AG121" s="335" t="s">
        <v>21</v>
      </c>
      <c r="AH121" s="823">
        <v>0</v>
      </c>
      <c r="AI121" s="845" t="s">
        <v>21</v>
      </c>
      <c r="AJ121" s="224" t="s">
        <v>21</v>
      </c>
      <c r="AK121" s="224" t="s">
        <v>21</v>
      </c>
      <c r="AL121" s="224" t="s">
        <v>21</v>
      </c>
      <c r="AM121" s="224" t="str">
        <f>_xlfn.XLOOKUP(
$C121,
'在庫使用計画 (ノート全体試算)'!$C$1:$C$170,
'在庫使用計画 (ノート全体試算)'!AN$1:AN$170,
"")</f>
        <v/>
      </c>
      <c r="AN121" s="237">
        <f>_xlfn.XLOOKUP(
$C121,
'在庫使用計画 (ノート全体試算)'!$C$1:$C$170,
'在庫使用計画 (ノート全体試算)'!AO$1:AO$170,
"")</f>
        <v>100</v>
      </c>
      <c r="AO121" s="237">
        <f>_xlfn.XLOOKUP(
$C121,
'在庫使用計画 (ノート全体試算)'!$C$1:$C$170,
'在庫使用計画 (ノート全体試算)'!AP$1:AP$170,
"")</f>
        <v>300</v>
      </c>
      <c r="AP121" s="224">
        <f>_xlfn.XLOOKUP(
$C121,
'在庫使用計画 (ノート全体試算)'!$C$1:$C$170,
'在庫使用計画 (ノート全体試算)'!AQ$1:AQ$170,
"")</f>
        <v>300</v>
      </c>
      <c r="AQ121" s="1050">
        <f>_xlfn.XLOOKUP(
$C121,
'在庫使用計画 (ノート全体試算)'!$C$1:$C$170,
'在庫使用計画 (ノート全体試算)'!AR$1:AR$170,
"")</f>
        <v>190</v>
      </c>
      <c r="AR121" s="2130" t="str">
        <f>_xlfn.XLOOKUP(
$C121,
'在庫使用計画 (ノート全体試算)'!$C$1:$C$170,
'在庫使用計画 (ノート全体試算)'!AS$1:AS$170,
"")</f>
        <v/>
      </c>
      <c r="AS121" s="244" t="str">
        <f>_xlfn.XLOOKUP(
$C121,
'在庫使用計画 (ノート全体試算)'!$C$1:$C$170,
'在庫使用計画 (ノート全体試算)'!AT$1:AT$170,
"")</f>
        <v/>
      </c>
      <c r="AT121" s="805" t="str">
        <f>_xlfn.XLOOKUP(
$C121,
'在庫使用計画 (ノート全体試算)'!$C$1:$C$170,
'在庫使用計画 (ノート全体試算)'!AU$1:AU$170,
"")</f>
        <v/>
      </c>
      <c r="AU121" s="845" t="str">
        <f>_xlfn.XLOOKUP(
$C121,
'在庫使用計画 (ノート全体試算)'!$C$1:$C$170,
'在庫使用計画 (ノート全体試算)'!AV$1:AV$170,
"")</f>
        <v/>
      </c>
      <c r="AV121" s="224" t="str">
        <f>_xlfn.XLOOKUP(
$C121,
'在庫使用計画 (ノート全体試算)'!$C$1:$C$170,
'在庫使用計画 (ノート全体試算)'!AW$1:AW$170,
"")</f>
        <v/>
      </c>
      <c r="AW121" s="224" t="str">
        <f>_xlfn.XLOOKUP(
$C121,
'在庫使用計画 (ノート全体試算)'!$C$1:$C$170,
'在庫使用計画 (ノート全体試算)'!AX$1:AX$170,
"")</f>
        <v/>
      </c>
      <c r="AX121" s="224" t="str">
        <f>_xlfn.XLOOKUP(
$C121,
'在庫使用計画 (ノート全体試算)'!$C$1:$C$170,
'在庫使用計画 (ノート全体試算)'!AY$1:AY$170,
"")</f>
        <v/>
      </c>
      <c r="AY121" s="224" t="str">
        <f>_xlfn.XLOOKUP(
$C121,
'在庫使用計画 (ノート全体試算)'!$C$1:$C$170,
'在庫使用計画 (ノート全体試算)'!AZ$1:AZ$170,
"")</f>
        <v/>
      </c>
      <c r="AZ121" s="224" t="str">
        <f>_xlfn.XLOOKUP(
$C121,
'在庫使用計画 (ノート全体試算)'!$C$1:$C$170,
'在庫使用計画 (ノート全体試算)'!BA$1:BA$170,
"")</f>
        <v/>
      </c>
      <c r="BA121" s="224" t="str">
        <f>_xlfn.XLOOKUP(
$C121,
'在庫使用計画 (ノート全体試算)'!$C$1:$C$170,
'在庫使用計画 (ノート全体試算)'!BB$1:BB$170,
"")</f>
        <v/>
      </c>
      <c r="BB121" s="224" t="str">
        <f>_xlfn.XLOOKUP(
$C121,
'在庫使用計画 (ノート全体試算)'!$C$1:$C$170,
'在庫使用計画 (ノート全体試算)'!BC$1:BC$170,
"")</f>
        <v/>
      </c>
      <c r="BC121" s="224" t="str">
        <f>_xlfn.XLOOKUP(
$C121,
'在庫使用計画 (ノート全体試算)'!$C$1:$C$170,
'在庫使用計画 (ノート全体試算)'!BD$1:BD$170,
"")</f>
        <v/>
      </c>
      <c r="BD121" s="224" t="str">
        <f>_xlfn.XLOOKUP(
$C121,
'在庫使用計画 (ノート全体試算)'!$C$1:$C$170,
'在庫使用計画 (ノート全体試算)'!BE$1:BE$170,
"")</f>
        <v/>
      </c>
      <c r="BE121" s="224" t="str">
        <f>_xlfn.XLOOKUP(
$C121,
'在庫使用計画 (ノート全体試算)'!$C$1:$C$170,
'在庫使用計画 (ノート全体試算)'!BF$1:BF$170,
"")</f>
        <v/>
      </c>
      <c r="BF121" s="805" t="str">
        <f>_xlfn.XLOOKUP(
$C121,
'在庫使用計画 (ノート全体試算)'!$C$1:$C$170,
'在庫使用計画 (ノート全体試算)'!BG$1:BG$170,
"")</f>
        <v/>
      </c>
      <c r="BG121" s="2091" t="s">
        <v>2678</v>
      </c>
    </row>
    <row r="122" spans="1:60" ht="19.5" thickBot="1">
      <c r="A122" s="445"/>
      <c r="B122" s="1261" t="str">
        <v>CLE-NL55-1335U-UMA-L6-TPM DDR5 TW</v>
      </c>
      <c r="C122" s="1265" t="s">
        <v>1437</v>
      </c>
      <c r="D122" s="1262" t="s">
        <v>1763</v>
      </c>
      <c r="E122" s="446"/>
      <c r="F122" s="447"/>
      <c r="G122" s="448">
        <v>833</v>
      </c>
      <c r="H122" s="448">
        <f ca="1">_xlfn.LET(_xlpm._今月から4ヶ月計画合計,
  SUM(
    OFFSET($A122,0,
      MATCH(
        EDATE(基準データ!$C$5,3),$A$1:$BE$1,1
      )-4,1,4)),
  IF($C122="","",_xlpm._今月から4ヶ月計画合計
)
)</f>
        <v>224.80779309513622</v>
      </c>
      <c r="I122" s="448">
        <f t="shared" si="19"/>
        <v>833</v>
      </c>
      <c r="J122" s="1116" cm="1">
        <f t="array" ref="J122">_xlfn.IFS($C122="","",
  $G122="","発売前？",
  $G122=0,"在庫なし",
  TRUE,
  IFERROR(
    _xlfn.LET(
      _xlpm._在庫注残,     $G122,
      _xlpm._しきい値,     _xlpm._在庫注残 * 0.75,
      _xlpm._見出し元,     $K$1:$BT$1,
      _xlpm._計画,         $K122:$BT122,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46447</v>
      </c>
      <c r="K122" s="448"/>
      <c r="L122" s="448"/>
      <c r="M122" s="448"/>
      <c r="N122" s="448"/>
      <c r="O122" s="448"/>
      <c r="P122" s="448"/>
      <c r="Q122" s="540"/>
      <c r="R122" s="900"/>
      <c r="S122" s="449"/>
      <c r="T122" s="449"/>
      <c r="U122" s="449"/>
      <c r="V122" s="450"/>
      <c r="W122" s="455" t="s">
        <v>21</v>
      </c>
      <c r="X122" s="455" t="s">
        <v>21</v>
      </c>
      <c r="Y122" s="455" t="s">
        <v>21</v>
      </c>
      <c r="Z122" s="453" t="s">
        <v>21</v>
      </c>
      <c r="AA122" s="453" t="s">
        <v>21</v>
      </c>
      <c r="AB122" s="449" t="s">
        <v>21</v>
      </c>
      <c r="AC122" s="899" t="s">
        <v>21</v>
      </c>
      <c r="AD122" s="1290" t="s">
        <v>21</v>
      </c>
      <c r="AE122" s="453" t="s">
        <v>21</v>
      </c>
      <c r="AF122" s="453" t="s">
        <v>21</v>
      </c>
      <c r="AG122" s="451" t="s">
        <v>21</v>
      </c>
      <c r="AH122" s="889" t="s">
        <v>21</v>
      </c>
      <c r="AI122" s="896" t="s">
        <v>21</v>
      </c>
      <c r="AJ122" s="451" t="s">
        <v>21</v>
      </c>
      <c r="AK122" s="451" t="s">
        <v>21</v>
      </c>
      <c r="AL122" s="451" t="s">
        <v>21</v>
      </c>
      <c r="AM122" s="451" t="str">
        <f>_xlfn.LET(_xlpm._全体実績予測,
  INDEX('在庫使用計画 (全体実績+予測）0701'!$A$1:$BD$195,
    MATCH($C122,'在庫使用計画 (全体実績+予測）0701'!$C$1:$C$195,0),
    MATCH(AM$1,'在庫使用計画 (全体実績+予測）0701'!$A$1:$BD$1,0)
),
  IFERROR(
    IF(_xlpm._全体実績予測=0,"",_xlpm._全体実績予測),
  "")
)</f>
        <v/>
      </c>
      <c r="AN122" s="889">
        <f>_xlfn.LET(_xlpm._全体実績予測,
  INDEX('在庫使用計画 (全体実績+予測）0701'!$A$1:$BD$195,
    MATCH($C122,'在庫使用計画 (全体実績+予測）0701'!$C$1:$C$195,0),
    MATCH(AN$1,'在庫使用計画 (全体実績+予測）0701'!$A$1:$BD$1,0)
),
  IFERROR(
    IF(_xlpm._全体実績予測=0,"",_xlpm._全体実績予測),
  "")
)</f>
        <v>51.428571428571423</v>
      </c>
      <c r="AO122" s="889">
        <f>_xlfn.LET(_xlpm._全体実績予測,
  INDEX('在庫使用計画 (全体実績+予測）0701'!$A$1:$BD$195,
    MATCH($C122,'在庫使用計画 (全体実績+予測）0701'!$C$1:$C$195,0),
    MATCH(AO$1,'在庫使用計画 (全体実績+予測）0701'!$A$1:$BD$1,0)
),
  IFERROR(
    IF(_xlpm._全体実績予測=0,"",_xlpm._全体実績予測),
  "")
)</f>
        <v>56.438197726256973</v>
      </c>
      <c r="AP122" s="451">
        <f>_xlfn.LET(_xlpm._全体実績予測,
  INDEX('在庫使用計画 (全体実績+予測）0701'!$A$1:$BD$195,
    MATCH($C122,'在庫使用計画 (全体実績+予測）0701'!$C$1:$C$195,0),
    MATCH(AP$1,'在庫使用計画 (全体実績+予測）0701'!$A$1:$BD$1,0)
),
  IFERROR(
    IF(_xlpm._全体実績予測=0,"",_xlpm._全体実績予測),
  "")
)</f>
        <v>51.909546400606139</v>
      </c>
      <c r="AQ122" s="2121">
        <f>_xlfn.LET(_xlpm._全体実績予測,
  INDEX('在庫使用計画 (全体実績+予測）0701'!$A$1:$BD$195,
    MATCH($C122,'在庫使用計画 (全体実績+予測）0701'!$C$1:$C$195,0),
    MATCH(AQ$1,'在庫使用計画 (全体実績+予測）0701'!$A$1:$BD$1,0)
),
  IFERROR(
    IF(_xlpm._全体実績予測=0,"",_xlpm._全体実績予測),
  "")
)</f>
        <v>56.07418591713926</v>
      </c>
      <c r="AR122" s="2137">
        <f>_xlfn.LET(_xlpm._全体実績予測,
  INDEX('在庫使用計画 (全体実績+予測）0701'!$A$1:$BD$195,
    MATCH($C122,'在庫使用計画 (全体実績+予測）0701'!$C$1:$C$195,0),
    MATCH(AR$1,'在庫使用計画 (全体実績+予測）0701'!$A$1:$BD$1,0)
),
  IFERROR(
    IF(_xlpm._全体実績予測=0,"",_xlpm._全体実績予測),
  "")
)</f>
        <v>60.385863051133846</v>
      </c>
      <c r="AS122" s="1292">
        <f>_xlfn.LET(_xlpm._全体実績予測,
  INDEX('在庫使用計画 (全体実績+予測）0701'!$A$1:$BD$195,
    MATCH($C122,'在庫使用計画 (全体実績+予測）0701'!$C$1:$C$195,0),
    MATCH(AS$1,'在庫使用計画 (全体実績+予測）0701'!$A$1:$BD$1,0)
),
  IFERROR(
    IF(_xlpm._全体実績予測=0,"",_xlpm._全体実績予測),
  "")
)</f>
        <v>62.496337088303484</v>
      </c>
      <c r="AT122" s="897">
        <f>_xlfn.LET(_xlpm._全体実績予測,
  INDEX('在庫使用計画 (全体実績+予測）0701'!$A$1:$BD$195,
    MATCH($C122,'在庫使用計画 (全体実績+予測）0701'!$C$1:$C$195,0),
    MATCH(AT$1,'在庫使用計画 (全体実績+予測）0701'!$A$1:$BD$1,0)
),
  IFERROR(
    IF(_xlpm._全体実績予測=0,"",_xlpm._全体実績予測),
  "")
)</f>
        <v>92.115111959091948</v>
      </c>
      <c r="AU122" s="896">
        <f>_xlfn.LET(_xlpm._全体実績予測,
  INDEX('在庫使用計画 (全体実績+予測）0701'!$A$1:$BD$195,
    MATCH($C122,'在庫使用計画 (全体実績+予測）0701'!$C$1:$C$195,0),
    MATCH(AU$1,'在庫使用計画 (全体実績+予測）0701'!$A$1:$BD$1,0)
),
  IFERROR(
    IF(_xlpm._全体実績予測=0,"",_xlpm._全体実績予測),
  "")
)</f>
        <v>79.492440729453037</v>
      </c>
      <c r="AV122" s="451">
        <f>_xlfn.LET(_xlpm._全体実績予測,
  INDEX('在庫使用計画 (全体実績+予測）0701'!$A$1:$BD$195,
    MATCH($C122,'在庫使用計画 (全体実績+予測）0701'!$C$1:$C$195,0),
    MATCH(AV$1,'在庫使用計画 (全体実績+予測）0701'!$A$1:$BD$1,0)
),
  IFERROR(
    IF(_xlpm._全体実績予測=0,"",_xlpm._全体実績予測),
  "")
)</f>
        <v>74.946472202062253</v>
      </c>
      <c r="AW122" s="451">
        <f>_xlfn.LET(_xlpm._全体実績予測,
  INDEX('在庫使用計画 (全体実績+予測）0701'!$A$1:$BD$195,
    MATCH($C122,'在庫使用計画 (全体実績+予測）0701'!$C$1:$C$195,0),
    MATCH(AW$1,'在庫使用計画 (全体実績+予測）0701'!$A$1:$BD$1,0)
),
  IFERROR(
    IF(_xlpm._全体実績予測=0,"",_xlpm._全体実績予測),
  "")
)</f>
        <v>110.75771866504203</v>
      </c>
      <c r="AX122" s="451">
        <f>_xlfn.LET(_xlpm._全体実績予測,
  INDEX('在庫使用計画 (全体実績+予測）0701'!$A$1:$BD$195,
    MATCH($C122,'在庫使用計画 (全体実績+予測）0701'!$C$1:$C$195,0),
    MATCH(AX$1,'在庫使用計画 (全体実績+予測）0701'!$A$1:$BD$1,0)
),
  IFERROR(
    IF(_xlpm._全体実績予測=0,"",_xlpm._全体実績予測),
  "")
)</f>
        <v>68.008793359702224</v>
      </c>
      <c r="AY122" s="451">
        <f>_xlfn.LET(_xlpm._全体実績予測,
  INDEX('在庫使用計画 (全体実績+予測）0701'!$A$1:$BD$195,
    MATCH($C122,'在庫使用計画 (全体実績+予測）0701'!$C$1:$C$195,0),
    MATCH(AY$1,'在庫使用計画 (全体実績+予測）0701'!$A$1:$BD$1,0)
),
  IFERROR(
    IF(_xlpm._全体実績予測=0,"",_xlpm._全体実績予測),
  "")
)</f>
        <v>49.322037848639347</v>
      </c>
      <c r="AZ122" s="451">
        <f>_xlfn.LET(_xlpm._全体実績予測,
  INDEX('在庫使用計画 (全体実績+予測）0701'!$A$1:$BD$195,
    MATCH($C122,'在庫使用計画 (全体実績+予測）0701'!$C$1:$C$195,0),
    MATCH(AZ$1,'在庫使用計画 (全体実績+予測）0701'!$A$1:$BD$1,0)
),
  IFERROR(
    IF(_xlpm._全体実績予測=0,"",_xlpm._全体実績予測),
  "")
)</f>
        <v>51.428571428571431</v>
      </c>
      <c r="BA122" s="451">
        <f>_xlfn.LET(_xlpm._全体実績予測,
  INDEX('在庫使用計画 (全体実績+予測）0701'!$A$1:$BD$195,
    MATCH($C122,'在庫使用計画 (全体実績+予測）0701'!$C$1:$C$195,0),
    MATCH(BA$1,'在庫使用計画 (全体実績+予測）0701'!$A$1:$BD$1,0)
),
  IFERROR(
    IF(_xlpm._全体実績予測=0,"",_xlpm._全体実績予測),
  "")
)</f>
        <v>56.438197726256981</v>
      </c>
      <c r="BB122" s="451">
        <f>_xlfn.LET(_xlpm._全体実績予測,
  INDEX('在庫使用計画 (全体実績+予測）0701'!$A$1:$BD$195,
    MATCH($C122,'在庫使用計画 (全体実績+予測）0701'!$C$1:$C$195,0),
    MATCH(BB$1,'在庫使用計画 (全体実績+予測）0701'!$A$1:$BD$1,0)
),
  IFERROR(
    IF(_xlpm._全体実績予測=0,"",_xlpm._全体実績予測),
  "")
)</f>
        <v>51.909546400606146</v>
      </c>
      <c r="BC122" s="451">
        <f>_xlfn.LET(_xlpm._全体実績予測,
  INDEX('在庫使用計画 (全体実績+予測）0701'!$A$1:$BD$195,
    MATCH($C122,'在庫使用計画 (全体実績+予測）0701'!$C$1:$C$195,0),
    MATCH(BC$1,'在庫使用計画 (全体実績+予測）0701'!$A$1:$BD$1,0)
),
  IFERROR(
    IF(_xlpm._全体実績予測=0,"",_xlpm._全体実績予測),
  "")
)</f>
        <v>56.074185917139268</v>
      </c>
      <c r="BD122" s="451">
        <f>_xlfn.LET(_xlpm._全体実績予測,
  INDEX('在庫使用計画 (全体実績+予測）0701'!$A$1:$BD$195,
    MATCH($C122,'在庫使用計画 (全体実績+予測）0701'!$C$1:$C$195,0),
    MATCH(BD$1,'在庫使用計画 (全体実績+予測）0701'!$A$1:$BD$1,0)
),
  IFERROR(
    IF(_xlpm._全体実績予測=0,"",_xlpm._全体実績予測),
  "")
)</f>
        <v>60.385863051133853</v>
      </c>
      <c r="BE122" s="451">
        <f>_xlfn.LET(_xlpm._全体実績予測,
  INDEX('在庫使用計画 (全体実績+予測）0701'!$A$1:$BD$195,
    MATCH($C122,'在庫使用計画 (全体実績+予測）0701'!$C$1:$C$195,0),
    MATCH(BE$1,'在庫使用計画 (全体実績+予測）0701'!$A$1:$BD$1,0)
),
  IFERROR(
    IF(_xlpm._全体実績予測=0,"",_xlpm._全体実績予測),
  "")
)</f>
        <v>62.496337088303491</v>
      </c>
      <c r="BF122" s="897">
        <f>_xlfn.LET(_xlpm._全体実績予測,
  INDEX('在庫使用計画 (全体実績+予測）0701'!$A$1:$BD$195,
    MATCH($C122,'在庫使用計画 (全体実績+予測）0701'!$C$1:$C$195,0),
    MATCH(BF$1,'在庫使用計画 (全体実績+予測）0701'!$A$1:$BD$1,0)
),
  IFERROR(
    IF(_xlpm._全体実績予測=0,"",_xlpm._全体実績予測),
  "")
)</f>
        <v>92.115111959091962</v>
      </c>
      <c r="BG122" s="2091" t="s">
        <v>2679</v>
      </c>
    </row>
    <row r="123" spans="1:60">
      <c r="A123" s="71" t="s">
        <v>1419</v>
      </c>
      <c r="B123" s="111" t="str">
        <v>CLE-NL55-1335U-UMA-L6-TPM DDR4 TW</v>
      </c>
      <c r="C123" s="1264" t="s">
        <v>1658</v>
      </c>
      <c r="D123" s="53" t="s">
        <v>1422</v>
      </c>
      <c r="E123" s="26" t="s">
        <v>1423</v>
      </c>
      <c r="F123" s="24" t="s">
        <v>1372</v>
      </c>
      <c r="G123" s="38">
        <v>1331</v>
      </c>
      <c r="H123" s="38">
        <f ca="1">_xlfn.LET(_xlpm._今月から4ヶ月計画合計,
  SUM(
    OFFSET($A123,0,
      MATCH(
        EDATE(基準データ!$C$5,3),$A$1:$BE$1,1
      )-4,1,4)),
  IF($C123="","",_xlpm._今月から4ヶ月計画合計
)
)</f>
        <v>910</v>
      </c>
      <c r="I123" s="38">
        <f>SUMIFS(マスタ_EOLリスト[在庫],マスタ_EOLリスト[製品型番],'在庫使用計画 (計画　予測)'!$C:$C)</f>
        <v>1331</v>
      </c>
      <c r="J123" s="1116" cm="1">
        <f t="array" ref="J123">_xlfn.IFS($C123="","",
  $G123="","発売前？",
  $G123=0,"在庫なし",
  TRUE,
  IFERROR(
    _xlfn.LET(
      _xlpm._在庫注残,     $G123,
      _xlpm._しきい値,     _xlpm._在庫注残 * 0.75,
      _xlpm._見出し元,     $K$1:$BT$1,
      _xlpm._計画,         $K123:$BT123,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46327</v>
      </c>
      <c r="K123" s="311"/>
      <c r="L123" s="311"/>
      <c r="M123" s="311"/>
      <c r="N123" s="311"/>
      <c r="O123" s="311"/>
      <c r="P123" s="311"/>
      <c r="Q123" s="313"/>
      <c r="R123" s="1375"/>
      <c r="S123" s="298" t="s">
        <v>21</v>
      </c>
      <c r="T123" s="298" t="s">
        <v>21</v>
      </c>
      <c r="U123" s="298" t="s">
        <v>21</v>
      </c>
      <c r="V123" s="298" t="s">
        <v>21</v>
      </c>
      <c r="W123" s="299" t="s">
        <v>21</v>
      </c>
      <c r="X123" s="419" t="s">
        <v>21</v>
      </c>
      <c r="Y123" s="419" t="s">
        <v>21</v>
      </c>
      <c r="Z123" s="335" t="s">
        <v>21</v>
      </c>
      <c r="AA123" s="335" t="s">
        <v>21</v>
      </c>
      <c r="AB123" s="335" t="s">
        <v>21</v>
      </c>
      <c r="AC123" s="1370" t="s">
        <v>21</v>
      </c>
      <c r="AD123" s="1339" t="s">
        <v>21</v>
      </c>
      <c r="AE123" s="335" t="s">
        <v>21</v>
      </c>
      <c r="AF123" s="335" t="s">
        <v>21</v>
      </c>
      <c r="AG123" s="335" t="s">
        <v>21</v>
      </c>
      <c r="AH123" s="823">
        <v>0</v>
      </c>
      <c r="AI123" s="845" t="s">
        <v>21</v>
      </c>
      <c r="AJ123" s="224" t="s">
        <v>21</v>
      </c>
      <c r="AK123" s="224" t="s">
        <v>21</v>
      </c>
      <c r="AL123" s="224" t="s">
        <v>21</v>
      </c>
      <c r="AM123" s="224" t="str">
        <f>_xlfn.XLOOKUP(
$C123,
'在庫使用計画 (ノート全体試算)'!$C$1:$C$170,
'在庫使用計画 (ノート全体試算)'!AN$1:AN$170,
"")</f>
        <v/>
      </c>
      <c r="AN123" s="237">
        <f>_xlfn.XLOOKUP(
$C123,
'在庫使用計画 (ノート全体試算)'!$C$1:$C$170,
'在庫使用計画 (ノート全体試算)'!AO$1:AO$170,
"")</f>
        <v>350</v>
      </c>
      <c r="AO123" s="237">
        <f>_xlfn.XLOOKUP(
$C123,
'在庫使用計画 (ノート全体試算)'!$C$1:$C$170,
'在庫使用計画 (ノート全体試算)'!AP$1:AP$170,
"")</f>
        <v>280</v>
      </c>
      <c r="AP123" s="224">
        <f>_xlfn.XLOOKUP(
$C123,
'在庫使用計画 (ノート全体試算)'!$C$1:$C$170,
'在庫使用計画 (ノート全体試算)'!AQ$1:AQ$170,
"")</f>
        <v>210</v>
      </c>
      <c r="AQ123" s="1050">
        <f>_xlfn.XLOOKUP(
$C123,
'在庫使用計画 (ノート全体試算)'!$C$1:$C$170,
'在庫使用計画 (ノート全体試算)'!AR$1:AR$170,
"")</f>
        <v>210</v>
      </c>
      <c r="AR123" s="2130">
        <f>_xlfn.XLOOKUP(
$C123,
'在庫使用計画 (ノート全体試算)'!$C$1:$C$170,
'在庫使用計画 (ノート全体試算)'!AS$1:AS$170,
"")</f>
        <v>210</v>
      </c>
      <c r="AS123" s="244">
        <f>_xlfn.XLOOKUP(
$C123,
'在庫使用計画 (ノート全体試算)'!$C$1:$C$170,
'在庫使用計画 (ノート全体試算)'!AT$1:AT$170,
"")</f>
        <v>180</v>
      </c>
      <c r="AT123" s="805" t="str">
        <f>_xlfn.XLOOKUP(
$C123,
'在庫使用計画 (ノート全体試算)'!$C$1:$C$170,
'在庫使用計画 (ノート全体試算)'!AU$1:AU$170,
"")</f>
        <v/>
      </c>
      <c r="AU123" s="845" t="str">
        <f>_xlfn.XLOOKUP(
$C123,
'在庫使用計画 (ノート全体試算)'!$C$1:$C$170,
'在庫使用計画 (ノート全体試算)'!AV$1:AV$170,
"")</f>
        <v/>
      </c>
      <c r="AV123" s="224" t="str">
        <f>_xlfn.XLOOKUP(
$C123,
'在庫使用計画 (ノート全体試算)'!$C$1:$C$170,
'在庫使用計画 (ノート全体試算)'!AW$1:AW$170,
"")</f>
        <v/>
      </c>
      <c r="AW123" s="224" t="str">
        <f>_xlfn.XLOOKUP(
$C123,
'在庫使用計画 (ノート全体試算)'!$C$1:$C$170,
'在庫使用計画 (ノート全体試算)'!AX$1:AX$170,
"")</f>
        <v/>
      </c>
      <c r="AX123" s="224" t="str">
        <f>_xlfn.XLOOKUP(
$C123,
'在庫使用計画 (ノート全体試算)'!$C$1:$C$170,
'在庫使用計画 (ノート全体試算)'!AY$1:AY$170,
"")</f>
        <v/>
      </c>
      <c r="AY123" s="224" t="str">
        <f>_xlfn.XLOOKUP(
$C123,
'在庫使用計画 (ノート全体試算)'!$C$1:$C$170,
'在庫使用計画 (ノート全体試算)'!AZ$1:AZ$170,
"")</f>
        <v/>
      </c>
      <c r="AZ123" s="224" t="str">
        <f>_xlfn.XLOOKUP(
$C123,
'在庫使用計画 (ノート全体試算)'!$C$1:$C$170,
'在庫使用計画 (ノート全体試算)'!BA$1:BA$170,
"")</f>
        <v/>
      </c>
      <c r="BA123" s="224" t="str">
        <f>_xlfn.XLOOKUP(
$C123,
'在庫使用計画 (ノート全体試算)'!$C$1:$C$170,
'在庫使用計画 (ノート全体試算)'!BB$1:BB$170,
"")</f>
        <v/>
      </c>
      <c r="BB123" s="224" t="str">
        <f>_xlfn.XLOOKUP(
$C123,
'在庫使用計画 (ノート全体試算)'!$C$1:$C$170,
'在庫使用計画 (ノート全体試算)'!BC$1:BC$170,
"")</f>
        <v/>
      </c>
      <c r="BC123" s="224" t="str">
        <f>_xlfn.XLOOKUP(
$C123,
'在庫使用計画 (ノート全体試算)'!$C$1:$C$170,
'在庫使用計画 (ノート全体試算)'!BD$1:BD$170,
"")</f>
        <v/>
      </c>
      <c r="BD123" s="224" t="str">
        <f>_xlfn.XLOOKUP(
$C123,
'在庫使用計画 (ノート全体試算)'!$C$1:$C$170,
'在庫使用計画 (ノート全体試算)'!BE$1:BE$170,
"")</f>
        <v/>
      </c>
      <c r="BE123" s="224" t="str">
        <f>_xlfn.XLOOKUP(
$C123,
'在庫使用計画 (ノート全体試算)'!$C$1:$C$170,
'在庫使用計画 (ノート全体試算)'!BF$1:BF$170,
"")</f>
        <v/>
      </c>
      <c r="BF123" s="805" t="str">
        <f>_xlfn.XLOOKUP(
$C123,
'在庫使用計画 (ノート全体試算)'!$C$1:$C$170,
'在庫使用計画 (ノート全体試算)'!BG$1:BG$170,
"")</f>
        <v/>
      </c>
      <c r="BG123" s="2091" t="s">
        <v>2667</v>
      </c>
    </row>
    <row r="124" spans="1:60" ht="19.5" thickBot="1">
      <c r="A124" s="445"/>
      <c r="B124" s="1261" t="str">
        <v>CLE-NL55-1335U-UMA-L6-TPM DDR4 TW</v>
      </c>
      <c r="C124" s="1282" t="s">
        <v>1658</v>
      </c>
      <c r="D124" s="1262" t="s">
        <v>1763</v>
      </c>
      <c r="E124" s="446"/>
      <c r="F124" s="447"/>
      <c r="G124" s="448">
        <v>1331</v>
      </c>
      <c r="H124" s="448">
        <f ca="1">_xlfn.LET(_xlpm._今月から4ヶ月計画合計,
  SUM(
    OFFSET($A124,0,
      MATCH(
        EDATE(基準データ!$C$5,3),$A$1:$BE$1,1
      )-4,1,4)),
  IF($C124="","",_xlpm._今月から4ヶ月計画合計
)
)</f>
        <v>505.81753446405651</v>
      </c>
      <c r="I124" s="448">
        <f t="shared" si="19"/>
        <v>1331</v>
      </c>
      <c r="J124" s="1116" cm="1">
        <f t="array" ref="J124">_xlfn.IFS($C124="","",
  $G124="","発売前？",
  $G124=0,"在庫なし",
  TRUE,
  IFERROR(
    _xlfn.LET(
      _xlpm._在庫注残,     $G124,
      _xlpm._しきい値,     _xlpm._在庫注残 * 0.75,
      _xlpm._見出し元,     $K$1:$BT$1,
      _xlpm._計画,         $K124:$BT124,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46388</v>
      </c>
      <c r="K124" s="448"/>
      <c r="L124" s="448"/>
      <c r="M124" s="448"/>
      <c r="N124" s="448"/>
      <c r="O124" s="448"/>
      <c r="P124" s="448"/>
      <c r="Q124" s="540"/>
      <c r="R124" s="900"/>
      <c r="S124" s="449"/>
      <c r="T124" s="449"/>
      <c r="U124" s="449"/>
      <c r="V124" s="450"/>
      <c r="W124" s="455" t="s">
        <v>21</v>
      </c>
      <c r="X124" s="455" t="s">
        <v>21</v>
      </c>
      <c r="Y124" s="455" t="s">
        <v>21</v>
      </c>
      <c r="Z124" s="453" t="s">
        <v>21</v>
      </c>
      <c r="AA124" s="453" t="s">
        <v>21</v>
      </c>
      <c r="AB124" s="449" t="s">
        <v>21</v>
      </c>
      <c r="AC124" s="899" t="s">
        <v>21</v>
      </c>
      <c r="AD124" s="1290" t="s">
        <v>21</v>
      </c>
      <c r="AE124" s="453" t="s">
        <v>21</v>
      </c>
      <c r="AF124" s="453" t="s">
        <v>21</v>
      </c>
      <c r="AG124" s="451" t="s">
        <v>21</v>
      </c>
      <c r="AH124" s="889" t="s">
        <v>21</v>
      </c>
      <c r="AI124" s="896" t="s">
        <v>21</v>
      </c>
      <c r="AJ124" s="451" t="s">
        <v>21</v>
      </c>
      <c r="AK124" s="451" t="s">
        <v>21</v>
      </c>
      <c r="AL124" s="451" t="s">
        <v>21</v>
      </c>
      <c r="AM124" s="451" t="str">
        <f>_xlfn.LET(_xlpm._全体実績予測,
  INDEX('在庫使用計画 (全体実績+予測）0701'!$A$1:$BD$195,
    MATCH($C124,'在庫使用計画 (全体実績+予測）0701'!$C$1:$C$195,0),
    MATCH(AM$1,'在庫使用計画 (全体実績+予測）0701'!$A$1:$BD$1,0)
),
  IFERROR(
    IF(_xlpm._全体実績予測=0,"",_xlpm._全体実績予測),
  "")
)</f>
        <v/>
      </c>
      <c r="AN124" s="889">
        <f>_xlfn.LET(_xlpm._全体実績予測,
  INDEX('在庫使用計画 (全体実績+予測）0701'!$A$1:$BD$195,
    MATCH($C124,'在庫使用計画 (全体実績+予測）0701'!$C$1:$C$195,0),
    MATCH(AN$1,'在庫使用計画 (全体実績+予測）0701'!$A$1:$BD$1,0)
),
  IFERROR(
    IF(_xlpm._全体実績予測=0,"",_xlpm._全体実績予測),
  "")
)</f>
        <v>115.71428571428572</v>
      </c>
      <c r="AO124" s="889">
        <f>_xlfn.LET(_xlpm._全体実績予測,
  INDEX('在庫使用計画 (全体実績+予測）0701'!$A$1:$BD$195,
    MATCH($C124,'在庫使用計画 (全体実績+予測）0701'!$C$1:$C$195,0),
    MATCH(AO$1,'在庫使用計画 (全体実績+予測）0701'!$A$1:$BD$1,0)
),
  IFERROR(
    IF(_xlpm._全体実績予測=0,"",_xlpm._全体実績予測),
  "")
)</f>
        <v>126.98594488407821</v>
      </c>
      <c r="AP124" s="451">
        <f>_xlfn.LET(_xlpm._全体実績予測,
  INDEX('在庫使用計画 (全体実績+予測）0701'!$A$1:$BD$195,
    MATCH($C124,'在庫使用計画 (全体実績+予測）0701'!$C$1:$C$195,0),
    MATCH(AP$1,'在庫使用計画 (全体実績+予測）0701'!$A$1:$BD$1,0)
),
  IFERROR(
    IF(_xlpm._全体実績予測=0,"",_xlpm._全体実績予測),
  "")
)</f>
        <v>116.79647940136383</v>
      </c>
      <c r="AQ124" s="2121">
        <f>_xlfn.LET(_xlpm._全体実績予測,
  INDEX('在庫使用計画 (全体実績+予測）0701'!$A$1:$BD$195,
    MATCH($C124,'在庫使用計画 (全体実績+予測）0701'!$C$1:$C$195,0),
    MATCH(AQ$1,'在庫使用計画 (全体実績+予測）0701'!$A$1:$BD$1,0)
),
  IFERROR(
    IF(_xlpm._全体実績予測=0,"",_xlpm._全体実績予測),
  "")
)</f>
        <v>126.16691831356334</v>
      </c>
      <c r="AR124" s="2137">
        <f>_xlfn.LET(_xlpm._全体実績予測,
  INDEX('在庫使用計画 (全体実績+予測）0701'!$A$1:$BD$195,
    MATCH($C124,'在庫使用計画 (全体実績+予測）0701'!$C$1:$C$195,0),
    MATCH(AR$1,'在庫使用計画 (全体実績+予測）0701'!$A$1:$BD$1,0)
),
  IFERROR(
    IF(_xlpm._全体実績予測=0,"",_xlpm._全体実績予測),
  "")
)</f>
        <v>135.86819186505116</v>
      </c>
      <c r="AS124" s="1292">
        <f>_xlfn.LET(_xlpm._全体実績予測,
  INDEX('在庫使用計画 (全体実績+予測）0701'!$A$1:$BD$195,
    MATCH($C124,'在庫使用計画 (全体実績+予測）0701'!$C$1:$C$195,0),
    MATCH(AS$1,'在庫使用計画 (全体実績+予測）0701'!$A$1:$BD$1,0)
),
  IFERROR(
    IF(_xlpm._全体実績予測=0,"",_xlpm._全体実績予測),
  "")
)</f>
        <v>140.61675844868284</v>
      </c>
      <c r="AT124" s="897">
        <f>_xlfn.LET(_xlpm._全体実績予測,
  INDEX('在庫使用計画 (全体実績+予測）0701'!$A$1:$BD$195,
    MATCH($C124,'在庫使用計画 (全体実績+予測）0701'!$C$1:$C$195,0),
    MATCH(AT$1,'在庫使用計画 (全体実績+予測）0701'!$A$1:$BD$1,0)
),
  IFERROR(
    IF(_xlpm._全体実績予測=0,"",_xlpm._全体実績予測),
  "")
)</f>
        <v>207.2590019079569</v>
      </c>
      <c r="AU124" s="896">
        <f>_xlfn.LET(_xlpm._全体実績予測,
  INDEX('在庫使用計画 (全体実績+予測）0701'!$A$1:$BD$195,
    MATCH($C124,'在庫使用計画 (全体実績+予測）0701'!$C$1:$C$195,0),
    MATCH(AU$1,'在庫使用計画 (全体実績+予測）0701'!$A$1:$BD$1,0)
),
  IFERROR(
    IF(_xlpm._全体実績予測=0,"",_xlpm._全体実績予測),
  "")
)</f>
        <v>178.85799164126934</v>
      </c>
      <c r="AV124" s="451">
        <f>_xlfn.LET(_xlpm._全体実績予測,
  INDEX('在庫使用計画 (全体実績+予測）0701'!$A$1:$BD$195,
    MATCH($C124,'在庫使用計画 (全体実績+予測）0701'!$C$1:$C$195,0),
    MATCH(AV$1,'在庫使用計画 (全体実績+予測）0701'!$A$1:$BD$1,0)
),
  IFERROR(
    IF(_xlpm._全体実績予測=0,"",_xlpm._全体実績予測),
  "")
)</f>
        <v>168.62956245464008</v>
      </c>
      <c r="AW124" s="451">
        <f>_xlfn.LET(_xlpm._全体実績予測,
  INDEX('在庫使用計画 (全体実績+予測）0701'!$A$1:$BD$195,
    MATCH($C124,'在庫使用計画 (全体実績+予測）0701'!$C$1:$C$195,0),
    MATCH(AW$1,'在庫使用計画 (全体実績+予測）0701'!$A$1:$BD$1,0)
),
  IFERROR(
    IF(_xlpm._全体実績予測=0,"",_xlpm._全体実績予測),
  "")
)</f>
        <v>249.20486699634461</v>
      </c>
      <c r="AX124" s="451">
        <f>_xlfn.LET(_xlpm._全体実績予測,
  INDEX('在庫使用計画 (全体実績+予測）0701'!$A$1:$BD$195,
    MATCH($C124,'在庫使用計画 (全体実績+予測）0701'!$C$1:$C$195,0),
    MATCH(AX$1,'在庫使用計画 (全体実績+予測）0701'!$A$1:$BD$1,0)
),
  IFERROR(
    IF(_xlpm._全体実績予測=0,"",_xlpm._全体実績予測),
  "")
)</f>
        <v>153.01978505933002</v>
      </c>
      <c r="AY124" s="451">
        <f>_xlfn.LET(_xlpm._全体実績予測,
  INDEX('在庫使用計画 (全体実績+予測）0701'!$A$1:$BD$195,
    MATCH($C124,'在庫使用計画 (全体実績+予測）0701'!$C$1:$C$195,0),
    MATCH(AY$1,'在庫使用計画 (全体実績+予測）0701'!$A$1:$BD$1,0)
),
  IFERROR(
    IF(_xlpm._全体実績予測=0,"",_xlpm._全体実績予測),
  "")
)</f>
        <v>110.97458515943855</v>
      </c>
      <c r="AZ124" s="451">
        <f>_xlfn.LET(_xlpm._全体実績予測,
  INDEX('在庫使用計画 (全体実績+予測）0701'!$A$1:$BD$195,
    MATCH($C124,'在庫使用計画 (全体実績+予測）0701'!$C$1:$C$195,0),
    MATCH(AZ$1,'在庫使用計画 (全体実績+予測）0701'!$A$1:$BD$1,0)
),
  IFERROR(
    IF(_xlpm._全体実績予測=0,"",_xlpm._全体実績予測),
  "")
)</f>
        <v>115.71428571428572</v>
      </c>
      <c r="BA124" s="451">
        <f>_xlfn.LET(_xlpm._全体実績予測,
  INDEX('在庫使用計画 (全体実績+予測）0701'!$A$1:$BD$195,
    MATCH($C124,'在庫使用計画 (全体実績+予測）0701'!$C$1:$C$195,0),
    MATCH(BA$1,'在庫使用計画 (全体実績+予測）0701'!$A$1:$BD$1,0)
),
  IFERROR(
    IF(_xlpm._全体実績予測=0,"",_xlpm._全体実績予測),
  "")
)</f>
        <v>126.98594488407821</v>
      </c>
      <c r="BB124" s="451">
        <f>_xlfn.LET(_xlpm._全体実績予測,
  INDEX('在庫使用計画 (全体実績+予測）0701'!$A$1:$BD$195,
    MATCH($C124,'在庫使用計画 (全体実績+予測）0701'!$C$1:$C$195,0),
    MATCH(BB$1,'在庫使用計画 (全体実績+予測）0701'!$A$1:$BD$1,0)
),
  IFERROR(
    IF(_xlpm._全体実績予測=0,"",_xlpm._全体実績予測),
  "")
)</f>
        <v>116.79647940136383</v>
      </c>
      <c r="BC124" s="451">
        <f>_xlfn.LET(_xlpm._全体実績予測,
  INDEX('在庫使用計画 (全体実績+予測）0701'!$A$1:$BD$195,
    MATCH($C124,'在庫使用計画 (全体実績+予測）0701'!$C$1:$C$195,0),
    MATCH(BC$1,'在庫使用計画 (全体実績+予測）0701'!$A$1:$BD$1,0)
),
  IFERROR(
    IF(_xlpm._全体実績予測=0,"",_xlpm._全体実績予測),
  "")
)</f>
        <v>126.16691831356334</v>
      </c>
      <c r="BD124" s="451">
        <f>_xlfn.LET(_xlpm._全体実績予測,
  INDEX('在庫使用計画 (全体実績+予測）0701'!$A$1:$BD$195,
    MATCH($C124,'在庫使用計画 (全体実績+予測）0701'!$C$1:$C$195,0),
    MATCH(BD$1,'在庫使用計画 (全体実績+予測）0701'!$A$1:$BD$1,0)
),
  IFERROR(
    IF(_xlpm._全体実績予測=0,"",_xlpm._全体実績予測),
  "")
)</f>
        <v>135.86819186505116</v>
      </c>
      <c r="BE124" s="451">
        <f>_xlfn.LET(_xlpm._全体実績予測,
  INDEX('在庫使用計画 (全体実績+予測）0701'!$A$1:$BD$195,
    MATCH($C124,'在庫使用計画 (全体実績+予測）0701'!$C$1:$C$195,0),
    MATCH(BE$1,'在庫使用計画 (全体実績+予測）0701'!$A$1:$BD$1,0)
),
  IFERROR(
    IF(_xlpm._全体実績予測=0,"",_xlpm._全体実績予測),
  "")
)</f>
        <v>140.61675844868284</v>
      </c>
      <c r="BF124" s="897">
        <f>_xlfn.LET(_xlpm._全体実績予測,
  INDEX('在庫使用計画 (全体実績+予測）0701'!$A$1:$BD$195,
    MATCH($C124,'在庫使用計画 (全体実績+予測）0701'!$C$1:$C$195,0),
    MATCH(BF$1,'在庫使用計画 (全体実績+予測）0701'!$A$1:$BD$1,0)
),
  IFERROR(
    IF(_xlpm._全体実績予測=0,"",_xlpm._全体実績予測),
  "")
)</f>
        <v>207.2590019079569</v>
      </c>
    </row>
    <row r="125" spans="1:60" ht="18.75" customHeight="1">
      <c r="A125" s="71" t="s">
        <v>1419</v>
      </c>
      <c r="B125" s="111" t="str">
        <v>CLE-V75-125U-UMA-L6-TPM-DDR5</v>
      </c>
      <c r="C125" s="1264" t="s">
        <v>1659</v>
      </c>
      <c r="D125" s="53" t="s">
        <v>1422</v>
      </c>
      <c r="E125" s="26" t="s">
        <v>1423</v>
      </c>
      <c r="F125" s="24" t="s">
        <v>1372</v>
      </c>
      <c r="G125" s="38">
        <v>0</v>
      </c>
      <c r="H125" s="38">
        <f ca="1">_xlfn.LET(_xlpm._今月から4ヶ月計画合計,
  SUM(
    OFFSET($A125,0,
      MATCH(
        EDATE(基準データ!$C$5,3),$A$1:$BE$1,1
      )-4,1,4)),
  IF($C125="","",_xlpm._今月から4ヶ月計画合計
)
)</f>
        <v>1108</v>
      </c>
      <c r="I125" s="38">
        <f>SUMIFS(マスタ_EOLリスト[在庫],マスタ_EOLリスト[製品型番],'在庫使用計画 (計画　予測)'!$C:$C)</f>
        <v>0</v>
      </c>
      <c r="J125" s="1116" t="str" cm="1">
        <f t="array" ref="J125">_xlfn.IFS($C125="","",
  $G125="","発売前？",
  $G125=0,"在庫なし",
  TRUE,
  IFERROR(
    _xlfn.LET(
      _xlpm._在庫注残,     $G125,
      _xlpm._しきい値,     _xlpm._在庫注残 * 0.75,
      _xlpm._見出し元,     $K$1:$BT$1,
      _xlpm._計画,         $K125:$BT125,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在庫なし</v>
      </c>
      <c r="K125" s="311"/>
      <c r="L125" s="311"/>
      <c r="M125" s="311"/>
      <c r="N125" s="311"/>
      <c r="O125" s="311"/>
      <c r="P125" s="311"/>
      <c r="Q125" s="313"/>
      <c r="R125" s="1375"/>
      <c r="S125" s="298" t="s">
        <v>21</v>
      </c>
      <c r="T125" s="298" t="s">
        <v>21</v>
      </c>
      <c r="U125" s="298" t="s">
        <v>21</v>
      </c>
      <c r="V125" s="298" t="s">
        <v>21</v>
      </c>
      <c r="W125" s="299" t="s">
        <v>21</v>
      </c>
      <c r="X125" s="419" t="s">
        <v>21</v>
      </c>
      <c r="Y125" s="419" t="s">
        <v>21</v>
      </c>
      <c r="Z125" s="335" t="s">
        <v>21</v>
      </c>
      <c r="AA125" s="335" t="s">
        <v>21</v>
      </c>
      <c r="AB125" s="335" t="s">
        <v>21</v>
      </c>
      <c r="AC125" s="1370" t="s">
        <v>21</v>
      </c>
      <c r="AD125" s="1339" t="s">
        <v>21</v>
      </c>
      <c r="AE125" s="335" t="s">
        <v>21</v>
      </c>
      <c r="AF125" s="335" t="s">
        <v>21</v>
      </c>
      <c r="AG125" s="335" t="s">
        <v>21</v>
      </c>
      <c r="AH125" s="823">
        <v>0</v>
      </c>
      <c r="AI125" s="845" t="s">
        <v>21</v>
      </c>
      <c r="AJ125" s="224" t="s">
        <v>21</v>
      </c>
      <c r="AK125" s="224" t="s">
        <v>21</v>
      </c>
      <c r="AL125" s="224" t="s">
        <v>21</v>
      </c>
      <c r="AM125" s="224" t="str">
        <f>_xlfn.XLOOKUP(
$C125,
'在庫使用計画 (ノート全体試算)'!$C$1:$C$170,
'在庫使用計画 (ノート全体試算)'!AN$1:AN$170,
"")</f>
        <v/>
      </c>
      <c r="AN125" s="237" t="str">
        <f>_xlfn.XLOOKUP(
$C125,
'在庫使用計画 (ノート全体試算)'!$C$1:$C$170,
'在庫使用計画 (ノート全体試算)'!AO$1:AO$170,
"")</f>
        <v/>
      </c>
      <c r="AO125" s="237" t="str">
        <f>_xlfn.XLOOKUP(
$C125,
'在庫使用計画 (ノート全体試算)'!$C$1:$C$170,
'在庫使用計画 (ノート全体試算)'!AP$1:AP$170,
"")</f>
        <v/>
      </c>
      <c r="AP125" s="224" t="str">
        <f>_xlfn.XLOOKUP(
$C125,
'在庫使用計画 (ノート全体試算)'!$C$1:$C$170,
'在庫使用計画 (ノート全体試算)'!AQ$1:AQ$170,
"")</f>
        <v/>
      </c>
      <c r="AQ125" s="1050">
        <f>_xlfn.XLOOKUP(
$C125,
'在庫使用計画 (ノート全体試算)'!$C$1:$C$170,
'在庫使用計画 (ノート全体試算)'!AR$1:AR$170,
"")</f>
        <v>75</v>
      </c>
      <c r="AR125" s="2130">
        <f>_xlfn.XLOOKUP(
$C125,
'在庫使用計画 (ノート全体試算)'!$C$1:$C$170,
'在庫使用計画 (ノート全体試算)'!AS$1:AS$170,
"")</f>
        <v>1033</v>
      </c>
      <c r="AS125" s="244">
        <f>_xlfn.XLOOKUP(
$C125,
'在庫使用計画 (ノート全体試算)'!$C$1:$C$170,
'在庫使用計画 (ノート全体試算)'!AT$1:AT$170,
"")</f>
        <v>616</v>
      </c>
      <c r="AT125" s="805">
        <f>_xlfn.XLOOKUP(
$C125,
'在庫使用計画 (ノート全体試算)'!$C$1:$C$170,
'在庫使用計画 (ノート全体試算)'!AU$1:AU$170,
"")</f>
        <v>941</v>
      </c>
      <c r="AU125" s="845">
        <f>_xlfn.XLOOKUP(
$C125,
'在庫使用計画 (ノート全体試算)'!$C$1:$C$170,
'在庫使用計画 (ノート全体試算)'!AV$1:AV$170,
"")</f>
        <v>683</v>
      </c>
      <c r="AV125" s="224">
        <f>_xlfn.XLOOKUP(
$C125,
'在庫使用計画 (ノート全体試算)'!$C$1:$C$170,
'在庫使用計画 (ノート全体試算)'!AW$1:AW$170,
"")</f>
        <v>810</v>
      </c>
      <c r="AW125" s="224">
        <f>_xlfn.XLOOKUP(
$C125,
'在庫使用計画 (ノート全体試算)'!$C$1:$C$170,
'在庫使用計画 (ノート全体試算)'!AX$1:AX$170,
"")</f>
        <v>800</v>
      </c>
      <c r="AX125" s="224">
        <f>_xlfn.XLOOKUP(
$C125,
'在庫使用計画 (ノート全体試算)'!$C$1:$C$170,
'在庫使用計画 (ノート全体試算)'!AY$1:AY$170,
"")</f>
        <v>827</v>
      </c>
      <c r="AY125" s="224">
        <f>_xlfn.XLOOKUP(
$C125,
'在庫使用計画 (ノート全体試算)'!$C$1:$C$170,
'在庫使用計画 (ノート全体試算)'!AZ$1:AZ$170,
"")</f>
        <v>940</v>
      </c>
      <c r="AZ125" s="224">
        <f>_xlfn.XLOOKUP(
$C125,
'在庫使用計画 (ノート全体試算)'!$C$1:$C$170,
'在庫使用計画 (ノート全体試算)'!BA$1:BA$170,
"")</f>
        <v>637</v>
      </c>
      <c r="BA125" s="224">
        <f>_xlfn.XLOOKUP(
$C125,
'在庫使用計画 (ノート全体試算)'!$C$1:$C$170,
'在庫使用計画 (ノート全体試算)'!BB$1:BB$170,
"")</f>
        <v>696</v>
      </c>
      <c r="BB125" s="224">
        <f>_xlfn.XLOOKUP(
$C125,
'在庫使用計画 (ノート全体試算)'!$C$1:$C$170,
'在庫使用計画 (ノート全体試算)'!BC$1:BC$170,
"")</f>
        <v>549</v>
      </c>
      <c r="BC125" s="224" t="str">
        <f>_xlfn.XLOOKUP(
$C125,
'在庫使用計画 (ノート全体試算)'!$C$1:$C$170,
'在庫使用計画 (ノート全体試算)'!BD$1:BD$170,
"")</f>
        <v/>
      </c>
      <c r="BD125" s="224" t="str">
        <f>_xlfn.XLOOKUP(
$C125,
'在庫使用計画 (ノート全体試算)'!$C$1:$C$170,
'在庫使用計画 (ノート全体試算)'!BE$1:BE$170,
"")</f>
        <v/>
      </c>
      <c r="BE125" s="224" t="str">
        <f>_xlfn.XLOOKUP(
$C125,
'在庫使用計画 (ノート全体試算)'!$C$1:$C$170,
'在庫使用計画 (ノート全体試算)'!BF$1:BF$170,
"")</f>
        <v/>
      </c>
      <c r="BF125" s="805" t="str">
        <f>_xlfn.XLOOKUP(
$C125,
'在庫使用計画 (ノート全体試算)'!$C$1:$C$170,
'在庫使用計画 (ノート全体試算)'!BG$1:BG$170,
"")</f>
        <v/>
      </c>
    </row>
    <row r="126" spans="1:60" ht="18.75" customHeight="1" thickBot="1">
      <c r="A126" s="445"/>
      <c r="B126" s="1261" t="str">
        <v>CLE-V75-125U-UMA-L6-TPM-DDR5</v>
      </c>
      <c r="C126" s="1284" t="s">
        <v>1659</v>
      </c>
      <c r="D126" s="1262" t="s">
        <v>1763</v>
      </c>
      <c r="E126" s="446"/>
      <c r="F126" s="447"/>
      <c r="G126" s="448">
        <v>0</v>
      </c>
      <c r="H126" s="448">
        <f ca="1">_xlfn.LET(_xlpm._今月から4ヶ月計画合計,
  SUM(
    OFFSET($A126,0,
      MATCH(
        EDATE(基準データ!$C$5,3),$A$1:$BE$1,1
      )-4,1,4)),
  IF($C126="","",_xlpm._今月から4ヶ月計画合計
)
)</f>
        <v>0</v>
      </c>
      <c r="I126" s="448">
        <f t="shared" si="19"/>
        <v>0</v>
      </c>
      <c r="J126" s="1116" t="str" cm="1">
        <f t="array" ref="J126">_xlfn.IFS($C126="","",
  $G126="","発売前？",
  $G126=0,"在庫なし",
  TRUE,
  IFERROR(
    _xlfn.LET(
      _xlpm._在庫注残,     $G126,
      _xlpm._しきい値,     _xlpm._在庫注残 * 0.75,
      _xlpm._見出し元,     $K$1:$BT$1,
      _xlpm._計画,         $K126:$BT126,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在庫なし</v>
      </c>
      <c r="K126" s="448"/>
      <c r="L126" s="448"/>
      <c r="M126" s="448"/>
      <c r="N126" s="448"/>
      <c r="O126" s="448"/>
      <c r="P126" s="448"/>
      <c r="Q126" s="540"/>
      <c r="R126" s="900"/>
      <c r="S126" s="449"/>
      <c r="T126" s="449"/>
      <c r="U126" s="449"/>
      <c r="V126" s="450"/>
      <c r="W126" s="455" t="s">
        <v>21</v>
      </c>
      <c r="X126" s="455" t="s">
        <v>21</v>
      </c>
      <c r="Y126" s="455" t="s">
        <v>21</v>
      </c>
      <c r="Z126" s="453" t="s">
        <v>21</v>
      </c>
      <c r="AA126" s="453" t="s">
        <v>21</v>
      </c>
      <c r="AB126" s="449" t="s">
        <v>21</v>
      </c>
      <c r="AC126" s="899" t="s">
        <v>21</v>
      </c>
      <c r="AD126" s="1290" t="s">
        <v>21</v>
      </c>
      <c r="AE126" s="453" t="s">
        <v>21</v>
      </c>
      <c r="AF126" s="453" t="s">
        <v>21</v>
      </c>
      <c r="AG126" s="451" t="s">
        <v>21</v>
      </c>
      <c r="AH126" s="889" t="s">
        <v>21</v>
      </c>
      <c r="AI126" s="896" t="s">
        <v>21</v>
      </c>
      <c r="AJ126" s="451" t="s">
        <v>21</v>
      </c>
      <c r="AK126" s="451" t="s">
        <v>21</v>
      </c>
      <c r="AL126" s="451" t="s">
        <v>21</v>
      </c>
      <c r="AM126" s="451" t="str">
        <f>_xlfn.LET(_xlpm._全体実績予測,
  INDEX('在庫使用計画 (全体実績+予測）0701'!$A$1:$BD$195,
    MATCH($C126,'在庫使用計画 (全体実績+予測）0701'!$C$1:$C$195,0),
    MATCH(AM$1,'在庫使用計画 (全体実績+予測）0701'!$A$1:$BD$1,0)
),
  IFERROR(
    IF(_xlpm._全体実績予測=0,"",_xlpm._全体実績予測),
  "")
)</f>
        <v/>
      </c>
      <c r="AN126" s="889" t="str">
        <f>_xlfn.LET(_xlpm._全体実績予測,
  INDEX('在庫使用計画 (全体実績+予測）0701'!$A$1:$BD$195,
    MATCH($C126,'在庫使用計画 (全体実績+予測）0701'!$C$1:$C$195,0),
    MATCH(AN$1,'在庫使用計画 (全体実績+予測）0701'!$A$1:$BD$1,0)
),
  IFERROR(
    IF(_xlpm._全体実績予測=0,"",_xlpm._全体実績予測),
  "")
)</f>
        <v/>
      </c>
      <c r="AO126" s="889" t="str">
        <f>_xlfn.LET(_xlpm._全体実績予測,
  INDEX('在庫使用計画 (全体実績+予測）0701'!$A$1:$BD$195,
    MATCH($C126,'在庫使用計画 (全体実績+予測）0701'!$C$1:$C$195,0),
    MATCH(AO$1,'在庫使用計画 (全体実績+予測）0701'!$A$1:$BD$1,0)
),
  IFERROR(
    IF(_xlpm._全体実績予測=0,"",_xlpm._全体実績予測),
  "")
)</f>
        <v/>
      </c>
      <c r="AP126" s="451" t="str">
        <f>_xlfn.LET(_xlpm._全体実績予測,
  INDEX('在庫使用計画 (全体実績+予測）0701'!$A$1:$BD$195,
    MATCH($C126,'在庫使用計画 (全体実績+予測）0701'!$C$1:$C$195,0),
    MATCH(AP$1,'在庫使用計画 (全体実績+予測）0701'!$A$1:$BD$1,0)
),
  IFERROR(
    IF(_xlpm._全体実績予測=0,"",_xlpm._全体実績予測),
  "")
)</f>
        <v/>
      </c>
      <c r="AQ126" s="2121" t="str">
        <f>_xlfn.LET(_xlpm._全体実績予測,
  INDEX('在庫使用計画 (全体実績+予測）0701'!$A$1:$BD$195,
    MATCH($C126,'在庫使用計画 (全体実績+予測）0701'!$C$1:$C$195,0),
    MATCH(AQ$1,'在庫使用計画 (全体実績+予測）0701'!$A$1:$BD$1,0)
),
  IFERROR(
    IF(_xlpm._全体実績予測=0,"",_xlpm._全体実績予測),
  "")
)</f>
        <v/>
      </c>
      <c r="AR126" s="2137" t="str">
        <f>_xlfn.LET(_xlpm._全体実績予測,
  INDEX('在庫使用計画 (全体実績+予測）0701'!$A$1:$BD$195,
    MATCH($C126,'在庫使用計画 (全体実績+予測）0701'!$C$1:$C$195,0),
    MATCH(AR$1,'在庫使用計画 (全体実績+予測）0701'!$A$1:$BD$1,0)
),
  IFERROR(
    IF(_xlpm._全体実績予測=0,"",_xlpm._全体実績予測),
  "")
)</f>
        <v/>
      </c>
      <c r="AS126" s="1292" t="str">
        <f>_xlfn.LET(_xlpm._全体実績予測,
  INDEX('在庫使用計画 (全体実績+予測）0701'!$A$1:$BD$195,
    MATCH($C126,'在庫使用計画 (全体実績+予測）0701'!$C$1:$C$195,0),
    MATCH(AS$1,'在庫使用計画 (全体実績+予測）0701'!$A$1:$BD$1,0)
),
  IFERROR(
    IF(_xlpm._全体実績予測=0,"",_xlpm._全体実績予測),
  "")
)</f>
        <v/>
      </c>
      <c r="AT126" s="897" t="str">
        <f>_xlfn.LET(_xlpm._全体実績予測,
  INDEX('在庫使用計画 (全体実績+予測）0701'!$A$1:$BD$195,
    MATCH($C126,'在庫使用計画 (全体実績+予測）0701'!$C$1:$C$195,0),
    MATCH(AT$1,'在庫使用計画 (全体実績+予測）0701'!$A$1:$BD$1,0)
),
  IFERROR(
    IF(_xlpm._全体実績予測=0,"",_xlpm._全体実績予測),
  "")
)</f>
        <v/>
      </c>
      <c r="AU126" s="896" t="str">
        <f>_xlfn.LET(_xlpm._全体実績予測,
  INDEX('在庫使用計画 (全体実績+予測）0701'!$A$1:$BD$195,
    MATCH($C126,'在庫使用計画 (全体実績+予測）0701'!$C$1:$C$195,0),
    MATCH(AU$1,'在庫使用計画 (全体実績+予測）0701'!$A$1:$BD$1,0)
),
  IFERROR(
    IF(_xlpm._全体実績予測=0,"",_xlpm._全体実績予測),
  "")
)</f>
        <v/>
      </c>
      <c r="AV126" s="451" t="str">
        <f>_xlfn.LET(_xlpm._全体実績予測,
  INDEX('在庫使用計画 (全体実績+予測）0701'!$A$1:$BD$195,
    MATCH($C126,'在庫使用計画 (全体実績+予測）0701'!$C$1:$C$195,0),
    MATCH(AV$1,'在庫使用計画 (全体実績+予測）0701'!$A$1:$BD$1,0)
),
  IFERROR(
    IF(_xlpm._全体実績予測=0,"",_xlpm._全体実績予測),
  "")
)</f>
        <v/>
      </c>
      <c r="AW126" s="451" t="str">
        <f>_xlfn.LET(_xlpm._全体実績予測,
  INDEX('在庫使用計画 (全体実績+予測）0701'!$A$1:$BD$195,
    MATCH($C126,'在庫使用計画 (全体実績+予測）0701'!$C$1:$C$195,0),
    MATCH(AW$1,'在庫使用計画 (全体実績+予測）0701'!$A$1:$BD$1,0)
),
  IFERROR(
    IF(_xlpm._全体実績予測=0,"",_xlpm._全体実績予測),
  "")
)</f>
        <v/>
      </c>
      <c r="AX126" s="451" t="str">
        <f>_xlfn.LET(_xlpm._全体実績予測,
  INDEX('在庫使用計画 (全体実績+予測）0701'!$A$1:$BD$195,
    MATCH($C126,'在庫使用計画 (全体実績+予測）0701'!$C$1:$C$195,0),
    MATCH(AX$1,'在庫使用計画 (全体実績+予測）0701'!$A$1:$BD$1,0)
),
  IFERROR(
    IF(_xlpm._全体実績予測=0,"",_xlpm._全体実績予測),
  "")
)</f>
        <v/>
      </c>
      <c r="AY126" s="451" t="str">
        <f>_xlfn.LET(_xlpm._全体実績予測,
  INDEX('在庫使用計画 (全体実績+予測）0701'!$A$1:$BD$195,
    MATCH($C126,'在庫使用計画 (全体実績+予測）0701'!$C$1:$C$195,0),
    MATCH(AY$1,'在庫使用計画 (全体実績+予測）0701'!$A$1:$BD$1,0)
),
  IFERROR(
    IF(_xlpm._全体実績予測=0,"",_xlpm._全体実績予測),
  "")
)</f>
        <v/>
      </c>
      <c r="AZ126" s="451" t="str">
        <f>_xlfn.LET(_xlpm._全体実績予測,
  INDEX('在庫使用計画 (全体実績+予測）0701'!$A$1:$BD$195,
    MATCH($C126,'在庫使用計画 (全体実績+予測）0701'!$C$1:$C$195,0),
    MATCH(AZ$1,'在庫使用計画 (全体実績+予測）0701'!$A$1:$BD$1,0)
),
  IFERROR(
    IF(_xlpm._全体実績予測=0,"",_xlpm._全体実績予測),
  "")
)</f>
        <v/>
      </c>
      <c r="BA126" s="451" t="str">
        <f>_xlfn.LET(_xlpm._全体実績予測,
  INDEX('在庫使用計画 (全体実績+予測）0701'!$A$1:$BD$195,
    MATCH($C126,'在庫使用計画 (全体実績+予測）0701'!$C$1:$C$195,0),
    MATCH(BA$1,'在庫使用計画 (全体実績+予測）0701'!$A$1:$BD$1,0)
),
  IFERROR(
    IF(_xlpm._全体実績予測=0,"",_xlpm._全体実績予測),
  "")
)</f>
        <v/>
      </c>
      <c r="BB126" s="451" t="str">
        <f>_xlfn.LET(_xlpm._全体実績予測,
  INDEX('在庫使用計画 (全体実績+予測）0701'!$A$1:$BD$195,
    MATCH($C126,'在庫使用計画 (全体実績+予測）0701'!$C$1:$C$195,0),
    MATCH(BB$1,'在庫使用計画 (全体実績+予測）0701'!$A$1:$BD$1,0)
),
  IFERROR(
    IF(_xlpm._全体実績予測=0,"",_xlpm._全体実績予測),
  "")
)</f>
        <v/>
      </c>
      <c r="BC126" s="451" t="str">
        <f>_xlfn.LET(_xlpm._全体実績予測,
  INDEX('在庫使用計画 (全体実績+予測）0701'!$A$1:$BD$195,
    MATCH($C126,'在庫使用計画 (全体実績+予測）0701'!$C$1:$C$195,0),
    MATCH(BC$1,'在庫使用計画 (全体実績+予測）0701'!$A$1:$BD$1,0)
),
  IFERROR(
    IF(_xlpm._全体実績予測=0,"",_xlpm._全体実績予測),
  "")
)</f>
        <v/>
      </c>
      <c r="BD126" s="451" t="str">
        <f>_xlfn.LET(_xlpm._全体実績予測,
  INDEX('在庫使用計画 (全体実績+予測）0701'!$A$1:$BD$195,
    MATCH($C126,'在庫使用計画 (全体実績+予測）0701'!$C$1:$C$195,0),
    MATCH(BD$1,'在庫使用計画 (全体実績+予測）0701'!$A$1:$BD$1,0)
),
  IFERROR(
    IF(_xlpm._全体実績予測=0,"",_xlpm._全体実績予測),
  "")
)</f>
        <v/>
      </c>
      <c r="BE126" s="451" t="str">
        <f>_xlfn.LET(_xlpm._全体実績予測,
  INDEX('在庫使用計画 (全体実績+予測）0701'!$A$1:$BD$195,
    MATCH($C126,'在庫使用計画 (全体実績+予測）0701'!$C$1:$C$195,0),
    MATCH(BE$1,'在庫使用計画 (全体実績+予測）0701'!$A$1:$BD$1,0)
),
  IFERROR(
    IF(_xlpm._全体実績予測=0,"",_xlpm._全体実績予測),
  "")
)</f>
        <v/>
      </c>
      <c r="BF126" s="897" t="str">
        <f>_xlfn.LET(_xlpm._全体実績予測,
  INDEX('在庫使用計画 (全体実績+予測）0701'!$A$1:$BD$195,
    MATCH($C126,'在庫使用計画 (全体実績+予測）0701'!$C$1:$C$195,0),
    MATCH(BF$1,'在庫使用計画 (全体実績+予測）0701'!$A$1:$BD$1,0)
),
  IFERROR(
    IF(_xlpm._全体実績予測=0,"",_xlpm._全体実績予測),
  "")
)</f>
        <v/>
      </c>
    </row>
    <row r="127" spans="1:60" ht="18.75" customHeight="1">
      <c r="A127" s="71" t="s">
        <v>1419</v>
      </c>
      <c r="B127" s="26" t="str">
        <v>WZN-1051-1315U-UMA-L6 Thirdwave</v>
      </c>
      <c r="C127" s="531" t="s">
        <v>668</v>
      </c>
      <c r="D127" s="24" t="s">
        <v>1438</v>
      </c>
      <c r="E127" s="24" t="s">
        <v>1423</v>
      </c>
      <c r="F127" s="24" t="s">
        <v>1372</v>
      </c>
      <c r="G127" s="38">
        <v>45</v>
      </c>
      <c r="H127" s="38">
        <f ca="1">_xlfn.LET(_xlpm._今月から4ヶ月計画合計,
  SUM(
    OFFSET($A127,0,
      MATCH(
        EDATE(基準データ!$C$5,3),$A$1:$BE$1,1
      )-4,1,4)),
  IF($C127="","",_xlpm._今月から4ヶ月計画合計
)
)</f>
        <v>20</v>
      </c>
      <c r="I127" s="38">
        <f>SUMIFS(マスタ_EOLリスト[在庫],マスタ_EOLリスト[製品型番],'在庫使用計画 (計画　予測)'!$C:$C)</f>
        <v>45</v>
      </c>
      <c r="J127" s="1116" t="str" cm="1">
        <f t="array" ref="J127">_xlfn.IFS($C127="","",
  $G127="","発売前？",
  $G127=0,"在庫なし",
  TRUE,
  IFERROR(
    _xlfn.LET(
      _xlpm._在庫注残,     $G127,
      _xlpm._しきい値,     _xlpm._在庫注残 * 0.75,
      _xlpm._見出し元,     $K$1:$BT$1,
      _xlpm._計画,         $K127:$BT127,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合計19、在庫+注残45のため不足</v>
      </c>
      <c r="K127" s="38">
        <v>5</v>
      </c>
      <c r="L127" s="38">
        <v>55</v>
      </c>
      <c r="M127" s="38">
        <v>158</v>
      </c>
      <c r="N127" s="38">
        <v>75</v>
      </c>
      <c r="O127" s="38">
        <v>75</v>
      </c>
      <c r="P127" s="38">
        <v>75</v>
      </c>
      <c r="Q127" s="116">
        <v>108</v>
      </c>
      <c r="R127" s="1350">
        <v>80</v>
      </c>
      <c r="S127" s="219">
        <v>80</v>
      </c>
      <c r="T127" s="219" t="s">
        <v>21</v>
      </c>
      <c r="U127" s="291" t="s">
        <v>21</v>
      </c>
      <c r="V127" s="219" t="s">
        <v>21</v>
      </c>
      <c r="W127" s="224">
        <v>90</v>
      </c>
      <c r="X127" s="335">
        <v>150</v>
      </c>
      <c r="Y127" s="335">
        <v>40</v>
      </c>
      <c r="Z127" s="335">
        <v>220</v>
      </c>
      <c r="AA127" s="335">
        <v>50</v>
      </c>
      <c r="AB127" s="335">
        <v>50</v>
      </c>
      <c r="AC127" s="1370">
        <v>150</v>
      </c>
      <c r="AD127" s="1339">
        <v>70</v>
      </c>
      <c r="AE127" s="335">
        <v>136</v>
      </c>
      <c r="AF127" s="435">
        <v>265</v>
      </c>
      <c r="AG127" s="335">
        <v>215</v>
      </c>
      <c r="AH127" s="823">
        <v>282</v>
      </c>
      <c r="AI127" s="845">
        <v>280</v>
      </c>
      <c r="AJ127" s="224">
        <v>73</v>
      </c>
      <c r="AK127" s="224">
        <v>152</v>
      </c>
      <c r="AL127" s="224">
        <v>91</v>
      </c>
      <c r="AM127" s="224">
        <f>_xlfn.XLOOKUP(
$C127,
'在庫使用計画 (ノート全体試算)'!$C$1:$C$170,
'在庫使用計画 (ノート全体試算)'!AN$1:AN$170,
"")</f>
        <v>225</v>
      </c>
      <c r="AN127" s="237">
        <f>_xlfn.XLOOKUP(
$C127,
'在庫使用計画 (ノート全体試算)'!$C$1:$C$170,
'在庫使用計画 (ノート全体試算)'!AO$1:AO$170,
"")</f>
        <v>45</v>
      </c>
      <c r="AO127" s="237">
        <f>_xlfn.XLOOKUP(
$C127,
'在庫使用計画 (ノート全体試算)'!$C$1:$C$170,
'在庫使用計画 (ノート全体試算)'!AP$1:AP$170,
"")</f>
        <v>20</v>
      </c>
      <c r="AP127" s="224" t="str">
        <f>_xlfn.XLOOKUP(
$C127,
'在庫使用計画 (ノート全体試算)'!$C$1:$C$170,
'在庫使用計画 (ノート全体試算)'!AQ$1:AQ$170,
"")</f>
        <v/>
      </c>
      <c r="AQ127" s="1050" t="str">
        <f>_xlfn.XLOOKUP(
$C127,
'在庫使用計画 (ノート全体試算)'!$C$1:$C$170,
'在庫使用計画 (ノート全体試算)'!AR$1:AR$170,
"")</f>
        <v/>
      </c>
      <c r="AR127" s="2130" t="str">
        <f>_xlfn.XLOOKUP(
$C127,
'在庫使用計画 (ノート全体試算)'!$C$1:$C$170,
'在庫使用計画 (ノート全体試算)'!AS$1:AS$170,
"")</f>
        <v/>
      </c>
      <c r="AS127" s="244" t="str">
        <f>_xlfn.XLOOKUP(
$C127,
'在庫使用計画 (ノート全体試算)'!$C$1:$C$170,
'在庫使用計画 (ノート全体試算)'!AT$1:AT$170,
"")</f>
        <v/>
      </c>
      <c r="AT127" s="805" t="str">
        <f>_xlfn.XLOOKUP(
$C127,
'在庫使用計画 (ノート全体試算)'!$C$1:$C$170,
'在庫使用計画 (ノート全体試算)'!AU$1:AU$170,
"")</f>
        <v/>
      </c>
      <c r="AU127" s="845" t="str">
        <f>_xlfn.XLOOKUP(
$C127,
'在庫使用計画 (ノート全体試算)'!$C$1:$C$170,
'在庫使用計画 (ノート全体試算)'!AV$1:AV$170,
"")</f>
        <v/>
      </c>
      <c r="AV127" s="224" t="str">
        <f>_xlfn.XLOOKUP(
$C127,
'在庫使用計画 (ノート全体試算)'!$C$1:$C$170,
'在庫使用計画 (ノート全体試算)'!AW$1:AW$170,
"")</f>
        <v/>
      </c>
      <c r="AW127" s="224" t="str">
        <f>_xlfn.XLOOKUP(
$C127,
'在庫使用計画 (ノート全体試算)'!$C$1:$C$170,
'在庫使用計画 (ノート全体試算)'!AX$1:AX$170,
"")</f>
        <v/>
      </c>
      <c r="AX127" s="224" t="str">
        <f>_xlfn.XLOOKUP(
$C127,
'在庫使用計画 (ノート全体試算)'!$C$1:$C$170,
'在庫使用計画 (ノート全体試算)'!AY$1:AY$170,
"")</f>
        <v/>
      </c>
      <c r="AY127" s="224" t="str">
        <f>_xlfn.XLOOKUP(
$C127,
'在庫使用計画 (ノート全体試算)'!$C$1:$C$170,
'在庫使用計画 (ノート全体試算)'!AZ$1:AZ$170,
"")</f>
        <v/>
      </c>
      <c r="AZ127" s="224" t="str">
        <f>_xlfn.XLOOKUP(
$C127,
'在庫使用計画 (ノート全体試算)'!$C$1:$C$170,
'在庫使用計画 (ノート全体試算)'!BA$1:BA$170,
"")</f>
        <v/>
      </c>
      <c r="BA127" s="224" t="str">
        <f>_xlfn.XLOOKUP(
$C127,
'在庫使用計画 (ノート全体試算)'!$C$1:$C$170,
'在庫使用計画 (ノート全体試算)'!BB$1:BB$170,
"")</f>
        <v/>
      </c>
      <c r="BB127" s="224" t="str">
        <f>_xlfn.XLOOKUP(
$C127,
'在庫使用計画 (ノート全体試算)'!$C$1:$C$170,
'在庫使用計画 (ノート全体試算)'!BC$1:BC$170,
"")</f>
        <v/>
      </c>
      <c r="BC127" s="224" t="str">
        <f>_xlfn.XLOOKUP(
$C127,
'在庫使用計画 (ノート全体試算)'!$C$1:$C$170,
'在庫使用計画 (ノート全体試算)'!BD$1:BD$170,
"")</f>
        <v/>
      </c>
      <c r="BD127" s="224" t="str">
        <f>_xlfn.XLOOKUP(
$C127,
'在庫使用計画 (ノート全体試算)'!$C$1:$C$170,
'在庫使用計画 (ノート全体試算)'!BE$1:BE$170,
"")</f>
        <v/>
      </c>
      <c r="BE127" s="224" t="str">
        <f>_xlfn.XLOOKUP(
$C127,
'在庫使用計画 (ノート全体試算)'!$C$1:$C$170,
'在庫使用計画 (ノート全体試算)'!BF$1:BF$170,
"")</f>
        <v/>
      </c>
      <c r="BF127" s="805" t="str">
        <f>_xlfn.XLOOKUP(
$C127,
'在庫使用計画 (ノート全体試算)'!$C$1:$C$170,
'在庫使用計画 (ノート全体試算)'!BG$1:BG$170,
"")</f>
        <v/>
      </c>
      <c r="BG127" s="2091" t="s">
        <v>2667</v>
      </c>
    </row>
    <row r="128" spans="1:60" ht="18.75" customHeight="1" thickBot="1">
      <c r="A128" s="445"/>
      <c r="B128" s="446" t="str">
        <v>WZN-1051-1315U-UMA-L6 Thirdwave</v>
      </c>
      <c r="C128" s="1281" t="s">
        <v>668</v>
      </c>
      <c r="D128" s="446" t="s">
        <v>1763</v>
      </c>
      <c r="E128" s="446"/>
      <c r="F128" s="447"/>
      <c r="G128" s="448">
        <v>45</v>
      </c>
      <c r="H128" s="448">
        <f ca="1">_xlfn.LET(_xlpm._今月から4ヶ月計画合計,
  SUM(
    OFFSET($A128,0,
      MATCH(
        EDATE(基準データ!$C$5,3),$A$1:$BE$1,1
      )-4,1,4)),
  IF($C128="","",_xlpm._今月から4ヶ月計画合計
)
)</f>
        <v>14.050487068446014</v>
      </c>
      <c r="I128" s="448">
        <f t="shared" si="19"/>
        <v>45</v>
      </c>
      <c r="J128" s="1116" cm="1">
        <f t="array" ref="J128">_xlfn.IFS($C128="","",
  $G128="","発売前？",
  $G128=0,"在庫なし",
  TRUE,
  IFERROR(
    _xlfn.LET(
      _xlpm._在庫注残,     $G128,
      _xlpm._しきい値,     _xlpm._在庫注残 * 0.75,
      _xlpm._見出し元,     $K$1:$BT$1,
      _xlpm._計画,         $K128:$BT128,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46447</v>
      </c>
      <c r="K128" s="448"/>
      <c r="L128" s="448"/>
      <c r="M128" s="448"/>
      <c r="N128" s="448"/>
      <c r="O128" s="448"/>
      <c r="P128" s="448"/>
      <c r="Q128" s="540"/>
      <c r="R128" s="900"/>
      <c r="S128" s="449"/>
      <c r="T128" s="449"/>
      <c r="U128" s="449"/>
      <c r="V128" s="450"/>
      <c r="W128" s="455">
        <v>31</v>
      </c>
      <c r="X128" s="455">
        <v>39</v>
      </c>
      <c r="Y128" s="455">
        <v>40</v>
      </c>
      <c r="Z128" s="453">
        <v>97</v>
      </c>
      <c r="AA128" s="453">
        <v>46</v>
      </c>
      <c r="AB128" s="449">
        <v>52</v>
      </c>
      <c r="AC128" s="899">
        <v>198</v>
      </c>
      <c r="AD128" s="1290">
        <v>174</v>
      </c>
      <c r="AE128" s="453">
        <v>6</v>
      </c>
      <c r="AF128" s="453" t="s">
        <v>21</v>
      </c>
      <c r="AG128" s="451" t="s">
        <v>21</v>
      </c>
      <c r="AH128" s="889">
        <v>34</v>
      </c>
      <c r="AI128" s="896">
        <v>68</v>
      </c>
      <c r="AJ128" s="451">
        <v>49</v>
      </c>
      <c r="AK128" s="451">
        <v>116</v>
      </c>
      <c r="AL128" s="451">
        <v>275</v>
      </c>
      <c r="AM128" s="451">
        <f>_xlfn.LET(_xlpm._全体実績予測,
  INDEX('在庫使用計画 (全体実績+予測）0701'!$A$1:$BD$195,
    MATCH($C128,'在庫使用計画 (全体実績+予測）0701'!$C$1:$C$195,0),
    MATCH(AM$1,'在庫使用計画 (全体実績+予測）0701'!$A$1:$BD$1,0)
),
  IFERROR(
    IF(_xlpm._全体実績予測=0,"",_xlpm._全体実績予測),
  "")
)</f>
        <v>365</v>
      </c>
      <c r="AN128" s="889">
        <f>_xlfn.LET(_xlpm._全体実績予測,
  INDEX('在庫使用計画 (全体実績+予測）0701'!$A$1:$BD$195,
    MATCH($C128,'在庫使用計画 (全体実績+予測）0701'!$C$1:$C$195,0),
    MATCH(AN$1,'在庫使用計画 (全体実績+予測）0701'!$A$1:$BD$1,0)
),
  IFERROR(
    IF(_xlpm._全体実績予測=0,"",_xlpm._全体実績予測),
  "")
)</f>
        <v>3.214285714285714</v>
      </c>
      <c r="AO128" s="889">
        <f>_xlfn.LET(_xlpm._全体実績予測,
  INDEX('在庫使用計画 (全体実績+予測）0701'!$A$1:$BD$195,
    MATCH($C128,'在庫使用計画 (全体実績+予測）0701'!$C$1:$C$195,0),
    MATCH(AO$1,'在庫使用計画 (全体実績+予測）0701'!$A$1:$BD$1,0)
),
  IFERROR(
    IF(_xlpm._全体実績予測=0,"",_xlpm._全体実績予測),
  "")
)</f>
        <v>3.5273873578910608</v>
      </c>
      <c r="AP128" s="451">
        <f>_xlfn.LET(_xlpm._全体実績予測,
  INDEX('在庫使用計画 (全体実績+予測）0701'!$A$1:$BD$195,
    MATCH($C128,'在庫使用計画 (全体実績+予測）0701'!$C$1:$C$195,0),
    MATCH(AP$1,'在庫使用計画 (全体実績+予測）0701'!$A$1:$BD$1,0)
),
  IFERROR(
    IF(_xlpm._全体実績予測=0,"",_xlpm._全体実績予測),
  "")
)</f>
        <v>3.2443466500378837</v>
      </c>
      <c r="AQ128" s="2121">
        <f>_xlfn.LET(_xlpm._全体実績予測,
  INDEX('在庫使用計画 (全体実績+予測）0701'!$A$1:$BD$195,
    MATCH($C128,'在庫使用計画 (全体実績+予測）0701'!$C$1:$C$195,0),
    MATCH(AQ$1,'在庫使用計画 (全体実績+予測）0701'!$A$1:$BD$1,0)
),
  IFERROR(
    IF(_xlpm._全体実績予測=0,"",_xlpm._全体実績予測),
  "")
)</f>
        <v>3.5046366198212038</v>
      </c>
      <c r="AR128" s="2137">
        <f>_xlfn.LET(_xlpm._全体実績予測,
  INDEX('在庫使用計画 (全体実績+予測）0701'!$A$1:$BD$195,
    MATCH($C128,'在庫使用計画 (全体実績+予測）0701'!$C$1:$C$195,0),
    MATCH(AR$1,'在庫使用計画 (全体実績+予測）0701'!$A$1:$BD$1,0)
),
  IFERROR(
    IF(_xlpm._全体実績予測=0,"",_xlpm._全体実績予測),
  "")
)</f>
        <v>3.7741164406958654</v>
      </c>
      <c r="AS128" s="1292">
        <f>_xlfn.LET(_xlpm._全体実績予測,
  INDEX('在庫使用計画 (全体実績+予測）0701'!$A$1:$BD$195,
    MATCH($C128,'在庫使用計画 (全体実績+予測）0701'!$C$1:$C$195,0),
    MATCH(AS$1,'在庫使用計画 (全体実績+予測）0701'!$A$1:$BD$1,0)
),
  IFERROR(
    IF(_xlpm._全体実績予測=0,"",_xlpm._全体実績予測),
  "")
)</f>
        <v>3.9060210680189678</v>
      </c>
      <c r="AT128" s="897">
        <f>_xlfn.LET(_xlpm._全体実績予測,
  INDEX('在庫使用計画 (全体実績+予測）0701'!$A$1:$BD$195,
    MATCH($C128,'在庫使用計画 (全体実績+予測）0701'!$C$1:$C$195,0),
    MATCH(AT$1,'在庫使用計画 (全体実績+予測）0701'!$A$1:$BD$1,0)
),
  IFERROR(
    IF(_xlpm._全体実績予測=0,"",_xlpm._全体実績予測),
  "")
)</f>
        <v>5.7571944974432467</v>
      </c>
      <c r="AU128" s="896">
        <f>_xlfn.LET(_xlpm._全体実績予測,
  INDEX('在庫使用計画 (全体実績+予測）0701'!$A$1:$BD$195,
    MATCH($C128,'在庫使用計画 (全体実績+予測）0701'!$C$1:$C$195,0),
    MATCH(AU$1,'在庫使用計画 (全体実績+予測）0701'!$A$1:$BD$1,0)
),
  IFERROR(
    IF(_xlpm._全体実績予測=0,"",_xlpm._全体実績予測),
  "")
)</f>
        <v>4.9682775455908148</v>
      </c>
      <c r="AV128" s="451">
        <f>_xlfn.LET(_xlpm._全体実績予測,
  INDEX('在庫使用計画 (全体実績+予測）0701'!$A$1:$BD$195,
    MATCH($C128,'在庫使用計画 (全体実績+予測）0701'!$C$1:$C$195,0),
    MATCH(AV$1,'在庫使用計画 (全体実績+予測）0701'!$A$1:$BD$1,0)
),
  IFERROR(
    IF(_xlpm._全体実績予測=0,"",_xlpm._全体実績予測),
  "")
)</f>
        <v>4.6841545126288908</v>
      </c>
      <c r="AW128" s="451">
        <f>_xlfn.LET(_xlpm._全体実績予測,
  INDEX('在庫使用計画 (全体実績+予測）0701'!$A$1:$BD$195,
    MATCH($C128,'在庫使用計画 (全体実績+予測）0701'!$C$1:$C$195,0),
    MATCH(AW$1,'在庫使用計画 (全体実績+予測）0701'!$A$1:$BD$1,0)
),
  IFERROR(
    IF(_xlpm._全体実績予測=0,"",_xlpm._全体実績予測),
  "")
)</f>
        <v>6.9223574165651272</v>
      </c>
      <c r="AX128" s="451">
        <f>_xlfn.LET(_xlpm._全体実績予測,
  INDEX('在庫使用計画 (全体実績+予測）0701'!$A$1:$BD$195,
    MATCH($C128,'在庫使用計画 (全体実績+予測）0701'!$C$1:$C$195,0),
    MATCH(AX$1,'在庫使用計画 (全体実績+予測）0701'!$A$1:$BD$1,0)
),
  IFERROR(
    IF(_xlpm._全体実績予測=0,"",_xlpm._全体実績予測),
  "")
)</f>
        <v>4.250549584981389</v>
      </c>
      <c r="AY128" s="451">
        <f>_xlfn.LET(_xlpm._全体実績予測,
  INDEX('在庫使用計画 (全体実績+予測）0701'!$A$1:$BD$195,
    MATCH($C128,'在庫使用計画 (全体実績+予測）0701'!$C$1:$C$195,0),
    MATCH(AY$1,'在庫使用計画 (全体実績+予測）0701'!$A$1:$BD$1,0)
),
  IFERROR(
    IF(_xlpm._全体実績予測=0,"",_xlpm._全体実績予測),
  "")
)</f>
        <v>3.0826273655399592</v>
      </c>
      <c r="AZ128" s="451">
        <f>_xlfn.LET(_xlpm._全体実績予測,
  INDEX('在庫使用計画 (全体実績+予測）0701'!$A$1:$BD$195,
    MATCH($C128,'在庫使用計画 (全体実績+予測）0701'!$C$1:$C$195,0),
    MATCH(AZ$1,'在庫使用計画 (全体実績+予測）0701'!$A$1:$BD$1,0)
),
  IFERROR(
    IF(_xlpm._全体実績予測=0,"",_xlpm._全体実績予測),
  "")
)</f>
        <v>3.2142857142857144</v>
      </c>
      <c r="BA128" s="451">
        <f>_xlfn.LET(_xlpm._全体実績予測,
  INDEX('在庫使用計画 (全体実績+予測）0701'!$A$1:$BD$195,
    MATCH($C128,'在庫使用計画 (全体実績+予測）0701'!$C$1:$C$195,0),
    MATCH(BA$1,'在庫使用計画 (全体実績+予測）0701'!$A$1:$BD$1,0)
),
  IFERROR(
    IF(_xlpm._全体実績予測=0,"",_xlpm._全体実績予測),
  "")
)</f>
        <v>3.5273873578910613</v>
      </c>
      <c r="BB128" s="451">
        <f>_xlfn.LET(_xlpm._全体実績予測,
  INDEX('在庫使用計画 (全体実績+予測）0701'!$A$1:$BD$195,
    MATCH($C128,'在庫使用計画 (全体実績+予測）0701'!$C$1:$C$195,0),
    MATCH(BB$1,'在庫使用計画 (全体実績+予測）0701'!$A$1:$BD$1,0)
),
  IFERROR(
    IF(_xlpm._全体実績予測=0,"",_xlpm._全体実績予測),
  "")
)</f>
        <v>3.2443466500378841</v>
      </c>
      <c r="BC128" s="451">
        <f>_xlfn.LET(_xlpm._全体実績予測,
  INDEX('在庫使用計画 (全体実績+予測）0701'!$A$1:$BD$195,
    MATCH($C128,'在庫使用計画 (全体実績+予測）0701'!$C$1:$C$195,0),
    MATCH(BC$1,'在庫使用計画 (全体実績+予測）0701'!$A$1:$BD$1,0)
),
  IFERROR(
    IF(_xlpm._全体実績予測=0,"",_xlpm._全体実績予測),
  "")
)</f>
        <v>3.5046366198212042</v>
      </c>
      <c r="BD128" s="451">
        <f>_xlfn.LET(_xlpm._全体実績予測,
  INDEX('在庫使用計画 (全体実績+予測）0701'!$A$1:$BD$195,
    MATCH($C128,'在庫使用計画 (全体実績+予測）0701'!$C$1:$C$195,0),
    MATCH(BD$1,'在庫使用計画 (全体実績+予測）0701'!$A$1:$BD$1,0)
),
  IFERROR(
    IF(_xlpm._全体実績予測=0,"",_xlpm._全体実績予測),
  "")
)</f>
        <v>3.7741164406958658</v>
      </c>
      <c r="BE128" s="451">
        <f>_xlfn.LET(_xlpm._全体実績予測,
  INDEX('在庫使用計画 (全体実績+予測）0701'!$A$1:$BD$195,
    MATCH($C128,'在庫使用計画 (全体実績+予測）0701'!$C$1:$C$195,0),
    MATCH(BE$1,'在庫使用計画 (全体実績+予測）0701'!$A$1:$BD$1,0)
),
  IFERROR(
    IF(_xlpm._全体実績予測=0,"",_xlpm._全体実績予測),
  "")
)</f>
        <v>3.9060210680189682</v>
      </c>
      <c r="BF128" s="897">
        <f>_xlfn.LET(_xlpm._全体実績予測,
  INDEX('在庫使用計画 (全体実績+予測）0701'!$A$1:$BD$195,
    MATCH($C128,'在庫使用計画 (全体実績+予測）0701'!$C$1:$C$195,0),
    MATCH(BF$1,'在庫使用計画 (全体実績+予測）0701'!$A$1:$BD$1,0)
),
  IFERROR(
    IF(_xlpm._全体実績予測=0,"",_xlpm._全体実績予測),
  "")
)</f>
        <v>5.7571944974432476</v>
      </c>
      <c r="BG128" s="2091" t="s">
        <v>2655</v>
      </c>
    </row>
    <row r="129" spans="1:59" ht="18.75" customHeight="1">
      <c r="A129" s="71" t="s">
        <v>1419</v>
      </c>
      <c r="B129" s="111" t="str">
        <v>CLE-NL55-1315U-UMA-L6-TPM Thirdwave</v>
      </c>
      <c r="C129" s="1264" t="s">
        <v>1440</v>
      </c>
      <c r="D129" s="53" t="s">
        <v>1422</v>
      </c>
      <c r="E129" s="26" t="s">
        <v>1423</v>
      </c>
      <c r="F129" s="24" t="s">
        <v>1372</v>
      </c>
      <c r="G129" s="38">
        <v>442</v>
      </c>
      <c r="H129" s="38">
        <f ca="1">_xlfn.LET(_xlpm._今月から4ヶ月計画合計,
  SUM(
    OFFSET($A129,0,
      MATCH(
        EDATE(基準データ!$C$5,3),$A$1:$BE$1,1
      )-4,1,4)),
  IF($C129="","",_xlpm._今月から4ヶ月計画合計
)
)</f>
        <v>431</v>
      </c>
      <c r="I129" s="38">
        <f>SUMIFS(マスタ_EOLリスト[在庫],マスタ_EOLリスト[製品型番],'在庫使用計画 (計画　予測)'!$C:$C)</f>
        <v>442</v>
      </c>
      <c r="J129" s="1116" cm="1">
        <f t="array" ref="J129">_xlfn.IFS($C129="","",
  $G129="","発売前？",
  $G129=0,"在庫なし",
  TRUE,
  IFERROR(
    _xlfn.LET(
      _xlpm._在庫注残,     $G129,
      _xlpm._しきい値,     _xlpm._在庫注残 * 0.75,
      _xlpm._見出し元,     $K$1:$BT$1,
      _xlpm._計画,         $K129:$BT129,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46266</v>
      </c>
      <c r="K129" s="311"/>
      <c r="L129" s="311"/>
      <c r="M129" s="311"/>
      <c r="N129" s="311"/>
      <c r="O129" s="311"/>
      <c r="P129" s="311"/>
      <c r="Q129" s="313"/>
      <c r="R129" s="1375"/>
      <c r="S129" s="298" t="s">
        <v>21</v>
      </c>
      <c r="T129" s="298" t="s">
        <v>21</v>
      </c>
      <c r="U129" s="298" t="s">
        <v>21</v>
      </c>
      <c r="V129" s="298" t="s">
        <v>21</v>
      </c>
      <c r="W129" s="299" t="s">
        <v>21</v>
      </c>
      <c r="X129" s="419" t="s">
        <v>21</v>
      </c>
      <c r="Y129" s="419" t="s">
        <v>21</v>
      </c>
      <c r="Z129" s="335" t="s">
        <v>21</v>
      </c>
      <c r="AA129" s="335" t="s">
        <v>21</v>
      </c>
      <c r="AB129" s="335" t="s">
        <v>21</v>
      </c>
      <c r="AC129" s="1370" t="s">
        <v>21</v>
      </c>
      <c r="AD129" s="1339" t="s">
        <v>21</v>
      </c>
      <c r="AE129" s="335" t="s">
        <v>21</v>
      </c>
      <c r="AF129" s="335" t="s">
        <v>21</v>
      </c>
      <c r="AG129" s="335" t="s">
        <v>21</v>
      </c>
      <c r="AH129" s="823" t="s">
        <v>21</v>
      </c>
      <c r="AI129" s="845" t="s">
        <v>21</v>
      </c>
      <c r="AJ129" s="224" t="s">
        <v>21</v>
      </c>
      <c r="AK129" s="224">
        <v>5</v>
      </c>
      <c r="AL129" s="224">
        <v>5</v>
      </c>
      <c r="AM129" s="224">
        <f>_xlfn.XLOOKUP(
$C129,
'在庫使用計画 (ノート全体試算)'!$C$1:$C$170,
'在庫使用計画 (ノート全体試算)'!AN$1:AN$170,
"")</f>
        <v>5</v>
      </c>
      <c r="AN129" s="237">
        <f>_xlfn.XLOOKUP(
$C129,
'在庫使用計画 (ノート全体試算)'!$C$1:$C$170,
'在庫使用計画 (ノート全体試算)'!AO$1:AO$170,
"")</f>
        <v>60</v>
      </c>
      <c r="AO129" s="237">
        <f>_xlfn.XLOOKUP(
$C129,
'在庫使用計画 (ノート全体試算)'!$C$1:$C$170,
'在庫使用計画 (ノート全体試算)'!AP$1:AP$170,
"")</f>
        <v>161</v>
      </c>
      <c r="AP129" s="224">
        <f>_xlfn.XLOOKUP(
$C129,
'在庫使用計画 (ノート全体試算)'!$C$1:$C$170,
'在庫使用計画 (ノート全体試算)'!AQ$1:AQ$170,
"")</f>
        <v>100</v>
      </c>
      <c r="AQ129" s="1050">
        <f>_xlfn.XLOOKUP(
$C129,
'在庫使用計画 (ノート全体試算)'!$C$1:$C$170,
'在庫使用計画 (ノート全体試算)'!AR$1:AR$170,
"")</f>
        <v>100</v>
      </c>
      <c r="AR129" s="2130">
        <f>_xlfn.XLOOKUP(
$C129,
'在庫使用計画 (ノート全体試算)'!$C$1:$C$170,
'在庫使用計画 (ノート全体試算)'!AS$1:AS$170,
"")</f>
        <v>70</v>
      </c>
      <c r="AS129" s="244" t="str">
        <f>_xlfn.XLOOKUP(
$C129,
'在庫使用計画 (ノート全体試算)'!$C$1:$C$170,
'在庫使用計画 (ノート全体試算)'!AT$1:AT$170,
"")</f>
        <v/>
      </c>
      <c r="AT129" s="805" t="str">
        <f>_xlfn.XLOOKUP(
$C129,
'在庫使用計画 (ノート全体試算)'!$C$1:$C$170,
'在庫使用計画 (ノート全体試算)'!AU$1:AU$170,
"")</f>
        <v/>
      </c>
      <c r="AU129" s="845" t="str">
        <f>_xlfn.XLOOKUP(
$C129,
'在庫使用計画 (ノート全体試算)'!$C$1:$C$170,
'在庫使用計画 (ノート全体試算)'!AV$1:AV$170,
"")</f>
        <v/>
      </c>
      <c r="AV129" s="224" t="str">
        <f>_xlfn.XLOOKUP(
$C129,
'在庫使用計画 (ノート全体試算)'!$C$1:$C$170,
'在庫使用計画 (ノート全体試算)'!AW$1:AW$170,
"")</f>
        <v/>
      </c>
      <c r="AW129" s="224" t="str">
        <f>_xlfn.XLOOKUP(
$C129,
'在庫使用計画 (ノート全体試算)'!$C$1:$C$170,
'在庫使用計画 (ノート全体試算)'!AX$1:AX$170,
"")</f>
        <v/>
      </c>
      <c r="AX129" s="224" t="str">
        <f>_xlfn.XLOOKUP(
$C129,
'在庫使用計画 (ノート全体試算)'!$C$1:$C$170,
'在庫使用計画 (ノート全体試算)'!AY$1:AY$170,
"")</f>
        <v/>
      </c>
      <c r="AY129" s="224" t="str">
        <f>_xlfn.XLOOKUP(
$C129,
'在庫使用計画 (ノート全体試算)'!$C$1:$C$170,
'在庫使用計画 (ノート全体試算)'!AZ$1:AZ$170,
"")</f>
        <v/>
      </c>
      <c r="AZ129" s="224" t="str">
        <f>_xlfn.XLOOKUP(
$C129,
'在庫使用計画 (ノート全体試算)'!$C$1:$C$170,
'在庫使用計画 (ノート全体試算)'!BA$1:BA$170,
"")</f>
        <v/>
      </c>
      <c r="BA129" s="224" t="str">
        <f>_xlfn.XLOOKUP(
$C129,
'在庫使用計画 (ノート全体試算)'!$C$1:$C$170,
'在庫使用計画 (ノート全体試算)'!BB$1:BB$170,
"")</f>
        <v/>
      </c>
      <c r="BB129" s="224" t="str">
        <f>_xlfn.XLOOKUP(
$C129,
'在庫使用計画 (ノート全体試算)'!$C$1:$C$170,
'在庫使用計画 (ノート全体試算)'!BC$1:BC$170,
"")</f>
        <v/>
      </c>
      <c r="BC129" s="224" t="str">
        <f>_xlfn.XLOOKUP(
$C129,
'在庫使用計画 (ノート全体試算)'!$C$1:$C$170,
'在庫使用計画 (ノート全体試算)'!BD$1:BD$170,
"")</f>
        <v/>
      </c>
      <c r="BD129" s="224" t="str">
        <f>_xlfn.XLOOKUP(
$C129,
'在庫使用計画 (ノート全体試算)'!$C$1:$C$170,
'在庫使用計画 (ノート全体試算)'!BE$1:BE$170,
"")</f>
        <v/>
      </c>
      <c r="BE129" s="224" t="str">
        <f>_xlfn.XLOOKUP(
$C129,
'在庫使用計画 (ノート全体試算)'!$C$1:$C$170,
'在庫使用計画 (ノート全体試算)'!BF$1:BF$170,
"")</f>
        <v/>
      </c>
      <c r="BF129" s="805" t="str">
        <f>_xlfn.XLOOKUP(
$C129,
'在庫使用計画 (ノート全体試算)'!$C$1:$C$170,
'在庫使用計画 (ノート全体試算)'!BG$1:BG$170,
"")</f>
        <v/>
      </c>
      <c r="BG129" s="2091" t="s">
        <v>2666</v>
      </c>
    </row>
    <row r="130" spans="1:59" ht="18.75" customHeight="1" thickBot="1">
      <c r="A130" s="445"/>
      <c r="B130" s="1261" t="str">
        <v>CLE-NL55-1315U-UMA-L6-TPM Thirdwave</v>
      </c>
      <c r="C130" s="1265" t="s">
        <v>1440</v>
      </c>
      <c r="D130" s="1262" t="s">
        <v>1763</v>
      </c>
      <c r="E130" s="446"/>
      <c r="F130" s="447"/>
      <c r="G130" s="448">
        <v>442</v>
      </c>
      <c r="H130" s="448">
        <f ca="1">_xlfn.LET(_xlpm._今月から4ヶ月計画合計,
  SUM(
    OFFSET($A130,0,
      MATCH(
        EDATE(基準データ!$C$5,3),$A$1:$BE$1,1
      )-4,1,4)),
  IF($C130="","",_xlpm._今月から4ヶ月計画合計
)
)</f>
        <v>32.784469826374036</v>
      </c>
      <c r="I130" s="448">
        <f t="shared" si="19"/>
        <v>442</v>
      </c>
      <c r="J130" s="1116" t="str" cm="1">
        <f t="array" ref="J130">_xlfn.IFS($C130="","",
  $G130="","発売前？",
  $G130=0,"在庫なし",
  TRUE,
  IFERROR(
    _xlfn.LET(
      _xlpm._在庫注残,     $G130,
      _xlpm._しきい値,     _xlpm._在庫注残 * 0.75,
      _xlpm._見出し元,     $K$1:$BT$1,
      _xlpm._計画,         $K130:$BT130,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合計174、在庫+注残442のため不足</v>
      </c>
      <c r="K130" s="448"/>
      <c r="L130" s="448"/>
      <c r="M130" s="448"/>
      <c r="N130" s="448"/>
      <c r="O130" s="448"/>
      <c r="P130" s="448"/>
      <c r="Q130" s="540"/>
      <c r="R130" s="900"/>
      <c r="S130" s="449"/>
      <c r="T130" s="449"/>
      <c r="U130" s="449"/>
      <c r="V130" s="450"/>
      <c r="W130" s="455" t="s">
        <v>21</v>
      </c>
      <c r="X130" s="455" t="s">
        <v>21</v>
      </c>
      <c r="Y130" s="455" t="s">
        <v>21</v>
      </c>
      <c r="Z130" s="453" t="s">
        <v>21</v>
      </c>
      <c r="AA130" s="453" t="s">
        <v>21</v>
      </c>
      <c r="AB130" s="449" t="s">
        <v>21</v>
      </c>
      <c r="AC130" s="899" t="s">
        <v>21</v>
      </c>
      <c r="AD130" s="1290" t="s">
        <v>21</v>
      </c>
      <c r="AE130" s="453" t="s">
        <v>21</v>
      </c>
      <c r="AF130" s="453" t="s">
        <v>21</v>
      </c>
      <c r="AG130" s="451" t="s">
        <v>21</v>
      </c>
      <c r="AH130" s="889" t="s">
        <v>21</v>
      </c>
      <c r="AI130" s="896" t="s">
        <v>21</v>
      </c>
      <c r="AJ130" s="451" t="s">
        <v>21</v>
      </c>
      <c r="AK130" s="451">
        <v>1</v>
      </c>
      <c r="AL130" s="451">
        <v>3</v>
      </c>
      <c r="AM130" s="451" t="str">
        <f>_xlfn.LET(_xlpm._全体実績予測,
  INDEX('在庫使用計画 (全体実績+予測）0701'!$A$1:$BD$195,
    MATCH($C130,'在庫使用計画 (全体実績+予測）0701'!$C$1:$C$195,0),
    MATCH(AM$1,'在庫使用計画 (全体実績+予測）0701'!$A$1:$BD$1,0)
),
  IFERROR(
    IF(_xlpm._全体実績予測=0,"",_xlpm._全体実績予測),
  "")
)</f>
        <v/>
      </c>
      <c r="AN130" s="889">
        <f>_xlfn.LET(_xlpm._全体実績予測,
  INDEX('在庫使用計画 (全体実績+予測）0701'!$A$1:$BD$195,
    MATCH($C130,'在庫使用計画 (全体実績+予測）0701'!$C$1:$C$195,0),
    MATCH(AN$1,'在庫使用計画 (全体実績+予測）0701'!$A$1:$BD$1,0)
),
  IFERROR(
    IF(_xlpm._全体実績予測=0,"",_xlpm._全体実績予測),
  "")
)</f>
        <v>7.5</v>
      </c>
      <c r="AO130" s="889">
        <f>_xlfn.LET(_xlpm._全体実績予測,
  INDEX('在庫使用計画 (全体実績+予測）0701'!$A$1:$BD$195,
    MATCH($C130,'在庫使用計画 (全体実績+予測）0701'!$C$1:$C$195,0),
    MATCH(AO$1,'在庫使用計画 (全体実績+予測）0701'!$A$1:$BD$1,0)
),
  IFERROR(
    IF(_xlpm._全体実績予測=0,"",_xlpm._全体実績予測),
  "")
)</f>
        <v>8.2305705017458095</v>
      </c>
      <c r="AP130" s="451">
        <f>_xlfn.LET(_xlpm._全体実績予測,
  INDEX('在庫使用計画 (全体実績+予測）0701'!$A$1:$BD$195,
    MATCH($C130,'在庫使用計画 (全体実績+予測）0701'!$C$1:$C$195,0),
    MATCH(AP$1,'在庫使用計画 (全体実績+予測）0701'!$A$1:$BD$1,0)
),
  IFERROR(
    IF(_xlpm._全体実績予測=0,"",_xlpm._全体実績予測),
  "")
)</f>
        <v>7.5701421834217291</v>
      </c>
      <c r="AQ130" s="2121">
        <f>_xlfn.LET(_xlpm._全体実績予測,
  INDEX('在庫使用計画 (全体実績+予測）0701'!$A$1:$BD$195,
    MATCH($C130,'在庫使用計画 (全体実績+予測）0701'!$C$1:$C$195,0),
    MATCH(AQ$1,'在庫使用計画 (全体実績+予測）0701'!$A$1:$BD$1,0)
),
  IFERROR(
    IF(_xlpm._全体実績予測=0,"",_xlpm._全体実績予測),
  "")
)</f>
        <v>8.1774854462494755</v>
      </c>
      <c r="AR130" s="2137">
        <f>_xlfn.LET(_xlpm._全体実績予測,
  INDEX('在庫使用計画 (全体実績+予測）0701'!$A$1:$BD$195,
    MATCH($C130,'在庫使用計画 (全体実績+予測）0701'!$C$1:$C$195,0),
    MATCH(AR$1,'在庫使用計画 (全体実績+予測）0701'!$A$1:$BD$1,0)
),
  IFERROR(
    IF(_xlpm._全体実績予測=0,"",_xlpm._全体実績予測),
  "")
)</f>
        <v>8.8062716949570188</v>
      </c>
      <c r="AS130" s="1292">
        <f>_xlfn.LET(_xlpm._全体実績予測,
  INDEX('在庫使用計画 (全体実績+予測）0701'!$A$1:$BD$195,
    MATCH($C130,'在庫使用計画 (全体実績+予測）0701'!$C$1:$C$195,0),
    MATCH(AS$1,'在庫使用計画 (全体実績+予測）0701'!$A$1:$BD$1,0)
),
  IFERROR(
    IF(_xlpm._全体実績予測=0,"",_xlpm._全体実績予測),
  "")
)</f>
        <v>9.1140491587109231</v>
      </c>
      <c r="AT130" s="897">
        <f>_xlfn.LET(_xlpm._全体実績予測,
  INDEX('在庫使用計画 (全体実績+予測）0701'!$A$1:$BD$195,
    MATCH($C130,'在庫使用計画 (全体実績+予測）0701'!$C$1:$C$195,0),
    MATCH(AT$1,'在庫使用計画 (全体実績+予測）0701'!$A$1:$BD$1,0)
),
  IFERROR(
    IF(_xlpm._全体実績予測=0,"",_xlpm._全体実績予測),
  "")
)</f>
        <v>13.433453827367574</v>
      </c>
      <c r="AU130" s="896">
        <f>_xlfn.LET(_xlpm._全体実績予測,
  INDEX('在庫使用計画 (全体実績+予測）0701'!$A$1:$BD$195,
    MATCH($C130,'在庫使用計画 (全体実績+予測）0701'!$C$1:$C$195,0),
    MATCH(AU$1,'在庫使用計画 (全体実績+予測）0701'!$A$1:$BD$1,0)
),
  IFERROR(
    IF(_xlpm._全体実績予測=0,"",_xlpm._全体実績予測),
  "")
)</f>
        <v>11.592647606378566</v>
      </c>
      <c r="AV130" s="451">
        <f>_xlfn.LET(_xlpm._全体実績予測,
  INDEX('在庫使用計画 (全体実績+予測）0701'!$A$1:$BD$195,
    MATCH($C130,'在庫使用計画 (全体実績+予測）0701'!$C$1:$C$195,0),
    MATCH(AV$1,'在庫使用計画 (全体実績+予測）0701'!$A$1:$BD$1,0)
),
  IFERROR(
    IF(_xlpm._全体実績予測=0,"",_xlpm._全体実績予測),
  "")
)</f>
        <v>10.929693862800743</v>
      </c>
      <c r="AW130" s="451">
        <f>_xlfn.LET(_xlpm._全体実績予測,
  INDEX('在庫使用計画 (全体実績+予測）0701'!$A$1:$BD$195,
    MATCH($C130,'在庫使用計画 (全体実績+予測）0701'!$C$1:$C$195,0),
    MATCH(AW$1,'在庫使用計画 (全体実績+予測）0701'!$A$1:$BD$1,0)
),
  IFERROR(
    IF(_xlpm._全体実績予測=0,"",_xlpm._全体実績予測),
  "")
)</f>
        <v>16.152167305318628</v>
      </c>
      <c r="AX130" s="451">
        <f>_xlfn.LET(_xlpm._全体実績予測,
  INDEX('在庫使用計画 (全体実績+予測）0701'!$A$1:$BD$195,
    MATCH($C130,'在庫使用計画 (全体実績+予測）0701'!$C$1:$C$195,0),
    MATCH(AX$1,'在庫使用計画 (全体実績+予測）0701'!$A$1:$BD$1,0)
),
  IFERROR(
    IF(_xlpm._全体実績予測=0,"",_xlpm._全体実績予測),
  "")
)</f>
        <v>9.9179490316232393</v>
      </c>
      <c r="AY130" s="451">
        <f>_xlfn.LET(_xlpm._全体実績予測,
  INDEX('在庫使用計画 (全体実績+予測）0701'!$A$1:$BD$195,
    MATCH($C130,'在庫使用計画 (全体実績+予測）0701'!$C$1:$C$195,0),
    MATCH(AY$1,'在庫使用計画 (全体実績+予測）0701'!$A$1:$BD$1,0)
),
  IFERROR(
    IF(_xlpm._全体実績予測=0,"",_xlpm._全体実績予測),
  "")
)</f>
        <v>7.1927971862599041</v>
      </c>
      <c r="AZ130" s="451">
        <f>_xlfn.LET(_xlpm._全体実績予測,
  INDEX('在庫使用計画 (全体実績+予測）0701'!$A$1:$BD$195,
    MATCH($C130,'在庫使用計画 (全体実績+予測）0701'!$C$1:$C$195,0),
    MATCH(AZ$1,'在庫使用計画 (全体実績+予測）0701'!$A$1:$BD$1,0)
),
  IFERROR(
    IF(_xlpm._全体実績予測=0,"",_xlpm._全体実績予測),
  "")
)</f>
        <v>7.4999999999999991</v>
      </c>
      <c r="BA130" s="451">
        <f>_xlfn.LET(_xlpm._全体実績予測,
  INDEX('在庫使用計画 (全体実績+予測）0701'!$A$1:$BD$195,
    MATCH($C130,'在庫使用計画 (全体実績+予測）0701'!$C$1:$C$195,0),
    MATCH(BA$1,'在庫使用計画 (全体実績+予測）0701'!$A$1:$BD$1,0)
),
  IFERROR(
    IF(_xlpm._全体実績予測=0,"",_xlpm._全体実績予測),
  "")
)</f>
        <v>8.2305705017458077</v>
      </c>
      <c r="BB130" s="451">
        <f>_xlfn.LET(_xlpm._全体実績予測,
  INDEX('在庫使用計画 (全体実績+予測）0701'!$A$1:$BD$195,
    MATCH($C130,'在庫使用計画 (全体実績+予測）0701'!$C$1:$C$195,0),
    MATCH(BB$1,'在庫使用計画 (全体実績+予測）0701'!$A$1:$BD$1,0)
),
  IFERROR(
    IF(_xlpm._全体実績予測=0,"",_xlpm._全体実績予測),
  "")
)</f>
        <v>7.5701421834217282</v>
      </c>
      <c r="BC130" s="451">
        <f>_xlfn.LET(_xlpm._全体実績予測,
  INDEX('在庫使用計画 (全体実績+予測）0701'!$A$1:$BD$195,
    MATCH($C130,'在庫使用計画 (全体実績+予測）0701'!$C$1:$C$195,0),
    MATCH(BC$1,'在庫使用計画 (全体実績+予測）0701'!$A$1:$BD$1,0)
),
  IFERROR(
    IF(_xlpm._全体実績予測=0,"",_xlpm._全体実績予測),
  "")
)</f>
        <v>8.1774854462494755</v>
      </c>
      <c r="BD130" s="451">
        <f>_xlfn.LET(_xlpm._全体実績予測,
  INDEX('在庫使用計画 (全体実績+予測）0701'!$A$1:$BD$195,
    MATCH($C130,'在庫使用計画 (全体実績+予測）0701'!$C$1:$C$195,0),
    MATCH(BD$1,'在庫使用計画 (全体実績+予測）0701'!$A$1:$BD$1,0)
),
  IFERROR(
    IF(_xlpm._全体実績予測=0,"",_xlpm._全体実績予測),
  "")
)</f>
        <v>8.8062716949570188</v>
      </c>
      <c r="BE130" s="451">
        <f>_xlfn.LET(_xlpm._全体実績予測,
  INDEX('在庫使用計画 (全体実績+予測）0701'!$A$1:$BD$195,
    MATCH($C130,'在庫使用計画 (全体実績+予測）0701'!$C$1:$C$195,0),
    MATCH(BE$1,'在庫使用計画 (全体実績+予測）0701'!$A$1:$BD$1,0)
),
  IFERROR(
    IF(_xlpm._全体実績予測=0,"",_xlpm._全体実績予測),
  "")
)</f>
        <v>9.1140491587109231</v>
      </c>
      <c r="BF130" s="897">
        <f>_xlfn.LET(_xlpm._全体実績予測,
  INDEX('在庫使用計画 (全体実績+予測）0701'!$A$1:$BD$195,
    MATCH($C130,'在庫使用計画 (全体実績+予測）0701'!$C$1:$C$195,0),
    MATCH(BF$1,'在庫使用計画 (全体実績+予測）0701'!$A$1:$BD$1,0)
),
  IFERROR(
    IF(_xlpm._全体実績予測=0,"",_xlpm._全体実績予測),
  "")
)</f>
        <v>13.433453827367574</v>
      </c>
    </row>
    <row r="131" spans="1:59" ht="18.75" customHeight="1">
      <c r="A131" s="124" t="s">
        <v>1442</v>
      </c>
      <c r="B131" s="300" t="str">
        <v>CLE-L24-258V-UMA-32G-L7 Thirdwave</v>
      </c>
      <c r="C131" s="194" t="s">
        <v>1443</v>
      </c>
      <c r="D131" s="194" t="s">
        <v>1409</v>
      </c>
      <c r="E131" s="68" t="s">
        <v>1410</v>
      </c>
      <c r="F131" s="195" t="s">
        <v>1324</v>
      </c>
      <c r="G131" s="38">
        <v>62</v>
      </c>
      <c r="H131" s="38">
        <f ca="1">_xlfn.LET(_xlpm._今月から4ヶ月計画合計,
  SUM(
    OFFSET($A131,0,
      MATCH(
        EDATE(基準データ!$C$5,3),$A$1:$BE$1,1
      )-4,1,4)),
  IF($C131="","",_xlpm._今月から4ヶ月計画合計
)
)</f>
        <v>87</v>
      </c>
      <c r="I131" s="38">
        <f>SUMIFS(マスタ_EOLリスト[在庫],マスタ_EOLリスト[製品型番],'在庫使用計画 (計画　予測)'!$C:$C)</f>
        <v>62</v>
      </c>
      <c r="J131" s="1116" cm="1">
        <f t="array" ref="J131">_xlfn.IFS($C131="","",
  $G131="","発売前？",
  $G131=0,"在庫なし",
  TRUE,
  IFERROR(
    _xlfn.LET(
      _xlpm._在庫注残,     $G131,
      _xlpm._しきい値,     _xlpm._在庫注残 * 0.75,
      _xlpm._見出し元,     $K$1:$BT$1,
      _xlpm._計画,         $K131:$BT131,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46204</v>
      </c>
      <c r="K131" s="319"/>
      <c r="L131" s="319"/>
      <c r="M131" s="319"/>
      <c r="N131" s="320"/>
      <c r="O131" s="311" t="s">
        <v>21</v>
      </c>
      <c r="P131" s="311" t="s">
        <v>21</v>
      </c>
      <c r="Q131" s="313" t="s">
        <v>21</v>
      </c>
      <c r="R131" s="1353" t="s">
        <v>21</v>
      </c>
      <c r="S131" s="298" t="s">
        <v>21</v>
      </c>
      <c r="T131" s="219">
        <v>30</v>
      </c>
      <c r="U131" s="219">
        <v>42</v>
      </c>
      <c r="V131" s="219">
        <v>60</v>
      </c>
      <c r="W131" s="219">
        <v>95</v>
      </c>
      <c r="X131" s="219">
        <v>97</v>
      </c>
      <c r="Y131" s="219">
        <v>120</v>
      </c>
      <c r="Z131" s="219">
        <v>80</v>
      </c>
      <c r="AA131" s="219">
        <v>117</v>
      </c>
      <c r="AB131" s="219">
        <v>117</v>
      </c>
      <c r="AC131" s="1376">
        <v>376</v>
      </c>
      <c r="AD131" s="1344">
        <v>276</v>
      </c>
      <c r="AE131" s="510">
        <v>118</v>
      </c>
      <c r="AF131" s="219">
        <v>108</v>
      </c>
      <c r="AG131" s="219">
        <v>61</v>
      </c>
      <c r="AH131" s="480">
        <v>56</v>
      </c>
      <c r="AI131" s="835">
        <v>180</v>
      </c>
      <c r="AJ131" s="224">
        <v>203</v>
      </c>
      <c r="AK131" s="224">
        <v>53</v>
      </c>
      <c r="AL131" s="224">
        <v>44</v>
      </c>
      <c r="AM131" s="224">
        <f>_xlfn.XLOOKUP(
$C131,
'在庫使用計画 (ノート全体試算)'!$C$1:$C$170,
'在庫使用計画 (ノート全体試算)'!AN$1:AN$170,
"")</f>
        <v>162</v>
      </c>
      <c r="AN131" s="237">
        <f>_xlfn.XLOOKUP(
$C131,
'在庫使用計画 (ノート全体試算)'!$C$1:$C$170,
'在庫使用計画 (ノート全体試算)'!AO$1:AO$170,
"")</f>
        <v>280</v>
      </c>
      <c r="AO131" s="237">
        <f>_xlfn.XLOOKUP(
$C131,
'在庫使用計画 (ノート全体試算)'!$C$1:$C$170,
'在庫使用計画 (ノート全体試算)'!AP$1:AP$170,
"")</f>
        <v>50</v>
      </c>
      <c r="AP131" s="224" t="str">
        <f>_xlfn.XLOOKUP(
$C131,
'在庫使用計画 (ノート全体試算)'!$C$1:$C$170,
'在庫使用計画 (ノート全体試算)'!AQ$1:AQ$170,
"")</f>
        <v/>
      </c>
      <c r="AQ131" s="1050">
        <f>_xlfn.XLOOKUP(
$C131,
'在庫使用計画 (ノート全体試算)'!$C$1:$C$170,
'在庫使用計画 (ノート全体試算)'!AR$1:AR$170,
"")</f>
        <v>37</v>
      </c>
      <c r="AR131" s="2130" t="str">
        <f>_xlfn.XLOOKUP(
$C131,
'在庫使用計画 (ノート全体試算)'!$C$1:$C$170,
'在庫使用計画 (ノート全体試算)'!AS$1:AS$170,
"")</f>
        <v/>
      </c>
      <c r="AS131" s="244" t="str">
        <f>_xlfn.XLOOKUP(
$C131,
'在庫使用計画 (ノート全体試算)'!$C$1:$C$170,
'在庫使用計画 (ノート全体試算)'!AT$1:AT$170,
"")</f>
        <v/>
      </c>
      <c r="AT131" s="805" t="str">
        <f>_xlfn.XLOOKUP(
$C131,
'在庫使用計画 (ノート全体試算)'!$C$1:$C$170,
'在庫使用計画 (ノート全体試算)'!AU$1:AU$170,
"")</f>
        <v/>
      </c>
      <c r="AU131" s="835" t="str">
        <f>_xlfn.XLOOKUP(
$C131,
'在庫使用計画 (ノート全体試算)'!$C$1:$C$170,
'在庫使用計画 (ノート全体試算)'!AV$1:AV$170,
"")</f>
        <v/>
      </c>
      <c r="AV131" s="224" t="str">
        <f>_xlfn.XLOOKUP(
$C131,
'在庫使用計画 (ノート全体試算)'!$C$1:$C$170,
'在庫使用計画 (ノート全体試算)'!AW$1:AW$170,
"")</f>
        <v/>
      </c>
      <c r="AW131" s="224" t="str">
        <f>_xlfn.XLOOKUP(
$C131,
'在庫使用計画 (ノート全体試算)'!$C$1:$C$170,
'在庫使用計画 (ノート全体試算)'!AX$1:AX$170,
"")</f>
        <v/>
      </c>
      <c r="AX131" s="224" t="str">
        <f>_xlfn.XLOOKUP(
$C131,
'在庫使用計画 (ノート全体試算)'!$C$1:$C$170,
'在庫使用計画 (ノート全体試算)'!AY$1:AY$170,
"")</f>
        <v/>
      </c>
      <c r="AY131" s="224" t="str">
        <f>_xlfn.XLOOKUP(
$C131,
'在庫使用計画 (ノート全体試算)'!$C$1:$C$170,
'在庫使用計画 (ノート全体試算)'!AZ$1:AZ$170,
"")</f>
        <v/>
      </c>
      <c r="AZ131" s="224" t="str">
        <f>_xlfn.XLOOKUP(
$C131,
'在庫使用計画 (ノート全体試算)'!$C$1:$C$170,
'在庫使用計画 (ノート全体試算)'!BA$1:BA$170,
"")</f>
        <v/>
      </c>
      <c r="BA131" s="224" t="str">
        <f>_xlfn.XLOOKUP(
$C131,
'在庫使用計画 (ノート全体試算)'!$C$1:$C$170,
'在庫使用計画 (ノート全体試算)'!BB$1:BB$170,
"")</f>
        <v/>
      </c>
      <c r="BB131" s="224" t="str">
        <f>_xlfn.XLOOKUP(
$C131,
'在庫使用計画 (ノート全体試算)'!$C$1:$C$170,
'在庫使用計画 (ノート全体試算)'!BC$1:BC$170,
"")</f>
        <v/>
      </c>
      <c r="BC131" s="224" t="str">
        <f>_xlfn.XLOOKUP(
$C131,
'在庫使用計画 (ノート全体試算)'!$C$1:$C$170,
'在庫使用計画 (ノート全体試算)'!BD$1:BD$170,
"")</f>
        <v/>
      </c>
      <c r="BD131" s="224" t="str">
        <f>_xlfn.XLOOKUP(
$C131,
'在庫使用計画 (ノート全体試算)'!$C$1:$C$170,
'在庫使用計画 (ノート全体試算)'!BE$1:BE$170,
"")</f>
        <v/>
      </c>
      <c r="BE131" s="224" t="str">
        <f>_xlfn.XLOOKUP(
$C131,
'在庫使用計画 (ノート全体試算)'!$C$1:$C$170,
'在庫使用計画 (ノート全体試算)'!BF$1:BF$170,
"")</f>
        <v/>
      </c>
      <c r="BF131" s="805" t="str">
        <f>_xlfn.XLOOKUP(
$C131,
'在庫使用計画 (ノート全体試算)'!$C$1:$C$170,
'在庫使用計画 (ノート全体試算)'!BG$1:BG$170,
"")</f>
        <v/>
      </c>
      <c r="BG131" s="2091" t="s">
        <v>2655</v>
      </c>
    </row>
    <row r="132" spans="1:59" ht="18.75" customHeight="1">
      <c r="A132" s="445"/>
      <c r="B132" s="446" t="str">
        <v>CLE-L24-258V-UMA-32G-L7 Thirdwave</v>
      </c>
      <c r="C132" s="456" t="s">
        <v>1443</v>
      </c>
      <c r="D132" s="446" t="s">
        <v>1763</v>
      </c>
      <c r="E132" s="446"/>
      <c r="F132" s="447"/>
      <c r="G132" s="448">
        <v>62</v>
      </c>
      <c r="H132" s="448">
        <f ca="1">_xlfn.LET(_xlpm._今月から4ヶ月計画合計,
  SUM(
    OFFSET($A132,0,
      MATCH(
        EDATE(基準データ!$C$5,3),$A$1:$BE$1,1
      )-4,1,4)),
  IF($C132="","",_xlpm._今月から4ヶ月計画合計
)
)</f>
        <v>1217.7088792653215</v>
      </c>
      <c r="I132" s="448">
        <f t="shared" si="19"/>
        <v>62</v>
      </c>
      <c r="J132" s="1116" cm="1">
        <f t="array" ref="J132">_xlfn.IFS($C132="","",
  $G132="","発売前？",
  $G132=0,"在庫なし",
  TRUE,
  IFERROR(
    _xlfn.LET(
      _xlpm._在庫注残,     $G132,
      _xlpm._しきい値,     _xlpm._在庫注残 * 0.75,
      _xlpm._見出し元,     $K$1:$BT$1,
      _xlpm._計画,         $K132:$BT132,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46204</v>
      </c>
      <c r="K132" s="448"/>
      <c r="L132" s="448"/>
      <c r="M132" s="448"/>
      <c r="N132" s="448"/>
      <c r="O132" s="448"/>
      <c r="P132" s="448"/>
      <c r="Q132" s="540"/>
      <c r="R132" s="900"/>
      <c r="S132" s="449"/>
      <c r="T132" s="449"/>
      <c r="U132" s="449"/>
      <c r="V132" s="450"/>
      <c r="W132" s="451">
        <v>60</v>
      </c>
      <c r="X132" s="451">
        <v>48</v>
      </c>
      <c r="Y132" s="451">
        <v>95</v>
      </c>
      <c r="Z132" s="453">
        <v>75</v>
      </c>
      <c r="AA132" s="453">
        <v>30</v>
      </c>
      <c r="AB132" s="449">
        <v>57</v>
      </c>
      <c r="AC132" s="899">
        <v>120</v>
      </c>
      <c r="AD132" s="1290">
        <v>113</v>
      </c>
      <c r="AE132" s="453">
        <v>43</v>
      </c>
      <c r="AF132" s="453">
        <v>52</v>
      </c>
      <c r="AG132" s="451">
        <v>14</v>
      </c>
      <c r="AH132" s="889">
        <v>46</v>
      </c>
      <c r="AI132" s="896">
        <v>168</v>
      </c>
      <c r="AJ132" s="451">
        <v>224</v>
      </c>
      <c r="AK132" s="451">
        <v>39</v>
      </c>
      <c r="AL132" s="451">
        <v>42</v>
      </c>
      <c r="AM132" s="451">
        <f>_xlfn.LET(_xlpm._全体実績予測,
  INDEX('在庫使用計画 (全体実績+予測）0701'!$A$1:$BD$195,
    MATCH($C132,'在庫使用計画 (全体実績+予測）0701'!$C$1:$C$195,0),
    MATCH(AM$1,'在庫使用計画 (全体実績+予測）0701'!$A$1:$BD$1,0)
),
  IFERROR(
    IF(_xlpm._全体実績予測=0,"",_xlpm._全体実績予測),
  "")
)</f>
        <v>91</v>
      </c>
      <c r="AN132" s="889">
        <f>_xlfn.LET(_xlpm._全体実績予測,
  INDEX('在庫使用計画 (全体実績+予測）0701'!$A$1:$BD$195,
    MATCH($C132,'在庫使用計画 (全体実績+予測）0701'!$C$1:$C$195,0),
    MATCH(AN$1,'在庫使用計画 (全体実績+予測）0701'!$A$1:$BD$1,0)
),
  IFERROR(
    IF(_xlpm._全体実績予測=0,"",_xlpm._全体実績予測),
  "")
)</f>
        <v>278.57142857142861</v>
      </c>
      <c r="AO132" s="889">
        <f>_xlfn.LET(_xlpm._全体実績予測,
  INDEX('在庫使用計画 (全体実績+予測）0701'!$A$1:$BD$195,
    MATCH($C132,'在庫使用計画 (全体実績+予測）0701'!$C$1:$C$195,0),
    MATCH(AO$1,'在庫使用計画 (全体実績+予測）0701'!$A$1:$BD$1,0)
),
  IFERROR(
    IF(_xlpm._全体実績予測=0,"",_xlpm._全体実績予測),
  "")
)</f>
        <v>305.70690435055866</v>
      </c>
      <c r="AP132" s="451">
        <f>_xlfn.LET(_xlpm._全体実績予測,
  INDEX('在庫使用計画 (全体実績+予測）0701'!$A$1:$BD$195,
    MATCH($C132,'在庫使用計画 (全体実績+予測）0701'!$C$1:$C$195,0),
    MATCH(AP$1,'在庫使用計画 (全体実績+予測）0701'!$A$1:$BD$1,0)
),
  IFERROR(
    IF(_xlpm._全体実績予測=0,"",_xlpm._全体実績予測),
  "")
)</f>
        <v>281.17670966994996</v>
      </c>
      <c r="AQ132" s="2121">
        <f>_xlfn.LET(_xlpm._全体実績予測,
  INDEX('在庫使用計画 (全体実績+予測）0701'!$A$1:$BD$195,
    MATCH($C132,'在庫使用計画 (全体実績+予測）0701'!$C$1:$C$195,0),
    MATCH(AQ$1,'在庫使用計画 (全体実績+予測）0701'!$A$1:$BD$1,0)
),
  IFERROR(
    IF(_xlpm._全体実績予測=0,"",_xlpm._全体実績予測),
  "")
)</f>
        <v>303.73517371783771</v>
      </c>
      <c r="AR132" s="2137">
        <f>_xlfn.LET(_xlpm._全体実績予測,
  INDEX('在庫使用計画 (全体実績+予測）0701'!$A$1:$BD$195,
    MATCH($C132,'在庫使用計画 (全体実績+予測）0701'!$C$1:$C$195,0),
    MATCH(AR$1,'在庫使用計画 (全体実績+予測）0701'!$A$1:$BD$1,0)
),
  IFERROR(
    IF(_xlpm._全体実績予測=0,"",_xlpm._全体実績予測),
  "")
)</f>
        <v>327.09009152697507</v>
      </c>
      <c r="AS132" s="1292">
        <f>_xlfn.LET(_xlpm._全体実績予測,
  INDEX('在庫使用計画 (全体実績+予測）0701'!$A$1:$BD$195,
    MATCH($C132,'在庫使用計画 (全体実績+予測）0701'!$C$1:$C$195,0),
    MATCH(AS$1,'在庫使用計画 (全体実績+予測）0701'!$A$1:$BD$1,0)
),
  IFERROR(
    IF(_xlpm._全体実績予測=0,"",_xlpm._全体実績予測),
  "")
)</f>
        <v>338.52182589497727</v>
      </c>
      <c r="AT132" s="897">
        <f>_xlfn.LET(_xlpm._全体実績予測,
  INDEX('在庫使用計画 (全体実績+予測）0701'!$A$1:$BD$195,
    MATCH($C132,'在庫使用計画 (全体実績+予測）0701'!$C$1:$C$195,0),
    MATCH(AT$1,'在庫使用計画 (全体実績+予測）0701'!$A$1:$BD$1,0)
),
  IFERROR(
    IF(_xlpm._全体実績予測=0,"",_xlpm._全体実績予測),
  "")
)</f>
        <v>498.95685644508148</v>
      </c>
      <c r="AU132" s="896">
        <f>_xlfn.LET(_xlpm._全体実績予測,
  INDEX('在庫使用計画 (全体実績+予測）0701'!$A$1:$BD$195,
    MATCH($C132,'在庫使用計画 (全体実績+予測）0701'!$C$1:$C$195,0),
    MATCH(AU$1,'在庫使用計画 (全体実績+予測）0701'!$A$1:$BD$1,0)
),
  IFERROR(
    IF(_xlpm._全体実績予測=0,"",_xlpm._全体実績予測),
  "")
)</f>
        <v>430.58405395120406</v>
      </c>
      <c r="AV132" s="451">
        <f>_xlfn.LET(_xlpm._全体実績予測,
  INDEX('在庫使用計画 (全体実績+予測）0701'!$A$1:$BD$195,
    MATCH($C132,'在庫使用計画 (全体実績+予測）0701'!$C$1:$C$195,0),
    MATCH(AV$1,'在庫使用計画 (全体実績+予測）0701'!$A$1:$BD$1,0)
),
  IFERROR(
    IF(_xlpm._全体実績予測=0,"",_xlpm._全体実績予測),
  "")
)</f>
        <v>405.96005776117062</v>
      </c>
      <c r="AW132" s="451">
        <f>_xlfn.LET(_xlpm._全体実績予測,
  INDEX('在庫使用計画 (全体実績+予測）0701'!$A$1:$BD$195,
    MATCH($C132,'在庫使用計画 (全体実績+予測）0701'!$C$1:$C$195,0),
    MATCH(AW$1,'在庫使用計画 (全体実績+予測）0701'!$A$1:$BD$1,0)
),
  IFERROR(
    IF(_xlpm._全体実績予測=0,"",_xlpm._全体実績予測),
  "")
)</f>
        <v>599.93764276897775</v>
      </c>
      <c r="AX132" s="451">
        <f>_xlfn.LET(_xlpm._全体実績予測,
  INDEX('在庫使用計画 (全体実績+予測）0701'!$A$1:$BD$195,
    MATCH($C132,'在庫使用計画 (全体実績+予測）0701'!$C$1:$C$195,0),
    MATCH(AX$1,'在庫使用計画 (全体実績+予測）0701'!$A$1:$BD$1,0)
),
  IFERROR(
    IF(_xlpm._全体実績予測=0,"",_xlpm._全体実績予測),
  "")
)</f>
        <v>368.3809640317204</v>
      </c>
      <c r="AY132" s="451">
        <f>_xlfn.LET(_xlpm._全体実績予測,
  INDEX('在庫使用計画 (全体実績+予測）0701'!$A$1:$BD$195,
    MATCH($C132,'在庫使用計画 (全体実績+予測）0701'!$C$1:$C$195,0),
    MATCH(AY$1,'在庫使用計画 (全体実績+予測）0701'!$A$1:$BD$1,0)
),
  IFERROR(
    IF(_xlpm._全体実績予測=0,"",_xlpm._全体実績予測),
  "")
)</f>
        <v>267.16103834679649</v>
      </c>
      <c r="AZ132" s="451">
        <f>_xlfn.LET(_xlpm._全体実績予測,
  INDEX('在庫使用計画 (全体実績+予測）0701'!$A$1:$BD$195,
    MATCH($C132,'在庫使用計画 (全体実績+予測）0701'!$C$1:$C$195,0),
    MATCH(AZ$1,'在庫使用計画 (全体実績+予測）0701'!$A$1:$BD$1,0)
),
  IFERROR(
    IF(_xlpm._全体実績予測=0,"",_xlpm._全体実績予測),
  "")
)</f>
        <v>278.57142857142861</v>
      </c>
      <c r="BA132" s="451">
        <f>_xlfn.LET(_xlpm._全体実績予測,
  INDEX('在庫使用計画 (全体実績+予測）0701'!$A$1:$BD$195,
    MATCH($C132,'在庫使用計画 (全体実績+予測）0701'!$C$1:$C$195,0),
    MATCH(BA$1,'在庫使用計画 (全体実績+予測）0701'!$A$1:$BD$1,0)
),
  IFERROR(
    IF(_xlpm._全体実績予測=0,"",_xlpm._全体実績予測),
  "")
)</f>
        <v>305.70690435055866</v>
      </c>
      <c r="BB132" s="451">
        <f>_xlfn.LET(_xlpm._全体実績予測,
  INDEX('在庫使用計画 (全体実績+予測）0701'!$A$1:$BD$195,
    MATCH($C132,'在庫使用計画 (全体実績+予測）0701'!$C$1:$C$195,0),
    MATCH(BB$1,'在庫使用計画 (全体実績+予測）0701'!$A$1:$BD$1,0)
),
  IFERROR(
    IF(_xlpm._全体実績予測=0,"",_xlpm._全体実績予測),
  "")
)</f>
        <v>281.17670966994996</v>
      </c>
      <c r="BC132" s="451">
        <f>_xlfn.LET(_xlpm._全体実績予測,
  INDEX('在庫使用計画 (全体実績+予測）0701'!$A$1:$BD$195,
    MATCH($C132,'在庫使用計画 (全体実績+予測）0701'!$C$1:$C$195,0),
    MATCH(BC$1,'在庫使用計画 (全体実績+予測）0701'!$A$1:$BD$1,0)
),
  IFERROR(
    IF(_xlpm._全体実績予測=0,"",_xlpm._全体実績予測),
  "")
)</f>
        <v>303.73517371783771</v>
      </c>
      <c r="BD132" s="451">
        <f>_xlfn.LET(_xlpm._全体実績予測,
  INDEX('在庫使用計画 (全体実績+予測）0701'!$A$1:$BD$195,
    MATCH($C132,'在庫使用計画 (全体実績+予測）0701'!$C$1:$C$195,0),
    MATCH(BD$1,'在庫使用計画 (全体実績+予測）0701'!$A$1:$BD$1,0)
),
  IFERROR(
    IF(_xlpm._全体実績予測=0,"",_xlpm._全体実績予測),
  "")
)</f>
        <v>327.09009152697507</v>
      </c>
      <c r="BE132" s="451">
        <f>_xlfn.LET(_xlpm._全体実績予測,
  INDEX('在庫使用計画 (全体実績+予測）0701'!$A$1:$BD$195,
    MATCH($C132,'在庫使用計画 (全体実績+予測）0701'!$C$1:$C$195,0),
    MATCH(BE$1,'在庫使用計画 (全体実績+予測）0701'!$A$1:$BD$1,0)
),
  IFERROR(
    IF(_xlpm._全体実績予測=0,"",_xlpm._全体実績予測),
  "")
)</f>
        <v>338.52182589497727</v>
      </c>
      <c r="BF132" s="897">
        <f>_xlfn.LET(_xlpm._全体実績予測,
  INDEX('在庫使用計画 (全体実績+予測）0701'!$A$1:$BD$195,
    MATCH($C132,'在庫使用計画 (全体実績+予測）0701'!$C$1:$C$195,0),
    MATCH(BF$1,'在庫使用計画 (全体実績+予測）0701'!$A$1:$BD$1,0)
),
  IFERROR(
    IF(_xlpm._全体実績予測=0,"",_xlpm._全体実績予測),
  "")
)</f>
        <v>498.95685644508148</v>
      </c>
    </row>
    <row r="133" spans="1:59" ht="18.75" customHeight="1">
      <c r="A133" s="124" t="s">
        <v>1442</v>
      </c>
      <c r="B133" s="300" t="str">
        <v>CLE-L24-226V-UMA-16G-L7 Thirdwave</v>
      </c>
      <c r="C133" s="194" t="s">
        <v>1445</v>
      </c>
      <c r="D133" s="194" t="s">
        <v>1446</v>
      </c>
      <c r="E133" s="68" t="s">
        <v>1410</v>
      </c>
      <c r="F133" s="195" t="s">
        <v>1324</v>
      </c>
      <c r="G133" s="38">
        <v>625</v>
      </c>
      <c r="H133" s="38">
        <f ca="1">_xlfn.LET(_xlpm._今月から4ヶ月計画合計,
  SUM(
    OFFSET($A133,0,
      MATCH(
        EDATE(基準データ!$C$5,3),$A$1:$BE$1,1
      )-4,1,4)),
  IF($C133="","",_xlpm._今月から4ヶ月計画合計
)
)</f>
        <v>540</v>
      </c>
      <c r="I133" s="38">
        <f>SUMIFS(マスタ_EOLリスト[在庫],マスタ_EOLリスト[製品型番],'在庫使用計画 (計画　予測)'!$C:$C)</f>
        <v>625</v>
      </c>
      <c r="J133" s="1116" cm="1">
        <f t="array" ref="J133">_xlfn.IFS($C133="","",
  $G133="","発売前？",
  $G133=0,"在庫なし",
  TRUE,
  IFERROR(
    _xlfn.LET(
      _xlpm._在庫注残,     $G133,
      _xlpm._しきい値,     _xlpm._在庫注残 * 0.75,
      _xlpm._見出し元,     $K$1:$BT$1,
      _xlpm._計画,         $K133:$BT133,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46204</v>
      </c>
      <c r="K133" s="319"/>
      <c r="L133" s="319"/>
      <c r="M133" s="319"/>
      <c r="N133" s="320"/>
      <c r="O133" s="311" t="s">
        <v>21</v>
      </c>
      <c r="P133" s="311" t="s">
        <v>21</v>
      </c>
      <c r="Q133" s="313" t="s">
        <v>21</v>
      </c>
      <c r="R133" s="1353" t="s">
        <v>21</v>
      </c>
      <c r="S133" s="298" t="s">
        <v>21</v>
      </c>
      <c r="T133" s="219">
        <v>30</v>
      </c>
      <c r="U133" s="219">
        <v>80</v>
      </c>
      <c r="V133" s="219">
        <v>94</v>
      </c>
      <c r="W133" s="219">
        <v>76</v>
      </c>
      <c r="X133" s="219">
        <v>115</v>
      </c>
      <c r="Y133" s="219">
        <v>218</v>
      </c>
      <c r="Z133" s="219">
        <v>155</v>
      </c>
      <c r="AA133" s="219">
        <v>150</v>
      </c>
      <c r="AB133" s="219">
        <v>170</v>
      </c>
      <c r="AC133" s="1377">
        <v>230</v>
      </c>
      <c r="AD133" s="535">
        <v>113</v>
      </c>
      <c r="AE133" s="219">
        <v>160</v>
      </c>
      <c r="AF133" s="219">
        <v>110</v>
      </c>
      <c r="AG133" s="219">
        <v>75</v>
      </c>
      <c r="AH133" s="480">
        <v>104</v>
      </c>
      <c r="AI133" s="835">
        <v>77</v>
      </c>
      <c r="AJ133" s="224">
        <v>54</v>
      </c>
      <c r="AK133" s="224">
        <v>160</v>
      </c>
      <c r="AL133" s="224">
        <v>255</v>
      </c>
      <c r="AM133" s="224">
        <f>_xlfn.XLOOKUP(
$C133,
'在庫使用計画 (ノート全体試算)'!$C$1:$C$170,
'在庫使用計画 (ノート全体試算)'!AN$1:AN$170,
"")</f>
        <v>150</v>
      </c>
      <c r="AN133" s="237">
        <f>_xlfn.XLOOKUP(
$C133,
'在庫使用計画 (ノート全体試算)'!$C$1:$C$170,
'在庫使用計画 (ノート全体試算)'!AO$1:AO$170,
"")</f>
        <v>85</v>
      </c>
      <c r="AO133" s="237">
        <f>_xlfn.XLOOKUP(
$C133,
'在庫使用計画 (ノート全体試算)'!$C$1:$C$170,
'在庫使用計画 (ノート全体試算)'!AP$1:AP$170,
"")</f>
        <v>490</v>
      </c>
      <c r="AP133" s="224">
        <f>_xlfn.XLOOKUP(
$C133,
'在庫使用計画 (ノート全体試算)'!$C$1:$C$170,
'在庫使用計画 (ノート全体試算)'!AQ$1:AQ$170,
"")</f>
        <v>40</v>
      </c>
      <c r="AQ133" s="1050">
        <f>_xlfn.XLOOKUP(
$C133,
'在庫使用計画 (ノート全体試算)'!$C$1:$C$170,
'在庫使用計画 (ノート全体試算)'!AR$1:AR$170,
"")</f>
        <v>10</v>
      </c>
      <c r="AR133" s="2130" t="str">
        <f>_xlfn.XLOOKUP(
$C133,
'在庫使用計画 (ノート全体試算)'!$C$1:$C$170,
'在庫使用計画 (ノート全体試算)'!AS$1:AS$170,
"")</f>
        <v/>
      </c>
      <c r="AS133" s="244" t="str">
        <f>_xlfn.XLOOKUP(
$C133,
'在庫使用計画 (ノート全体試算)'!$C$1:$C$170,
'在庫使用計画 (ノート全体試算)'!AT$1:AT$170,
"")</f>
        <v/>
      </c>
      <c r="AT133" s="805" t="str">
        <f>_xlfn.XLOOKUP(
$C133,
'在庫使用計画 (ノート全体試算)'!$C$1:$C$170,
'在庫使用計画 (ノート全体試算)'!AU$1:AU$170,
"")</f>
        <v/>
      </c>
      <c r="AU133" s="835" t="str">
        <f>_xlfn.XLOOKUP(
$C133,
'在庫使用計画 (ノート全体試算)'!$C$1:$C$170,
'在庫使用計画 (ノート全体試算)'!AV$1:AV$170,
"")</f>
        <v/>
      </c>
      <c r="AV133" s="224" t="str">
        <f>_xlfn.XLOOKUP(
$C133,
'在庫使用計画 (ノート全体試算)'!$C$1:$C$170,
'在庫使用計画 (ノート全体試算)'!AW$1:AW$170,
"")</f>
        <v/>
      </c>
      <c r="AW133" s="224" t="str">
        <f>_xlfn.XLOOKUP(
$C133,
'在庫使用計画 (ノート全体試算)'!$C$1:$C$170,
'在庫使用計画 (ノート全体試算)'!AX$1:AX$170,
"")</f>
        <v/>
      </c>
      <c r="AX133" s="224" t="str">
        <f>_xlfn.XLOOKUP(
$C133,
'在庫使用計画 (ノート全体試算)'!$C$1:$C$170,
'在庫使用計画 (ノート全体試算)'!AY$1:AY$170,
"")</f>
        <v/>
      </c>
      <c r="AY133" s="224" t="str">
        <f>_xlfn.XLOOKUP(
$C133,
'在庫使用計画 (ノート全体試算)'!$C$1:$C$170,
'在庫使用計画 (ノート全体試算)'!AZ$1:AZ$170,
"")</f>
        <v/>
      </c>
      <c r="AZ133" s="224" t="str">
        <f>_xlfn.XLOOKUP(
$C133,
'在庫使用計画 (ノート全体試算)'!$C$1:$C$170,
'在庫使用計画 (ノート全体試算)'!BA$1:BA$170,
"")</f>
        <v/>
      </c>
      <c r="BA133" s="224" t="str">
        <f>_xlfn.XLOOKUP(
$C133,
'在庫使用計画 (ノート全体試算)'!$C$1:$C$170,
'在庫使用計画 (ノート全体試算)'!BB$1:BB$170,
"")</f>
        <v/>
      </c>
      <c r="BB133" s="224" t="str">
        <f>_xlfn.XLOOKUP(
$C133,
'在庫使用計画 (ノート全体試算)'!$C$1:$C$170,
'在庫使用計画 (ノート全体試算)'!BC$1:BC$170,
"")</f>
        <v/>
      </c>
      <c r="BC133" s="224" t="str">
        <f>_xlfn.XLOOKUP(
$C133,
'在庫使用計画 (ノート全体試算)'!$C$1:$C$170,
'在庫使用計画 (ノート全体試算)'!BD$1:BD$170,
"")</f>
        <v/>
      </c>
      <c r="BD133" s="224" t="str">
        <f>_xlfn.XLOOKUP(
$C133,
'在庫使用計画 (ノート全体試算)'!$C$1:$C$170,
'在庫使用計画 (ノート全体試算)'!BE$1:BE$170,
"")</f>
        <v/>
      </c>
      <c r="BE133" s="224" t="str">
        <f>_xlfn.XLOOKUP(
$C133,
'在庫使用計画 (ノート全体試算)'!$C$1:$C$170,
'在庫使用計画 (ノート全体試算)'!BF$1:BF$170,
"")</f>
        <v/>
      </c>
      <c r="BF133" s="805" t="str">
        <f>_xlfn.XLOOKUP(
$C133,
'在庫使用計画 (ノート全体試算)'!$C$1:$C$170,
'在庫使用計画 (ノート全体試算)'!BG$1:BG$170,
"")</f>
        <v/>
      </c>
      <c r="BG133" s="2091" t="s">
        <v>2666</v>
      </c>
    </row>
    <row r="134" spans="1:59" ht="18.75" customHeight="1">
      <c r="A134" s="459"/>
      <c r="B134" s="460" t="str">
        <v>CLE-L24-226V-UMA-16G-L7 Thirdwave</v>
      </c>
      <c r="C134" s="461" t="s">
        <v>1445</v>
      </c>
      <c r="D134" s="460" t="s">
        <v>1763</v>
      </c>
      <c r="E134" s="460"/>
      <c r="F134" s="462"/>
      <c r="G134" s="448">
        <v>625</v>
      </c>
      <c r="H134" s="448">
        <f ca="1">_xlfn.LET(_xlpm._今月から4ヶ月計画合計,
  SUM(
    OFFSET($A134,0,
      MATCH(
        EDATE(基準データ!$C$5,3),$A$1:$BE$1,1
      )-4,1,4)),
  IF($C134="","",_xlpm._今月から4ヶ月計画合計
)
)</f>
        <v>42.151461205338052</v>
      </c>
      <c r="I134" s="448">
        <f t="shared" si="19"/>
        <v>625</v>
      </c>
      <c r="J134" s="1116" t="str" cm="1">
        <f t="array" ref="J134">_xlfn.IFS($C134="","",
  $G134="","発売前？",
  $G134=0,"在庫なし",
  TRUE,
  IFERROR(
    _xlfn.LET(
      _xlpm._在庫注残,     $G134,
      _xlpm._しきい値,     _xlpm._在庫注残 * 0.75,
      _xlpm._見出し元,     $K$1:$BT$1,
      _xlpm._計画,         $K134:$BT134,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合計223、在庫+注残625のため不足</v>
      </c>
      <c r="K134" s="463"/>
      <c r="L134" s="463"/>
      <c r="M134" s="463"/>
      <c r="N134" s="463"/>
      <c r="O134" s="463"/>
      <c r="P134" s="463"/>
      <c r="Q134" s="1329"/>
      <c r="R134" s="1371"/>
      <c r="S134" s="451"/>
      <c r="T134" s="451"/>
      <c r="U134" s="451"/>
      <c r="V134" s="464"/>
      <c r="W134" s="451">
        <v>19</v>
      </c>
      <c r="X134" s="451">
        <v>76</v>
      </c>
      <c r="Y134" s="451">
        <v>158</v>
      </c>
      <c r="Z134" s="465">
        <v>19</v>
      </c>
      <c r="AA134" s="465">
        <v>52</v>
      </c>
      <c r="AB134" s="451">
        <v>169</v>
      </c>
      <c r="AC134" s="1372">
        <v>282</v>
      </c>
      <c r="AD134" s="1340">
        <v>37</v>
      </c>
      <c r="AE134" s="465">
        <v>13</v>
      </c>
      <c r="AF134" s="465">
        <v>31</v>
      </c>
      <c r="AG134" s="451">
        <v>31</v>
      </c>
      <c r="AH134" s="889">
        <v>102</v>
      </c>
      <c r="AI134" s="896">
        <v>86</v>
      </c>
      <c r="AJ134" s="451">
        <v>53</v>
      </c>
      <c r="AK134" s="451">
        <v>140</v>
      </c>
      <c r="AL134" s="451">
        <v>255</v>
      </c>
      <c r="AM134" s="451">
        <f>_xlfn.LET(_xlpm._全体実績予測,
  INDEX('在庫使用計画 (全体実績+予測）0701'!$A$1:$BD$195,
    MATCH($C134,'在庫使用計画 (全体実績+予測）0701'!$C$1:$C$195,0),
    MATCH(AM$1,'在庫使用計画 (全体実績+予測）0701'!$A$1:$BD$1,0)
),
  IFERROR(
    IF(_xlpm._全体実績予測=0,"",_xlpm._全体実績予測),
  "")
)</f>
        <v>46</v>
      </c>
      <c r="AN134" s="889">
        <f>_xlfn.LET(_xlpm._全体実績予測,
  INDEX('在庫使用計画 (全体実績+予測）0701'!$A$1:$BD$195,
    MATCH($C134,'在庫使用計画 (全体実績+予測）0701'!$C$1:$C$195,0),
    MATCH(AN$1,'在庫使用計画 (全体実績+予測）0701'!$A$1:$BD$1,0)
),
  IFERROR(
    IF(_xlpm._全体実績予測=0,"",_xlpm._全体実績予測),
  "")
)</f>
        <v>9.6428571428571441</v>
      </c>
      <c r="AO134" s="889">
        <f>_xlfn.LET(_xlpm._全体実績予測,
  INDEX('在庫使用計画 (全体実績+予測）0701'!$A$1:$BD$195,
    MATCH($C134,'在庫使用計画 (全体実績+予測）0701'!$C$1:$C$195,0),
    MATCH(AO$1,'在庫使用計画 (全体実績+予測）0701'!$A$1:$BD$1,0)
),
  IFERROR(
    IF(_xlpm._全体実績予測=0,"",_xlpm._全体実績予測),
  "")
)</f>
        <v>10.582162073673185</v>
      </c>
      <c r="AP134" s="451">
        <f>_xlfn.LET(_xlpm._全体実績予測,
  INDEX('在庫使用計画 (全体実績+予測）0701'!$A$1:$BD$195,
    MATCH($C134,'在庫使用計画 (全体実績+予測）0701'!$C$1:$C$195,0),
    MATCH(AP$1,'在庫使用計画 (全体実績+予測）0701'!$A$1:$BD$1,0)
),
  IFERROR(
    IF(_xlpm._全体実績予測=0,"",_xlpm._全体実績予測),
  "")
)</f>
        <v>9.7330399501136533</v>
      </c>
      <c r="AQ134" s="2121">
        <f>_xlfn.LET(_xlpm._全体実績予測,
  INDEX('在庫使用計画 (全体実績+予測）0701'!$A$1:$BD$195,
    MATCH($C134,'在庫使用計画 (全体実績+予測）0701'!$C$1:$C$195,0),
    MATCH(AQ$1,'在庫使用計画 (全体実績+予測）0701'!$A$1:$BD$1,0)
),
  IFERROR(
    IF(_xlpm._全体実績予測=0,"",_xlpm._全体実績予測),
  "")
)</f>
        <v>10.513909859463613</v>
      </c>
      <c r="AR134" s="2137">
        <f>_xlfn.LET(_xlpm._全体実績予測,
  INDEX('在庫使用計画 (全体実績+予測）0701'!$A$1:$BD$195,
    MATCH($C134,'在庫使用計画 (全体実績+予測）0701'!$C$1:$C$195,0),
    MATCH(AR$1,'在庫使用計画 (全体実績+予測）0701'!$A$1:$BD$1,0)
),
  IFERROR(
    IF(_xlpm._全体実績予測=0,"",_xlpm._全体実績予測),
  "")
)</f>
        <v>11.322349322087598</v>
      </c>
      <c r="AS134" s="1292">
        <f>_xlfn.LET(_xlpm._全体実績予測,
  INDEX('在庫使用計画 (全体実績+予測）0701'!$A$1:$BD$195,
    MATCH($C134,'在庫使用計画 (全体実績+予測）0701'!$C$1:$C$195,0),
    MATCH(AS$1,'在庫使用計画 (全体実績+予測）0701'!$A$1:$BD$1,0)
),
  IFERROR(
    IF(_xlpm._全体実績予測=0,"",_xlpm._全体実績予測),
  "")
)</f>
        <v>11.718063204056905</v>
      </c>
      <c r="AT134" s="897">
        <f>_xlfn.LET(_xlpm._全体実績予測,
  INDEX('在庫使用計画 (全体実績+予測）0701'!$A$1:$BD$195,
    MATCH($C134,'在庫使用計画 (全体実績+予測）0701'!$C$1:$C$195,0),
    MATCH(AT$1,'在庫使用計画 (全体実績+予測）0701'!$A$1:$BD$1,0)
),
  IFERROR(
    IF(_xlpm._全体実績予測=0,"",_xlpm._全体実績予測),
  "")
)</f>
        <v>17.271583492329743</v>
      </c>
      <c r="AU134" s="896">
        <f>_xlfn.LET(_xlpm._全体実績予測,
  INDEX('在庫使用計画 (全体実績+予測）0701'!$A$1:$BD$195,
    MATCH($C134,'在庫使用計画 (全体実績+予測）0701'!$C$1:$C$195,0),
    MATCH(AU$1,'在庫使用計画 (全体実績+予測）0701'!$A$1:$BD$1,0)
),
  IFERROR(
    IF(_xlpm._全体実績予測=0,"",_xlpm._全体実績予測),
  "")
)</f>
        <v>14.904832636772447</v>
      </c>
      <c r="AV134" s="451">
        <f>_xlfn.LET(_xlpm._全体実績予測,
  INDEX('在庫使用計画 (全体実績+予測）0701'!$A$1:$BD$195,
    MATCH($C134,'在庫使用計画 (全体実績+予測）0701'!$C$1:$C$195,0),
    MATCH(AV$1,'在庫使用計画 (全体実績+予測）0701'!$A$1:$BD$1,0)
),
  IFERROR(
    IF(_xlpm._全体実績予測=0,"",_xlpm._全体実績予測),
  "")
)</f>
        <v>14.052463537886675</v>
      </c>
      <c r="AW134" s="451">
        <f>_xlfn.LET(_xlpm._全体実績予測,
  INDEX('在庫使用計画 (全体実績+予測）0701'!$A$1:$BD$195,
    MATCH($C134,'在庫使用計画 (全体実績+予測）0701'!$C$1:$C$195,0),
    MATCH(AW$1,'在庫使用計画 (全体実績+予測）0701'!$A$1:$BD$1,0)
),
  IFERROR(
    IF(_xlpm._全体実績予測=0,"",_xlpm._全体実績予測),
  "")
)</f>
        <v>20.767072249695385</v>
      </c>
      <c r="AX134" s="451">
        <f>_xlfn.LET(_xlpm._全体実績予測,
  INDEX('在庫使用計画 (全体実績+予測）0701'!$A$1:$BD$195,
    MATCH($C134,'在庫使用計画 (全体実績+予測）0701'!$C$1:$C$195,0),
    MATCH(AX$1,'在庫使用計画 (全体実績+予測）0701'!$A$1:$BD$1,0)
),
  IFERROR(
    IF(_xlpm._全体実績予測=0,"",_xlpm._全体実績予測),
  "")
)</f>
        <v>12.751648754944169</v>
      </c>
      <c r="AY134" s="451">
        <f>_xlfn.LET(_xlpm._全体実績予測,
  INDEX('在庫使用計画 (全体実績+予測）0701'!$A$1:$BD$195,
    MATCH($C134,'在庫使用計画 (全体実績+予測）0701'!$C$1:$C$195,0),
    MATCH(AY$1,'在庫使用計画 (全体実績+予測）0701'!$A$1:$BD$1,0)
),
  IFERROR(
    IF(_xlpm._全体実績予測=0,"",_xlpm._全体実績予測),
  "")
)</f>
        <v>9.2478820966198789</v>
      </c>
      <c r="AZ134" s="451">
        <f>_xlfn.LET(_xlpm._全体実績予測,
  INDEX('在庫使用計画 (全体実績+予測）0701'!$A$1:$BD$195,
    MATCH($C134,'在庫使用計画 (全体実績+予測）0701'!$C$1:$C$195,0),
    MATCH(AZ$1,'在庫使用計画 (全体実績+予測）0701'!$A$1:$BD$1,0)
),
  IFERROR(
    IF(_xlpm._全体実績予測=0,"",_xlpm._全体実績予測),
  "")
)</f>
        <v>9.6428571428571441</v>
      </c>
      <c r="BA134" s="451">
        <f>_xlfn.LET(_xlpm._全体実績予測,
  INDEX('在庫使用計画 (全体実績+予測）0701'!$A$1:$BD$195,
    MATCH($C134,'在庫使用計画 (全体実績+予測）0701'!$C$1:$C$195,0),
    MATCH(BA$1,'在庫使用計画 (全体実績+予測）0701'!$A$1:$BD$1,0)
),
  IFERROR(
    IF(_xlpm._全体実績予測=0,"",_xlpm._全体実績予測),
  "")
)</f>
        <v>10.582162073673185</v>
      </c>
      <c r="BB134" s="451">
        <f>_xlfn.LET(_xlpm._全体実績予測,
  INDEX('在庫使用計画 (全体実績+予測）0701'!$A$1:$BD$195,
    MATCH($C134,'在庫使用計画 (全体実績+予測）0701'!$C$1:$C$195,0),
    MATCH(BB$1,'在庫使用計画 (全体実績+予測）0701'!$A$1:$BD$1,0)
),
  IFERROR(
    IF(_xlpm._全体実績予測=0,"",_xlpm._全体実績予測),
  "")
)</f>
        <v>9.7330399501136533</v>
      </c>
      <c r="BC134" s="451">
        <f>_xlfn.LET(_xlpm._全体実績予測,
  INDEX('在庫使用計画 (全体実績+予測）0701'!$A$1:$BD$195,
    MATCH($C134,'在庫使用計画 (全体実績+予測）0701'!$C$1:$C$195,0),
    MATCH(BC$1,'在庫使用計画 (全体実績+予測）0701'!$A$1:$BD$1,0)
),
  IFERROR(
    IF(_xlpm._全体実績予測=0,"",_xlpm._全体実績予測),
  "")
)</f>
        <v>10.513909859463613</v>
      </c>
      <c r="BD134" s="451">
        <f>_xlfn.LET(_xlpm._全体実績予測,
  INDEX('在庫使用計画 (全体実績+予測）0701'!$A$1:$BD$195,
    MATCH($C134,'在庫使用計画 (全体実績+予測）0701'!$C$1:$C$195,0),
    MATCH(BD$1,'在庫使用計画 (全体実績+予測）0701'!$A$1:$BD$1,0)
),
  IFERROR(
    IF(_xlpm._全体実績予測=0,"",_xlpm._全体実績予測),
  "")
)</f>
        <v>11.322349322087598</v>
      </c>
      <c r="BE134" s="451">
        <f>_xlfn.LET(_xlpm._全体実績予測,
  INDEX('在庫使用計画 (全体実績+予測）0701'!$A$1:$BD$195,
    MATCH($C134,'在庫使用計画 (全体実績+予測）0701'!$C$1:$C$195,0),
    MATCH(BE$1,'在庫使用計画 (全体実績+予測）0701'!$A$1:$BD$1,0)
),
  IFERROR(
    IF(_xlpm._全体実績予測=0,"",_xlpm._全体実績予測),
  "")
)</f>
        <v>11.718063204056905</v>
      </c>
      <c r="BF134" s="897">
        <f>_xlfn.LET(_xlpm._全体実績予測,
  INDEX('在庫使用計画 (全体実績+予測）0701'!$A$1:$BD$195,
    MATCH($C134,'在庫使用計画 (全体実績+予測）0701'!$C$1:$C$195,0),
    MATCH(BF$1,'在庫使用計画 (全体実績+予測）0701'!$A$1:$BD$1,0)
),
  IFERROR(
    IF(_xlpm._全体実績予測=0,"",_xlpm._全体実績予測),
  "")
)</f>
        <v>17.271583492329743</v>
      </c>
    </row>
    <row r="135" spans="1:59" ht="18.75" customHeight="1">
      <c r="A135" s="124" t="s">
        <v>1442</v>
      </c>
      <c r="B135" s="304" t="str">
        <v>CLE-L24-U7-355-UMA-32G-L7 Thirdwave</v>
      </c>
      <c r="C135" s="305" t="s">
        <v>1799</v>
      </c>
      <c r="D135" s="305" t="s">
        <v>1446</v>
      </c>
      <c r="E135" s="108" t="s">
        <v>1410</v>
      </c>
      <c r="F135" s="306" t="s">
        <v>1324</v>
      </c>
      <c r="G135" s="74">
        <v>1001</v>
      </c>
      <c r="H135" s="38">
        <f ca="1">_xlfn.LET(_xlpm._今月から4ヶ月計画合計,
  SUM(
    OFFSET($A135,0,
      MATCH(
        EDATE(基準データ!$C$5,3),$A$1:$BE$1,1
      )-4,1,4)),
  IF($C135="","",_xlpm._今月から4ヶ月計画合計
)
)</f>
        <v>868</v>
      </c>
      <c r="I135" s="74">
        <f>SUMIFS(マスタ_EOLリスト[在庫],マスタ_EOLリスト[製品型番],'在庫使用計画 (計画　予測)'!$C:$C)</f>
        <v>301</v>
      </c>
      <c r="J135" s="1116" cm="1">
        <f t="array" ref="J135">_xlfn.IFS($C135="","",
  $G135="","発売前？",
  $G135=0,"在庫なし",
  TRUE,
  IFERROR(
    _xlfn.LET(
      _xlpm._在庫注残,     $G135,
      _xlpm._しきい値,     _xlpm._在庫注残 * 0.75,
      _xlpm._見出し元,     $K$1:$BT$1,
      _xlpm._計画,         $K135:$BT135,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46296</v>
      </c>
      <c r="K135" s="268"/>
      <c r="L135" s="268"/>
      <c r="M135" s="268"/>
      <c r="N135" s="269"/>
      <c r="O135" s="180" t="s">
        <v>21</v>
      </c>
      <c r="P135" s="180" t="s">
        <v>21</v>
      </c>
      <c r="Q135" s="1328" t="s">
        <v>21</v>
      </c>
      <c r="R135" s="1369" t="s">
        <v>21</v>
      </c>
      <c r="S135" s="299" t="s">
        <v>21</v>
      </c>
      <c r="T135" s="224" t="s">
        <v>21</v>
      </c>
      <c r="U135" s="224" t="s">
        <v>21</v>
      </c>
      <c r="V135" s="224" t="s">
        <v>21</v>
      </c>
      <c r="W135" s="224" t="s">
        <v>21</v>
      </c>
      <c r="X135" s="224" t="s">
        <v>21</v>
      </c>
      <c r="Y135" s="224" t="s">
        <v>21</v>
      </c>
      <c r="Z135" s="224" t="s">
        <v>21</v>
      </c>
      <c r="AA135" s="224" t="s">
        <v>21</v>
      </c>
      <c r="AB135" s="224" t="s">
        <v>21</v>
      </c>
      <c r="AC135" s="805" t="s">
        <v>21</v>
      </c>
      <c r="AD135" s="244" t="s">
        <v>21</v>
      </c>
      <c r="AE135" s="224" t="s">
        <v>21</v>
      </c>
      <c r="AF135" s="224" t="s">
        <v>21</v>
      </c>
      <c r="AG135" s="224" t="s">
        <v>21</v>
      </c>
      <c r="AH135" s="237" t="s">
        <v>21</v>
      </c>
      <c r="AI135" s="804" t="s">
        <v>21</v>
      </c>
      <c r="AJ135" s="224">
        <v>20</v>
      </c>
      <c r="AK135" s="224">
        <v>31</v>
      </c>
      <c r="AL135" s="224">
        <v>72</v>
      </c>
      <c r="AM135" s="224">
        <f>_xlfn.XLOOKUP(
$C135,
'在庫使用計画 (ノート全体試算)'!$C$1:$C$170,
'在庫使用計画 (ノート全体試算)'!AN$1:AN$170,
"")</f>
        <v>55</v>
      </c>
      <c r="AN135" s="237">
        <f>_xlfn.XLOOKUP(
$C135,
'在庫使用計画 (ノート全体試算)'!$C$1:$C$170,
'在庫使用計画 (ノート全体試算)'!AO$1:AO$170,
"")</f>
        <v>38</v>
      </c>
      <c r="AO135" s="237">
        <f>_xlfn.XLOOKUP(
$C135,
'在庫使用計画 (ノート全体試算)'!$C$1:$C$170,
'在庫使用計画 (ノート全体試算)'!AP$1:AP$170,
"")</f>
        <v>365</v>
      </c>
      <c r="AP135" s="224">
        <f>_xlfn.XLOOKUP(
$C135,
'在庫使用計画 (ノート全体試算)'!$C$1:$C$170,
'在庫使用計画 (ノート全体試算)'!AQ$1:AQ$170,
"")</f>
        <v>113</v>
      </c>
      <c r="AQ135" s="1050">
        <f>_xlfn.XLOOKUP(
$C135,
'在庫使用計画 (ノート全体試算)'!$C$1:$C$170,
'在庫使用計画 (ノート全体試算)'!AR$1:AR$170,
"")</f>
        <v>110</v>
      </c>
      <c r="AR135" s="2130">
        <f>_xlfn.XLOOKUP(
$C135,
'在庫使用計画 (ノート全体試算)'!$C$1:$C$170,
'在庫使用計画 (ノート全体試算)'!AS$1:AS$170,
"")</f>
        <v>280</v>
      </c>
      <c r="AS135" s="244">
        <f>_xlfn.XLOOKUP(
$C135,
'在庫使用計画 (ノート全体試算)'!$C$1:$C$170,
'在庫使用計画 (ノート全体試算)'!AT$1:AT$170,
"")</f>
        <v>139</v>
      </c>
      <c r="AT135" s="805">
        <f>_xlfn.XLOOKUP(
$C135,
'在庫使用計画 (ノート全体試算)'!$C$1:$C$170,
'在庫使用計画 (ノート全体試算)'!AU$1:AU$170,
"")</f>
        <v>143</v>
      </c>
      <c r="AU135" s="804">
        <f>_xlfn.XLOOKUP(
$C135,
'在庫使用計画 (ノート全体試算)'!$C$1:$C$170,
'在庫使用計画 (ノート全体試算)'!AV$1:AV$170,
"")</f>
        <v>174</v>
      </c>
      <c r="AV135" s="224">
        <f>_xlfn.XLOOKUP(
$C135,
'在庫使用計画 (ノート全体試算)'!$C$1:$C$170,
'在庫使用計画 (ノート全体試算)'!AW$1:AW$170,
"")</f>
        <v>230</v>
      </c>
      <c r="AW135" s="224">
        <f>_xlfn.XLOOKUP(
$C135,
'在庫使用計画 (ノート全体試算)'!$C$1:$C$170,
'在庫使用計画 (ノート全体試算)'!AX$1:AX$170,
"")</f>
        <v>235</v>
      </c>
      <c r="AX135" s="224">
        <f>_xlfn.XLOOKUP(
$C135,
'在庫使用計画 (ノート全体試算)'!$C$1:$C$170,
'在庫使用計画 (ノート全体試算)'!AY$1:AY$170,
"")</f>
        <v>140</v>
      </c>
      <c r="AY135" s="224">
        <f>_xlfn.XLOOKUP(
$C135,
'在庫使用計画 (ノート全体試算)'!$C$1:$C$170,
'在庫使用計画 (ノート全体試算)'!AZ$1:AZ$170,
"")</f>
        <v>130</v>
      </c>
      <c r="AZ135" s="224">
        <f>_xlfn.XLOOKUP(
$C135,
'在庫使用計画 (ノート全体試算)'!$C$1:$C$170,
'在庫使用計画 (ノート全体試算)'!BA$1:BA$170,
"")</f>
        <v>130</v>
      </c>
      <c r="BA135" s="224">
        <f>_xlfn.XLOOKUP(
$C135,
'在庫使用計画 (ノート全体試算)'!$C$1:$C$170,
'在庫使用計画 (ノート全体試算)'!BB$1:BB$170,
"")</f>
        <v>130</v>
      </c>
      <c r="BB135" s="224">
        <f>_xlfn.XLOOKUP(
$C135,
'在庫使用計画 (ノート全体試算)'!$C$1:$C$170,
'在庫使用計画 (ノート全体試算)'!BC$1:BC$170,
"")</f>
        <v>130</v>
      </c>
      <c r="BC135" s="224" t="str">
        <f>_xlfn.XLOOKUP(
$C135,
'在庫使用計画 (ノート全体試算)'!$C$1:$C$170,
'在庫使用計画 (ノート全体試算)'!BD$1:BD$170,
"")</f>
        <v/>
      </c>
      <c r="BD135" s="224" t="str">
        <f>_xlfn.XLOOKUP(
$C135,
'在庫使用計画 (ノート全体試算)'!$C$1:$C$170,
'在庫使用計画 (ノート全体試算)'!BE$1:BE$170,
"")</f>
        <v/>
      </c>
      <c r="BE135" s="224" t="str">
        <f>_xlfn.XLOOKUP(
$C135,
'在庫使用計画 (ノート全体試算)'!$C$1:$C$170,
'在庫使用計画 (ノート全体試算)'!BF$1:BF$170,
"")</f>
        <v/>
      </c>
      <c r="BF135" s="805" t="str">
        <f>_xlfn.XLOOKUP(
$C135,
'在庫使用計画 (ノート全体試算)'!$C$1:$C$170,
'在庫使用計画 (ノート全体試算)'!BG$1:BG$170,
"")</f>
        <v/>
      </c>
      <c r="BG135" s="2091" t="s">
        <v>2663</v>
      </c>
    </row>
    <row r="136" spans="1:59" ht="18.75" customHeight="1">
      <c r="A136" s="459"/>
      <c r="B136" s="460" t="str">
        <v>CLE-L24-U7-355-UMA-32G-L7 Thirdwave</v>
      </c>
      <c r="C136" s="461" t="s">
        <v>718</v>
      </c>
      <c r="D136" s="460" t="s">
        <v>1763</v>
      </c>
      <c r="E136" s="460"/>
      <c r="F136" s="462"/>
      <c r="G136" s="463">
        <v>1001</v>
      </c>
      <c r="H136" s="448">
        <f ca="1">_xlfn.LET(_xlpm._今月から4ヶ月計画合計,
  SUM(
    OFFSET($A136,0,
      MATCH(
        EDATE(基準データ!$C$5,3),$A$1:$BE$1,1
      )-4,1,4)),
  IF($C136="","",_xlpm._今月から4ヶ月計画合計
)
)</f>
        <v>248.22527154254627</v>
      </c>
      <c r="I136" s="463">
        <f t="shared" si="19"/>
        <v>301</v>
      </c>
      <c r="J136" s="1116" cm="1">
        <f t="array" ref="J136">_xlfn.IFS($C136="","",
  $G136="","発売前？",
  $G136=0,"在庫なし",
  TRUE,
  IFERROR(
    _xlfn.LET(
      _xlpm._在庫注残,     $G136,
      _xlpm._しきい値,     _xlpm._在庫注残 * 0.75,
      _xlpm._見出し元,     $K$1:$BT$1,
      _xlpm._計画,         $K136:$BT136,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46478</v>
      </c>
      <c r="K136" s="463"/>
      <c r="L136" s="463"/>
      <c r="M136" s="463"/>
      <c r="N136" s="463"/>
      <c r="O136" s="463"/>
      <c r="P136" s="463"/>
      <c r="Q136" s="1329"/>
      <c r="R136" s="1371"/>
      <c r="S136" s="451"/>
      <c r="T136" s="451"/>
      <c r="U136" s="451"/>
      <c r="V136" s="464"/>
      <c r="W136" s="451" t="s">
        <v>21</v>
      </c>
      <c r="X136" s="451" t="s">
        <v>21</v>
      </c>
      <c r="Y136" s="451" t="s">
        <v>21</v>
      </c>
      <c r="Z136" s="465" t="s">
        <v>21</v>
      </c>
      <c r="AA136" s="465" t="s">
        <v>21</v>
      </c>
      <c r="AB136" s="451" t="s">
        <v>21</v>
      </c>
      <c r="AC136" s="1372" t="s">
        <v>21</v>
      </c>
      <c r="AD136" s="1340" t="s">
        <v>21</v>
      </c>
      <c r="AE136" s="465" t="s">
        <v>21</v>
      </c>
      <c r="AF136" s="465" t="s">
        <v>21</v>
      </c>
      <c r="AG136" s="451" t="s">
        <v>21</v>
      </c>
      <c r="AH136" s="889" t="s">
        <v>21</v>
      </c>
      <c r="AI136" s="896" t="s">
        <v>21</v>
      </c>
      <c r="AJ136" s="451" t="s">
        <v>21</v>
      </c>
      <c r="AK136" s="451">
        <v>9</v>
      </c>
      <c r="AL136" s="451">
        <v>64</v>
      </c>
      <c r="AM136" s="451">
        <f>_xlfn.LET(_xlpm._全体実績予測,
  INDEX('在庫使用計画 (全体実績+予測）0701'!$A$1:$BD$195,
    MATCH($C136,'在庫使用計画 (全体実績+予測）0701'!$C$1:$C$195,0),
    MATCH(AM$1,'在庫使用計画 (全体実績+予測）0701'!$A$1:$BD$1,0)
),
  IFERROR(
    IF(_xlpm._全体実績予測=0,"",_xlpm._全体実績予測),
  "")
)</f>
        <v>12</v>
      </c>
      <c r="AN136" s="889">
        <f>_xlfn.LET(_xlpm._全体実績予測,
  INDEX('在庫使用計画 (全体実績+予測）0701'!$A$1:$BD$195,
    MATCH($C136,'在庫使用計画 (全体実績+予測）0701'!$C$1:$C$195,0),
    MATCH(AN$1,'在庫使用計画 (全体実績+予測）0701'!$A$1:$BD$1,0)
),
  IFERROR(
    IF(_xlpm._全体実績予測=0,"",_xlpm._全体実績予測),
  "")
)</f>
        <v>56.785714285714285</v>
      </c>
      <c r="AO136" s="889">
        <f>_xlfn.LET(_xlpm._全体実績予測,
  INDEX('在庫使用計画 (全体実績+予測）0701'!$A$1:$BD$195,
    MATCH($C136,'在庫使用計画 (全体実績+予測）0701'!$C$1:$C$195,0),
    MATCH(AO$1,'在庫使用計画 (全体実績+予測）0701'!$A$1:$BD$1,0)
),
  IFERROR(
    IF(_xlpm._全体実績予測=0,"",_xlpm._全体実績予測),
  "")
)</f>
        <v>62.317176656075411</v>
      </c>
      <c r="AP136" s="451">
        <f>_xlfn.LET(_xlpm._全体実績予測,
  INDEX('在庫使用計画 (全体実績+予測）0701'!$A$1:$BD$195,
    MATCH($C136,'在庫使用計画 (全体実績+予測）0701'!$C$1:$C$195,0),
    MATCH(AP$1,'在庫使用計画 (全体実績+予測）0701'!$A$1:$BD$1,0)
),
  IFERROR(
    IF(_xlpm._全体実績予測=0,"",_xlpm._全体実績予測),
  "")
)</f>
        <v>57.316790817335949</v>
      </c>
      <c r="AQ136" s="2121">
        <f>_xlfn.LET(_xlpm._全体実績予測,
  INDEX('在庫使用計画 (全体実績+予測）0701'!$A$1:$BD$195,
    MATCH($C136,'在庫使用計画 (全体実績+予測）0701'!$C$1:$C$195,0),
    MATCH(AQ$1,'在庫使用計画 (全体実績+予測）0701'!$A$1:$BD$1,0)
),
  IFERROR(
    IF(_xlpm._全体実績予測=0,"",_xlpm._全体実績予測),
  "")
)</f>
        <v>61.915246950174605</v>
      </c>
      <c r="AR136" s="2137">
        <f>_xlfn.LET(_xlpm._全体実績予測,
  INDEX('在庫使用計画 (全体実績+予測）0701'!$A$1:$BD$195,
    MATCH($C136,'在庫使用計画 (全体実績+予測）0701'!$C$1:$C$195,0),
    MATCH(AR$1,'在庫使用計画 (全体実績+予測）0701'!$A$1:$BD$1,0)
),
  IFERROR(
    IF(_xlpm._全体実績予測=0,"",_xlpm._全体実績予測),
  "")
)</f>
        <v>66.676057118960301</v>
      </c>
      <c r="AS136" s="1292">
        <f>_xlfn.LET(_xlpm._全体実績予測,
  INDEX('在庫使用計画 (全体実績+予測）0701'!$A$1:$BD$195,
    MATCH($C136,'在庫使用計画 (全体実績+予測）0701'!$C$1:$C$195,0),
    MATCH(AS$1,'在庫使用計画 (全体実績+予測）0701'!$A$1:$BD$1,0)
),
  IFERROR(
    IF(_xlpm._全体実績予測=0,"",_xlpm._全体実績予測),
  "")
)</f>
        <v>69.006372201668441</v>
      </c>
      <c r="AT136" s="897">
        <f>_xlfn.LET(_xlpm._全体実績予測,
  INDEX('在庫使用計画 (全体実績+予測）0701'!$A$1:$BD$195,
    MATCH($C136,'在庫使用計画 (全体実績+予測）0701'!$C$1:$C$195,0),
    MATCH(AT$1,'在庫使用計画 (全体実績+予測）0701'!$A$1:$BD$1,0)
),
  IFERROR(
    IF(_xlpm._全体実績予測=0,"",_xlpm._全体実績予測),
  "")
)</f>
        <v>101.71043612149737</v>
      </c>
      <c r="AU136" s="896">
        <f>_xlfn.LET(_xlpm._全体実績予測,
  INDEX('在庫使用計画 (全体実績+予測）0701'!$A$1:$BD$195,
    MATCH($C136,'在庫使用計画 (全体実績+予測）0701'!$C$1:$C$195,0),
    MATCH(AU$1,'在庫使用計画 (全体実績+予測）0701'!$A$1:$BD$1,0)
),
  IFERROR(
    IF(_xlpm._全体実績予測=0,"",_xlpm._全体実績予測),
  "")
)</f>
        <v>87.772903305437737</v>
      </c>
      <c r="AV136" s="451">
        <f>_xlfn.LET(_xlpm._全体実績予測,
  INDEX('在庫使用計画 (全体実績+予測）0701'!$A$1:$BD$195,
    MATCH($C136,'在庫使用計画 (全体実績+予測）0701'!$C$1:$C$195,0),
    MATCH(AV$1,'在庫使用計画 (全体実績+予測）0701'!$A$1:$BD$1,0)
),
  IFERROR(
    IF(_xlpm._全体実績予測=0,"",_xlpm._全体実績予測),
  "")
)</f>
        <v>82.75339638977708</v>
      </c>
      <c r="AW136" s="451">
        <f>_xlfn.LET(_xlpm._全体実績予測,
  INDEX('在庫使用計画 (全体実績+予測）0701'!$A$1:$BD$195,
    MATCH($C136,'在庫使用計画 (全体実績+予測）0701'!$C$1:$C$195,0),
    MATCH(AW$1,'在庫使用計画 (全体実績+予測）0701'!$A$1:$BD$1,0)
),
  IFERROR(
    IF(_xlpm._全体実績予測=0,"",_xlpm._全体実績予測),
  "")
)</f>
        <v>122.29498102598393</v>
      </c>
      <c r="AX136" s="451">
        <f>_xlfn.LET(_xlpm._全体実績予測,
  INDEX('在庫使用計画 (全体実績+予測）0701'!$A$1:$BD$195,
    MATCH($C136,'在庫使用計画 (全体実績+予測）0701'!$C$1:$C$195,0),
    MATCH(AX$1,'在庫使用計画 (全体実績+予測）0701'!$A$1:$BD$1,0)
),
  IFERROR(
    IF(_xlpm._全体実績予測=0,"",_xlpm._全体実績予測),
  "")
)</f>
        <v>75.093042668004543</v>
      </c>
      <c r="AY136" s="451">
        <f>_xlfn.LET(_xlpm._全体実績予測,
  INDEX('在庫使用計画 (全体実績+予測）0701'!$A$1:$BD$195,
    MATCH($C136,'在庫使用計画 (全体実績+予測）0701'!$C$1:$C$195,0),
    MATCH(AY$1,'在庫使用計画 (全体実績+予測）0701'!$A$1:$BD$1,0)
),
  IFERROR(
    IF(_xlpm._全体実績予測=0,"",_xlpm._全体実績予測),
  "")
)</f>
        <v>54.459750124539283</v>
      </c>
      <c r="AZ136" s="451">
        <f>_xlfn.LET(_xlpm._全体実績予測,
  INDEX('在庫使用計画 (全体実績+予測）0701'!$A$1:$BD$195,
    MATCH($C136,'在庫使用計画 (全体実績+予測）0701'!$C$1:$C$195,0),
    MATCH(AZ$1,'在庫使用計画 (全体実績+予測）0701'!$A$1:$BD$1,0)
),
  IFERROR(
    IF(_xlpm._全体実績予測=0,"",_xlpm._全体実績予測),
  "")
)</f>
        <v>56.785714285714292</v>
      </c>
      <c r="BA136" s="451">
        <f>_xlfn.LET(_xlpm._全体実績予測,
  INDEX('在庫使用計画 (全体実績+予測）0701'!$A$1:$BD$195,
    MATCH($C136,'在庫使用計画 (全体実績+予測）0701'!$C$1:$C$195,0),
    MATCH(BA$1,'在庫使用計画 (全体実績+予測）0701'!$A$1:$BD$1,0)
),
  IFERROR(
    IF(_xlpm._全体実績予測=0,"",_xlpm._全体実績予測),
  "")
)</f>
        <v>62.317176656075418</v>
      </c>
      <c r="BB136" s="451">
        <f>_xlfn.LET(_xlpm._全体実績予測,
  INDEX('在庫使用計画 (全体実績+予測）0701'!$A$1:$BD$195,
    MATCH($C136,'在庫使用計画 (全体実績+予測）0701'!$C$1:$C$195,0),
    MATCH(BB$1,'在庫使用計画 (全体実績+予測）0701'!$A$1:$BD$1,0)
),
  IFERROR(
    IF(_xlpm._全体実績予測=0,"",_xlpm._全体実績予測),
  "")
)</f>
        <v>57.316790817335956</v>
      </c>
      <c r="BC136" s="451">
        <f>_xlfn.LET(_xlpm._全体実績予測,
  INDEX('在庫使用計画 (全体実績+予測）0701'!$A$1:$BD$195,
    MATCH($C136,'在庫使用計画 (全体実績+予測）0701'!$C$1:$C$195,0),
    MATCH(BC$1,'在庫使用計画 (全体実績+予測）0701'!$A$1:$BD$1,0)
),
  IFERROR(
    IF(_xlpm._全体実績予測=0,"",_xlpm._全体実績予測),
  "")
)</f>
        <v>61.915246950174613</v>
      </c>
      <c r="BD136" s="451">
        <f>_xlfn.LET(_xlpm._全体実績予測,
  INDEX('在庫使用計画 (全体実績+予測）0701'!$A$1:$BD$195,
    MATCH($C136,'在庫使用計画 (全体実績+予測）0701'!$C$1:$C$195,0),
    MATCH(BD$1,'在庫使用計画 (全体実績+予測）0701'!$A$1:$BD$1,0)
),
  IFERROR(
    IF(_xlpm._全体実績予測=0,"",_xlpm._全体実績予測),
  "")
)</f>
        <v>66.676057118960301</v>
      </c>
      <c r="BE136" s="451">
        <f>_xlfn.LET(_xlpm._全体実績予測,
  INDEX('在庫使用計画 (全体実績+予測）0701'!$A$1:$BD$195,
    MATCH($C136,'在庫使用計画 (全体実績+予測）0701'!$C$1:$C$195,0),
    MATCH(BE$1,'在庫使用計画 (全体実績+予測）0701'!$A$1:$BD$1,0)
),
  IFERROR(
    IF(_xlpm._全体実績予測=0,"",_xlpm._全体実績予測),
  "")
)</f>
        <v>69.006372201668441</v>
      </c>
      <c r="BF136" s="897">
        <f>_xlfn.LET(_xlpm._全体実績予測,
  INDEX('在庫使用計画 (全体実績+予測）0701'!$A$1:$BD$195,
    MATCH($C136,'在庫使用計画 (全体実績+予測）0701'!$C$1:$C$195,0),
    MATCH(BF$1,'在庫使用計画 (全体実績+予測）0701'!$A$1:$BD$1,0)
),
  IFERROR(
    IF(_xlpm._全体実績予測=0,"",_xlpm._全体実績予測),
  "")
)</f>
        <v>101.71043612149737</v>
      </c>
    </row>
    <row r="137" spans="1:59" ht="18.75" customHeight="1">
      <c r="A137" s="124" t="s">
        <v>1442</v>
      </c>
      <c r="B137" s="304" t="str">
        <v>CLE-L24-U5-325-UMA-16G-L7 Thirdwave</v>
      </c>
      <c r="C137" s="305" t="s">
        <v>1800</v>
      </c>
      <c r="D137" s="305" t="s">
        <v>1446</v>
      </c>
      <c r="E137" s="108" t="s">
        <v>1410</v>
      </c>
      <c r="F137" s="306" t="s">
        <v>1324</v>
      </c>
      <c r="G137" s="74">
        <v>1247</v>
      </c>
      <c r="H137" s="38">
        <f ca="1">_xlfn.LET(_xlpm._今月から4ヶ月計画合計,
  SUM(
    OFFSET($A137,0,
      MATCH(
        EDATE(基準データ!$C$5,3),$A$1:$BE$1,1
      )-4,1,4)),
  IF($C137="","",_xlpm._今月から4ヶ月計画合計
)
)</f>
        <v>1109</v>
      </c>
      <c r="I137" s="74">
        <f>SUMIFS(マスタ_EOLリスト[在庫],マスタ_EOLリスト[製品型番],'在庫使用計画 (計画　予測)'!$C:$C)</f>
        <v>247</v>
      </c>
      <c r="J137" s="1116" cm="1">
        <f t="array" ref="J137">_xlfn.IFS($C137="","",
  $G137="","発売前？",
  $G137=0,"在庫なし",
  TRUE,
  IFERROR(
    _xlfn.LET(
      _xlpm._在庫注残,     $G137,
      _xlpm._しきい値,     _xlpm._在庫注残 * 0.75,
      _xlpm._見出し元,     $K$1:$BT$1,
      _xlpm._計画,         $K137:$BT137,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46296</v>
      </c>
      <c r="K137" s="268"/>
      <c r="L137" s="268"/>
      <c r="M137" s="268"/>
      <c r="N137" s="269"/>
      <c r="O137" s="180" t="s">
        <v>21</v>
      </c>
      <c r="P137" s="180" t="s">
        <v>21</v>
      </c>
      <c r="Q137" s="1328" t="s">
        <v>21</v>
      </c>
      <c r="R137" s="1369" t="s">
        <v>21</v>
      </c>
      <c r="S137" s="299" t="s">
        <v>21</v>
      </c>
      <c r="T137" s="224" t="s">
        <v>21</v>
      </c>
      <c r="U137" s="224" t="s">
        <v>21</v>
      </c>
      <c r="V137" s="224" t="s">
        <v>21</v>
      </c>
      <c r="W137" s="224" t="s">
        <v>21</v>
      </c>
      <c r="X137" s="224" t="s">
        <v>21</v>
      </c>
      <c r="Y137" s="224" t="s">
        <v>21</v>
      </c>
      <c r="Z137" s="224" t="s">
        <v>21</v>
      </c>
      <c r="AA137" s="224" t="s">
        <v>21</v>
      </c>
      <c r="AB137" s="224" t="s">
        <v>21</v>
      </c>
      <c r="AC137" s="805" t="s">
        <v>21</v>
      </c>
      <c r="AD137" s="244" t="s">
        <v>21</v>
      </c>
      <c r="AE137" s="224" t="s">
        <v>21</v>
      </c>
      <c r="AF137" s="224" t="s">
        <v>21</v>
      </c>
      <c r="AG137" s="224" t="s">
        <v>21</v>
      </c>
      <c r="AH137" s="237" t="s">
        <v>21</v>
      </c>
      <c r="AI137" s="804" t="s">
        <v>21</v>
      </c>
      <c r="AJ137" s="224">
        <v>30</v>
      </c>
      <c r="AK137" s="224">
        <v>40</v>
      </c>
      <c r="AL137" s="224">
        <v>18</v>
      </c>
      <c r="AM137" s="224">
        <f>_xlfn.XLOOKUP(
$C137,
'在庫使用計画 (ノート全体試算)'!$C$1:$C$170,
'在庫使用計画 (ノート全体試算)'!AN$1:AN$170,
"")</f>
        <v>73</v>
      </c>
      <c r="AN137" s="237">
        <f>_xlfn.XLOOKUP(
$C137,
'在庫使用計画 (ノート全体試算)'!$C$1:$C$170,
'在庫使用計画 (ノート全体試算)'!AO$1:AO$170,
"")</f>
        <v>303</v>
      </c>
      <c r="AO137" s="237">
        <f>_xlfn.XLOOKUP(
$C137,
'在庫使用計画 (ノート全体試算)'!$C$1:$C$170,
'在庫使用計画 (ノート全体試算)'!AP$1:AP$170,
"")</f>
        <v>505</v>
      </c>
      <c r="AP137" s="224">
        <f>_xlfn.XLOOKUP(
$C137,
'在庫使用計画 (ノート全体試算)'!$C$1:$C$170,
'在庫使用計画 (ノート全体試算)'!AQ$1:AQ$170,
"")</f>
        <v>168</v>
      </c>
      <c r="AQ137" s="1050">
        <f>_xlfn.XLOOKUP(
$C137,
'在庫使用計画 (ノート全体試算)'!$C$1:$C$170,
'在庫使用計画 (ノート全体試算)'!AR$1:AR$170,
"")</f>
        <v>168</v>
      </c>
      <c r="AR137" s="2130">
        <f>_xlfn.XLOOKUP(
$C137,
'在庫使用計画 (ノート全体試算)'!$C$1:$C$170,
'在庫使用計画 (ノート全体試算)'!AS$1:AS$170,
"")</f>
        <v>268</v>
      </c>
      <c r="AS137" s="244">
        <f>_xlfn.XLOOKUP(
$C137,
'在庫使用計画 (ノート全体試算)'!$C$1:$C$170,
'在庫使用計画 (ノート全体試算)'!AT$1:AT$170,
"")</f>
        <v>247</v>
      </c>
      <c r="AT137" s="805">
        <f>_xlfn.XLOOKUP(
$C137,
'在庫使用計画 (ノート全体試算)'!$C$1:$C$170,
'在庫使用計画 (ノート全体試算)'!AU$1:AU$170,
"")</f>
        <v>210</v>
      </c>
      <c r="AU137" s="804">
        <f>_xlfn.XLOOKUP(
$C137,
'在庫使用計画 (ノート全体試算)'!$C$1:$C$170,
'在庫使用計画 (ノート全体試算)'!AV$1:AV$170,
"")</f>
        <v>231</v>
      </c>
      <c r="AV137" s="224">
        <f>_xlfn.XLOOKUP(
$C137,
'在庫使用計画 (ノート全体試算)'!$C$1:$C$170,
'在庫使用計画 (ノート全体試算)'!AW$1:AW$170,
"")</f>
        <v>429</v>
      </c>
      <c r="AW137" s="224">
        <f>_xlfn.XLOOKUP(
$C137,
'在庫使用計画 (ノート全体試算)'!$C$1:$C$170,
'在庫使用計画 (ノート全体試算)'!AX$1:AX$170,
"")</f>
        <v>432</v>
      </c>
      <c r="AX137" s="224">
        <f>_xlfn.XLOOKUP(
$C137,
'在庫使用計画 (ノート全体試算)'!$C$1:$C$170,
'在庫使用計画 (ノート全体試算)'!AY$1:AY$170,
"")</f>
        <v>270</v>
      </c>
      <c r="AY137" s="224">
        <f>_xlfn.XLOOKUP(
$C137,
'在庫使用計画 (ノート全体試算)'!$C$1:$C$170,
'在庫使用計画 (ノート全体試算)'!AZ$1:AZ$170,
"")</f>
        <v>240</v>
      </c>
      <c r="AZ137" s="224">
        <f>_xlfn.XLOOKUP(
$C137,
'在庫使用計画 (ノート全体試算)'!$C$1:$C$170,
'在庫使用計画 (ノート全体試算)'!BA$1:BA$170,
"")</f>
        <v>220</v>
      </c>
      <c r="BA137" s="224">
        <f>_xlfn.XLOOKUP(
$C137,
'在庫使用計画 (ノート全体試算)'!$C$1:$C$170,
'在庫使用計画 (ノート全体試算)'!BB$1:BB$170,
"")</f>
        <v>270</v>
      </c>
      <c r="BB137" s="224">
        <f>_xlfn.XLOOKUP(
$C137,
'在庫使用計画 (ノート全体試算)'!$C$1:$C$170,
'在庫使用計画 (ノート全体試算)'!BC$1:BC$170,
"")</f>
        <v>210</v>
      </c>
      <c r="BC137" s="224" t="str">
        <f>_xlfn.XLOOKUP(
$C137,
'在庫使用計画 (ノート全体試算)'!$C$1:$C$170,
'在庫使用計画 (ノート全体試算)'!BD$1:BD$170,
"")</f>
        <v/>
      </c>
      <c r="BD137" s="224" t="str">
        <f>_xlfn.XLOOKUP(
$C137,
'在庫使用計画 (ノート全体試算)'!$C$1:$C$170,
'在庫使用計画 (ノート全体試算)'!BE$1:BE$170,
"")</f>
        <v/>
      </c>
      <c r="BE137" s="224" t="str">
        <f>_xlfn.XLOOKUP(
$C137,
'在庫使用計画 (ノート全体試算)'!$C$1:$C$170,
'在庫使用計画 (ノート全体試算)'!BF$1:BF$170,
"")</f>
        <v/>
      </c>
      <c r="BF137" s="805" t="str">
        <f>_xlfn.XLOOKUP(
$C137,
'在庫使用計画 (ノート全体試算)'!$C$1:$C$170,
'在庫使用計画 (ノート全体試算)'!BG$1:BG$170,
"")</f>
        <v/>
      </c>
      <c r="BG137" s="2091" t="s">
        <v>2680</v>
      </c>
    </row>
    <row r="138" spans="1:59" ht="18.75" customHeight="1">
      <c r="A138" s="459"/>
      <c r="B138" s="460" t="str">
        <v>CLE-L24-U5-325-UMA-16G-L7 Thirdwave</v>
      </c>
      <c r="C138" s="461" t="s">
        <v>771</v>
      </c>
      <c r="D138" s="460" t="s">
        <v>1763</v>
      </c>
      <c r="E138" s="460"/>
      <c r="F138" s="462"/>
      <c r="G138" s="463">
        <v>1247</v>
      </c>
      <c r="H138" s="448">
        <f ca="1">_xlfn.LET(_xlpm._今月から4ヶ月計画合計,
  SUM(
    OFFSET($A138,0,
      MATCH(
        EDATE(基準データ!$C$5,3),$A$1:$BE$1,1
      )-4,1,4)),
  IF($C138="","",_xlpm._今月から4ヶ月計画合計
)
)</f>
        <v>693.15736204333666</v>
      </c>
      <c r="I138" s="463">
        <f t="shared" si="19"/>
        <v>247</v>
      </c>
      <c r="J138" s="1116" cm="1">
        <f t="array" ref="J138">_xlfn.IFS($C138="","",
  $G138="","発売前？",
  $G138=0,"在庫なし",
  TRUE,
  IFERROR(
    _xlfn.LET(
      _xlpm._在庫注残,     $G138,
      _xlpm._しきい値,     _xlpm._在庫注残 * 0.75,
      _xlpm._見出し元,     $K$1:$BT$1,
      _xlpm._計画,         $K138:$BT138,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46357</v>
      </c>
      <c r="K138" s="463"/>
      <c r="L138" s="463"/>
      <c r="M138" s="463"/>
      <c r="N138" s="463"/>
      <c r="O138" s="463"/>
      <c r="P138" s="463"/>
      <c r="Q138" s="1329"/>
      <c r="R138" s="1371"/>
      <c r="S138" s="451"/>
      <c r="T138" s="451"/>
      <c r="U138" s="451"/>
      <c r="V138" s="464"/>
      <c r="W138" s="451" t="s">
        <v>21</v>
      </c>
      <c r="X138" s="451" t="s">
        <v>21</v>
      </c>
      <c r="Y138" s="451" t="s">
        <v>21</v>
      </c>
      <c r="Z138" s="465" t="s">
        <v>21</v>
      </c>
      <c r="AA138" s="465" t="s">
        <v>21</v>
      </c>
      <c r="AB138" s="451" t="s">
        <v>21</v>
      </c>
      <c r="AC138" s="1372" t="s">
        <v>21</v>
      </c>
      <c r="AD138" s="1340" t="s">
        <v>21</v>
      </c>
      <c r="AE138" s="465" t="s">
        <v>21</v>
      </c>
      <c r="AF138" s="465" t="s">
        <v>21</v>
      </c>
      <c r="AG138" s="451" t="s">
        <v>21</v>
      </c>
      <c r="AH138" s="889" t="s">
        <v>21</v>
      </c>
      <c r="AI138" s="896" t="s">
        <v>21</v>
      </c>
      <c r="AJ138" s="451" t="s">
        <v>21</v>
      </c>
      <c r="AK138" s="451">
        <v>7</v>
      </c>
      <c r="AL138" s="451">
        <v>13</v>
      </c>
      <c r="AM138" s="451">
        <f>_xlfn.LET(_xlpm._全体実績予測,
  INDEX('在庫使用計画 (全体実績+予測）0701'!$A$1:$BD$195,
    MATCH($C138,'在庫使用計画 (全体実績+予測）0701'!$C$1:$C$195,0),
    MATCH(AM$1,'在庫使用計画 (全体実績+予測）0701'!$A$1:$BD$1,0)
),
  IFERROR(
    IF(_xlpm._全体実績予測=0,"",_xlpm._全体実績予測),
  "")
)</f>
        <v>4</v>
      </c>
      <c r="AN138" s="889">
        <f>_xlfn.LET(_xlpm._全体実績予測,
  INDEX('在庫使用計画 (全体実績+予測）0701'!$A$1:$BD$195,
    MATCH($C138,'在庫使用計画 (全体実績+予測）0701'!$C$1:$C$195,0),
    MATCH(AN$1,'在庫使用計画 (全体実績+予測）0701'!$A$1:$BD$1,0)
),
  IFERROR(
    IF(_xlpm._全体実績予測=0,"",_xlpm._全体実績予測),
  "")
)</f>
        <v>158.57142857142856</v>
      </c>
      <c r="AO138" s="889">
        <f>_xlfn.LET(_xlpm._全体実績予測,
  INDEX('在庫使用計画 (全体実績+予測）0701'!$A$1:$BD$195,
    MATCH($C138,'在庫使用計画 (全体実績+予測）0701'!$C$1:$C$195,0),
    MATCH(AO$1,'在庫使用計画 (全体実績+予測）0701'!$A$1:$BD$1,0)
),
  IFERROR(
    IF(_xlpm._全体実績予測=0,"",_xlpm._全体実績予測),
  "")
)</f>
        <v>174.01777632262565</v>
      </c>
      <c r="AP138" s="451">
        <f>_xlfn.LET(_xlpm._全体実績予測,
  INDEX('在庫使用計画 (全体実績+予測）0701'!$A$1:$BD$195,
    MATCH($C138,'在庫使用計画 (全体実績+予測）0701'!$C$1:$C$195,0),
    MATCH(AP$1,'在庫使用計画 (全体実績+予測）0701'!$A$1:$BD$1,0)
),
  IFERROR(
    IF(_xlpm._全体実績予測=0,"",_xlpm._全体実績予測),
  "")
)</f>
        <v>160.05443473520225</v>
      </c>
      <c r="AQ138" s="2121">
        <f>_xlfn.LET(_xlpm._全体実績予測,
  INDEX('在庫使用計画 (全体実績+予測）0701'!$A$1:$BD$195,
    MATCH($C138,'在庫使用計画 (全体実績+予測）0701'!$C$1:$C$195,0),
    MATCH(AQ$1,'在庫使用計画 (全体実績+予測）0701'!$A$1:$BD$1,0)
),
  IFERROR(
    IF(_xlpm._全体実績予測=0,"",_xlpm._全体実績予測),
  "")
)</f>
        <v>172.89540657784605</v>
      </c>
      <c r="AR138" s="2137">
        <f>_xlfn.LET(_xlpm._全体実績予測,
  INDEX('在庫使用計画 (全体実績+予測）0701'!$A$1:$BD$195,
    MATCH($C138,'在庫使用計画 (全体実績+予測）0701'!$C$1:$C$195,0),
    MATCH(AR$1,'在庫使用計画 (全体実績+予測）0701'!$A$1:$BD$1,0)
),
  IFERROR(
    IF(_xlpm._全体実績予測=0,"",_xlpm._全体実績予測),
  "")
)</f>
        <v>186.18974440766269</v>
      </c>
      <c r="AS138" s="1292">
        <f>_xlfn.LET(_xlpm._全体実績予測,
  INDEX('在庫使用計画 (全体実績+予測）0701'!$A$1:$BD$195,
    MATCH($C138,'在庫使用計画 (全体実績+予測）0701'!$C$1:$C$195,0),
    MATCH(AS$1,'在庫使用計画 (全体実績+予測）0701'!$A$1:$BD$1,0)
),
  IFERROR(
    IF(_xlpm._全体実績予測=0,"",_xlpm._全体実績予測),
  "")
)</f>
        <v>192.69703935560239</v>
      </c>
      <c r="AT138" s="897">
        <f>_xlfn.LET(_xlpm._全体実績予測,
  INDEX('在庫使用計画 (全体実績+予測）0701'!$A$1:$BD$195,
    MATCH($C138,'在庫使用計画 (全体実績+予測）0701'!$C$1:$C$195,0),
    MATCH(AT$1,'在庫使用計画 (全体実績+予測）0701'!$A$1:$BD$1,0)
),
  IFERROR(
    IF(_xlpm._全体実績予測=0,"",_xlpm._全体実績予測),
  "")
)</f>
        <v>284.02159520720011</v>
      </c>
      <c r="AU138" s="896">
        <f>_xlfn.LET(_xlpm._全体実績予測,
  INDEX('在庫使用計画 (全体実績+予測）0701'!$A$1:$BD$195,
    MATCH($C138,'在庫使用計画 (全体実績+予測）0701'!$C$1:$C$195,0),
    MATCH(AU$1,'在庫使用計画 (全体実績+予測）0701'!$A$1:$BD$1,0)
),
  IFERROR(
    IF(_xlpm._全体実績予測=0,"",_xlpm._全体実績予測),
  "")
)</f>
        <v>245.10169224914682</v>
      </c>
      <c r="AV138" s="451">
        <f>_xlfn.LET(_xlpm._全体実績予測,
  INDEX('在庫使用計画 (全体実績+予測）0701'!$A$1:$BD$195,
    MATCH($C138,'在庫使用計画 (全体実績+予測）0701'!$C$1:$C$195,0),
    MATCH(AV$1,'在庫使用計画 (全体実績+予測）0701'!$A$1:$BD$1,0)
),
  IFERROR(
    IF(_xlpm._全体実績予測=0,"",_xlpm._全体実績予測),
  "")
)</f>
        <v>231.08495595635858</v>
      </c>
      <c r="AW138" s="451">
        <f>_xlfn.LET(_xlpm._全体実績予測,
  INDEX('在庫使用計画 (全体実績+予測）0701'!$A$1:$BD$195,
    MATCH($C138,'在庫使用計画 (全体実績+予測）0701'!$C$1:$C$195,0),
    MATCH(AW$1,'在庫使用計画 (全体実績+予測）0701'!$A$1:$BD$1,0)
),
  IFERROR(
    IF(_xlpm._全体実績予測=0,"",_xlpm._全体実績予測),
  "")
)</f>
        <v>341.50296588387954</v>
      </c>
      <c r="AX138" s="451">
        <f>_xlfn.LET(_xlpm._全体実績予測,
  INDEX('在庫使用計画 (全体実績+予測）0701'!$A$1:$BD$195,
    MATCH($C138,'在庫使用計画 (全体実績+予測）0701'!$C$1:$C$195,0),
    MATCH(AX$1,'在庫使用計画 (全体実績+予測）0701'!$A$1:$BD$1,0)
),
  IFERROR(
    IF(_xlpm._全体実績予測=0,"",_xlpm._全体実績予測),
  "")
)</f>
        <v>209.69377952574848</v>
      </c>
      <c r="AY138" s="451">
        <f>_xlfn.LET(_xlpm._全体実績予測,
  INDEX('在庫使用計画 (全体実績+予測）0701'!$A$1:$BD$195,
    MATCH($C138,'在庫使用計画 (全体実績+予測）0701'!$C$1:$C$195,0),
    MATCH(AY$1,'在庫使用計画 (全体実績+予測）0701'!$A$1:$BD$1,0)
),
  IFERROR(
    IF(_xlpm._全体実績予測=0,"",_xlpm._全体実績予測),
  "")
)</f>
        <v>152.07628336663797</v>
      </c>
      <c r="AZ138" s="451">
        <f>_xlfn.LET(_xlpm._全体実績予測,
  INDEX('在庫使用計画 (全体実績+予測）0701'!$A$1:$BD$195,
    MATCH($C138,'在庫使用計画 (全体実績+予測）0701'!$C$1:$C$195,0),
    MATCH(AZ$1,'在庫使用計画 (全体実績+予測）0701'!$A$1:$BD$1,0)
),
  IFERROR(
    IF(_xlpm._全体実績予測=0,"",_xlpm._全体実績予測),
  "")
)</f>
        <v>158.57142857142856</v>
      </c>
      <c r="BA138" s="451">
        <f>_xlfn.LET(_xlpm._全体実績予測,
  INDEX('在庫使用計画 (全体実績+予測）0701'!$A$1:$BD$195,
    MATCH($C138,'在庫使用計画 (全体実績+予測）0701'!$C$1:$C$195,0),
    MATCH(BA$1,'在庫使用計画 (全体実績+予測）0701'!$A$1:$BD$1,0)
),
  IFERROR(
    IF(_xlpm._全体実績予測=0,"",_xlpm._全体実績予測),
  "")
)</f>
        <v>174.01777632262565</v>
      </c>
      <c r="BB138" s="451">
        <f>_xlfn.LET(_xlpm._全体実績予測,
  INDEX('在庫使用計画 (全体実績+予測）0701'!$A$1:$BD$195,
    MATCH($C138,'在庫使用計画 (全体実績+予測）0701'!$C$1:$C$195,0),
    MATCH(BB$1,'在庫使用計画 (全体実績+予測）0701'!$A$1:$BD$1,0)
),
  IFERROR(
    IF(_xlpm._全体実績予測=0,"",_xlpm._全体実績予測),
  "")
)</f>
        <v>160.05443473520225</v>
      </c>
      <c r="BC138" s="451">
        <f>_xlfn.LET(_xlpm._全体実績予測,
  INDEX('在庫使用計画 (全体実績+予測）0701'!$A$1:$BD$195,
    MATCH($C138,'在庫使用計画 (全体実績+予測）0701'!$C$1:$C$195,0),
    MATCH(BC$1,'在庫使用計画 (全体実績+予測）0701'!$A$1:$BD$1,0)
),
  IFERROR(
    IF(_xlpm._全体実績予測=0,"",_xlpm._全体実績予測),
  "")
)</f>
        <v>172.89540657784605</v>
      </c>
      <c r="BD138" s="451">
        <f>_xlfn.LET(_xlpm._全体実績予測,
  INDEX('在庫使用計画 (全体実績+予測）0701'!$A$1:$BD$195,
    MATCH($C138,'在庫使用計画 (全体実績+予測）0701'!$C$1:$C$195,0),
    MATCH(BD$1,'在庫使用計画 (全体実績+予測）0701'!$A$1:$BD$1,0)
),
  IFERROR(
    IF(_xlpm._全体実績予測=0,"",_xlpm._全体実績予測),
  "")
)</f>
        <v>186.18974440766269</v>
      </c>
      <c r="BE138" s="451">
        <f>_xlfn.LET(_xlpm._全体実績予測,
  INDEX('在庫使用計画 (全体実績+予測）0701'!$A$1:$BD$195,
    MATCH($C138,'在庫使用計画 (全体実績+予測）0701'!$C$1:$C$195,0),
    MATCH(BE$1,'在庫使用計画 (全体実績+予測）0701'!$A$1:$BD$1,0)
),
  IFERROR(
    IF(_xlpm._全体実績予測=0,"",_xlpm._全体実績予測),
  "")
)</f>
        <v>192.69703935560239</v>
      </c>
      <c r="BF138" s="897">
        <f>_xlfn.LET(_xlpm._全体実績予測,
  INDEX('在庫使用計画 (全体実績+予測）0701'!$A$1:$BD$195,
    MATCH($C138,'在庫使用計画 (全体実績+予測）0701'!$C$1:$C$195,0),
    MATCH(BF$1,'在庫使用計画 (全体実績+予測）0701'!$A$1:$BD$1,0)
),
  IFERROR(
    IF(_xlpm._全体実績予測=0,"",_xlpm._全体実績予測),
  "")
)</f>
        <v>284.02159520720011</v>
      </c>
    </row>
    <row r="139" spans="1:59" ht="18.75" customHeight="1">
      <c r="A139" s="124" t="s">
        <v>1442</v>
      </c>
      <c r="B139" s="87" t="str">
        <v>CLE-NL45-150U-UMA-L6-TPM Thirdwave</v>
      </c>
      <c r="C139" s="86" t="s">
        <v>707</v>
      </c>
      <c r="D139" s="86" t="s">
        <v>1422</v>
      </c>
      <c r="E139" s="87" t="s">
        <v>1423</v>
      </c>
      <c r="F139" s="87" t="s">
        <v>1372</v>
      </c>
      <c r="G139" s="74">
        <v>63</v>
      </c>
      <c r="H139" s="38">
        <f ca="1">_xlfn.LET(_xlpm._今月から4ヶ月計画合計,
  SUM(
    OFFSET($A139,0,
      MATCH(
        EDATE(基準データ!$C$5,3),$A$1:$BE$1,1
      )-4,1,4)),
  IF($C139="","",_xlpm._今月から4ヶ月計画合計
)
)</f>
        <v>0</v>
      </c>
      <c r="I139" s="38">
        <f>SUMIFS(マスタ_EOLリスト[在庫],マスタ_EOLリスト[製品型番],'在庫使用計画 (計画　予測)'!$C:$C)</f>
        <v>63</v>
      </c>
      <c r="J139" s="1116" t="str" cm="1">
        <f t="array" ref="J139">_xlfn.IFS($C139="","",
  $G139="","発売前？",
  $G139=0,"在庫なし",
  TRUE,
  IFERROR(
    _xlfn.LET(
      _xlpm._在庫注残,     $G139,
      _xlpm._しきい値,     _xlpm._在庫注残 * 0.75,
      _xlpm._見出し元,     $K$1:$BT$1,
      _xlpm._計画,         $K139:$BT139,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合計0、在庫+注残63のため不足</v>
      </c>
      <c r="K139" s="74" t="s">
        <v>21</v>
      </c>
      <c r="L139" s="74" t="s">
        <v>21</v>
      </c>
      <c r="M139" s="74" t="s">
        <v>21</v>
      </c>
      <c r="N139" s="74" t="s">
        <v>21</v>
      </c>
      <c r="O139" s="74" t="s">
        <v>21</v>
      </c>
      <c r="P139" s="74" t="s">
        <v>21</v>
      </c>
      <c r="Q139" s="118" t="s">
        <v>21</v>
      </c>
      <c r="R139" s="1378" t="s">
        <v>21</v>
      </c>
      <c r="S139" s="224" t="s">
        <v>21</v>
      </c>
      <c r="T139" s="224" t="s">
        <v>21</v>
      </c>
      <c r="U139" s="224" t="s">
        <v>21</v>
      </c>
      <c r="V139" s="224" t="s">
        <v>21</v>
      </c>
      <c r="W139" s="224" t="s">
        <v>21</v>
      </c>
      <c r="X139" s="237" t="s">
        <v>21</v>
      </c>
      <c r="Y139" s="224" t="s">
        <v>21</v>
      </c>
      <c r="Z139" s="224" t="s">
        <v>21</v>
      </c>
      <c r="AA139" s="224" t="s">
        <v>21</v>
      </c>
      <c r="AB139" s="224" t="s">
        <v>21</v>
      </c>
      <c r="AC139" s="805" t="s">
        <v>21</v>
      </c>
      <c r="AD139" s="245"/>
      <c r="AE139" s="239"/>
      <c r="AF139" s="239"/>
      <c r="AG139" s="239"/>
      <c r="AH139" s="237" t="s">
        <v>21</v>
      </c>
      <c r="AI139" s="876">
        <v>5</v>
      </c>
      <c r="AJ139" s="224">
        <v>17</v>
      </c>
      <c r="AK139" s="224">
        <v>155</v>
      </c>
      <c r="AL139" s="224">
        <v>6</v>
      </c>
      <c r="AM139" s="224">
        <f>_xlfn.XLOOKUP(
$C139,
'在庫使用計画 (ノート全体試算)'!$C$1:$C$170,
'在庫使用計画 (ノート全体試算)'!AN$1:AN$170,
"")</f>
        <v>45</v>
      </c>
      <c r="AN139" s="237">
        <f>_xlfn.XLOOKUP(
$C139,
'在庫使用計画 (ノート全体試算)'!$C$1:$C$170,
'在庫使用計画 (ノート全体試算)'!AO$1:AO$170,
"")</f>
        <v>53</v>
      </c>
      <c r="AO139" s="237" t="str">
        <f>_xlfn.XLOOKUP(
$C139,
'在庫使用計画 (ノート全体試算)'!$C$1:$C$170,
'在庫使用計画 (ノート全体試算)'!AP$1:AP$170,
"")</f>
        <v/>
      </c>
      <c r="AP139" s="224" t="str">
        <f>_xlfn.XLOOKUP(
$C139,
'在庫使用計画 (ノート全体試算)'!$C$1:$C$170,
'在庫使用計画 (ノート全体試算)'!AQ$1:AQ$170,
"")</f>
        <v/>
      </c>
      <c r="AQ139" s="1050" t="str">
        <f>_xlfn.XLOOKUP(
$C139,
'在庫使用計画 (ノート全体試算)'!$C$1:$C$170,
'在庫使用計画 (ノート全体試算)'!AR$1:AR$170,
"")</f>
        <v/>
      </c>
      <c r="AR139" s="2130" t="str">
        <f>_xlfn.XLOOKUP(
$C139,
'在庫使用計画 (ノート全体試算)'!$C$1:$C$170,
'在庫使用計画 (ノート全体試算)'!AS$1:AS$170,
"")</f>
        <v/>
      </c>
      <c r="AS139" s="244" t="str">
        <f>_xlfn.XLOOKUP(
$C139,
'在庫使用計画 (ノート全体試算)'!$C$1:$C$170,
'在庫使用計画 (ノート全体試算)'!AT$1:AT$170,
"")</f>
        <v/>
      </c>
      <c r="AT139" s="805" t="str">
        <f>_xlfn.XLOOKUP(
$C139,
'在庫使用計画 (ノート全体試算)'!$C$1:$C$170,
'在庫使用計画 (ノート全体試算)'!AU$1:AU$170,
"")</f>
        <v/>
      </c>
      <c r="AU139" s="876" t="str">
        <f>_xlfn.XLOOKUP(
$C139,
'在庫使用計画 (ノート全体試算)'!$C$1:$C$170,
'在庫使用計画 (ノート全体試算)'!AV$1:AV$170,
"")</f>
        <v/>
      </c>
      <c r="AV139" s="224" t="str">
        <f>_xlfn.XLOOKUP(
$C139,
'在庫使用計画 (ノート全体試算)'!$C$1:$C$170,
'在庫使用計画 (ノート全体試算)'!AW$1:AW$170,
"")</f>
        <v/>
      </c>
      <c r="AW139" s="224" t="str">
        <f>_xlfn.XLOOKUP(
$C139,
'在庫使用計画 (ノート全体試算)'!$C$1:$C$170,
'在庫使用計画 (ノート全体試算)'!AX$1:AX$170,
"")</f>
        <v/>
      </c>
      <c r="AX139" s="224" t="str">
        <f>_xlfn.XLOOKUP(
$C139,
'在庫使用計画 (ノート全体試算)'!$C$1:$C$170,
'在庫使用計画 (ノート全体試算)'!AY$1:AY$170,
"")</f>
        <v/>
      </c>
      <c r="AY139" s="224" t="str">
        <f>_xlfn.XLOOKUP(
$C139,
'在庫使用計画 (ノート全体試算)'!$C$1:$C$170,
'在庫使用計画 (ノート全体試算)'!AZ$1:AZ$170,
"")</f>
        <v/>
      </c>
      <c r="AZ139" s="224" t="str">
        <f>_xlfn.XLOOKUP(
$C139,
'在庫使用計画 (ノート全体試算)'!$C$1:$C$170,
'在庫使用計画 (ノート全体試算)'!BA$1:BA$170,
"")</f>
        <v/>
      </c>
      <c r="BA139" s="224" t="str">
        <f>_xlfn.XLOOKUP(
$C139,
'在庫使用計画 (ノート全体試算)'!$C$1:$C$170,
'在庫使用計画 (ノート全体試算)'!BB$1:BB$170,
"")</f>
        <v/>
      </c>
      <c r="BB139" s="224" t="str">
        <f>_xlfn.XLOOKUP(
$C139,
'在庫使用計画 (ノート全体試算)'!$C$1:$C$170,
'在庫使用計画 (ノート全体試算)'!BC$1:BC$170,
"")</f>
        <v/>
      </c>
      <c r="BC139" s="224" t="str">
        <f>_xlfn.XLOOKUP(
$C139,
'在庫使用計画 (ノート全体試算)'!$C$1:$C$170,
'在庫使用計画 (ノート全体試算)'!BD$1:BD$170,
"")</f>
        <v/>
      </c>
      <c r="BD139" s="224" t="str">
        <f>_xlfn.XLOOKUP(
$C139,
'在庫使用計画 (ノート全体試算)'!$C$1:$C$170,
'在庫使用計画 (ノート全体試算)'!BE$1:BE$170,
"")</f>
        <v/>
      </c>
      <c r="BE139" s="224" t="str">
        <f>_xlfn.XLOOKUP(
$C139,
'在庫使用計画 (ノート全体試算)'!$C$1:$C$170,
'在庫使用計画 (ノート全体試算)'!BF$1:BF$170,
"")</f>
        <v/>
      </c>
      <c r="BF139" s="805" t="str">
        <f>_xlfn.XLOOKUP(
$C139,
'在庫使用計画 (ノート全体試算)'!$C$1:$C$170,
'在庫使用計画 (ノート全体試算)'!BG$1:BG$170,
"")</f>
        <v/>
      </c>
      <c r="BG139" s="2091" t="s">
        <v>2671</v>
      </c>
    </row>
    <row r="140" spans="1:59" ht="18.75" customHeight="1">
      <c r="A140" s="95"/>
      <c r="B140" s="87" t="str">
        <v>CLE-NL45-150U-UMA-L6-TPM Thirdwave</v>
      </c>
      <c r="C140" s="86" t="s">
        <v>707</v>
      </c>
      <c r="D140" s="87" t="s">
        <v>1763</v>
      </c>
      <c r="E140" s="87"/>
      <c r="F140" s="86"/>
      <c r="G140" s="74">
        <v>63</v>
      </c>
      <c r="H140" s="38">
        <f ca="1">_xlfn.LET(_xlpm._今月から4ヶ月計画合計,
  SUM(
    OFFSET($A140,0,
      MATCH(
        EDATE(基準データ!$C$5,3),$A$1:$BE$1,1
      )-4,1,4)),
  IF($C140="","",_xlpm._今月から4ヶ月計画合計
)
)</f>
        <v>84.302922410676103</v>
      </c>
      <c r="I140" s="38">
        <f t="shared" si="19"/>
        <v>63</v>
      </c>
      <c r="J140" s="1116" cm="1">
        <f t="array" ref="J140">_xlfn.IFS($C140="","",
  $G140="","発売前？",
  $G140=0,"在庫なし",
  TRUE,
  IFERROR(
    _xlfn.LET(
      _xlpm._在庫注残,     $G140,
      _xlpm._しきい値,     _xlpm._在庫注残 * 0.75,
      _xlpm._見出し元,     $K$1:$BT$1,
      _xlpm._計画,         $K140:$BT140,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46266</v>
      </c>
      <c r="K140" s="74"/>
      <c r="L140" s="74"/>
      <c r="M140" s="74"/>
      <c r="N140" s="74"/>
      <c r="O140" s="74"/>
      <c r="P140" s="74"/>
      <c r="Q140" s="118"/>
      <c r="R140" s="1378"/>
      <c r="S140" s="224"/>
      <c r="T140" s="224"/>
      <c r="U140" s="224"/>
      <c r="V140" s="223"/>
      <c r="W140" s="224" t="s">
        <v>21</v>
      </c>
      <c r="X140" s="224" t="s">
        <v>21</v>
      </c>
      <c r="Y140" s="224" t="s">
        <v>21</v>
      </c>
      <c r="Z140" s="910" t="s">
        <v>21</v>
      </c>
      <c r="AA140" s="910" t="s">
        <v>21</v>
      </c>
      <c r="AB140" s="224"/>
      <c r="AC140" s="1379"/>
      <c r="AD140" s="1345"/>
      <c r="AE140" s="910"/>
      <c r="AF140" s="910"/>
      <c r="AG140" s="224"/>
      <c r="AH140" s="237">
        <v>3</v>
      </c>
      <c r="AI140" s="804">
        <v>7</v>
      </c>
      <c r="AJ140" s="224">
        <v>18</v>
      </c>
      <c r="AK140" s="224">
        <v>158</v>
      </c>
      <c r="AL140" s="224">
        <v>6</v>
      </c>
      <c r="AM140" s="224">
        <f>_xlfn.LET(_xlpm._全体実績予測,
  INDEX('在庫使用計画 (全体実績+予測）0701'!$A$1:$BD$195,
    MATCH($C140,'在庫使用計画 (全体実績+予測）0701'!$C$1:$C$195,0),
    MATCH(AM$1,'在庫使用計画 (全体実績+予測）0701'!$A$1:$BD$1,0)
),
  IFERROR(
    IF(_xlpm._全体実績予測=0,"",_xlpm._全体実績予測),
  "")
)</f>
        <v>11</v>
      </c>
      <c r="AN140" s="237">
        <f>_xlfn.LET(_xlpm._全体実績予測,
  INDEX('在庫使用計画 (全体実績+予測）0701'!$A$1:$BD$195,
    MATCH($C140,'在庫使用計画 (全体実績+予測）0701'!$C$1:$C$195,0),
    MATCH(AN$1,'在庫使用計画 (全体実績+予測）0701'!$A$1:$BD$1,0)
),
  IFERROR(
    IF(_xlpm._全体実績予測=0,"",_xlpm._全体実績予測),
  "")
)</f>
        <v>19.285714285714288</v>
      </c>
      <c r="AO140" s="237">
        <f>_xlfn.LET(_xlpm._全体実績予測,
  INDEX('在庫使用計画 (全体実績+予測）0701'!$A$1:$BD$195,
    MATCH($C140,'在庫使用計画 (全体実績+予測）0701'!$C$1:$C$195,0),
    MATCH(AO$1,'在庫使用計画 (全体実績+予測）0701'!$A$1:$BD$1,0)
),
  IFERROR(
    IF(_xlpm._全体実績予測=0,"",_xlpm._全体実績予測),
  "")
)</f>
        <v>21.16432414734637</v>
      </c>
      <c r="AP140" s="224">
        <f>_xlfn.LET(_xlpm._全体実績予測,
  INDEX('在庫使用計画 (全体実績+予測）0701'!$A$1:$BD$195,
    MATCH($C140,'在庫使用計画 (全体実績+予測）0701'!$C$1:$C$195,0),
    MATCH(AP$1,'在庫使用計画 (全体実績+予測）0701'!$A$1:$BD$1,0)
),
  IFERROR(
    IF(_xlpm._全体実績予測=0,"",_xlpm._全体実績予測),
  "")
)</f>
        <v>19.466079900227307</v>
      </c>
      <c r="AQ140" s="1050">
        <f>_xlfn.LET(_xlpm._全体実績予測,
  INDEX('在庫使用計画 (全体実績+予測）0701'!$A$1:$BD$195,
    MATCH($C140,'在庫使用計画 (全体実績+予測）0701'!$C$1:$C$195,0),
    MATCH(AQ$1,'在庫使用計画 (全体実績+予測）0701'!$A$1:$BD$1,0)
),
  IFERROR(
    IF(_xlpm._全体実績予測=0,"",_xlpm._全体実績予測),
  "")
)</f>
        <v>21.027819718927226</v>
      </c>
      <c r="AR140" s="2130">
        <f>_xlfn.LET(_xlpm._全体実績予測,
  INDEX('在庫使用計画 (全体実績+予測）0701'!$A$1:$BD$195,
    MATCH($C140,'在庫使用計画 (全体実績+予測）0701'!$C$1:$C$195,0),
    MATCH(AR$1,'在庫使用計画 (全体実績+予測）0701'!$A$1:$BD$1,0)
),
  IFERROR(
    IF(_xlpm._全体実績予測=0,"",_xlpm._全体実績予測),
  "")
)</f>
        <v>22.644698644175197</v>
      </c>
      <c r="AS140" s="244">
        <f>_xlfn.LET(_xlpm._全体実績予測,
  INDEX('在庫使用計画 (全体実績+予測）0701'!$A$1:$BD$195,
    MATCH($C140,'在庫使用計画 (全体実績+予測）0701'!$C$1:$C$195,0),
    MATCH(AS$1,'在庫使用計画 (全体実績+予測）0701'!$A$1:$BD$1,0)
),
  IFERROR(
    IF(_xlpm._全体実績予測=0,"",_xlpm._全体実績予測),
  "")
)</f>
        <v>23.436126408113811</v>
      </c>
      <c r="AT140" s="805">
        <f>_xlfn.LET(_xlpm._全体実績予測,
  INDEX('在庫使用計画 (全体実績+予測）0701'!$A$1:$BD$195,
    MATCH($C140,'在庫使用計画 (全体実績+予測）0701'!$C$1:$C$195,0),
    MATCH(AT$1,'在庫使用計画 (全体実績+予測）0701'!$A$1:$BD$1,0)
),
  IFERROR(
    IF(_xlpm._全体実績予測=0,"",_xlpm._全体実績予測),
  "")
)</f>
        <v>34.543166984659486</v>
      </c>
      <c r="AU140" s="804">
        <f>_xlfn.LET(_xlpm._全体実績予測,
  INDEX('在庫使用計画 (全体実績+予測）0701'!$A$1:$BD$195,
    MATCH($C140,'在庫使用計画 (全体実績+予測）0701'!$C$1:$C$195,0),
    MATCH(AU$1,'在庫使用計画 (全体実績+予測）0701'!$A$1:$BD$1,0)
),
  IFERROR(
    IF(_xlpm._全体実績予測=0,"",_xlpm._全体実績予測),
  "")
)</f>
        <v>29.809665273544894</v>
      </c>
      <c r="AV140" s="224">
        <f>_xlfn.LET(_xlpm._全体実績予測,
  INDEX('在庫使用計画 (全体実績+予測）0701'!$A$1:$BD$195,
    MATCH($C140,'在庫使用計画 (全体実績+予測）0701'!$C$1:$C$195,0),
    MATCH(AV$1,'在庫使用計画 (全体実績+予測）0701'!$A$1:$BD$1,0)
),
  IFERROR(
    IF(_xlpm._全体実績予測=0,"",_xlpm._全体実績予測),
  "")
)</f>
        <v>28.10492707577335</v>
      </c>
      <c r="AW140" s="224">
        <f>_xlfn.LET(_xlpm._全体実績予測,
  INDEX('在庫使用計画 (全体実績+予測）0701'!$A$1:$BD$195,
    MATCH($C140,'在庫使用計画 (全体実績+予測）0701'!$C$1:$C$195,0),
    MATCH(AW$1,'在庫使用計画 (全体実績+予測）0701'!$A$1:$BD$1,0)
),
  IFERROR(
    IF(_xlpm._全体実績予測=0,"",_xlpm._全体実績予測),
  "")
)</f>
        <v>41.53414449939077</v>
      </c>
      <c r="AX140" s="224">
        <f>_xlfn.LET(_xlpm._全体実績予測,
  INDEX('在庫使用計画 (全体実績+予測）0701'!$A$1:$BD$195,
    MATCH($C140,'在庫使用計画 (全体実績+予測）0701'!$C$1:$C$195,0),
    MATCH(AX$1,'在庫使用計画 (全体実績+予測）0701'!$A$1:$BD$1,0)
),
  IFERROR(
    IF(_xlpm._全体実績予測=0,"",_xlpm._全体実績予測),
  "")
)</f>
        <v>25.503297509888338</v>
      </c>
      <c r="AY140" s="224">
        <f>_xlfn.LET(_xlpm._全体実績予測,
  INDEX('在庫使用計画 (全体実績+予測）0701'!$A$1:$BD$195,
    MATCH($C140,'在庫使用計画 (全体実績+予測）0701'!$C$1:$C$195,0),
    MATCH(AY$1,'在庫使用計画 (全体実績+予測）0701'!$A$1:$BD$1,0)
),
  IFERROR(
    IF(_xlpm._全体実績予測=0,"",_xlpm._全体実績予測),
  "")
)</f>
        <v>18.495764193239758</v>
      </c>
      <c r="AZ140" s="224">
        <f>_xlfn.LET(_xlpm._全体実績予測,
  INDEX('在庫使用計画 (全体実績+予測）0701'!$A$1:$BD$195,
    MATCH($C140,'在庫使用計画 (全体実績+予測）0701'!$C$1:$C$195,0),
    MATCH(AZ$1,'在庫使用計画 (全体実績+予測）0701'!$A$1:$BD$1,0)
),
  IFERROR(
    IF(_xlpm._全体実績予測=0,"",_xlpm._全体実績予測),
  "")
)</f>
        <v>19.285714285714288</v>
      </c>
      <c r="BA140" s="224">
        <f>_xlfn.LET(_xlpm._全体実績予測,
  INDEX('在庫使用計画 (全体実績+予測）0701'!$A$1:$BD$195,
    MATCH($C140,'在庫使用計画 (全体実績+予測）0701'!$C$1:$C$195,0),
    MATCH(BA$1,'在庫使用計画 (全体実績+予測）0701'!$A$1:$BD$1,0)
),
  IFERROR(
    IF(_xlpm._全体実績予測=0,"",_xlpm._全体実績予測),
  "")
)</f>
        <v>21.16432414734637</v>
      </c>
      <c r="BB140" s="224">
        <f>_xlfn.LET(_xlpm._全体実績予測,
  INDEX('在庫使用計画 (全体実績+予測）0701'!$A$1:$BD$195,
    MATCH($C140,'在庫使用計画 (全体実績+予測）0701'!$C$1:$C$195,0),
    MATCH(BB$1,'在庫使用計画 (全体実績+予測）0701'!$A$1:$BD$1,0)
),
  IFERROR(
    IF(_xlpm._全体実績予測=0,"",_xlpm._全体実績予測),
  "")
)</f>
        <v>19.466079900227307</v>
      </c>
      <c r="BC140" s="224">
        <f>_xlfn.LET(_xlpm._全体実績予測,
  INDEX('在庫使用計画 (全体実績+予測）0701'!$A$1:$BD$195,
    MATCH($C140,'在庫使用計画 (全体実績+予測）0701'!$C$1:$C$195,0),
    MATCH(BC$1,'在庫使用計画 (全体実績+予測）0701'!$A$1:$BD$1,0)
),
  IFERROR(
    IF(_xlpm._全体実績予測=0,"",_xlpm._全体実績予測),
  "")
)</f>
        <v>21.027819718927226</v>
      </c>
      <c r="BD140" s="224">
        <f>_xlfn.LET(_xlpm._全体実績予測,
  INDEX('在庫使用計画 (全体実績+予測）0701'!$A$1:$BD$195,
    MATCH($C140,'在庫使用計画 (全体実績+予測）0701'!$C$1:$C$195,0),
    MATCH(BD$1,'在庫使用計画 (全体実績+予測）0701'!$A$1:$BD$1,0)
),
  IFERROR(
    IF(_xlpm._全体実績予測=0,"",_xlpm._全体実績予測),
  "")
)</f>
        <v>22.644698644175197</v>
      </c>
      <c r="BE140" s="224">
        <f>_xlfn.LET(_xlpm._全体実績予測,
  INDEX('在庫使用計画 (全体実績+予測）0701'!$A$1:$BD$195,
    MATCH($C140,'在庫使用計画 (全体実績+予測）0701'!$C$1:$C$195,0),
    MATCH(BE$1,'在庫使用計画 (全体実績+予測）0701'!$A$1:$BD$1,0)
),
  IFERROR(
    IF(_xlpm._全体実績予測=0,"",_xlpm._全体実績予測),
  "")
)</f>
        <v>23.436126408113811</v>
      </c>
      <c r="BF140" s="805">
        <f>_xlfn.LET(_xlpm._全体実績予測,
  INDEX('在庫使用計画 (全体実績+予測）0701'!$A$1:$BD$195,
    MATCH($C140,'在庫使用計画 (全体実績+予測）0701'!$C$1:$C$195,0),
    MATCH(BF$1,'在庫使用計画 (全体実績+予測）0701'!$A$1:$BD$1,0)
),
  IFERROR(
    IF(_xlpm._全体実績予測=0,"",_xlpm._全体実績予測),
  "")
)</f>
        <v>34.543166984659486</v>
      </c>
      <c r="BG140" s="2091" t="s">
        <v>2655</v>
      </c>
    </row>
    <row r="141" spans="1:59" ht="18.75" customHeight="1">
      <c r="A141" s="124" t="s">
        <v>1442</v>
      </c>
      <c r="B141" s="87" t="str">
        <v>CLE-NL45-150U-UMA-L6-TPM DDR5 Thirdwave</v>
      </c>
      <c r="C141" s="86" t="s">
        <v>1461</v>
      </c>
      <c r="D141" s="86"/>
      <c r="E141" s="87" t="s">
        <v>1423</v>
      </c>
      <c r="F141" s="68" t="s">
        <v>1347</v>
      </c>
      <c r="G141" s="38">
        <v>648</v>
      </c>
      <c r="H141" s="38">
        <f ca="1">_xlfn.LET(_xlpm._今月から4ヶ月計画合計,
  SUM(
    OFFSET($A141,0,
      MATCH(
        EDATE(基準データ!$C$5,3),$A$1:$BE$1,1
      )-4,1,4)),
  IF($C141="","",_xlpm._今月から4ヶ月計画合計
)
)</f>
        <v>578</v>
      </c>
      <c r="I141" s="74">
        <f>SUMIFS(マスタ_EOLリスト[在庫],マスタ_EOLリスト[製品型番],'在庫使用計画 (計画　予測)'!$C:$C)</f>
        <v>648</v>
      </c>
      <c r="J141" s="1116" cm="1">
        <f t="array" ref="J141">_xlfn.IFS($C141="","",
  $G141="","発売前？",
  $G141=0,"在庫なし",
  TRUE,
  IFERROR(
    _xlfn.LET(
      _xlpm._在庫注残,     $G141,
      _xlpm._しきい値,     _xlpm._在庫注残 * 0.75,
      _xlpm._見出し元,     $K$1:$BT$1,
      _xlpm._計画,         $K141:$BT141,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46266</v>
      </c>
      <c r="K141" s="109" t="s">
        <v>21</v>
      </c>
      <c r="L141" s="109" t="s">
        <v>21</v>
      </c>
      <c r="M141" s="109" t="s">
        <v>21</v>
      </c>
      <c r="N141" s="196" t="s">
        <v>21</v>
      </c>
      <c r="O141" s="38" t="s">
        <v>21</v>
      </c>
      <c r="P141" s="38" t="s">
        <v>21</v>
      </c>
      <c r="Q141" s="116" t="s">
        <v>21</v>
      </c>
      <c r="R141" s="1350" t="s">
        <v>21</v>
      </c>
      <c r="S141" s="219" t="s">
        <v>21</v>
      </c>
      <c r="T141" s="219" t="s">
        <v>21</v>
      </c>
      <c r="U141" s="219" t="s">
        <v>21</v>
      </c>
      <c r="V141" s="219" t="s">
        <v>21</v>
      </c>
      <c r="W141" s="219" t="s">
        <v>21</v>
      </c>
      <c r="X141" s="219" t="s">
        <v>21</v>
      </c>
      <c r="Y141" s="219" t="s">
        <v>21</v>
      </c>
      <c r="Z141" s="219" t="s">
        <v>21</v>
      </c>
      <c r="AA141" s="219" t="s">
        <v>21</v>
      </c>
      <c r="AB141" s="219" t="s">
        <v>21</v>
      </c>
      <c r="AC141" s="1377" t="s">
        <v>21</v>
      </c>
      <c r="AD141" s="535"/>
      <c r="AE141" s="219"/>
      <c r="AF141" s="219"/>
      <c r="AG141" s="219"/>
      <c r="AH141" s="480" t="s">
        <v>21</v>
      </c>
      <c r="AI141" s="835" t="s">
        <v>21</v>
      </c>
      <c r="AJ141" s="224">
        <v>7</v>
      </c>
      <c r="AK141" s="224">
        <v>14</v>
      </c>
      <c r="AL141" s="224">
        <v>11</v>
      </c>
      <c r="AM141" s="224">
        <f>_xlfn.XLOOKUP(
$C141,
'在庫使用計画 (ノート全体試算)'!$C$1:$C$170,
'在庫使用計画 (ノート全体試算)'!AN$1:AN$170,
"")</f>
        <v>100</v>
      </c>
      <c r="AN141" s="237">
        <f>_xlfn.XLOOKUP(
$C141,
'在庫使用計画 (ノート全体試算)'!$C$1:$C$170,
'在庫使用計画 (ノート全体試算)'!AO$1:AO$170,
"")</f>
        <v>45</v>
      </c>
      <c r="AO141" s="237">
        <f>_xlfn.XLOOKUP(
$C141,
'在庫使用計画 (ノート全体試算)'!$C$1:$C$170,
'在庫使用計画 (ノート全体試算)'!AP$1:AP$170,
"")</f>
        <v>460</v>
      </c>
      <c r="AP141" s="224">
        <f>_xlfn.XLOOKUP(
$C141,
'在庫使用計画 (ノート全体試算)'!$C$1:$C$170,
'在庫使用計画 (ノート全体試算)'!AQ$1:AQ$170,
"")</f>
        <v>40</v>
      </c>
      <c r="AQ141" s="1050">
        <f>_xlfn.XLOOKUP(
$C141,
'在庫使用計画 (ノート全体試算)'!$C$1:$C$170,
'在庫使用計画 (ノート全体試算)'!AR$1:AR$170,
"")</f>
        <v>40</v>
      </c>
      <c r="AR141" s="2130">
        <f>_xlfn.XLOOKUP(
$C141,
'在庫使用計画 (ノート全体試算)'!$C$1:$C$170,
'在庫使用計画 (ノート全体試算)'!AS$1:AS$170,
"")</f>
        <v>38</v>
      </c>
      <c r="AS141" s="244" t="str">
        <f>_xlfn.XLOOKUP(
$C141,
'在庫使用計画 (ノート全体試算)'!$C$1:$C$170,
'在庫使用計画 (ノート全体試算)'!AT$1:AT$170,
"")</f>
        <v/>
      </c>
      <c r="AT141" s="805" t="str">
        <f>_xlfn.XLOOKUP(
$C141,
'在庫使用計画 (ノート全体試算)'!$C$1:$C$170,
'在庫使用計画 (ノート全体試算)'!AU$1:AU$170,
"")</f>
        <v/>
      </c>
      <c r="AU141" s="835" t="str">
        <f>_xlfn.XLOOKUP(
$C141,
'在庫使用計画 (ノート全体試算)'!$C$1:$C$170,
'在庫使用計画 (ノート全体試算)'!AV$1:AV$170,
"")</f>
        <v/>
      </c>
      <c r="AV141" s="224" t="str">
        <f>_xlfn.XLOOKUP(
$C141,
'在庫使用計画 (ノート全体試算)'!$C$1:$C$170,
'在庫使用計画 (ノート全体試算)'!AW$1:AW$170,
"")</f>
        <v/>
      </c>
      <c r="AW141" s="224" t="str">
        <f>_xlfn.XLOOKUP(
$C141,
'在庫使用計画 (ノート全体試算)'!$C$1:$C$170,
'在庫使用計画 (ノート全体試算)'!AX$1:AX$170,
"")</f>
        <v/>
      </c>
      <c r="AX141" s="224" t="str">
        <f>_xlfn.XLOOKUP(
$C141,
'在庫使用計画 (ノート全体試算)'!$C$1:$C$170,
'在庫使用計画 (ノート全体試算)'!AY$1:AY$170,
"")</f>
        <v/>
      </c>
      <c r="AY141" s="224" t="str">
        <f>_xlfn.XLOOKUP(
$C141,
'在庫使用計画 (ノート全体試算)'!$C$1:$C$170,
'在庫使用計画 (ノート全体試算)'!AZ$1:AZ$170,
"")</f>
        <v/>
      </c>
      <c r="AZ141" s="224" t="str">
        <f>_xlfn.XLOOKUP(
$C141,
'在庫使用計画 (ノート全体試算)'!$C$1:$C$170,
'在庫使用計画 (ノート全体試算)'!BA$1:BA$170,
"")</f>
        <v/>
      </c>
      <c r="BA141" s="224" t="str">
        <f>_xlfn.XLOOKUP(
$C141,
'在庫使用計画 (ノート全体試算)'!$C$1:$C$170,
'在庫使用計画 (ノート全体試算)'!BB$1:BB$170,
"")</f>
        <v/>
      </c>
      <c r="BB141" s="224" t="str">
        <f>_xlfn.XLOOKUP(
$C141,
'在庫使用計画 (ノート全体試算)'!$C$1:$C$170,
'在庫使用計画 (ノート全体試算)'!BC$1:BC$170,
"")</f>
        <v/>
      </c>
      <c r="BC141" s="224" t="str">
        <f>_xlfn.XLOOKUP(
$C141,
'在庫使用計画 (ノート全体試算)'!$C$1:$C$170,
'在庫使用計画 (ノート全体試算)'!BD$1:BD$170,
"")</f>
        <v/>
      </c>
      <c r="BD141" s="224" t="str">
        <f>_xlfn.XLOOKUP(
$C141,
'在庫使用計画 (ノート全体試算)'!$C$1:$C$170,
'在庫使用計画 (ノート全体試算)'!BE$1:BE$170,
"")</f>
        <v/>
      </c>
      <c r="BE141" s="224" t="str">
        <f>_xlfn.XLOOKUP(
$C141,
'在庫使用計画 (ノート全体試算)'!$C$1:$C$170,
'在庫使用計画 (ノート全体試算)'!BF$1:BF$170,
"")</f>
        <v/>
      </c>
      <c r="BF141" s="805" t="str">
        <f>_xlfn.XLOOKUP(
$C141,
'在庫使用計画 (ノート全体試算)'!$C$1:$C$170,
'在庫使用計画 (ノート全体試算)'!BG$1:BG$170,
"")</f>
        <v/>
      </c>
      <c r="BG141" s="2091" t="s">
        <v>2663</v>
      </c>
    </row>
    <row r="142" spans="1:59" ht="18.75" customHeight="1">
      <c r="A142" s="95"/>
      <c r="B142" s="87" t="str">
        <v>CLE-NL45-150U-UMA-L6-TPM DDR5 Thirdwave</v>
      </c>
      <c r="C142" s="86" t="s">
        <v>1461</v>
      </c>
      <c r="D142" s="87" t="s">
        <v>1763</v>
      </c>
      <c r="E142" s="87"/>
      <c r="F142" s="86"/>
      <c r="G142" s="38">
        <v>648</v>
      </c>
      <c r="H142" s="38">
        <f ca="1">_xlfn.LET(_xlpm._今月から4ヶ月計画合計,
  SUM(
    OFFSET($A142,0,
      MATCH(
        EDATE(基準データ!$C$5,3),$A$1:$BE$1,1
      )-4,1,4)),
  IF($C142="","",_xlpm._今月から4ヶ月計画合計
)
)</f>
        <v>4.6834956894820046</v>
      </c>
      <c r="I142" s="74">
        <f t="shared" si="19"/>
        <v>648</v>
      </c>
      <c r="J142" s="1116" t="str" cm="1">
        <f t="array" ref="J142">_xlfn.IFS($C142="","",
  $G142="","発売前？",
  $G142=0,"在庫なし",
  TRUE,
  IFERROR(
    _xlfn.LET(
      _xlpm._在庫注残,     $G142,
      _xlpm._しきい値,     _xlpm._在庫注残 * 0.75,
      _xlpm._見出し元,     $K$1:$BT$1,
      _xlpm._計画,         $K142:$BT142,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合計25、在庫+注残648のため不足</v>
      </c>
      <c r="K142" s="74"/>
      <c r="L142" s="74"/>
      <c r="M142" s="74"/>
      <c r="N142" s="74"/>
      <c r="O142" s="74"/>
      <c r="P142" s="74"/>
      <c r="Q142" s="118"/>
      <c r="R142" s="1378"/>
      <c r="S142" s="224"/>
      <c r="T142" s="224"/>
      <c r="U142" s="224"/>
      <c r="V142" s="223"/>
      <c r="W142" s="224" t="s">
        <v>21</v>
      </c>
      <c r="X142" s="224" t="s">
        <v>21</v>
      </c>
      <c r="Y142" s="224" t="s">
        <v>21</v>
      </c>
      <c r="Z142" s="910" t="s">
        <v>21</v>
      </c>
      <c r="AA142" s="910" t="s">
        <v>21</v>
      </c>
      <c r="AB142" s="224"/>
      <c r="AC142" s="1379"/>
      <c r="AD142" s="1345"/>
      <c r="AE142" s="910"/>
      <c r="AF142" s="910"/>
      <c r="AG142" s="224"/>
      <c r="AH142" s="237" t="s">
        <v>21</v>
      </c>
      <c r="AI142" s="804" t="s">
        <v>21</v>
      </c>
      <c r="AJ142" s="224">
        <v>7</v>
      </c>
      <c r="AK142" s="224">
        <v>15</v>
      </c>
      <c r="AL142" s="224">
        <v>11</v>
      </c>
      <c r="AM142" s="224">
        <f>_xlfn.LET(_xlpm._全体実績予測,
  INDEX('在庫使用計画 (全体実績+予測）0701'!$A$1:$BD$195,
    MATCH($C142,'在庫使用計画 (全体実績+予測）0701'!$C$1:$C$195,0),
    MATCH(AM$1,'在庫使用計画 (全体実績+予測）0701'!$A$1:$BD$1,0)
),
  IFERROR(
    IF(_xlpm._全体実績予測=0,"",_xlpm._全体実績予測),
  "")
)</f>
        <v>4</v>
      </c>
      <c r="AN142" s="237">
        <f>_xlfn.LET(_xlpm._全体実績予測,
  INDEX('在庫使用計画 (全体実績+予測）0701'!$A$1:$BD$195,
    MATCH($C142,'在庫使用計画 (全体実績+予測）0701'!$C$1:$C$195,0),
    MATCH(AN$1,'在庫使用計画 (全体実績+予測）0701'!$A$1:$BD$1,0)
),
  IFERROR(
    IF(_xlpm._全体実績予測=0,"",_xlpm._全体実績予測),
  "")
)</f>
        <v>1.0714285714285714</v>
      </c>
      <c r="AO142" s="237">
        <f>_xlfn.LET(_xlpm._全体実績予測,
  INDEX('在庫使用計画 (全体実績+予測）0701'!$A$1:$BD$195,
    MATCH($C142,'在庫使用計画 (全体実績+予測）0701'!$C$1:$C$195,0),
    MATCH(AO$1,'在庫使用計画 (全体実績+予測）0701'!$A$1:$BD$1,0)
),
  IFERROR(
    IF(_xlpm._全体実績予測=0,"",_xlpm._全体実績予測),
  "")
)</f>
        <v>1.1757957859636869</v>
      </c>
      <c r="AP142" s="224">
        <f>_xlfn.LET(_xlpm._全体実績予測,
  INDEX('在庫使用計画 (全体実績+予測）0701'!$A$1:$BD$195,
    MATCH($C142,'在庫使用計画 (全体実績+予測）0701'!$C$1:$C$195,0),
    MATCH(AP$1,'在庫使用計画 (全体実績+予測）0701'!$A$1:$BD$1,0)
),
  IFERROR(
    IF(_xlpm._全体実績予測=0,"",_xlpm._全体実績予測),
  "")
)</f>
        <v>1.0814488833459612</v>
      </c>
      <c r="AQ142" s="1050">
        <f>_xlfn.LET(_xlpm._全体実績予測,
  INDEX('在庫使用計画 (全体実績+予測）0701'!$A$1:$BD$195,
    MATCH($C142,'在庫使用計画 (全体実績+予測）0701'!$C$1:$C$195,0),
    MATCH(AQ$1,'在庫使用計画 (全体実績+予測）0701'!$A$1:$BD$1,0)
),
  IFERROR(
    IF(_xlpm._全体実績予測=0,"",_xlpm._全体実績予測),
  "")
)</f>
        <v>1.1682122066070679</v>
      </c>
      <c r="AR142" s="2130">
        <f>_xlfn.LET(_xlpm._全体実績予測,
  INDEX('在庫使用計画 (全体実績+予測）0701'!$A$1:$BD$195,
    MATCH($C142,'在庫使用計画 (全体実績+予測）0701'!$C$1:$C$195,0),
    MATCH(AR$1,'在庫使用計画 (全体実績+予測）0701'!$A$1:$BD$1,0)
),
  IFERROR(
    IF(_xlpm._全体実績予測=0,"",_xlpm._全体実績予測),
  "")
)</f>
        <v>1.2580388135652885</v>
      </c>
      <c r="AS142" s="244">
        <f>_xlfn.LET(_xlpm._全体実績予測,
  INDEX('在庫使用計画 (全体実績+予測）0701'!$A$1:$BD$195,
    MATCH($C142,'在庫使用計画 (全体実績+予測）0701'!$C$1:$C$195,0),
    MATCH(AS$1,'在庫使用計画 (全体実績+予測）0701'!$A$1:$BD$1,0)
),
  IFERROR(
    IF(_xlpm._全体実績予測=0,"",_xlpm._全体実績予測),
  "")
)</f>
        <v>1.3020070226729892</v>
      </c>
      <c r="AT142" s="805">
        <f>_xlfn.LET(_xlpm._全体実績予測,
  INDEX('在庫使用計画 (全体実績+予測）0701'!$A$1:$BD$195,
    MATCH($C142,'在庫使用計画 (全体実績+予測）0701'!$C$1:$C$195,0),
    MATCH(AT$1,'在庫使用計画 (全体実績+予測）0701'!$A$1:$BD$1,0)
),
  IFERROR(
    IF(_xlpm._全体実績予測=0,"",_xlpm._全体実績予測),
  "")
)</f>
        <v>1.9190648324810822</v>
      </c>
      <c r="AU142" s="804">
        <f>_xlfn.LET(_xlpm._全体実績予測,
  INDEX('在庫使用計画 (全体実績+予測）0701'!$A$1:$BD$195,
    MATCH($C142,'在庫使用計画 (全体実績+予測）0701'!$C$1:$C$195,0),
    MATCH(AU$1,'在庫使用計画 (全体実績+予測）0701'!$A$1:$BD$1,0)
),
  IFERROR(
    IF(_xlpm._全体実績予測=0,"",_xlpm._全体実績予測),
  "")
)</f>
        <v>1.6560925151969381</v>
      </c>
      <c r="AV142" s="224">
        <f>_xlfn.LET(_xlpm._全体実績予測,
  INDEX('在庫使用計画 (全体実績+予測）0701'!$A$1:$BD$195,
    MATCH($C142,'在庫使用計画 (全体実績+予測）0701'!$C$1:$C$195,0),
    MATCH(AV$1,'在庫使用計画 (全体実績+予測）0701'!$A$1:$BD$1,0)
),
  IFERROR(
    IF(_xlpm._全体実績予測=0,"",_xlpm._全体実績予測),
  "")
)</f>
        <v>1.5613848375429635</v>
      </c>
      <c r="AW142" s="224">
        <f>_xlfn.LET(_xlpm._全体実績予測,
  INDEX('在庫使用計画 (全体実績+予測）0701'!$A$1:$BD$195,
    MATCH($C142,'在庫使用計画 (全体実績+予測）0701'!$C$1:$C$195,0),
    MATCH(AW$1,'在庫使用計画 (全体実績+予測）0701'!$A$1:$BD$1,0)
),
  IFERROR(
    IF(_xlpm._全体実績予測=0,"",_xlpm._全体実績予測),
  "")
)</f>
        <v>2.3074524721883756</v>
      </c>
      <c r="AX142" s="224">
        <f>_xlfn.LET(_xlpm._全体実績予測,
  INDEX('在庫使用計画 (全体実績+予測）0701'!$A$1:$BD$195,
    MATCH($C142,'在庫使用計画 (全体実績+予測）0701'!$C$1:$C$195,0),
    MATCH(AX$1,'在庫使用計画 (全体実績+予測）0701'!$A$1:$BD$1,0)
),
  IFERROR(
    IF(_xlpm._全体実績予測=0,"",_xlpm._全体実績予測),
  "")
)</f>
        <v>1.4168498616604628</v>
      </c>
      <c r="AY142" s="224">
        <f>_xlfn.LET(_xlpm._全体実績予測,
  INDEX('在庫使用計画 (全体実績+予測）0701'!$A$1:$BD$195,
    MATCH($C142,'在庫使用計画 (全体実績+予測）0701'!$C$1:$C$195,0),
    MATCH(AY$1,'在庫使用計画 (全体実績+予測）0701'!$A$1:$BD$1,0)
),
  IFERROR(
    IF(_xlpm._全体実績予測=0,"",_xlpm._全体実績予測),
  "")
)</f>
        <v>1.0275424551799863</v>
      </c>
      <c r="AZ142" s="224">
        <f>_xlfn.LET(_xlpm._全体実績予測,
  INDEX('在庫使用計画 (全体実績+予測）0701'!$A$1:$BD$195,
    MATCH($C142,'在庫使用計画 (全体実績+予測）0701'!$C$1:$C$195,0),
    MATCH(AZ$1,'在庫使用計画 (全体実績+予測）0701'!$A$1:$BD$1,0)
),
  IFERROR(
    IF(_xlpm._全体実績予測=0,"",_xlpm._全体実績予測),
  "")
)</f>
        <v>1.0714285714285714</v>
      </c>
      <c r="BA142" s="224">
        <f>_xlfn.LET(_xlpm._全体実績予測,
  INDEX('在庫使用計画 (全体実績+予測）0701'!$A$1:$BD$195,
    MATCH($C142,'在庫使用計画 (全体実績+予測）0701'!$C$1:$C$195,0),
    MATCH(BA$1,'在庫使用計画 (全体実績+予測）0701'!$A$1:$BD$1,0)
),
  IFERROR(
    IF(_xlpm._全体実績予測=0,"",_xlpm._全体実績予測),
  "")
)</f>
        <v>1.1757957859636869</v>
      </c>
      <c r="BB142" s="224">
        <f>_xlfn.LET(_xlpm._全体実績予測,
  INDEX('在庫使用計画 (全体実績+予測）0701'!$A$1:$BD$195,
    MATCH($C142,'在庫使用計画 (全体実績+予測）0701'!$C$1:$C$195,0),
    MATCH(BB$1,'在庫使用計画 (全体実績+予測）0701'!$A$1:$BD$1,0)
),
  IFERROR(
    IF(_xlpm._全体実績予測=0,"",_xlpm._全体実績予測),
  "")
)</f>
        <v>1.0814488833459612</v>
      </c>
      <c r="BC142" s="224">
        <f>_xlfn.LET(_xlpm._全体実績予測,
  INDEX('在庫使用計画 (全体実績+予測）0701'!$A$1:$BD$195,
    MATCH($C142,'在庫使用計画 (全体実績+予測）0701'!$C$1:$C$195,0),
    MATCH(BC$1,'在庫使用計画 (全体実績+予測）0701'!$A$1:$BD$1,0)
),
  IFERROR(
    IF(_xlpm._全体実績予測=0,"",_xlpm._全体実績予測),
  "")
)</f>
        <v>1.1682122066070679</v>
      </c>
      <c r="BD142" s="224">
        <f>_xlfn.LET(_xlpm._全体実績予測,
  INDEX('在庫使用計画 (全体実績+予測）0701'!$A$1:$BD$195,
    MATCH($C142,'在庫使用計画 (全体実績+予測）0701'!$C$1:$C$195,0),
    MATCH(BD$1,'在庫使用計画 (全体実績+予測）0701'!$A$1:$BD$1,0)
),
  IFERROR(
    IF(_xlpm._全体実績予測=0,"",_xlpm._全体実績予測),
  "")
)</f>
        <v>1.2580388135652885</v>
      </c>
      <c r="BE142" s="224">
        <f>_xlfn.LET(_xlpm._全体実績予測,
  INDEX('在庫使用計画 (全体実績+予測）0701'!$A$1:$BD$195,
    MATCH($C142,'在庫使用計画 (全体実績+予測）0701'!$C$1:$C$195,0),
    MATCH(BE$1,'在庫使用計画 (全体実績+予測）0701'!$A$1:$BD$1,0)
),
  IFERROR(
    IF(_xlpm._全体実績予測=0,"",_xlpm._全体実績予測),
  "")
)</f>
        <v>1.3020070226729892</v>
      </c>
      <c r="BF142" s="805">
        <f>_xlfn.LET(_xlpm._全体実績予測,
  INDEX('在庫使用計画 (全体実績+予測）0701'!$A$1:$BD$195,
    MATCH($C142,'在庫使用計画 (全体実績+予測）0701'!$C$1:$C$195,0),
    MATCH(BF$1,'在庫使用計画 (全体実績+予測）0701'!$A$1:$BD$1,0)
),
  IFERROR(
    IF(_xlpm._全体実績予測=0,"",_xlpm._全体実績予測),
  "")
)</f>
        <v>1.9190648324810822</v>
      </c>
    </row>
    <row r="143" spans="1:59" ht="18.75" customHeight="1">
      <c r="A143" s="124" t="s">
        <v>1442</v>
      </c>
      <c r="B143" s="26" t="str">
        <v>CLE-NL45-120U-UMA-L6-TPM Thirdwave</v>
      </c>
      <c r="C143" s="24" t="s">
        <v>763</v>
      </c>
      <c r="D143" s="72" t="s">
        <v>1457</v>
      </c>
      <c r="E143" s="68" t="s">
        <v>1416</v>
      </c>
      <c r="F143" s="87" t="s">
        <v>1372</v>
      </c>
      <c r="G143" s="38">
        <v>362</v>
      </c>
      <c r="H143" s="38">
        <f ca="1">_xlfn.LET(_xlpm._今月から4ヶ月計画合計,
  SUM(
    OFFSET($A143,0,
      MATCH(
        EDATE(基準データ!$C$5,3),$A$1:$BE$1,1
      )-4,1,4)),
  IF($C143="","",_xlpm._今月から4ヶ月計画合計
)
)</f>
        <v>270</v>
      </c>
      <c r="I143" s="38">
        <f>SUMIFS(マスタ_EOLリスト[在庫],マスタ_EOLリスト[製品型番],'在庫使用計画 (計画　予測)'!$C:$C)</f>
        <v>362</v>
      </c>
      <c r="J143" s="1116" t="str" cm="1">
        <f t="array" ref="J143">_xlfn.IFS($C143="","",
  $G143="","発売前？",
  $G143=0,"在庫なし",
  TRUE,
  IFERROR(
    _xlfn.LET(
      _xlpm._在庫注残,     $G143,
      _xlpm._しきい値,     _xlpm._在庫注残 * 0.75,
      _xlpm._見出し元,     $K$1:$BT$1,
      _xlpm._計画,         $K143:$BT143,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合計261、在庫+注残362のため不足</v>
      </c>
      <c r="K143" s="38" t="s">
        <v>21</v>
      </c>
      <c r="L143" s="38" t="s">
        <v>21</v>
      </c>
      <c r="M143" s="38" t="s">
        <v>21</v>
      </c>
      <c r="N143" s="38" t="s">
        <v>21</v>
      </c>
      <c r="O143" s="38" t="s">
        <v>21</v>
      </c>
      <c r="P143" s="38" t="s">
        <v>21</v>
      </c>
      <c r="Q143" s="116" t="s">
        <v>21</v>
      </c>
      <c r="R143" s="1350" t="s">
        <v>21</v>
      </c>
      <c r="S143" s="219" t="s">
        <v>21</v>
      </c>
      <c r="T143" s="219" t="s">
        <v>21</v>
      </c>
      <c r="U143" s="219" t="s">
        <v>21</v>
      </c>
      <c r="V143" s="219" t="s">
        <v>21</v>
      </c>
      <c r="W143" s="224" t="s">
        <v>21</v>
      </c>
      <c r="X143" s="237" t="s">
        <v>21</v>
      </c>
      <c r="Y143" s="224" t="s">
        <v>21</v>
      </c>
      <c r="Z143" s="224" t="s">
        <v>21</v>
      </c>
      <c r="AA143" s="224" t="s">
        <v>21</v>
      </c>
      <c r="AB143" s="224" t="s">
        <v>21</v>
      </c>
      <c r="AC143" s="805" t="s">
        <v>21</v>
      </c>
      <c r="AD143" s="244" t="s">
        <v>21</v>
      </c>
      <c r="AE143" s="224" t="s">
        <v>21</v>
      </c>
      <c r="AF143" s="224" t="s">
        <v>21</v>
      </c>
      <c r="AG143" s="224" t="s">
        <v>21</v>
      </c>
      <c r="AH143" s="237">
        <v>1</v>
      </c>
      <c r="AI143" s="804">
        <v>17</v>
      </c>
      <c r="AJ143" s="224">
        <v>102</v>
      </c>
      <c r="AK143" s="224">
        <v>24</v>
      </c>
      <c r="AL143" s="224">
        <v>10</v>
      </c>
      <c r="AM143" s="224">
        <f>_xlfn.XLOOKUP(
$C143,
'在庫使用計画 (ノート全体試算)'!$C$1:$C$170,
'在庫使用計画 (ノート全体試算)'!AN$1:AN$170,
"")</f>
        <v>101</v>
      </c>
      <c r="AN143" s="237">
        <f>_xlfn.XLOOKUP(
$C143,
'在庫使用計画 (ノート全体試算)'!$C$1:$C$170,
'在庫使用計画 (ノート全体試算)'!AO$1:AO$170,
"")</f>
        <v>270</v>
      </c>
      <c r="AO143" s="237">
        <f>_xlfn.XLOOKUP(
$C143,
'在庫使用計画 (ノート全体試算)'!$C$1:$C$170,
'在庫使用計画 (ノート全体試算)'!AP$1:AP$170,
"")</f>
        <v>270</v>
      </c>
      <c r="AP143" s="224" t="str">
        <f>_xlfn.XLOOKUP(
$C143,
'在庫使用計画 (ノート全体試算)'!$C$1:$C$170,
'在庫使用計画 (ノート全体試算)'!AQ$1:AQ$170,
"")</f>
        <v/>
      </c>
      <c r="AQ143" s="1050" t="str">
        <f>_xlfn.XLOOKUP(
$C143,
'在庫使用計画 (ノート全体試算)'!$C$1:$C$170,
'在庫使用計画 (ノート全体試算)'!AR$1:AR$170,
"")</f>
        <v/>
      </c>
      <c r="AR143" s="2130" t="str">
        <f>_xlfn.XLOOKUP(
$C143,
'在庫使用計画 (ノート全体試算)'!$C$1:$C$170,
'在庫使用計画 (ノート全体試算)'!AS$1:AS$170,
"")</f>
        <v/>
      </c>
      <c r="AS143" s="244" t="str">
        <f>_xlfn.XLOOKUP(
$C143,
'在庫使用計画 (ノート全体試算)'!$C$1:$C$170,
'在庫使用計画 (ノート全体試算)'!AT$1:AT$170,
"")</f>
        <v/>
      </c>
      <c r="AT143" s="805" t="str">
        <f>_xlfn.XLOOKUP(
$C143,
'在庫使用計画 (ノート全体試算)'!$C$1:$C$170,
'在庫使用計画 (ノート全体試算)'!AU$1:AU$170,
"")</f>
        <v/>
      </c>
      <c r="AU143" s="804" t="str">
        <f>_xlfn.XLOOKUP(
$C143,
'在庫使用計画 (ノート全体試算)'!$C$1:$C$170,
'在庫使用計画 (ノート全体試算)'!AV$1:AV$170,
"")</f>
        <v/>
      </c>
      <c r="AV143" s="224" t="str">
        <f>_xlfn.XLOOKUP(
$C143,
'在庫使用計画 (ノート全体試算)'!$C$1:$C$170,
'在庫使用計画 (ノート全体試算)'!AW$1:AW$170,
"")</f>
        <v/>
      </c>
      <c r="AW143" s="224" t="str">
        <f>_xlfn.XLOOKUP(
$C143,
'在庫使用計画 (ノート全体試算)'!$C$1:$C$170,
'在庫使用計画 (ノート全体試算)'!AX$1:AX$170,
"")</f>
        <v/>
      </c>
      <c r="AX143" s="224" t="str">
        <f>_xlfn.XLOOKUP(
$C143,
'在庫使用計画 (ノート全体試算)'!$C$1:$C$170,
'在庫使用計画 (ノート全体試算)'!AY$1:AY$170,
"")</f>
        <v/>
      </c>
      <c r="AY143" s="224" t="str">
        <f>_xlfn.XLOOKUP(
$C143,
'在庫使用計画 (ノート全体試算)'!$C$1:$C$170,
'在庫使用計画 (ノート全体試算)'!AZ$1:AZ$170,
"")</f>
        <v/>
      </c>
      <c r="AZ143" s="224" t="str">
        <f>_xlfn.XLOOKUP(
$C143,
'在庫使用計画 (ノート全体試算)'!$C$1:$C$170,
'在庫使用計画 (ノート全体試算)'!BA$1:BA$170,
"")</f>
        <v/>
      </c>
      <c r="BA143" s="224" t="str">
        <f>_xlfn.XLOOKUP(
$C143,
'在庫使用計画 (ノート全体試算)'!$C$1:$C$170,
'在庫使用計画 (ノート全体試算)'!BB$1:BB$170,
"")</f>
        <v/>
      </c>
      <c r="BB143" s="224" t="str">
        <f>_xlfn.XLOOKUP(
$C143,
'在庫使用計画 (ノート全体試算)'!$C$1:$C$170,
'在庫使用計画 (ノート全体試算)'!BC$1:BC$170,
"")</f>
        <v/>
      </c>
      <c r="BC143" s="224" t="str">
        <f>_xlfn.XLOOKUP(
$C143,
'在庫使用計画 (ノート全体試算)'!$C$1:$C$170,
'在庫使用計画 (ノート全体試算)'!BD$1:BD$170,
"")</f>
        <v/>
      </c>
      <c r="BD143" s="224" t="str">
        <f>_xlfn.XLOOKUP(
$C143,
'在庫使用計画 (ノート全体試算)'!$C$1:$C$170,
'在庫使用計画 (ノート全体試算)'!BE$1:BE$170,
"")</f>
        <v/>
      </c>
      <c r="BE143" s="224" t="str">
        <f>_xlfn.XLOOKUP(
$C143,
'在庫使用計画 (ノート全体試算)'!$C$1:$C$170,
'在庫使用計画 (ノート全体試算)'!BF$1:BF$170,
"")</f>
        <v/>
      </c>
      <c r="BF143" s="805" t="str">
        <f>_xlfn.XLOOKUP(
$C143,
'在庫使用計画 (ノート全体試算)'!$C$1:$C$170,
'在庫使用計画 (ノート全体試算)'!BG$1:BG$170,
"")</f>
        <v/>
      </c>
      <c r="BG143" s="2091" t="s">
        <v>2655</v>
      </c>
    </row>
    <row r="144" spans="1:59" ht="18.75" customHeight="1">
      <c r="A144" s="95"/>
      <c r="B144" s="87" t="str">
        <v>CLE-NL45-120U-UMA-L6-TPM Thirdwave</v>
      </c>
      <c r="C144" s="86" t="s">
        <v>763</v>
      </c>
      <c r="D144" s="87" t="s">
        <v>1763</v>
      </c>
      <c r="E144" s="87"/>
      <c r="F144" s="86"/>
      <c r="G144" s="38">
        <v>362</v>
      </c>
      <c r="H144" s="38">
        <f ca="1">_xlfn.LET(_xlpm._今月から4ヶ月計画合計,
  SUM(
    OFFSET($A144,0,
      MATCH(
        EDATE(基準データ!$C$5,3),$A$1:$BE$1,1
      )-4,1,4)),
  IF($C144="","",_xlpm._今月から4ヶ月計画合計
)
)</f>
        <v>88.98641810015809</v>
      </c>
      <c r="I144" s="38">
        <f t="shared" si="19"/>
        <v>362</v>
      </c>
      <c r="J144" s="1116" cm="1">
        <f t="array" ref="J144">_xlfn.IFS($C144="","",
  $G144="","発売前？",
  $G144=0,"在庫なし",
  TRUE,
  IFERROR(
    _xlfn.LET(
      _xlpm._在庫注残,     $G144,
      _xlpm._しきい値,     _xlpm._在庫注残 * 0.75,
      _xlpm._見出し元,     $K$1:$BT$1,
      _xlpm._計画,         $K144:$BT144,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46478</v>
      </c>
      <c r="K144" s="74"/>
      <c r="L144" s="74"/>
      <c r="M144" s="74"/>
      <c r="N144" s="74"/>
      <c r="O144" s="74"/>
      <c r="P144" s="74"/>
      <c r="Q144" s="118"/>
      <c r="R144" s="1378"/>
      <c r="S144" s="224"/>
      <c r="T144" s="224"/>
      <c r="U144" s="224"/>
      <c r="V144" s="223"/>
      <c r="W144" s="224" t="s">
        <v>21</v>
      </c>
      <c r="X144" s="224" t="s">
        <v>21</v>
      </c>
      <c r="Y144" s="224" t="s">
        <v>21</v>
      </c>
      <c r="Z144" s="910" t="s">
        <v>21</v>
      </c>
      <c r="AA144" s="910" t="s">
        <v>21</v>
      </c>
      <c r="AB144" s="224" t="s">
        <v>21</v>
      </c>
      <c r="AC144" s="1379" t="s">
        <v>21</v>
      </c>
      <c r="AD144" s="1345" t="s">
        <v>21</v>
      </c>
      <c r="AE144" s="910" t="s">
        <v>21</v>
      </c>
      <c r="AF144" s="910" t="s">
        <v>21</v>
      </c>
      <c r="AG144" s="224" t="s">
        <v>21</v>
      </c>
      <c r="AH144" s="237">
        <v>2</v>
      </c>
      <c r="AI144" s="804">
        <v>58</v>
      </c>
      <c r="AJ144" s="224">
        <v>111</v>
      </c>
      <c r="AK144" s="224">
        <v>30</v>
      </c>
      <c r="AL144" s="224">
        <v>9</v>
      </c>
      <c r="AM144" s="224">
        <f>_xlfn.LET(_xlpm._全体実績予測,
  INDEX('在庫使用計画 (全体実績+予測）0701'!$A$1:$BD$195,
    MATCH($C144,'在庫使用計画 (全体実績+予測）0701'!$C$1:$C$195,0),
    MATCH(AM$1,'在庫使用計画 (全体実績+予測）0701'!$A$1:$BD$1,0)
),
  IFERROR(
    IF(_xlpm._全体実績予測=0,"",_xlpm._全体実績予測),
  "")
)</f>
        <v>13</v>
      </c>
      <c r="AN144" s="237">
        <f>_xlfn.LET(_xlpm._全体実績予測,
  INDEX('在庫使用計画 (全体実績+予測）0701'!$A$1:$BD$195,
    MATCH($C144,'在庫使用計画 (全体実績+予測）0701'!$C$1:$C$195,0),
    MATCH(AN$1,'在庫使用計画 (全体実績+予測）0701'!$A$1:$BD$1,0)
),
  IFERROR(
    IF(_xlpm._全体実績予測=0,"",_xlpm._全体実績予測),
  "")
)</f>
        <v>20.357142857142858</v>
      </c>
      <c r="AO144" s="237">
        <f>_xlfn.LET(_xlpm._全体実績予測,
  INDEX('在庫使用計画 (全体実績+予測）0701'!$A$1:$BD$195,
    MATCH($C144,'在庫使用計画 (全体実績+予測）0701'!$C$1:$C$195,0),
    MATCH(AO$1,'在庫使用計画 (全体実績+予測）0701'!$A$1:$BD$1,0)
),
  IFERROR(
    IF(_xlpm._全体実績予測=0,"",_xlpm._全体実績予測),
  "")
)</f>
        <v>22.340119933310053</v>
      </c>
      <c r="AP144" s="224">
        <f>_xlfn.LET(_xlpm._全体実績予測,
  INDEX('在庫使用計画 (全体実績+予測）0701'!$A$1:$BD$195,
    MATCH($C144,'在庫使用計画 (全体実績+予測）0701'!$C$1:$C$195,0),
    MATCH(AP$1,'在庫使用計画 (全体実績+予測）0701'!$A$1:$BD$1,0)
),
  IFERROR(
    IF(_xlpm._全体実績予測=0,"",_xlpm._全体実績予測),
  "")
)</f>
        <v>20.547528783573263</v>
      </c>
      <c r="AQ144" s="1050">
        <f>_xlfn.LET(_xlpm._全体実績予測,
  INDEX('在庫使用計画 (全体実績+予測）0701'!$A$1:$BD$195,
    MATCH($C144,'在庫使用計画 (全体実績+予測）0701'!$C$1:$C$195,0),
    MATCH(AQ$1,'在庫使用計画 (全体実績+予測）0701'!$A$1:$BD$1,0)
),
  IFERROR(
    IF(_xlpm._全体実績予測=0,"",_xlpm._全体実績予測),
  "")
)</f>
        <v>22.196031925534289</v>
      </c>
      <c r="AR144" s="2130">
        <f>_xlfn.LET(_xlpm._全体実績予測,
  INDEX('在庫使用計画 (全体実績+予測）0701'!$A$1:$BD$195,
    MATCH($C144,'在庫使用計画 (全体実績+予測）0701'!$C$1:$C$195,0),
    MATCH(AR$1,'在庫使用計画 (全体実績+予測）0701'!$A$1:$BD$1,0)
),
  IFERROR(
    IF(_xlpm._全体実績予測=0,"",_xlpm._全体実績予測),
  "")
)</f>
        <v>23.902737457740479</v>
      </c>
      <c r="AS144" s="244">
        <f>_xlfn.LET(_xlpm._全体実績予測,
  INDEX('在庫使用計画 (全体実績+予測）0701'!$A$1:$BD$195,
    MATCH($C144,'在庫使用計画 (全体実績+予測）0701'!$C$1:$C$195,0),
    MATCH(AS$1,'在庫使用計画 (全体実績+予測）0701'!$A$1:$BD$1,0)
),
  IFERROR(
    IF(_xlpm._全体実績予測=0,"",_xlpm._全体実績予測),
  "")
)</f>
        <v>24.738133430786792</v>
      </c>
      <c r="AT144" s="805">
        <f>_xlfn.LET(_xlpm._全体実績予測,
  INDEX('在庫使用計画 (全体実績+予測）0701'!$A$1:$BD$195,
    MATCH($C144,'在庫使用計画 (全体実績+予測）0701'!$C$1:$C$195,0),
    MATCH(AT$1,'在庫使用計画 (全体実績+予測）0701'!$A$1:$BD$1,0)
),
  IFERROR(
    IF(_xlpm._全体実績予測=0,"",_xlpm._全体実績予測),
  "")
)</f>
        <v>36.462231817140555</v>
      </c>
      <c r="AU144" s="804">
        <f>_xlfn.LET(_xlpm._全体実績予測,
  INDEX('在庫使用計画 (全体実績+予測）0701'!$A$1:$BD$195,
    MATCH($C144,'在庫使用計画 (全体実績+予測）0701'!$C$1:$C$195,0),
    MATCH(AU$1,'在庫使用計画 (全体実績+予測）0701'!$A$1:$BD$1,0)
),
  IFERROR(
    IF(_xlpm._全体実績予測=0,"",_xlpm._全体実績予測),
  "")
)</f>
        <v>31.465757788741822</v>
      </c>
      <c r="AV144" s="224">
        <f>_xlfn.LET(_xlpm._全体実績予測,
  INDEX('在庫使用計画 (全体実績+予測）0701'!$A$1:$BD$195,
    MATCH($C144,'在庫使用計画 (全体実績+予測）0701'!$C$1:$C$195,0),
    MATCH(AV$1,'在庫使用計画 (全体実績+予測）0701'!$A$1:$BD$1,0)
),
  IFERROR(
    IF(_xlpm._全体実績予測=0,"",_xlpm._全体実績予測),
  "")
)</f>
        <v>29.666311913316303</v>
      </c>
      <c r="AW144" s="224">
        <f>_xlfn.LET(_xlpm._全体実績予測,
  INDEX('在庫使用計画 (全体実績+予測）0701'!$A$1:$BD$195,
    MATCH($C144,'在庫使用計画 (全体実績+予測）0701'!$C$1:$C$195,0),
    MATCH(AW$1,'在庫使用計画 (全体実績+予測）0701'!$A$1:$BD$1,0)
),
  IFERROR(
    IF(_xlpm._全体実績予測=0,"",_xlpm._全体実績予測),
  "")
)</f>
        <v>43.841596971579129</v>
      </c>
      <c r="AX144" s="224">
        <f>_xlfn.LET(_xlpm._全体実績予測,
  INDEX('在庫使用計画 (全体実績+予測）0701'!$A$1:$BD$195,
    MATCH($C144,'在庫使用計画 (全体実績+予測）0701'!$C$1:$C$195,0),
    MATCH(AX$1,'在庫使用計画 (全体実績+予測）0701'!$A$1:$BD$1,0)
),
  IFERROR(
    IF(_xlpm._全体実績予測=0,"",_xlpm._全体実績予測),
  "")
)</f>
        <v>26.92014737154879</v>
      </c>
      <c r="AY144" s="224">
        <f>_xlfn.LET(_xlpm._全体実績予測,
  INDEX('在庫使用計画 (全体実績+予測）0701'!$A$1:$BD$195,
    MATCH($C144,'在庫使用計画 (全体実績+予測）0701'!$C$1:$C$195,0),
    MATCH(AY$1,'在庫使用計画 (全体実績+予測）0701'!$A$1:$BD$1,0)
),
  IFERROR(
    IF(_xlpm._全体実績予測=0,"",_xlpm._全体実績予測),
  "")
)</f>
        <v>19.523306648419737</v>
      </c>
      <c r="AZ144" s="224">
        <f>_xlfn.LET(_xlpm._全体実績予測,
  INDEX('在庫使用計画 (全体実績+予測）0701'!$A$1:$BD$195,
    MATCH($C144,'在庫使用計画 (全体実績+予測）0701'!$C$1:$C$195,0),
    MATCH(AZ$1,'在庫使用計画 (全体実績+予測）0701'!$A$1:$BD$1,0)
),
  IFERROR(
    IF(_xlpm._全体実績予測=0,"",_xlpm._全体実績予測),
  "")
)</f>
        <v>20.357142857142851</v>
      </c>
      <c r="BA144" s="224">
        <f>_xlfn.LET(_xlpm._全体実績予測,
  INDEX('在庫使用計画 (全体実績+予測）0701'!$A$1:$BD$195,
    MATCH($C144,'在庫使用計画 (全体実績+予測）0701'!$C$1:$C$195,0),
    MATCH(BA$1,'在庫使用計画 (全体実績+予測）0701'!$A$1:$BD$1,0)
),
  IFERROR(
    IF(_xlpm._全体実績予測=0,"",_xlpm._全体実績予測),
  "")
)</f>
        <v>22.340119933310046</v>
      </c>
      <c r="BB144" s="224">
        <f>_xlfn.LET(_xlpm._全体実績予測,
  INDEX('在庫使用計画 (全体実績+予測）0701'!$A$1:$BD$195,
    MATCH($C144,'在庫使用計画 (全体実績+予測）0701'!$C$1:$C$195,0),
    MATCH(BB$1,'在庫使用計画 (全体実績+予測）0701'!$A$1:$BD$1,0)
),
  IFERROR(
    IF(_xlpm._全体実績予測=0,"",_xlpm._全体実績予測),
  "")
)</f>
        <v>20.547528783573259</v>
      </c>
      <c r="BC144" s="224">
        <f>_xlfn.LET(_xlpm._全体実績予測,
  INDEX('在庫使用計画 (全体実績+予測）0701'!$A$1:$BD$195,
    MATCH($C144,'在庫使用計画 (全体実績+予測）0701'!$C$1:$C$195,0),
    MATCH(BC$1,'在庫使用計画 (全体実績+予測）0701'!$A$1:$BD$1,0)
),
  IFERROR(
    IF(_xlpm._全体実績予測=0,"",_xlpm._全体実績予測),
  "")
)</f>
        <v>22.196031925534285</v>
      </c>
      <c r="BD144" s="224">
        <f>_xlfn.LET(_xlpm._全体実績予測,
  INDEX('在庫使用計画 (全体実績+予測）0701'!$A$1:$BD$195,
    MATCH($C144,'在庫使用計画 (全体実績+予測）0701'!$C$1:$C$195,0),
    MATCH(BD$1,'在庫使用計画 (全体実績+予測）0701'!$A$1:$BD$1,0)
),
  IFERROR(
    IF(_xlpm._全体実績予測=0,"",_xlpm._全体実績予測),
  "")
)</f>
        <v>23.902737457740475</v>
      </c>
      <c r="BE144" s="224">
        <f>_xlfn.LET(_xlpm._全体実績予測,
  INDEX('在庫使用計画 (全体実績+予測）0701'!$A$1:$BD$195,
    MATCH($C144,'在庫使用計画 (全体実績+予測）0701'!$C$1:$C$195,0),
    MATCH(BE$1,'在庫使用計画 (全体実績+予測）0701'!$A$1:$BD$1,0)
),
  IFERROR(
    IF(_xlpm._全体実績予測=0,"",_xlpm._全体実績予測),
  "")
)</f>
        <v>24.738133430786789</v>
      </c>
      <c r="BF144" s="805">
        <f>_xlfn.LET(_xlpm._全体実績予測,
  INDEX('在庫使用計画 (全体実績+予測）0701'!$A$1:$BD$195,
    MATCH($C144,'在庫使用計画 (全体実績+予測）0701'!$C$1:$C$195,0),
    MATCH(BF$1,'在庫使用計画 (全体実績+予測）0701'!$A$1:$BD$1,0)
),
  IFERROR(
    IF(_xlpm._全体実績予測=0,"",_xlpm._全体実績予測),
  "")
)</f>
        <v>36.462231817140555</v>
      </c>
    </row>
    <row r="145" spans="1:59" ht="18.75" customHeight="1">
      <c r="A145" s="124" t="s">
        <v>1442</v>
      </c>
      <c r="B145" s="87" t="str">
        <v>CLE-NL45-120U-UMA-L6-TPM DDR5 Thirdwave</v>
      </c>
      <c r="C145" s="86" t="s">
        <v>1462</v>
      </c>
      <c r="D145" s="137"/>
      <c r="E145" s="108" t="s">
        <v>1416</v>
      </c>
      <c r="F145" s="68" t="s">
        <v>1347</v>
      </c>
      <c r="G145" s="38">
        <v>1460</v>
      </c>
      <c r="H145" s="38">
        <f ca="1">_xlfn.LET(_xlpm._今月から4ヶ月計画合計,
  SUM(
    OFFSET($A145,0,
      MATCH(
        EDATE(基準データ!$C$5,3),$A$1:$BE$1,1
      )-4,1,4)),
  IF($C145="","",_xlpm._今月から4ヶ月計画合計
)
)</f>
        <v>919</v>
      </c>
      <c r="I145" s="74">
        <f>SUMIFS(マスタ_EOLリスト[在庫],マスタ_EOLリスト[製品型番],'在庫使用計画 (計画　予測)'!$C:$C)</f>
        <v>1460</v>
      </c>
      <c r="J145" s="1116" t="str" cm="1">
        <f t="array" ref="J145">_xlfn.IFS($C145="","",
  $G145="","発売前？",
  $G145=0,"在庫なし",
  TRUE,
  IFERROR(
    _xlfn.LET(
      _xlpm._在庫注残,     $G145,
      _xlpm._しきい値,     _xlpm._在庫注残 * 0.75,
      _xlpm._見出し元,     $K$1:$BT$1,
      _xlpm._計画,         $K145:$BT145,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合計1,052、在庫+注残1,460のため不足</v>
      </c>
      <c r="K145" s="109" t="s">
        <v>21</v>
      </c>
      <c r="L145" s="109" t="s">
        <v>21</v>
      </c>
      <c r="M145" s="109" t="s">
        <v>21</v>
      </c>
      <c r="N145" s="196" t="s">
        <v>21</v>
      </c>
      <c r="O145" s="38" t="s">
        <v>21</v>
      </c>
      <c r="P145" s="38" t="s">
        <v>21</v>
      </c>
      <c r="Q145" s="116" t="s">
        <v>21</v>
      </c>
      <c r="R145" s="1350" t="s">
        <v>21</v>
      </c>
      <c r="S145" s="219" t="s">
        <v>21</v>
      </c>
      <c r="T145" s="219" t="s">
        <v>21</v>
      </c>
      <c r="U145" s="219" t="s">
        <v>21</v>
      </c>
      <c r="V145" s="219" t="s">
        <v>21</v>
      </c>
      <c r="W145" s="219" t="s">
        <v>21</v>
      </c>
      <c r="X145" s="219" t="s">
        <v>21</v>
      </c>
      <c r="Y145" s="219" t="s">
        <v>21</v>
      </c>
      <c r="Z145" s="219" t="s">
        <v>21</v>
      </c>
      <c r="AA145" s="219" t="s">
        <v>21</v>
      </c>
      <c r="AB145" s="219" t="s">
        <v>21</v>
      </c>
      <c r="AC145" s="1377" t="s">
        <v>21</v>
      </c>
      <c r="AD145" s="535" t="s">
        <v>21</v>
      </c>
      <c r="AE145" s="219" t="s">
        <v>21</v>
      </c>
      <c r="AF145" s="219" t="s">
        <v>21</v>
      </c>
      <c r="AG145" s="219" t="s">
        <v>21</v>
      </c>
      <c r="AH145" s="480" t="s">
        <v>21</v>
      </c>
      <c r="AI145" s="835" t="s">
        <v>21</v>
      </c>
      <c r="AJ145" s="224">
        <v>33</v>
      </c>
      <c r="AK145" s="224">
        <v>153</v>
      </c>
      <c r="AL145" s="224">
        <v>500</v>
      </c>
      <c r="AM145" s="224">
        <f>_xlfn.XLOOKUP(
$C145,
'在庫使用計画 (ノート全体試算)'!$C$1:$C$170,
'在庫使用計画 (ノート全体試算)'!AN$1:AN$170,
"")</f>
        <v>270</v>
      </c>
      <c r="AN145" s="237">
        <f>_xlfn.XLOOKUP(
$C145,
'在庫使用計画 (ノート全体試算)'!$C$1:$C$170,
'在庫使用計画 (ノート全体試算)'!AO$1:AO$170,
"")</f>
        <v>320</v>
      </c>
      <c r="AO145" s="237">
        <f>_xlfn.XLOOKUP(
$C145,
'在庫使用計画 (ノート全体試算)'!$C$1:$C$170,
'在庫使用計画 (ノート全体試算)'!AP$1:AP$170,
"")</f>
        <v>520</v>
      </c>
      <c r="AP145" s="224">
        <f>_xlfn.XLOOKUP(
$C145,
'在庫使用計画 (ノート全体試算)'!$C$1:$C$170,
'在庫使用計画 (ノート全体試算)'!AQ$1:AQ$170,
"")</f>
        <v>99</v>
      </c>
      <c r="AQ145" s="1050">
        <f>_xlfn.XLOOKUP(
$C145,
'在庫使用計画 (ノート全体試算)'!$C$1:$C$170,
'在庫使用計画 (ノート全体試算)'!AR$1:AR$170,
"")</f>
        <v>150</v>
      </c>
      <c r="AR145" s="2130">
        <f>_xlfn.XLOOKUP(
$C145,
'在庫使用計画 (ノート全体試算)'!$C$1:$C$170,
'在庫使用計画 (ノート全体試算)'!AS$1:AS$170,
"")</f>
        <v>150</v>
      </c>
      <c r="AS145" s="244">
        <f>_xlfn.XLOOKUP(
$C145,
'在庫使用計画 (ノート全体試算)'!$C$1:$C$170,
'在庫使用計画 (ノート全体試算)'!AT$1:AT$170,
"")</f>
        <v>150</v>
      </c>
      <c r="AT145" s="805" t="str">
        <f>_xlfn.XLOOKUP(
$C145,
'在庫使用計画 (ノート全体試算)'!$C$1:$C$170,
'在庫使用計画 (ノート全体試算)'!AU$1:AU$170,
"")</f>
        <v/>
      </c>
      <c r="AU145" s="835" t="str">
        <f>_xlfn.XLOOKUP(
$C145,
'在庫使用計画 (ノート全体試算)'!$C$1:$C$170,
'在庫使用計画 (ノート全体試算)'!AV$1:AV$170,
"")</f>
        <v/>
      </c>
      <c r="AV145" s="224" t="str">
        <f>_xlfn.XLOOKUP(
$C145,
'在庫使用計画 (ノート全体試算)'!$C$1:$C$170,
'在庫使用計画 (ノート全体試算)'!AW$1:AW$170,
"")</f>
        <v/>
      </c>
      <c r="AW145" s="224" t="str">
        <f>_xlfn.XLOOKUP(
$C145,
'在庫使用計画 (ノート全体試算)'!$C$1:$C$170,
'在庫使用計画 (ノート全体試算)'!AX$1:AX$170,
"")</f>
        <v/>
      </c>
      <c r="AX145" s="224" t="str">
        <f>_xlfn.XLOOKUP(
$C145,
'在庫使用計画 (ノート全体試算)'!$C$1:$C$170,
'在庫使用計画 (ノート全体試算)'!AY$1:AY$170,
"")</f>
        <v/>
      </c>
      <c r="AY145" s="224" t="str">
        <f>_xlfn.XLOOKUP(
$C145,
'在庫使用計画 (ノート全体試算)'!$C$1:$C$170,
'在庫使用計画 (ノート全体試算)'!AZ$1:AZ$170,
"")</f>
        <v/>
      </c>
      <c r="AZ145" s="224" t="str">
        <f>_xlfn.XLOOKUP(
$C145,
'在庫使用計画 (ノート全体試算)'!$C$1:$C$170,
'在庫使用計画 (ノート全体試算)'!BA$1:BA$170,
"")</f>
        <v/>
      </c>
      <c r="BA145" s="224" t="str">
        <f>_xlfn.XLOOKUP(
$C145,
'在庫使用計画 (ノート全体試算)'!$C$1:$C$170,
'在庫使用計画 (ノート全体試算)'!BB$1:BB$170,
"")</f>
        <v/>
      </c>
      <c r="BB145" s="224" t="str">
        <f>_xlfn.XLOOKUP(
$C145,
'在庫使用計画 (ノート全体試算)'!$C$1:$C$170,
'在庫使用計画 (ノート全体試算)'!BC$1:BC$170,
"")</f>
        <v/>
      </c>
      <c r="BC145" s="224" t="str">
        <f>_xlfn.XLOOKUP(
$C145,
'在庫使用計画 (ノート全体試算)'!$C$1:$C$170,
'在庫使用計画 (ノート全体試算)'!BD$1:BD$170,
"")</f>
        <v/>
      </c>
      <c r="BD145" s="224" t="str">
        <f>_xlfn.XLOOKUP(
$C145,
'在庫使用計画 (ノート全体試算)'!$C$1:$C$170,
'在庫使用計画 (ノート全体試算)'!BE$1:BE$170,
"")</f>
        <v/>
      </c>
      <c r="BE145" s="224" t="str">
        <f>_xlfn.XLOOKUP(
$C145,
'在庫使用計画 (ノート全体試算)'!$C$1:$C$170,
'在庫使用計画 (ノート全体試算)'!BF$1:BF$170,
"")</f>
        <v/>
      </c>
      <c r="BF145" s="805" t="str">
        <f>_xlfn.XLOOKUP(
$C145,
'在庫使用計画 (ノート全体試算)'!$C$1:$C$170,
'在庫使用計画 (ノート全体試算)'!BG$1:BG$170,
"")</f>
        <v/>
      </c>
      <c r="BG145" s="2091" t="s">
        <v>2663</v>
      </c>
    </row>
    <row r="146" spans="1:59" ht="18.75" customHeight="1">
      <c r="A146" s="95"/>
      <c r="B146" s="87" t="str">
        <v>CLE-NL45-120U-UMA-L6-TPM DDR5 Thirdwave</v>
      </c>
      <c r="C146" s="87" t="s">
        <v>1462</v>
      </c>
      <c r="D146" s="87" t="s">
        <v>1763</v>
      </c>
      <c r="E146" s="87"/>
      <c r="F146" s="86"/>
      <c r="G146" s="38">
        <v>1460</v>
      </c>
      <c r="H146" s="38">
        <f ca="1">_xlfn.LET(_xlpm._今月から4ヶ月計画合計,
  SUM(
    OFFSET($A146,0,
      MATCH(
        EDATE(基準データ!$C$5,3),$A$1:$BE$1,1
      )-4,1,4)),
  IF($C146="","",_xlpm._今月から4ヶ月計画合計
)
)</f>
        <v>355.94567240063236</v>
      </c>
      <c r="I146" s="74">
        <f t="shared" si="19"/>
        <v>1460</v>
      </c>
      <c r="J146" s="1116" cm="1">
        <f t="array" ref="J146">_xlfn.IFS($C146="","",
  $G146="","発売前？",
  $G146=0,"在庫なし",
  TRUE,
  IFERROR(
    _xlfn.LET(
      _xlpm._在庫注残,     $G146,
      _xlpm._しきい値,     _xlpm._在庫注残 * 0.75,
      _xlpm._見出し元,     $K$1:$BT$1,
      _xlpm._計画,         $K146:$BT146,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46478</v>
      </c>
      <c r="K146" s="74"/>
      <c r="L146" s="74"/>
      <c r="M146" s="74"/>
      <c r="N146" s="74"/>
      <c r="O146" s="74"/>
      <c r="P146" s="74"/>
      <c r="Q146" s="118"/>
      <c r="R146" s="1378"/>
      <c r="S146" s="224"/>
      <c r="T146" s="224"/>
      <c r="U146" s="224"/>
      <c r="V146" s="223"/>
      <c r="W146" s="224" t="s">
        <v>21</v>
      </c>
      <c r="X146" s="224" t="s">
        <v>21</v>
      </c>
      <c r="Y146" s="224" t="s">
        <v>21</v>
      </c>
      <c r="Z146" s="910" t="s">
        <v>21</v>
      </c>
      <c r="AA146" s="910" t="s">
        <v>21</v>
      </c>
      <c r="AB146" s="224" t="s">
        <v>21</v>
      </c>
      <c r="AC146" s="1379" t="s">
        <v>21</v>
      </c>
      <c r="AD146" s="1345" t="s">
        <v>21</v>
      </c>
      <c r="AE146" s="910" t="s">
        <v>21</v>
      </c>
      <c r="AF146" s="910" t="s">
        <v>21</v>
      </c>
      <c r="AG146" s="224" t="s">
        <v>21</v>
      </c>
      <c r="AH146" s="237" t="s">
        <v>21</v>
      </c>
      <c r="AI146" s="804" t="s">
        <v>21</v>
      </c>
      <c r="AJ146" s="224">
        <v>34</v>
      </c>
      <c r="AK146" s="224">
        <v>154</v>
      </c>
      <c r="AL146" s="224">
        <v>495</v>
      </c>
      <c r="AM146" s="224">
        <f>_xlfn.LET(_xlpm._全体実績予測,
  INDEX('在庫使用計画 (全体実績+予測）0701'!$A$1:$BD$195,
    MATCH($C146,'在庫使用計画 (全体実績+予測）0701'!$C$1:$C$195,0),
    MATCH(AM$1,'在庫使用計画 (全体実績+予測）0701'!$A$1:$BD$1,0)
),
  IFERROR(
    IF(_xlpm._全体実績予測=0,"",_xlpm._全体実績予測),
  "")
)</f>
        <v>46</v>
      </c>
      <c r="AN146" s="237">
        <f>_xlfn.LET(_xlpm._全体実績予測,
  INDEX('在庫使用計画 (全体実績+予測）0701'!$A$1:$BD$195,
    MATCH($C146,'在庫使用計画 (全体実績+予測）0701'!$C$1:$C$195,0),
    MATCH(AN$1,'在庫使用計画 (全体実績+予測）0701'!$A$1:$BD$1,0)
),
  IFERROR(
    IF(_xlpm._全体実績予測=0,"",_xlpm._全体実績予測),
  "")
)</f>
        <v>81.428571428571431</v>
      </c>
      <c r="AO146" s="237">
        <f>_xlfn.LET(_xlpm._全体実績予測,
  INDEX('在庫使用計画 (全体実績+予測）0701'!$A$1:$BD$195,
    MATCH($C146,'在庫使用計画 (全体実績+予測）0701'!$C$1:$C$195,0),
    MATCH(AO$1,'在庫使用計画 (全体実績+予測）0701'!$A$1:$BD$1,0)
),
  IFERROR(
    IF(_xlpm._全体実績予測=0,"",_xlpm._全体実績予測),
  "")
)</f>
        <v>89.360479733240211</v>
      </c>
      <c r="AP146" s="224">
        <f>_xlfn.LET(_xlpm._全体実績予測,
  INDEX('在庫使用計画 (全体実績+予測）0701'!$A$1:$BD$195,
    MATCH($C146,'在庫使用計画 (全体実績+予測）0701'!$C$1:$C$195,0),
    MATCH(AP$1,'在庫使用計画 (全体実績+予測）0701'!$A$1:$BD$1,0)
),
  IFERROR(
    IF(_xlpm._全体実績予測=0,"",_xlpm._全体実績予測),
  "")
)</f>
        <v>82.190115134293052</v>
      </c>
      <c r="AQ146" s="1050">
        <f>_xlfn.LET(_xlpm._全体実績予測,
  INDEX('在庫使用計画 (全体実績+予測）0701'!$A$1:$BD$195,
    MATCH($C146,'在庫使用計画 (全体実績+予測）0701'!$C$1:$C$195,0),
    MATCH(AQ$1,'在庫使用計画 (全体実績+予測）0701'!$A$1:$BD$1,0)
),
  IFERROR(
    IF(_xlpm._全体実績予測=0,"",_xlpm._全体実績予測),
  "")
)</f>
        <v>88.784127702137155</v>
      </c>
      <c r="AR146" s="2130">
        <f>_xlfn.LET(_xlpm._全体実績予測,
  INDEX('在庫使用計画 (全体実績+予測）0701'!$A$1:$BD$195,
    MATCH($C146,'在庫使用計画 (全体実績+予測）0701'!$C$1:$C$195,0),
    MATCH(AR$1,'在庫使用計画 (全体実績+予測）0701'!$A$1:$BD$1,0)
),
  IFERROR(
    IF(_xlpm._全体実績予測=0,"",_xlpm._全体実績予測),
  "")
)</f>
        <v>95.610949830961914</v>
      </c>
      <c r="AS146" s="244">
        <f>_xlfn.LET(_xlpm._全体実績予測,
  INDEX('在庫使用計画 (全体実績+予測）0701'!$A$1:$BD$195,
    MATCH($C146,'在庫使用計画 (全体実績+予測）0701'!$C$1:$C$195,0),
    MATCH(AS$1,'在庫使用計画 (全体実績+予測）0701'!$A$1:$BD$1,0)
),
  IFERROR(
    IF(_xlpm._全体実績予測=0,"",_xlpm._全体実績予測),
  "")
)</f>
        <v>98.95253372314717</v>
      </c>
      <c r="AT146" s="805">
        <f>_xlfn.LET(_xlpm._全体実績予測,
  INDEX('在庫使用計画 (全体実績+予測）0701'!$A$1:$BD$195,
    MATCH($C146,'在庫使用計画 (全体実績+予測）0701'!$C$1:$C$195,0),
    MATCH(AT$1,'在庫使用計画 (全体実績+予測）0701'!$A$1:$BD$1,0)
),
  IFERROR(
    IF(_xlpm._全体実績予測=0,"",_xlpm._全体実績予測),
  "")
)</f>
        <v>145.84892726856222</v>
      </c>
      <c r="AU146" s="804">
        <f>_xlfn.LET(_xlpm._全体実績予測,
  INDEX('在庫使用計画 (全体実績+予測）0701'!$A$1:$BD$195,
    MATCH($C146,'在庫使用計画 (全体実績+予測）0701'!$C$1:$C$195,0),
    MATCH(AU$1,'在庫使用計画 (全体実績+予測）0701'!$A$1:$BD$1,0)
),
  IFERROR(
    IF(_xlpm._全体実績予測=0,"",_xlpm._全体実績予測),
  "")
)</f>
        <v>125.86303115496729</v>
      </c>
      <c r="AV146" s="224">
        <f>_xlfn.LET(_xlpm._全体実績予測,
  INDEX('在庫使用計画 (全体実績+予測）0701'!$A$1:$BD$195,
    MATCH($C146,'在庫使用計画 (全体実績+予測）0701'!$C$1:$C$195,0),
    MATCH(AV$1,'在庫使用計画 (全体実績+予測）0701'!$A$1:$BD$1,0)
),
  IFERROR(
    IF(_xlpm._全体実績予測=0,"",_xlpm._全体実績予測),
  "")
)</f>
        <v>118.66524765326521</v>
      </c>
      <c r="AW146" s="224">
        <f>_xlfn.LET(_xlpm._全体実績予測,
  INDEX('在庫使用計画 (全体実績+予測）0701'!$A$1:$BD$195,
    MATCH($C146,'在庫使用計画 (全体実績+予測）0701'!$C$1:$C$195,0),
    MATCH(AW$1,'在庫使用計画 (全体実績+予測）0701'!$A$1:$BD$1,0)
),
  IFERROR(
    IF(_xlpm._全体実績予測=0,"",_xlpm._全体実績予測),
  "")
)</f>
        <v>175.36638788631652</v>
      </c>
      <c r="AX146" s="224">
        <f>_xlfn.LET(_xlpm._全体実績予測,
  INDEX('在庫使用計画 (全体実績+予測）0701'!$A$1:$BD$195,
    MATCH($C146,'在庫使用計画 (全体実績+予測）0701'!$C$1:$C$195,0),
    MATCH(AX$1,'在庫使用計画 (全体実績+予測）0701'!$A$1:$BD$1,0)
),
  IFERROR(
    IF(_xlpm._全体実績予測=0,"",_xlpm._全体実績予測),
  "")
)</f>
        <v>107.68058948619516</v>
      </c>
      <c r="AY146" s="224">
        <f>_xlfn.LET(_xlpm._全体実績予測,
  INDEX('在庫使用計画 (全体実績+予測）0701'!$A$1:$BD$195,
    MATCH($C146,'在庫使用計画 (全体実績+予測）0701'!$C$1:$C$195,0),
    MATCH(AY$1,'在庫使用計画 (全体実績+予測）0701'!$A$1:$BD$1,0)
),
  IFERROR(
    IF(_xlpm._全体実績予測=0,"",_xlpm._全体実績予測),
  "")
)</f>
        <v>78.093226593678949</v>
      </c>
      <c r="AZ146" s="224">
        <f>_xlfn.LET(_xlpm._全体実績予測,
  INDEX('在庫使用計画 (全体実績+予測）0701'!$A$1:$BD$195,
    MATCH($C146,'在庫使用計画 (全体実績+予測）0701'!$C$1:$C$195,0),
    MATCH(AZ$1,'在庫使用計画 (全体実績+予測）0701'!$A$1:$BD$1,0)
),
  IFERROR(
    IF(_xlpm._全体実績予測=0,"",_xlpm._全体実績予測),
  "")
)</f>
        <v>81.428571428571402</v>
      </c>
      <c r="BA146" s="224">
        <f>_xlfn.LET(_xlpm._全体実績予測,
  INDEX('在庫使用計画 (全体実績+予測）0701'!$A$1:$BD$195,
    MATCH($C146,'在庫使用計画 (全体実績+予測）0701'!$C$1:$C$195,0),
    MATCH(BA$1,'在庫使用計画 (全体実績+予測）0701'!$A$1:$BD$1,0)
),
  IFERROR(
    IF(_xlpm._全体実績予測=0,"",_xlpm._全体実績予測),
  "")
)</f>
        <v>89.360479733240183</v>
      </c>
      <c r="BB146" s="224">
        <f>_xlfn.LET(_xlpm._全体実績予測,
  INDEX('在庫使用計画 (全体実績+予測）0701'!$A$1:$BD$195,
    MATCH($C146,'在庫使用計画 (全体実績+予測）0701'!$C$1:$C$195,0),
    MATCH(BB$1,'在庫使用計画 (全体実績+予測）0701'!$A$1:$BD$1,0)
),
  IFERROR(
    IF(_xlpm._全体実績予測=0,"",_xlpm._全体実績予測),
  "")
)</f>
        <v>82.190115134293038</v>
      </c>
      <c r="BC146" s="224">
        <f>_xlfn.LET(_xlpm._全体実績予測,
  INDEX('在庫使用計画 (全体実績+予測）0701'!$A$1:$BD$195,
    MATCH($C146,'在庫使用計画 (全体実績+予測）0701'!$C$1:$C$195,0),
    MATCH(BC$1,'在庫使用計画 (全体実績+予測）0701'!$A$1:$BD$1,0)
),
  IFERROR(
    IF(_xlpm._全体実績予測=0,"",_xlpm._全体実績予測),
  "")
)</f>
        <v>88.784127702137141</v>
      </c>
      <c r="BD146" s="224">
        <f>_xlfn.LET(_xlpm._全体実績予測,
  INDEX('在庫使用計画 (全体実績+予測）0701'!$A$1:$BD$195,
    MATCH($C146,'在庫使用計画 (全体実績+予測）0701'!$C$1:$C$195,0),
    MATCH(BD$1,'在庫使用計画 (全体実績+予測）0701'!$A$1:$BD$1,0)
),
  IFERROR(
    IF(_xlpm._全体実績予測=0,"",_xlpm._全体実績予測),
  "")
)</f>
        <v>95.6109498309619</v>
      </c>
      <c r="BE146" s="224">
        <f>_xlfn.LET(_xlpm._全体実績予測,
  INDEX('在庫使用計画 (全体実績+予測）0701'!$A$1:$BD$195,
    MATCH($C146,'在庫使用計画 (全体実績+予測）0701'!$C$1:$C$195,0),
    MATCH(BE$1,'在庫使用計画 (全体実績+予測）0701'!$A$1:$BD$1,0)
),
  IFERROR(
    IF(_xlpm._全体実績予測=0,"",_xlpm._全体実績予測),
  "")
)</f>
        <v>98.952533723147155</v>
      </c>
      <c r="BF146" s="805">
        <f>_xlfn.LET(_xlpm._全体実績予測,
  INDEX('在庫使用計画 (全体実績+予測）0701'!$A$1:$BD$195,
    MATCH($C146,'在庫使用計画 (全体実績+予測）0701'!$C$1:$C$195,0),
    MATCH(BF$1,'在庫使用計画 (全体実績+予測）0701'!$A$1:$BD$1,0)
),
  IFERROR(
    IF(_xlpm._全体実績予測=0,"",_xlpm._全体実績予測),
  "")
)</f>
        <v>145.84892726856222</v>
      </c>
    </row>
    <row r="147" spans="1:59" ht="18.75" customHeight="1">
      <c r="A147" s="124" t="s">
        <v>1442</v>
      </c>
      <c r="B147" s="87" t="str">
        <v>CLE-NL45-1355U-UMA-L6-TPM DDR5 Thirdwave</v>
      </c>
      <c r="C147" s="86" t="s">
        <v>1465</v>
      </c>
      <c r="D147" s="86"/>
      <c r="E147" s="87" t="s">
        <v>1423</v>
      </c>
      <c r="F147" s="68" t="s">
        <v>1347</v>
      </c>
      <c r="G147" s="38">
        <v>152</v>
      </c>
      <c r="H147" s="38">
        <f ca="1">_xlfn.LET(_xlpm._今月から4ヶ月計画合計,
  SUM(
    OFFSET($A147,0,
      MATCH(
        EDATE(基準データ!$C$5,3),$A$1:$BE$1,1
      )-4,1,4)),
  IF($C147="","",_xlpm._今月から4ヶ月計画合計
)
)</f>
        <v>113</v>
      </c>
      <c r="I147" s="74">
        <f>SUMIFS(マスタ_EOLリスト[在庫],マスタ_EOLリスト[製品型番],'在庫使用計画 (計画　予測)'!$C:$C)</f>
        <v>152</v>
      </c>
      <c r="J147" s="1116" t="str" cm="1">
        <f t="array" ref="J147">_xlfn.IFS($C147="","",
  $G147="","発売前？",
  $G147=0,"在庫なし",
  TRUE,
  IFERROR(
    _xlfn.LET(
      _xlpm._在庫注残,     $G147,
      _xlpm._しきい値,     _xlpm._在庫注残 * 0.75,
      _xlpm._見出し元,     $K$1:$BT$1,
      _xlpm._計画,         $K147:$BT147,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合計111、在庫+注残152のため不足</v>
      </c>
      <c r="K147" s="109" t="s">
        <v>21</v>
      </c>
      <c r="L147" s="109" t="s">
        <v>21</v>
      </c>
      <c r="M147" s="109" t="s">
        <v>21</v>
      </c>
      <c r="N147" s="196" t="s">
        <v>21</v>
      </c>
      <c r="O147" s="38" t="s">
        <v>21</v>
      </c>
      <c r="P147" s="38" t="s">
        <v>21</v>
      </c>
      <c r="Q147" s="116" t="s">
        <v>21</v>
      </c>
      <c r="R147" s="1350" t="s">
        <v>21</v>
      </c>
      <c r="S147" s="219" t="s">
        <v>21</v>
      </c>
      <c r="T147" s="219" t="s">
        <v>21</v>
      </c>
      <c r="U147" s="219" t="s">
        <v>21</v>
      </c>
      <c r="V147" s="219" t="s">
        <v>21</v>
      </c>
      <c r="W147" s="219" t="s">
        <v>21</v>
      </c>
      <c r="X147" s="219" t="s">
        <v>21</v>
      </c>
      <c r="Y147" s="219" t="s">
        <v>21</v>
      </c>
      <c r="Z147" s="219" t="s">
        <v>21</v>
      </c>
      <c r="AA147" s="219" t="s">
        <v>21</v>
      </c>
      <c r="AB147" s="219" t="s">
        <v>21</v>
      </c>
      <c r="AC147" s="1377" t="s">
        <v>21</v>
      </c>
      <c r="AD147" s="535"/>
      <c r="AE147" s="219"/>
      <c r="AF147" s="219"/>
      <c r="AG147" s="219"/>
      <c r="AH147" s="480" t="s">
        <v>21</v>
      </c>
      <c r="AI147" s="835" t="s">
        <v>21</v>
      </c>
      <c r="AJ147" s="224" t="s">
        <v>21</v>
      </c>
      <c r="AK147" s="224" t="s">
        <v>21</v>
      </c>
      <c r="AL147" s="224">
        <v>60</v>
      </c>
      <c r="AM147" s="224">
        <f>_xlfn.XLOOKUP(
$C147,
'在庫使用計画 (ノート全体試算)'!$C$1:$C$170,
'在庫使用計画 (ノート全体試算)'!AN$1:AN$170,
"")</f>
        <v>50</v>
      </c>
      <c r="AN147" s="237">
        <f>_xlfn.XLOOKUP(
$C147,
'在庫使用計画 (ノート全体試算)'!$C$1:$C$170,
'在庫使用計画 (ノート全体試算)'!AO$1:AO$170,
"")</f>
        <v>48</v>
      </c>
      <c r="AO147" s="237">
        <f>_xlfn.XLOOKUP(
$C147,
'在庫使用計画 (ノート全体試算)'!$C$1:$C$170,
'在庫使用計画 (ノート全体試算)'!AP$1:AP$170,
"")</f>
        <v>61</v>
      </c>
      <c r="AP147" s="224">
        <f>_xlfn.XLOOKUP(
$C147,
'在庫使用計画 (ノート全体試算)'!$C$1:$C$170,
'在庫使用計画 (ノート全体試算)'!AQ$1:AQ$170,
"")</f>
        <v>52</v>
      </c>
      <c r="AQ147" s="1050" t="str">
        <f>_xlfn.XLOOKUP(
$C147,
'在庫使用計画 (ノート全体試算)'!$C$1:$C$170,
'在庫使用計画 (ノート全体試算)'!AR$1:AR$170,
"")</f>
        <v/>
      </c>
      <c r="AR147" s="2130" t="str">
        <f>_xlfn.XLOOKUP(
$C147,
'在庫使用計画 (ノート全体試算)'!$C$1:$C$170,
'在庫使用計画 (ノート全体試算)'!AS$1:AS$170,
"")</f>
        <v/>
      </c>
      <c r="AS147" s="244" t="str">
        <f>_xlfn.XLOOKUP(
$C147,
'在庫使用計画 (ノート全体試算)'!$C$1:$C$170,
'在庫使用計画 (ノート全体試算)'!AT$1:AT$170,
"")</f>
        <v/>
      </c>
      <c r="AT147" s="805" t="str">
        <f>_xlfn.XLOOKUP(
$C147,
'在庫使用計画 (ノート全体試算)'!$C$1:$C$170,
'在庫使用計画 (ノート全体試算)'!AU$1:AU$170,
"")</f>
        <v/>
      </c>
      <c r="AU147" s="835" t="str">
        <f>_xlfn.XLOOKUP(
$C147,
'在庫使用計画 (ノート全体試算)'!$C$1:$C$170,
'在庫使用計画 (ノート全体試算)'!AV$1:AV$170,
"")</f>
        <v/>
      </c>
      <c r="AV147" s="224" t="str">
        <f>_xlfn.XLOOKUP(
$C147,
'在庫使用計画 (ノート全体試算)'!$C$1:$C$170,
'在庫使用計画 (ノート全体試算)'!AW$1:AW$170,
"")</f>
        <v/>
      </c>
      <c r="AW147" s="224" t="str">
        <f>_xlfn.XLOOKUP(
$C147,
'在庫使用計画 (ノート全体試算)'!$C$1:$C$170,
'在庫使用計画 (ノート全体試算)'!AX$1:AX$170,
"")</f>
        <v/>
      </c>
      <c r="AX147" s="224" t="str">
        <f>_xlfn.XLOOKUP(
$C147,
'在庫使用計画 (ノート全体試算)'!$C$1:$C$170,
'在庫使用計画 (ノート全体試算)'!AY$1:AY$170,
"")</f>
        <v/>
      </c>
      <c r="AY147" s="224" t="str">
        <f>_xlfn.XLOOKUP(
$C147,
'在庫使用計画 (ノート全体試算)'!$C$1:$C$170,
'在庫使用計画 (ノート全体試算)'!AZ$1:AZ$170,
"")</f>
        <v/>
      </c>
      <c r="AZ147" s="224" t="str">
        <f>_xlfn.XLOOKUP(
$C147,
'在庫使用計画 (ノート全体試算)'!$C$1:$C$170,
'在庫使用計画 (ノート全体試算)'!BA$1:BA$170,
"")</f>
        <v/>
      </c>
      <c r="BA147" s="224" t="str">
        <f>_xlfn.XLOOKUP(
$C147,
'在庫使用計画 (ノート全体試算)'!$C$1:$C$170,
'在庫使用計画 (ノート全体試算)'!BB$1:BB$170,
"")</f>
        <v/>
      </c>
      <c r="BB147" s="224" t="str">
        <f>_xlfn.XLOOKUP(
$C147,
'在庫使用計画 (ノート全体試算)'!$C$1:$C$170,
'在庫使用計画 (ノート全体試算)'!BC$1:BC$170,
"")</f>
        <v/>
      </c>
      <c r="BC147" s="224" t="str">
        <f>_xlfn.XLOOKUP(
$C147,
'在庫使用計画 (ノート全体試算)'!$C$1:$C$170,
'在庫使用計画 (ノート全体試算)'!BD$1:BD$170,
"")</f>
        <v/>
      </c>
      <c r="BD147" s="224" t="str">
        <f>_xlfn.XLOOKUP(
$C147,
'在庫使用計画 (ノート全体試算)'!$C$1:$C$170,
'在庫使用計画 (ノート全体試算)'!BE$1:BE$170,
"")</f>
        <v/>
      </c>
      <c r="BE147" s="224" t="str">
        <f>_xlfn.XLOOKUP(
$C147,
'在庫使用計画 (ノート全体試算)'!$C$1:$C$170,
'在庫使用計画 (ノート全体試算)'!BF$1:BF$170,
"")</f>
        <v/>
      </c>
      <c r="BF147" s="805" t="str">
        <f>_xlfn.XLOOKUP(
$C147,
'在庫使用計画 (ノート全体試算)'!$C$1:$C$170,
'在庫使用計画 (ノート全体試算)'!BG$1:BG$170,
"")</f>
        <v/>
      </c>
      <c r="BG147" s="2091" t="s">
        <v>2681</v>
      </c>
    </row>
    <row r="148" spans="1:59" ht="18.75" customHeight="1">
      <c r="A148" s="95"/>
      <c r="B148" s="87" t="str">
        <v>CLE-NL45-1355U-UMA-L6-TPM DDR5 Thirdwave</v>
      </c>
      <c r="C148" s="86" t="s">
        <v>1465</v>
      </c>
      <c r="D148" s="87" t="s">
        <v>1763</v>
      </c>
      <c r="E148" s="87"/>
      <c r="F148" s="86"/>
      <c r="G148" s="38">
        <v>152</v>
      </c>
      <c r="H148" s="38">
        <f ca="1">_xlfn.LET(_xlpm._今月から4ヶ月計画合計,
  SUM(
    OFFSET($A148,0,
      MATCH(
        EDATE(基準データ!$C$5,3),$A$1:$BE$1,1
      )-4,1,4)),
  IF($C148="","",_xlpm._今月から4ヶ月計画合計
)
)</f>
        <v>262.27575861099228</v>
      </c>
      <c r="I148" s="74">
        <f t="shared" si="19"/>
        <v>152</v>
      </c>
      <c r="J148" s="1116" cm="1">
        <f t="array" ref="J148">_xlfn.IFS($C148="","",
  $G148="","発売前？",
  $G148=0,"在庫なし",
  TRUE,
  IFERROR(
    _xlfn.LET(
      _xlpm._在庫注残,     $G148,
      _xlpm._しきい値,     _xlpm._在庫注残 * 0.75,
      _xlpm._見出し元,     $K$1:$BT$1,
      _xlpm._計画,         $K148:$BT148,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46235</v>
      </c>
      <c r="K148" s="74"/>
      <c r="L148" s="74"/>
      <c r="M148" s="74"/>
      <c r="N148" s="74"/>
      <c r="O148" s="74"/>
      <c r="P148" s="74"/>
      <c r="Q148" s="118"/>
      <c r="R148" s="1378"/>
      <c r="S148" s="224"/>
      <c r="T148" s="224"/>
      <c r="U148" s="224"/>
      <c r="V148" s="223"/>
      <c r="W148" s="224" t="s">
        <v>21</v>
      </c>
      <c r="X148" s="224" t="s">
        <v>21</v>
      </c>
      <c r="Y148" s="224" t="s">
        <v>21</v>
      </c>
      <c r="Z148" s="910" t="s">
        <v>21</v>
      </c>
      <c r="AA148" s="910" t="s">
        <v>21</v>
      </c>
      <c r="AB148" s="224"/>
      <c r="AC148" s="1379"/>
      <c r="AD148" s="1345"/>
      <c r="AE148" s="910"/>
      <c r="AF148" s="910"/>
      <c r="AG148" s="224"/>
      <c r="AH148" s="237" t="s">
        <v>21</v>
      </c>
      <c r="AI148" s="804" t="s">
        <v>21</v>
      </c>
      <c r="AJ148" s="224" t="s">
        <v>21</v>
      </c>
      <c r="AK148" s="224">
        <v>7</v>
      </c>
      <c r="AL148" s="224">
        <v>34</v>
      </c>
      <c r="AM148" s="224">
        <f>_xlfn.LET(_xlpm._全体実績予測,
  INDEX('在庫使用計画 (全体実績+予測）0701'!$A$1:$BD$195,
    MATCH($C148,'在庫使用計画 (全体実績+予測）0701'!$C$1:$C$195,0),
    MATCH(AM$1,'在庫使用計画 (全体実績+予測）0701'!$A$1:$BD$1,0)
),
  IFERROR(
    IF(_xlpm._全体実績予測=0,"",_xlpm._全体実績予測),
  "")
)</f>
        <v>12</v>
      </c>
      <c r="AN148" s="237">
        <f>_xlfn.LET(_xlpm._全体実績予測,
  INDEX('在庫使用計画 (全体実績+予測）0701'!$A$1:$BD$195,
    MATCH($C148,'在庫使用計画 (全体実績+予測）0701'!$C$1:$C$195,0),
    MATCH(AN$1,'在庫使用計画 (全体実績+予測）0701'!$A$1:$BD$1,0)
),
  IFERROR(
    IF(_xlpm._全体実績予測=0,"",_xlpm._全体実績予測),
  "")
)</f>
        <v>60</v>
      </c>
      <c r="AO148" s="237">
        <f>_xlfn.LET(_xlpm._全体実績予測,
  INDEX('在庫使用計画 (全体実績+予測）0701'!$A$1:$BD$195,
    MATCH($C148,'在庫使用計画 (全体実績+予測）0701'!$C$1:$C$195,0),
    MATCH(AO$1,'在庫使用計画 (全体実績+予測）0701'!$A$1:$BD$1,0)
),
  IFERROR(
    IF(_xlpm._全体実績予測=0,"",_xlpm._全体実績予測),
  "")
)</f>
        <v>65.844564013966476</v>
      </c>
      <c r="AP148" s="224">
        <f>_xlfn.LET(_xlpm._全体実績予測,
  INDEX('在庫使用計画 (全体実績+予測）0701'!$A$1:$BD$195,
    MATCH($C148,'在庫使用計画 (全体実績+予測）0701'!$C$1:$C$195,0),
    MATCH(AP$1,'在庫使用計画 (全体実績+予測）0701'!$A$1:$BD$1,0)
),
  IFERROR(
    IF(_xlpm._全体実績予測=0,"",_xlpm._全体実績予測),
  "")
)</f>
        <v>60.561137467373833</v>
      </c>
      <c r="AQ148" s="1050">
        <f>_xlfn.LET(_xlpm._全体実績予測,
  INDEX('在庫使用計画 (全体実績+予測）0701'!$A$1:$BD$195,
    MATCH($C148,'在庫使用計画 (全体実績+予測）0701'!$C$1:$C$195,0),
    MATCH(AQ$1,'在庫使用計画 (全体実績+予測）0701'!$A$1:$BD$1,0)
),
  IFERROR(
    IF(_xlpm._全体実績予測=0,"",_xlpm._全体実績予測),
  "")
)</f>
        <v>65.419883569995804</v>
      </c>
      <c r="AR148" s="2130">
        <f>_xlfn.LET(_xlpm._全体実績予測,
  INDEX('在庫使用計画 (全体実績+予測）0701'!$A$1:$BD$195,
    MATCH($C148,'在庫使用計画 (全体実績+予測）0701'!$C$1:$C$195,0),
    MATCH(AR$1,'在庫使用計画 (全体実績+予測）0701'!$A$1:$BD$1,0)
),
  IFERROR(
    IF(_xlpm._全体実績予測=0,"",_xlpm._全体実績予測),
  "")
)</f>
        <v>70.45017355965615</v>
      </c>
      <c r="AS148" s="244">
        <f>_xlfn.LET(_xlpm._全体実績予測,
  INDEX('在庫使用計画 (全体実績+予測）0701'!$A$1:$BD$195,
    MATCH($C148,'在庫使用計画 (全体実績+予測）0701'!$C$1:$C$195,0),
    MATCH(AS$1,'在庫使用計画 (全体実績+予測）0701'!$A$1:$BD$1,0)
),
  IFERROR(
    IF(_xlpm._全体実績予測=0,"",_xlpm._全体実績予測),
  "")
)</f>
        <v>72.912393269687385</v>
      </c>
      <c r="AT148" s="805">
        <f>_xlfn.LET(_xlpm._全体実績予測,
  INDEX('在庫使用計画 (全体実績+予測）0701'!$A$1:$BD$195,
    MATCH($C148,'在庫使用計画 (全体実績+予測）0701'!$C$1:$C$195,0),
    MATCH(AT$1,'在庫使用計画 (全体実績+予測）0701'!$A$1:$BD$1,0)
),
  IFERROR(
    IF(_xlpm._全体実績予測=0,"",_xlpm._全体実績予測),
  "")
)</f>
        <v>107.46763061894059</v>
      </c>
      <c r="AU148" s="804">
        <f>_xlfn.LET(_xlpm._全体実績予測,
  INDEX('在庫使用計画 (全体実績+予測）0701'!$A$1:$BD$195,
    MATCH($C148,'在庫使用計画 (全体実績+予測）0701'!$C$1:$C$195,0),
    MATCH(AU$1,'在庫使用計画 (全体実績+予測）0701'!$A$1:$BD$1,0)
),
  IFERROR(
    IF(_xlpm._全体実績予測=0,"",_xlpm._全体実績予測),
  "")
)</f>
        <v>92.741180851028531</v>
      </c>
      <c r="AV148" s="224">
        <f>_xlfn.LET(_xlpm._全体実績予測,
  INDEX('在庫使用計画 (全体実績+予測）0701'!$A$1:$BD$195,
    MATCH($C148,'在庫使用計画 (全体実績+予測）0701'!$C$1:$C$195,0),
    MATCH(AV$1,'在庫使用計画 (全体実績+予測）0701'!$A$1:$BD$1,0)
),
  IFERROR(
    IF(_xlpm._全体実績予測=0,"",_xlpm._全体実績予測),
  "")
)</f>
        <v>87.437550902405945</v>
      </c>
      <c r="AW148" s="224">
        <f>_xlfn.LET(_xlpm._全体実績予測,
  INDEX('在庫使用計画 (全体実績+予測）0701'!$A$1:$BD$195,
    MATCH($C148,'在庫使用計画 (全体実績+予測）0701'!$C$1:$C$195,0),
    MATCH(AW$1,'在庫使用計画 (全体実績+予測）0701'!$A$1:$BD$1,0)
),
  IFERROR(
    IF(_xlpm._全体実績予測=0,"",_xlpm._全体実績予測),
  "")
)</f>
        <v>129.21733844254902</v>
      </c>
      <c r="AX148" s="224">
        <f>_xlfn.LET(_xlpm._全体実績予測,
  INDEX('在庫使用計画 (全体実績+予測）0701'!$A$1:$BD$195,
    MATCH($C148,'在庫使用計画 (全体実績+予測）0701'!$C$1:$C$195,0),
    MATCH(AX$1,'在庫使用計画 (全体実績+予測）0701'!$A$1:$BD$1,0)
),
  IFERROR(
    IF(_xlpm._全体実績予測=0,"",_xlpm._全体実績予測),
  "")
)</f>
        <v>79.343592252985914</v>
      </c>
      <c r="AY148" s="224">
        <f>_xlfn.LET(_xlpm._全体実績予測,
  INDEX('在庫使用計画 (全体実績+予測）0701'!$A$1:$BD$195,
    MATCH($C148,'在庫使用計画 (全体実績+予測）0701'!$C$1:$C$195,0),
    MATCH(AY$1,'在庫使用計画 (全体実績+予測）0701'!$A$1:$BD$1,0)
),
  IFERROR(
    IF(_xlpm._全体実績予測=0,"",_xlpm._全体実績予測),
  "")
)</f>
        <v>57.542377490079232</v>
      </c>
      <c r="AZ148" s="224">
        <f>_xlfn.LET(_xlpm._全体実績予測,
  INDEX('在庫使用計画 (全体実績+予測）0701'!$A$1:$BD$195,
    MATCH($C148,'在庫使用計画 (全体実績+予測）0701'!$C$1:$C$195,0),
    MATCH(AZ$1,'在庫使用計画 (全体実績+予測）0701'!$A$1:$BD$1,0)
),
  IFERROR(
    IF(_xlpm._全体実績予測=0,"",_xlpm._全体実績予測),
  "")
)</f>
        <v>59.999999999999993</v>
      </c>
      <c r="BA148" s="224">
        <f>_xlfn.LET(_xlpm._全体実績予測,
  INDEX('在庫使用計画 (全体実績+予測）0701'!$A$1:$BD$195,
    MATCH($C148,'在庫使用計画 (全体実績+予測）0701'!$C$1:$C$195,0),
    MATCH(BA$1,'在庫使用計画 (全体実績+予測）0701'!$A$1:$BD$1,0)
),
  IFERROR(
    IF(_xlpm._全体実績予測=0,"",_xlpm._全体実績予測),
  "")
)</f>
        <v>65.844564013966462</v>
      </c>
      <c r="BB148" s="224">
        <f>_xlfn.LET(_xlpm._全体実績予測,
  INDEX('在庫使用計画 (全体実績+予測）0701'!$A$1:$BD$195,
    MATCH($C148,'在庫使用計画 (全体実績+予測）0701'!$C$1:$C$195,0),
    MATCH(BB$1,'在庫使用計画 (全体実績+予測）0701'!$A$1:$BD$1,0)
),
  IFERROR(
    IF(_xlpm._全体実績予測=0,"",_xlpm._全体実績予測),
  "")
)</f>
        <v>60.561137467373825</v>
      </c>
      <c r="BC148" s="224">
        <f>_xlfn.LET(_xlpm._全体実績予測,
  INDEX('在庫使用計画 (全体実績+予測）0701'!$A$1:$BD$195,
    MATCH($C148,'在庫使用計画 (全体実績+予測）0701'!$C$1:$C$195,0),
    MATCH(BC$1,'在庫使用計画 (全体実績+予測）0701'!$A$1:$BD$1,0)
),
  IFERROR(
    IF(_xlpm._全体実績予測=0,"",_xlpm._全体実績予測),
  "")
)</f>
        <v>65.419883569995804</v>
      </c>
      <c r="BD148" s="224">
        <f>_xlfn.LET(_xlpm._全体実績予測,
  INDEX('在庫使用計画 (全体実績+予測）0701'!$A$1:$BD$195,
    MATCH($C148,'在庫使用計画 (全体実績+予測）0701'!$C$1:$C$195,0),
    MATCH(BD$1,'在庫使用計画 (全体実績+予測）0701'!$A$1:$BD$1,0)
),
  IFERROR(
    IF(_xlpm._全体実績予測=0,"",_xlpm._全体実績予測),
  "")
)</f>
        <v>70.45017355965615</v>
      </c>
      <c r="BE148" s="224">
        <f>_xlfn.LET(_xlpm._全体実績予測,
  INDEX('在庫使用計画 (全体実績+予測）0701'!$A$1:$BD$195,
    MATCH($C148,'在庫使用計画 (全体実績+予測）0701'!$C$1:$C$195,0),
    MATCH(BE$1,'在庫使用計画 (全体実績+予測）0701'!$A$1:$BD$1,0)
),
  IFERROR(
    IF(_xlpm._全体実績予測=0,"",_xlpm._全体実績予測),
  "")
)</f>
        <v>72.912393269687385</v>
      </c>
      <c r="BF148" s="805">
        <f>_xlfn.LET(_xlpm._全体実績予測,
  INDEX('在庫使用計画 (全体実績+予測）0701'!$A$1:$BD$195,
    MATCH($C148,'在庫使用計画 (全体実績+予測）0701'!$C$1:$C$195,0),
    MATCH(BF$1,'在庫使用計画 (全体実績+予測）0701'!$A$1:$BD$1,0)
),
  IFERROR(
    IF(_xlpm._全体実績予測=0,"",_xlpm._全体実績予測),
  "")
)</f>
        <v>107.46763061894059</v>
      </c>
    </row>
    <row r="149" spans="1:59" ht="18.75" customHeight="1">
      <c r="A149" s="124" t="s">
        <v>1442</v>
      </c>
      <c r="B149" s="55" t="str">
        <v>CLE-NL45-1334U-UMA-L6 Thirdwave</v>
      </c>
      <c r="C149" s="57" t="s">
        <v>1468</v>
      </c>
      <c r="D149" s="57" t="s">
        <v>1434</v>
      </c>
      <c r="E149" s="58" t="s">
        <v>438</v>
      </c>
      <c r="F149" s="87" t="s">
        <v>1372</v>
      </c>
      <c r="G149" s="38">
        <v>15</v>
      </c>
      <c r="H149" s="38">
        <f ca="1">_xlfn.LET(_xlpm._今月から4ヶ月計画合計,
  SUM(
    OFFSET($A149,0,
      MATCH(
        EDATE(基準データ!$C$5,3),$A$1:$BE$1,1
      )-4,1,4)),
  IF($C149="","",_xlpm._今月から4ヶ月計画合計
)
)</f>
        <v>0</v>
      </c>
      <c r="I149" s="38">
        <f>SUMIFS(マスタ_EOLリスト[在庫],マスタ_EOLリスト[製品型番],'在庫使用計画 (計画　予測)'!$C:$C)</f>
        <v>15</v>
      </c>
      <c r="J149" s="1116" t="str" cm="1">
        <f t="array" ref="J149">_xlfn.IFS($C149="","",
  $G149="","発売前？",
  $G149=0,"在庫なし",
  TRUE,
  IFERROR(
    _xlfn.LET(
      _xlpm._在庫注残,     $G149,
      _xlpm._しきい値,     _xlpm._在庫注残 * 0.75,
      _xlpm._見出し元,     $K$1:$BT$1,
      _xlpm._計画,         $K149:$BT149,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合計0、在庫+注残15のため不足</v>
      </c>
      <c r="K149" s="38"/>
      <c r="L149" s="38"/>
      <c r="M149" s="38"/>
      <c r="N149" s="38"/>
      <c r="O149" s="38"/>
      <c r="P149" s="74"/>
      <c r="Q149" s="116"/>
      <c r="R149" s="1350"/>
      <c r="S149" s="219" t="s">
        <v>21</v>
      </c>
      <c r="T149" s="219" t="s">
        <v>21</v>
      </c>
      <c r="U149" s="219" t="s">
        <v>21</v>
      </c>
      <c r="V149" s="219">
        <v>150</v>
      </c>
      <c r="W149" s="224">
        <v>1010</v>
      </c>
      <c r="X149" s="237">
        <v>1360</v>
      </c>
      <c r="Y149" s="237">
        <v>1250</v>
      </c>
      <c r="Z149" s="237">
        <v>690</v>
      </c>
      <c r="AA149" s="237">
        <v>520</v>
      </c>
      <c r="AB149" s="237">
        <v>480</v>
      </c>
      <c r="AC149" s="805">
        <v>590</v>
      </c>
      <c r="AD149" s="1050">
        <v>377</v>
      </c>
      <c r="AE149" s="237">
        <v>542</v>
      </c>
      <c r="AF149" s="237">
        <v>600</v>
      </c>
      <c r="AG149" s="224">
        <v>455</v>
      </c>
      <c r="AH149" s="237">
        <v>389</v>
      </c>
      <c r="AI149" s="804">
        <v>180</v>
      </c>
      <c r="AJ149" s="224">
        <v>54</v>
      </c>
      <c r="AK149" s="224">
        <v>30</v>
      </c>
      <c r="AL149" s="224" t="s">
        <v>21</v>
      </c>
      <c r="AM149" s="224">
        <f>_xlfn.XLOOKUP(
$C149,
'在庫使用計画 (ノート全体試算)'!$C$1:$C$170,
'在庫使用計画 (ノート全体試算)'!AN$1:AN$170,
"")</f>
        <v>31</v>
      </c>
      <c r="AN149" s="237" t="str">
        <f>_xlfn.XLOOKUP(
$C149,
'在庫使用計画 (ノート全体試算)'!$C$1:$C$170,
'在庫使用計画 (ノート全体試算)'!AO$1:AO$170,
"")</f>
        <v/>
      </c>
      <c r="AO149" s="237" t="str">
        <f>_xlfn.XLOOKUP(
$C149,
'在庫使用計画 (ノート全体試算)'!$C$1:$C$170,
'在庫使用計画 (ノート全体試算)'!AP$1:AP$170,
"")</f>
        <v/>
      </c>
      <c r="AP149" s="224" t="str">
        <f>_xlfn.XLOOKUP(
$C149,
'在庫使用計画 (ノート全体試算)'!$C$1:$C$170,
'在庫使用計画 (ノート全体試算)'!AQ$1:AQ$170,
"")</f>
        <v/>
      </c>
      <c r="AQ149" s="1050" t="str">
        <f>_xlfn.XLOOKUP(
$C149,
'在庫使用計画 (ノート全体試算)'!$C$1:$C$170,
'在庫使用計画 (ノート全体試算)'!AR$1:AR$170,
"")</f>
        <v/>
      </c>
      <c r="AR149" s="2130" t="str">
        <f>_xlfn.XLOOKUP(
$C149,
'在庫使用計画 (ノート全体試算)'!$C$1:$C$170,
'在庫使用計画 (ノート全体試算)'!AS$1:AS$170,
"")</f>
        <v/>
      </c>
      <c r="AS149" s="244" t="str">
        <f>_xlfn.XLOOKUP(
$C149,
'在庫使用計画 (ノート全体試算)'!$C$1:$C$170,
'在庫使用計画 (ノート全体試算)'!AT$1:AT$170,
"")</f>
        <v/>
      </c>
      <c r="AT149" s="805" t="str">
        <f>_xlfn.XLOOKUP(
$C149,
'在庫使用計画 (ノート全体試算)'!$C$1:$C$170,
'在庫使用計画 (ノート全体試算)'!AU$1:AU$170,
"")</f>
        <v/>
      </c>
      <c r="AU149" s="804" t="str">
        <f>_xlfn.XLOOKUP(
$C149,
'在庫使用計画 (ノート全体試算)'!$C$1:$C$170,
'在庫使用計画 (ノート全体試算)'!AV$1:AV$170,
"")</f>
        <v/>
      </c>
      <c r="AV149" s="224" t="str">
        <f>_xlfn.XLOOKUP(
$C149,
'在庫使用計画 (ノート全体試算)'!$C$1:$C$170,
'在庫使用計画 (ノート全体試算)'!AW$1:AW$170,
"")</f>
        <v/>
      </c>
      <c r="AW149" s="224" t="str">
        <f>_xlfn.XLOOKUP(
$C149,
'在庫使用計画 (ノート全体試算)'!$C$1:$C$170,
'在庫使用計画 (ノート全体試算)'!AX$1:AX$170,
"")</f>
        <v/>
      </c>
      <c r="AX149" s="224" t="str">
        <f>_xlfn.XLOOKUP(
$C149,
'在庫使用計画 (ノート全体試算)'!$C$1:$C$170,
'在庫使用計画 (ノート全体試算)'!AY$1:AY$170,
"")</f>
        <v/>
      </c>
      <c r="AY149" s="224" t="str">
        <f>_xlfn.XLOOKUP(
$C149,
'在庫使用計画 (ノート全体試算)'!$C$1:$C$170,
'在庫使用計画 (ノート全体試算)'!AZ$1:AZ$170,
"")</f>
        <v/>
      </c>
      <c r="AZ149" s="224" t="str">
        <f>_xlfn.XLOOKUP(
$C149,
'在庫使用計画 (ノート全体試算)'!$C$1:$C$170,
'在庫使用計画 (ノート全体試算)'!BA$1:BA$170,
"")</f>
        <v/>
      </c>
      <c r="BA149" s="224" t="str">
        <f>_xlfn.XLOOKUP(
$C149,
'在庫使用計画 (ノート全体試算)'!$C$1:$C$170,
'在庫使用計画 (ノート全体試算)'!BB$1:BB$170,
"")</f>
        <v/>
      </c>
      <c r="BB149" s="224" t="str">
        <f>_xlfn.XLOOKUP(
$C149,
'在庫使用計画 (ノート全体試算)'!$C$1:$C$170,
'在庫使用計画 (ノート全体試算)'!BC$1:BC$170,
"")</f>
        <v/>
      </c>
      <c r="BC149" s="224" t="str">
        <f>_xlfn.XLOOKUP(
$C149,
'在庫使用計画 (ノート全体試算)'!$C$1:$C$170,
'在庫使用計画 (ノート全体試算)'!BD$1:BD$170,
"")</f>
        <v/>
      </c>
      <c r="BD149" s="224" t="str">
        <f>_xlfn.XLOOKUP(
$C149,
'在庫使用計画 (ノート全体試算)'!$C$1:$C$170,
'在庫使用計画 (ノート全体試算)'!BE$1:BE$170,
"")</f>
        <v/>
      </c>
      <c r="BE149" s="224" t="str">
        <f>_xlfn.XLOOKUP(
$C149,
'在庫使用計画 (ノート全体試算)'!$C$1:$C$170,
'在庫使用計画 (ノート全体試算)'!BF$1:BF$170,
"")</f>
        <v/>
      </c>
      <c r="BF149" s="805" t="str">
        <f>_xlfn.XLOOKUP(
$C149,
'在庫使用計画 (ノート全体試算)'!$C$1:$C$170,
'在庫使用計画 (ノート全体試算)'!BG$1:BG$170,
"")</f>
        <v/>
      </c>
      <c r="BG149" s="2091" t="s">
        <v>2655</v>
      </c>
    </row>
    <row r="150" spans="1:59" ht="18.75" customHeight="1">
      <c r="A150" s="459"/>
      <c r="B150" s="460" t="str">
        <v>CLE-NL45-1334U-UMA-L6 Thirdwave</v>
      </c>
      <c r="C150" s="466" t="s">
        <v>1468</v>
      </c>
      <c r="D150" s="460" t="s">
        <v>1763</v>
      </c>
      <c r="E150" s="460"/>
      <c r="F150" s="462"/>
      <c r="G150" s="448">
        <v>15</v>
      </c>
      <c r="H150" s="448">
        <f ca="1">_xlfn.LET(_xlpm._今月から4ヶ月計画合計,
  SUM(
    OFFSET($A150,0,
      MATCH(
        EDATE(基準データ!$C$5,3),$A$1:$BE$1,1
      )-4,1,4)),
  IF($C150="","",_xlpm._今月から4ヶ月計画合計
)
)</f>
        <v>0</v>
      </c>
      <c r="I150" s="448">
        <f t="shared" si="19"/>
        <v>15</v>
      </c>
      <c r="J150" s="1116" t="str" cm="1">
        <f t="array" ref="J150">_xlfn.IFS($C150="","",
  $G150="","発売前？",
  $G150=0,"在庫なし",
  TRUE,
  IFERROR(
    _xlfn.LET(
      _xlpm._在庫注残,     $G150,
      _xlpm._しきい値,     _xlpm._在庫注残 * 0.75,
      _xlpm._見出し元,     $K$1:$BT$1,
      _xlpm._計画,         $K150:$BT150,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合計0、在庫+注残15のため不足</v>
      </c>
      <c r="K150" s="463"/>
      <c r="L150" s="463"/>
      <c r="M150" s="463"/>
      <c r="N150" s="463"/>
      <c r="O150" s="463"/>
      <c r="P150" s="463"/>
      <c r="Q150" s="1329"/>
      <c r="R150" s="1371"/>
      <c r="S150" s="451"/>
      <c r="T150" s="451"/>
      <c r="U150" s="451"/>
      <c r="V150" s="464"/>
      <c r="W150" s="451" t="s">
        <v>21</v>
      </c>
      <c r="X150" s="451">
        <v>162</v>
      </c>
      <c r="Y150" s="451">
        <v>912</v>
      </c>
      <c r="Z150" s="465">
        <v>581</v>
      </c>
      <c r="AA150" s="465">
        <v>267</v>
      </c>
      <c r="AB150" s="451">
        <v>368</v>
      </c>
      <c r="AC150" s="1372">
        <v>438</v>
      </c>
      <c r="AD150" s="1340">
        <v>265</v>
      </c>
      <c r="AE150" s="465">
        <v>374</v>
      </c>
      <c r="AF150" s="465">
        <v>829</v>
      </c>
      <c r="AG150" s="451">
        <v>372</v>
      </c>
      <c r="AH150" s="889">
        <v>441</v>
      </c>
      <c r="AI150" s="896">
        <v>180</v>
      </c>
      <c r="AJ150" s="451">
        <v>54</v>
      </c>
      <c r="AK150" s="451">
        <v>30</v>
      </c>
      <c r="AL150" s="451" t="s">
        <v>21</v>
      </c>
      <c r="AM150" s="451" t="str">
        <f>_xlfn.LET(_xlpm._全体実績予測,
  INDEX('在庫使用計画 (全体実績+予測）0701'!$A$1:$BD$195,
    MATCH($C150,'在庫使用計画 (全体実績+予測）0701'!$C$1:$C$195,0),
    MATCH(AM$1,'在庫使用計画 (全体実績+予測）0701'!$A$1:$BD$1,0)
),
  IFERROR(
    IF(_xlpm._全体実績予測=0,"",_xlpm._全体実績予測),
  "")
)</f>
        <v/>
      </c>
      <c r="AN150" s="889" t="str">
        <f>_xlfn.LET(_xlpm._全体実績予測,
  INDEX('在庫使用計画 (全体実績+予測）0701'!$A$1:$BD$195,
    MATCH($C150,'在庫使用計画 (全体実績+予測）0701'!$C$1:$C$195,0),
    MATCH(AN$1,'在庫使用計画 (全体実績+予測）0701'!$A$1:$BD$1,0)
),
  IFERROR(
    IF(_xlpm._全体実績予測=0,"",_xlpm._全体実績予測),
  "")
)</f>
        <v/>
      </c>
      <c r="AO150" s="889" t="str">
        <f>_xlfn.LET(_xlpm._全体実績予測,
  INDEX('在庫使用計画 (全体実績+予測）0701'!$A$1:$BD$195,
    MATCH($C150,'在庫使用計画 (全体実績+予測）0701'!$C$1:$C$195,0),
    MATCH(AO$1,'在庫使用計画 (全体実績+予測）0701'!$A$1:$BD$1,0)
),
  IFERROR(
    IF(_xlpm._全体実績予測=0,"",_xlpm._全体実績予測),
  "")
)</f>
        <v/>
      </c>
      <c r="AP150" s="451" t="str">
        <f>_xlfn.LET(_xlpm._全体実績予測,
  INDEX('在庫使用計画 (全体実績+予測）0701'!$A$1:$BD$195,
    MATCH($C150,'在庫使用計画 (全体実績+予測）0701'!$C$1:$C$195,0),
    MATCH(AP$1,'在庫使用計画 (全体実績+予測）0701'!$A$1:$BD$1,0)
),
  IFERROR(
    IF(_xlpm._全体実績予測=0,"",_xlpm._全体実績予測),
  "")
)</f>
        <v/>
      </c>
      <c r="AQ150" s="2121" t="str">
        <f>_xlfn.LET(_xlpm._全体実績予測,
  INDEX('在庫使用計画 (全体実績+予測）0701'!$A$1:$BD$195,
    MATCH($C150,'在庫使用計画 (全体実績+予測）0701'!$C$1:$C$195,0),
    MATCH(AQ$1,'在庫使用計画 (全体実績+予測）0701'!$A$1:$BD$1,0)
),
  IFERROR(
    IF(_xlpm._全体実績予測=0,"",_xlpm._全体実績予測),
  "")
)</f>
        <v/>
      </c>
      <c r="AR150" s="2137" t="str">
        <f>_xlfn.LET(_xlpm._全体実績予測,
  INDEX('在庫使用計画 (全体実績+予測）0701'!$A$1:$BD$195,
    MATCH($C150,'在庫使用計画 (全体実績+予測）0701'!$C$1:$C$195,0),
    MATCH(AR$1,'在庫使用計画 (全体実績+予測）0701'!$A$1:$BD$1,0)
),
  IFERROR(
    IF(_xlpm._全体実績予測=0,"",_xlpm._全体実績予測),
  "")
)</f>
        <v/>
      </c>
      <c r="AS150" s="1292" t="str">
        <f>_xlfn.LET(_xlpm._全体実績予測,
  INDEX('在庫使用計画 (全体実績+予測）0701'!$A$1:$BD$195,
    MATCH($C150,'在庫使用計画 (全体実績+予測）0701'!$C$1:$C$195,0),
    MATCH(AS$1,'在庫使用計画 (全体実績+予測）0701'!$A$1:$BD$1,0)
),
  IFERROR(
    IF(_xlpm._全体実績予測=0,"",_xlpm._全体実績予測),
  "")
)</f>
        <v/>
      </c>
      <c r="AT150" s="897" t="str">
        <f>_xlfn.LET(_xlpm._全体実績予測,
  INDEX('在庫使用計画 (全体実績+予測）0701'!$A$1:$BD$195,
    MATCH($C150,'在庫使用計画 (全体実績+予測）0701'!$C$1:$C$195,0),
    MATCH(AT$1,'在庫使用計画 (全体実績+予測）0701'!$A$1:$BD$1,0)
),
  IFERROR(
    IF(_xlpm._全体実績予測=0,"",_xlpm._全体実績予測),
  "")
)</f>
        <v/>
      </c>
      <c r="AU150" s="896" t="str">
        <f>_xlfn.LET(_xlpm._全体実績予測,
  INDEX('在庫使用計画 (全体実績+予測）0701'!$A$1:$BD$195,
    MATCH($C150,'在庫使用計画 (全体実績+予測）0701'!$C$1:$C$195,0),
    MATCH(AU$1,'在庫使用計画 (全体実績+予測）0701'!$A$1:$BD$1,0)
),
  IFERROR(
    IF(_xlpm._全体実績予測=0,"",_xlpm._全体実績予測),
  "")
)</f>
        <v/>
      </c>
      <c r="AV150" s="451" t="str">
        <f>_xlfn.LET(_xlpm._全体実績予測,
  INDEX('在庫使用計画 (全体実績+予測）0701'!$A$1:$BD$195,
    MATCH($C150,'在庫使用計画 (全体実績+予測）0701'!$C$1:$C$195,0),
    MATCH(AV$1,'在庫使用計画 (全体実績+予測）0701'!$A$1:$BD$1,0)
),
  IFERROR(
    IF(_xlpm._全体実績予測=0,"",_xlpm._全体実績予測),
  "")
)</f>
        <v/>
      </c>
      <c r="AW150" s="451" t="str">
        <f>_xlfn.LET(_xlpm._全体実績予測,
  INDEX('在庫使用計画 (全体実績+予測）0701'!$A$1:$BD$195,
    MATCH($C150,'在庫使用計画 (全体実績+予測）0701'!$C$1:$C$195,0),
    MATCH(AW$1,'在庫使用計画 (全体実績+予測）0701'!$A$1:$BD$1,0)
),
  IFERROR(
    IF(_xlpm._全体実績予測=0,"",_xlpm._全体実績予測),
  "")
)</f>
        <v/>
      </c>
      <c r="AX150" s="451" t="str">
        <f>_xlfn.LET(_xlpm._全体実績予測,
  INDEX('在庫使用計画 (全体実績+予測）0701'!$A$1:$BD$195,
    MATCH($C150,'在庫使用計画 (全体実績+予測）0701'!$C$1:$C$195,0),
    MATCH(AX$1,'在庫使用計画 (全体実績+予測）0701'!$A$1:$BD$1,0)
),
  IFERROR(
    IF(_xlpm._全体実績予測=0,"",_xlpm._全体実績予測),
  "")
)</f>
        <v/>
      </c>
      <c r="AY150" s="451" t="str">
        <f>_xlfn.LET(_xlpm._全体実績予測,
  INDEX('在庫使用計画 (全体実績+予測）0701'!$A$1:$BD$195,
    MATCH($C150,'在庫使用計画 (全体実績+予測）0701'!$C$1:$C$195,0),
    MATCH(AY$1,'在庫使用計画 (全体実績+予測）0701'!$A$1:$BD$1,0)
),
  IFERROR(
    IF(_xlpm._全体実績予測=0,"",_xlpm._全体実績予測),
  "")
)</f>
        <v/>
      </c>
      <c r="AZ150" s="451" t="str">
        <f>_xlfn.LET(_xlpm._全体実績予測,
  INDEX('在庫使用計画 (全体実績+予測）0701'!$A$1:$BD$195,
    MATCH($C150,'在庫使用計画 (全体実績+予測）0701'!$C$1:$C$195,0),
    MATCH(AZ$1,'在庫使用計画 (全体実績+予測）0701'!$A$1:$BD$1,0)
),
  IFERROR(
    IF(_xlpm._全体実績予測=0,"",_xlpm._全体実績予測),
  "")
)</f>
        <v/>
      </c>
      <c r="BA150" s="451" t="str">
        <f>_xlfn.LET(_xlpm._全体実績予測,
  INDEX('在庫使用計画 (全体実績+予測）0701'!$A$1:$BD$195,
    MATCH($C150,'在庫使用計画 (全体実績+予測）0701'!$C$1:$C$195,0),
    MATCH(BA$1,'在庫使用計画 (全体実績+予測）0701'!$A$1:$BD$1,0)
),
  IFERROR(
    IF(_xlpm._全体実績予測=0,"",_xlpm._全体実績予測),
  "")
)</f>
        <v/>
      </c>
      <c r="BB150" s="451" t="str">
        <f>_xlfn.LET(_xlpm._全体実績予測,
  INDEX('在庫使用計画 (全体実績+予測）0701'!$A$1:$BD$195,
    MATCH($C150,'在庫使用計画 (全体実績+予測）0701'!$C$1:$C$195,0),
    MATCH(BB$1,'在庫使用計画 (全体実績+予測）0701'!$A$1:$BD$1,0)
),
  IFERROR(
    IF(_xlpm._全体実績予測=0,"",_xlpm._全体実績予測),
  "")
)</f>
        <v/>
      </c>
      <c r="BC150" s="451" t="str">
        <f>_xlfn.LET(_xlpm._全体実績予測,
  INDEX('在庫使用計画 (全体実績+予測）0701'!$A$1:$BD$195,
    MATCH($C150,'在庫使用計画 (全体実績+予測）0701'!$C$1:$C$195,0),
    MATCH(BC$1,'在庫使用計画 (全体実績+予測）0701'!$A$1:$BD$1,0)
),
  IFERROR(
    IF(_xlpm._全体実績予測=0,"",_xlpm._全体実績予測),
  "")
)</f>
        <v/>
      </c>
      <c r="BD150" s="451" t="str">
        <f>_xlfn.LET(_xlpm._全体実績予測,
  INDEX('在庫使用計画 (全体実績+予測）0701'!$A$1:$BD$195,
    MATCH($C150,'在庫使用計画 (全体実績+予測）0701'!$C$1:$C$195,0),
    MATCH(BD$1,'在庫使用計画 (全体実績+予測）0701'!$A$1:$BD$1,0)
),
  IFERROR(
    IF(_xlpm._全体実績予測=0,"",_xlpm._全体実績予測),
  "")
)</f>
        <v/>
      </c>
      <c r="BE150" s="451" t="str">
        <f>_xlfn.LET(_xlpm._全体実績予測,
  INDEX('在庫使用計画 (全体実績+予測）0701'!$A$1:$BD$195,
    MATCH($C150,'在庫使用計画 (全体実績+予測）0701'!$C$1:$C$195,0),
    MATCH(BE$1,'在庫使用計画 (全体実績+予測）0701'!$A$1:$BD$1,0)
),
  IFERROR(
    IF(_xlpm._全体実績予測=0,"",_xlpm._全体実績予測),
  "")
)</f>
        <v/>
      </c>
      <c r="BF150" s="897" t="str">
        <f>_xlfn.LET(_xlpm._全体実績予測,
  INDEX('在庫使用計画 (全体実績+予測）0701'!$A$1:$BD$195,
    MATCH($C150,'在庫使用計画 (全体実績+予測）0701'!$C$1:$C$195,0),
    MATCH(BF$1,'在庫使用計画 (全体実績+予測）0701'!$A$1:$BD$1,0)
),
  IFERROR(
    IF(_xlpm._全体実績予測=0,"",_xlpm._全体実績予測),
  "")
)</f>
        <v/>
      </c>
    </row>
    <row r="151" spans="1:59" ht="18.75" customHeight="1">
      <c r="A151" s="124" t="s">
        <v>1442</v>
      </c>
      <c r="B151" s="87" t="str">
        <v>CLE-NL45-1334U-UMA-L6-TPM DDR5 Thirdwave</v>
      </c>
      <c r="C151" s="86" t="s">
        <v>1471</v>
      </c>
      <c r="D151" s="137"/>
      <c r="E151" s="108" t="s">
        <v>1416</v>
      </c>
      <c r="F151" s="68" t="s">
        <v>1347</v>
      </c>
      <c r="G151" s="38">
        <v>259</v>
      </c>
      <c r="H151" s="38">
        <f ca="1">_xlfn.LET(_xlpm._今月から4ヶ月計画合計,
  SUM(
    OFFSET($A151,0,
      MATCH(
        EDATE(基準データ!$C$5,3),$A$1:$BE$1,1
      )-4,1,4)),
  IF($C151="","",_xlpm._今月から4ヶ月計画合計
)
)</f>
        <v>254</v>
      </c>
      <c r="I151" s="74">
        <f>SUMIFS(マスタ_EOLリスト[在庫],マスタ_EOLリスト[製品型番],'在庫使用計画 (計画　予測)'!$C:$C)</f>
        <v>259</v>
      </c>
      <c r="J151" s="1116" cm="1">
        <f t="array" ref="J151">_xlfn.IFS($C151="","",
  $G151="","発売前？",
  $G151=0,"在庫なし",
  TRUE,
  IFERROR(
    _xlfn.LET(
      _xlpm._在庫注残,     $G151,
      _xlpm._しきい値,     _xlpm._在庫注残 * 0.75,
      _xlpm._見出し元,     $K$1:$BT$1,
      _xlpm._計画,         $K151:$BT151,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46235</v>
      </c>
      <c r="K151" s="319" t="s">
        <v>21</v>
      </c>
      <c r="L151" s="319" t="s">
        <v>21</v>
      </c>
      <c r="M151" s="319" t="s">
        <v>21</v>
      </c>
      <c r="N151" s="320" t="s">
        <v>21</v>
      </c>
      <c r="O151" s="311" t="s">
        <v>21</v>
      </c>
      <c r="P151" s="311" t="s">
        <v>21</v>
      </c>
      <c r="Q151" s="313" t="s">
        <v>21</v>
      </c>
      <c r="R151" s="1353" t="s">
        <v>21</v>
      </c>
      <c r="S151" s="298" t="s">
        <v>21</v>
      </c>
      <c r="T151" s="219" t="s">
        <v>21</v>
      </c>
      <c r="U151" s="219" t="s">
        <v>21</v>
      </c>
      <c r="V151" s="219" t="s">
        <v>21</v>
      </c>
      <c r="W151" s="219" t="s">
        <v>21</v>
      </c>
      <c r="X151" s="219" t="s">
        <v>21</v>
      </c>
      <c r="Y151" s="219" t="s">
        <v>21</v>
      </c>
      <c r="Z151" s="219" t="s">
        <v>21</v>
      </c>
      <c r="AA151" s="219" t="s">
        <v>21</v>
      </c>
      <c r="AB151" s="219" t="s">
        <v>21</v>
      </c>
      <c r="AC151" s="1377" t="s">
        <v>21</v>
      </c>
      <c r="AD151" s="535" t="s">
        <v>21</v>
      </c>
      <c r="AE151" s="219" t="s">
        <v>21</v>
      </c>
      <c r="AF151" s="219" t="s">
        <v>21</v>
      </c>
      <c r="AG151" s="219" t="s">
        <v>21</v>
      </c>
      <c r="AH151" s="480" t="s">
        <v>21</v>
      </c>
      <c r="AI151" s="835" t="s">
        <v>21</v>
      </c>
      <c r="AJ151" s="224" t="s">
        <v>21</v>
      </c>
      <c r="AK151" s="224" t="s">
        <v>21</v>
      </c>
      <c r="AL151" s="224" t="s">
        <v>21</v>
      </c>
      <c r="AM151" s="224">
        <f>_xlfn.XLOOKUP(
$C151,
'在庫使用計画 (ノート全体試算)'!$C$1:$C$170,
'在庫使用計画 (ノート全体試算)'!AN$1:AN$170,
"")</f>
        <v>30</v>
      </c>
      <c r="AN151" s="237">
        <f>_xlfn.XLOOKUP(
$C151,
'在庫使用計画 (ノート全体試算)'!$C$1:$C$170,
'在庫使用計画 (ノート全体試算)'!AO$1:AO$170,
"")</f>
        <v>140</v>
      </c>
      <c r="AO151" s="237">
        <f>_xlfn.XLOOKUP(
$C151,
'在庫使用計画 (ノート全体試算)'!$C$1:$C$170,
'在庫使用計画 (ノート全体試算)'!AP$1:AP$170,
"")</f>
        <v>120</v>
      </c>
      <c r="AP151" s="224">
        <f>_xlfn.XLOOKUP(
$C151,
'在庫使用計画 (ノート全体試算)'!$C$1:$C$170,
'在庫使用計画 (ノート全体試算)'!AQ$1:AQ$170,
"")</f>
        <v>124</v>
      </c>
      <c r="AQ151" s="1050">
        <f>_xlfn.XLOOKUP(
$C151,
'在庫使用計画 (ノート全体試算)'!$C$1:$C$170,
'在庫使用計画 (ノート全体試算)'!AR$1:AR$170,
"")</f>
        <v>10</v>
      </c>
      <c r="AR151" s="2130" t="str">
        <f>_xlfn.XLOOKUP(
$C151,
'在庫使用計画 (ノート全体試算)'!$C$1:$C$170,
'在庫使用計画 (ノート全体試算)'!AS$1:AS$170,
"")</f>
        <v/>
      </c>
      <c r="AS151" s="244" t="str">
        <f>_xlfn.XLOOKUP(
$C151,
'在庫使用計画 (ノート全体試算)'!$C$1:$C$170,
'在庫使用計画 (ノート全体試算)'!AT$1:AT$170,
"")</f>
        <v/>
      </c>
      <c r="AT151" s="805" t="str">
        <f>_xlfn.XLOOKUP(
$C151,
'在庫使用計画 (ノート全体試算)'!$C$1:$C$170,
'在庫使用計画 (ノート全体試算)'!AU$1:AU$170,
"")</f>
        <v/>
      </c>
      <c r="AU151" s="835" t="str">
        <f>_xlfn.XLOOKUP(
$C151,
'在庫使用計画 (ノート全体試算)'!$C$1:$C$170,
'在庫使用計画 (ノート全体試算)'!AV$1:AV$170,
"")</f>
        <v/>
      </c>
      <c r="AV151" s="224" t="str">
        <f>_xlfn.XLOOKUP(
$C151,
'在庫使用計画 (ノート全体試算)'!$C$1:$C$170,
'在庫使用計画 (ノート全体試算)'!AW$1:AW$170,
"")</f>
        <v/>
      </c>
      <c r="AW151" s="224" t="str">
        <f>_xlfn.XLOOKUP(
$C151,
'在庫使用計画 (ノート全体試算)'!$C$1:$C$170,
'在庫使用計画 (ノート全体試算)'!AX$1:AX$170,
"")</f>
        <v/>
      </c>
      <c r="AX151" s="224" t="str">
        <f>_xlfn.XLOOKUP(
$C151,
'在庫使用計画 (ノート全体試算)'!$C$1:$C$170,
'在庫使用計画 (ノート全体試算)'!AY$1:AY$170,
"")</f>
        <v/>
      </c>
      <c r="AY151" s="224" t="str">
        <f>_xlfn.XLOOKUP(
$C151,
'在庫使用計画 (ノート全体試算)'!$C$1:$C$170,
'在庫使用計画 (ノート全体試算)'!AZ$1:AZ$170,
"")</f>
        <v/>
      </c>
      <c r="AZ151" s="224" t="str">
        <f>_xlfn.XLOOKUP(
$C151,
'在庫使用計画 (ノート全体試算)'!$C$1:$C$170,
'在庫使用計画 (ノート全体試算)'!BA$1:BA$170,
"")</f>
        <v/>
      </c>
      <c r="BA151" s="224" t="str">
        <f>_xlfn.XLOOKUP(
$C151,
'在庫使用計画 (ノート全体試算)'!$C$1:$C$170,
'在庫使用計画 (ノート全体試算)'!BB$1:BB$170,
"")</f>
        <v/>
      </c>
      <c r="BB151" s="224" t="str">
        <f>_xlfn.XLOOKUP(
$C151,
'在庫使用計画 (ノート全体試算)'!$C$1:$C$170,
'在庫使用計画 (ノート全体試算)'!BC$1:BC$170,
"")</f>
        <v/>
      </c>
      <c r="BC151" s="224" t="str">
        <f>_xlfn.XLOOKUP(
$C151,
'在庫使用計画 (ノート全体試算)'!$C$1:$C$170,
'在庫使用計画 (ノート全体試算)'!BD$1:BD$170,
"")</f>
        <v/>
      </c>
      <c r="BD151" s="224" t="str">
        <f>_xlfn.XLOOKUP(
$C151,
'在庫使用計画 (ノート全体試算)'!$C$1:$C$170,
'在庫使用計画 (ノート全体試算)'!BE$1:BE$170,
"")</f>
        <v/>
      </c>
      <c r="BE151" s="224" t="str">
        <f>_xlfn.XLOOKUP(
$C151,
'在庫使用計画 (ノート全体試算)'!$C$1:$C$170,
'在庫使用計画 (ノート全体試算)'!BF$1:BF$170,
"")</f>
        <v/>
      </c>
      <c r="BF151" s="805" t="str">
        <f>_xlfn.XLOOKUP(
$C151,
'在庫使用計画 (ノート全体試算)'!$C$1:$C$170,
'在庫使用計画 (ノート全体試算)'!BG$1:BG$170,
"")</f>
        <v/>
      </c>
      <c r="BG151" s="2091" t="s">
        <v>2656</v>
      </c>
    </row>
    <row r="152" spans="1:59" ht="18.75" customHeight="1">
      <c r="A152" s="459"/>
      <c r="B152" s="460" t="str">
        <v>CLE-NL45-1334U-UMA-L6-TPM DDR5 Thirdwave</v>
      </c>
      <c r="C152" s="462" t="s">
        <v>1471</v>
      </c>
      <c r="D152" s="460" t="s">
        <v>1763</v>
      </c>
      <c r="E152" s="460"/>
      <c r="F152" s="462"/>
      <c r="G152" s="448">
        <v>259</v>
      </c>
      <c r="H152" s="448">
        <f ca="1">_xlfn.LET(_xlpm._今月から4ヶ月計画合計,
  SUM(
    OFFSET($A152,0,
      MATCH(
        EDATE(基準データ!$C$5,3),$A$1:$BE$1,1
      )-4,1,4)),
  IF($C152="","",_xlpm._今月から4ヶ月計画合計
)
)</f>
        <v>557.33598704835856</v>
      </c>
      <c r="I152" s="463">
        <f t="shared" si="19"/>
        <v>259</v>
      </c>
      <c r="J152" s="1116" cm="1">
        <f t="array" ref="J152">_xlfn.IFS($C152="","",
  $G152="","発売前？",
  $G152=0,"在庫なし",
  TRUE,
  IFERROR(
    _xlfn.LET(
      _xlpm._在庫注残,     $G152,
      _xlpm._しきい値,     _xlpm._在庫注残 * 0.75,
      _xlpm._見出し元,     $K$1:$BT$1,
      _xlpm._計画,         $K152:$BT152,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46235</v>
      </c>
      <c r="K152" s="463"/>
      <c r="L152" s="463"/>
      <c r="M152" s="463"/>
      <c r="N152" s="463"/>
      <c r="O152" s="463"/>
      <c r="P152" s="463"/>
      <c r="Q152" s="1329"/>
      <c r="R152" s="1371"/>
      <c r="S152" s="451"/>
      <c r="T152" s="451"/>
      <c r="U152" s="451"/>
      <c r="V152" s="464"/>
      <c r="W152" s="451" t="s">
        <v>21</v>
      </c>
      <c r="X152" s="451" t="s">
        <v>21</v>
      </c>
      <c r="Y152" s="451" t="s">
        <v>21</v>
      </c>
      <c r="Z152" s="465" t="s">
        <v>21</v>
      </c>
      <c r="AA152" s="465" t="s">
        <v>21</v>
      </c>
      <c r="AB152" s="451" t="s">
        <v>21</v>
      </c>
      <c r="AC152" s="1372" t="s">
        <v>21</v>
      </c>
      <c r="AD152" s="1340" t="s">
        <v>21</v>
      </c>
      <c r="AE152" s="465" t="s">
        <v>21</v>
      </c>
      <c r="AF152" s="465" t="s">
        <v>21</v>
      </c>
      <c r="AG152" s="451" t="s">
        <v>21</v>
      </c>
      <c r="AH152" s="889" t="s">
        <v>21</v>
      </c>
      <c r="AI152" s="896" t="s">
        <v>21</v>
      </c>
      <c r="AJ152" s="451" t="s">
        <v>21</v>
      </c>
      <c r="AK152" s="451" t="s">
        <v>21</v>
      </c>
      <c r="AL152" s="451">
        <v>2</v>
      </c>
      <c r="AM152" s="451">
        <f>_xlfn.LET(_xlpm._全体実績予測,
  INDEX('在庫使用計画 (全体実績+予測）0701'!$A$1:$BD$195,
    MATCH($C152,'在庫使用計画 (全体実績+予測）0701'!$C$1:$C$195,0),
    MATCH(AM$1,'在庫使用計画 (全体実績+予測）0701'!$A$1:$BD$1,0)
),
  IFERROR(
    IF(_xlpm._全体実績予測=0,"",_xlpm._全体実績予測),
  "")
)</f>
        <v>16</v>
      </c>
      <c r="AN152" s="889">
        <f>_xlfn.LET(_xlpm._全体実績予測,
  INDEX('在庫使用計画 (全体実績+予測）0701'!$A$1:$BD$195,
    MATCH($C152,'在庫使用計画 (全体実績+予測）0701'!$C$1:$C$195,0),
    MATCH(AN$1,'在庫使用計画 (全体実績+予測）0701'!$A$1:$BD$1,0)
),
  IFERROR(
    IF(_xlpm._全体実績予測=0,"",_xlpm._全体実績予測),
  "")
)</f>
        <v>127.5</v>
      </c>
      <c r="AO152" s="889">
        <f>_xlfn.LET(_xlpm._全体実績予測,
  INDEX('在庫使用計画 (全体実績+予測）0701'!$A$1:$BD$195,
    MATCH($C152,'在庫使用計画 (全体実績+予測）0701'!$C$1:$C$195,0),
    MATCH(AO$1,'在庫使用計画 (全体実績+予測）0701'!$A$1:$BD$1,0)
),
  IFERROR(
    IF(_xlpm._全体実績予測=0,"",_xlpm._全体実績予測),
  "")
)</f>
        <v>139.91969852967875</v>
      </c>
      <c r="AP152" s="451">
        <f>_xlfn.LET(_xlpm._全体実績予測,
  INDEX('在庫使用計画 (全体実績+予測）0701'!$A$1:$BD$195,
    MATCH($C152,'在庫使用計画 (全体実績+予測）0701'!$C$1:$C$195,0),
    MATCH(AP$1,'在庫使用計画 (全体実績+予測）0701'!$A$1:$BD$1,0)
),
  IFERROR(
    IF(_xlpm._全体実績予測=0,"",_xlpm._全体実績予測),
  "")
)</f>
        <v>128.6924171181694</v>
      </c>
      <c r="AQ152" s="2121">
        <f>_xlfn.LET(_xlpm._全体実績予測,
  INDEX('在庫使用計画 (全体実績+予測）0701'!$A$1:$BD$195,
    MATCH($C152,'在庫使用計画 (全体実績+予測）0701'!$C$1:$C$195,0),
    MATCH(AQ$1,'在庫使用計画 (全体実績+予測）0701'!$A$1:$BD$1,0)
),
  IFERROR(
    IF(_xlpm._全体実績予測=0,"",_xlpm._全体実績予測),
  "")
)</f>
        <v>139.01725258624109</v>
      </c>
      <c r="AR152" s="2137">
        <f>_xlfn.LET(_xlpm._全体実績予測,
  INDEX('在庫使用計画 (全体実績+予測）0701'!$A$1:$BD$195,
    MATCH($C152,'在庫使用計画 (全体実績+予測）0701'!$C$1:$C$195,0),
    MATCH(AR$1,'在庫使用計画 (全体実績+予測）0701'!$A$1:$BD$1,0)
),
  IFERROR(
    IF(_xlpm._全体実績予測=0,"",_xlpm._全体実績予測),
  "")
)</f>
        <v>149.70661881426932</v>
      </c>
      <c r="AS152" s="1292">
        <f>_xlfn.LET(_xlpm._全体実績予測,
  INDEX('在庫使用計画 (全体実績+予測）0701'!$A$1:$BD$195,
    MATCH($C152,'在庫使用計画 (全体実績+予測）0701'!$C$1:$C$195,0),
    MATCH(AS$1,'在庫使用計画 (全体実績+予測）0701'!$A$1:$BD$1,0)
),
  IFERROR(
    IF(_xlpm._全体実績予測=0,"",_xlpm._全体実績予測),
  "")
)</f>
        <v>154.93883569808571</v>
      </c>
      <c r="AT152" s="897">
        <f>_xlfn.LET(_xlpm._全体実績予測,
  INDEX('在庫使用計画 (全体実績+予測）0701'!$A$1:$BD$195,
    MATCH($C152,'在庫使用計画 (全体実績+予測）0701'!$C$1:$C$195,0),
    MATCH(AT$1,'在庫使用計画 (全体実績+予測）0701'!$A$1:$BD$1,0)
),
  IFERROR(
    IF(_xlpm._全体実績予測=0,"",_xlpm._全体実績予測),
  "")
)</f>
        <v>228.36871506524878</v>
      </c>
      <c r="AU152" s="896">
        <f>_xlfn.LET(_xlpm._全体実績予測,
  INDEX('在庫使用計画 (全体実績+予測）0701'!$A$1:$BD$195,
    MATCH($C152,'在庫使用計画 (全体実績+予測）0701'!$C$1:$C$195,0),
    MATCH(AU$1,'在庫使用計画 (全体実績+予測）0701'!$A$1:$BD$1,0)
),
  IFERROR(
    IF(_xlpm._全体実績予測=0,"",_xlpm._全体実績予測),
  "")
)</f>
        <v>197.07500930843565</v>
      </c>
      <c r="AV152" s="451">
        <f>_xlfn.LET(_xlpm._全体実績予測,
  INDEX('在庫使用計画 (全体実績+予測）0701'!$A$1:$BD$195,
    MATCH($C152,'在庫使用計画 (全体実績+予測）0701'!$C$1:$C$195,0),
    MATCH(AV$1,'在庫使用計画 (全体実績+予測）0701'!$A$1:$BD$1,0)
),
  IFERROR(
    IF(_xlpm._全体実績予測=0,"",_xlpm._全体実績予測),
  "")
)</f>
        <v>185.80479566761267</v>
      </c>
      <c r="AW152" s="451">
        <f>_xlfn.LET(_xlpm._全体実績予測,
  INDEX('在庫使用計画 (全体実績+予測）0701'!$A$1:$BD$195,
    MATCH($C152,'在庫使用計画 (全体実績+予測）0701'!$C$1:$C$195,0),
    MATCH(AW$1,'在庫使用計画 (全体実績+予測）0701'!$A$1:$BD$1,0)
),
  IFERROR(
    IF(_xlpm._全体実績予測=0,"",_xlpm._全体実績予測),
  "")
)</f>
        <v>274.58684419041668</v>
      </c>
      <c r="AX152" s="451">
        <f>_xlfn.LET(_xlpm._全体実績予測,
  INDEX('在庫使用計画 (全体実績+予測）0701'!$A$1:$BD$195,
    MATCH($C152,'在庫使用計画 (全体実績+予測）0701'!$C$1:$C$195,0),
    MATCH(AX$1,'在庫使用計画 (全体実績+予測）0701'!$A$1:$BD$1,0)
),
  IFERROR(
    IF(_xlpm._全体実績予測=0,"",_xlpm._全体実績予測),
  "")
)</f>
        <v>168.60513353759507</v>
      </c>
      <c r="AY152" s="451">
        <f>_xlfn.LET(_xlpm._全体実績予測,
  INDEX('在庫使用計画 (全体実績+予測）0701'!$A$1:$BD$195,
    MATCH($C152,'在庫使用計画 (全体実績+予測）0701'!$C$1:$C$195,0),
    MATCH(AY$1,'在庫使用計画 (全体実績+予測）0701'!$A$1:$BD$1,0)
),
  IFERROR(
    IF(_xlpm._全体実績予測=0,"",_xlpm._全体実績予測),
  "")
)</f>
        <v>122.27755216641836</v>
      </c>
      <c r="AZ152" s="451">
        <f>_xlfn.LET(_xlpm._全体実績予測,
  INDEX('在庫使用計画 (全体実績+予測）0701'!$A$1:$BD$195,
    MATCH($C152,'在庫使用計画 (全体実績+予測）0701'!$C$1:$C$195,0),
    MATCH(AZ$1,'在庫使用計画 (全体実績+予測）0701'!$A$1:$BD$1,0)
),
  IFERROR(
    IF(_xlpm._全体実績予測=0,"",_xlpm._全体実績予測),
  "")
)</f>
        <v>127.49999999999997</v>
      </c>
      <c r="BA152" s="451">
        <f>_xlfn.LET(_xlpm._全体実績予測,
  INDEX('在庫使用計画 (全体実績+予測）0701'!$A$1:$BD$195,
    MATCH($C152,'在庫使用計画 (全体実績+予測）0701'!$C$1:$C$195,0),
    MATCH(BA$1,'在庫使用計画 (全体実績+予測）0701'!$A$1:$BD$1,0)
),
  IFERROR(
    IF(_xlpm._全体実績予測=0,"",_xlpm._全体実績予測),
  "")
)</f>
        <v>139.91969852967873</v>
      </c>
      <c r="BB152" s="451">
        <f>_xlfn.LET(_xlpm._全体実績予測,
  INDEX('在庫使用計画 (全体実績+予測）0701'!$A$1:$BD$195,
    MATCH($C152,'在庫使用計画 (全体実績+予測）0701'!$C$1:$C$195,0),
    MATCH(BB$1,'在庫使用計画 (全体実績+予測）0701'!$A$1:$BD$1,0)
),
  IFERROR(
    IF(_xlpm._全体実績予測=0,"",_xlpm._全体実績予測),
  "")
)</f>
        <v>128.69241711816937</v>
      </c>
      <c r="BC152" s="451">
        <f>_xlfn.LET(_xlpm._全体実績予測,
  INDEX('在庫使用計画 (全体実績+予測）0701'!$A$1:$BD$195,
    MATCH($C152,'在庫使用計画 (全体実績+予測）0701'!$C$1:$C$195,0),
    MATCH(BC$1,'在庫使用計画 (全体実績+予測）0701'!$A$1:$BD$1,0)
),
  IFERROR(
    IF(_xlpm._全体実績予測=0,"",_xlpm._全体実績予測),
  "")
)</f>
        <v>139.01725258624106</v>
      </c>
      <c r="BD152" s="451">
        <f>_xlfn.LET(_xlpm._全体実績予測,
  INDEX('在庫使用計画 (全体実績+予測）0701'!$A$1:$BD$195,
    MATCH($C152,'在庫使用計画 (全体実績+予測）0701'!$C$1:$C$195,0),
    MATCH(BD$1,'在庫使用計画 (全体実績+予測）0701'!$A$1:$BD$1,0)
),
  IFERROR(
    IF(_xlpm._全体実績予測=0,"",_xlpm._全体実績予測),
  "")
)</f>
        <v>149.70661881426929</v>
      </c>
      <c r="BE152" s="451">
        <f>_xlfn.LET(_xlpm._全体実績予測,
  INDEX('在庫使用計画 (全体実績+予測）0701'!$A$1:$BD$195,
    MATCH($C152,'在庫使用計画 (全体実績+予測）0701'!$C$1:$C$195,0),
    MATCH(BE$1,'在庫使用計画 (全体実績+予測）0701'!$A$1:$BD$1,0)
),
  IFERROR(
    IF(_xlpm._全体実績予測=0,"",_xlpm._全体実績予測),
  "")
)</f>
        <v>154.93883569808568</v>
      </c>
      <c r="BF152" s="897">
        <f>_xlfn.LET(_xlpm._全体実績予測,
  INDEX('在庫使用計画 (全体実績+予測）0701'!$A$1:$BD$195,
    MATCH($C152,'在庫使用計画 (全体実績+予測）0701'!$C$1:$C$195,0),
    MATCH(BF$1,'在庫使用計画 (全体実績+予測）0701'!$A$1:$BD$1,0)
),
  IFERROR(
    IF(_xlpm._全体実績予測=0,"",_xlpm._全体実績予測),
  "")
)</f>
        <v>228.36871506524872</v>
      </c>
    </row>
    <row r="153" spans="1:59" ht="18.75" customHeight="1">
      <c r="A153" s="124" t="s">
        <v>1442</v>
      </c>
      <c r="B153" s="111" t="str">
        <v>CLE-NL45-7430U-UMA-L6-TPM Thirdwave</v>
      </c>
      <c r="C153" s="24" t="s">
        <v>1801</v>
      </c>
      <c r="D153" s="51" t="s">
        <v>1430</v>
      </c>
      <c r="E153" s="26" t="s">
        <v>1423</v>
      </c>
      <c r="F153" s="26" t="s">
        <v>1372</v>
      </c>
      <c r="G153" s="38">
        <v>670</v>
      </c>
      <c r="H153" s="38">
        <f ca="1">_xlfn.LET(_xlpm._今月から4ヶ月計画合計,
  SUM(
    OFFSET($A153,0,
      MATCH(
        EDATE(基準データ!$C$5,3),$A$1:$BE$1,1
      )-4,1,4)),
  IF($C153="","",_xlpm._今月から4ヶ月計画合計
)
)</f>
        <v>473</v>
      </c>
      <c r="I153" s="38">
        <f>SUMIFS(マスタ_EOLリスト[在庫],マスタ_EOLリスト[製品型番],'在庫使用計画 (計画　予測)'!$C:$C)</f>
        <v>670</v>
      </c>
      <c r="J153" s="1116" t="str" cm="1">
        <f t="array" ref="J153">_xlfn.IFS($C153="","",
  $G153="","発売前？",
  $G153=0,"在庫なし",
  TRUE,
  IFERROR(
    _xlfn.LET(
      _xlpm._在庫注残,     $G153,
      _xlpm._しきい値,     _xlpm._在庫注残 * 0.75,
      _xlpm._見出し元,     $K$1:$BT$1,
      _xlpm._計画,         $K153:$BT153,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合計463、在庫+注残670のため不足</v>
      </c>
      <c r="K153" s="38" t="s">
        <v>21</v>
      </c>
      <c r="L153" s="38" t="s">
        <v>21</v>
      </c>
      <c r="M153" s="38" t="s">
        <v>21</v>
      </c>
      <c r="N153" s="38" t="s">
        <v>21</v>
      </c>
      <c r="O153" s="38" t="s">
        <v>21</v>
      </c>
      <c r="P153" s="74" t="s">
        <v>21</v>
      </c>
      <c r="Q153" s="116" t="s">
        <v>21</v>
      </c>
      <c r="R153" s="1350" t="s">
        <v>21</v>
      </c>
      <c r="S153" s="219" t="s">
        <v>21</v>
      </c>
      <c r="T153" s="219" t="s">
        <v>21</v>
      </c>
      <c r="U153" s="219" t="s">
        <v>21</v>
      </c>
      <c r="V153" s="219" t="s">
        <v>21</v>
      </c>
      <c r="W153" s="224" t="s">
        <v>21</v>
      </c>
      <c r="X153" s="343" t="s">
        <v>21</v>
      </c>
      <c r="Y153" s="343" t="s">
        <v>21</v>
      </c>
      <c r="Z153" s="343" t="s">
        <v>21</v>
      </c>
      <c r="AA153" s="343" t="s">
        <v>21</v>
      </c>
      <c r="AB153" s="237" t="s">
        <v>21</v>
      </c>
      <c r="AC153" s="805" t="s">
        <v>21</v>
      </c>
      <c r="AD153" s="1050" t="s">
        <v>21</v>
      </c>
      <c r="AE153" s="237" t="s">
        <v>21</v>
      </c>
      <c r="AF153" s="237" t="s">
        <v>21</v>
      </c>
      <c r="AG153" s="224">
        <v>80</v>
      </c>
      <c r="AH153" s="237">
        <v>209</v>
      </c>
      <c r="AI153" s="804">
        <v>192</v>
      </c>
      <c r="AJ153" s="224">
        <v>158</v>
      </c>
      <c r="AK153" s="224">
        <v>232</v>
      </c>
      <c r="AL153" s="224">
        <v>165</v>
      </c>
      <c r="AM153" s="224">
        <f>_xlfn.XLOOKUP(
$C153,
'在庫使用計画 (ノート全体試算)'!$C$1:$C$170,
'在庫使用計画 (ノート全体試算)'!AN$1:AN$170,
"")</f>
        <v>243</v>
      </c>
      <c r="AN153" s="237">
        <f>_xlfn.XLOOKUP(
$C153,
'在庫使用計画 (ノート全体試算)'!$C$1:$C$170,
'在庫使用計画 (ノート全体試算)'!AO$1:AO$170,
"")</f>
        <v>243</v>
      </c>
      <c r="AO153" s="237">
        <f>_xlfn.XLOOKUP(
$C153,
'在庫使用計画 (ノート全体試算)'!$C$1:$C$170,
'在庫使用計画 (ノート全体試算)'!AP$1:AP$170,
"")</f>
        <v>303</v>
      </c>
      <c r="AP153" s="224">
        <f>_xlfn.XLOOKUP(
$C153,
'在庫使用計画 (ノート全体試算)'!$C$1:$C$170,
'在庫使用計画 (ノート全体試算)'!AQ$1:AQ$170,
"")</f>
        <v>170</v>
      </c>
      <c r="AQ153" s="1050" t="str">
        <f>_xlfn.XLOOKUP(
$C153,
'在庫使用計画 (ノート全体試算)'!$C$1:$C$170,
'在庫使用計画 (ノート全体試算)'!AR$1:AR$170,
"")</f>
        <v/>
      </c>
      <c r="AR153" s="2130" t="str">
        <f>_xlfn.XLOOKUP(
$C153,
'在庫使用計画 (ノート全体試算)'!$C$1:$C$170,
'在庫使用計画 (ノート全体試算)'!AS$1:AS$170,
"")</f>
        <v/>
      </c>
      <c r="AS153" s="244" t="str">
        <f>_xlfn.XLOOKUP(
$C153,
'在庫使用計画 (ノート全体試算)'!$C$1:$C$170,
'在庫使用計画 (ノート全体試算)'!AT$1:AT$170,
"")</f>
        <v/>
      </c>
      <c r="AT153" s="805" t="str">
        <f>_xlfn.XLOOKUP(
$C153,
'在庫使用計画 (ノート全体試算)'!$C$1:$C$170,
'在庫使用計画 (ノート全体試算)'!AU$1:AU$170,
"")</f>
        <v/>
      </c>
      <c r="AU153" s="804" t="str">
        <f>_xlfn.XLOOKUP(
$C153,
'在庫使用計画 (ノート全体試算)'!$C$1:$C$170,
'在庫使用計画 (ノート全体試算)'!AV$1:AV$170,
"")</f>
        <v/>
      </c>
      <c r="AV153" s="224" t="str">
        <f>_xlfn.XLOOKUP(
$C153,
'在庫使用計画 (ノート全体試算)'!$C$1:$C$170,
'在庫使用計画 (ノート全体試算)'!AW$1:AW$170,
"")</f>
        <v/>
      </c>
      <c r="AW153" s="224" t="str">
        <f>_xlfn.XLOOKUP(
$C153,
'在庫使用計画 (ノート全体試算)'!$C$1:$C$170,
'在庫使用計画 (ノート全体試算)'!AX$1:AX$170,
"")</f>
        <v/>
      </c>
      <c r="AX153" s="224" t="str">
        <f>_xlfn.XLOOKUP(
$C153,
'在庫使用計画 (ノート全体試算)'!$C$1:$C$170,
'在庫使用計画 (ノート全体試算)'!AY$1:AY$170,
"")</f>
        <v/>
      </c>
      <c r="AY153" s="224" t="str">
        <f>_xlfn.XLOOKUP(
$C153,
'在庫使用計画 (ノート全体試算)'!$C$1:$C$170,
'在庫使用計画 (ノート全体試算)'!AZ$1:AZ$170,
"")</f>
        <v/>
      </c>
      <c r="AZ153" s="224" t="str">
        <f>_xlfn.XLOOKUP(
$C153,
'在庫使用計画 (ノート全体試算)'!$C$1:$C$170,
'在庫使用計画 (ノート全体試算)'!BA$1:BA$170,
"")</f>
        <v/>
      </c>
      <c r="BA153" s="224" t="str">
        <f>_xlfn.XLOOKUP(
$C153,
'在庫使用計画 (ノート全体試算)'!$C$1:$C$170,
'在庫使用計画 (ノート全体試算)'!BB$1:BB$170,
"")</f>
        <v/>
      </c>
      <c r="BB153" s="224" t="str">
        <f>_xlfn.XLOOKUP(
$C153,
'在庫使用計画 (ノート全体試算)'!$C$1:$C$170,
'在庫使用計画 (ノート全体試算)'!BC$1:BC$170,
"")</f>
        <v/>
      </c>
      <c r="BC153" s="224" t="str">
        <f>_xlfn.XLOOKUP(
$C153,
'在庫使用計画 (ノート全体試算)'!$C$1:$C$170,
'在庫使用計画 (ノート全体試算)'!BD$1:BD$170,
"")</f>
        <v/>
      </c>
      <c r="BD153" s="224" t="str">
        <f>_xlfn.XLOOKUP(
$C153,
'在庫使用計画 (ノート全体試算)'!$C$1:$C$170,
'在庫使用計画 (ノート全体試算)'!BE$1:BE$170,
"")</f>
        <v/>
      </c>
      <c r="BE153" s="224" t="str">
        <f>_xlfn.XLOOKUP(
$C153,
'在庫使用計画 (ノート全体試算)'!$C$1:$C$170,
'在庫使用計画 (ノート全体試算)'!BF$1:BF$170,
"")</f>
        <v/>
      </c>
      <c r="BF153" s="805" t="str">
        <f>_xlfn.XLOOKUP(
$C153,
'在庫使用計画 (ノート全体試算)'!$C$1:$C$170,
'在庫使用計画 (ノート全体試算)'!BG$1:BG$170,
"")</f>
        <v/>
      </c>
      <c r="BG153" s="2091" t="s">
        <v>2682</v>
      </c>
    </row>
    <row r="154" spans="1:59" ht="18.75" customHeight="1">
      <c r="A154" s="459"/>
      <c r="B154" s="1277" t="str">
        <v>CLE-NL45-7430U-UMA-L6-TPM Thirdwave</v>
      </c>
      <c r="C154" s="462" t="s">
        <v>1801</v>
      </c>
      <c r="D154" s="1278" t="s">
        <v>1763</v>
      </c>
      <c r="E154" s="460"/>
      <c r="F154" s="462"/>
      <c r="G154" s="448">
        <v>670</v>
      </c>
      <c r="H154" s="448">
        <f ca="1">_xlfn.LET(_xlpm._今月から4ヶ月計画合計,
  SUM(
    OFFSET($A154,0,
      MATCH(
        EDATE(基準データ!$C$5,3),$A$1:$BE$1,1
      )-4,1,4)),
  IF($C154="","",_xlpm._今月から4ヶ月計画合計
)
)</f>
        <v>852.39621548572495</v>
      </c>
      <c r="I154" s="448">
        <f t="shared" si="19"/>
        <v>670</v>
      </c>
      <c r="J154" s="1116" cm="1">
        <f t="array" ref="J154">_xlfn.IFS($C154="","",
  $G154="","発売前？",
  $G154=0,"在庫なし",
  TRUE,
  IFERROR(
    _xlfn.LET(
      _xlpm._在庫注残,     $G154,
      _xlpm._しきい値,     _xlpm._在庫注残 * 0.75,
      _xlpm._見出し元,     $K$1:$BT$1,
      _xlpm._計画,         $K154:$BT154,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46266</v>
      </c>
      <c r="K154" s="463"/>
      <c r="L154" s="463"/>
      <c r="M154" s="463"/>
      <c r="N154" s="463"/>
      <c r="O154" s="463"/>
      <c r="P154" s="463"/>
      <c r="Q154" s="1329"/>
      <c r="R154" s="1371"/>
      <c r="S154" s="451"/>
      <c r="T154" s="451"/>
      <c r="U154" s="451"/>
      <c r="V154" s="464"/>
      <c r="W154" s="451" t="s">
        <v>21</v>
      </c>
      <c r="X154" s="451" t="s">
        <v>21</v>
      </c>
      <c r="Y154" s="451" t="s">
        <v>21</v>
      </c>
      <c r="Z154" s="465" t="s">
        <v>21</v>
      </c>
      <c r="AA154" s="465" t="s">
        <v>21</v>
      </c>
      <c r="AB154" s="451" t="s">
        <v>21</v>
      </c>
      <c r="AC154" s="1372" t="s">
        <v>21</v>
      </c>
      <c r="AD154" s="1340" t="s">
        <v>21</v>
      </c>
      <c r="AE154" s="465" t="s">
        <v>21</v>
      </c>
      <c r="AF154" s="465" t="s">
        <v>21</v>
      </c>
      <c r="AG154" s="451">
        <v>64</v>
      </c>
      <c r="AH154" s="889">
        <v>216</v>
      </c>
      <c r="AI154" s="896">
        <v>185</v>
      </c>
      <c r="AJ154" s="451">
        <v>200</v>
      </c>
      <c r="AK154" s="451">
        <v>302</v>
      </c>
      <c r="AL154" s="451">
        <v>203</v>
      </c>
      <c r="AM154" s="451">
        <f>_xlfn.LET(_xlpm._全体実績予測,
  INDEX('在庫使用計画 (全体実績+予測）0701'!$A$1:$BD$195,
    MATCH($C154,'在庫使用計画 (全体実績+予測）0701'!$C$1:$C$195,0),
    MATCH(AM$1,'在庫使用計画 (全体実績+予測）0701'!$A$1:$BD$1,0)
),
  IFERROR(
    IF(_xlpm._全体実績予測=0,"",_xlpm._全体実績予測),
  "")
)</f>
        <v>244</v>
      </c>
      <c r="AN154" s="889">
        <f>_xlfn.LET(_xlpm._全体実績予測,
  INDEX('在庫使用計画 (全体実績+予測）0701'!$A$1:$BD$195,
    MATCH($C154,'在庫使用計画 (全体実績+予測）0701'!$C$1:$C$195,0),
    MATCH(AN$1,'在庫使用計画 (全体実績+予測）0701'!$A$1:$BD$1,0)
),
  IFERROR(
    IF(_xlpm._全体実績予測=0,"",_xlpm._全体実績予測),
  "")
)</f>
        <v>195</v>
      </c>
      <c r="AO154" s="889">
        <f>_xlfn.LET(_xlpm._全体実績予測,
  INDEX('在庫使用計画 (全体実績+予測）0701'!$A$1:$BD$195,
    MATCH($C154,'在庫使用計画 (全体実績+予測）0701'!$C$1:$C$195,0),
    MATCH(AO$1,'在庫使用計画 (全体実績+予測）0701'!$A$1:$BD$1,0)
),
  IFERROR(
    IF(_xlpm._全体実績予測=0,"",_xlpm._全体実績予測),
  "")
)</f>
        <v>213.99483304539103</v>
      </c>
      <c r="AP154" s="451">
        <f>_xlfn.LET(_xlpm._全体実績予測,
  INDEX('在庫使用計画 (全体実績+予測）0701'!$A$1:$BD$195,
    MATCH($C154,'在庫使用計画 (全体実績+予測）0701'!$C$1:$C$195,0),
    MATCH(AP$1,'在庫使用計画 (全体実績+予測）0701'!$A$1:$BD$1,0)
),
  IFERROR(
    IF(_xlpm._全体実績予測=0,"",_xlpm._全体実績予測),
  "")
)</f>
        <v>196.82369676896496</v>
      </c>
      <c r="AQ154" s="2121">
        <f>_xlfn.LET(_xlpm._全体実績予測,
  INDEX('在庫使用計画 (全体実績+予測）0701'!$A$1:$BD$195,
    MATCH($C154,'在庫使用計画 (全体実績+予測）0701'!$C$1:$C$195,0),
    MATCH(AQ$1,'在庫使用計画 (全体実績+予測）0701'!$A$1:$BD$1,0)
),
  IFERROR(
    IF(_xlpm._全体実績予測=0,"",_xlpm._全体実績予測),
  "")
)</f>
        <v>212.61462160248638</v>
      </c>
      <c r="AR154" s="2137">
        <f>_xlfn.LET(_xlpm._全体実績予測,
  INDEX('在庫使用計画 (全体実績+予測）0701'!$A$1:$BD$195,
    MATCH($C154,'在庫使用計画 (全体実績+予測）0701'!$C$1:$C$195,0),
    MATCH(AR$1,'在庫使用計画 (全体実績+予測）0701'!$A$1:$BD$1,0)
),
  IFERROR(
    IF(_xlpm._全体実績予測=0,"",_xlpm._全体実績予測),
  "")
)</f>
        <v>228.96306406888252</v>
      </c>
      <c r="AS154" s="1292">
        <f>_xlfn.LET(_xlpm._全体実績予測,
  INDEX('在庫使用計画 (全体実績+予測）0701'!$A$1:$BD$195,
    MATCH($C154,'在庫使用計画 (全体実績+予測）0701'!$C$1:$C$195,0),
    MATCH(AS$1,'在庫使用計画 (全体実績+予測）0701'!$A$1:$BD$1,0)
),
  IFERROR(
    IF(_xlpm._全体実績予測=0,"",_xlpm._全体実績予測),
  "")
)</f>
        <v>236.96527812648404</v>
      </c>
      <c r="AT154" s="897">
        <f>_xlfn.LET(_xlpm._全体実績予測,
  INDEX('在庫使用計画 (全体実績+予測）0701'!$A$1:$BD$195,
    MATCH($C154,'在庫使用計画 (全体実績+予測）0701'!$C$1:$C$195,0),
    MATCH(AT$1,'在庫使用計画 (全体実績+予測）0701'!$A$1:$BD$1,0)
),
  IFERROR(
    IF(_xlpm._全体実績予測=0,"",_xlpm._全体実績予測),
  "")
)</f>
        <v>349.26979951155693</v>
      </c>
      <c r="AU154" s="896">
        <f>_xlfn.LET(_xlpm._全体実績予測,
  INDEX('在庫使用計画 (全体実績+予測）0701'!$A$1:$BD$195,
    MATCH($C154,'在庫使用計画 (全体実績+予測）0701'!$C$1:$C$195,0),
    MATCH(AU$1,'在庫使用計画 (全体実績+予測）0701'!$A$1:$BD$1,0)
),
  IFERROR(
    IF(_xlpm._全体実績予測=0,"",_xlpm._全体実績予測),
  "")
)</f>
        <v>301.40883776584275</v>
      </c>
      <c r="AV154" s="451">
        <f>_xlfn.LET(_xlpm._全体実績予測,
  INDEX('在庫使用計画 (全体実績+予測）0701'!$A$1:$BD$195,
    MATCH($C154,'在庫使用計画 (全体実績+予測）0701'!$C$1:$C$195,0),
    MATCH(AV$1,'在庫使用計画 (全体実績+予測）0701'!$A$1:$BD$1,0)
),
  IFERROR(
    IF(_xlpm._全体実績予測=0,"",_xlpm._全体実績予測),
  "")
)</f>
        <v>284.17204043281936</v>
      </c>
      <c r="AW154" s="451">
        <f>_xlfn.LET(_xlpm._全体実績予測,
  INDEX('在庫使用計画 (全体実績+予測）0701'!$A$1:$BD$195,
    MATCH($C154,'在庫使用計画 (全体実績+予測）0701'!$C$1:$C$195,0),
    MATCH(AW$1,'在庫使用計画 (全体実績+予測）0701'!$A$1:$BD$1,0)
),
  IFERROR(
    IF(_xlpm._全体実績予測=0,"",_xlpm._全体実績予測),
  "")
)</f>
        <v>419.95634993828435</v>
      </c>
      <c r="AX154" s="451">
        <f>_xlfn.LET(_xlpm._全体実績予測,
  INDEX('在庫使用計画 (全体実績+予測）0701'!$A$1:$BD$195,
    MATCH($C154,'在庫使用計画 (全体実績+予測）0701'!$C$1:$C$195,0),
    MATCH(AX$1,'在庫使用計画 (全体実績+予測）0701'!$A$1:$BD$1,0)
),
  IFERROR(
    IF(_xlpm._全体実績予測=0,"",_xlpm._全体実績予測),
  "")
)</f>
        <v>257.86667482220423</v>
      </c>
      <c r="AY154" s="451">
        <f>_xlfn.LET(_xlpm._全体実績予測,
  INDEX('在庫使用計画 (全体実績+予測）0701'!$A$1:$BD$195,
    MATCH($C154,'在庫使用計画 (全体実績+予測）0701'!$C$1:$C$195,0),
    MATCH(AY$1,'在庫使用計画 (全体実績+予測）0701'!$A$1:$BD$1,0)
),
  IFERROR(
    IF(_xlpm._全体実績予測=0,"",_xlpm._全体実績予測),
  "")
)</f>
        <v>187.0127268427575</v>
      </c>
      <c r="AZ154" s="451">
        <f>_xlfn.LET(_xlpm._全体実績予測,
  INDEX('在庫使用計画 (全体実績+予測）0701'!$A$1:$BD$195,
    MATCH($C154,'在庫使用計画 (全体実績+予測）0701'!$C$1:$C$195,0),
    MATCH(AZ$1,'在庫使用計画 (全体実績+予測）0701'!$A$1:$BD$1,0)
),
  IFERROR(
    IF(_xlpm._全体実績予測=0,"",_xlpm._全体実績予測),
  "")
)</f>
        <v>194.99999999999997</v>
      </c>
      <c r="BA154" s="451">
        <f>_xlfn.LET(_xlpm._全体実績予測,
  INDEX('在庫使用計画 (全体実績+予測）0701'!$A$1:$BD$195,
    MATCH($C154,'在庫使用計画 (全体実績+予測）0701'!$C$1:$C$195,0),
    MATCH(BA$1,'在庫使用計画 (全体実績+予測）0701'!$A$1:$BD$1,0)
),
  IFERROR(
    IF(_xlpm._全体実績予測=0,"",_xlpm._全体実績予測),
  "")
)</f>
        <v>213.994833045391</v>
      </c>
      <c r="BB154" s="451">
        <f>_xlfn.LET(_xlpm._全体実績予測,
  INDEX('在庫使用計画 (全体実績+予測）0701'!$A$1:$BD$195,
    MATCH($C154,'在庫使用計画 (全体実績+予測）0701'!$C$1:$C$195,0),
    MATCH(BB$1,'在庫使用計画 (全体実績+予測）0701'!$A$1:$BD$1,0)
),
  IFERROR(
    IF(_xlpm._全体実績予測=0,"",_xlpm._全体実績予測),
  "")
)</f>
        <v>196.82369676896494</v>
      </c>
      <c r="BC154" s="451">
        <f>_xlfn.LET(_xlpm._全体実績予測,
  INDEX('在庫使用計画 (全体実績+予測）0701'!$A$1:$BD$195,
    MATCH($C154,'在庫使用計画 (全体実績+予測）0701'!$C$1:$C$195,0),
    MATCH(BC$1,'在庫使用計画 (全体実績+予測）0701'!$A$1:$BD$1,0)
),
  IFERROR(
    IF(_xlpm._全体実績予測=0,"",_xlpm._全体実績予測),
  "")
)</f>
        <v>212.61462160248635</v>
      </c>
      <c r="BD154" s="451">
        <f>_xlfn.LET(_xlpm._全体実績予測,
  INDEX('在庫使用計画 (全体実績+予測）0701'!$A$1:$BD$195,
    MATCH($C154,'在庫使用計画 (全体実績+予測）0701'!$C$1:$C$195,0),
    MATCH(BD$1,'在庫使用計画 (全体実績+予測）0701'!$A$1:$BD$1,0)
),
  IFERROR(
    IF(_xlpm._全体実績予測=0,"",_xlpm._全体実績予測),
  "")
)</f>
        <v>228.96306406888249</v>
      </c>
      <c r="BE154" s="451">
        <f>_xlfn.LET(_xlpm._全体実績予測,
  INDEX('在庫使用計画 (全体実績+予測）0701'!$A$1:$BD$195,
    MATCH($C154,'在庫使用計画 (全体実績+予測）0701'!$C$1:$C$195,0),
    MATCH(BE$1,'在庫使用計画 (全体実績+予測）0701'!$A$1:$BD$1,0)
),
  IFERROR(
    IF(_xlpm._全体実績予測=0,"",_xlpm._全体実績予測),
  "")
)</f>
        <v>236.96527812648401</v>
      </c>
      <c r="BF154" s="897">
        <f>_xlfn.LET(_xlpm._全体実績予測,
  INDEX('在庫使用計画 (全体実績+予測）0701'!$A$1:$BD$195,
    MATCH($C154,'在庫使用計画 (全体実績+予測）0701'!$C$1:$C$195,0),
    MATCH(BF$1,'在庫使用計画 (全体実績+予測）0701'!$A$1:$BD$1,0)
),
  IFERROR(
    IF(_xlpm._全体実績予測=0,"",_xlpm._全体実績予測),
  "")
)</f>
        <v>349.26979951155693</v>
      </c>
      <c r="BG154" s="2091" t="s">
        <v>2683</v>
      </c>
    </row>
    <row r="155" spans="1:59" ht="18.75" hidden="1" customHeight="1" outlineLevel="1">
      <c r="A155" s="303" t="s">
        <v>1442</v>
      </c>
      <c r="B155" s="1163" t="str">
        <v>CLE-V74-U7-155U-L6-TPM-DDR5-TW-BK</v>
      </c>
      <c r="C155" s="86" t="s">
        <v>809</v>
      </c>
      <c r="D155" s="1283"/>
      <c r="E155" s="87" t="s">
        <v>1423</v>
      </c>
      <c r="F155" s="87"/>
      <c r="G155" s="74">
        <v>410</v>
      </c>
      <c r="H155" s="74">
        <f ca="1">_xlfn.LET(_xlpm._今月から4ヶ月計画合計,
  SUM(
    OFFSET($A155,0,
      MATCH(
        EDATE(基準データ!$C$5,3),$A$1:$BE$1,1
      )-4,1,4)),
  IF($C155="","",_xlpm._今月から4ヶ月計画合計
)
)</f>
        <v>405</v>
      </c>
      <c r="I155" s="74">
        <f>SUMIFS(マスタ_EOLリスト[在庫],マスタ_EOLリスト[製品型番],'在庫使用計画 (計画　予測)'!$C:$C)</f>
        <v>0</v>
      </c>
      <c r="J155" s="1116" cm="1">
        <f t="array" ref="J155">_xlfn.IFS($C155="","",
  $G155="","発売前？",
  $G155=0,"在庫なし",
  TRUE,
  IFERROR(
    _xlfn.LET(
      _xlpm._在庫注残,     $G155,
      _xlpm._しきい値,     _xlpm._在庫注残 * 0.75,
      _xlpm._見出し元,     $K$1:$BT$1,
      _xlpm._計画,         $K155:$BT155,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46296</v>
      </c>
      <c r="K155" s="74" t="s">
        <v>21</v>
      </c>
      <c r="L155" s="74" t="s">
        <v>21</v>
      </c>
      <c r="M155" s="74" t="s">
        <v>21</v>
      </c>
      <c r="N155" s="74" t="s">
        <v>21</v>
      </c>
      <c r="O155" s="74" t="s">
        <v>21</v>
      </c>
      <c r="P155" s="74" t="s">
        <v>21</v>
      </c>
      <c r="Q155" s="118" t="s">
        <v>21</v>
      </c>
      <c r="R155" s="1378" t="s">
        <v>21</v>
      </c>
      <c r="S155" s="224" t="s">
        <v>21</v>
      </c>
      <c r="T155" s="224" t="s">
        <v>21</v>
      </c>
      <c r="U155" s="224" t="s">
        <v>21</v>
      </c>
      <c r="V155" s="224" t="s">
        <v>21</v>
      </c>
      <c r="W155" s="224" t="s">
        <v>21</v>
      </c>
      <c r="X155" s="343" t="s">
        <v>21</v>
      </c>
      <c r="Y155" s="343" t="s">
        <v>21</v>
      </c>
      <c r="Z155" s="343" t="s">
        <v>21</v>
      </c>
      <c r="AA155" s="343" t="s">
        <v>21</v>
      </c>
      <c r="AB155" s="237" t="s">
        <v>21</v>
      </c>
      <c r="AC155" s="805" t="s">
        <v>21</v>
      </c>
      <c r="AD155" s="1050" t="s">
        <v>21</v>
      </c>
      <c r="AE155" s="237" t="s">
        <v>21</v>
      </c>
      <c r="AF155" s="237" t="s">
        <v>21</v>
      </c>
      <c r="AG155" s="224" t="s">
        <v>21</v>
      </c>
      <c r="AH155" s="237">
        <v>0</v>
      </c>
      <c r="AI155" s="804" t="s">
        <v>21</v>
      </c>
      <c r="AJ155" s="224" t="s">
        <v>21</v>
      </c>
      <c r="AK155" s="224" t="s">
        <v>21</v>
      </c>
      <c r="AL155" s="224" t="s">
        <v>21</v>
      </c>
      <c r="AM155" s="224" t="str">
        <f>_xlfn.XLOOKUP(
$C155,
'在庫使用計画 (ノート全体試算)'!$C$1:$C$170,
'在庫使用計画 (ノート全体試算)'!AN$1:AN$170,
"")</f>
        <v/>
      </c>
      <c r="AN155" s="237" t="str">
        <f>_xlfn.XLOOKUP(
$C155,
'在庫使用計画 (ノート全体試算)'!$C$1:$C$170,
'在庫使用計画 (ノート全体試算)'!AO$1:AO$170,
"")</f>
        <v/>
      </c>
      <c r="AO155" s="237" t="str">
        <f>_xlfn.XLOOKUP(
$C155,
'在庫使用計画 (ノート全体試算)'!$C$1:$C$170,
'在庫使用計画 (ノート全体試算)'!AP$1:AP$170,
"")</f>
        <v/>
      </c>
      <c r="AP155" s="224">
        <f>_xlfn.XLOOKUP(
$C155,
'在庫使用計画 (ノート全体試算)'!$C$1:$C$170,
'在庫使用計画 (ノート全体試算)'!AQ$1:AQ$170,
"")</f>
        <v>3</v>
      </c>
      <c r="AQ155" s="1050">
        <f>_xlfn.XLOOKUP(
$C155,
'在庫使用計画 (ノート全体試算)'!$C$1:$C$170,
'在庫使用計画 (ノート全体試算)'!AR$1:AR$170,
"")</f>
        <v>167</v>
      </c>
      <c r="AR155" s="2130">
        <f>_xlfn.XLOOKUP(
$C155,
'在庫使用計画 (ノート全体試算)'!$C$1:$C$170,
'在庫使用計画 (ノート全体試算)'!AS$1:AS$170,
"")</f>
        <v>235</v>
      </c>
      <c r="AS155" s="244">
        <f>_xlfn.XLOOKUP(
$C155,
'在庫使用計画 (ノート全体試算)'!$C$1:$C$170,
'在庫使用計画 (ノート全体試算)'!AT$1:AT$170,
"")</f>
        <v>350</v>
      </c>
      <c r="AT155" s="805">
        <f>_xlfn.XLOOKUP(
$C155,
'在庫使用計画 (ノート全体試算)'!$C$1:$C$170,
'在庫使用計画 (ノート全体試算)'!AU$1:AU$170,
"")</f>
        <v>295</v>
      </c>
      <c r="AU155" s="804">
        <f>_xlfn.XLOOKUP(
$C155,
'在庫使用計画 (ノート全体試算)'!$C$1:$C$170,
'在庫使用計画 (ノート全体試算)'!AV$1:AV$170,
"")</f>
        <v>300</v>
      </c>
      <c r="AV155" s="224">
        <f>_xlfn.XLOOKUP(
$C155,
'在庫使用計画 (ノート全体試算)'!$C$1:$C$170,
'在庫使用計画 (ノート全体試算)'!AW$1:AW$170,
"")</f>
        <v>332</v>
      </c>
      <c r="AW155" s="224">
        <f>_xlfn.XLOOKUP(
$C155,
'在庫使用計画 (ノート全体試算)'!$C$1:$C$170,
'在庫使用計画 (ノート全体試算)'!AX$1:AX$170,
"")</f>
        <v>345</v>
      </c>
      <c r="AX155" s="224">
        <f>_xlfn.XLOOKUP(
$C155,
'在庫使用計画 (ノート全体試算)'!$C$1:$C$170,
'在庫使用計画 (ノート全体試算)'!AY$1:AY$170,
"")</f>
        <v>261</v>
      </c>
      <c r="AY155" s="224">
        <f>_xlfn.XLOOKUP(
$C155,
'在庫使用計画 (ノート全体試算)'!$C$1:$C$170,
'在庫使用計画 (ノート全体試算)'!AZ$1:AZ$170,
"")</f>
        <v>256</v>
      </c>
      <c r="AZ155" s="224">
        <f>_xlfn.XLOOKUP(
$C155,
'在庫使用計画 (ノート全体試算)'!$C$1:$C$170,
'在庫使用計画 (ノート全体試算)'!BA$1:BA$170,
"")</f>
        <v>196</v>
      </c>
      <c r="BA155" s="224">
        <f>_xlfn.XLOOKUP(
$C155,
'在庫使用計画 (ノート全体試算)'!$C$1:$C$170,
'在庫使用計画 (ノート全体試算)'!BB$1:BB$170,
"")</f>
        <v>261</v>
      </c>
      <c r="BB155" s="224">
        <f>_xlfn.XLOOKUP(
$C155,
'在庫使用計画 (ノート全体試算)'!$C$1:$C$170,
'在庫使用計画 (ノート全体試算)'!BC$1:BC$170,
"")</f>
        <v>179</v>
      </c>
      <c r="BC155" s="224" t="str">
        <f>_xlfn.XLOOKUP(
$C155,
'在庫使用計画 (ノート全体試算)'!$C$1:$C$170,
'在庫使用計画 (ノート全体試算)'!BD$1:BD$170,
"")</f>
        <v/>
      </c>
      <c r="BD155" s="224" t="str">
        <f>_xlfn.XLOOKUP(
$C155,
'在庫使用計画 (ノート全体試算)'!$C$1:$C$170,
'在庫使用計画 (ノート全体試算)'!BE$1:BE$170,
"")</f>
        <v/>
      </c>
      <c r="BE155" s="224" t="str">
        <f>_xlfn.XLOOKUP(
$C155,
'在庫使用計画 (ノート全体試算)'!$C$1:$C$170,
'在庫使用計画 (ノート全体試算)'!BF$1:BF$170,
"")</f>
        <v/>
      </c>
      <c r="BF155" s="805" t="str">
        <f>_xlfn.XLOOKUP(
$C155,
'在庫使用計画 (ノート全体試算)'!$C$1:$C$170,
'在庫使用計画 (ノート全体試算)'!BG$1:BG$170,
"")</f>
        <v/>
      </c>
    </row>
    <row r="156" spans="1:59" ht="18.75" hidden="1" customHeight="1" outlineLevel="1">
      <c r="A156" s="459"/>
      <c r="B156" s="1277" t="str">
        <v>CLE-V74-U7-155U-L6-TPM-DDR5-TW-BK</v>
      </c>
      <c r="C156" s="462" t="s">
        <v>809</v>
      </c>
      <c r="D156" s="1278" t="s">
        <v>1763</v>
      </c>
      <c r="E156" s="460"/>
      <c r="F156" s="462"/>
      <c r="G156" s="463">
        <v>410</v>
      </c>
      <c r="H156" s="463">
        <f ca="1">_xlfn.LET(_xlpm._今月から4ヶ月計画合計,
  SUM(
    OFFSET($A156,0,
      MATCH(
        EDATE(基準データ!$C$5,3),$A$1:$BE$1,1
      )-4,1,4)),
  IF($C156="","",_xlpm._今月から4ヶ月計画合計
)
)</f>
        <v>0</v>
      </c>
      <c r="I156" s="463">
        <f t="shared" si="19"/>
        <v>0</v>
      </c>
      <c r="J156" s="1116" t="str" cm="1">
        <f t="array" ref="J156">_xlfn.IFS($C156="","",
  $G156="","発売前？",
  $G156=0,"在庫なし",
  TRUE,
  IFERROR(
    _xlfn.LET(
      _xlpm._在庫注残,     $G156,
      _xlpm._しきい値,     _xlpm._在庫注残 * 0.75,
      _xlpm._見出し元,     $K$1:$BT$1,
      _xlpm._計画,         $K156:$BT156,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合計0、在庫+注残410のため不足</v>
      </c>
      <c r="K156" s="463"/>
      <c r="L156" s="463"/>
      <c r="M156" s="463"/>
      <c r="N156" s="463"/>
      <c r="O156" s="463"/>
      <c r="P156" s="463"/>
      <c r="Q156" s="1329"/>
      <c r="R156" s="1371"/>
      <c r="S156" s="451"/>
      <c r="T156" s="451"/>
      <c r="U156" s="451"/>
      <c r="V156" s="464"/>
      <c r="W156" s="451" t="s">
        <v>21</v>
      </c>
      <c r="X156" s="451" t="s">
        <v>21</v>
      </c>
      <c r="Y156" s="451" t="s">
        <v>21</v>
      </c>
      <c r="Z156" s="465" t="s">
        <v>21</v>
      </c>
      <c r="AA156" s="465" t="s">
        <v>21</v>
      </c>
      <c r="AB156" s="451" t="s">
        <v>21</v>
      </c>
      <c r="AC156" s="1372" t="s">
        <v>21</v>
      </c>
      <c r="AD156" s="1340" t="s">
        <v>21</v>
      </c>
      <c r="AE156" s="465" t="s">
        <v>21</v>
      </c>
      <c r="AF156" s="465" t="s">
        <v>21</v>
      </c>
      <c r="AG156" s="451" t="s">
        <v>21</v>
      </c>
      <c r="AH156" s="889" t="s">
        <v>21</v>
      </c>
      <c r="AI156" s="896" t="s">
        <v>21</v>
      </c>
      <c r="AJ156" s="451" t="s">
        <v>21</v>
      </c>
      <c r="AK156" s="451" t="s">
        <v>21</v>
      </c>
      <c r="AL156" s="451" t="s">
        <v>21</v>
      </c>
      <c r="AM156" s="451" t="str">
        <f>_xlfn.LET(_xlpm._全体実績予測,
  INDEX('在庫使用計画 (全体実績+予測）0701'!$A$1:$BD$195,
    MATCH($C156,'在庫使用計画 (全体実績+予測）0701'!$C$1:$C$195,0),
    MATCH(AM$1,'在庫使用計画 (全体実績+予測）0701'!$A$1:$BD$1,0)
),
  IFERROR(
    IF(_xlpm._全体実績予測=0,"",_xlpm._全体実績予測),
  "")
)</f>
        <v/>
      </c>
      <c r="AN156" s="889" t="str">
        <f>_xlfn.LET(_xlpm._全体実績予測,
  INDEX('在庫使用計画 (全体実績+予測）0701'!$A$1:$BD$195,
    MATCH($C156,'在庫使用計画 (全体実績+予測）0701'!$C$1:$C$195,0),
    MATCH(AN$1,'在庫使用計画 (全体実績+予測）0701'!$A$1:$BD$1,0)
),
  IFERROR(
    IF(_xlpm._全体実績予測=0,"",_xlpm._全体実績予測),
  "")
)</f>
        <v/>
      </c>
      <c r="AO156" s="889" t="str">
        <f>_xlfn.LET(_xlpm._全体実績予測,
  INDEX('在庫使用計画 (全体実績+予測）0701'!$A$1:$BD$195,
    MATCH($C156,'在庫使用計画 (全体実績+予測）0701'!$C$1:$C$195,0),
    MATCH(AO$1,'在庫使用計画 (全体実績+予測）0701'!$A$1:$BD$1,0)
),
  IFERROR(
    IF(_xlpm._全体実績予測=0,"",_xlpm._全体実績予測),
  "")
)</f>
        <v/>
      </c>
      <c r="AP156" s="451" t="str">
        <f>_xlfn.LET(_xlpm._全体実績予測,
  INDEX('在庫使用計画 (全体実績+予測）0701'!$A$1:$BD$195,
    MATCH($C156,'在庫使用計画 (全体実績+予測）0701'!$C$1:$C$195,0),
    MATCH(AP$1,'在庫使用計画 (全体実績+予測）0701'!$A$1:$BD$1,0)
),
  IFERROR(
    IF(_xlpm._全体実績予測=0,"",_xlpm._全体実績予測),
  "")
)</f>
        <v/>
      </c>
      <c r="AQ156" s="2121" t="str">
        <f>_xlfn.LET(_xlpm._全体実績予測,
  INDEX('在庫使用計画 (全体実績+予測）0701'!$A$1:$BD$195,
    MATCH($C156,'在庫使用計画 (全体実績+予測）0701'!$C$1:$C$195,0),
    MATCH(AQ$1,'在庫使用計画 (全体実績+予測）0701'!$A$1:$BD$1,0)
),
  IFERROR(
    IF(_xlpm._全体実績予測=0,"",_xlpm._全体実績予測),
  "")
)</f>
        <v/>
      </c>
      <c r="AR156" s="2137" t="str">
        <f>_xlfn.LET(_xlpm._全体実績予測,
  INDEX('在庫使用計画 (全体実績+予測）0701'!$A$1:$BD$195,
    MATCH($C156,'在庫使用計画 (全体実績+予測）0701'!$C$1:$C$195,0),
    MATCH(AR$1,'在庫使用計画 (全体実績+予測）0701'!$A$1:$BD$1,0)
),
  IFERROR(
    IF(_xlpm._全体実績予測=0,"",_xlpm._全体実績予測),
  "")
)</f>
        <v/>
      </c>
      <c r="AS156" s="1292" t="str">
        <f>_xlfn.LET(_xlpm._全体実績予測,
  INDEX('在庫使用計画 (全体実績+予測）0701'!$A$1:$BD$195,
    MATCH($C156,'在庫使用計画 (全体実績+予測）0701'!$C$1:$C$195,0),
    MATCH(AS$1,'在庫使用計画 (全体実績+予測）0701'!$A$1:$BD$1,0)
),
  IFERROR(
    IF(_xlpm._全体実績予測=0,"",_xlpm._全体実績予測),
  "")
)</f>
        <v/>
      </c>
      <c r="AT156" s="897" t="str">
        <f>_xlfn.LET(_xlpm._全体実績予測,
  INDEX('在庫使用計画 (全体実績+予測）0701'!$A$1:$BD$195,
    MATCH($C156,'在庫使用計画 (全体実績+予測）0701'!$C$1:$C$195,0),
    MATCH(AT$1,'在庫使用計画 (全体実績+予測）0701'!$A$1:$BD$1,0)
),
  IFERROR(
    IF(_xlpm._全体実績予測=0,"",_xlpm._全体実績予測),
  "")
)</f>
        <v/>
      </c>
      <c r="AU156" s="896" t="str">
        <f>_xlfn.LET(_xlpm._全体実績予測,
  INDEX('在庫使用計画 (全体実績+予測）0701'!$A$1:$BD$195,
    MATCH($C156,'在庫使用計画 (全体実績+予測）0701'!$C$1:$C$195,0),
    MATCH(AU$1,'在庫使用計画 (全体実績+予測）0701'!$A$1:$BD$1,0)
),
  IFERROR(
    IF(_xlpm._全体実績予測=0,"",_xlpm._全体実績予測),
  "")
)</f>
        <v/>
      </c>
      <c r="AV156" s="451" t="str">
        <f>_xlfn.LET(_xlpm._全体実績予測,
  INDEX('在庫使用計画 (全体実績+予測）0701'!$A$1:$BD$195,
    MATCH($C156,'在庫使用計画 (全体実績+予測）0701'!$C$1:$C$195,0),
    MATCH(AV$1,'在庫使用計画 (全体実績+予測）0701'!$A$1:$BD$1,0)
),
  IFERROR(
    IF(_xlpm._全体実績予測=0,"",_xlpm._全体実績予測),
  "")
)</f>
        <v/>
      </c>
      <c r="AW156" s="451" t="str">
        <f>_xlfn.LET(_xlpm._全体実績予測,
  INDEX('在庫使用計画 (全体実績+予測）0701'!$A$1:$BD$195,
    MATCH($C156,'在庫使用計画 (全体実績+予測）0701'!$C$1:$C$195,0),
    MATCH(AW$1,'在庫使用計画 (全体実績+予測）0701'!$A$1:$BD$1,0)
),
  IFERROR(
    IF(_xlpm._全体実績予測=0,"",_xlpm._全体実績予測),
  "")
)</f>
        <v/>
      </c>
      <c r="AX156" s="451" t="str">
        <f>_xlfn.LET(_xlpm._全体実績予測,
  INDEX('在庫使用計画 (全体実績+予測）0701'!$A$1:$BD$195,
    MATCH($C156,'在庫使用計画 (全体実績+予測）0701'!$C$1:$C$195,0),
    MATCH(AX$1,'在庫使用計画 (全体実績+予測）0701'!$A$1:$BD$1,0)
),
  IFERROR(
    IF(_xlpm._全体実績予測=0,"",_xlpm._全体実績予測),
  "")
)</f>
        <v/>
      </c>
      <c r="AY156" s="451" t="str">
        <f>_xlfn.LET(_xlpm._全体実績予測,
  INDEX('在庫使用計画 (全体実績+予測）0701'!$A$1:$BD$195,
    MATCH($C156,'在庫使用計画 (全体実績+予測）0701'!$C$1:$C$195,0),
    MATCH(AY$1,'在庫使用計画 (全体実績+予測）0701'!$A$1:$BD$1,0)
),
  IFERROR(
    IF(_xlpm._全体実績予測=0,"",_xlpm._全体実績予測),
  "")
)</f>
        <v/>
      </c>
      <c r="AZ156" s="451" t="str">
        <f>_xlfn.LET(_xlpm._全体実績予測,
  INDEX('在庫使用計画 (全体実績+予測）0701'!$A$1:$BD$195,
    MATCH($C156,'在庫使用計画 (全体実績+予測）0701'!$C$1:$C$195,0),
    MATCH(AZ$1,'在庫使用計画 (全体実績+予測）0701'!$A$1:$BD$1,0)
),
  IFERROR(
    IF(_xlpm._全体実績予測=0,"",_xlpm._全体実績予測),
  "")
)</f>
        <v/>
      </c>
      <c r="BA156" s="451" t="str">
        <f>_xlfn.LET(_xlpm._全体実績予測,
  INDEX('在庫使用計画 (全体実績+予測）0701'!$A$1:$BD$195,
    MATCH($C156,'在庫使用計画 (全体実績+予測）0701'!$C$1:$C$195,0),
    MATCH(BA$1,'在庫使用計画 (全体実績+予測）0701'!$A$1:$BD$1,0)
),
  IFERROR(
    IF(_xlpm._全体実績予測=0,"",_xlpm._全体実績予測),
  "")
)</f>
        <v/>
      </c>
      <c r="BB156" s="451" t="str">
        <f>_xlfn.LET(_xlpm._全体実績予測,
  INDEX('在庫使用計画 (全体実績+予測）0701'!$A$1:$BD$195,
    MATCH($C156,'在庫使用計画 (全体実績+予測）0701'!$C$1:$C$195,0),
    MATCH(BB$1,'在庫使用計画 (全体実績+予測）0701'!$A$1:$BD$1,0)
),
  IFERROR(
    IF(_xlpm._全体実績予測=0,"",_xlpm._全体実績予測),
  "")
)</f>
        <v/>
      </c>
      <c r="BC156" s="451" t="str">
        <f>_xlfn.LET(_xlpm._全体実績予測,
  INDEX('在庫使用計画 (全体実績+予測）0701'!$A$1:$BD$195,
    MATCH($C156,'在庫使用計画 (全体実績+予測）0701'!$C$1:$C$195,0),
    MATCH(BC$1,'在庫使用計画 (全体実績+予測）0701'!$A$1:$BD$1,0)
),
  IFERROR(
    IF(_xlpm._全体実績予測=0,"",_xlpm._全体実績予測),
  "")
)</f>
        <v/>
      </c>
      <c r="BD156" s="451" t="str">
        <f>_xlfn.LET(_xlpm._全体実績予測,
  INDEX('在庫使用計画 (全体実績+予測）0701'!$A$1:$BD$195,
    MATCH($C156,'在庫使用計画 (全体実績+予測）0701'!$C$1:$C$195,0),
    MATCH(BD$1,'在庫使用計画 (全体実績+予測）0701'!$A$1:$BD$1,0)
),
  IFERROR(
    IF(_xlpm._全体実績予測=0,"",_xlpm._全体実績予測),
  "")
)</f>
        <v/>
      </c>
      <c r="BE156" s="451" t="str">
        <f>_xlfn.LET(_xlpm._全体実績予測,
  INDEX('在庫使用計画 (全体実績+予測）0701'!$A$1:$BD$195,
    MATCH($C156,'在庫使用計画 (全体実績+予測）0701'!$C$1:$C$195,0),
    MATCH(BE$1,'在庫使用計画 (全体実績+予測）0701'!$A$1:$BD$1,0)
),
  IFERROR(
    IF(_xlpm._全体実績予測=0,"",_xlpm._全体実績予測),
  "")
)</f>
        <v/>
      </c>
      <c r="BF156" s="897" t="str">
        <f>_xlfn.LET(_xlpm._全体実績予測,
  INDEX('在庫使用計画 (全体実績+予測）0701'!$A$1:$BD$195,
    MATCH($C156,'在庫使用計画 (全体実績+予測）0701'!$C$1:$C$195,0),
    MATCH(BF$1,'在庫使用計画 (全体実績+予測）0701'!$A$1:$BD$1,0)
),
  IFERROR(
    IF(_xlpm._全体実績予測=0,"",_xlpm._全体実績予測),
  "")
)</f>
        <v/>
      </c>
    </row>
    <row r="157" spans="1:59" ht="18.75" hidden="1" customHeight="1" outlineLevel="1">
      <c r="A157" s="303" t="s">
        <v>1442</v>
      </c>
      <c r="B157" s="1163" t="str">
        <v>CLE-V74-U7-155U-L6-TPM-DDR5-TW-BL</v>
      </c>
      <c r="C157" s="86" t="s">
        <v>805</v>
      </c>
      <c r="D157" s="1283"/>
      <c r="E157" s="87" t="s">
        <v>1423</v>
      </c>
      <c r="F157" s="87"/>
      <c r="G157" s="74">
        <v>166</v>
      </c>
      <c r="H157" s="74">
        <f ca="1">_xlfn.LET(_xlpm._今月から4ヶ月計画合計,
  SUM(
    OFFSET($A157,0,
      MATCH(
        EDATE(基準データ!$C$5,3),$A$1:$BE$1,1
      )-4,1,4)),
  IF($C157="","",_xlpm._今月から4ヶ月計画合計
)
)</f>
        <v>107</v>
      </c>
      <c r="I157" s="74">
        <f>SUMIFS(マスタ_EOLリスト[在庫],マスタ_EOLリスト[製品型番],'在庫使用計画 (計画　予測)'!$C:$C)</f>
        <v>0</v>
      </c>
      <c r="J157" s="1116" cm="1">
        <f t="array" ref="J157">_xlfn.IFS($C157="","",
  $G157="","発売前？",
  $G157=0,"在庫なし",
  TRUE,
  IFERROR(
    _xlfn.LET(
      _xlpm._在庫注残,     $G157,
      _xlpm._しきい値,     _xlpm._在庫注残 * 0.75,
      _xlpm._見出し元,     $K$1:$BT$1,
      _xlpm._計画,         $K157:$BT157,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46327</v>
      </c>
      <c r="K157" s="74" t="s">
        <v>21</v>
      </c>
      <c r="L157" s="74" t="s">
        <v>21</v>
      </c>
      <c r="M157" s="74" t="s">
        <v>21</v>
      </c>
      <c r="N157" s="74" t="s">
        <v>21</v>
      </c>
      <c r="O157" s="74" t="s">
        <v>21</v>
      </c>
      <c r="P157" s="74" t="s">
        <v>21</v>
      </c>
      <c r="Q157" s="118" t="s">
        <v>21</v>
      </c>
      <c r="R157" s="1378" t="s">
        <v>21</v>
      </c>
      <c r="S157" s="224" t="s">
        <v>21</v>
      </c>
      <c r="T157" s="224" t="s">
        <v>21</v>
      </c>
      <c r="U157" s="224" t="s">
        <v>21</v>
      </c>
      <c r="V157" s="224" t="s">
        <v>21</v>
      </c>
      <c r="W157" s="224" t="s">
        <v>21</v>
      </c>
      <c r="X157" s="343" t="s">
        <v>21</v>
      </c>
      <c r="Y157" s="343" t="s">
        <v>21</v>
      </c>
      <c r="Z157" s="343" t="s">
        <v>21</v>
      </c>
      <c r="AA157" s="343" t="s">
        <v>21</v>
      </c>
      <c r="AB157" s="237" t="s">
        <v>21</v>
      </c>
      <c r="AC157" s="805" t="s">
        <v>21</v>
      </c>
      <c r="AD157" s="1050" t="s">
        <v>21</v>
      </c>
      <c r="AE157" s="237" t="s">
        <v>21</v>
      </c>
      <c r="AF157" s="237" t="s">
        <v>21</v>
      </c>
      <c r="AG157" s="224" t="s">
        <v>21</v>
      </c>
      <c r="AH157" s="237">
        <v>0</v>
      </c>
      <c r="AI157" s="804" t="s">
        <v>21</v>
      </c>
      <c r="AJ157" s="224" t="s">
        <v>21</v>
      </c>
      <c r="AK157" s="224" t="s">
        <v>21</v>
      </c>
      <c r="AL157" s="224" t="s">
        <v>21</v>
      </c>
      <c r="AM157" s="224" t="str">
        <f>_xlfn.XLOOKUP(
$C157,
'在庫使用計画 (ノート全体試算)'!$C$1:$C$170,
'在庫使用計画 (ノート全体試算)'!AN$1:AN$170,
"")</f>
        <v/>
      </c>
      <c r="AN157" s="237" t="str">
        <f>_xlfn.XLOOKUP(
$C157,
'在庫使用計画 (ノート全体試算)'!$C$1:$C$170,
'在庫使用計画 (ノート全体試算)'!AO$1:AO$170,
"")</f>
        <v/>
      </c>
      <c r="AO157" s="237" t="str">
        <f>_xlfn.XLOOKUP(
$C157,
'在庫使用計画 (ノート全体試算)'!$C$1:$C$170,
'在庫使用計画 (ノート全体試算)'!AP$1:AP$170,
"")</f>
        <v/>
      </c>
      <c r="AP157" s="224" t="str">
        <f>_xlfn.XLOOKUP(
$C157,
'在庫使用計画 (ノート全体試算)'!$C$1:$C$170,
'在庫使用計画 (ノート全体試算)'!AQ$1:AQ$170,
"")</f>
        <v/>
      </c>
      <c r="AQ157" s="1050">
        <f>_xlfn.XLOOKUP(
$C157,
'在庫使用計画 (ノート全体試算)'!$C$1:$C$170,
'在庫使用計画 (ノート全体試算)'!AR$1:AR$170,
"")</f>
        <v>54</v>
      </c>
      <c r="AR157" s="2130">
        <f>_xlfn.XLOOKUP(
$C157,
'在庫使用計画 (ノート全体試算)'!$C$1:$C$170,
'在庫使用計画 (ノート全体試算)'!AS$1:AS$170,
"")</f>
        <v>53</v>
      </c>
      <c r="AS157" s="244">
        <f>_xlfn.XLOOKUP(
$C157,
'在庫使用計画 (ノート全体試算)'!$C$1:$C$170,
'在庫使用計画 (ノート全体試算)'!AT$1:AT$170,
"")</f>
        <v>50</v>
      </c>
      <c r="AT157" s="805">
        <f>_xlfn.XLOOKUP(
$C157,
'在庫使用計画 (ノート全体試算)'!$C$1:$C$170,
'在庫使用計画 (ノート全体試算)'!AU$1:AU$170,
"")</f>
        <v>66</v>
      </c>
      <c r="AU157" s="804">
        <f>_xlfn.XLOOKUP(
$C157,
'在庫使用計画 (ノート全体試算)'!$C$1:$C$170,
'在庫使用計画 (ノート全体試算)'!AV$1:AV$170,
"")</f>
        <v>70</v>
      </c>
      <c r="AV157" s="224">
        <f>_xlfn.XLOOKUP(
$C157,
'在庫使用計画 (ノート全体試算)'!$C$1:$C$170,
'在庫使用計画 (ノート全体試算)'!AW$1:AW$170,
"")</f>
        <v>57</v>
      </c>
      <c r="AW157" s="224">
        <f>_xlfn.XLOOKUP(
$C157,
'在庫使用計画 (ノート全体試算)'!$C$1:$C$170,
'在庫使用計画 (ノート全体試算)'!AX$1:AX$170,
"")</f>
        <v>73</v>
      </c>
      <c r="AX157" s="224">
        <f>_xlfn.XLOOKUP(
$C157,
'在庫使用計画 (ノート全体試算)'!$C$1:$C$170,
'在庫使用計画 (ノート全体試算)'!AY$1:AY$170,
"")</f>
        <v>64</v>
      </c>
      <c r="AY157" s="224">
        <f>_xlfn.XLOOKUP(
$C157,
'在庫使用計画 (ノート全体試算)'!$C$1:$C$170,
'在庫使用計画 (ノート全体試算)'!AZ$1:AZ$170,
"")</f>
        <v>54</v>
      </c>
      <c r="AZ157" s="224">
        <f>_xlfn.XLOOKUP(
$C157,
'在庫使用計画 (ノート全体試算)'!$C$1:$C$170,
'在庫使用計画 (ノート全体試算)'!BA$1:BA$170,
"")</f>
        <v>53</v>
      </c>
      <c r="BA157" s="224">
        <f>_xlfn.XLOOKUP(
$C157,
'在庫使用計画 (ノート全体試算)'!$C$1:$C$170,
'在庫使用計画 (ノート全体試算)'!BB$1:BB$170,
"")</f>
        <v>64</v>
      </c>
      <c r="BB157" s="224">
        <f>_xlfn.XLOOKUP(
$C157,
'在庫使用計画 (ノート全体試算)'!$C$1:$C$170,
'在庫使用計画 (ノート全体試算)'!BC$1:BC$170,
"")</f>
        <v>55</v>
      </c>
      <c r="BC157" s="224" t="str">
        <f>_xlfn.XLOOKUP(
$C157,
'在庫使用計画 (ノート全体試算)'!$C$1:$C$170,
'在庫使用計画 (ノート全体試算)'!BD$1:BD$170,
"")</f>
        <v/>
      </c>
      <c r="BD157" s="224" t="str">
        <f>_xlfn.XLOOKUP(
$C157,
'在庫使用計画 (ノート全体試算)'!$C$1:$C$170,
'在庫使用計画 (ノート全体試算)'!BE$1:BE$170,
"")</f>
        <v/>
      </c>
      <c r="BE157" s="224" t="str">
        <f>_xlfn.XLOOKUP(
$C157,
'在庫使用計画 (ノート全体試算)'!$C$1:$C$170,
'在庫使用計画 (ノート全体試算)'!BF$1:BF$170,
"")</f>
        <v/>
      </c>
      <c r="BF157" s="805" t="str">
        <f>_xlfn.XLOOKUP(
$C157,
'在庫使用計画 (ノート全体試算)'!$C$1:$C$170,
'在庫使用計画 (ノート全体試算)'!BG$1:BG$170,
"")</f>
        <v/>
      </c>
    </row>
    <row r="158" spans="1:59" ht="18.75" hidden="1" customHeight="1" outlineLevel="1">
      <c r="A158" s="459"/>
      <c r="B158" s="1277" t="str">
        <v>CLE-V74-U7-155U-L6-TPM-DDR5-TW-BL</v>
      </c>
      <c r="C158" s="462" t="s">
        <v>805</v>
      </c>
      <c r="D158" s="1278" t="s">
        <v>1763</v>
      </c>
      <c r="E158" s="460"/>
      <c r="F158" s="462"/>
      <c r="G158" s="463">
        <v>166</v>
      </c>
      <c r="H158" s="463">
        <f ca="1">_xlfn.LET(_xlpm._今月から4ヶ月計画合計,
  SUM(
    OFFSET($A158,0,
      MATCH(
        EDATE(基準データ!$C$5,3),$A$1:$BE$1,1
      )-4,1,4)),
  IF($C158="","",_xlpm._今月から4ヶ月計画合計
)
)</f>
        <v>0</v>
      </c>
      <c r="I158" s="463">
        <f t="shared" si="19"/>
        <v>0</v>
      </c>
      <c r="J158" s="1116" t="str" cm="1">
        <f t="array" ref="J158">_xlfn.IFS($C158="","",
  $G158="","発売前？",
  $G158=0,"在庫なし",
  TRUE,
  IFERROR(
    _xlfn.LET(
      _xlpm._在庫注残,     $G158,
      _xlpm._しきい値,     _xlpm._在庫注残 * 0.75,
      _xlpm._見出し元,     $K$1:$BT$1,
      _xlpm._計画,         $K158:$BT158,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合計0、在庫+注残166のため不足</v>
      </c>
      <c r="K158" s="463"/>
      <c r="L158" s="463"/>
      <c r="M158" s="463"/>
      <c r="N158" s="463"/>
      <c r="O158" s="463"/>
      <c r="P158" s="463"/>
      <c r="Q158" s="1329"/>
      <c r="R158" s="1371"/>
      <c r="S158" s="451"/>
      <c r="T158" s="451"/>
      <c r="U158" s="451"/>
      <c r="V158" s="464"/>
      <c r="W158" s="451" t="s">
        <v>21</v>
      </c>
      <c r="X158" s="451" t="s">
        <v>21</v>
      </c>
      <c r="Y158" s="451" t="s">
        <v>21</v>
      </c>
      <c r="Z158" s="465" t="s">
        <v>21</v>
      </c>
      <c r="AA158" s="465" t="s">
        <v>21</v>
      </c>
      <c r="AB158" s="451" t="s">
        <v>21</v>
      </c>
      <c r="AC158" s="1372" t="s">
        <v>21</v>
      </c>
      <c r="AD158" s="1340" t="s">
        <v>21</v>
      </c>
      <c r="AE158" s="465" t="s">
        <v>21</v>
      </c>
      <c r="AF158" s="465" t="s">
        <v>21</v>
      </c>
      <c r="AG158" s="451" t="s">
        <v>21</v>
      </c>
      <c r="AH158" s="889" t="s">
        <v>21</v>
      </c>
      <c r="AI158" s="896" t="s">
        <v>21</v>
      </c>
      <c r="AJ158" s="451" t="s">
        <v>21</v>
      </c>
      <c r="AK158" s="451" t="s">
        <v>21</v>
      </c>
      <c r="AL158" s="451" t="s">
        <v>21</v>
      </c>
      <c r="AM158" s="451" t="str">
        <f>_xlfn.LET(_xlpm._全体実績予測,
  INDEX('在庫使用計画 (全体実績+予測）0701'!$A$1:$BD$195,
    MATCH($C158,'在庫使用計画 (全体実績+予測）0701'!$C$1:$C$195,0),
    MATCH(AM$1,'在庫使用計画 (全体実績+予測）0701'!$A$1:$BD$1,0)
),
  IFERROR(
    IF(_xlpm._全体実績予測=0,"",_xlpm._全体実績予測),
  "")
)</f>
        <v/>
      </c>
      <c r="AN158" s="889" t="str">
        <f>_xlfn.LET(_xlpm._全体実績予測,
  INDEX('在庫使用計画 (全体実績+予測）0701'!$A$1:$BD$195,
    MATCH($C158,'在庫使用計画 (全体実績+予測）0701'!$C$1:$C$195,0),
    MATCH(AN$1,'在庫使用計画 (全体実績+予測）0701'!$A$1:$BD$1,0)
),
  IFERROR(
    IF(_xlpm._全体実績予測=0,"",_xlpm._全体実績予測),
  "")
)</f>
        <v/>
      </c>
      <c r="AO158" s="889" t="str">
        <f>_xlfn.LET(_xlpm._全体実績予測,
  INDEX('在庫使用計画 (全体実績+予測）0701'!$A$1:$BD$195,
    MATCH($C158,'在庫使用計画 (全体実績+予測）0701'!$C$1:$C$195,0),
    MATCH(AO$1,'在庫使用計画 (全体実績+予測）0701'!$A$1:$BD$1,0)
),
  IFERROR(
    IF(_xlpm._全体実績予測=0,"",_xlpm._全体実績予測),
  "")
)</f>
        <v/>
      </c>
      <c r="AP158" s="451" t="str">
        <f>_xlfn.LET(_xlpm._全体実績予測,
  INDEX('在庫使用計画 (全体実績+予測）0701'!$A$1:$BD$195,
    MATCH($C158,'在庫使用計画 (全体実績+予測）0701'!$C$1:$C$195,0),
    MATCH(AP$1,'在庫使用計画 (全体実績+予測）0701'!$A$1:$BD$1,0)
),
  IFERROR(
    IF(_xlpm._全体実績予測=0,"",_xlpm._全体実績予測),
  "")
)</f>
        <v/>
      </c>
      <c r="AQ158" s="2121" t="str">
        <f>_xlfn.LET(_xlpm._全体実績予測,
  INDEX('在庫使用計画 (全体実績+予測）0701'!$A$1:$BD$195,
    MATCH($C158,'在庫使用計画 (全体実績+予測）0701'!$C$1:$C$195,0),
    MATCH(AQ$1,'在庫使用計画 (全体実績+予測）0701'!$A$1:$BD$1,0)
),
  IFERROR(
    IF(_xlpm._全体実績予測=0,"",_xlpm._全体実績予測),
  "")
)</f>
        <v/>
      </c>
      <c r="AR158" s="2137" t="str">
        <f>_xlfn.LET(_xlpm._全体実績予測,
  INDEX('在庫使用計画 (全体実績+予測）0701'!$A$1:$BD$195,
    MATCH($C158,'在庫使用計画 (全体実績+予測）0701'!$C$1:$C$195,0),
    MATCH(AR$1,'在庫使用計画 (全体実績+予測）0701'!$A$1:$BD$1,0)
),
  IFERROR(
    IF(_xlpm._全体実績予測=0,"",_xlpm._全体実績予測),
  "")
)</f>
        <v/>
      </c>
      <c r="AS158" s="1292" t="str">
        <f>_xlfn.LET(_xlpm._全体実績予測,
  INDEX('在庫使用計画 (全体実績+予測）0701'!$A$1:$BD$195,
    MATCH($C158,'在庫使用計画 (全体実績+予測）0701'!$C$1:$C$195,0),
    MATCH(AS$1,'在庫使用計画 (全体実績+予測）0701'!$A$1:$BD$1,0)
),
  IFERROR(
    IF(_xlpm._全体実績予測=0,"",_xlpm._全体実績予測),
  "")
)</f>
        <v/>
      </c>
      <c r="AT158" s="897" t="str">
        <f>_xlfn.LET(_xlpm._全体実績予測,
  INDEX('在庫使用計画 (全体実績+予測）0701'!$A$1:$BD$195,
    MATCH($C158,'在庫使用計画 (全体実績+予測）0701'!$C$1:$C$195,0),
    MATCH(AT$1,'在庫使用計画 (全体実績+予測）0701'!$A$1:$BD$1,0)
),
  IFERROR(
    IF(_xlpm._全体実績予測=0,"",_xlpm._全体実績予測),
  "")
)</f>
        <v/>
      </c>
      <c r="AU158" s="896" t="str">
        <f>_xlfn.LET(_xlpm._全体実績予測,
  INDEX('在庫使用計画 (全体実績+予測）0701'!$A$1:$BD$195,
    MATCH($C158,'在庫使用計画 (全体実績+予測）0701'!$C$1:$C$195,0),
    MATCH(AU$1,'在庫使用計画 (全体実績+予測）0701'!$A$1:$BD$1,0)
),
  IFERROR(
    IF(_xlpm._全体実績予測=0,"",_xlpm._全体実績予測),
  "")
)</f>
        <v/>
      </c>
      <c r="AV158" s="451" t="str">
        <f>_xlfn.LET(_xlpm._全体実績予測,
  INDEX('在庫使用計画 (全体実績+予測）0701'!$A$1:$BD$195,
    MATCH($C158,'在庫使用計画 (全体実績+予測）0701'!$C$1:$C$195,0),
    MATCH(AV$1,'在庫使用計画 (全体実績+予測）0701'!$A$1:$BD$1,0)
),
  IFERROR(
    IF(_xlpm._全体実績予測=0,"",_xlpm._全体実績予測),
  "")
)</f>
        <v/>
      </c>
      <c r="AW158" s="451" t="str">
        <f>_xlfn.LET(_xlpm._全体実績予測,
  INDEX('在庫使用計画 (全体実績+予測）0701'!$A$1:$BD$195,
    MATCH($C158,'在庫使用計画 (全体実績+予測）0701'!$C$1:$C$195,0),
    MATCH(AW$1,'在庫使用計画 (全体実績+予測）0701'!$A$1:$BD$1,0)
),
  IFERROR(
    IF(_xlpm._全体実績予測=0,"",_xlpm._全体実績予測),
  "")
)</f>
        <v/>
      </c>
      <c r="AX158" s="451" t="str">
        <f>_xlfn.LET(_xlpm._全体実績予測,
  INDEX('在庫使用計画 (全体実績+予測）0701'!$A$1:$BD$195,
    MATCH($C158,'在庫使用計画 (全体実績+予測）0701'!$C$1:$C$195,0),
    MATCH(AX$1,'在庫使用計画 (全体実績+予測）0701'!$A$1:$BD$1,0)
),
  IFERROR(
    IF(_xlpm._全体実績予測=0,"",_xlpm._全体実績予測),
  "")
)</f>
        <v/>
      </c>
      <c r="AY158" s="451" t="str">
        <f>_xlfn.LET(_xlpm._全体実績予測,
  INDEX('在庫使用計画 (全体実績+予測）0701'!$A$1:$BD$195,
    MATCH($C158,'在庫使用計画 (全体実績+予測）0701'!$C$1:$C$195,0),
    MATCH(AY$1,'在庫使用計画 (全体実績+予測）0701'!$A$1:$BD$1,0)
),
  IFERROR(
    IF(_xlpm._全体実績予測=0,"",_xlpm._全体実績予測),
  "")
)</f>
        <v/>
      </c>
      <c r="AZ158" s="451" t="str">
        <f>_xlfn.LET(_xlpm._全体実績予測,
  INDEX('在庫使用計画 (全体実績+予測）0701'!$A$1:$BD$195,
    MATCH($C158,'在庫使用計画 (全体実績+予測）0701'!$C$1:$C$195,0),
    MATCH(AZ$1,'在庫使用計画 (全体実績+予測）0701'!$A$1:$BD$1,0)
),
  IFERROR(
    IF(_xlpm._全体実績予測=0,"",_xlpm._全体実績予測),
  "")
)</f>
        <v/>
      </c>
      <c r="BA158" s="451" t="str">
        <f>_xlfn.LET(_xlpm._全体実績予測,
  INDEX('在庫使用計画 (全体実績+予測）0701'!$A$1:$BD$195,
    MATCH($C158,'在庫使用計画 (全体実績+予測）0701'!$C$1:$C$195,0),
    MATCH(BA$1,'在庫使用計画 (全体実績+予測）0701'!$A$1:$BD$1,0)
),
  IFERROR(
    IF(_xlpm._全体実績予測=0,"",_xlpm._全体実績予測),
  "")
)</f>
        <v/>
      </c>
      <c r="BB158" s="451" t="str">
        <f>_xlfn.LET(_xlpm._全体実績予測,
  INDEX('在庫使用計画 (全体実績+予測）0701'!$A$1:$BD$195,
    MATCH($C158,'在庫使用計画 (全体実績+予測）0701'!$C$1:$C$195,0),
    MATCH(BB$1,'在庫使用計画 (全体実績+予測）0701'!$A$1:$BD$1,0)
),
  IFERROR(
    IF(_xlpm._全体実績予測=0,"",_xlpm._全体実績予測),
  "")
)</f>
        <v/>
      </c>
      <c r="BC158" s="451" t="str">
        <f>_xlfn.LET(_xlpm._全体実績予測,
  INDEX('在庫使用計画 (全体実績+予測）0701'!$A$1:$BD$195,
    MATCH($C158,'在庫使用計画 (全体実績+予測）0701'!$C$1:$C$195,0),
    MATCH(BC$1,'在庫使用計画 (全体実績+予測）0701'!$A$1:$BD$1,0)
),
  IFERROR(
    IF(_xlpm._全体実績予測=0,"",_xlpm._全体実績予測),
  "")
)</f>
        <v/>
      </c>
      <c r="BD158" s="451" t="str">
        <f>_xlfn.LET(_xlpm._全体実績予測,
  INDEX('在庫使用計画 (全体実績+予測）0701'!$A$1:$BD$195,
    MATCH($C158,'在庫使用計画 (全体実績+予測）0701'!$C$1:$C$195,0),
    MATCH(BD$1,'在庫使用計画 (全体実績+予測）0701'!$A$1:$BD$1,0)
),
  IFERROR(
    IF(_xlpm._全体実績予測=0,"",_xlpm._全体実績予測),
  "")
)</f>
        <v/>
      </c>
      <c r="BE158" s="451" t="str">
        <f>_xlfn.LET(_xlpm._全体実績予測,
  INDEX('在庫使用計画 (全体実績+予測）0701'!$A$1:$BD$195,
    MATCH($C158,'在庫使用計画 (全体実績+予測）0701'!$C$1:$C$195,0),
    MATCH(BE$1,'在庫使用計画 (全体実績+予測）0701'!$A$1:$BD$1,0)
),
  IFERROR(
    IF(_xlpm._全体実績予測=0,"",_xlpm._全体実績予測),
  "")
)</f>
        <v/>
      </c>
      <c r="BF158" s="897" t="str">
        <f>_xlfn.LET(_xlpm._全体実績予測,
  INDEX('在庫使用計画 (全体実績+予測）0701'!$A$1:$BD$195,
    MATCH($C158,'在庫使用計画 (全体実績+予測）0701'!$C$1:$C$195,0),
    MATCH(BF$1,'在庫使用計画 (全体実績+予測）0701'!$A$1:$BD$1,0)
),
  IFERROR(
    IF(_xlpm._全体実績予測=0,"",_xlpm._全体実績予測),
  "")
)</f>
        <v/>
      </c>
    </row>
    <row r="159" spans="1:59" ht="18.75" hidden="1" customHeight="1" outlineLevel="1">
      <c r="A159" s="303" t="s">
        <v>1442</v>
      </c>
      <c r="B159" s="1163" t="str">
        <v>CLE-V74-U7-155U-L6-TPM-DDR5-TW-RG</v>
      </c>
      <c r="C159" s="86" t="s">
        <v>800</v>
      </c>
      <c r="D159" s="1283"/>
      <c r="E159" s="87" t="s">
        <v>1423</v>
      </c>
      <c r="F159" s="87"/>
      <c r="G159" s="74">
        <v>172</v>
      </c>
      <c r="H159" s="74">
        <f ca="1">_xlfn.LET(_xlpm._今月から4ヶ月計画合計,
  SUM(
    OFFSET($A159,0,
      MATCH(
        EDATE(基準データ!$C$5,3),$A$1:$BE$1,1
      )-4,1,4)),
  IF($C159="","",_xlpm._今月から4ヶ月計画合計
)
)</f>
        <v>111</v>
      </c>
      <c r="I159" s="74">
        <f>SUMIFS(マスタ_EOLリスト[在庫],マスタ_EOLリスト[製品型番],'在庫使用計画 (計画　予測)'!$C:$C)</f>
        <v>0</v>
      </c>
      <c r="J159" s="1116" cm="1">
        <f t="array" ref="J159">_xlfn.IFS($C159="","",
  $G159="","発売前？",
  $G159=0,"在庫なし",
  TRUE,
  IFERROR(
    _xlfn.LET(
      _xlpm._在庫注残,     $G159,
      _xlpm._しきい値,     _xlpm._在庫注残 * 0.75,
      _xlpm._見出し元,     $K$1:$BT$1,
      _xlpm._計画,         $K159:$BT159,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46327</v>
      </c>
      <c r="K159" s="74" t="s">
        <v>21</v>
      </c>
      <c r="L159" s="74" t="s">
        <v>21</v>
      </c>
      <c r="M159" s="74" t="s">
        <v>21</v>
      </c>
      <c r="N159" s="74" t="s">
        <v>21</v>
      </c>
      <c r="O159" s="74" t="s">
        <v>21</v>
      </c>
      <c r="P159" s="74" t="s">
        <v>21</v>
      </c>
      <c r="Q159" s="118" t="s">
        <v>21</v>
      </c>
      <c r="R159" s="1378" t="s">
        <v>21</v>
      </c>
      <c r="S159" s="224" t="s">
        <v>21</v>
      </c>
      <c r="T159" s="224" t="s">
        <v>21</v>
      </c>
      <c r="U159" s="224" t="s">
        <v>21</v>
      </c>
      <c r="V159" s="224" t="s">
        <v>21</v>
      </c>
      <c r="W159" s="224" t="s">
        <v>21</v>
      </c>
      <c r="X159" s="343" t="s">
        <v>21</v>
      </c>
      <c r="Y159" s="343" t="s">
        <v>21</v>
      </c>
      <c r="Z159" s="343" t="s">
        <v>21</v>
      </c>
      <c r="AA159" s="343" t="s">
        <v>21</v>
      </c>
      <c r="AB159" s="237" t="s">
        <v>21</v>
      </c>
      <c r="AC159" s="805" t="s">
        <v>21</v>
      </c>
      <c r="AD159" s="1050" t="s">
        <v>21</v>
      </c>
      <c r="AE159" s="237" t="s">
        <v>21</v>
      </c>
      <c r="AF159" s="237" t="s">
        <v>21</v>
      </c>
      <c r="AG159" s="224" t="s">
        <v>21</v>
      </c>
      <c r="AH159" s="237">
        <v>0</v>
      </c>
      <c r="AI159" s="804" t="s">
        <v>21</v>
      </c>
      <c r="AJ159" s="224" t="s">
        <v>21</v>
      </c>
      <c r="AK159" s="224" t="s">
        <v>21</v>
      </c>
      <c r="AL159" s="224" t="s">
        <v>21</v>
      </c>
      <c r="AM159" s="224" t="str">
        <f>_xlfn.XLOOKUP(
$C159,
'在庫使用計画 (ノート全体試算)'!$C$1:$C$170,
'在庫使用計画 (ノート全体試算)'!AN$1:AN$170,
"")</f>
        <v/>
      </c>
      <c r="AN159" s="237" t="str">
        <f>_xlfn.XLOOKUP(
$C159,
'在庫使用計画 (ノート全体試算)'!$C$1:$C$170,
'在庫使用計画 (ノート全体試算)'!AO$1:AO$170,
"")</f>
        <v/>
      </c>
      <c r="AO159" s="237" t="str">
        <f>_xlfn.XLOOKUP(
$C159,
'在庫使用計画 (ノート全体試算)'!$C$1:$C$170,
'在庫使用計画 (ノート全体試算)'!AP$1:AP$170,
"")</f>
        <v/>
      </c>
      <c r="AP159" s="224" t="str">
        <f>_xlfn.XLOOKUP(
$C159,
'在庫使用計画 (ノート全体試算)'!$C$1:$C$170,
'在庫使用計画 (ノート全体試算)'!AQ$1:AQ$170,
"")</f>
        <v/>
      </c>
      <c r="AQ159" s="1050">
        <f>_xlfn.XLOOKUP(
$C159,
'在庫使用計画 (ノート全体試算)'!$C$1:$C$170,
'在庫使用計画 (ノート全体試算)'!AR$1:AR$170,
"")</f>
        <v>59</v>
      </c>
      <c r="AR159" s="2130">
        <f>_xlfn.XLOOKUP(
$C159,
'在庫使用計画 (ノート全体試算)'!$C$1:$C$170,
'在庫使用計画 (ノート全体試算)'!AS$1:AS$170,
"")</f>
        <v>52</v>
      </c>
      <c r="AS159" s="244">
        <f>_xlfn.XLOOKUP(
$C159,
'在庫使用計画 (ノート全体試算)'!$C$1:$C$170,
'在庫使用計画 (ノート全体試算)'!AT$1:AT$170,
"")</f>
        <v>49</v>
      </c>
      <c r="AT159" s="805">
        <f>_xlfn.XLOOKUP(
$C159,
'在庫使用計画 (ノート全体試算)'!$C$1:$C$170,
'在庫使用計画 (ノート全体試算)'!AU$1:AU$170,
"")</f>
        <v>65</v>
      </c>
      <c r="AU159" s="804">
        <f>_xlfn.XLOOKUP(
$C159,
'在庫使用計画 (ノート全体試算)'!$C$1:$C$170,
'在庫使用計画 (ノート全体試算)'!AV$1:AV$170,
"")</f>
        <v>69</v>
      </c>
      <c r="AV159" s="224">
        <f>_xlfn.XLOOKUP(
$C159,
'在庫使用計画 (ノート全体試算)'!$C$1:$C$170,
'在庫使用計画 (ノート全体試算)'!AW$1:AW$170,
"")</f>
        <v>57</v>
      </c>
      <c r="AW159" s="224">
        <f>_xlfn.XLOOKUP(
$C159,
'在庫使用計画 (ノート全体試算)'!$C$1:$C$170,
'在庫使用計画 (ノート全体試算)'!AX$1:AX$170,
"")</f>
        <v>72</v>
      </c>
      <c r="AX159" s="224">
        <f>_xlfn.XLOOKUP(
$C159,
'在庫使用計画 (ノート全体試算)'!$C$1:$C$170,
'在庫使用計画 (ノート全体試算)'!AY$1:AY$170,
"")</f>
        <v>63</v>
      </c>
      <c r="AY159" s="224">
        <f>_xlfn.XLOOKUP(
$C159,
'在庫使用計画 (ノート全体試算)'!$C$1:$C$170,
'在庫使用計画 (ノート全体試算)'!AZ$1:AZ$170,
"")</f>
        <v>53</v>
      </c>
      <c r="AZ159" s="224">
        <f>_xlfn.XLOOKUP(
$C159,
'在庫使用計画 (ノート全体試算)'!$C$1:$C$170,
'在庫使用計画 (ノート全体試算)'!BA$1:BA$170,
"")</f>
        <v>53</v>
      </c>
      <c r="BA159" s="224">
        <f>_xlfn.XLOOKUP(
$C159,
'在庫使用計画 (ノート全体試算)'!$C$1:$C$170,
'在庫使用計画 (ノート全体試算)'!BB$1:BB$170,
"")</f>
        <v>63</v>
      </c>
      <c r="BB159" s="224">
        <f>_xlfn.XLOOKUP(
$C159,
'在庫使用計画 (ノート全体試算)'!$C$1:$C$170,
'在庫使用計画 (ノート全体試算)'!BC$1:BC$170,
"")</f>
        <v>55</v>
      </c>
      <c r="BC159" s="224" t="str">
        <f>_xlfn.XLOOKUP(
$C159,
'在庫使用計画 (ノート全体試算)'!$C$1:$C$170,
'在庫使用計画 (ノート全体試算)'!BD$1:BD$170,
"")</f>
        <v/>
      </c>
      <c r="BD159" s="224" t="str">
        <f>_xlfn.XLOOKUP(
$C159,
'在庫使用計画 (ノート全体試算)'!$C$1:$C$170,
'在庫使用計画 (ノート全体試算)'!BE$1:BE$170,
"")</f>
        <v/>
      </c>
      <c r="BE159" s="224" t="str">
        <f>_xlfn.XLOOKUP(
$C159,
'在庫使用計画 (ノート全体試算)'!$C$1:$C$170,
'在庫使用計画 (ノート全体試算)'!BF$1:BF$170,
"")</f>
        <v/>
      </c>
      <c r="BF159" s="805" t="str">
        <f>_xlfn.XLOOKUP(
$C159,
'在庫使用計画 (ノート全体試算)'!$C$1:$C$170,
'在庫使用計画 (ノート全体試算)'!BG$1:BG$170,
"")</f>
        <v/>
      </c>
    </row>
    <row r="160" spans="1:59" ht="18.75" hidden="1" customHeight="1" outlineLevel="1">
      <c r="A160" s="459"/>
      <c r="B160" s="1277" t="str">
        <v>CLE-V74-U7-155U-L6-TPM-DDR5-TW-RG</v>
      </c>
      <c r="C160" s="462" t="s">
        <v>800</v>
      </c>
      <c r="D160" s="1278" t="s">
        <v>1763</v>
      </c>
      <c r="E160" s="460"/>
      <c r="F160" s="462"/>
      <c r="G160" s="463">
        <v>172</v>
      </c>
      <c r="H160" s="463">
        <f ca="1">_xlfn.LET(_xlpm._今月から4ヶ月計画合計,
  SUM(
    OFFSET($A160,0,
      MATCH(
        EDATE(基準データ!$C$5,3),$A$1:$BE$1,1
      )-4,1,4)),
  IF($C160="","",_xlpm._今月から4ヶ月計画合計
)
)</f>
        <v>0</v>
      </c>
      <c r="I160" s="463">
        <f t="shared" si="19"/>
        <v>0</v>
      </c>
      <c r="J160" s="1116" t="str" cm="1">
        <f t="array" ref="J160">_xlfn.IFS($C160="","",
  $G160="","発売前？",
  $G160=0,"在庫なし",
  TRUE,
  IFERROR(
    _xlfn.LET(
      _xlpm._在庫注残,     $G160,
      _xlpm._しきい値,     _xlpm._在庫注残 * 0.75,
      _xlpm._見出し元,     $K$1:$BT$1,
      _xlpm._計画,         $K160:$BT160,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合計0、在庫+注残172のため不足</v>
      </c>
      <c r="K160" s="463"/>
      <c r="L160" s="463"/>
      <c r="M160" s="463"/>
      <c r="N160" s="463"/>
      <c r="O160" s="463"/>
      <c r="P160" s="463"/>
      <c r="Q160" s="1329"/>
      <c r="R160" s="1371"/>
      <c r="S160" s="451"/>
      <c r="T160" s="451"/>
      <c r="U160" s="451"/>
      <c r="V160" s="464"/>
      <c r="W160" s="451" t="s">
        <v>21</v>
      </c>
      <c r="X160" s="451" t="s">
        <v>21</v>
      </c>
      <c r="Y160" s="451" t="s">
        <v>21</v>
      </c>
      <c r="Z160" s="465" t="s">
        <v>21</v>
      </c>
      <c r="AA160" s="465" t="s">
        <v>21</v>
      </c>
      <c r="AB160" s="451" t="s">
        <v>21</v>
      </c>
      <c r="AC160" s="1372" t="s">
        <v>21</v>
      </c>
      <c r="AD160" s="1340" t="s">
        <v>21</v>
      </c>
      <c r="AE160" s="465" t="s">
        <v>21</v>
      </c>
      <c r="AF160" s="465" t="s">
        <v>21</v>
      </c>
      <c r="AG160" s="451" t="s">
        <v>21</v>
      </c>
      <c r="AH160" s="889" t="s">
        <v>21</v>
      </c>
      <c r="AI160" s="896" t="s">
        <v>21</v>
      </c>
      <c r="AJ160" s="451" t="s">
        <v>21</v>
      </c>
      <c r="AK160" s="451" t="s">
        <v>21</v>
      </c>
      <c r="AL160" s="451" t="s">
        <v>21</v>
      </c>
      <c r="AM160" s="451" t="str">
        <f>_xlfn.LET(_xlpm._全体実績予測,
  INDEX('在庫使用計画 (全体実績+予測）0701'!$A$1:$BD$195,
    MATCH($C160,'在庫使用計画 (全体実績+予測）0701'!$C$1:$C$195,0),
    MATCH(AM$1,'在庫使用計画 (全体実績+予測）0701'!$A$1:$BD$1,0)
),
  IFERROR(
    IF(_xlpm._全体実績予測=0,"",_xlpm._全体実績予測),
  "")
)</f>
        <v/>
      </c>
      <c r="AN160" s="889" t="str">
        <f>_xlfn.LET(_xlpm._全体実績予測,
  INDEX('在庫使用計画 (全体実績+予測）0701'!$A$1:$BD$195,
    MATCH($C160,'在庫使用計画 (全体実績+予測）0701'!$C$1:$C$195,0),
    MATCH(AN$1,'在庫使用計画 (全体実績+予測）0701'!$A$1:$BD$1,0)
),
  IFERROR(
    IF(_xlpm._全体実績予測=0,"",_xlpm._全体実績予測),
  "")
)</f>
        <v/>
      </c>
      <c r="AO160" s="889" t="str">
        <f>_xlfn.LET(_xlpm._全体実績予測,
  INDEX('在庫使用計画 (全体実績+予測）0701'!$A$1:$BD$195,
    MATCH($C160,'在庫使用計画 (全体実績+予測）0701'!$C$1:$C$195,0),
    MATCH(AO$1,'在庫使用計画 (全体実績+予測）0701'!$A$1:$BD$1,0)
),
  IFERROR(
    IF(_xlpm._全体実績予測=0,"",_xlpm._全体実績予測),
  "")
)</f>
        <v/>
      </c>
      <c r="AP160" s="451" t="str">
        <f>_xlfn.LET(_xlpm._全体実績予測,
  INDEX('在庫使用計画 (全体実績+予測）0701'!$A$1:$BD$195,
    MATCH($C160,'在庫使用計画 (全体実績+予測）0701'!$C$1:$C$195,0),
    MATCH(AP$1,'在庫使用計画 (全体実績+予測）0701'!$A$1:$BD$1,0)
),
  IFERROR(
    IF(_xlpm._全体実績予測=0,"",_xlpm._全体実績予測),
  "")
)</f>
        <v/>
      </c>
      <c r="AQ160" s="2121" t="str">
        <f>_xlfn.LET(_xlpm._全体実績予測,
  INDEX('在庫使用計画 (全体実績+予測）0701'!$A$1:$BD$195,
    MATCH($C160,'在庫使用計画 (全体実績+予測）0701'!$C$1:$C$195,0),
    MATCH(AQ$1,'在庫使用計画 (全体実績+予測）0701'!$A$1:$BD$1,0)
),
  IFERROR(
    IF(_xlpm._全体実績予測=0,"",_xlpm._全体実績予測),
  "")
)</f>
        <v/>
      </c>
      <c r="AR160" s="2137" t="str">
        <f>_xlfn.LET(_xlpm._全体実績予測,
  INDEX('在庫使用計画 (全体実績+予測）0701'!$A$1:$BD$195,
    MATCH($C160,'在庫使用計画 (全体実績+予測）0701'!$C$1:$C$195,0),
    MATCH(AR$1,'在庫使用計画 (全体実績+予測）0701'!$A$1:$BD$1,0)
),
  IFERROR(
    IF(_xlpm._全体実績予測=0,"",_xlpm._全体実績予測),
  "")
)</f>
        <v/>
      </c>
      <c r="AS160" s="1292" t="str">
        <f>_xlfn.LET(_xlpm._全体実績予測,
  INDEX('在庫使用計画 (全体実績+予測）0701'!$A$1:$BD$195,
    MATCH($C160,'在庫使用計画 (全体実績+予測）0701'!$C$1:$C$195,0),
    MATCH(AS$1,'在庫使用計画 (全体実績+予測）0701'!$A$1:$BD$1,0)
),
  IFERROR(
    IF(_xlpm._全体実績予測=0,"",_xlpm._全体実績予測),
  "")
)</f>
        <v/>
      </c>
      <c r="AT160" s="897" t="str">
        <f>_xlfn.LET(_xlpm._全体実績予測,
  INDEX('在庫使用計画 (全体実績+予測）0701'!$A$1:$BD$195,
    MATCH($C160,'在庫使用計画 (全体実績+予測）0701'!$C$1:$C$195,0),
    MATCH(AT$1,'在庫使用計画 (全体実績+予測）0701'!$A$1:$BD$1,0)
),
  IFERROR(
    IF(_xlpm._全体実績予測=0,"",_xlpm._全体実績予測),
  "")
)</f>
        <v/>
      </c>
      <c r="AU160" s="896" t="str">
        <f>_xlfn.LET(_xlpm._全体実績予測,
  INDEX('在庫使用計画 (全体実績+予測）0701'!$A$1:$BD$195,
    MATCH($C160,'在庫使用計画 (全体実績+予測）0701'!$C$1:$C$195,0),
    MATCH(AU$1,'在庫使用計画 (全体実績+予測）0701'!$A$1:$BD$1,0)
),
  IFERROR(
    IF(_xlpm._全体実績予測=0,"",_xlpm._全体実績予測),
  "")
)</f>
        <v/>
      </c>
      <c r="AV160" s="451" t="str">
        <f>_xlfn.LET(_xlpm._全体実績予測,
  INDEX('在庫使用計画 (全体実績+予測）0701'!$A$1:$BD$195,
    MATCH($C160,'在庫使用計画 (全体実績+予測）0701'!$C$1:$C$195,0),
    MATCH(AV$1,'在庫使用計画 (全体実績+予測）0701'!$A$1:$BD$1,0)
),
  IFERROR(
    IF(_xlpm._全体実績予測=0,"",_xlpm._全体実績予測),
  "")
)</f>
        <v/>
      </c>
      <c r="AW160" s="451" t="str">
        <f>_xlfn.LET(_xlpm._全体実績予測,
  INDEX('在庫使用計画 (全体実績+予測）0701'!$A$1:$BD$195,
    MATCH($C160,'在庫使用計画 (全体実績+予測）0701'!$C$1:$C$195,0),
    MATCH(AW$1,'在庫使用計画 (全体実績+予測）0701'!$A$1:$BD$1,0)
),
  IFERROR(
    IF(_xlpm._全体実績予測=0,"",_xlpm._全体実績予測),
  "")
)</f>
        <v/>
      </c>
      <c r="AX160" s="451" t="str">
        <f>_xlfn.LET(_xlpm._全体実績予測,
  INDEX('在庫使用計画 (全体実績+予測）0701'!$A$1:$BD$195,
    MATCH($C160,'在庫使用計画 (全体実績+予測）0701'!$C$1:$C$195,0),
    MATCH(AX$1,'在庫使用計画 (全体実績+予測）0701'!$A$1:$BD$1,0)
),
  IFERROR(
    IF(_xlpm._全体実績予測=0,"",_xlpm._全体実績予測),
  "")
)</f>
        <v/>
      </c>
      <c r="AY160" s="451" t="str">
        <f>_xlfn.LET(_xlpm._全体実績予測,
  INDEX('在庫使用計画 (全体実績+予測）0701'!$A$1:$BD$195,
    MATCH($C160,'在庫使用計画 (全体実績+予測）0701'!$C$1:$C$195,0),
    MATCH(AY$1,'在庫使用計画 (全体実績+予測）0701'!$A$1:$BD$1,0)
),
  IFERROR(
    IF(_xlpm._全体実績予測=0,"",_xlpm._全体実績予測),
  "")
)</f>
        <v/>
      </c>
      <c r="AZ160" s="451" t="str">
        <f>_xlfn.LET(_xlpm._全体実績予測,
  INDEX('在庫使用計画 (全体実績+予測）0701'!$A$1:$BD$195,
    MATCH($C160,'在庫使用計画 (全体実績+予測）0701'!$C$1:$C$195,0),
    MATCH(AZ$1,'在庫使用計画 (全体実績+予測）0701'!$A$1:$BD$1,0)
),
  IFERROR(
    IF(_xlpm._全体実績予測=0,"",_xlpm._全体実績予測),
  "")
)</f>
        <v/>
      </c>
      <c r="BA160" s="451" t="str">
        <f>_xlfn.LET(_xlpm._全体実績予測,
  INDEX('在庫使用計画 (全体実績+予測）0701'!$A$1:$BD$195,
    MATCH($C160,'在庫使用計画 (全体実績+予測）0701'!$C$1:$C$195,0),
    MATCH(BA$1,'在庫使用計画 (全体実績+予測）0701'!$A$1:$BD$1,0)
),
  IFERROR(
    IF(_xlpm._全体実績予測=0,"",_xlpm._全体実績予測),
  "")
)</f>
        <v/>
      </c>
      <c r="BB160" s="451" t="str">
        <f>_xlfn.LET(_xlpm._全体実績予測,
  INDEX('在庫使用計画 (全体実績+予測）0701'!$A$1:$BD$195,
    MATCH($C160,'在庫使用計画 (全体実績+予測）0701'!$C$1:$C$195,0),
    MATCH(BB$1,'在庫使用計画 (全体実績+予測）0701'!$A$1:$BD$1,0)
),
  IFERROR(
    IF(_xlpm._全体実績予測=0,"",_xlpm._全体実績予測),
  "")
)</f>
        <v/>
      </c>
      <c r="BC160" s="451" t="str">
        <f>_xlfn.LET(_xlpm._全体実績予測,
  INDEX('在庫使用計画 (全体実績+予測）0701'!$A$1:$BD$195,
    MATCH($C160,'在庫使用計画 (全体実績+予測）0701'!$C$1:$C$195,0),
    MATCH(BC$1,'在庫使用計画 (全体実績+予測）0701'!$A$1:$BD$1,0)
),
  IFERROR(
    IF(_xlpm._全体実績予測=0,"",_xlpm._全体実績予測),
  "")
)</f>
        <v/>
      </c>
      <c r="BD160" s="451" t="str">
        <f>_xlfn.LET(_xlpm._全体実績予測,
  INDEX('在庫使用計画 (全体実績+予測）0701'!$A$1:$BD$195,
    MATCH($C160,'在庫使用計画 (全体実績+予測）0701'!$C$1:$C$195,0),
    MATCH(BD$1,'在庫使用計画 (全体実績+予測）0701'!$A$1:$BD$1,0)
),
  IFERROR(
    IF(_xlpm._全体実績予測=0,"",_xlpm._全体実績予測),
  "")
)</f>
        <v/>
      </c>
      <c r="BE160" s="451" t="str">
        <f>_xlfn.LET(_xlpm._全体実績予測,
  INDEX('在庫使用計画 (全体実績+予測）0701'!$A$1:$BD$195,
    MATCH($C160,'在庫使用計画 (全体実績+予測）0701'!$C$1:$C$195,0),
    MATCH(BE$1,'在庫使用計画 (全体実績+予測）0701'!$A$1:$BD$1,0)
),
  IFERROR(
    IF(_xlpm._全体実績予測=0,"",_xlpm._全体実績予測),
  "")
)</f>
        <v/>
      </c>
      <c r="BF160" s="897" t="str">
        <f>_xlfn.LET(_xlpm._全体実績予測,
  INDEX('在庫使用計画 (全体実績+予測）0701'!$A$1:$BD$195,
    MATCH($C160,'在庫使用計画 (全体実績+予測）0701'!$C$1:$C$195,0),
    MATCH(BF$1,'在庫使用計画 (全体実績+予測）0701'!$A$1:$BD$1,0)
),
  IFERROR(
    IF(_xlpm._全体実績予測=0,"",_xlpm._全体実績予測),
  "")
)</f>
        <v/>
      </c>
    </row>
    <row r="161" spans="1:58" ht="18.75" hidden="1" customHeight="1" outlineLevel="1">
      <c r="A161" s="303" t="s">
        <v>1442</v>
      </c>
      <c r="B161" s="1163" t="str">
        <v>CLE-V74-U5-125U-L6-TPM-DDR5-TW-BK</v>
      </c>
      <c r="C161" s="86" t="s">
        <v>822</v>
      </c>
      <c r="D161" s="1283"/>
      <c r="E161" s="87" t="s">
        <v>1423</v>
      </c>
      <c r="F161" s="87"/>
      <c r="G161" s="74">
        <v>463</v>
      </c>
      <c r="H161" s="74">
        <f ca="1">_xlfn.LET(_xlpm._今月から4ヶ月計画合計,
  SUM(
    OFFSET($A161,0,
      MATCH(
        EDATE(基準データ!$C$5,3),$A$1:$BE$1,1
      )-4,1,4)),
  IF($C161="","",_xlpm._今月から4ヶ月計画合計
)
)</f>
        <v>880</v>
      </c>
      <c r="I161" s="74">
        <f>SUMIFS(マスタ_EOLリスト[在庫],マスタ_EOLリスト[製品型番],'在庫使用計画 (計画　予測)'!$C:$C)</f>
        <v>0</v>
      </c>
      <c r="J161" s="1116" cm="1">
        <f t="array" ref="J161">_xlfn.IFS($C161="","",
  $G161="","発売前？",
  $G161=0,"在庫なし",
  TRUE,
  IFERROR(
    _xlfn.LET(
      _xlpm._在庫注残,     $G161,
      _xlpm._しきい値,     _xlpm._在庫注残 * 0.75,
      _xlpm._見出し元,     $K$1:$BT$1,
      _xlpm._計画,         $K161:$BT161,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46296</v>
      </c>
      <c r="K161" s="74" t="s">
        <v>21</v>
      </c>
      <c r="L161" s="74" t="s">
        <v>21</v>
      </c>
      <c r="M161" s="74" t="s">
        <v>21</v>
      </c>
      <c r="N161" s="74" t="s">
        <v>21</v>
      </c>
      <c r="O161" s="74" t="s">
        <v>21</v>
      </c>
      <c r="P161" s="74" t="s">
        <v>21</v>
      </c>
      <c r="Q161" s="118" t="s">
        <v>21</v>
      </c>
      <c r="R161" s="1378" t="s">
        <v>21</v>
      </c>
      <c r="S161" s="224" t="s">
        <v>21</v>
      </c>
      <c r="T161" s="224" t="s">
        <v>21</v>
      </c>
      <c r="U161" s="224" t="s">
        <v>21</v>
      </c>
      <c r="V161" s="224" t="s">
        <v>21</v>
      </c>
      <c r="W161" s="224" t="s">
        <v>21</v>
      </c>
      <c r="X161" s="343" t="s">
        <v>21</v>
      </c>
      <c r="Y161" s="343" t="s">
        <v>21</v>
      </c>
      <c r="Z161" s="343" t="s">
        <v>21</v>
      </c>
      <c r="AA161" s="343" t="s">
        <v>21</v>
      </c>
      <c r="AB161" s="237" t="s">
        <v>21</v>
      </c>
      <c r="AC161" s="805" t="s">
        <v>21</v>
      </c>
      <c r="AD161" s="1050" t="s">
        <v>21</v>
      </c>
      <c r="AE161" s="237" t="s">
        <v>21</v>
      </c>
      <c r="AF161" s="237" t="s">
        <v>21</v>
      </c>
      <c r="AG161" s="224" t="s">
        <v>21</v>
      </c>
      <c r="AH161" s="237">
        <v>0</v>
      </c>
      <c r="AI161" s="804" t="s">
        <v>21</v>
      </c>
      <c r="AJ161" s="224" t="s">
        <v>21</v>
      </c>
      <c r="AK161" s="224" t="s">
        <v>21</v>
      </c>
      <c r="AL161" s="224" t="s">
        <v>21</v>
      </c>
      <c r="AM161" s="224" t="str">
        <f>_xlfn.XLOOKUP(
$C161,
'在庫使用計画 (ノート全体試算)'!$C$1:$C$170,
'在庫使用計画 (ノート全体試算)'!AN$1:AN$170,
"")</f>
        <v/>
      </c>
      <c r="AN161" s="237" t="str">
        <f>_xlfn.XLOOKUP(
$C161,
'在庫使用計画 (ノート全体試算)'!$C$1:$C$170,
'在庫使用計画 (ノート全体試算)'!AO$1:AO$170,
"")</f>
        <v/>
      </c>
      <c r="AO161" s="237" t="str">
        <f>_xlfn.XLOOKUP(
$C161,
'在庫使用計画 (ノート全体試算)'!$C$1:$C$170,
'在庫使用計画 (ノート全体試算)'!AP$1:AP$170,
"")</f>
        <v/>
      </c>
      <c r="AP161" s="224">
        <f>_xlfn.XLOOKUP(
$C161,
'在庫使用計画 (ノート全体試算)'!$C$1:$C$170,
'在庫使用計画 (ノート全体試算)'!AQ$1:AQ$170,
"")</f>
        <v>3</v>
      </c>
      <c r="AQ161" s="1050">
        <f>_xlfn.XLOOKUP(
$C161,
'在庫使用計画 (ノート全体試算)'!$C$1:$C$170,
'在庫使用計画 (ノート全体試算)'!AR$1:AR$170,
"")</f>
        <v>180</v>
      </c>
      <c r="AR161" s="2130">
        <f>_xlfn.XLOOKUP(
$C161,
'在庫使用計画 (ノート全体試算)'!$C$1:$C$170,
'在庫使用計画 (ノート全体試算)'!AS$1:AS$170,
"")</f>
        <v>697</v>
      </c>
      <c r="AS161" s="244">
        <f>_xlfn.XLOOKUP(
$C161,
'在庫使用計画 (ノート全体試算)'!$C$1:$C$170,
'在庫使用計画 (ノート全体試算)'!AT$1:AT$170,
"")</f>
        <v>1080</v>
      </c>
      <c r="AT161" s="805">
        <f>_xlfn.XLOOKUP(
$C161,
'在庫使用計画 (ノート全体試算)'!$C$1:$C$170,
'在庫使用計画 (ノート全体試算)'!AU$1:AU$170,
"")</f>
        <v>627</v>
      </c>
      <c r="AU161" s="804">
        <f>_xlfn.XLOOKUP(
$C161,
'在庫使用計画 (ノート全体試算)'!$C$1:$C$170,
'在庫使用計画 (ノート全体試算)'!AV$1:AV$170,
"")</f>
        <v>705</v>
      </c>
      <c r="AV161" s="224">
        <f>_xlfn.XLOOKUP(
$C161,
'在庫使用計画 (ノート全体試算)'!$C$1:$C$170,
'在庫使用計画 (ノート全体試算)'!AW$1:AW$170,
"")</f>
        <v>1137</v>
      </c>
      <c r="AW161" s="224">
        <f>_xlfn.XLOOKUP(
$C161,
'在庫使用計画 (ノート全体試算)'!$C$1:$C$170,
'在庫使用計画 (ノート全体試算)'!AX$1:AX$170,
"")</f>
        <v>671</v>
      </c>
      <c r="AX161" s="224">
        <f>_xlfn.XLOOKUP(
$C161,
'在庫使用計画 (ノート全体試算)'!$C$1:$C$170,
'在庫使用計画 (ノート全体試算)'!AY$1:AY$170,
"")</f>
        <v>581</v>
      </c>
      <c r="AY161" s="224">
        <f>_xlfn.XLOOKUP(
$C161,
'在庫使用計画 (ノート全体試算)'!$C$1:$C$170,
'在庫使用計画 (ノート全体試算)'!AZ$1:AZ$170,
"")</f>
        <v>1069</v>
      </c>
      <c r="AZ161" s="224">
        <f>_xlfn.XLOOKUP(
$C161,
'在庫使用計画 (ノート全体試算)'!$C$1:$C$170,
'在庫使用計画 (ノート全体試算)'!BA$1:BA$170,
"")</f>
        <v>568</v>
      </c>
      <c r="BA161" s="224">
        <f>_xlfn.XLOOKUP(
$C161,
'在庫使用計画 (ノート全体試算)'!$C$1:$C$170,
'在庫使用計画 (ノート全体試算)'!BB$1:BB$170,
"")</f>
        <v>491</v>
      </c>
      <c r="BB161" s="224">
        <f>_xlfn.XLOOKUP(
$C161,
'在庫使用計画 (ノート全体試算)'!$C$1:$C$170,
'在庫使用計画 (ノート全体試算)'!BC$1:BC$170,
"")</f>
        <v>473</v>
      </c>
      <c r="BC161" s="224" t="str">
        <f>_xlfn.XLOOKUP(
$C161,
'在庫使用計画 (ノート全体試算)'!$C$1:$C$170,
'在庫使用計画 (ノート全体試算)'!BD$1:BD$170,
"")</f>
        <v/>
      </c>
      <c r="BD161" s="224" t="str">
        <f>_xlfn.XLOOKUP(
$C161,
'在庫使用計画 (ノート全体試算)'!$C$1:$C$170,
'在庫使用計画 (ノート全体試算)'!BE$1:BE$170,
"")</f>
        <v/>
      </c>
      <c r="BE161" s="224" t="str">
        <f>_xlfn.XLOOKUP(
$C161,
'在庫使用計画 (ノート全体試算)'!$C$1:$C$170,
'在庫使用計画 (ノート全体試算)'!BF$1:BF$170,
"")</f>
        <v/>
      </c>
      <c r="BF161" s="805" t="str">
        <f>_xlfn.XLOOKUP(
$C161,
'在庫使用計画 (ノート全体試算)'!$C$1:$C$170,
'在庫使用計画 (ノート全体試算)'!BG$1:BG$170,
"")</f>
        <v/>
      </c>
    </row>
    <row r="162" spans="1:58" ht="18.75" hidden="1" customHeight="1" outlineLevel="1">
      <c r="A162" s="459"/>
      <c r="B162" s="1277" t="str">
        <v>CLE-V74-U5-125U-L6-TPM-DDR5-TW-BK</v>
      </c>
      <c r="C162" s="462" t="s">
        <v>822</v>
      </c>
      <c r="D162" s="1278" t="s">
        <v>1763</v>
      </c>
      <c r="E162" s="460"/>
      <c r="F162" s="462"/>
      <c r="G162" s="463">
        <v>463</v>
      </c>
      <c r="H162" s="463">
        <f ca="1">_xlfn.LET(_xlpm._今月から4ヶ月計画合計,
  SUM(
    OFFSET($A162,0,
      MATCH(
        EDATE(基準データ!$C$5,3),$A$1:$BE$1,1
      )-4,1,4)),
  IF($C162="","",_xlpm._今月から4ヶ月計画合計
)
)</f>
        <v>0</v>
      </c>
      <c r="I162" s="463">
        <f t="shared" si="19"/>
        <v>0</v>
      </c>
      <c r="J162" s="1116" t="str" cm="1">
        <f t="array" ref="J162">_xlfn.IFS($C162="","",
  $G162="","発売前？",
  $G162=0,"在庫なし",
  TRUE,
  IFERROR(
    _xlfn.LET(
      _xlpm._在庫注残,     $G162,
      _xlpm._しきい値,     _xlpm._在庫注残 * 0.75,
      _xlpm._見出し元,     $K$1:$BT$1,
      _xlpm._計画,         $K162:$BT162,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合計0、在庫+注残463のため不足</v>
      </c>
      <c r="K162" s="463"/>
      <c r="L162" s="463"/>
      <c r="M162" s="463"/>
      <c r="N162" s="463"/>
      <c r="O162" s="463"/>
      <c r="P162" s="463"/>
      <c r="Q162" s="1329"/>
      <c r="R162" s="1371"/>
      <c r="S162" s="451"/>
      <c r="T162" s="451"/>
      <c r="U162" s="451"/>
      <c r="V162" s="464"/>
      <c r="W162" s="451" t="s">
        <v>21</v>
      </c>
      <c r="X162" s="451" t="s">
        <v>21</v>
      </c>
      <c r="Y162" s="451" t="s">
        <v>21</v>
      </c>
      <c r="Z162" s="465" t="s">
        <v>21</v>
      </c>
      <c r="AA162" s="465" t="s">
        <v>21</v>
      </c>
      <c r="AB162" s="451" t="s">
        <v>21</v>
      </c>
      <c r="AC162" s="1372" t="s">
        <v>21</v>
      </c>
      <c r="AD162" s="1340" t="s">
        <v>21</v>
      </c>
      <c r="AE162" s="465" t="s">
        <v>21</v>
      </c>
      <c r="AF162" s="465" t="s">
        <v>21</v>
      </c>
      <c r="AG162" s="451" t="s">
        <v>21</v>
      </c>
      <c r="AH162" s="889" t="s">
        <v>21</v>
      </c>
      <c r="AI162" s="896" t="s">
        <v>21</v>
      </c>
      <c r="AJ162" s="451" t="s">
        <v>21</v>
      </c>
      <c r="AK162" s="451" t="s">
        <v>21</v>
      </c>
      <c r="AL162" s="451" t="s">
        <v>21</v>
      </c>
      <c r="AM162" s="451" t="str">
        <f>_xlfn.LET(_xlpm._全体実績予測,
  INDEX('在庫使用計画 (全体実績+予測）0701'!$A$1:$BD$195,
    MATCH($C162,'在庫使用計画 (全体実績+予測）0701'!$C$1:$C$195,0),
    MATCH(AM$1,'在庫使用計画 (全体実績+予測）0701'!$A$1:$BD$1,0)
),
  IFERROR(
    IF(_xlpm._全体実績予測=0,"",_xlpm._全体実績予測),
  "")
)</f>
        <v/>
      </c>
      <c r="AN162" s="889" t="str">
        <f>_xlfn.LET(_xlpm._全体実績予測,
  INDEX('在庫使用計画 (全体実績+予測）0701'!$A$1:$BD$195,
    MATCH($C162,'在庫使用計画 (全体実績+予測）0701'!$C$1:$C$195,0),
    MATCH(AN$1,'在庫使用計画 (全体実績+予測）0701'!$A$1:$BD$1,0)
),
  IFERROR(
    IF(_xlpm._全体実績予測=0,"",_xlpm._全体実績予測),
  "")
)</f>
        <v/>
      </c>
      <c r="AO162" s="889" t="str">
        <f>_xlfn.LET(_xlpm._全体実績予測,
  INDEX('在庫使用計画 (全体実績+予測）0701'!$A$1:$BD$195,
    MATCH($C162,'在庫使用計画 (全体実績+予測）0701'!$C$1:$C$195,0),
    MATCH(AO$1,'在庫使用計画 (全体実績+予測）0701'!$A$1:$BD$1,0)
),
  IFERROR(
    IF(_xlpm._全体実績予測=0,"",_xlpm._全体実績予測),
  "")
)</f>
        <v/>
      </c>
      <c r="AP162" s="451" t="str">
        <f>_xlfn.LET(_xlpm._全体実績予測,
  INDEX('在庫使用計画 (全体実績+予測）0701'!$A$1:$BD$195,
    MATCH($C162,'在庫使用計画 (全体実績+予測）0701'!$C$1:$C$195,0),
    MATCH(AP$1,'在庫使用計画 (全体実績+予測）0701'!$A$1:$BD$1,0)
),
  IFERROR(
    IF(_xlpm._全体実績予測=0,"",_xlpm._全体実績予測),
  "")
)</f>
        <v/>
      </c>
      <c r="AQ162" s="2121" t="str">
        <f>_xlfn.LET(_xlpm._全体実績予測,
  INDEX('在庫使用計画 (全体実績+予測）0701'!$A$1:$BD$195,
    MATCH($C162,'在庫使用計画 (全体実績+予測）0701'!$C$1:$C$195,0),
    MATCH(AQ$1,'在庫使用計画 (全体実績+予測）0701'!$A$1:$BD$1,0)
),
  IFERROR(
    IF(_xlpm._全体実績予測=0,"",_xlpm._全体実績予測),
  "")
)</f>
        <v/>
      </c>
      <c r="AR162" s="2137" t="str">
        <f>_xlfn.LET(_xlpm._全体実績予測,
  INDEX('在庫使用計画 (全体実績+予測）0701'!$A$1:$BD$195,
    MATCH($C162,'在庫使用計画 (全体実績+予測）0701'!$C$1:$C$195,0),
    MATCH(AR$1,'在庫使用計画 (全体実績+予測）0701'!$A$1:$BD$1,0)
),
  IFERROR(
    IF(_xlpm._全体実績予測=0,"",_xlpm._全体実績予測),
  "")
)</f>
        <v/>
      </c>
      <c r="AS162" s="1292" t="str">
        <f>_xlfn.LET(_xlpm._全体実績予測,
  INDEX('在庫使用計画 (全体実績+予測）0701'!$A$1:$BD$195,
    MATCH($C162,'在庫使用計画 (全体実績+予測）0701'!$C$1:$C$195,0),
    MATCH(AS$1,'在庫使用計画 (全体実績+予測）0701'!$A$1:$BD$1,0)
),
  IFERROR(
    IF(_xlpm._全体実績予測=0,"",_xlpm._全体実績予測),
  "")
)</f>
        <v/>
      </c>
      <c r="AT162" s="897" t="str">
        <f>_xlfn.LET(_xlpm._全体実績予測,
  INDEX('在庫使用計画 (全体実績+予測）0701'!$A$1:$BD$195,
    MATCH($C162,'在庫使用計画 (全体実績+予測）0701'!$C$1:$C$195,0),
    MATCH(AT$1,'在庫使用計画 (全体実績+予測）0701'!$A$1:$BD$1,0)
),
  IFERROR(
    IF(_xlpm._全体実績予測=0,"",_xlpm._全体実績予測),
  "")
)</f>
        <v/>
      </c>
      <c r="AU162" s="896" t="str">
        <f>_xlfn.LET(_xlpm._全体実績予測,
  INDEX('在庫使用計画 (全体実績+予測）0701'!$A$1:$BD$195,
    MATCH($C162,'在庫使用計画 (全体実績+予測）0701'!$C$1:$C$195,0),
    MATCH(AU$1,'在庫使用計画 (全体実績+予測）0701'!$A$1:$BD$1,0)
),
  IFERROR(
    IF(_xlpm._全体実績予測=0,"",_xlpm._全体実績予測),
  "")
)</f>
        <v/>
      </c>
      <c r="AV162" s="451" t="str">
        <f>_xlfn.LET(_xlpm._全体実績予測,
  INDEX('在庫使用計画 (全体実績+予測）0701'!$A$1:$BD$195,
    MATCH($C162,'在庫使用計画 (全体実績+予測）0701'!$C$1:$C$195,0),
    MATCH(AV$1,'在庫使用計画 (全体実績+予測）0701'!$A$1:$BD$1,0)
),
  IFERROR(
    IF(_xlpm._全体実績予測=0,"",_xlpm._全体実績予測),
  "")
)</f>
        <v/>
      </c>
      <c r="AW162" s="451" t="str">
        <f>_xlfn.LET(_xlpm._全体実績予測,
  INDEX('在庫使用計画 (全体実績+予測）0701'!$A$1:$BD$195,
    MATCH($C162,'在庫使用計画 (全体実績+予測）0701'!$C$1:$C$195,0),
    MATCH(AW$1,'在庫使用計画 (全体実績+予測）0701'!$A$1:$BD$1,0)
),
  IFERROR(
    IF(_xlpm._全体実績予測=0,"",_xlpm._全体実績予測),
  "")
)</f>
        <v/>
      </c>
      <c r="AX162" s="451" t="str">
        <f>_xlfn.LET(_xlpm._全体実績予測,
  INDEX('在庫使用計画 (全体実績+予測）0701'!$A$1:$BD$195,
    MATCH($C162,'在庫使用計画 (全体実績+予測）0701'!$C$1:$C$195,0),
    MATCH(AX$1,'在庫使用計画 (全体実績+予測）0701'!$A$1:$BD$1,0)
),
  IFERROR(
    IF(_xlpm._全体実績予測=0,"",_xlpm._全体実績予測),
  "")
)</f>
        <v/>
      </c>
      <c r="AY162" s="451" t="str">
        <f>_xlfn.LET(_xlpm._全体実績予測,
  INDEX('在庫使用計画 (全体実績+予測）0701'!$A$1:$BD$195,
    MATCH($C162,'在庫使用計画 (全体実績+予測）0701'!$C$1:$C$195,0),
    MATCH(AY$1,'在庫使用計画 (全体実績+予測）0701'!$A$1:$BD$1,0)
),
  IFERROR(
    IF(_xlpm._全体実績予測=0,"",_xlpm._全体実績予測),
  "")
)</f>
        <v/>
      </c>
      <c r="AZ162" s="451" t="str">
        <f>_xlfn.LET(_xlpm._全体実績予測,
  INDEX('在庫使用計画 (全体実績+予測）0701'!$A$1:$BD$195,
    MATCH($C162,'在庫使用計画 (全体実績+予測）0701'!$C$1:$C$195,0),
    MATCH(AZ$1,'在庫使用計画 (全体実績+予測）0701'!$A$1:$BD$1,0)
),
  IFERROR(
    IF(_xlpm._全体実績予測=0,"",_xlpm._全体実績予測),
  "")
)</f>
        <v/>
      </c>
      <c r="BA162" s="451" t="str">
        <f>_xlfn.LET(_xlpm._全体実績予測,
  INDEX('在庫使用計画 (全体実績+予測）0701'!$A$1:$BD$195,
    MATCH($C162,'在庫使用計画 (全体実績+予測）0701'!$C$1:$C$195,0),
    MATCH(BA$1,'在庫使用計画 (全体実績+予測）0701'!$A$1:$BD$1,0)
),
  IFERROR(
    IF(_xlpm._全体実績予測=0,"",_xlpm._全体実績予測),
  "")
)</f>
        <v/>
      </c>
      <c r="BB162" s="451" t="str">
        <f>_xlfn.LET(_xlpm._全体実績予測,
  INDEX('在庫使用計画 (全体実績+予測）0701'!$A$1:$BD$195,
    MATCH($C162,'在庫使用計画 (全体実績+予測）0701'!$C$1:$C$195,0),
    MATCH(BB$1,'在庫使用計画 (全体実績+予測）0701'!$A$1:$BD$1,0)
),
  IFERROR(
    IF(_xlpm._全体実績予測=0,"",_xlpm._全体実績予測),
  "")
)</f>
        <v/>
      </c>
      <c r="BC162" s="451" t="str">
        <f>_xlfn.LET(_xlpm._全体実績予測,
  INDEX('在庫使用計画 (全体実績+予測）0701'!$A$1:$BD$195,
    MATCH($C162,'在庫使用計画 (全体実績+予測）0701'!$C$1:$C$195,0),
    MATCH(BC$1,'在庫使用計画 (全体実績+予測）0701'!$A$1:$BD$1,0)
),
  IFERROR(
    IF(_xlpm._全体実績予測=0,"",_xlpm._全体実績予測),
  "")
)</f>
        <v/>
      </c>
      <c r="BD162" s="451" t="str">
        <f>_xlfn.LET(_xlpm._全体実績予測,
  INDEX('在庫使用計画 (全体実績+予測）0701'!$A$1:$BD$195,
    MATCH($C162,'在庫使用計画 (全体実績+予測）0701'!$C$1:$C$195,0),
    MATCH(BD$1,'在庫使用計画 (全体実績+予測）0701'!$A$1:$BD$1,0)
),
  IFERROR(
    IF(_xlpm._全体実績予測=0,"",_xlpm._全体実績予測),
  "")
)</f>
        <v/>
      </c>
      <c r="BE162" s="451" t="str">
        <f>_xlfn.LET(_xlpm._全体実績予測,
  INDEX('在庫使用計画 (全体実績+予測）0701'!$A$1:$BD$195,
    MATCH($C162,'在庫使用計画 (全体実績+予測）0701'!$C$1:$C$195,0),
    MATCH(BE$1,'在庫使用計画 (全体実績+予測）0701'!$A$1:$BD$1,0)
),
  IFERROR(
    IF(_xlpm._全体実績予測=0,"",_xlpm._全体実績予測),
  "")
)</f>
        <v/>
      </c>
      <c r="BF162" s="897" t="str">
        <f>_xlfn.LET(_xlpm._全体実績予測,
  INDEX('在庫使用計画 (全体実績+予測）0701'!$A$1:$BD$195,
    MATCH($C162,'在庫使用計画 (全体実績+予測）0701'!$C$1:$C$195,0),
    MATCH(BF$1,'在庫使用計画 (全体実績+予測）0701'!$A$1:$BD$1,0)
),
  IFERROR(
    IF(_xlpm._全体実績予測=0,"",_xlpm._全体実績予測),
  "")
)</f>
        <v/>
      </c>
    </row>
    <row r="163" spans="1:58" ht="18.75" hidden="1" customHeight="1" outlineLevel="1">
      <c r="A163" s="303" t="s">
        <v>1442</v>
      </c>
      <c r="B163" s="1163" t="str">
        <v>CLE-V74-U5-125U-L6-TPM-DDR5-TW-BL</v>
      </c>
      <c r="C163" s="86" t="s">
        <v>818</v>
      </c>
      <c r="D163" s="1283"/>
      <c r="E163" s="87" t="s">
        <v>1423</v>
      </c>
      <c r="F163" s="87"/>
      <c r="G163" s="74">
        <v>222</v>
      </c>
      <c r="H163" s="74">
        <f ca="1">_xlfn.LET(_xlpm._今月から4ヶ月計画合計,
  SUM(
    OFFSET($A163,0,
      MATCH(
        EDATE(基準データ!$C$5,3),$A$1:$BE$1,1
      )-4,1,4)),
  IF($C163="","",_xlpm._今月から4ヶ月計画合計
)
)</f>
        <v>156</v>
      </c>
      <c r="I163" s="74">
        <f>SUMIFS(マスタ_EOLリスト[在庫],マスタ_EOLリスト[製品型番],'在庫使用計画 (計画　予測)'!$C:$C)</f>
        <v>0</v>
      </c>
      <c r="J163" s="1116" cm="1">
        <f t="array" ref="J163">_xlfn.IFS($C163="","",
  $G163="","発売前？",
  $G163=0,"在庫なし",
  TRUE,
  IFERROR(
    _xlfn.LET(
      _xlpm._在庫注残,     $G163,
      _xlpm._しきい値,     _xlpm._在庫注残 * 0.75,
      _xlpm._見出し元,     $K$1:$BT$1,
      _xlpm._計画,         $K163:$BT163,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46327</v>
      </c>
      <c r="K163" s="74" t="s">
        <v>21</v>
      </c>
      <c r="L163" s="74" t="s">
        <v>21</v>
      </c>
      <c r="M163" s="74" t="s">
        <v>21</v>
      </c>
      <c r="N163" s="74" t="s">
        <v>21</v>
      </c>
      <c r="O163" s="74" t="s">
        <v>21</v>
      </c>
      <c r="P163" s="74" t="s">
        <v>21</v>
      </c>
      <c r="Q163" s="118" t="s">
        <v>21</v>
      </c>
      <c r="R163" s="1378" t="s">
        <v>21</v>
      </c>
      <c r="S163" s="224" t="s">
        <v>21</v>
      </c>
      <c r="T163" s="224" t="s">
        <v>21</v>
      </c>
      <c r="U163" s="224" t="s">
        <v>21</v>
      </c>
      <c r="V163" s="224" t="s">
        <v>21</v>
      </c>
      <c r="W163" s="224" t="s">
        <v>21</v>
      </c>
      <c r="X163" s="343" t="s">
        <v>21</v>
      </c>
      <c r="Y163" s="343" t="s">
        <v>21</v>
      </c>
      <c r="Z163" s="343" t="s">
        <v>21</v>
      </c>
      <c r="AA163" s="343" t="s">
        <v>21</v>
      </c>
      <c r="AB163" s="237" t="s">
        <v>21</v>
      </c>
      <c r="AC163" s="805" t="s">
        <v>21</v>
      </c>
      <c r="AD163" s="1050" t="s">
        <v>21</v>
      </c>
      <c r="AE163" s="237" t="s">
        <v>21</v>
      </c>
      <c r="AF163" s="237" t="s">
        <v>21</v>
      </c>
      <c r="AG163" s="224" t="s">
        <v>21</v>
      </c>
      <c r="AH163" s="237">
        <v>0</v>
      </c>
      <c r="AI163" s="804" t="s">
        <v>21</v>
      </c>
      <c r="AJ163" s="224" t="s">
        <v>21</v>
      </c>
      <c r="AK163" s="224" t="s">
        <v>21</v>
      </c>
      <c r="AL163" s="224" t="s">
        <v>21</v>
      </c>
      <c r="AM163" s="224" t="str">
        <f>_xlfn.XLOOKUP(
$C163,
'在庫使用計画 (ノート全体試算)'!$C$1:$C$170,
'在庫使用計画 (ノート全体試算)'!AN$1:AN$170,
"")</f>
        <v/>
      </c>
      <c r="AN163" s="237" t="str">
        <f>_xlfn.XLOOKUP(
$C163,
'在庫使用計画 (ノート全体試算)'!$C$1:$C$170,
'在庫使用計画 (ノート全体試算)'!AO$1:AO$170,
"")</f>
        <v/>
      </c>
      <c r="AO163" s="237" t="str">
        <f>_xlfn.XLOOKUP(
$C163,
'在庫使用計画 (ノート全体試算)'!$C$1:$C$170,
'在庫使用計画 (ノート全体試算)'!AP$1:AP$170,
"")</f>
        <v/>
      </c>
      <c r="AP163" s="224" t="str">
        <f>_xlfn.XLOOKUP(
$C163,
'在庫使用計画 (ノート全体試算)'!$C$1:$C$170,
'在庫使用計画 (ノート全体試算)'!AQ$1:AQ$170,
"")</f>
        <v/>
      </c>
      <c r="AQ163" s="1050">
        <f>_xlfn.XLOOKUP(
$C163,
'在庫使用計画 (ノート全体試算)'!$C$1:$C$170,
'在庫使用計画 (ノート全体試算)'!AR$1:AR$170,
"")</f>
        <v>74</v>
      </c>
      <c r="AR163" s="2130">
        <f>_xlfn.XLOOKUP(
$C163,
'在庫使用計画 (ノート全体試算)'!$C$1:$C$170,
'在庫使用計画 (ノート全体試算)'!AS$1:AS$170,
"")</f>
        <v>82</v>
      </c>
      <c r="AS163" s="244">
        <f>_xlfn.XLOOKUP(
$C163,
'在庫使用計画 (ノート全体試算)'!$C$1:$C$170,
'在庫使用計画 (ノート全体試算)'!AT$1:AT$170,
"")</f>
        <v>77</v>
      </c>
      <c r="AT163" s="805">
        <f>_xlfn.XLOOKUP(
$C163,
'在庫使用計画 (ノート全体試算)'!$C$1:$C$170,
'在庫使用計画 (ノート全体試算)'!AU$1:AU$170,
"")</f>
        <v>102</v>
      </c>
      <c r="AU163" s="804">
        <f>_xlfn.XLOOKUP(
$C163,
'在庫使用計画 (ノート全体試算)'!$C$1:$C$170,
'在庫使用計画 (ノート全体試算)'!AV$1:AV$170,
"")</f>
        <v>108</v>
      </c>
      <c r="AV163" s="224">
        <f>_xlfn.XLOOKUP(
$C163,
'在庫使用計画 (ノート全体試算)'!$C$1:$C$170,
'在庫使用計画 (ノート全体試算)'!AW$1:AW$170,
"")</f>
        <v>89</v>
      </c>
      <c r="AW163" s="224">
        <f>_xlfn.XLOOKUP(
$C163,
'在庫使用計画 (ノート全体試算)'!$C$1:$C$170,
'在庫使用計画 (ノート全体試算)'!AX$1:AX$170,
"")</f>
        <v>112</v>
      </c>
      <c r="AX163" s="224">
        <f>_xlfn.XLOOKUP(
$C163,
'在庫使用計画 (ノート全体試算)'!$C$1:$C$170,
'在庫使用計画 (ノート全体試算)'!AY$1:AY$170,
"")</f>
        <v>99</v>
      </c>
      <c r="AY163" s="224">
        <f>_xlfn.XLOOKUP(
$C163,
'在庫使用計画 (ノート全体試算)'!$C$1:$C$170,
'在庫使用計画 (ノート全体試算)'!AZ$1:AZ$170,
"")</f>
        <v>83</v>
      </c>
      <c r="AZ163" s="224">
        <f>_xlfn.XLOOKUP(
$C163,
'在庫使用計画 (ノート全体試算)'!$C$1:$C$170,
'在庫使用計画 (ノート全体試算)'!BA$1:BA$170,
"")</f>
        <v>83</v>
      </c>
      <c r="BA163" s="224">
        <f>_xlfn.XLOOKUP(
$C163,
'在庫使用計画 (ノート全体試算)'!$C$1:$C$170,
'在庫使用計画 (ノート全体試算)'!BB$1:BB$170,
"")</f>
        <v>98</v>
      </c>
      <c r="BB163" s="224">
        <f>_xlfn.XLOOKUP(
$C163,
'在庫使用計画 (ノート全体試算)'!$C$1:$C$170,
'在庫使用計画 (ノート全体試算)'!BC$1:BC$170,
"")</f>
        <v>86</v>
      </c>
      <c r="BC163" s="224" t="str">
        <f>_xlfn.XLOOKUP(
$C163,
'在庫使用計画 (ノート全体試算)'!$C$1:$C$170,
'在庫使用計画 (ノート全体試算)'!BD$1:BD$170,
"")</f>
        <v/>
      </c>
      <c r="BD163" s="224" t="str">
        <f>_xlfn.XLOOKUP(
$C163,
'在庫使用計画 (ノート全体試算)'!$C$1:$C$170,
'在庫使用計画 (ノート全体試算)'!BE$1:BE$170,
"")</f>
        <v/>
      </c>
      <c r="BE163" s="224" t="str">
        <f>_xlfn.XLOOKUP(
$C163,
'在庫使用計画 (ノート全体試算)'!$C$1:$C$170,
'在庫使用計画 (ノート全体試算)'!BF$1:BF$170,
"")</f>
        <v/>
      </c>
      <c r="BF163" s="805" t="str">
        <f>_xlfn.XLOOKUP(
$C163,
'在庫使用計画 (ノート全体試算)'!$C$1:$C$170,
'在庫使用計画 (ノート全体試算)'!BG$1:BG$170,
"")</f>
        <v/>
      </c>
    </row>
    <row r="164" spans="1:58" ht="18.75" hidden="1" customHeight="1" outlineLevel="1">
      <c r="A164" s="459"/>
      <c r="B164" s="1277" t="str">
        <v>CLE-V74-U5-125U-L6-TPM-DDR5-TW-BL</v>
      </c>
      <c r="C164" s="462" t="s">
        <v>818</v>
      </c>
      <c r="D164" s="1278" t="s">
        <v>1763</v>
      </c>
      <c r="E164" s="460"/>
      <c r="F164" s="462"/>
      <c r="G164" s="463">
        <v>222</v>
      </c>
      <c r="H164" s="463">
        <f ca="1">_xlfn.LET(_xlpm._今月から4ヶ月計画合計,
  SUM(
    OFFSET($A164,0,
      MATCH(
        EDATE(基準データ!$C$5,3),$A$1:$BE$1,1
      )-4,1,4)),
  IF($C164="","",_xlpm._今月から4ヶ月計画合計
)
)</f>
        <v>0</v>
      </c>
      <c r="I164" s="463">
        <f t="shared" si="19"/>
        <v>0</v>
      </c>
      <c r="J164" s="1116" t="str" cm="1">
        <f t="array" ref="J164">_xlfn.IFS($C164="","",
  $G164="","発売前？",
  $G164=0,"在庫なし",
  TRUE,
  IFERROR(
    _xlfn.LET(
      _xlpm._在庫注残,     $G164,
      _xlpm._しきい値,     _xlpm._在庫注残 * 0.75,
      _xlpm._見出し元,     $K$1:$BT$1,
      _xlpm._計画,         $K164:$BT164,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合計0、在庫+注残222のため不足</v>
      </c>
      <c r="K164" s="463"/>
      <c r="L164" s="463"/>
      <c r="M164" s="463"/>
      <c r="N164" s="463"/>
      <c r="O164" s="463"/>
      <c r="P164" s="463"/>
      <c r="Q164" s="1329"/>
      <c r="R164" s="1371"/>
      <c r="S164" s="451"/>
      <c r="T164" s="451"/>
      <c r="U164" s="451"/>
      <c r="V164" s="464"/>
      <c r="W164" s="451" t="s">
        <v>21</v>
      </c>
      <c r="X164" s="451" t="s">
        <v>21</v>
      </c>
      <c r="Y164" s="451" t="s">
        <v>21</v>
      </c>
      <c r="Z164" s="465" t="s">
        <v>21</v>
      </c>
      <c r="AA164" s="465" t="s">
        <v>21</v>
      </c>
      <c r="AB164" s="451" t="s">
        <v>21</v>
      </c>
      <c r="AC164" s="1372" t="s">
        <v>21</v>
      </c>
      <c r="AD164" s="1340" t="s">
        <v>21</v>
      </c>
      <c r="AE164" s="465" t="s">
        <v>21</v>
      </c>
      <c r="AF164" s="465" t="s">
        <v>21</v>
      </c>
      <c r="AG164" s="451" t="s">
        <v>21</v>
      </c>
      <c r="AH164" s="889" t="s">
        <v>21</v>
      </c>
      <c r="AI164" s="896" t="s">
        <v>21</v>
      </c>
      <c r="AJ164" s="451" t="s">
        <v>21</v>
      </c>
      <c r="AK164" s="451" t="s">
        <v>21</v>
      </c>
      <c r="AL164" s="451" t="s">
        <v>21</v>
      </c>
      <c r="AM164" s="451" t="str">
        <f>_xlfn.LET(_xlpm._全体実績予測,
  INDEX('在庫使用計画 (全体実績+予測）0701'!$A$1:$BD$195,
    MATCH($C164,'在庫使用計画 (全体実績+予測）0701'!$C$1:$C$195,0),
    MATCH(AM$1,'在庫使用計画 (全体実績+予測）0701'!$A$1:$BD$1,0)
),
  IFERROR(
    IF(_xlpm._全体実績予測=0,"",_xlpm._全体実績予測),
  "")
)</f>
        <v/>
      </c>
      <c r="AN164" s="889" t="str">
        <f>_xlfn.LET(_xlpm._全体実績予測,
  INDEX('在庫使用計画 (全体実績+予測）0701'!$A$1:$BD$195,
    MATCH($C164,'在庫使用計画 (全体実績+予測）0701'!$C$1:$C$195,0),
    MATCH(AN$1,'在庫使用計画 (全体実績+予測）0701'!$A$1:$BD$1,0)
),
  IFERROR(
    IF(_xlpm._全体実績予測=0,"",_xlpm._全体実績予測),
  "")
)</f>
        <v/>
      </c>
      <c r="AO164" s="889" t="str">
        <f>_xlfn.LET(_xlpm._全体実績予測,
  INDEX('在庫使用計画 (全体実績+予測）0701'!$A$1:$BD$195,
    MATCH($C164,'在庫使用計画 (全体実績+予測）0701'!$C$1:$C$195,0),
    MATCH(AO$1,'在庫使用計画 (全体実績+予測）0701'!$A$1:$BD$1,0)
),
  IFERROR(
    IF(_xlpm._全体実績予測=0,"",_xlpm._全体実績予測),
  "")
)</f>
        <v/>
      </c>
      <c r="AP164" s="451" t="str">
        <f>_xlfn.LET(_xlpm._全体実績予測,
  INDEX('在庫使用計画 (全体実績+予測）0701'!$A$1:$BD$195,
    MATCH($C164,'在庫使用計画 (全体実績+予測）0701'!$C$1:$C$195,0),
    MATCH(AP$1,'在庫使用計画 (全体実績+予測）0701'!$A$1:$BD$1,0)
),
  IFERROR(
    IF(_xlpm._全体実績予測=0,"",_xlpm._全体実績予測),
  "")
)</f>
        <v/>
      </c>
      <c r="AQ164" s="2121" t="str">
        <f>_xlfn.LET(_xlpm._全体実績予測,
  INDEX('在庫使用計画 (全体実績+予測）0701'!$A$1:$BD$195,
    MATCH($C164,'在庫使用計画 (全体実績+予測）0701'!$C$1:$C$195,0),
    MATCH(AQ$1,'在庫使用計画 (全体実績+予測）0701'!$A$1:$BD$1,0)
),
  IFERROR(
    IF(_xlpm._全体実績予測=0,"",_xlpm._全体実績予測),
  "")
)</f>
        <v/>
      </c>
      <c r="AR164" s="2137" t="str">
        <f>_xlfn.LET(_xlpm._全体実績予測,
  INDEX('在庫使用計画 (全体実績+予測）0701'!$A$1:$BD$195,
    MATCH($C164,'在庫使用計画 (全体実績+予測）0701'!$C$1:$C$195,0),
    MATCH(AR$1,'在庫使用計画 (全体実績+予測）0701'!$A$1:$BD$1,0)
),
  IFERROR(
    IF(_xlpm._全体実績予測=0,"",_xlpm._全体実績予測),
  "")
)</f>
        <v/>
      </c>
      <c r="AS164" s="1292" t="str">
        <f>_xlfn.LET(_xlpm._全体実績予測,
  INDEX('在庫使用計画 (全体実績+予測）0701'!$A$1:$BD$195,
    MATCH($C164,'在庫使用計画 (全体実績+予測）0701'!$C$1:$C$195,0),
    MATCH(AS$1,'在庫使用計画 (全体実績+予測）0701'!$A$1:$BD$1,0)
),
  IFERROR(
    IF(_xlpm._全体実績予測=0,"",_xlpm._全体実績予測),
  "")
)</f>
        <v/>
      </c>
      <c r="AT164" s="897" t="str">
        <f>_xlfn.LET(_xlpm._全体実績予測,
  INDEX('在庫使用計画 (全体実績+予測）0701'!$A$1:$BD$195,
    MATCH($C164,'在庫使用計画 (全体実績+予測）0701'!$C$1:$C$195,0),
    MATCH(AT$1,'在庫使用計画 (全体実績+予測）0701'!$A$1:$BD$1,0)
),
  IFERROR(
    IF(_xlpm._全体実績予測=0,"",_xlpm._全体実績予測),
  "")
)</f>
        <v/>
      </c>
      <c r="AU164" s="896" t="str">
        <f>_xlfn.LET(_xlpm._全体実績予測,
  INDEX('在庫使用計画 (全体実績+予測）0701'!$A$1:$BD$195,
    MATCH($C164,'在庫使用計画 (全体実績+予測）0701'!$C$1:$C$195,0),
    MATCH(AU$1,'在庫使用計画 (全体実績+予測）0701'!$A$1:$BD$1,0)
),
  IFERROR(
    IF(_xlpm._全体実績予測=0,"",_xlpm._全体実績予測),
  "")
)</f>
        <v/>
      </c>
      <c r="AV164" s="451" t="str">
        <f>_xlfn.LET(_xlpm._全体実績予測,
  INDEX('在庫使用計画 (全体実績+予測）0701'!$A$1:$BD$195,
    MATCH($C164,'在庫使用計画 (全体実績+予測）0701'!$C$1:$C$195,0),
    MATCH(AV$1,'在庫使用計画 (全体実績+予測）0701'!$A$1:$BD$1,0)
),
  IFERROR(
    IF(_xlpm._全体実績予測=0,"",_xlpm._全体実績予測),
  "")
)</f>
        <v/>
      </c>
      <c r="AW164" s="451" t="str">
        <f>_xlfn.LET(_xlpm._全体実績予測,
  INDEX('在庫使用計画 (全体実績+予測）0701'!$A$1:$BD$195,
    MATCH($C164,'在庫使用計画 (全体実績+予測）0701'!$C$1:$C$195,0),
    MATCH(AW$1,'在庫使用計画 (全体実績+予測）0701'!$A$1:$BD$1,0)
),
  IFERROR(
    IF(_xlpm._全体実績予測=0,"",_xlpm._全体実績予測),
  "")
)</f>
        <v/>
      </c>
      <c r="AX164" s="451" t="str">
        <f>_xlfn.LET(_xlpm._全体実績予測,
  INDEX('在庫使用計画 (全体実績+予測）0701'!$A$1:$BD$195,
    MATCH($C164,'在庫使用計画 (全体実績+予測）0701'!$C$1:$C$195,0),
    MATCH(AX$1,'在庫使用計画 (全体実績+予測）0701'!$A$1:$BD$1,0)
),
  IFERROR(
    IF(_xlpm._全体実績予測=0,"",_xlpm._全体実績予測),
  "")
)</f>
        <v/>
      </c>
      <c r="AY164" s="451" t="str">
        <f>_xlfn.LET(_xlpm._全体実績予測,
  INDEX('在庫使用計画 (全体実績+予測）0701'!$A$1:$BD$195,
    MATCH($C164,'在庫使用計画 (全体実績+予測）0701'!$C$1:$C$195,0),
    MATCH(AY$1,'在庫使用計画 (全体実績+予測）0701'!$A$1:$BD$1,0)
),
  IFERROR(
    IF(_xlpm._全体実績予測=0,"",_xlpm._全体実績予測),
  "")
)</f>
        <v/>
      </c>
      <c r="AZ164" s="451" t="str">
        <f>_xlfn.LET(_xlpm._全体実績予測,
  INDEX('在庫使用計画 (全体実績+予測）0701'!$A$1:$BD$195,
    MATCH($C164,'在庫使用計画 (全体実績+予測）0701'!$C$1:$C$195,0),
    MATCH(AZ$1,'在庫使用計画 (全体実績+予測）0701'!$A$1:$BD$1,0)
),
  IFERROR(
    IF(_xlpm._全体実績予測=0,"",_xlpm._全体実績予測),
  "")
)</f>
        <v/>
      </c>
      <c r="BA164" s="451" t="str">
        <f>_xlfn.LET(_xlpm._全体実績予測,
  INDEX('在庫使用計画 (全体実績+予測）0701'!$A$1:$BD$195,
    MATCH($C164,'在庫使用計画 (全体実績+予測）0701'!$C$1:$C$195,0),
    MATCH(BA$1,'在庫使用計画 (全体実績+予測）0701'!$A$1:$BD$1,0)
),
  IFERROR(
    IF(_xlpm._全体実績予測=0,"",_xlpm._全体実績予測),
  "")
)</f>
        <v/>
      </c>
      <c r="BB164" s="451" t="str">
        <f>_xlfn.LET(_xlpm._全体実績予測,
  INDEX('在庫使用計画 (全体実績+予測）0701'!$A$1:$BD$195,
    MATCH($C164,'在庫使用計画 (全体実績+予測）0701'!$C$1:$C$195,0),
    MATCH(BB$1,'在庫使用計画 (全体実績+予測）0701'!$A$1:$BD$1,0)
),
  IFERROR(
    IF(_xlpm._全体実績予測=0,"",_xlpm._全体実績予測),
  "")
)</f>
        <v/>
      </c>
      <c r="BC164" s="451" t="str">
        <f>_xlfn.LET(_xlpm._全体実績予測,
  INDEX('在庫使用計画 (全体実績+予測）0701'!$A$1:$BD$195,
    MATCH($C164,'在庫使用計画 (全体実績+予測）0701'!$C$1:$C$195,0),
    MATCH(BC$1,'在庫使用計画 (全体実績+予測）0701'!$A$1:$BD$1,0)
),
  IFERROR(
    IF(_xlpm._全体実績予測=0,"",_xlpm._全体実績予測),
  "")
)</f>
        <v/>
      </c>
      <c r="BD164" s="451" t="str">
        <f>_xlfn.LET(_xlpm._全体実績予測,
  INDEX('在庫使用計画 (全体実績+予測）0701'!$A$1:$BD$195,
    MATCH($C164,'在庫使用計画 (全体実績+予測）0701'!$C$1:$C$195,0),
    MATCH(BD$1,'在庫使用計画 (全体実績+予測）0701'!$A$1:$BD$1,0)
),
  IFERROR(
    IF(_xlpm._全体実績予測=0,"",_xlpm._全体実績予測),
  "")
)</f>
        <v/>
      </c>
      <c r="BE164" s="451" t="str">
        <f>_xlfn.LET(_xlpm._全体実績予測,
  INDEX('在庫使用計画 (全体実績+予測）0701'!$A$1:$BD$195,
    MATCH($C164,'在庫使用計画 (全体実績+予測）0701'!$C$1:$C$195,0),
    MATCH(BE$1,'在庫使用計画 (全体実績+予測）0701'!$A$1:$BD$1,0)
),
  IFERROR(
    IF(_xlpm._全体実績予測=0,"",_xlpm._全体実績予測),
  "")
)</f>
        <v/>
      </c>
      <c r="BF164" s="897" t="str">
        <f>_xlfn.LET(_xlpm._全体実績予測,
  INDEX('在庫使用計画 (全体実績+予測）0701'!$A$1:$BD$195,
    MATCH($C164,'在庫使用計画 (全体実績+予測）0701'!$C$1:$C$195,0),
    MATCH(BF$1,'在庫使用計画 (全体実績+予測）0701'!$A$1:$BD$1,0)
),
  IFERROR(
    IF(_xlpm._全体実績予測=0,"",_xlpm._全体実績予測),
  "")
)</f>
        <v/>
      </c>
    </row>
    <row r="165" spans="1:58" ht="18.75" hidden="1" customHeight="1" outlineLevel="1">
      <c r="A165" s="303" t="s">
        <v>1442</v>
      </c>
      <c r="B165" s="1163" t="str">
        <v>CLE-V74-U5-125U-L6-TPM-DDR5-TW-RG</v>
      </c>
      <c r="C165" s="86" t="s">
        <v>813</v>
      </c>
      <c r="D165" s="1283"/>
      <c r="E165" s="87" t="s">
        <v>1423</v>
      </c>
      <c r="F165" s="87"/>
      <c r="G165" s="74">
        <v>227</v>
      </c>
      <c r="H165" s="74">
        <f ca="1">_xlfn.LET(_xlpm._今月から4ヶ月計画合計,
  SUM(
    OFFSET($A165,0,
      MATCH(
        EDATE(基準データ!$C$5,3),$A$1:$BE$1,1
      )-4,1,4)),
  IF($C165="","",_xlpm._今月から4ヶ月計画合計
)
)</f>
        <v>158</v>
      </c>
      <c r="I165" s="74">
        <f>SUMIFS(マスタ_EOLリスト[在庫],マスタ_EOLリスト[製品型番],'在庫使用計画 (計画　予測)'!$C:$C)</f>
        <v>0</v>
      </c>
      <c r="J165" s="1116" cm="1">
        <f t="array" ref="J165">_xlfn.IFS($C165="","",
  $G165="","発売前？",
  $G165=0,"在庫なし",
  TRUE,
  IFERROR(
    _xlfn.LET(
      _xlpm._在庫注残,     $G165,
      _xlpm._しきい値,     _xlpm._在庫注残 * 0.75,
      _xlpm._見出し元,     $K$1:$BT$1,
      _xlpm._計画,         $K165:$BT165,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46327</v>
      </c>
      <c r="K165" s="74" t="s">
        <v>21</v>
      </c>
      <c r="L165" s="74" t="s">
        <v>21</v>
      </c>
      <c r="M165" s="74" t="s">
        <v>21</v>
      </c>
      <c r="N165" s="74" t="s">
        <v>21</v>
      </c>
      <c r="O165" s="74" t="s">
        <v>21</v>
      </c>
      <c r="P165" s="74" t="s">
        <v>21</v>
      </c>
      <c r="Q165" s="118" t="s">
        <v>21</v>
      </c>
      <c r="R165" s="1378" t="s">
        <v>21</v>
      </c>
      <c r="S165" s="224" t="s">
        <v>21</v>
      </c>
      <c r="T165" s="224" t="s">
        <v>21</v>
      </c>
      <c r="U165" s="224" t="s">
        <v>21</v>
      </c>
      <c r="V165" s="224" t="s">
        <v>21</v>
      </c>
      <c r="W165" s="224" t="s">
        <v>21</v>
      </c>
      <c r="X165" s="343" t="s">
        <v>21</v>
      </c>
      <c r="Y165" s="343" t="s">
        <v>21</v>
      </c>
      <c r="Z165" s="343" t="s">
        <v>21</v>
      </c>
      <c r="AA165" s="343" t="s">
        <v>21</v>
      </c>
      <c r="AB165" s="237" t="s">
        <v>21</v>
      </c>
      <c r="AC165" s="805" t="s">
        <v>21</v>
      </c>
      <c r="AD165" s="1050" t="s">
        <v>21</v>
      </c>
      <c r="AE165" s="237" t="s">
        <v>21</v>
      </c>
      <c r="AF165" s="237" t="s">
        <v>21</v>
      </c>
      <c r="AG165" s="224" t="s">
        <v>21</v>
      </c>
      <c r="AH165" s="237">
        <v>0</v>
      </c>
      <c r="AI165" s="804" t="s">
        <v>21</v>
      </c>
      <c r="AJ165" s="224" t="s">
        <v>21</v>
      </c>
      <c r="AK165" s="224" t="s">
        <v>21</v>
      </c>
      <c r="AL165" s="224" t="s">
        <v>21</v>
      </c>
      <c r="AM165" s="224" t="str">
        <f>_xlfn.XLOOKUP(
$C165,
'在庫使用計画 (ノート全体試算)'!$C$1:$C$170,
'在庫使用計画 (ノート全体試算)'!AN$1:AN$170,
"")</f>
        <v/>
      </c>
      <c r="AN165" s="237" t="str">
        <f>_xlfn.XLOOKUP(
$C165,
'在庫使用計画 (ノート全体試算)'!$C$1:$C$170,
'在庫使用計画 (ノート全体試算)'!AO$1:AO$170,
"")</f>
        <v/>
      </c>
      <c r="AO165" s="237" t="str">
        <f>_xlfn.XLOOKUP(
$C165,
'在庫使用計画 (ノート全体試算)'!$C$1:$C$170,
'在庫使用計画 (ノート全体試算)'!AP$1:AP$170,
"")</f>
        <v/>
      </c>
      <c r="AP165" s="224" t="str">
        <f>_xlfn.XLOOKUP(
$C165,
'在庫使用計画 (ノート全体試算)'!$C$1:$C$170,
'在庫使用計画 (ノート全体試算)'!AQ$1:AQ$170,
"")</f>
        <v/>
      </c>
      <c r="AQ165" s="1050">
        <f>_xlfn.XLOOKUP(
$C165,
'在庫使用計画 (ノート全体試算)'!$C$1:$C$170,
'在庫使用計画 (ノート全体試算)'!AR$1:AR$170,
"")</f>
        <v>75</v>
      </c>
      <c r="AR165" s="2130">
        <f>_xlfn.XLOOKUP(
$C165,
'在庫使用計画 (ノート全体試算)'!$C$1:$C$170,
'在庫使用計画 (ノート全体試算)'!AS$1:AS$170,
"")</f>
        <v>83</v>
      </c>
      <c r="AS165" s="244">
        <f>_xlfn.XLOOKUP(
$C165,
'在庫使用計画 (ノート全体試算)'!$C$1:$C$170,
'在庫使用計画 (ノート全体試算)'!AT$1:AT$170,
"")</f>
        <v>79</v>
      </c>
      <c r="AT165" s="805">
        <f>_xlfn.XLOOKUP(
$C165,
'在庫使用計画 (ノート全体試算)'!$C$1:$C$170,
'在庫使用計画 (ノート全体試算)'!AU$1:AU$170,
"")</f>
        <v>103</v>
      </c>
      <c r="AU165" s="804">
        <f>_xlfn.XLOOKUP(
$C165,
'在庫使用計画 (ノート全体試算)'!$C$1:$C$170,
'在庫使用計画 (ノート全体試算)'!AV$1:AV$170,
"")</f>
        <v>108</v>
      </c>
      <c r="AV165" s="224">
        <f>_xlfn.XLOOKUP(
$C165,
'在庫使用計画 (ノート全体試算)'!$C$1:$C$170,
'在庫使用計画 (ノート全体試算)'!AW$1:AW$170,
"")</f>
        <v>90</v>
      </c>
      <c r="AW165" s="224">
        <f>_xlfn.XLOOKUP(
$C165,
'在庫使用計画 (ノート全体試算)'!$C$1:$C$170,
'在庫使用計画 (ノート全体試算)'!AX$1:AX$170,
"")</f>
        <v>112</v>
      </c>
      <c r="AX165" s="224">
        <f>_xlfn.XLOOKUP(
$C165,
'在庫使用計画 (ノート全体試算)'!$C$1:$C$170,
'在庫使用計画 (ノート全体試算)'!AY$1:AY$170,
"")</f>
        <v>99</v>
      </c>
      <c r="AY165" s="224">
        <f>_xlfn.XLOOKUP(
$C165,
'在庫使用計画 (ノート全体試算)'!$C$1:$C$170,
'在庫使用計画 (ノート全体試算)'!AZ$1:AZ$170,
"")</f>
        <v>85</v>
      </c>
      <c r="AZ165" s="224">
        <f>_xlfn.XLOOKUP(
$C165,
'在庫使用計画 (ノート全体試算)'!$C$1:$C$170,
'在庫使用計画 (ノート全体試算)'!BA$1:BA$170,
"")</f>
        <v>84</v>
      </c>
      <c r="BA165" s="224">
        <f>_xlfn.XLOOKUP(
$C165,
'在庫使用計画 (ノート全体試算)'!$C$1:$C$170,
'在庫使用計画 (ノート全体試算)'!BB$1:BB$170,
"")</f>
        <v>99</v>
      </c>
      <c r="BB165" s="224">
        <f>_xlfn.XLOOKUP(
$C165,
'在庫使用計画 (ノート全体試算)'!$C$1:$C$170,
'在庫使用計画 (ノート全体試算)'!BC$1:BC$170,
"")</f>
        <v>87</v>
      </c>
      <c r="BC165" s="224" t="str">
        <f>_xlfn.XLOOKUP(
$C165,
'在庫使用計画 (ノート全体試算)'!$C$1:$C$170,
'在庫使用計画 (ノート全体試算)'!BD$1:BD$170,
"")</f>
        <v/>
      </c>
      <c r="BD165" s="224" t="str">
        <f>_xlfn.XLOOKUP(
$C165,
'在庫使用計画 (ノート全体試算)'!$C$1:$C$170,
'在庫使用計画 (ノート全体試算)'!BE$1:BE$170,
"")</f>
        <v/>
      </c>
      <c r="BE165" s="224" t="str">
        <f>_xlfn.XLOOKUP(
$C165,
'在庫使用計画 (ノート全体試算)'!$C$1:$C$170,
'在庫使用計画 (ノート全体試算)'!BF$1:BF$170,
"")</f>
        <v/>
      </c>
      <c r="BF165" s="805" t="str">
        <f>_xlfn.XLOOKUP(
$C165,
'在庫使用計画 (ノート全体試算)'!$C$1:$C$170,
'在庫使用計画 (ノート全体試算)'!BG$1:BG$170,
"")</f>
        <v/>
      </c>
    </row>
    <row r="166" spans="1:58" ht="18.75" hidden="1" customHeight="1" outlineLevel="1">
      <c r="A166" s="459"/>
      <c r="B166" s="1277" t="str">
        <v>CLE-V74-U5-125U-L6-TPM-DDR5-TW-RG</v>
      </c>
      <c r="C166" s="462" t="s">
        <v>813</v>
      </c>
      <c r="D166" s="1278" t="s">
        <v>1763</v>
      </c>
      <c r="E166" s="460"/>
      <c r="F166" s="462"/>
      <c r="G166" s="463">
        <v>227</v>
      </c>
      <c r="H166" s="463">
        <f ca="1">_xlfn.LET(_xlpm._今月から4ヶ月計画合計,
  SUM(
    OFFSET($A166,0,
      MATCH(
        EDATE(基準データ!$C$5,3),$A$1:$BE$1,1
      )-4,1,4)),
  IF($C166="","",_xlpm._今月から4ヶ月計画合計
)
)</f>
        <v>0</v>
      </c>
      <c r="I166" s="463">
        <f t="shared" ref="I166:I172" si="20">I165</f>
        <v>0</v>
      </c>
      <c r="J166" s="1116" t="str" cm="1">
        <f t="array" ref="J166">_xlfn.IFS($C166="","",
  $G166="","発売前？",
  $G166=0,"在庫なし",
  TRUE,
  IFERROR(
    _xlfn.LET(
      _xlpm._在庫注残,     $G166,
      _xlpm._しきい値,     _xlpm._在庫注残 * 0.75,
      _xlpm._見出し元,     $K$1:$BT$1,
      _xlpm._計画,         $K166:$BT166,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合計0、在庫+注残227のため不足</v>
      </c>
      <c r="K166" s="463"/>
      <c r="L166" s="463"/>
      <c r="M166" s="463"/>
      <c r="N166" s="463"/>
      <c r="O166" s="463"/>
      <c r="P166" s="463"/>
      <c r="Q166" s="1329"/>
      <c r="R166" s="1371"/>
      <c r="S166" s="451"/>
      <c r="T166" s="451"/>
      <c r="U166" s="451"/>
      <c r="V166" s="464"/>
      <c r="W166" s="451" t="s">
        <v>21</v>
      </c>
      <c r="X166" s="451" t="s">
        <v>21</v>
      </c>
      <c r="Y166" s="451" t="s">
        <v>21</v>
      </c>
      <c r="Z166" s="465" t="s">
        <v>21</v>
      </c>
      <c r="AA166" s="465" t="s">
        <v>21</v>
      </c>
      <c r="AB166" s="451" t="s">
        <v>21</v>
      </c>
      <c r="AC166" s="1372" t="s">
        <v>21</v>
      </c>
      <c r="AD166" s="1340" t="s">
        <v>21</v>
      </c>
      <c r="AE166" s="465" t="s">
        <v>21</v>
      </c>
      <c r="AF166" s="465" t="s">
        <v>21</v>
      </c>
      <c r="AG166" s="451" t="s">
        <v>21</v>
      </c>
      <c r="AH166" s="889" t="s">
        <v>21</v>
      </c>
      <c r="AI166" s="896" t="s">
        <v>21</v>
      </c>
      <c r="AJ166" s="451" t="s">
        <v>21</v>
      </c>
      <c r="AK166" s="451" t="s">
        <v>21</v>
      </c>
      <c r="AL166" s="451" t="s">
        <v>21</v>
      </c>
      <c r="AM166" s="451" t="str">
        <f>_xlfn.LET(_xlpm._全体実績予測,
  INDEX('在庫使用計画 (全体実績+予測）0701'!$A$1:$BD$195,
    MATCH($C166,'在庫使用計画 (全体実績+予測）0701'!$C$1:$C$195,0),
    MATCH(AM$1,'在庫使用計画 (全体実績+予測）0701'!$A$1:$BD$1,0)
),
  IFERROR(
    IF(_xlpm._全体実績予測=0,"",_xlpm._全体実績予測),
  "")
)</f>
        <v/>
      </c>
      <c r="AN166" s="889" t="str">
        <f>_xlfn.LET(_xlpm._全体実績予測,
  INDEX('在庫使用計画 (全体実績+予測）0701'!$A$1:$BD$195,
    MATCH($C166,'在庫使用計画 (全体実績+予測）0701'!$C$1:$C$195,0),
    MATCH(AN$1,'在庫使用計画 (全体実績+予測）0701'!$A$1:$BD$1,0)
),
  IFERROR(
    IF(_xlpm._全体実績予測=0,"",_xlpm._全体実績予測),
  "")
)</f>
        <v/>
      </c>
      <c r="AO166" s="889" t="str">
        <f>_xlfn.LET(_xlpm._全体実績予測,
  INDEX('在庫使用計画 (全体実績+予測）0701'!$A$1:$BD$195,
    MATCH($C166,'在庫使用計画 (全体実績+予測）0701'!$C$1:$C$195,0),
    MATCH(AO$1,'在庫使用計画 (全体実績+予測）0701'!$A$1:$BD$1,0)
),
  IFERROR(
    IF(_xlpm._全体実績予測=0,"",_xlpm._全体実績予測),
  "")
)</f>
        <v/>
      </c>
      <c r="AP166" s="451" t="str">
        <f>_xlfn.LET(_xlpm._全体実績予測,
  INDEX('在庫使用計画 (全体実績+予測）0701'!$A$1:$BD$195,
    MATCH($C166,'在庫使用計画 (全体実績+予測）0701'!$C$1:$C$195,0),
    MATCH(AP$1,'在庫使用計画 (全体実績+予測）0701'!$A$1:$BD$1,0)
),
  IFERROR(
    IF(_xlpm._全体実績予測=0,"",_xlpm._全体実績予測),
  "")
)</f>
        <v/>
      </c>
      <c r="AQ166" s="2121" t="str">
        <f>_xlfn.LET(_xlpm._全体実績予測,
  INDEX('在庫使用計画 (全体実績+予測）0701'!$A$1:$BD$195,
    MATCH($C166,'在庫使用計画 (全体実績+予測）0701'!$C$1:$C$195,0),
    MATCH(AQ$1,'在庫使用計画 (全体実績+予測）0701'!$A$1:$BD$1,0)
),
  IFERROR(
    IF(_xlpm._全体実績予測=0,"",_xlpm._全体実績予測),
  "")
)</f>
        <v/>
      </c>
      <c r="AR166" s="2137" t="str">
        <f>_xlfn.LET(_xlpm._全体実績予測,
  INDEX('在庫使用計画 (全体実績+予測）0701'!$A$1:$BD$195,
    MATCH($C166,'在庫使用計画 (全体実績+予測）0701'!$C$1:$C$195,0),
    MATCH(AR$1,'在庫使用計画 (全体実績+予測）0701'!$A$1:$BD$1,0)
),
  IFERROR(
    IF(_xlpm._全体実績予測=0,"",_xlpm._全体実績予測),
  "")
)</f>
        <v/>
      </c>
      <c r="AS166" s="1292" t="str">
        <f>_xlfn.LET(_xlpm._全体実績予測,
  INDEX('在庫使用計画 (全体実績+予測）0701'!$A$1:$BD$195,
    MATCH($C166,'在庫使用計画 (全体実績+予測）0701'!$C$1:$C$195,0),
    MATCH(AS$1,'在庫使用計画 (全体実績+予測）0701'!$A$1:$BD$1,0)
),
  IFERROR(
    IF(_xlpm._全体実績予測=0,"",_xlpm._全体実績予測),
  "")
)</f>
        <v/>
      </c>
      <c r="AT166" s="897" t="str">
        <f>_xlfn.LET(_xlpm._全体実績予測,
  INDEX('在庫使用計画 (全体実績+予測）0701'!$A$1:$BD$195,
    MATCH($C166,'在庫使用計画 (全体実績+予測）0701'!$C$1:$C$195,0),
    MATCH(AT$1,'在庫使用計画 (全体実績+予測）0701'!$A$1:$BD$1,0)
),
  IFERROR(
    IF(_xlpm._全体実績予測=0,"",_xlpm._全体実績予測),
  "")
)</f>
        <v/>
      </c>
      <c r="AU166" s="896" t="str">
        <f>_xlfn.LET(_xlpm._全体実績予測,
  INDEX('在庫使用計画 (全体実績+予測）0701'!$A$1:$BD$195,
    MATCH($C166,'在庫使用計画 (全体実績+予測）0701'!$C$1:$C$195,0),
    MATCH(AU$1,'在庫使用計画 (全体実績+予測）0701'!$A$1:$BD$1,0)
),
  IFERROR(
    IF(_xlpm._全体実績予測=0,"",_xlpm._全体実績予測),
  "")
)</f>
        <v/>
      </c>
      <c r="AV166" s="451" t="str">
        <f>_xlfn.LET(_xlpm._全体実績予測,
  INDEX('在庫使用計画 (全体実績+予測）0701'!$A$1:$BD$195,
    MATCH($C166,'在庫使用計画 (全体実績+予測）0701'!$C$1:$C$195,0),
    MATCH(AV$1,'在庫使用計画 (全体実績+予測）0701'!$A$1:$BD$1,0)
),
  IFERROR(
    IF(_xlpm._全体実績予測=0,"",_xlpm._全体実績予測),
  "")
)</f>
        <v/>
      </c>
      <c r="AW166" s="451" t="str">
        <f>_xlfn.LET(_xlpm._全体実績予測,
  INDEX('在庫使用計画 (全体実績+予測）0701'!$A$1:$BD$195,
    MATCH($C166,'在庫使用計画 (全体実績+予測）0701'!$C$1:$C$195,0),
    MATCH(AW$1,'在庫使用計画 (全体実績+予測）0701'!$A$1:$BD$1,0)
),
  IFERROR(
    IF(_xlpm._全体実績予測=0,"",_xlpm._全体実績予測),
  "")
)</f>
        <v/>
      </c>
      <c r="AX166" s="451" t="str">
        <f>_xlfn.LET(_xlpm._全体実績予測,
  INDEX('在庫使用計画 (全体実績+予測）0701'!$A$1:$BD$195,
    MATCH($C166,'在庫使用計画 (全体実績+予測）0701'!$C$1:$C$195,0),
    MATCH(AX$1,'在庫使用計画 (全体実績+予測）0701'!$A$1:$BD$1,0)
),
  IFERROR(
    IF(_xlpm._全体実績予測=0,"",_xlpm._全体実績予測),
  "")
)</f>
        <v/>
      </c>
      <c r="AY166" s="451" t="str">
        <f>_xlfn.LET(_xlpm._全体実績予測,
  INDEX('在庫使用計画 (全体実績+予測）0701'!$A$1:$BD$195,
    MATCH($C166,'在庫使用計画 (全体実績+予測）0701'!$C$1:$C$195,0),
    MATCH(AY$1,'在庫使用計画 (全体実績+予測）0701'!$A$1:$BD$1,0)
),
  IFERROR(
    IF(_xlpm._全体実績予測=0,"",_xlpm._全体実績予測),
  "")
)</f>
        <v/>
      </c>
      <c r="AZ166" s="451" t="str">
        <f>_xlfn.LET(_xlpm._全体実績予測,
  INDEX('在庫使用計画 (全体実績+予測）0701'!$A$1:$BD$195,
    MATCH($C166,'在庫使用計画 (全体実績+予測）0701'!$C$1:$C$195,0),
    MATCH(AZ$1,'在庫使用計画 (全体実績+予測）0701'!$A$1:$BD$1,0)
),
  IFERROR(
    IF(_xlpm._全体実績予測=0,"",_xlpm._全体実績予測),
  "")
)</f>
        <v/>
      </c>
      <c r="BA166" s="451" t="str">
        <f>_xlfn.LET(_xlpm._全体実績予測,
  INDEX('在庫使用計画 (全体実績+予測）0701'!$A$1:$BD$195,
    MATCH($C166,'在庫使用計画 (全体実績+予測）0701'!$C$1:$C$195,0),
    MATCH(BA$1,'在庫使用計画 (全体実績+予測）0701'!$A$1:$BD$1,0)
),
  IFERROR(
    IF(_xlpm._全体実績予測=0,"",_xlpm._全体実績予測),
  "")
)</f>
        <v/>
      </c>
      <c r="BB166" s="451" t="str">
        <f>_xlfn.LET(_xlpm._全体実績予測,
  INDEX('在庫使用計画 (全体実績+予測）0701'!$A$1:$BD$195,
    MATCH($C166,'在庫使用計画 (全体実績+予測）0701'!$C$1:$C$195,0),
    MATCH(BB$1,'在庫使用計画 (全体実績+予測）0701'!$A$1:$BD$1,0)
),
  IFERROR(
    IF(_xlpm._全体実績予測=0,"",_xlpm._全体実績予測),
  "")
)</f>
        <v/>
      </c>
      <c r="BC166" s="451" t="str">
        <f>_xlfn.LET(_xlpm._全体実績予測,
  INDEX('在庫使用計画 (全体実績+予測）0701'!$A$1:$BD$195,
    MATCH($C166,'在庫使用計画 (全体実績+予測）0701'!$C$1:$C$195,0),
    MATCH(BC$1,'在庫使用計画 (全体実績+予測）0701'!$A$1:$BD$1,0)
),
  IFERROR(
    IF(_xlpm._全体実績予測=0,"",_xlpm._全体実績予測),
  "")
)</f>
        <v/>
      </c>
      <c r="BD166" s="451" t="str">
        <f>_xlfn.LET(_xlpm._全体実績予測,
  INDEX('在庫使用計画 (全体実績+予測）0701'!$A$1:$BD$195,
    MATCH($C166,'在庫使用計画 (全体実績+予測）0701'!$C$1:$C$195,0),
    MATCH(BD$1,'在庫使用計画 (全体実績+予測）0701'!$A$1:$BD$1,0)
),
  IFERROR(
    IF(_xlpm._全体実績予測=0,"",_xlpm._全体実績予測),
  "")
)</f>
        <v/>
      </c>
      <c r="BE166" s="451" t="str">
        <f>_xlfn.LET(_xlpm._全体実績予測,
  INDEX('在庫使用計画 (全体実績+予測）0701'!$A$1:$BD$195,
    MATCH($C166,'在庫使用計画 (全体実績+予測）0701'!$C$1:$C$195,0),
    MATCH(BE$1,'在庫使用計画 (全体実績+予測）0701'!$A$1:$BD$1,0)
),
  IFERROR(
    IF(_xlpm._全体実績予測=0,"",_xlpm._全体実績予測),
  "")
)</f>
        <v/>
      </c>
      <c r="BF166" s="897" t="str">
        <f>_xlfn.LET(_xlpm._全体実績予測,
  INDEX('在庫使用計画 (全体実績+予測）0701'!$A$1:$BD$195,
    MATCH($C166,'在庫使用計画 (全体実績+予測）0701'!$C$1:$C$195,0),
    MATCH(BF$1,'在庫使用計画 (全体実績+予測）0701'!$A$1:$BD$1,0)
),
  IFERROR(
    IF(_xlpm._全体実績予測=0,"",_xlpm._全体実績予測),
  "")
)</f>
        <v/>
      </c>
    </row>
    <row r="167" spans="1:58" ht="18.75" hidden="1" customHeight="1" outlineLevel="1">
      <c r="A167" s="303" t="s">
        <v>1442</v>
      </c>
      <c r="B167" s="1163" t="str">
        <v>?</v>
      </c>
      <c r="C167" s="86" t="s">
        <v>1802</v>
      </c>
      <c r="D167" s="1283"/>
      <c r="E167" s="87" t="s">
        <v>1423</v>
      </c>
      <c r="F167" s="87"/>
      <c r="G167" s="74" t="str">
        <v/>
      </c>
      <c r="H167" s="74">
        <f ca="1">_xlfn.LET(_xlpm._今月から4ヶ月計画合計,
  SUM(
    OFFSET($A167,0,
      MATCH(
        EDATE(基準データ!$C$5,3),$A$1:$BE$1,1
      )-4,1,4)),
  IF($C167="","",_xlpm._今月から4ヶ月計画合計
)
)</f>
        <v>0</v>
      </c>
      <c r="I167" s="74">
        <f>SUMIFS(マスタ_EOLリスト[在庫],マスタ_EOLリスト[製品型番],'在庫使用計画 (計画　予測)'!$C:$C)</f>
        <v>0</v>
      </c>
      <c r="J167" s="1116" t="str" cm="1">
        <f t="array" ref="J167">_xlfn.IFS($C167="","",
  $G167="","発売前？",
  $G167=0,"在庫なし",
  TRUE,
  IFERROR(
    _xlfn.LET(
      _xlpm._在庫注残,     $G167,
      _xlpm._しきい値,     _xlpm._在庫注残 * 0.75,
      _xlpm._見出し元,     $K$1:$BT$1,
      _xlpm._計画,         $K167:$BT167,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発売前？</v>
      </c>
      <c r="K167" s="74" t="s">
        <v>21</v>
      </c>
      <c r="L167" s="74" t="s">
        <v>21</v>
      </c>
      <c r="M167" s="74" t="s">
        <v>21</v>
      </c>
      <c r="N167" s="74" t="s">
        <v>21</v>
      </c>
      <c r="O167" s="74" t="s">
        <v>21</v>
      </c>
      <c r="P167" s="74" t="s">
        <v>21</v>
      </c>
      <c r="Q167" s="118" t="s">
        <v>21</v>
      </c>
      <c r="R167" s="1378" t="s">
        <v>21</v>
      </c>
      <c r="S167" s="224" t="s">
        <v>21</v>
      </c>
      <c r="T167" s="224" t="s">
        <v>21</v>
      </c>
      <c r="U167" s="224" t="s">
        <v>21</v>
      </c>
      <c r="V167" s="224" t="s">
        <v>21</v>
      </c>
      <c r="W167" s="224" t="s">
        <v>21</v>
      </c>
      <c r="X167" s="343" t="s">
        <v>21</v>
      </c>
      <c r="Y167" s="343" t="s">
        <v>21</v>
      </c>
      <c r="Z167" s="343" t="s">
        <v>21</v>
      </c>
      <c r="AA167" s="343" t="s">
        <v>21</v>
      </c>
      <c r="AB167" s="237" t="s">
        <v>21</v>
      </c>
      <c r="AC167" s="805" t="s">
        <v>21</v>
      </c>
      <c r="AD167" s="1050" t="s">
        <v>21</v>
      </c>
      <c r="AE167" s="237" t="s">
        <v>21</v>
      </c>
      <c r="AF167" s="237" t="s">
        <v>21</v>
      </c>
      <c r="AG167" s="224" t="s">
        <v>21</v>
      </c>
      <c r="AH167" s="237" t="s">
        <v>21</v>
      </c>
      <c r="AI167" s="804" t="s">
        <v>21</v>
      </c>
      <c r="AJ167" s="224" t="s">
        <v>21</v>
      </c>
      <c r="AK167" s="224" t="s">
        <v>21</v>
      </c>
      <c r="AL167" s="224" t="s">
        <v>21</v>
      </c>
      <c r="AM167" s="224" t="str">
        <f>_xlfn.XLOOKUP(
$C167,
'在庫使用計画 (ノート全体試算)'!$C$1:$C$170,
'在庫使用計画 (ノート全体試算)'!AN$1:AN$170,
"")</f>
        <v/>
      </c>
      <c r="AN167" s="237" t="str">
        <f>_xlfn.XLOOKUP(
$C167,
'在庫使用計画 (ノート全体試算)'!$C$1:$C$170,
'在庫使用計画 (ノート全体試算)'!AO$1:AO$170,
"")</f>
        <v/>
      </c>
      <c r="AO167" s="237" t="str">
        <f>_xlfn.XLOOKUP(
$C167,
'在庫使用計画 (ノート全体試算)'!$C$1:$C$170,
'在庫使用計画 (ノート全体試算)'!AP$1:AP$170,
"")</f>
        <v/>
      </c>
      <c r="AP167" s="224" t="str">
        <f>_xlfn.XLOOKUP(
$C167,
'在庫使用計画 (ノート全体試算)'!$C$1:$C$170,
'在庫使用計画 (ノート全体試算)'!AQ$1:AQ$170,
"")</f>
        <v/>
      </c>
      <c r="AQ167" s="1050" t="str">
        <f>_xlfn.XLOOKUP(
$C167,
'在庫使用計画 (ノート全体試算)'!$C$1:$C$170,
'在庫使用計画 (ノート全体試算)'!AR$1:AR$170,
"")</f>
        <v/>
      </c>
      <c r="AR167" s="2130" t="str">
        <f>_xlfn.XLOOKUP(
$C167,
'在庫使用計画 (ノート全体試算)'!$C$1:$C$170,
'在庫使用計画 (ノート全体試算)'!AS$1:AS$170,
"")</f>
        <v/>
      </c>
      <c r="AS167" s="244" t="str">
        <f>_xlfn.XLOOKUP(
$C167,
'在庫使用計画 (ノート全体試算)'!$C$1:$C$170,
'在庫使用計画 (ノート全体試算)'!AT$1:AT$170,
"")</f>
        <v/>
      </c>
      <c r="AT167" s="805" t="str">
        <f>_xlfn.XLOOKUP(
$C167,
'在庫使用計画 (ノート全体試算)'!$C$1:$C$170,
'在庫使用計画 (ノート全体試算)'!AU$1:AU$170,
"")</f>
        <v/>
      </c>
      <c r="AU167" s="804" t="str">
        <f>_xlfn.XLOOKUP(
$C167,
'在庫使用計画 (ノート全体試算)'!$C$1:$C$170,
'在庫使用計画 (ノート全体試算)'!AV$1:AV$170,
"")</f>
        <v/>
      </c>
      <c r="AV167" s="224" t="str">
        <f>_xlfn.XLOOKUP(
$C167,
'在庫使用計画 (ノート全体試算)'!$C$1:$C$170,
'在庫使用計画 (ノート全体試算)'!AW$1:AW$170,
"")</f>
        <v/>
      </c>
      <c r="AW167" s="224" t="str">
        <f>_xlfn.XLOOKUP(
$C167,
'在庫使用計画 (ノート全体試算)'!$C$1:$C$170,
'在庫使用計画 (ノート全体試算)'!AX$1:AX$170,
"")</f>
        <v/>
      </c>
      <c r="AX167" s="224" t="str">
        <f>_xlfn.XLOOKUP(
$C167,
'在庫使用計画 (ノート全体試算)'!$C$1:$C$170,
'在庫使用計画 (ノート全体試算)'!AY$1:AY$170,
"")</f>
        <v/>
      </c>
      <c r="AY167" s="224" t="str">
        <f>_xlfn.XLOOKUP(
$C167,
'在庫使用計画 (ノート全体試算)'!$C$1:$C$170,
'在庫使用計画 (ノート全体試算)'!AZ$1:AZ$170,
"")</f>
        <v/>
      </c>
      <c r="AZ167" s="224" t="str">
        <f>_xlfn.XLOOKUP(
$C167,
'在庫使用計画 (ノート全体試算)'!$C$1:$C$170,
'在庫使用計画 (ノート全体試算)'!BA$1:BA$170,
"")</f>
        <v/>
      </c>
      <c r="BA167" s="224" t="str">
        <f>_xlfn.XLOOKUP(
$C167,
'在庫使用計画 (ノート全体試算)'!$C$1:$C$170,
'在庫使用計画 (ノート全体試算)'!BB$1:BB$170,
"")</f>
        <v/>
      </c>
      <c r="BB167" s="224" t="str">
        <f>_xlfn.XLOOKUP(
$C167,
'在庫使用計画 (ノート全体試算)'!$C$1:$C$170,
'在庫使用計画 (ノート全体試算)'!BC$1:BC$170,
"")</f>
        <v/>
      </c>
      <c r="BC167" s="224" t="str">
        <f>_xlfn.XLOOKUP(
$C167,
'在庫使用計画 (ノート全体試算)'!$C$1:$C$170,
'在庫使用計画 (ノート全体試算)'!BD$1:BD$170,
"")</f>
        <v/>
      </c>
      <c r="BD167" s="224" t="str">
        <f>_xlfn.XLOOKUP(
$C167,
'在庫使用計画 (ノート全体試算)'!$C$1:$C$170,
'在庫使用計画 (ノート全体試算)'!BE$1:BE$170,
"")</f>
        <v/>
      </c>
      <c r="BE167" s="224" t="str">
        <f>_xlfn.XLOOKUP(
$C167,
'在庫使用計画 (ノート全体試算)'!$C$1:$C$170,
'在庫使用計画 (ノート全体試算)'!BF$1:BF$170,
"")</f>
        <v/>
      </c>
      <c r="BF167" s="805" t="str">
        <f>_xlfn.XLOOKUP(
$C167,
'在庫使用計画 (ノート全体試算)'!$C$1:$C$170,
'在庫使用計画 (ノート全体試算)'!BG$1:BG$170,
"")</f>
        <v/>
      </c>
    </row>
    <row r="168" spans="1:58" ht="18.75" hidden="1" customHeight="1" outlineLevel="1">
      <c r="A168" s="459"/>
      <c r="B168" s="1277" t="str">
        <v>?</v>
      </c>
      <c r="C168" s="462" t="s">
        <v>1802</v>
      </c>
      <c r="D168" s="1278" t="s">
        <v>1763</v>
      </c>
      <c r="E168" s="460"/>
      <c r="F168" s="462"/>
      <c r="G168" s="463" t="str">
        <v/>
      </c>
      <c r="H168" s="463">
        <f ca="1">_xlfn.LET(_xlpm._今月から4ヶ月計画合計,
  SUM(
    OFFSET($A168,0,
      MATCH(
        EDATE(基準データ!$C$5,3),$A$1:$BE$1,1
      )-4,1,4)),
  IF($C168="","",_xlpm._今月から4ヶ月計画合計
)
)</f>
        <v>0</v>
      </c>
      <c r="I168" s="463">
        <f t="shared" si="20"/>
        <v>0</v>
      </c>
      <c r="J168" s="1116" t="str" cm="1">
        <f t="array" ref="J168">_xlfn.IFS($C168="","",
  $G168="","発売前？",
  $G168=0,"在庫なし",
  TRUE,
  IFERROR(
    _xlfn.LET(
      _xlpm._在庫注残,     $G168,
      _xlpm._しきい値,     _xlpm._在庫注残 * 0.75,
      _xlpm._見出し元,     $K$1:$BT$1,
      _xlpm._計画,         $K168:$BT168,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発売前？</v>
      </c>
      <c r="K168" s="463"/>
      <c r="L168" s="463"/>
      <c r="M168" s="463"/>
      <c r="N168" s="463"/>
      <c r="O168" s="463"/>
      <c r="P168" s="463"/>
      <c r="Q168" s="1329"/>
      <c r="R168" s="1371"/>
      <c r="S168" s="451"/>
      <c r="T168" s="451"/>
      <c r="U168" s="451"/>
      <c r="V168" s="464"/>
      <c r="W168" s="451" t="s">
        <v>21</v>
      </c>
      <c r="X168" s="451" t="s">
        <v>21</v>
      </c>
      <c r="Y168" s="451" t="s">
        <v>21</v>
      </c>
      <c r="Z168" s="465" t="s">
        <v>21</v>
      </c>
      <c r="AA168" s="465" t="s">
        <v>21</v>
      </c>
      <c r="AB168" s="451" t="s">
        <v>21</v>
      </c>
      <c r="AC168" s="1372" t="s">
        <v>21</v>
      </c>
      <c r="AD168" s="1340" t="s">
        <v>21</v>
      </c>
      <c r="AE168" s="465" t="s">
        <v>21</v>
      </c>
      <c r="AF168" s="465" t="s">
        <v>21</v>
      </c>
      <c r="AG168" s="451" t="s">
        <v>21</v>
      </c>
      <c r="AH168" s="889" t="s">
        <v>21</v>
      </c>
      <c r="AI168" s="896" t="s">
        <v>21</v>
      </c>
      <c r="AJ168" s="451" t="s">
        <v>21</v>
      </c>
      <c r="AK168" s="451" t="s">
        <v>21</v>
      </c>
      <c r="AL168" s="451" t="s">
        <v>21</v>
      </c>
      <c r="AM168" s="451" t="str">
        <f>_xlfn.LET(_xlpm._全体実績予測,
  INDEX('在庫使用計画 (全体実績+予測）0701'!$A$1:$BD$195,
    MATCH($C168,'在庫使用計画 (全体実績+予測）0701'!$C$1:$C$195,0),
    MATCH(AM$1,'在庫使用計画 (全体実績+予測）0701'!$A$1:$BD$1,0)
),
  IFERROR(
    IF(_xlpm._全体実績予測=0,"",_xlpm._全体実績予測),
  "")
)</f>
        <v/>
      </c>
      <c r="AN168" s="889" t="str">
        <f>_xlfn.LET(_xlpm._全体実績予測,
  INDEX('在庫使用計画 (全体実績+予測）0701'!$A$1:$BD$195,
    MATCH($C168,'在庫使用計画 (全体実績+予測）0701'!$C$1:$C$195,0),
    MATCH(AN$1,'在庫使用計画 (全体実績+予測）0701'!$A$1:$BD$1,0)
),
  IFERROR(
    IF(_xlpm._全体実績予測=0,"",_xlpm._全体実績予測),
  "")
)</f>
        <v/>
      </c>
      <c r="AO168" s="889" t="str">
        <f>_xlfn.LET(_xlpm._全体実績予測,
  INDEX('在庫使用計画 (全体実績+予測）0701'!$A$1:$BD$195,
    MATCH($C168,'在庫使用計画 (全体実績+予測）0701'!$C$1:$C$195,0),
    MATCH(AO$1,'在庫使用計画 (全体実績+予測）0701'!$A$1:$BD$1,0)
),
  IFERROR(
    IF(_xlpm._全体実績予測=0,"",_xlpm._全体実績予測),
  "")
)</f>
        <v/>
      </c>
      <c r="AP168" s="451" t="str">
        <f>_xlfn.LET(_xlpm._全体実績予測,
  INDEX('在庫使用計画 (全体実績+予測）0701'!$A$1:$BD$195,
    MATCH($C168,'在庫使用計画 (全体実績+予測）0701'!$C$1:$C$195,0),
    MATCH(AP$1,'在庫使用計画 (全体実績+予測）0701'!$A$1:$BD$1,0)
),
  IFERROR(
    IF(_xlpm._全体実績予測=0,"",_xlpm._全体実績予測),
  "")
)</f>
        <v/>
      </c>
      <c r="AQ168" s="2121" t="str">
        <f>_xlfn.LET(_xlpm._全体実績予測,
  INDEX('在庫使用計画 (全体実績+予測）0701'!$A$1:$BD$195,
    MATCH($C168,'在庫使用計画 (全体実績+予測）0701'!$C$1:$C$195,0),
    MATCH(AQ$1,'在庫使用計画 (全体実績+予測）0701'!$A$1:$BD$1,0)
),
  IFERROR(
    IF(_xlpm._全体実績予測=0,"",_xlpm._全体実績予測),
  "")
)</f>
        <v/>
      </c>
      <c r="AR168" s="2137" t="str">
        <f>_xlfn.LET(_xlpm._全体実績予測,
  INDEX('在庫使用計画 (全体実績+予測）0701'!$A$1:$BD$195,
    MATCH($C168,'在庫使用計画 (全体実績+予測）0701'!$C$1:$C$195,0),
    MATCH(AR$1,'在庫使用計画 (全体実績+予測）0701'!$A$1:$BD$1,0)
),
  IFERROR(
    IF(_xlpm._全体実績予測=0,"",_xlpm._全体実績予測),
  "")
)</f>
        <v/>
      </c>
      <c r="AS168" s="1292" t="str">
        <f>_xlfn.LET(_xlpm._全体実績予測,
  INDEX('在庫使用計画 (全体実績+予測）0701'!$A$1:$BD$195,
    MATCH($C168,'在庫使用計画 (全体実績+予測）0701'!$C$1:$C$195,0),
    MATCH(AS$1,'在庫使用計画 (全体実績+予測）0701'!$A$1:$BD$1,0)
),
  IFERROR(
    IF(_xlpm._全体実績予測=0,"",_xlpm._全体実績予測),
  "")
)</f>
        <v/>
      </c>
      <c r="AT168" s="897" t="str">
        <f>_xlfn.LET(_xlpm._全体実績予測,
  INDEX('在庫使用計画 (全体実績+予測）0701'!$A$1:$BD$195,
    MATCH($C168,'在庫使用計画 (全体実績+予測）0701'!$C$1:$C$195,0),
    MATCH(AT$1,'在庫使用計画 (全体実績+予測）0701'!$A$1:$BD$1,0)
),
  IFERROR(
    IF(_xlpm._全体実績予測=0,"",_xlpm._全体実績予測),
  "")
)</f>
        <v/>
      </c>
      <c r="AU168" s="896" t="str">
        <f>_xlfn.LET(_xlpm._全体実績予測,
  INDEX('在庫使用計画 (全体実績+予測）0701'!$A$1:$BD$195,
    MATCH($C168,'在庫使用計画 (全体実績+予測）0701'!$C$1:$C$195,0),
    MATCH(AU$1,'在庫使用計画 (全体実績+予測）0701'!$A$1:$BD$1,0)
),
  IFERROR(
    IF(_xlpm._全体実績予測=0,"",_xlpm._全体実績予測),
  "")
)</f>
        <v/>
      </c>
      <c r="AV168" s="451" t="str">
        <f>_xlfn.LET(_xlpm._全体実績予測,
  INDEX('在庫使用計画 (全体実績+予測）0701'!$A$1:$BD$195,
    MATCH($C168,'在庫使用計画 (全体実績+予測）0701'!$C$1:$C$195,0),
    MATCH(AV$1,'在庫使用計画 (全体実績+予測）0701'!$A$1:$BD$1,0)
),
  IFERROR(
    IF(_xlpm._全体実績予測=0,"",_xlpm._全体実績予測),
  "")
)</f>
        <v/>
      </c>
      <c r="AW168" s="451" t="str">
        <f>_xlfn.LET(_xlpm._全体実績予測,
  INDEX('在庫使用計画 (全体実績+予測）0701'!$A$1:$BD$195,
    MATCH($C168,'在庫使用計画 (全体実績+予測）0701'!$C$1:$C$195,0),
    MATCH(AW$1,'在庫使用計画 (全体実績+予測）0701'!$A$1:$BD$1,0)
),
  IFERROR(
    IF(_xlpm._全体実績予測=0,"",_xlpm._全体実績予測),
  "")
)</f>
        <v/>
      </c>
      <c r="AX168" s="451" t="str">
        <f>_xlfn.LET(_xlpm._全体実績予測,
  INDEX('在庫使用計画 (全体実績+予測）0701'!$A$1:$BD$195,
    MATCH($C168,'在庫使用計画 (全体実績+予測）0701'!$C$1:$C$195,0),
    MATCH(AX$1,'在庫使用計画 (全体実績+予測）0701'!$A$1:$BD$1,0)
),
  IFERROR(
    IF(_xlpm._全体実績予測=0,"",_xlpm._全体実績予測),
  "")
)</f>
        <v/>
      </c>
      <c r="AY168" s="451" t="str">
        <f>_xlfn.LET(_xlpm._全体実績予測,
  INDEX('在庫使用計画 (全体実績+予測）0701'!$A$1:$BD$195,
    MATCH($C168,'在庫使用計画 (全体実績+予測）0701'!$C$1:$C$195,0),
    MATCH(AY$1,'在庫使用計画 (全体実績+予測）0701'!$A$1:$BD$1,0)
),
  IFERROR(
    IF(_xlpm._全体実績予測=0,"",_xlpm._全体実績予測),
  "")
)</f>
        <v/>
      </c>
      <c r="AZ168" s="451" t="str">
        <f>_xlfn.LET(_xlpm._全体実績予測,
  INDEX('在庫使用計画 (全体実績+予測）0701'!$A$1:$BD$195,
    MATCH($C168,'在庫使用計画 (全体実績+予測）0701'!$C$1:$C$195,0),
    MATCH(AZ$1,'在庫使用計画 (全体実績+予測）0701'!$A$1:$BD$1,0)
),
  IFERROR(
    IF(_xlpm._全体実績予測=0,"",_xlpm._全体実績予測),
  "")
)</f>
        <v/>
      </c>
      <c r="BA168" s="451" t="str">
        <f>_xlfn.LET(_xlpm._全体実績予測,
  INDEX('在庫使用計画 (全体実績+予測）0701'!$A$1:$BD$195,
    MATCH($C168,'在庫使用計画 (全体実績+予測）0701'!$C$1:$C$195,0),
    MATCH(BA$1,'在庫使用計画 (全体実績+予測）0701'!$A$1:$BD$1,0)
),
  IFERROR(
    IF(_xlpm._全体実績予測=0,"",_xlpm._全体実績予測),
  "")
)</f>
        <v/>
      </c>
      <c r="BB168" s="451" t="str">
        <f>_xlfn.LET(_xlpm._全体実績予測,
  INDEX('在庫使用計画 (全体実績+予測）0701'!$A$1:$BD$195,
    MATCH($C168,'在庫使用計画 (全体実績+予測）0701'!$C$1:$C$195,0),
    MATCH(BB$1,'在庫使用計画 (全体実績+予測）0701'!$A$1:$BD$1,0)
),
  IFERROR(
    IF(_xlpm._全体実績予測=0,"",_xlpm._全体実績予測),
  "")
)</f>
        <v/>
      </c>
      <c r="BC168" s="451" t="str">
        <f>_xlfn.LET(_xlpm._全体実績予測,
  INDEX('在庫使用計画 (全体実績+予測）0701'!$A$1:$BD$195,
    MATCH($C168,'在庫使用計画 (全体実績+予測）0701'!$C$1:$C$195,0),
    MATCH(BC$1,'在庫使用計画 (全体実績+予測）0701'!$A$1:$BD$1,0)
),
  IFERROR(
    IF(_xlpm._全体実績予測=0,"",_xlpm._全体実績予測),
  "")
)</f>
        <v/>
      </c>
      <c r="BD168" s="451" t="str">
        <f>_xlfn.LET(_xlpm._全体実績予測,
  INDEX('在庫使用計画 (全体実績+予測）0701'!$A$1:$BD$195,
    MATCH($C168,'在庫使用計画 (全体実績+予測）0701'!$C$1:$C$195,0),
    MATCH(BD$1,'在庫使用計画 (全体実績+予測）0701'!$A$1:$BD$1,0)
),
  IFERROR(
    IF(_xlpm._全体実績予測=0,"",_xlpm._全体実績予測),
  "")
)</f>
        <v/>
      </c>
      <c r="BE168" s="451" t="str">
        <f>_xlfn.LET(_xlpm._全体実績予測,
  INDEX('在庫使用計画 (全体実績+予測）0701'!$A$1:$BD$195,
    MATCH($C168,'在庫使用計画 (全体実績+予測）0701'!$C$1:$C$195,0),
    MATCH(BE$1,'在庫使用計画 (全体実績+予測）0701'!$A$1:$BD$1,0)
),
  IFERROR(
    IF(_xlpm._全体実績予測=0,"",_xlpm._全体実績予測),
  "")
)</f>
        <v/>
      </c>
      <c r="BF168" s="897" t="str">
        <f>_xlfn.LET(_xlpm._全体実績予測,
  INDEX('在庫使用計画 (全体実績+予測）0701'!$A$1:$BD$195,
    MATCH($C168,'在庫使用計画 (全体実績+予測）0701'!$C$1:$C$195,0),
    MATCH(BF$1,'在庫使用計画 (全体実績+予測）0701'!$A$1:$BD$1,0)
),
  IFERROR(
    IF(_xlpm._全体実績予測=0,"",_xlpm._全体実績予測),
  "")
)</f>
        <v/>
      </c>
    </row>
    <row r="169" spans="1:58" ht="18.75" hidden="1" customHeight="1" outlineLevel="1">
      <c r="A169" s="303" t="s">
        <v>1442</v>
      </c>
      <c r="B169" s="1163" t="str">
        <v>?</v>
      </c>
      <c r="C169" s="86" t="s">
        <v>1803</v>
      </c>
      <c r="D169" s="1283"/>
      <c r="E169" s="87" t="s">
        <v>1423</v>
      </c>
      <c r="F169" s="87"/>
      <c r="G169" s="74" t="str">
        <v/>
      </c>
      <c r="H169" s="74">
        <f ca="1">_xlfn.LET(_xlpm._今月から4ヶ月計画合計,
  SUM(
    OFFSET($A169,0,
      MATCH(
        EDATE(基準データ!$C$5,3),$A$1:$BE$1,1
      )-4,1,4)),
  IF($C169="","",_xlpm._今月から4ヶ月計画合計
)
)</f>
        <v>0</v>
      </c>
      <c r="I169" s="74">
        <f>SUMIFS(マスタ_EOLリスト[在庫],マスタ_EOLリスト[製品型番],'在庫使用計画 (計画　予測)'!$C:$C)</f>
        <v>0</v>
      </c>
      <c r="J169" s="1116" t="str" cm="1">
        <f t="array" ref="J169">_xlfn.IFS($C169="","",
  $G169="","発売前？",
  $G169=0,"在庫なし",
  TRUE,
  IFERROR(
    _xlfn.LET(
      _xlpm._在庫注残,     $G169,
      _xlpm._しきい値,     _xlpm._在庫注残 * 0.75,
      _xlpm._見出し元,     $K$1:$BT$1,
      _xlpm._計画,         $K169:$BT169,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発売前？</v>
      </c>
      <c r="K169" s="74" t="s">
        <v>21</v>
      </c>
      <c r="L169" s="74" t="s">
        <v>21</v>
      </c>
      <c r="M169" s="74" t="s">
        <v>21</v>
      </c>
      <c r="N169" s="74" t="s">
        <v>21</v>
      </c>
      <c r="O169" s="74" t="s">
        <v>21</v>
      </c>
      <c r="P169" s="74" t="s">
        <v>21</v>
      </c>
      <c r="Q169" s="118" t="s">
        <v>21</v>
      </c>
      <c r="R169" s="1378" t="s">
        <v>21</v>
      </c>
      <c r="S169" s="224" t="s">
        <v>21</v>
      </c>
      <c r="T169" s="224" t="s">
        <v>21</v>
      </c>
      <c r="U169" s="224" t="s">
        <v>21</v>
      </c>
      <c r="V169" s="224" t="s">
        <v>21</v>
      </c>
      <c r="W169" s="224" t="s">
        <v>21</v>
      </c>
      <c r="X169" s="343" t="s">
        <v>21</v>
      </c>
      <c r="Y169" s="343" t="s">
        <v>21</v>
      </c>
      <c r="Z169" s="343" t="s">
        <v>21</v>
      </c>
      <c r="AA169" s="343" t="s">
        <v>21</v>
      </c>
      <c r="AB169" s="237" t="s">
        <v>21</v>
      </c>
      <c r="AC169" s="805" t="s">
        <v>21</v>
      </c>
      <c r="AD169" s="1050" t="s">
        <v>21</v>
      </c>
      <c r="AE169" s="237" t="s">
        <v>21</v>
      </c>
      <c r="AF169" s="237" t="s">
        <v>21</v>
      </c>
      <c r="AG169" s="224" t="s">
        <v>21</v>
      </c>
      <c r="AH169" s="237" t="s">
        <v>21</v>
      </c>
      <c r="AI169" s="804" t="s">
        <v>21</v>
      </c>
      <c r="AJ169" s="224" t="s">
        <v>21</v>
      </c>
      <c r="AK169" s="224" t="s">
        <v>21</v>
      </c>
      <c r="AL169" s="224" t="s">
        <v>21</v>
      </c>
      <c r="AM169" s="224" t="str">
        <f>_xlfn.XLOOKUP(
$C169,
'在庫使用計画 (ノート全体試算)'!$C$1:$C$170,
'在庫使用計画 (ノート全体試算)'!AN$1:AN$170,
"")</f>
        <v/>
      </c>
      <c r="AN169" s="237" t="str">
        <f>_xlfn.XLOOKUP(
$C169,
'在庫使用計画 (ノート全体試算)'!$C$1:$C$170,
'在庫使用計画 (ノート全体試算)'!AO$1:AO$170,
"")</f>
        <v/>
      </c>
      <c r="AO169" s="237" t="str">
        <f>_xlfn.XLOOKUP(
$C169,
'在庫使用計画 (ノート全体試算)'!$C$1:$C$170,
'在庫使用計画 (ノート全体試算)'!AP$1:AP$170,
"")</f>
        <v/>
      </c>
      <c r="AP169" s="224" t="str">
        <f>_xlfn.XLOOKUP(
$C169,
'在庫使用計画 (ノート全体試算)'!$C$1:$C$170,
'在庫使用計画 (ノート全体試算)'!AQ$1:AQ$170,
"")</f>
        <v/>
      </c>
      <c r="AQ169" s="1050" t="str">
        <f>_xlfn.XLOOKUP(
$C169,
'在庫使用計画 (ノート全体試算)'!$C$1:$C$170,
'在庫使用計画 (ノート全体試算)'!AR$1:AR$170,
"")</f>
        <v/>
      </c>
      <c r="AR169" s="2130" t="str">
        <f>_xlfn.XLOOKUP(
$C169,
'在庫使用計画 (ノート全体試算)'!$C$1:$C$170,
'在庫使用計画 (ノート全体試算)'!AS$1:AS$170,
"")</f>
        <v/>
      </c>
      <c r="AS169" s="244" t="str">
        <f>_xlfn.XLOOKUP(
$C169,
'在庫使用計画 (ノート全体試算)'!$C$1:$C$170,
'在庫使用計画 (ノート全体試算)'!AT$1:AT$170,
"")</f>
        <v/>
      </c>
      <c r="AT169" s="805" t="str">
        <f>_xlfn.XLOOKUP(
$C169,
'在庫使用計画 (ノート全体試算)'!$C$1:$C$170,
'在庫使用計画 (ノート全体試算)'!AU$1:AU$170,
"")</f>
        <v/>
      </c>
      <c r="AU169" s="804" t="str">
        <f>_xlfn.XLOOKUP(
$C169,
'在庫使用計画 (ノート全体試算)'!$C$1:$C$170,
'在庫使用計画 (ノート全体試算)'!AV$1:AV$170,
"")</f>
        <v/>
      </c>
      <c r="AV169" s="224" t="str">
        <f>_xlfn.XLOOKUP(
$C169,
'在庫使用計画 (ノート全体試算)'!$C$1:$C$170,
'在庫使用計画 (ノート全体試算)'!AW$1:AW$170,
"")</f>
        <v/>
      </c>
      <c r="AW169" s="224" t="str">
        <f>_xlfn.XLOOKUP(
$C169,
'在庫使用計画 (ノート全体試算)'!$C$1:$C$170,
'在庫使用計画 (ノート全体試算)'!AX$1:AX$170,
"")</f>
        <v/>
      </c>
      <c r="AX169" s="224" t="str">
        <f>_xlfn.XLOOKUP(
$C169,
'在庫使用計画 (ノート全体試算)'!$C$1:$C$170,
'在庫使用計画 (ノート全体試算)'!AY$1:AY$170,
"")</f>
        <v/>
      </c>
      <c r="AY169" s="224" t="str">
        <f>_xlfn.XLOOKUP(
$C169,
'在庫使用計画 (ノート全体試算)'!$C$1:$C$170,
'在庫使用計画 (ノート全体試算)'!AZ$1:AZ$170,
"")</f>
        <v/>
      </c>
      <c r="AZ169" s="224" t="str">
        <f>_xlfn.XLOOKUP(
$C169,
'在庫使用計画 (ノート全体試算)'!$C$1:$C$170,
'在庫使用計画 (ノート全体試算)'!BA$1:BA$170,
"")</f>
        <v/>
      </c>
      <c r="BA169" s="224" t="str">
        <f>_xlfn.XLOOKUP(
$C169,
'在庫使用計画 (ノート全体試算)'!$C$1:$C$170,
'在庫使用計画 (ノート全体試算)'!BB$1:BB$170,
"")</f>
        <v/>
      </c>
      <c r="BB169" s="224" t="str">
        <f>_xlfn.XLOOKUP(
$C169,
'在庫使用計画 (ノート全体試算)'!$C$1:$C$170,
'在庫使用計画 (ノート全体試算)'!BC$1:BC$170,
"")</f>
        <v/>
      </c>
      <c r="BC169" s="224" t="str">
        <f>_xlfn.XLOOKUP(
$C169,
'在庫使用計画 (ノート全体試算)'!$C$1:$C$170,
'在庫使用計画 (ノート全体試算)'!BD$1:BD$170,
"")</f>
        <v/>
      </c>
      <c r="BD169" s="224" t="str">
        <f>_xlfn.XLOOKUP(
$C169,
'在庫使用計画 (ノート全体試算)'!$C$1:$C$170,
'在庫使用計画 (ノート全体試算)'!BE$1:BE$170,
"")</f>
        <v/>
      </c>
      <c r="BE169" s="224" t="str">
        <f>_xlfn.XLOOKUP(
$C169,
'在庫使用計画 (ノート全体試算)'!$C$1:$C$170,
'在庫使用計画 (ノート全体試算)'!BF$1:BF$170,
"")</f>
        <v/>
      </c>
      <c r="BF169" s="805" t="str">
        <f>_xlfn.XLOOKUP(
$C169,
'在庫使用計画 (ノート全体試算)'!$C$1:$C$170,
'在庫使用計画 (ノート全体試算)'!BG$1:BG$170,
"")</f>
        <v/>
      </c>
    </row>
    <row r="170" spans="1:58" ht="18.75" hidden="1" customHeight="1" outlineLevel="1">
      <c r="A170" s="459"/>
      <c r="B170" s="1277" t="str">
        <v>?</v>
      </c>
      <c r="C170" s="462" t="s">
        <v>1803</v>
      </c>
      <c r="D170" s="1278" t="s">
        <v>1763</v>
      </c>
      <c r="E170" s="460"/>
      <c r="F170" s="462"/>
      <c r="G170" s="463" t="str">
        <v/>
      </c>
      <c r="H170" s="463">
        <f ca="1">_xlfn.LET(_xlpm._今月から4ヶ月計画合計,
  SUM(
    OFFSET($A170,0,
      MATCH(
        EDATE(基準データ!$C$5,3),$A$1:$BE$1,1
      )-4,1,4)),
  IF($C170="","",_xlpm._今月から4ヶ月計画合計
)
)</f>
        <v>0</v>
      </c>
      <c r="I170" s="463">
        <f t="shared" si="20"/>
        <v>0</v>
      </c>
      <c r="J170" s="1116" t="str" cm="1">
        <f t="array" ref="J170">_xlfn.IFS($C170="","",
  $G170="","発売前？",
  $G170=0,"在庫なし",
  TRUE,
  IFERROR(
    _xlfn.LET(
      _xlpm._在庫注残,     $G170,
      _xlpm._しきい値,     _xlpm._在庫注残 * 0.75,
      _xlpm._見出し元,     $K$1:$BT$1,
      _xlpm._計画,         $K170:$BT170,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発売前？</v>
      </c>
      <c r="K170" s="463"/>
      <c r="L170" s="463"/>
      <c r="M170" s="463"/>
      <c r="N170" s="463"/>
      <c r="O170" s="463"/>
      <c r="P170" s="463"/>
      <c r="Q170" s="1329"/>
      <c r="R170" s="1371"/>
      <c r="S170" s="451"/>
      <c r="T170" s="451"/>
      <c r="U170" s="451"/>
      <c r="V170" s="464"/>
      <c r="W170" s="451" t="s">
        <v>21</v>
      </c>
      <c r="X170" s="451" t="s">
        <v>21</v>
      </c>
      <c r="Y170" s="451" t="s">
        <v>21</v>
      </c>
      <c r="Z170" s="465" t="s">
        <v>21</v>
      </c>
      <c r="AA170" s="465" t="s">
        <v>21</v>
      </c>
      <c r="AB170" s="451" t="s">
        <v>21</v>
      </c>
      <c r="AC170" s="1372" t="s">
        <v>21</v>
      </c>
      <c r="AD170" s="1340" t="s">
        <v>21</v>
      </c>
      <c r="AE170" s="465" t="s">
        <v>21</v>
      </c>
      <c r="AF170" s="465" t="s">
        <v>21</v>
      </c>
      <c r="AG170" s="451" t="s">
        <v>21</v>
      </c>
      <c r="AH170" s="889" t="s">
        <v>21</v>
      </c>
      <c r="AI170" s="896" t="s">
        <v>21</v>
      </c>
      <c r="AJ170" s="451" t="s">
        <v>21</v>
      </c>
      <c r="AK170" s="451" t="s">
        <v>21</v>
      </c>
      <c r="AL170" s="451" t="s">
        <v>21</v>
      </c>
      <c r="AM170" s="451" t="str">
        <f>_xlfn.LET(_xlpm._全体実績予測,
  INDEX('在庫使用計画 (全体実績+予測）0701'!$A$1:$BD$195,
    MATCH($C170,'在庫使用計画 (全体実績+予測）0701'!$C$1:$C$195,0),
    MATCH(AM$1,'在庫使用計画 (全体実績+予測）0701'!$A$1:$BD$1,0)
),
  IFERROR(
    IF(_xlpm._全体実績予測=0,"",_xlpm._全体実績予測),
  "")
)</f>
        <v/>
      </c>
      <c r="AN170" s="889" t="str">
        <f>_xlfn.LET(_xlpm._全体実績予測,
  INDEX('在庫使用計画 (全体実績+予測）0701'!$A$1:$BD$195,
    MATCH($C170,'在庫使用計画 (全体実績+予測）0701'!$C$1:$C$195,0),
    MATCH(AN$1,'在庫使用計画 (全体実績+予測）0701'!$A$1:$BD$1,0)
),
  IFERROR(
    IF(_xlpm._全体実績予測=0,"",_xlpm._全体実績予測),
  "")
)</f>
        <v/>
      </c>
      <c r="AO170" s="889" t="str">
        <f>_xlfn.LET(_xlpm._全体実績予測,
  INDEX('在庫使用計画 (全体実績+予測）0701'!$A$1:$BD$195,
    MATCH($C170,'在庫使用計画 (全体実績+予測）0701'!$C$1:$C$195,0),
    MATCH(AO$1,'在庫使用計画 (全体実績+予測）0701'!$A$1:$BD$1,0)
),
  IFERROR(
    IF(_xlpm._全体実績予測=0,"",_xlpm._全体実績予測),
  "")
)</f>
        <v/>
      </c>
      <c r="AP170" s="451" t="str">
        <f>_xlfn.LET(_xlpm._全体実績予測,
  INDEX('在庫使用計画 (全体実績+予測）0701'!$A$1:$BD$195,
    MATCH($C170,'在庫使用計画 (全体実績+予測）0701'!$C$1:$C$195,0),
    MATCH(AP$1,'在庫使用計画 (全体実績+予測）0701'!$A$1:$BD$1,0)
),
  IFERROR(
    IF(_xlpm._全体実績予測=0,"",_xlpm._全体実績予測),
  "")
)</f>
        <v/>
      </c>
      <c r="AQ170" s="2121" t="str">
        <f>_xlfn.LET(_xlpm._全体実績予測,
  INDEX('在庫使用計画 (全体実績+予測）0701'!$A$1:$BD$195,
    MATCH($C170,'在庫使用計画 (全体実績+予測）0701'!$C$1:$C$195,0),
    MATCH(AQ$1,'在庫使用計画 (全体実績+予測）0701'!$A$1:$BD$1,0)
),
  IFERROR(
    IF(_xlpm._全体実績予測=0,"",_xlpm._全体実績予測),
  "")
)</f>
        <v/>
      </c>
      <c r="AR170" s="2137" t="str">
        <f>_xlfn.LET(_xlpm._全体実績予測,
  INDEX('在庫使用計画 (全体実績+予測）0701'!$A$1:$BD$195,
    MATCH($C170,'在庫使用計画 (全体実績+予測）0701'!$C$1:$C$195,0),
    MATCH(AR$1,'在庫使用計画 (全体実績+予測）0701'!$A$1:$BD$1,0)
),
  IFERROR(
    IF(_xlpm._全体実績予測=0,"",_xlpm._全体実績予測),
  "")
)</f>
        <v/>
      </c>
      <c r="AS170" s="1292" t="str">
        <f>_xlfn.LET(_xlpm._全体実績予測,
  INDEX('在庫使用計画 (全体実績+予測）0701'!$A$1:$BD$195,
    MATCH($C170,'在庫使用計画 (全体実績+予測）0701'!$C$1:$C$195,0),
    MATCH(AS$1,'在庫使用計画 (全体実績+予測）0701'!$A$1:$BD$1,0)
),
  IFERROR(
    IF(_xlpm._全体実績予測=0,"",_xlpm._全体実績予測),
  "")
)</f>
        <v/>
      </c>
      <c r="AT170" s="897" t="str">
        <f>_xlfn.LET(_xlpm._全体実績予測,
  INDEX('在庫使用計画 (全体実績+予測）0701'!$A$1:$BD$195,
    MATCH($C170,'在庫使用計画 (全体実績+予測）0701'!$C$1:$C$195,0),
    MATCH(AT$1,'在庫使用計画 (全体実績+予測）0701'!$A$1:$BD$1,0)
),
  IFERROR(
    IF(_xlpm._全体実績予測=0,"",_xlpm._全体実績予測),
  "")
)</f>
        <v/>
      </c>
      <c r="AU170" s="896" t="str">
        <f>_xlfn.LET(_xlpm._全体実績予測,
  INDEX('在庫使用計画 (全体実績+予測）0701'!$A$1:$BD$195,
    MATCH($C170,'在庫使用計画 (全体実績+予測）0701'!$C$1:$C$195,0),
    MATCH(AU$1,'在庫使用計画 (全体実績+予測）0701'!$A$1:$BD$1,0)
),
  IFERROR(
    IF(_xlpm._全体実績予測=0,"",_xlpm._全体実績予測),
  "")
)</f>
        <v/>
      </c>
      <c r="AV170" s="451" t="str">
        <f>_xlfn.LET(_xlpm._全体実績予測,
  INDEX('在庫使用計画 (全体実績+予測）0701'!$A$1:$BD$195,
    MATCH($C170,'在庫使用計画 (全体実績+予測）0701'!$C$1:$C$195,0),
    MATCH(AV$1,'在庫使用計画 (全体実績+予測）0701'!$A$1:$BD$1,0)
),
  IFERROR(
    IF(_xlpm._全体実績予測=0,"",_xlpm._全体実績予測),
  "")
)</f>
        <v/>
      </c>
      <c r="AW170" s="451" t="str">
        <f>_xlfn.LET(_xlpm._全体実績予測,
  INDEX('在庫使用計画 (全体実績+予測）0701'!$A$1:$BD$195,
    MATCH($C170,'在庫使用計画 (全体実績+予測）0701'!$C$1:$C$195,0),
    MATCH(AW$1,'在庫使用計画 (全体実績+予測）0701'!$A$1:$BD$1,0)
),
  IFERROR(
    IF(_xlpm._全体実績予測=0,"",_xlpm._全体実績予測),
  "")
)</f>
        <v/>
      </c>
      <c r="AX170" s="451" t="str">
        <f>_xlfn.LET(_xlpm._全体実績予測,
  INDEX('在庫使用計画 (全体実績+予測）0701'!$A$1:$BD$195,
    MATCH($C170,'在庫使用計画 (全体実績+予測）0701'!$C$1:$C$195,0),
    MATCH(AX$1,'在庫使用計画 (全体実績+予測）0701'!$A$1:$BD$1,0)
),
  IFERROR(
    IF(_xlpm._全体実績予測=0,"",_xlpm._全体実績予測),
  "")
)</f>
        <v/>
      </c>
      <c r="AY170" s="451" t="str">
        <f>_xlfn.LET(_xlpm._全体実績予測,
  INDEX('在庫使用計画 (全体実績+予測）0701'!$A$1:$BD$195,
    MATCH($C170,'在庫使用計画 (全体実績+予測）0701'!$C$1:$C$195,0),
    MATCH(AY$1,'在庫使用計画 (全体実績+予測）0701'!$A$1:$BD$1,0)
),
  IFERROR(
    IF(_xlpm._全体実績予測=0,"",_xlpm._全体実績予測),
  "")
)</f>
        <v/>
      </c>
      <c r="AZ170" s="451" t="str">
        <f>_xlfn.LET(_xlpm._全体実績予測,
  INDEX('在庫使用計画 (全体実績+予測）0701'!$A$1:$BD$195,
    MATCH($C170,'在庫使用計画 (全体実績+予測）0701'!$C$1:$C$195,0),
    MATCH(AZ$1,'在庫使用計画 (全体実績+予測）0701'!$A$1:$BD$1,0)
),
  IFERROR(
    IF(_xlpm._全体実績予測=0,"",_xlpm._全体実績予測),
  "")
)</f>
        <v/>
      </c>
      <c r="BA170" s="451" t="str">
        <f>_xlfn.LET(_xlpm._全体実績予測,
  INDEX('在庫使用計画 (全体実績+予測）0701'!$A$1:$BD$195,
    MATCH($C170,'在庫使用計画 (全体実績+予測）0701'!$C$1:$C$195,0),
    MATCH(BA$1,'在庫使用計画 (全体実績+予測）0701'!$A$1:$BD$1,0)
),
  IFERROR(
    IF(_xlpm._全体実績予測=0,"",_xlpm._全体実績予測),
  "")
)</f>
        <v/>
      </c>
      <c r="BB170" s="451" t="str">
        <f>_xlfn.LET(_xlpm._全体実績予測,
  INDEX('在庫使用計画 (全体実績+予測）0701'!$A$1:$BD$195,
    MATCH($C170,'在庫使用計画 (全体実績+予測）0701'!$C$1:$C$195,0),
    MATCH(BB$1,'在庫使用計画 (全体実績+予測）0701'!$A$1:$BD$1,0)
),
  IFERROR(
    IF(_xlpm._全体実績予測=0,"",_xlpm._全体実績予測),
  "")
)</f>
        <v/>
      </c>
      <c r="BC170" s="451" t="str">
        <f>_xlfn.LET(_xlpm._全体実績予測,
  INDEX('在庫使用計画 (全体実績+予測）0701'!$A$1:$BD$195,
    MATCH($C170,'在庫使用計画 (全体実績+予測）0701'!$C$1:$C$195,0),
    MATCH(BC$1,'在庫使用計画 (全体実績+予測）0701'!$A$1:$BD$1,0)
),
  IFERROR(
    IF(_xlpm._全体実績予測=0,"",_xlpm._全体実績予測),
  "")
)</f>
        <v/>
      </c>
      <c r="BD170" s="451" t="str">
        <f>_xlfn.LET(_xlpm._全体実績予測,
  INDEX('在庫使用計画 (全体実績+予測）0701'!$A$1:$BD$195,
    MATCH($C170,'在庫使用計画 (全体実績+予測）0701'!$C$1:$C$195,0),
    MATCH(BD$1,'在庫使用計画 (全体実績+予測）0701'!$A$1:$BD$1,0)
),
  IFERROR(
    IF(_xlpm._全体実績予測=0,"",_xlpm._全体実績予測),
  "")
)</f>
        <v/>
      </c>
      <c r="BE170" s="451" t="str">
        <f>_xlfn.LET(_xlpm._全体実績予測,
  INDEX('在庫使用計画 (全体実績+予測）0701'!$A$1:$BD$195,
    MATCH($C170,'在庫使用計画 (全体実績+予測）0701'!$C$1:$C$195,0),
    MATCH(BE$1,'在庫使用計画 (全体実績+予測）0701'!$A$1:$BD$1,0)
),
  IFERROR(
    IF(_xlpm._全体実績予測=0,"",_xlpm._全体実績予測),
  "")
)</f>
        <v/>
      </c>
      <c r="BF170" s="897" t="str">
        <f>_xlfn.LET(_xlpm._全体実績予測,
  INDEX('在庫使用計画 (全体実績+予測）0701'!$A$1:$BD$195,
    MATCH($C170,'在庫使用計画 (全体実績+予測）0701'!$C$1:$C$195,0),
    MATCH(BF$1,'在庫使用計画 (全体実績+予測）0701'!$A$1:$BD$1,0)
),
  IFERROR(
    IF(_xlpm._全体実績予測=0,"",_xlpm._全体実績予測),
  "")
)</f>
        <v/>
      </c>
    </row>
    <row r="171" spans="1:58" ht="18.75" hidden="1" customHeight="1" outlineLevel="1">
      <c r="A171" s="303" t="s">
        <v>1442</v>
      </c>
      <c r="B171" s="1163" t="str">
        <v>?</v>
      </c>
      <c r="C171" s="86" t="s">
        <v>1804</v>
      </c>
      <c r="D171" s="1283"/>
      <c r="E171" s="87" t="s">
        <v>1423</v>
      </c>
      <c r="F171" s="87"/>
      <c r="G171" s="74" t="str">
        <v/>
      </c>
      <c r="H171" s="74">
        <f ca="1">_xlfn.LET(_xlpm._今月から4ヶ月計画合計,
  SUM(
    OFFSET($A171,0,
      MATCH(
        EDATE(基準データ!$C$5,3),$A$1:$BE$1,1
      )-4,1,4)),
  IF($C171="","",_xlpm._今月から4ヶ月計画合計
)
)</f>
        <v>0</v>
      </c>
      <c r="I171" s="74">
        <f>SUMIFS(マスタ_EOLリスト[在庫],マスタ_EOLリスト[製品型番],'在庫使用計画 (計画　予測)'!$C:$C)</f>
        <v>0</v>
      </c>
      <c r="J171" s="1116" t="str" cm="1">
        <f t="array" ref="J171">_xlfn.IFS($C171="","",
  $G171="","発売前？",
  $G171=0,"在庫なし",
  TRUE,
  IFERROR(
    _xlfn.LET(
      _xlpm._在庫注残,     $G171,
      _xlpm._しきい値,     _xlpm._在庫注残 * 0.75,
      _xlpm._見出し元,     $K$1:$BT$1,
      _xlpm._計画,         $K171:$BT171,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発売前？</v>
      </c>
      <c r="K171" s="74" t="s">
        <v>21</v>
      </c>
      <c r="L171" s="74" t="s">
        <v>21</v>
      </c>
      <c r="M171" s="74" t="s">
        <v>21</v>
      </c>
      <c r="N171" s="74" t="s">
        <v>21</v>
      </c>
      <c r="O171" s="74" t="s">
        <v>21</v>
      </c>
      <c r="P171" s="74" t="s">
        <v>21</v>
      </c>
      <c r="Q171" s="118" t="s">
        <v>21</v>
      </c>
      <c r="R171" s="1378" t="s">
        <v>21</v>
      </c>
      <c r="S171" s="224" t="s">
        <v>21</v>
      </c>
      <c r="T171" s="224" t="s">
        <v>21</v>
      </c>
      <c r="U171" s="224" t="s">
        <v>21</v>
      </c>
      <c r="V171" s="224" t="s">
        <v>21</v>
      </c>
      <c r="W171" s="224" t="s">
        <v>21</v>
      </c>
      <c r="X171" s="343" t="s">
        <v>21</v>
      </c>
      <c r="Y171" s="343" t="s">
        <v>21</v>
      </c>
      <c r="Z171" s="343" t="s">
        <v>21</v>
      </c>
      <c r="AA171" s="343" t="s">
        <v>21</v>
      </c>
      <c r="AB171" s="237" t="s">
        <v>21</v>
      </c>
      <c r="AC171" s="805" t="s">
        <v>21</v>
      </c>
      <c r="AD171" s="1050" t="s">
        <v>21</v>
      </c>
      <c r="AE171" s="237" t="s">
        <v>21</v>
      </c>
      <c r="AF171" s="237" t="s">
        <v>21</v>
      </c>
      <c r="AG171" s="224" t="s">
        <v>21</v>
      </c>
      <c r="AH171" s="237" t="s">
        <v>21</v>
      </c>
      <c r="AI171" s="804" t="s">
        <v>21</v>
      </c>
      <c r="AJ171" s="224" t="s">
        <v>21</v>
      </c>
      <c r="AK171" s="224" t="s">
        <v>21</v>
      </c>
      <c r="AL171" s="224" t="s">
        <v>21</v>
      </c>
      <c r="AM171" s="224" t="str">
        <f>_xlfn.XLOOKUP(
$C171,
'在庫使用計画 (ノート全体試算)'!$C$1:$C$170,
'在庫使用計画 (ノート全体試算)'!AN$1:AN$170,
"")</f>
        <v/>
      </c>
      <c r="AN171" s="237" t="str">
        <f>_xlfn.XLOOKUP(
$C171,
'在庫使用計画 (ノート全体試算)'!$C$1:$C$170,
'在庫使用計画 (ノート全体試算)'!AO$1:AO$170,
"")</f>
        <v/>
      </c>
      <c r="AO171" s="237" t="str">
        <f>_xlfn.XLOOKUP(
$C171,
'在庫使用計画 (ノート全体試算)'!$C$1:$C$170,
'在庫使用計画 (ノート全体試算)'!AP$1:AP$170,
"")</f>
        <v/>
      </c>
      <c r="AP171" s="224" t="str">
        <f>_xlfn.XLOOKUP(
$C171,
'在庫使用計画 (ノート全体試算)'!$C$1:$C$170,
'在庫使用計画 (ノート全体試算)'!AQ$1:AQ$170,
"")</f>
        <v/>
      </c>
      <c r="AQ171" s="1050" t="str">
        <f>_xlfn.XLOOKUP(
$C171,
'在庫使用計画 (ノート全体試算)'!$C$1:$C$170,
'在庫使用計画 (ノート全体試算)'!AR$1:AR$170,
"")</f>
        <v/>
      </c>
      <c r="AR171" s="2130" t="str">
        <f>_xlfn.XLOOKUP(
$C171,
'在庫使用計画 (ノート全体試算)'!$C$1:$C$170,
'在庫使用計画 (ノート全体試算)'!AS$1:AS$170,
"")</f>
        <v/>
      </c>
      <c r="AS171" s="244" t="str">
        <f>_xlfn.XLOOKUP(
$C171,
'在庫使用計画 (ノート全体試算)'!$C$1:$C$170,
'在庫使用計画 (ノート全体試算)'!AT$1:AT$170,
"")</f>
        <v/>
      </c>
      <c r="AT171" s="805" t="str">
        <f>_xlfn.XLOOKUP(
$C171,
'在庫使用計画 (ノート全体試算)'!$C$1:$C$170,
'在庫使用計画 (ノート全体試算)'!AU$1:AU$170,
"")</f>
        <v/>
      </c>
      <c r="AU171" s="804" t="str">
        <f>_xlfn.XLOOKUP(
$C171,
'在庫使用計画 (ノート全体試算)'!$C$1:$C$170,
'在庫使用計画 (ノート全体試算)'!AV$1:AV$170,
"")</f>
        <v/>
      </c>
      <c r="AV171" s="224" t="str">
        <f>_xlfn.XLOOKUP(
$C171,
'在庫使用計画 (ノート全体試算)'!$C$1:$C$170,
'在庫使用計画 (ノート全体試算)'!AW$1:AW$170,
"")</f>
        <v/>
      </c>
      <c r="AW171" s="224" t="str">
        <f>_xlfn.XLOOKUP(
$C171,
'在庫使用計画 (ノート全体試算)'!$C$1:$C$170,
'在庫使用計画 (ノート全体試算)'!AX$1:AX$170,
"")</f>
        <v/>
      </c>
      <c r="AX171" s="224" t="str">
        <f>_xlfn.XLOOKUP(
$C171,
'在庫使用計画 (ノート全体試算)'!$C$1:$C$170,
'在庫使用計画 (ノート全体試算)'!AY$1:AY$170,
"")</f>
        <v/>
      </c>
      <c r="AY171" s="224" t="str">
        <f>_xlfn.XLOOKUP(
$C171,
'在庫使用計画 (ノート全体試算)'!$C$1:$C$170,
'在庫使用計画 (ノート全体試算)'!AZ$1:AZ$170,
"")</f>
        <v/>
      </c>
      <c r="AZ171" s="224" t="str">
        <f>_xlfn.XLOOKUP(
$C171,
'在庫使用計画 (ノート全体試算)'!$C$1:$C$170,
'在庫使用計画 (ノート全体試算)'!BA$1:BA$170,
"")</f>
        <v/>
      </c>
      <c r="BA171" s="224" t="str">
        <f>_xlfn.XLOOKUP(
$C171,
'在庫使用計画 (ノート全体試算)'!$C$1:$C$170,
'在庫使用計画 (ノート全体試算)'!BB$1:BB$170,
"")</f>
        <v/>
      </c>
      <c r="BB171" s="224" t="str">
        <f>_xlfn.XLOOKUP(
$C171,
'在庫使用計画 (ノート全体試算)'!$C$1:$C$170,
'在庫使用計画 (ノート全体試算)'!BC$1:BC$170,
"")</f>
        <v/>
      </c>
      <c r="BC171" s="224" t="str">
        <f>_xlfn.XLOOKUP(
$C171,
'在庫使用計画 (ノート全体試算)'!$C$1:$C$170,
'在庫使用計画 (ノート全体試算)'!BD$1:BD$170,
"")</f>
        <v/>
      </c>
      <c r="BD171" s="224" t="str">
        <f>_xlfn.XLOOKUP(
$C171,
'在庫使用計画 (ノート全体試算)'!$C$1:$C$170,
'在庫使用計画 (ノート全体試算)'!BE$1:BE$170,
"")</f>
        <v/>
      </c>
      <c r="BE171" s="224" t="str">
        <f>_xlfn.XLOOKUP(
$C171,
'在庫使用計画 (ノート全体試算)'!$C$1:$C$170,
'在庫使用計画 (ノート全体試算)'!BF$1:BF$170,
"")</f>
        <v/>
      </c>
      <c r="BF171" s="805" t="str">
        <f>_xlfn.XLOOKUP(
$C171,
'在庫使用計画 (ノート全体試算)'!$C$1:$C$170,
'在庫使用計画 (ノート全体試算)'!BG$1:BG$170,
"")</f>
        <v/>
      </c>
    </row>
    <row r="172" spans="1:58" ht="18.75" hidden="1" customHeight="1" outlineLevel="1">
      <c r="A172" s="459"/>
      <c r="B172" s="1277" t="str">
        <v>?</v>
      </c>
      <c r="C172" s="462" t="s">
        <v>1804</v>
      </c>
      <c r="D172" s="1278" t="s">
        <v>1763</v>
      </c>
      <c r="E172" s="460"/>
      <c r="F172" s="462"/>
      <c r="G172" s="463" t="str">
        <v/>
      </c>
      <c r="H172" s="463">
        <f ca="1">_xlfn.LET(_xlpm._今月から4ヶ月計画合計,
  SUM(
    OFFSET($A172,0,
      MATCH(
        EDATE(基準データ!$C$5,3),$A$1:$BE$1,1
      )-4,1,4)),
  IF($C172="","",_xlpm._今月から4ヶ月計画合計
)
)</f>
        <v>0</v>
      </c>
      <c r="I172" s="463">
        <f t="shared" si="20"/>
        <v>0</v>
      </c>
      <c r="J172" s="1116" t="str" cm="1">
        <f t="array" ref="J172">_xlfn.IFS($C172="","",
  $G172="","発売前？",
  $G172=0,"在庫なし",
  TRUE,
  IFERROR(
    _xlfn.LET(
      _xlpm._在庫注残,     $G172,
      _xlpm._しきい値,     _xlpm._在庫注残 * 0.75,
      _xlpm._見出し元,     $K$1:$BT$1,
      _xlpm._計画,         $K172:$BT172,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発売前？</v>
      </c>
      <c r="K172" s="463"/>
      <c r="L172" s="463"/>
      <c r="M172" s="463"/>
      <c r="N172" s="463"/>
      <c r="O172" s="463"/>
      <c r="P172" s="463"/>
      <c r="Q172" s="1329"/>
      <c r="R172" s="1371"/>
      <c r="S172" s="451"/>
      <c r="T172" s="451"/>
      <c r="U172" s="451"/>
      <c r="V172" s="464"/>
      <c r="W172" s="451" t="s">
        <v>21</v>
      </c>
      <c r="X172" s="451" t="s">
        <v>21</v>
      </c>
      <c r="Y172" s="451" t="s">
        <v>21</v>
      </c>
      <c r="Z172" s="465" t="s">
        <v>21</v>
      </c>
      <c r="AA172" s="465" t="s">
        <v>21</v>
      </c>
      <c r="AB172" s="451" t="s">
        <v>21</v>
      </c>
      <c r="AC172" s="1372" t="s">
        <v>21</v>
      </c>
      <c r="AD172" s="1340" t="s">
        <v>21</v>
      </c>
      <c r="AE172" s="465" t="s">
        <v>21</v>
      </c>
      <c r="AF172" s="465" t="s">
        <v>21</v>
      </c>
      <c r="AG172" s="451" t="s">
        <v>21</v>
      </c>
      <c r="AH172" s="889" t="s">
        <v>21</v>
      </c>
      <c r="AI172" s="896" t="s">
        <v>21</v>
      </c>
      <c r="AJ172" s="451" t="s">
        <v>21</v>
      </c>
      <c r="AK172" s="451" t="s">
        <v>21</v>
      </c>
      <c r="AL172" s="451" t="s">
        <v>21</v>
      </c>
      <c r="AM172" s="451" t="str">
        <f>_xlfn.LET(_xlpm._全体実績予測,
  INDEX('在庫使用計画 (全体実績+予測）0701'!$A$1:$BD$195,
    MATCH($C172,'在庫使用計画 (全体実績+予測）0701'!$C$1:$C$195,0),
    MATCH(AM$1,'在庫使用計画 (全体実績+予測）0701'!$A$1:$BD$1,0)
),
  IFERROR(
    IF(_xlpm._全体実績予測=0,"",_xlpm._全体実績予測),
  "")
)</f>
        <v/>
      </c>
      <c r="AN172" s="889" t="str">
        <f>_xlfn.LET(_xlpm._全体実績予測,
  INDEX('在庫使用計画 (全体実績+予測）0701'!$A$1:$BD$195,
    MATCH($C172,'在庫使用計画 (全体実績+予測）0701'!$C$1:$C$195,0),
    MATCH(AN$1,'在庫使用計画 (全体実績+予測）0701'!$A$1:$BD$1,0)
),
  IFERROR(
    IF(_xlpm._全体実績予測=0,"",_xlpm._全体実績予測),
  "")
)</f>
        <v/>
      </c>
      <c r="AO172" s="889" t="str">
        <f>_xlfn.LET(_xlpm._全体実績予測,
  INDEX('在庫使用計画 (全体実績+予測）0701'!$A$1:$BD$195,
    MATCH($C172,'在庫使用計画 (全体実績+予測）0701'!$C$1:$C$195,0),
    MATCH(AO$1,'在庫使用計画 (全体実績+予測）0701'!$A$1:$BD$1,0)
),
  IFERROR(
    IF(_xlpm._全体実績予測=0,"",_xlpm._全体実績予測),
  "")
)</f>
        <v/>
      </c>
      <c r="AP172" s="451" t="str">
        <f>_xlfn.LET(_xlpm._全体実績予測,
  INDEX('在庫使用計画 (全体実績+予測）0701'!$A$1:$BD$195,
    MATCH($C172,'在庫使用計画 (全体実績+予測）0701'!$C$1:$C$195,0),
    MATCH(AP$1,'在庫使用計画 (全体実績+予測）0701'!$A$1:$BD$1,0)
),
  IFERROR(
    IF(_xlpm._全体実績予測=0,"",_xlpm._全体実績予測),
  "")
)</f>
        <v/>
      </c>
      <c r="AQ172" s="2121" t="str">
        <f>_xlfn.LET(_xlpm._全体実績予測,
  INDEX('在庫使用計画 (全体実績+予測）0701'!$A$1:$BD$195,
    MATCH($C172,'在庫使用計画 (全体実績+予測）0701'!$C$1:$C$195,0),
    MATCH(AQ$1,'在庫使用計画 (全体実績+予測）0701'!$A$1:$BD$1,0)
),
  IFERROR(
    IF(_xlpm._全体実績予測=0,"",_xlpm._全体実績予測),
  "")
)</f>
        <v/>
      </c>
      <c r="AR172" s="2137" t="str">
        <f>_xlfn.LET(_xlpm._全体実績予測,
  INDEX('在庫使用計画 (全体実績+予測）0701'!$A$1:$BD$195,
    MATCH($C172,'在庫使用計画 (全体実績+予測）0701'!$C$1:$C$195,0),
    MATCH(AR$1,'在庫使用計画 (全体実績+予測）0701'!$A$1:$BD$1,0)
),
  IFERROR(
    IF(_xlpm._全体実績予測=0,"",_xlpm._全体実績予測),
  "")
)</f>
        <v/>
      </c>
      <c r="AS172" s="1292" t="str">
        <f>_xlfn.LET(_xlpm._全体実績予測,
  INDEX('在庫使用計画 (全体実績+予測）0701'!$A$1:$BD$195,
    MATCH($C172,'在庫使用計画 (全体実績+予測）0701'!$C$1:$C$195,0),
    MATCH(AS$1,'在庫使用計画 (全体実績+予測）0701'!$A$1:$BD$1,0)
),
  IFERROR(
    IF(_xlpm._全体実績予測=0,"",_xlpm._全体実績予測),
  "")
)</f>
        <v/>
      </c>
      <c r="AT172" s="897" t="str">
        <f>_xlfn.LET(_xlpm._全体実績予測,
  INDEX('在庫使用計画 (全体実績+予測）0701'!$A$1:$BD$195,
    MATCH($C172,'在庫使用計画 (全体実績+予測）0701'!$C$1:$C$195,0),
    MATCH(AT$1,'在庫使用計画 (全体実績+予測）0701'!$A$1:$BD$1,0)
),
  IFERROR(
    IF(_xlpm._全体実績予測=0,"",_xlpm._全体実績予測),
  "")
)</f>
        <v/>
      </c>
      <c r="AU172" s="896" t="str">
        <f>_xlfn.LET(_xlpm._全体実績予測,
  INDEX('在庫使用計画 (全体実績+予測）0701'!$A$1:$BD$195,
    MATCH($C172,'在庫使用計画 (全体実績+予測）0701'!$C$1:$C$195,0),
    MATCH(AU$1,'在庫使用計画 (全体実績+予測）0701'!$A$1:$BD$1,0)
),
  IFERROR(
    IF(_xlpm._全体実績予測=0,"",_xlpm._全体実績予測),
  "")
)</f>
        <v/>
      </c>
      <c r="AV172" s="451" t="str">
        <f>_xlfn.LET(_xlpm._全体実績予測,
  INDEX('在庫使用計画 (全体実績+予測）0701'!$A$1:$BD$195,
    MATCH($C172,'在庫使用計画 (全体実績+予測）0701'!$C$1:$C$195,0),
    MATCH(AV$1,'在庫使用計画 (全体実績+予測）0701'!$A$1:$BD$1,0)
),
  IFERROR(
    IF(_xlpm._全体実績予測=0,"",_xlpm._全体実績予測),
  "")
)</f>
        <v/>
      </c>
      <c r="AW172" s="451" t="str">
        <f>_xlfn.LET(_xlpm._全体実績予測,
  INDEX('在庫使用計画 (全体実績+予測）0701'!$A$1:$BD$195,
    MATCH($C172,'在庫使用計画 (全体実績+予測）0701'!$C$1:$C$195,0),
    MATCH(AW$1,'在庫使用計画 (全体実績+予測）0701'!$A$1:$BD$1,0)
),
  IFERROR(
    IF(_xlpm._全体実績予測=0,"",_xlpm._全体実績予測),
  "")
)</f>
        <v/>
      </c>
      <c r="AX172" s="451" t="str">
        <f>_xlfn.LET(_xlpm._全体実績予測,
  INDEX('在庫使用計画 (全体実績+予測）0701'!$A$1:$BD$195,
    MATCH($C172,'在庫使用計画 (全体実績+予測）0701'!$C$1:$C$195,0),
    MATCH(AX$1,'在庫使用計画 (全体実績+予測）0701'!$A$1:$BD$1,0)
),
  IFERROR(
    IF(_xlpm._全体実績予測=0,"",_xlpm._全体実績予測),
  "")
)</f>
        <v/>
      </c>
      <c r="AY172" s="451" t="str">
        <f>_xlfn.LET(_xlpm._全体実績予測,
  INDEX('在庫使用計画 (全体実績+予測）0701'!$A$1:$BD$195,
    MATCH($C172,'在庫使用計画 (全体実績+予測）0701'!$C$1:$C$195,0),
    MATCH(AY$1,'在庫使用計画 (全体実績+予測）0701'!$A$1:$BD$1,0)
),
  IFERROR(
    IF(_xlpm._全体実績予測=0,"",_xlpm._全体実績予測),
  "")
)</f>
        <v/>
      </c>
      <c r="AZ172" s="451" t="str">
        <f>_xlfn.LET(_xlpm._全体実績予測,
  INDEX('在庫使用計画 (全体実績+予測）0701'!$A$1:$BD$195,
    MATCH($C172,'在庫使用計画 (全体実績+予測）0701'!$C$1:$C$195,0),
    MATCH(AZ$1,'在庫使用計画 (全体実績+予測）0701'!$A$1:$BD$1,0)
),
  IFERROR(
    IF(_xlpm._全体実績予測=0,"",_xlpm._全体実績予測),
  "")
)</f>
        <v/>
      </c>
      <c r="BA172" s="451" t="str">
        <f>_xlfn.LET(_xlpm._全体実績予測,
  INDEX('在庫使用計画 (全体実績+予測）0701'!$A$1:$BD$195,
    MATCH($C172,'在庫使用計画 (全体実績+予測）0701'!$C$1:$C$195,0),
    MATCH(BA$1,'在庫使用計画 (全体実績+予測）0701'!$A$1:$BD$1,0)
),
  IFERROR(
    IF(_xlpm._全体実績予測=0,"",_xlpm._全体実績予測),
  "")
)</f>
        <v/>
      </c>
      <c r="BB172" s="451" t="str">
        <f>_xlfn.LET(_xlpm._全体実績予測,
  INDEX('在庫使用計画 (全体実績+予測）0701'!$A$1:$BD$195,
    MATCH($C172,'在庫使用計画 (全体実績+予測）0701'!$C$1:$C$195,0),
    MATCH(BB$1,'在庫使用計画 (全体実績+予測）0701'!$A$1:$BD$1,0)
),
  IFERROR(
    IF(_xlpm._全体実績予測=0,"",_xlpm._全体実績予測),
  "")
)</f>
        <v/>
      </c>
      <c r="BC172" s="451" t="str">
        <f>_xlfn.LET(_xlpm._全体実績予測,
  INDEX('在庫使用計画 (全体実績+予測）0701'!$A$1:$BD$195,
    MATCH($C172,'在庫使用計画 (全体実績+予測）0701'!$C$1:$C$195,0),
    MATCH(BC$1,'在庫使用計画 (全体実績+予測）0701'!$A$1:$BD$1,0)
),
  IFERROR(
    IF(_xlpm._全体実績予測=0,"",_xlpm._全体実績予測),
  "")
)</f>
        <v/>
      </c>
      <c r="BD172" s="451" t="str">
        <f>_xlfn.LET(_xlpm._全体実績予測,
  INDEX('在庫使用計画 (全体実績+予測）0701'!$A$1:$BD$195,
    MATCH($C172,'在庫使用計画 (全体実績+予測）0701'!$C$1:$C$195,0),
    MATCH(BD$1,'在庫使用計画 (全体実績+予測）0701'!$A$1:$BD$1,0)
),
  IFERROR(
    IF(_xlpm._全体実績予測=0,"",_xlpm._全体実績予測),
  "")
)</f>
        <v/>
      </c>
      <c r="BE172" s="451" t="str">
        <f>_xlfn.LET(_xlpm._全体実績予測,
  INDEX('在庫使用計画 (全体実績+予測）0701'!$A$1:$BD$195,
    MATCH($C172,'在庫使用計画 (全体実績+予測）0701'!$C$1:$C$195,0),
    MATCH(BE$1,'在庫使用計画 (全体実績+予測）0701'!$A$1:$BD$1,0)
),
  IFERROR(
    IF(_xlpm._全体実績予測=0,"",_xlpm._全体実績予測),
  "")
)</f>
        <v/>
      </c>
      <c r="BF172" s="897" t="str">
        <f>_xlfn.LET(_xlpm._全体実績予測,
  INDEX('在庫使用計画 (全体実績+予測）0701'!$A$1:$BD$195,
    MATCH($C172,'在庫使用計画 (全体実績+予測）0701'!$C$1:$C$195,0),
    MATCH(BF$1,'在庫使用計画 (全体実績+予測）0701'!$A$1:$BD$1,0)
),
  IFERROR(
    IF(_xlpm._全体実績予測=0,"",_xlpm._全体実績予測),
  "")
)</f>
        <v/>
      </c>
    </row>
    <row r="173" spans="1:58" ht="18.75" customHeight="1" collapsed="1">
      <c r="A173" s="32"/>
      <c r="B173" s="111" t="str">
        <v/>
      </c>
      <c r="C173" s="24"/>
      <c r="D173" s="51"/>
      <c r="E173" s="26"/>
      <c r="F173" s="26"/>
      <c r="G173" s="43" t="str">
        <v/>
      </c>
      <c r="H173" s="38"/>
      <c r="I173" s="38"/>
      <c r="J173" s="1116" t="str" cm="1">
        <f t="array" ref="J173">_xlfn.IFS($C173="","",
  $G173="","発売前？",
  $G173=0,"在庫なし",
  TRUE,
  IFERROR(
    _xlfn.LET(
      _xlpm._在庫注残,     $G173,
      _xlpm._しきい値,     _xlpm._在庫注残 * 0.75,
      _xlpm._見出し元,     $K$1:$BT$1,
      _xlpm._計画,         $K173:$BT173,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
      </c>
      <c r="K173" s="38"/>
      <c r="L173" s="38"/>
      <c r="M173" s="38"/>
      <c r="N173" s="38"/>
      <c r="O173" s="38"/>
      <c r="P173" s="74"/>
      <c r="Q173" s="116"/>
      <c r="R173" s="1350"/>
      <c r="S173" s="219"/>
      <c r="T173" s="219"/>
      <c r="U173" s="219"/>
      <c r="V173" s="219"/>
      <c r="W173" s="224"/>
      <c r="X173" s="343"/>
      <c r="Y173" s="343"/>
      <c r="Z173" s="343"/>
      <c r="AA173" s="343"/>
      <c r="AB173" s="237"/>
      <c r="AC173" s="805"/>
      <c r="AD173" s="1050"/>
      <c r="AE173" s="237"/>
      <c r="AF173" s="237"/>
      <c r="AG173" s="224"/>
      <c r="AH173" s="237"/>
      <c r="AI173" s="804"/>
      <c r="AJ173" s="224"/>
      <c r="AK173" s="224"/>
      <c r="AL173" s="224"/>
      <c r="AM173" s="224"/>
      <c r="AN173" s="237"/>
      <c r="AO173" s="237"/>
      <c r="AP173" s="224"/>
      <c r="AQ173" s="1050"/>
      <c r="AR173" s="2130"/>
      <c r="AS173" s="244"/>
      <c r="AT173" s="805"/>
      <c r="AU173" s="804"/>
      <c r="AV173" s="224"/>
      <c r="AW173" s="224"/>
      <c r="AX173" s="224"/>
      <c r="AY173" s="224"/>
      <c r="AZ173" s="224"/>
      <c r="BA173" s="224"/>
      <c r="BB173" s="224"/>
      <c r="BC173" s="224"/>
      <c r="BD173" s="224"/>
      <c r="BE173" s="224"/>
      <c r="BF173" s="805"/>
    </row>
    <row r="174" spans="1:58" ht="18.75" customHeight="1">
      <c r="A174" s="124"/>
      <c r="B174" s="55" t="str">
        <v/>
      </c>
      <c r="C174" s="57"/>
      <c r="D174" s="57"/>
      <c r="E174" s="56"/>
      <c r="F174" s="56"/>
      <c r="G174" s="38" t="str">
        <v/>
      </c>
      <c r="H174" s="38"/>
      <c r="I174" s="38"/>
      <c r="J174" s="1116" t="str" cm="1">
        <f t="array" ref="J174">_xlfn.IFS($C174="","",
  $G174="","発売前？",
  $G174=0,"在庫なし",
  TRUE,
  IFERROR(
    _xlfn.LET(
      _xlpm._在庫注残,     $G174,
      _xlpm._しきい値,     _xlpm._在庫注残 * 0.75,
      _xlpm._見出し元,     $K$1:$BT$1,
      _xlpm._計画,         $K174:$BT174,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
      </c>
      <c r="K174" s="57"/>
      <c r="L174" s="57"/>
      <c r="M174" s="57"/>
      <c r="N174" s="57"/>
      <c r="O174" s="57"/>
      <c r="P174" s="57"/>
      <c r="Q174" s="760"/>
      <c r="R174" s="54"/>
      <c r="S174" s="219"/>
      <c r="T174" s="219"/>
      <c r="U174" s="219"/>
      <c r="V174" s="219"/>
      <c r="W174" s="224"/>
      <c r="X174" s="219"/>
      <c r="Y174" s="219"/>
      <c r="Z174" s="219"/>
      <c r="AA174" s="224"/>
      <c r="AB174" s="224"/>
      <c r="AC174" s="805"/>
      <c r="AD174" s="244"/>
      <c r="AE174" s="224"/>
      <c r="AF174" s="224"/>
      <c r="AG174" s="224"/>
      <c r="AH174" s="237"/>
      <c r="AI174" s="804"/>
      <c r="AJ174" s="224"/>
      <c r="AK174" s="224"/>
      <c r="AL174" s="224"/>
      <c r="AM174" s="224"/>
      <c r="AN174" s="237"/>
      <c r="AO174" s="237"/>
      <c r="AP174" s="224"/>
      <c r="AQ174" s="1050"/>
      <c r="AR174" s="2130"/>
      <c r="AS174" s="244"/>
      <c r="AT174" s="805"/>
      <c r="AU174" s="804"/>
      <c r="AV174" s="224"/>
      <c r="AW174" s="224"/>
      <c r="AX174" s="224"/>
      <c r="AY174" s="224"/>
      <c r="AZ174" s="224"/>
      <c r="BA174" s="224"/>
      <c r="BB174" s="224"/>
      <c r="BC174" s="224"/>
      <c r="BD174" s="224"/>
      <c r="BE174" s="224"/>
      <c r="BF174" s="805"/>
    </row>
    <row r="175" spans="1:58" ht="18.75" customHeight="1">
      <c r="A175" s="54"/>
      <c r="B175" s="55" t="str">
        <v/>
      </c>
      <c r="C175" s="57"/>
      <c r="D175" s="57"/>
      <c r="E175" s="56"/>
      <c r="F175" s="56"/>
      <c r="G175" s="38" t="str">
        <v/>
      </c>
      <c r="H175" s="38"/>
      <c r="I175" s="38"/>
      <c r="J175" s="1116" t="str" cm="1">
        <f t="array" ref="J175">_xlfn.IFS($C175="","",
  $G175="","発売前？",
  $G175=0,"在庫なし",
  TRUE,
  IFERROR(
    _xlfn.LET(
      _xlpm._在庫注残,     $G175,
      _xlpm._しきい値,     _xlpm._在庫注残 * 0.75,
      _xlpm._見出し元,     $K$1:$BT$1,
      _xlpm._計画,         $K175:$BT175,
      _xlpm._今日,         基準データ!$C$5,
      _xlpm._今月1日,      EOMONTH(_xlpm._今日, -1) + 1,
      _xlpm._月末日,       EOMONTH(_xlpm._今日, 0),
      _xlpm._今月位置,     _xlfn.XMATCH(_xlpm._今月1日, _xlpm._見出し元),
      _xlpm._今月計画按分, N(INDEX(_xlpm._計画, 1, _xlpm._今月位置)) * (_xlpm._月末日 - _xlpm._今日 + 1) / DAY(_xlpm._月末日),
      _xlpm._件数,         COLUMNS(_xlpm._計画) - _xlpm._今月位置,
      _xlpm._将来計画,     N(INDEX(_xlpm._計画, 1, _xlfn.SEQUENCE(, _xlpm._件数, _xlpm._今月位置 + 1))),
      _xlpm._累計,         MMULT(_xlpm._将来計画, --(_xlfn.SEQUENCE(_xlpm._件数) &lt;= TRANSPOSE(_xlfn.SEQUENCE(_xlpm._件数)))),
      _xlpm._計画合計,     _xlpm._今月計画按分 + SUM(_xlpm._将来計画),
      IF(
        _xlpm._今月計画按分 &gt;= _xlpm._しきい値,
        _xlpm._今月1日,
        IF(
          _xlpm._計画合計 &lt; _xlpm._しきい値,
          "合計" &amp; TEXT(_xlpm._計画合計, "#,##0") &amp; "、在庫+注残" &amp; TEXT(_xlpm._在庫注残, "#,##0") &amp; "のため不足",
          INDEX(_xlpm._見出し元, 1, _xlpm._今月位置 + _xlfn.XMATCH(_xlpm._しきい値 - _xlpm._今月計画按分, _xlpm._累計, 1))
        )
      )
    ),
    "見出し要確認"
  )
)</f>
        <v/>
      </c>
      <c r="K175" s="57"/>
      <c r="L175" s="57"/>
      <c r="M175" s="57"/>
      <c r="N175" s="57"/>
      <c r="O175" s="57"/>
      <c r="P175" s="57"/>
      <c r="Q175" s="760"/>
      <c r="R175" s="54"/>
      <c r="S175" s="219"/>
      <c r="T175" s="219"/>
      <c r="U175" s="219"/>
      <c r="V175" s="219"/>
      <c r="W175" s="224"/>
      <c r="X175" s="219"/>
      <c r="Y175" s="219"/>
      <c r="Z175" s="219"/>
      <c r="AA175" s="224"/>
      <c r="AB175" s="224"/>
      <c r="AC175" s="805"/>
      <c r="AD175" s="244"/>
      <c r="AE175" s="224"/>
      <c r="AF175" s="224"/>
      <c r="AG175" s="224"/>
      <c r="AH175" s="889"/>
      <c r="AI175" s="804"/>
      <c r="AJ175" s="224"/>
      <c r="AK175" s="224"/>
      <c r="AL175" s="224"/>
      <c r="AM175" s="224"/>
      <c r="AN175" s="237"/>
      <c r="AO175" s="237"/>
      <c r="AP175" s="224"/>
      <c r="AQ175" s="1050"/>
      <c r="AR175" s="2130"/>
      <c r="AS175" s="244"/>
      <c r="AT175" s="805"/>
      <c r="AU175" s="804"/>
      <c r="AV175" s="224"/>
      <c r="AW175" s="224"/>
      <c r="AX175" s="224"/>
      <c r="AY175" s="224"/>
      <c r="AZ175" s="224"/>
      <c r="BA175" s="224"/>
      <c r="BB175" s="224"/>
      <c r="BC175" s="224"/>
      <c r="BD175" s="224"/>
      <c r="BE175" s="224"/>
      <c r="BF175" s="805"/>
    </row>
    <row r="176" spans="1:58" ht="18.75" customHeight="1">
      <c r="A176" s="32"/>
      <c r="B176" s="26"/>
      <c r="C176" s="86"/>
      <c r="D176" s="62"/>
      <c r="E176" s="26"/>
      <c r="F176" s="26"/>
      <c r="G176" s="43"/>
      <c r="H176" s="38"/>
      <c r="I176" s="43"/>
      <c r="J176" s="1104"/>
      <c r="K176" s="311"/>
      <c r="L176" s="311"/>
      <c r="M176" s="311"/>
      <c r="N176" s="311"/>
      <c r="O176" s="311"/>
      <c r="P176" s="180"/>
      <c r="Q176" s="313"/>
      <c r="R176" s="1353"/>
      <c r="S176" s="298"/>
      <c r="T176" s="298"/>
      <c r="U176" s="298"/>
      <c r="V176" s="298"/>
      <c r="W176" s="440"/>
      <c r="X176" s="440"/>
      <c r="Y176" s="440"/>
      <c r="Z176" s="440"/>
      <c r="AA176" s="440"/>
      <c r="AB176" s="440"/>
      <c r="AC176" s="1362"/>
      <c r="AD176" s="1190">
        <v>0.91975910804919359</v>
      </c>
      <c r="AE176" s="1184">
        <v>1.0802287788144589</v>
      </c>
      <c r="AF176" s="1184">
        <v>1.0768923714802734</v>
      </c>
      <c r="AG176" s="1184">
        <v>1.0349498033237103</v>
      </c>
      <c r="AH176" s="1189">
        <v>1.4739281732454008</v>
      </c>
      <c r="AI176" s="1190">
        <v>0.86296850797679536</v>
      </c>
      <c r="AJ176" s="1184">
        <v>0.94281256826843862</v>
      </c>
      <c r="AK176" s="1184">
        <v>1.4778243112821845</v>
      </c>
      <c r="AL176" s="1184">
        <v>0.61403208895424399</v>
      </c>
      <c r="AM176" s="1184">
        <v>0.72523030349579054</v>
      </c>
      <c r="AN176" s="1185">
        <v>1.0427097839387063</v>
      </c>
      <c r="AO176" s="1185">
        <v>1.0974094002327746</v>
      </c>
      <c r="AP176" s="1184">
        <v>0.91975910804919359</v>
      </c>
      <c r="AQ176" s="2122">
        <v>1.0802287788144589</v>
      </c>
      <c r="AR176" s="2138">
        <v>1.0768923714802734</v>
      </c>
      <c r="AS176" s="1190">
        <v>1.0349498033237103</v>
      </c>
      <c r="AT176" s="1185">
        <v>1.4739281732454008</v>
      </c>
      <c r="AU176" s="1191">
        <v>0.86296850797679536</v>
      </c>
      <c r="AV176" s="1177">
        <v>0.94281256826843862</v>
      </c>
      <c r="AW176" s="1177">
        <v>1.4778243112821845</v>
      </c>
      <c r="AX176" s="1177">
        <v>0.61403208895424399</v>
      </c>
      <c r="AY176" s="1174">
        <v>0.72523030349579054</v>
      </c>
      <c r="AZ176" s="1174">
        <v>1.0427097839387063</v>
      </c>
      <c r="BA176" s="1174">
        <v>1.0974094002327746</v>
      </c>
      <c r="BB176" s="1174">
        <v>0.91975910804919359</v>
      </c>
      <c r="BC176" s="1174">
        <v>1.0802287788144589</v>
      </c>
      <c r="BD176" s="1174">
        <v>1.0768923714802734</v>
      </c>
      <c r="BE176" s="1174">
        <v>1.0349498033237103</v>
      </c>
      <c r="BF176" s="1176">
        <v>1.4739281732454008</v>
      </c>
    </row>
    <row r="177" spans="1:58" ht="18.75" customHeight="1">
      <c r="A177" s="203"/>
      <c r="B177" s="152"/>
      <c r="C177" s="153" t="s">
        <v>1805</v>
      </c>
      <c r="D177" s="153"/>
      <c r="E177" s="204"/>
      <c r="F177" s="204"/>
      <c r="G177" s="45">
        <f>SUMIFS(在庫確認!C:C,在庫確認!B:B,'在庫使用計画 (計画　予測)'!C:C)</f>
        <v>0</v>
      </c>
      <c r="H177" s="45"/>
      <c r="I177" s="45"/>
      <c r="J177" s="1108"/>
      <c r="K177" s="45">
        <v>1623</v>
      </c>
      <c r="L177" s="45">
        <v>1248</v>
      </c>
      <c r="M177" s="45">
        <v>1881</v>
      </c>
      <c r="N177" s="45">
        <v>1330</v>
      </c>
      <c r="O177" s="45">
        <v>1095</v>
      </c>
      <c r="P177" s="45">
        <v>1340</v>
      </c>
      <c r="Q177" s="388">
        <v>1687</v>
      </c>
      <c r="R177" s="836">
        <v>1404</v>
      </c>
      <c r="S177" s="45">
        <v>1614</v>
      </c>
      <c r="T177" s="45">
        <v>1458</v>
      </c>
      <c r="U177" s="45">
        <v>2085</v>
      </c>
      <c r="V177" s="45">
        <v>2453</v>
      </c>
      <c r="W177" s="45">
        <v>4865</v>
      </c>
      <c r="X177" s="45">
        <v>5546</v>
      </c>
      <c r="Y177" s="45">
        <v>7113</v>
      </c>
      <c r="Z177" s="45">
        <v>4241</v>
      </c>
      <c r="AA177" s="45">
        <v>3379</v>
      </c>
      <c r="AB177" s="45">
        <v>3816</v>
      </c>
      <c r="AC177" s="1380">
        <v>2907</v>
      </c>
      <c r="AD177" s="1346">
        <v>2449</v>
      </c>
      <c r="AE177" s="533">
        <v>48442</v>
      </c>
      <c r="AF177" s="533">
        <v>48455</v>
      </c>
      <c r="AG177" s="533">
        <v>48651</v>
      </c>
      <c r="AH177" s="893">
        <v>48701</v>
      </c>
      <c r="AI177" s="904">
        <v>48391</v>
      </c>
      <c r="AJ177" s="533">
        <v>47600</v>
      </c>
      <c r="AK177" s="533">
        <v>3383</v>
      </c>
      <c r="AL177" s="533">
        <v>2470</v>
      </c>
      <c r="AM177" s="533">
        <f>IFERROR(IF(SUM(INDEX('在庫使用計画 (一般)'!$A$1:$BF$557,MATCH($C177,'在庫使用計画 (一般)'!$C$1:$C$557,0),MATCH(AM$1,'在庫使用計画 (一般)'!$A$1:$BF$1,0)),INDEX('在庫使用計画 (法人)'!$A$1:$AT$578,MATCH($C177,'在庫使用計画 (法人)'!$C$1:$C$578,0),MATCH(AM$1,'在庫使用計画 (法人)'!$A$1:$AT$1,0)))=0,"",SUM(INDEX('在庫使用計画 (一般)'!$A$1:$BF$557,MATCH($C177,'在庫使用計画 (一般)'!$C$1:$C$557,0),MATCH(AM$1,'在庫使用計画 (一般)'!$A$1:$BF$1,0)),INDEX('在庫使用計画 (法人)'!$A$1:$AT$578,MATCH($C177,'在庫使用計画 (法人)'!$C$1:$C$578,0),MATCH(AM$1,'在庫使用計画 (法人)'!$A$1:$AT$1,0)))),"")</f>
        <v>3193</v>
      </c>
      <c r="AN177" s="893">
        <f>IFERROR(IF(SUM(INDEX('在庫使用計画 (一般)'!$A$1:$BF$557,MATCH($C177,'在庫使用計画 (一般)'!$C$1:$C$557,0),MATCH(AN$1,'在庫使用計画 (一般)'!$A$1:$BF$1,0)),INDEX('在庫使用計画 (法人)'!$A$1:$AT$578,MATCH($C177,'在庫使用計画 (法人)'!$C$1:$C$578,0),MATCH(AN$1,'在庫使用計画 (法人)'!$A$1:$AT$1,0)))=0,"",SUM(INDEX('在庫使用計画 (一般)'!$A$1:$BF$557,MATCH($C177,'在庫使用計画 (一般)'!$C$1:$C$557,0),MATCH(AN$1,'在庫使用計画 (一般)'!$A$1:$BF$1,0)),INDEX('在庫使用計画 (法人)'!$A$1:$AT$578,MATCH($C177,'在庫使用計画 (法人)'!$C$1:$C$578,0),MATCH(AN$1,'在庫使用計画 (法人)'!$A$1:$AT$1,0)))),"")</f>
        <v>4678</v>
      </c>
      <c r="AO177" s="893">
        <f>IFERROR(IF(SUM(INDEX('在庫使用計画 (一般)'!$A$1:$BF$557,MATCH($C177,'在庫使用計画 (一般)'!$C$1:$C$557,0),MATCH(AO$1,'在庫使用計画 (一般)'!$A$1:$BF$1,0)),INDEX('在庫使用計画 (法人)'!$A$1:$AT$578,MATCH($C177,'在庫使用計画 (法人)'!$C$1:$C$578,0),MATCH(AO$1,'在庫使用計画 (法人)'!$A$1:$AT$1,0)))=0,"",SUM(INDEX('在庫使用計画 (一般)'!$A$1:$BF$557,MATCH($C177,'在庫使用計画 (一般)'!$C$1:$C$557,0),MATCH(AO$1,'在庫使用計画 (一般)'!$A$1:$BF$1,0)),INDEX('在庫使用計画 (法人)'!$A$1:$AT$578,MATCH($C177,'在庫使用計画 (法人)'!$C$1:$C$578,0),MATCH(AO$1,'在庫使用計画 (法人)'!$A$1:$AT$1,0)))),"")</f>
        <v>5662</v>
      </c>
      <c r="AP177" s="225">
        <f>IFERROR(IF(SUM(INDEX('在庫使用計画 (一般)'!$A$1:$BF$557,MATCH($C177,'在庫使用計画 (一般)'!$C$1:$C$557,0),MATCH(AP$1,'在庫使用計画 (一般)'!$A$1:$BF$1,0)),INDEX('在庫使用計画 (法人)'!$A$1:$AT$578,MATCH($C177,'在庫使用計画 (法人)'!$C$1:$C$578,0),MATCH(AP$1,'在庫使用計画 (法人)'!$A$1:$AT$1,0)))=0,"",SUM(INDEX('在庫使用計画 (一般)'!$A$1:$BF$557,MATCH($C177,'在庫使用計画 (一般)'!$C$1:$C$557,0),MATCH(AP$1,'在庫使用計画 (一般)'!$A$1:$BF$1,0)),INDEX('在庫使用計画 (法人)'!$A$1:$AT$578,MATCH($C177,'在庫使用計画 (法人)'!$C$1:$C$578,0),MATCH(AP$1,'在庫使用計画 (法人)'!$A$1:$AT$1,0)))),"")</f>
        <v>2144</v>
      </c>
      <c r="AQ177" s="2116">
        <f>IFERROR(IF(SUM(INDEX('在庫使用計画 (一般)'!$A$1:$BF$557,MATCH($C177,'在庫使用計画 (一般)'!$C$1:$C$557,0),MATCH(AQ$1,'在庫使用計画 (一般)'!$A$1:$BF$1,0)),INDEX('在庫使用計画 (法人)'!$A$1:$AT$578,MATCH($C177,'在庫使用計画 (法人)'!$C$1:$C$578,0),MATCH(AQ$1,'在庫使用計画 (法人)'!$A$1:$AT$1,0)))=0,"",SUM(INDEX('在庫使用計画 (一般)'!$A$1:$BF$557,MATCH($C177,'在庫使用計画 (一般)'!$C$1:$C$557,0),MATCH(AQ$1,'在庫使用計画 (一般)'!$A$1:$BF$1,0)),INDEX('在庫使用計画 (法人)'!$A$1:$AT$578,MATCH($C177,'在庫使用計画 (法人)'!$C$1:$C$578,0),MATCH(AQ$1,'在庫使用計画 (法人)'!$A$1:$AT$1,0)))),"")</f>
        <v>2857</v>
      </c>
      <c r="AR177" s="2132">
        <f>IFERROR(IF(SUM(INDEX('在庫使用計画 (一般)'!$A$1:$BF$557,MATCH($C177,'在庫使用計画 (一般)'!$C$1:$C$557,0),MATCH(AR$1,'在庫使用計画 (一般)'!$A$1:$BF$1,0)),INDEX('在庫使用計画 (法人)'!$A$1:$AT$578,MATCH($C177,'在庫使用計画 (法人)'!$C$1:$C$578,0),MATCH(AR$1,'在庫使用計画 (法人)'!$A$1:$AT$1,0)))=0,"",SUM(INDEX('在庫使用計画 (一般)'!$A$1:$BF$557,MATCH($C177,'在庫使用計画 (一般)'!$C$1:$C$557,0),MATCH(AR$1,'在庫使用計画 (一般)'!$A$1:$BF$1,0)),INDEX('在庫使用計画 (法人)'!$A$1:$AT$578,MATCH($C177,'在庫使用計画 (法人)'!$C$1:$C$578,0),MATCH(AR$1,'在庫使用計画 (法人)'!$A$1:$AT$1,0)))),"")</f>
        <v>4342</v>
      </c>
      <c r="AS177" s="418">
        <f>IFERROR(IF(SUM(INDEX('在庫使用計画 (一般)'!$A$1:$BF$557,MATCH($C177,'在庫使用計画 (一般)'!$C$1:$C$557,0),MATCH(AS$1,'在庫使用計画 (一般)'!$A$1:$BF$1,0)),INDEX('在庫使用計画 (法人)'!$A$1:$AT$578,MATCH($C177,'在庫使用計画 (法人)'!$C$1:$C$578,0),MATCH(AS$1,'在庫使用計画 (法人)'!$A$1:$AT$1,0)))=0,"",SUM(INDEX('在庫使用計画 (一般)'!$A$1:$BF$557,MATCH($C177,'在庫使用計画 (一般)'!$C$1:$C$557,0),MATCH(AS$1,'在庫使用計画 (一般)'!$A$1:$BF$1,0)),INDEX('在庫使用計画 (法人)'!$A$1:$AT$578,MATCH($C177,'在庫使用計画 (法人)'!$C$1:$C$578,0),MATCH(AS$1,'在庫使用計画 (法人)'!$A$1:$AT$1,0)))),"")</f>
        <v>4705</v>
      </c>
      <c r="AT177" s="807">
        <f>IFERROR(IF(SUM(INDEX('在庫使用計画 (一般)'!$A$1:$BF$557,MATCH($C177,'在庫使用計画 (一般)'!$C$1:$C$557,0),MATCH(AT$1,'在庫使用計画 (一般)'!$A$1:$BF$1,0)),INDEX('在庫使用計画 (法人)'!$A$1:$AT$578,MATCH($C177,'在庫使用計画 (法人)'!$C$1:$C$578,0),MATCH(AT$1,'在庫使用計画 (法人)'!$A$1:$AT$1,0)))=0,"",SUM(INDEX('在庫使用計画 (一般)'!$A$1:$BF$557,MATCH($C177,'在庫使用計画 (一般)'!$C$1:$C$557,0),MATCH(AT$1,'在庫使用計画 (一般)'!$A$1:$BF$1,0)),INDEX('在庫使用計画 (法人)'!$A$1:$AT$578,MATCH($C177,'在庫使用計画 (法人)'!$C$1:$C$578,0),MATCH(AT$1,'在庫使用計画 (法人)'!$A$1:$AT$1,0)))),"")</f>
        <v>4003</v>
      </c>
      <c r="AU177" s="904" t="str">
        <f>IFERROR(IF(SUM(INDEX('在庫使用計画 (一般)'!$A$1:$BF$557,MATCH($C177,'在庫使用計画 (一般)'!$C$1:$C$557,0),MATCH(AU$1,'在庫使用計画 (一般)'!$A$1:$BF$1,0)),INDEX('在庫使用計画 (法人)'!$A$1:$AT$578,MATCH($C177,'在庫使用計画 (法人)'!$C$1:$C$578,0),MATCH(AU$1,'在庫使用計画 (法人)'!$A$1:$AT$1,0)))=0,"",SUM(INDEX('在庫使用計画 (一般)'!$A$1:$BF$557,MATCH($C177,'在庫使用計画 (一般)'!$C$1:$C$557,0),MATCH(AU$1,'在庫使用計画 (一般)'!$A$1:$BF$1,0)),INDEX('在庫使用計画 (法人)'!$A$1:$AT$578,MATCH($C177,'在庫使用計画 (法人)'!$C$1:$C$578,0),MATCH(AU$1,'在庫使用計画 (法人)'!$A$1:$AT$1,0)))),"")</f>
        <v/>
      </c>
      <c r="AV177" s="533" t="str">
        <f>IFERROR(IF(SUM(INDEX('在庫使用計画 (一般)'!$A$1:$BF$557,MATCH($C177,'在庫使用計画 (一般)'!$C$1:$C$557,0),MATCH(AV$1,'在庫使用計画 (一般)'!$A$1:$BF$1,0)),INDEX('在庫使用計画 (法人)'!$A$1:$AT$578,MATCH($C177,'在庫使用計画 (法人)'!$C$1:$C$578,0),MATCH(AV$1,'在庫使用計画 (法人)'!$A$1:$AT$1,0)))=0,"",SUM(INDEX('在庫使用計画 (一般)'!$A$1:$BF$557,MATCH($C177,'在庫使用計画 (一般)'!$C$1:$C$557,0),MATCH(AV$1,'在庫使用計画 (一般)'!$A$1:$BF$1,0)),INDEX('在庫使用計画 (法人)'!$A$1:$AT$578,MATCH($C177,'在庫使用計画 (法人)'!$C$1:$C$578,0),MATCH(AV$1,'在庫使用計画 (法人)'!$A$1:$AT$1,0)))),"")</f>
        <v/>
      </c>
      <c r="AW177" s="533" t="str">
        <f>IFERROR(IF(SUM(INDEX('在庫使用計画 (一般)'!$A$1:$BF$557,MATCH($C177,'在庫使用計画 (一般)'!$C$1:$C$557,0),MATCH(AW$1,'在庫使用計画 (一般)'!$A$1:$BF$1,0)),INDEX('在庫使用計画 (法人)'!$A$1:$AT$578,MATCH($C177,'在庫使用計画 (法人)'!$C$1:$C$578,0),MATCH(AW$1,'在庫使用計画 (法人)'!$A$1:$AT$1,0)))=0,"",SUM(INDEX('在庫使用計画 (一般)'!$A$1:$BF$557,MATCH($C177,'在庫使用計画 (一般)'!$C$1:$C$557,0),MATCH(AW$1,'在庫使用計画 (一般)'!$A$1:$BF$1,0)),INDEX('在庫使用計画 (法人)'!$A$1:$AT$578,MATCH($C177,'在庫使用計画 (法人)'!$C$1:$C$578,0),MATCH(AW$1,'在庫使用計画 (法人)'!$A$1:$AT$1,0)))),"")</f>
        <v/>
      </c>
      <c r="AX177" s="533" t="str">
        <f>IFERROR(IF(SUM(INDEX('在庫使用計画 (一般)'!$A$1:$BF$557,MATCH($C177,'在庫使用計画 (一般)'!$C$1:$C$557,0),MATCH(AX$1,'在庫使用計画 (一般)'!$A$1:$BF$1,0)),INDEX('在庫使用計画 (法人)'!$A$1:$AT$578,MATCH($C177,'在庫使用計画 (法人)'!$C$1:$C$578,0),MATCH(AX$1,'在庫使用計画 (法人)'!$A$1:$AT$1,0)))=0,"",SUM(INDEX('在庫使用計画 (一般)'!$A$1:$BF$557,MATCH($C177,'在庫使用計画 (一般)'!$C$1:$C$557,0),MATCH(AX$1,'在庫使用計画 (一般)'!$A$1:$BF$1,0)),INDEX('在庫使用計画 (法人)'!$A$1:$AT$578,MATCH($C177,'在庫使用計画 (法人)'!$C$1:$C$578,0),MATCH(AX$1,'在庫使用計画 (法人)'!$A$1:$AT$1,0)))),"")</f>
        <v/>
      </c>
      <c r="AY177" s="533" t="str">
        <f>IFERROR(IF(SUM(INDEX('在庫使用計画 (一般)'!$A$1:$BF$557,MATCH($C177,'在庫使用計画 (一般)'!$C$1:$C$557,0),MATCH(AY$1,'在庫使用計画 (一般)'!$A$1:$BF$1,0)),INDEX('在庫使用計画 (法人)'!$A$1:$AT$578,MATCH($C177,'在庫使用計画 (法人)'!$C$1:$C$578,0),MATCH(AY$1,'在庫使用計画 (法人)'!$A$1:$AT$1,0)))=0,"",SUM(INDEX('在庫使用計画 (一般)'!$A$1:$BF$557,MATCH($C177,'在庫使用計画 (一般)'!$C$1:$C$557,0),MATCH(AY$1,'在庫使用計画 (一般)'!$A$1:$BF$1,0)),INDEX('在庫使用計画 (法人)'!$A$1:$AT$578,MATCH($C177,'在庫使用計画 (法人)'!$C$1:$C$578,0),MATCH(AY$1,'在庫使用計画 (法人)'!$A$1:$AT$1,0)))),"")</f>
        <v/>
      </c>
      <c r="AZ177" s="533" t="str">
        <f>IFERROR(IF(SUM(INDEX('在庫使用計画 (一般)'!$A$1:$BF$557,MATCH($C177,'在庫使用計画 (一般)'!$C$1:$C$557,0),MATCH(AZ$1,'在庫使用計画 (一般)'!$A$1:$BF$1,0)),INDEX('在庫使用計画 (法人)'!$A$1:$AT$578,MATCH($C177,'在庫使用計画 (法人)'!$C$1:$C$578,0),MATCH(AZ$1,'在庫使用計画 (法人)'!$A$1:$AT$1,0)))=0,"",SUM(INDEX('在庫使用計画 (一般)'!$A$1:$BF$557,MATCH($C177,'在庫使用計画 (一般)'!$C$1:$C$557,0),MATCH(AZ$1,'在庫使用計画 (一般)'!$A$1:$BF$1,0)),INDEX('在庫使用計画 (法人)'!$A$1:$AT$578,MATCH($C177,'在庫使用計画 (法人)'!$C$1:$C$578,0),MATCH(AZ$1,'在庫使用計画 (法人)'!$A$1:$AT$1,0)))),"")</f>
        <v/>
      </c>
      <c r="BA177" s="533" t="str">
        <f>IFERROR(IF(SUM(INDEX('在庫使用計画 (一般)'!$A$1:$BF$557,MATCH($C177,'在庫使用計画 (一般)'!$C$1:$C$557,0),MATCH(BA$1,'在庫使用計画 (一般)'!$A$1:$BF$1,0)),INDEX('在庫使用計画 (法人)'!$A$1:$AT$578,MATCH($C177,'在庫使用計画 (法人)'!$C$1:$C$578,0),MATCH(BA$1,'在庫使用計画 (法人)'!$A$1:$AT$1,0)))=0,"",SUM(INDEX('在庫使用計画 (一般)'!$A$1:$BF$557,MATCH($C177,'在庫使用計画 (一般)'!$C$1:$C$557,0),MATCH(BA$1,'在庫使用計画 (一般)'!$A$1:$BF$1,0)),INDEX('在庫使用計画 (法人)'!$A$1:$AT$578,MATCH($C177,'在庫使用計画 (法人)'!$C$1:$C$578,0),MATCH(BA$1,'在庫使用計画 (法人)'!$A$1:$AT$1,0)))),"")</f>
        <v/>
      </c>
      <c r="BB177" s="225" t="str">
        <f>IFERROR(IF(SUM(INDEX('在庫使用計画 (一般)'!$A$1:$BF$557,MATCH($C177,'在庫使用計画 (一般)'!$C$1:$C$557,0),MATCH(BB$1,'在庫使用計画 (一般)'!$A$1:$BF$1,0)),INDEX('在庫使用計画 (法人)'!$A$1:$AT$578,MATCH($C177,'在庫使用計画 (法人)'!$C$1:$C$578,0),MATCH(BB$1,'在庫使用計画 (法人)'!$A$1:$AT$1,0)))=0,"",SUM(INDEX('在庫使用計画 (一般)'!$A$1:$BF$557,MATCH($C177,'在庫使用計画 (一般)'!$C$1:$C$557,0),MATCH(BB$1,'在庫使用計画 (一般)'!$A$1:$BF$1,0)),INDEX('在庫使用計画 (法人)'!$A$1:$AT$578,MATCH($C177,'在庫使用計画 (法人)'!$C$1:$C$578,0),MATCH(BB$1,'在庫使用計画 (法人)'!$A$1:$AT$1,0)))),"")</f>
        <v/>
      </c>
      <c r="BC177" s="225" t="str">
        <f>IFERROR(IF(SUM(INDEX('在庫使用計画 (一般)'!$A$1:$BF$557,MATCH($C177,'在庫使用計画 (一般)'!$C$1:$C$557,0),MATCH(BC$1,'在庫使用計画 (一般)'!$A$1:$BF$1,0)),INDEX('在庫使用計画 (法人)'!$A$1:$AT$578,MATCH($C177,'在庫使用計画 (法人)'!$C$1:$C$578,0),MATCH(BC$1,'在庫使用計画 (法人)'!$A$1:$AT$1,0)))=0,"",SUM(INDEX('在庫使用計画 (一般)'!$A$1:$BF$557,MATCH($C177,'在庫使用計画 (一般)'!$C$1:$C$557,0),MATCH(BC$1,'在庫使用計画 (一般)'!$A$1:$BF$1,0)),INDEX('在庫使用計画 (法人)'!$A$1:$AT$578,MATCH($C177,'在庫使用計画 (法人)'!$C$1:$C$578,0),MATCH(BC$1,'在庫使用計画 (法人)'!$A$1:$AT$1,0)))),"")</f>
        <v/>
      </c>
      <c r="BD177" s="225" t="str">
        <f>IFERROR(IF(SUM(INDEX('在庫使用計画 (一般)'!$A$1:$BF$557,MATCH($C177,'在庫使用計画 (一般)'!$C$1:$C$557,0),MATCH(BD$1,'在庫使用計画 (一般)'!$A$1:$BF$1,0)),INDEX('在庫使用計画 (法人)'!$A$1:$AT$578,MATCH($C177,'在庫使用計画 (法人)'!$C$1:$C$578,0),MATCH(BD$1,'在庫使用計画 (法人)'!$A$1:$AT$1,0)))=0,"",SUM(INDEX('在庫使用計画 (一般)'!$A$1:$BF$557,MATCH($C177,'在庫使用計画 (一般)'!$C$1:$C$557,0),MATCH(BD$1,'在庫使用計画 (一般)'!$A$1:$BF$1,0)),INDEX('在庫使用計画 (法人)'!$A$1:$AT$578,MATCH($C177,'在庫使用計画 (法人)'!$C$1:$C$578,0),MATCH(BD$1,'在庫使用計画 (法人)'!$A$1:$AT$1,0)))),"")</f>
        <v/>
      </c>
      <c r="BE177" s="225" t="str">
        <f>IFERROR(IF(SUM(INDEX('在庫使用計画 (一般)'!$A$1:$BF$557,MATCH($C177,'在庫使用計画 (一般)'!$C$1:$C$557,0),MATCH(BE$1,'在庫使用計画 (一般)'!$A$1:$BF$1,0)),INDEX('在庫使用計画 (法人)'!$A$1:$AT$578,MATCH($C177,'在庫使用計画 (法人)'!$C$1:$C$578,0),MATCH(BE$1,'在庫使用計画 (法人)'!$A$1:$AT$1,0)))=0,"",SUM(INDEX('在庫使用計画 (一般)'!$A$1:$BF$557,MATCH($C177,'在庫使用計画 (一般)'!$C$1:$C$557,0),MATCH(BE$1,'在庫使用計画 (一般)'!$A$1:$BF$1,0)),INDEX('在庫使用計画 (法人)'!$A$1:$AT$578,MATCH($C177,'在庫使用計画 (法人)'!$C$1:$C$578,0),MATCH(BE$1,'在庫使用計画 (法人)'!$A$1:$AT$1,0)))),"")</f>
        <v/>
      </c>
      <c r="BF177" s="807" t="str">
        <f>IFERROR(IF(SUM(INDEX('在庫使用計画 (一般)'!$A$1:$BF$557,MATCH($C177,'在庫使用計画 (一般)'!$C$1:$C$557,0),MATCH(BF$1,'在庫使用計画 (一般)'!$A$1:$BF$1,0)),INDEX('在庫使用計画 (法人)'!$A$1:$AT$578,MATCH($C177,'在庫使用計画 (法人)'!$C$1:$C$578,0),MATCH(BF$1,'在庫使用計画 (法人)'!$A$1:$AT$1,0)))=0,"",SUM(INDEX('在庫使用計画 (一般)'!$A$1:$BF$557,MATCH($C177,'在庫使用計画 (一般)'!$C$1:$C$557,0),MATCH(BF$1,'在庫使用計画 (一般)'!$A$1:$BF$1,0)),INDEX('在庫使用計画 (法人)'!$A$1:$AT$578,MATCH($C177,'在庫使用計画 (法人)'!$C$1:$C$578,0),MATCH(BF$1,'在庫使用計画 (法人)'!$A$1:$AT$1,0)))),"")</f>
        <v/>
      </c>
    </row>
    <row r="178" spans="1:58" ht="18.75" customHeight="1">
      <c r="A178" s="646"/>
      <c r="B178" s="446"/>
      <c r="C178" s="452" t="s">
        <v>1664</v>
      </c>
      <c r="D178" s="554"/>
      <c r="E178" s="553"/>
      <c r="F178" s="555"/>
      <c r="G178" s="552"/>
      <c r="H178" s="552"/>
      <c r="I178" s="552"/>
      <c r="J178" s="1114"/>
      <c r="K178" s="552"/>
      <c r="L178" s="552"/>
      <c r="M178" s="552"/>
      <c r="N178" s="552"/>
      <c r="O178" s="552"/>
      <c r="P178" s="552"/>
      <c r="Q178" s="556"/>
      <c r="R178" s="1381"/>
      <c r="S178" s="552"/>
      <c r="T178" s="552"/>
      <c r="U178" s="552"/>
      <c r="V178" s="552"/>
      <c r="W178" s="552"/>
      <c r="X178" s="556"/>
      <c r="Y178" s="556"/>
      <c r="Z178" s="552"/>
      <c r="AA178" s="552"/>
      <c r="AB178" s="552"/>
      <c r="AC178" s="1372">
        <v>2898</v>
      </c>
      <c r="AD178" s="1340">
        <v>2027</v>
      </c>
      <c r="AE178" s="465">
        <v>1837</v>
      </c>
      <c r="AF178" s="465">
        <v>2215</v>
      </c>
      <c r="AG178" s="465">
        <v>1716</v>
      </c>
      <c r="AH178" s="892">
        <v>1959</v>
      </c>
      <c r="AI178" s="903">
        <v>1935</v>
      </c>
      <c r="AJ178" s="465">
        <v>1457</v>
      </c>
      <c r="AK178" s="465">
        <v>3313</v>
      </c>
      <c r="AL178" s="465">
        <v>2047</v>
      </c>
      <c r="AM178" s="465">
        <f>IFERROR(IF(SUM(INDEX('在庫使用計画 (全体実績+予測）0701'!$A$1:$ZY$522,MATCH($C178,'在庫使用計画 (全体実績+予測）0701'!$C$1:$C$522,0),MATCH(AM$1,'在庫使用計画 (全体実績+予測）0701'!$A$1:$ZY$1,0)))=0,"",SUM(INDEX('在庫使用計画 (全体実績+予測）0701'!$A$1:$ZY$522,MATCH($C178,'在庫使用計画 (全体実績+予測）0701'!$C$1:$C$522,0),MATCH(AM$1,'在庫使用計画 (全体実績+予測）0701'!$A$1:$ZY$1,0)))),"")</f>
        <v>1606</v>
      </c>
      <c r="AN178" s="892">
        <f>IFERROR(IF(SUM(INDEX('在庫使用計画 (全体実績+予測）0701'!$A$1:$ZY$522,MATCH($C178,'在庫使用計画 (全体実績+予測）0701'!$C$1:$C$522,0),MATCH(AN$1,'在庫使用計画 (全体実績+予測）0701'!$A$1:$ZY$1,0)))=0,"",SUM(INDEX('在庫使用計画 (全体実績+予測）0701'!$A$1:$ZY$522,MATCH($C178,'在庫使用計画 (全体実績+予測）0701'!$C$1:$C$522,0),MATCH(AN$1,'在庫使用計画 (全体実績+予測）0701'!$A$1:$ZY$1,0)))),"")</f>
        <v>3031.071428571428</v>
      </c>
      <c r="AO178" s="892">
        <f>IFERROR(IF(SUM(INDEX('在庫使用計画 (全体実績+予測）0701'!$A$1:$ZY$522,MATCH($C178,'在庫使用計画 (全体実績+予測）0701'!$C$1:$C$522,0),MATCH(AO$1,'在庫使用計画 (全体実績+予測）0701'!$A$1:$ZY$1,0)))=0,"",SUM(INDEX('在庫使用計画 (全体実績+予測）0701'!$A$1:$ZY$522,MATCH($C178,'在庫使用計画 (全体実績+予測）0701'!$C$1:$C$522,0),MATCH(AO$1,'在庫使用計画 (全体実績+予測）0701'!$A$1:$ZY$1,0)))),"")</f>
        <v>3326.3262784912704</v>
      </c>
      <c r="AP178" s="451">
        <f>IFERROR(IF(SUM(INDEX('在庫使用計画 (全体実績+予測）0701'!$A$1:$ZY$522,MATCH($C178,'在庫使用計画 (全体実績+予測）0701'!$C$1:$C$522,0),MATCH(AP$1,'在庫使用計画 (全体実績+予測）0701'!$A$1:$ZY$1,0)))=0,"",SUM(INDEX('在庫使用計画 (全体実績+予測）0701'!$A$1:$ZY$522,MATCH($C178,'在庫使用計画 (全体実績+予測）0701'!$C$1:$C$522,0),MATCH(AP$1,'在庫使用計画 (全体実績+予測）0701'!$A$1:$ZY$1,0)))),"")</f>
        <v>3059.4188909857253</v>
      </c>
      <c r="AQ178" s="2121">
        <f>IFERROR(IF(SUM(INDEX('在庫使用計画 (全体実績+予測）0701'!$A$1:$ZY$522,MATCH($C178,'在庫使用計画 (全体実績+予測）0701'!$C$1:$C$522,0),MATCH(AQ$1,'在庫使用計画 (全体実績+予測）0701'!$A$1:$ZY$1,0)))=0,"",SUM(INDEX('在庫使用計画 (全体実績+予測）0701'!$A$1:$ZY$522,MATCH($C178,'在庫使用計画 (全体実績+予測）0701'!$C$1:$C$522,0),MATCH(AQ$1,'在庫使用計画 (全体実績+予測）0701'!$A$1:$ZY$1,0)))),"")</f>
        <v>3304.8723324913963</v>
      </c>
      <c r="AR178" s="2137">
        <f>IFERROR(IF(SUM(INDEX('在庫使用計画 (全体実績+予測）0701'!$A$1:$ZY$522,MATCH($C178,'在庫使用計画 (全体実績+予測）0701'!$C$1:$C$522,0),MATCH(AR$1,'在庫使用計画 (全体実績+予測）0701'!$A$1:$ZY$1,0)))=0,"",SUM(INDEX('在庫使用計画 (全体実績+予測）0701'!$A$1:$ZY$522,MATCH($C178,'在庫使用計画 (全体実績+予測）0701'!$C$1:$C$522,0),MATCH(AR$1,'在庫使用計画 (全体実績+予測）0701'!$A$1:$ZY$1,0)))),"")</f>
        <v>3558.9918035762016</v>
      </c>
      <c r="AS178" s="1292">
        <f>IFERROR(IF(SUM(INDEX('在庫使用計画 (全体実績+予測）0701'!$A$1:$ZY$522,MATCH($C178,'在庫使用計画 (全体実績+予測）0701'!$C$1:$C$522,0),MATCH(AS$1,'在庫使用計画 (全体実績+予測）0701'!$A$1:$ZY$1,0)))=0,"",SUM(INDEX('在庫使用計画 (全体実績+予測）0701'!$A$1:$ZY$522,MATCH($C178,'在庫使用計画 (全体実績+予測）0701'!$C$1:$C$522,0),MATCH(AS$1,'在庫使用計画 (全体実績+予測）0701'!$A$1:$ZY$1,0)))),"")</f>
        <v>3683.3778671418868</v>
      </c>
      <c r="AT178" s="897">
        <f>IFERROR(IF(SUM(INDEX('在庫使用計画 (全体実績+予測）0701'!$A$1:$ZY$522,MATCH($C178,'在庫使用計画 (全体実績+予測）0701'!$C$1:$C$522,0),MATCH(AT$1,'在庫使用計画 (全体実績+予測）0701'!$A$1:$ZY$1,0)))=0,"",SUM(INDEX('在庫使用計画 (全体実績+予測）0701'!$A$1:$ZY$522,MATCH($C178,'在庫使用計画 (全体実績+予測）0701'!$C$1:$C$522,0),MATCH(AT$1,'在庫使用計画 (全体実績+予測）0701'!$A$1:$ZY$1,0)))),"")</f>
        <v>5429.0344110889819</v>
      </c>
      <c r="AU178" s="903">
        <f>IFERROR(IF(SUM(INDEX('在庫使用計画 (全体実績+予測）0701'!$A$1:$ZY$522,MATCH($C178,'在庫使用計画 (全体実績+予測）0701'!$C$1:$C$522,0),MATCH(AU$1,'在庫使用計画 (全体実績+予測）0701'!$A$1:$ZY$1,0)))=0,"",SUM(INDEX('在庫使用計画 (全体実績+予測）0701'!$A$1:$ZY$522,MATCH($C178,'在庫使用計画 (全体実績+予測）0701'!$C$1:$C$522,0),MATCH(AU$1,'在庫使用計画 (全体実績+予測）0701'!$A$1:$ZY$1,0)))),"")</f>
        <v>4685.0857254921384</v>
      </c>
      <c r="AV178" s="465">
        <f>IFERROR(IF(SUM(INDEX('在庫使用計画 (全体実績+予測）0701'!$A$1:$ZY$522,MATCH($C178,'在庫使用計画 (全体実績+予測）0701'!$C$1:$C$522,0),MATCH(AV$1,'在庫使用計画 (全体実績+予測）0701'!$A$1:$ZY$1,0)))=0,"",SUM(INDEX('在庫使用計画 (全体実績+予測）0701'!$A$1:$ZY$522,MATCH($C178,'在庫使用計画 (全体実績+予測）0701'!$C$1:$C$522,0),MATCH(AV$1,'在庫使用計画 (全体実績+予測）0701'!$A$1:$ZY$1,0)))),"")</f>
        <v>4417.157705409043</v>
      </c>
      <c r="AW178" s="465">
        <f>IFERROR(IF(SUM(INDEX('在庫使用計画 (全体実績+予測）0701'!$A$1:$ZY$522,MATCH($C178,'在庫使用計画 (全体実績+予測）0701'!$C$1:$C$522,0),MATCH(AW$1,'在庫使用計画 (全体実績+予測）0701'!$A$1:$ZY$1,0)))=0,"",SUM(INDEX('在庫使用計画 (全体実績+予測）0701'!$A$1:$ZY$522,MATCH($C178,'在庫使用計画 (全体実績+予測）0701'!$C$1:$C$522,0),MATCH(AW$1,'在庫使用計画 (全体実績+予測）0701'!$A$1:$ZY$1,0)))),"")</f>
        <v>6527.7830438209148</v>
      </c>
      <c r="AX178" s="465">
        <f>IFERROR(IF(SUM(INDEX('在庫使用計画 (全体実績+予測）0701'!$A$1:$ZY$522,MATCH($C178,'在庫使用計画 (全体実績+予測）0701'!$C$1:$C$522,0),MATCH(AX$1,'在庫使用計画 (全体実績+予測）0701'!$A$1:$ZY$1,0)))=0,"",SUM(INDEX('在庫使用計画 (全体実績+予測）0701'!$A$1:$ZY$522,MATCH($C178,'在庫使用計画 (全体実績+予測）0701'!$C$1:$C$522,0),MATCH(AX$1,'在庫使用計画 (全体実績+予測）0701'!$A$1:$ZY$1,0)))),"")</f>
        <v>4008.2682586374503</v>
      </c>
      <c r="AY178" s="465">
        <f>IFERROR(IF(SUM(INDEX('在庫使用計画 (全体実績+予測）0701'!$A$1:$ZY$522,MATCH($C178,'在庫使用計画 (全体実績+予測）0701'!$C$1:$C$522,0),MATCH(AY$1,'在庫使用計画 (全体実績+予測）0701'!$A$1:$ZY$1,0)))=0,"",SUM(INDEX('在庫使用計画 (全体実績+予測）0701'!$A$1:$ZY$522,MATCH($C178,'在庫使用計画 (全体実績+予測）0701'!$C$1:$C$522,0),MATCH(AY$1,'在庫使用計画 (全体実績+予測）0701'!$A$1:$ZY$1,0)))),"")</f>
        <v>2906.9176057041814</v>
      </c>
      <c r="AZ178" s="465">
        <f>IFERROR(IF(SUM(INDEX('在庫使用計画 (全体実績+予測）0701'!$A$1:$ZY$522,MATCH($C178,'在庫使用計画 (全体実績+予測）0701'!$C$1:$C$522,0),MATCH(AZ$1,'在庫使用計画 (全体実績+予測）0701'!$A$1:$ZY$1,0)))=0,"",SUM(INDEX('在庫使用計画 (全体実績+予測）0701'!$A$1:$ZY$522,MATCH($C178,'在庫使用計画 (全体実績+予測）0701'!$C$1:$C$522,0),MATCH(AZ$1,'在庫使用計画 (全体実績+予測）0701'!$A$1:$ZY$1,0)))),"")</f>
        <v>3031.071428571428</v>
      </c>
      <c r="BA178" s="465">
        <f>IFERROR(IF(SUM(INDEX('在庫使用計画 (全体実績+予測）0701'!$A$1:$ZY$522,MATCH($C178,'在庫使用計画 (全体実績+予測）0701'!$C$1:$C$522,0),MATCH(BA$1,'在庫使用計画 (全体実績+予測）0701'!$A$1:$ZY$1,0)))=0,"",SUM(INDEX('在庫使用計画 (全体実績+予測）0701'!$A$1:$ZY$522,MATCH($C178,'在庫使用計画 (全体実績+予測）0701'!$C$1:$C$522,0),MATCH(BA$1,'在庫使用計画 (全体実績+予測）0701'!$A$1:$ZY$1,0)))),"")</f>
        <v>3326.3262784912704</v>
      </c>
      <c r="BB178" s="451">
        <f>IFERROR(IF(SUM(INDEX('在庫使用計画 (全体実績+予測）0701'!$A$1:$ZY$522,MATCH($C178,'在庫使用計画 (全体実績+予測）0701'!$C$1:$C$522,0),MATCH(BB$1,'在庫使用計画 (全体実績+予測）0701'!$A$1:$ZY$1,0)))=0,"",SUM(INDEX('在庫使用計画 (全体実績+予測）0701'!$A$1:$ZY$522,MATCH($C178,'在庫使用計画 (全体実績+予測）0701'!$C$1:$C$522,0),MATCH(BB$1,'在庫使用計画 (全体実績+予測）0701'!$A$1:$ZY$1,0)))),"")</f>
        <v>3059.4188909857253</v>
      </c>
      <c r="BC178" s="451">
        <f>IFERROR(IF(SUM(INDEX('在庫使用計画 (全体実績+予測）0701'!$A$1:$ZY$522,MATCH($C178,'在庫使用計画 (全体実績+予測）0701'!$C$1:$C$522,0),MATCH(BC$1,'在庫使用計画 (全体実績+予測）0701'!$A$1:$ZY$1,0)))=0,"",SUM(INDEX('在庫使用計画 (全体実績+予測）0701'!$A$1:$ZY$522,MATCH($C178,'在庫使用計画 (全体実績+予測）0701'!$C$1:$C$522,0),MATCH(BC$1,'在庫使用計画 (全体実績+予測）0701'!$A$1:$ZY$1,0)))),"")</f>
        <v>3304.8723324913963</v>
      </c>
      <c r="BD178" s="451">
        <f>IFERROR(IF(SUM(INDEX('在庫使用計画 (全体実績+予測）0701'!$A$1:$ZY$522,MATCH($C178,'在庫使用計画 (全体実績+予測）0701'!$C$1:$C$522,0),MATCH(BD$1,'在庫使用計画 (全体実績+予測）0701'!$A$1:$ZY$1,0)))=0,"",SUM(INDEX('在庫使用計画 (全体実績+予測）0701'!$A$1:$ZY$522,MATCH($C178,'在庫使用計画 (全体実績+予測）0701'!$C$1:$C$522,0),MATCH(BD$1,'在庫使用計画 (全体実績+予測）0701'!$A$1:$ZY$1,0)))),"")</f>
        <v>3558.9918035762007</v>
      </c>
      <c r="BE178" s="451">
        <f>IFERROR(IF(SUM(INDEX('在庫使用計画 (全体実績+予測）0701'!$A$1:$ZY$522,MATCH($C178,'在庫使用計画 (全体実績+予測）0701'!$C$1:$C$522,0),MATCH(BE$1,'在庫使用計画 (全体実績+予測）0701'!$A$1:$ZY$1,0)))=0,"",SUM(INDEX('在庫使用計画 (全体実績+予測）0701'!$A$1:$ZY$522,MATCH($C178,'在庫使用計画 (全体実績+予測）0701'!$C$1:$C$522,0),MATCH(BE$1,'在庫使用計画 (全体実績+予測）0701'!$A$1:$ZY$1,0)))),"")</f>
        <v>3683.3778671418868</v>
      </c>
      <c r="BF178" s="897">
        <f>IFERROR(IF(SUM(INDEX('在庫使用計画 (全体実績+予測）0701'!$A$1:$ZY$522,MATCH($C178,'在庫使用計画 (全体実績+予測）0701'!$C$1:$C$522,0),MATCH(BF$1,'在庫使用計画 (全体実績+予測）0701'!$A$1:$ZY$1,0)))=0,"",SUM(INDEX('在庫使用計画 (全体実績+予測）0701'!$A$1:$ZY$522,MATCH($C178,'在庫使用計画 (全体実績+予測）0701'!$C$1:$C$522,0),MATCH(BF$1,'在庫使用計画 (全体実績+予測）0701'!$A$1:$ZY$1,0)))),"")</f>
        <v>5429.0344110889819</v>
      </c>
    </row>
    <row r="179" spans="1:58" ht="18.75" customHeight="1" thickBot="1">
      <c r="A179" s="200"/>
      <c r="B179" s="189"/>
      <c r="C179" s="201"/>
      <c r="D179" s="201"/>
      <c r="E179" s="323"/>
      <c r="F179" s="324"/>
      <c r="G179" s="359"/>
      <c r="H179" s="325"/>
      <c r="I179" s="359"/>
      <c r="J179" s="1115"/>
      <c r="K179" s="325">
        <v>2621</v>
      </c>
      <c r="L179" s="325">
        <v>2341</v>
      </c>
      <c r="M179" s="325">
        <v>3712</v>
      </c>
      <c r="N179" s="325">
        <v>2266</v>
      </c>
      <c r="O179" s="325">
        <v>2009</v>
      </c>
      <c r="P179" s="325">
        <v>1813</v>
      </c>
      <c r="Q179" s="1330">
        <v>1934</v>
      </c>
      <c r="R179" s="1382">
        <v>1652.2194053316034</v>
      </c>
      <c r="S179" s="316">
        <v>1967.1459936763054</v>
      </c>
      <c r="T179" s="316">
        <v>1979.3690477656746</v>
      </c>
      <c r="U179" s="316">
        <v>1991.0584366056528</v>
      </c>
      <c r="V179" s="316">
        <v>2702.6014326330587</v>
      </c>
      <c r="W179" s="316">
        <v>2481.2039595584747</v>
      </c>
      <c r="X179" s="317">
        <v>2403.0937640073348</v>
      </c>
      <c r="Y179" s="317">
        <v>3270.0091146860723</v>
      </c>
      <c r="Z179" s="316">
        <v>2473.5298463530553</v>
      </c>
      <c r="AA179" s="316">
        <v>2211.0713041461254</v>
      </c>
      <c r="AB179" s="316">
        <v>2316.6081945402466</v>
      </c>
      <c r="AC179" s="906">
        <v>2445.3733121718051</v>
      </c>
      <c r="AD179" s="1295"/>
      <c r="AE179" s="316"/>
      <c r="AF179" s="316"/>
      <c r="AG179" s="316"/>
      <c r="AH179" s="317"/>
      <c r="AI179" s="905"/>
      <c r="AJ179" s="316"/>
      <c r="AK179" s="316"/>
      <c r="AL179" s="316"/>
      <c r="AM179" s="316"/>
      <c r="AN179" s="317"/>
      <c r="AO179" s="317"/>
      <c r="AP179" s="316"/>
      <c r="AQ179" s="2125"/>
      <c r="AR179" s="2141"/>
      <c r="AS179" s="1295"/>
      <c r="AT179" s="906"/>
      <c r="AU179" s="905"/>
      <c r="AV179" s="316"/>
      <c r="AW179" s="316"/>
      <c r="AX179" s="316"/>
      <c r="AY179" s="316"/>
      <c r="AZ179" s="316"/>
      <c r="BA179" s="316"/>
      <c r="BB179" s="316"/>
      <c r="BC179" s="316"/>
      <c r="BD179" s="316"/>
      <c r="BE179" s="316"/>
      <c r="BF179" s="906"/>
    </row>
    <row r="180" spans="1:58" ht="18.75" customHeight="1">
      <c r="A180" s="29" t="s">
        <v>1503</v>
      </c>
      <c r="B180" s="30" t="s">
        <v>1503</v>
      </c>
      <c r="C180" s="30" t="s">
        <v>10</v>
      </c>
      <c r="D180" s="30" t="s">
        <v>1324</v>
      </c>
      <c r="E180" s="30" t="s">
        <v>1325</v>
      </c>
      <c r="F180" s="30"/>
      <c r="G180" s="40"/>
      <c r="H180" s="311"/>
      <c r="I180" s="664"/>
      <c r="J180" s="1112"/>
      <c r="K180" s="41"/>
      <c r="L180" s="41"/>
      <c r="M180" s="41"/>
      <c r="N180" s="41"/>
      <c r="O180" s="41"/>
      <c r="P180" s="41"/>
      <c r="Q180" s="1331"/>
      <c r="R180" s="1383"/>
      <c r="S180" s="231"/>
      <c r="T180" s="231"/>
      <c r="U180" s="231"/>
      <c r="V180" s="218"/>
      <c r="W180" s="218"/>
      <c r="X180" s="218"/>
      <c r="Y180" s="218"/>
      <c r="Z180" s="135"/>
      <c r="AA180" s="135"/>
      <c r="AB180" s="135"/>
      <c r="AC180" s="844"/>
      <c r="AD180" s="1296"/>
      <c r="AE180" s="135"/>
      <c r="AF180" s="135"/>
      <c r="AG180" s="135"/>
      <c r="AH180" s="822"/>
      <c r="AI180" s="843"/>
      <c r="AJ180" s="135"/>
      <c r="AK180" s="135"/>
      <c r="AL180" s="135"/>
      <c r="AM180" s="135"/>
      <c r="AN180" s="822"/>
      <c r="AO180" s="1455"/>
      <c r="AP180" s="2114"/>
      <c r="AQ180" s="2126"/>
      <c r="AR180" s="2142"/>
      <c r="AS180" s="1296"/>
      <c r="AT180" s="844"/>
      <c r="AU180" s="843"/>
      <c r="AV180" s="135"/>
      <c r="AW180" s="135"/>
      <c r="AX180" s="135"/>
      <c r="AY180" s="135"/>
      <c r="AZ180" s="135"/>
      <c r="BA180" s="135"/>
      <c r="BB180" s="135"/>
      <c r="BC180" s="135"/>
      <c r="BD180" s="135"/>
      <c r="BE180" s="135"/>
      <c r="BF180" s="844"/>
    </row>
    <row r="181" spans="1:58" ht="18.75" customHeight="1">
      <c r="A181" s="54" t="s">
        <v>1504</v>
      </c>
      <c r="B181" s="55" t="s">
        <v>1007</v>
      </c>
      <c r="C181" s="57" t="s">
        <v>1005</v>
      </c>
      <c r="D181" s="55" t="s">
        <v>19</v>
      </c>
      <c r="E181" s="56">
        <v>4070</v>
      </c>
      <c r="F181" s="56" t="s">
        <v>1347</v>
      </c>
      <c r="G181" s="38" cm="1">
        <f t="array" ref="G181:G190">IF($C181:$C190="","",
_xlfn.XLOOKUP($C181:$C190,'在庫使用計画 (ノート全体試算)'!$C$1:$C$122,'在庫使用計画 (ノート全体試算)'!$G$1:$G$122,""))</f>
        <v>0</v>
      </c>
      <c r="H181" s="38">
        <f ca="1">_xlfn.LET(_xlpm._今月から4ヶ月計画合計,
  SUM(
    OFFSET($A181,0,
      MATCH(
        EDATE(基準データ!$C$5,3),$A$1:$BE$1,1
      )-4,1,4)),
  IF($C181="","",_xlpm._今月から4ヶ月計画合計
)
)</f>
        <v>0</v>
      </c>
      <c r="I181" s="38">
        <f>SUMIFS(マスタ_EOLリスト[在庫],マスタ_EOLリスト[製品型番],'在庫使用計画 (計画　予測)'!$C:$C)</f>
        <v>0</v>
      </c>
      <c r="J181" s="1105"/>
      <c r="K181" s="38">
        <v>60</v>
      </c>
      <c r="L181" s="38">
        <v>50</v>
      </c>
      <c r="M181" s="38">
        <v>4</v>
      </c>
      <c r="N181" s="38">
        <v>20</v>
      </c>
      <c r="O181" s="38">
        <v>21</v>
      </c>
      <c r="P181" s="38">
        <v>22</v>
      </c>
      <c r="Q181" s="116">
        <v>14</v>
      </c>
      <c r="R181" s="1350">
        <v>19</v>
      </c>
      <c r="S181" s="219">
        <v>15</v>
      </c>
      <c r="T181" s="219">
        <v>17</v>
      </c>
      <c r="U181" s="219" t="s">
        <v>21</v>
      </c>
      <c r="V181" s="219" t="s">
        <v>21</v>
      </c>
      <c r="W181" s="224" t="s">
        <v>21</v>
      </c>
      <c r="X181" s="224" t="s">
        <v>21</v>
      </c>
      <c r="Y181" s="224" t="s">
        <v>21</v>
      </c>
      <c r="Z181" s="244" t="s">
        <v>21</v>
      </c>
      <c r="AA181" s="224" t="s">
        <v>21</v>
      </c>
      <c r="AB181" s="224" t="s">
        <v>21</v>
      </c>
      <c r="AC181" s="805" t="s">
        <v>21</v>
      </c>
      <c r="AD181" s="244" t="s">
        <v>21</v>
      </c>
      <c r="AE181" s="224" t="s">
        <v>21</v>
      </c>
      <c r="AF181" s="224" t="s">
        <v>21</v>
      </c>
      <c r="AG181" s="224" t="s">
        <v>21</v>
      </c>
      <c r="AH181" s="237" t="s">
        <v>21</v>
      </c>
      <c r="AI181" s="907" t="s">
        <v>21</v>
      </c>
      <c r="AJ181" s="224" t="s">
        <v>21</v>
      </c>
      <c r="AK181" s="224" t="s">
        <v>21</v>
      </c>
      <c r="AL181" s="224" t="s">
        <v>21</v>
      </c>
      <c r="AM181" s="224" t="str">
        <f>_xlfn.XLOOKUP(
$C181,
'在庫使用計画 (ノート全体試算)'!$C$1:$C$170,
'在庫使用計画 (ノート全体試算)'!AN$1:AN$170,
"")</f>
        <v/>
      </c>
      <c r="AN181" s="237" t="str">
        <f>_xlfn.XLOOKUP(
$C181,
'在庫使用計画 (ノート全体試算)'!$C$1:$C$170,
'在庫使用計画 (ノート全体試算)'!AO$1:AO$170,
"")</f>
        <v/>
      </c>
      <c r="AO181" s="237" t="str">
        <f>_xlfn.XLOOKUP(
$C181,
'在庫使用計画 (ノート全体試算)'!$C$1:$C$170,
'在庫使用計画 (ノート全体試算)'!AP$1:AP$170,
"")</f>
        <v/>
      </c>
      <c r="AP181" s="224" t="str">
        <f>_xlfn.XLOOKUP(
$C181,
'在庫使用計画 (ノート全体試算)'!$C$1:$C$170,
'在庫使用計画 (ノート全体試算)'!AQ$1:AQ$170,
"")</f>
        <v/>
      </c>
      <c r="AQ181" s="1050" t="str">
        <f>_xlfn.XLOOKUP(
$C181,
'在庫使用計画 (ノート全体試算)'!$C$1:$C$170,
'在庫使用計画 (ノート全体試算)'!AR$1:AR$170,
"")</f>
        <v/>
      </c>
      <c r="AR181" s="2130" t="str">
        <f>_xlfn.XLOOKUP(
$C181,
'在庫使用計画 (ノート全体試算)'!$C$1:$C$170,
'在庫使用計画 (ノート全体試算)'!AS$1:AS$170,
"")</f>
        <v/>
      </c>
      <c r="AS181" s="244" t="str">
        <f>_xlfn.XLOOKUP(
$C181,
'在庫使用計画 (ノート全体試算)'!$C$1:$C$170,
'在庫使用計画 (ノート全体試算)'!AT$1:AT$170,
"")</f>
        <v/>
      </c>
      <c r="AT181" s="805" t="str">
        <f>_xlfn.XLOOKUP(
$C181,
'在庫使用計画 (ノート全体試算)'!$C$1:$C$170,
'在庫使用計画 (ノート全体試算)'!AU$1:AU$170,
"")</f>
        <v/>
      </c>
      <c r="AU181" s="907"/>
      <c r="AV181" s="224"/>
      <c r="AW181" s="224"/>
      <c r="AX181" s="224"/>
      <c r="AY181" s="224"/>
      <c r="AZ181" s="224"/>
      <c r="BA181" s="224"/>
      <c r="BB181" s="224"/>
      <c r="BC181" s="224"/>
      <c r="BD181" s="224"/>
      <c r="BE181" s="224"/>
      <c r="BF181" s="805"/>
    </row>
    <row r="182" spans="1:58" ht="18.75" customHeight="1">
      <c r="A182" s="54" t="s">
        <v>1317</v>
      </c>
      <c r="B182" s="55" t="s">
        <v>1317</v>
      </c>
      <c r="C182" s="57" t="s">
        <v>1317</v>
      </c>
      <c r="D182" s="57" t="s">
        <v>1317</v>
      </c>
      <c r="E182" s="56" t="s">
        <v>1317</v>
      </c>
      <c r="F182" s="56"/>
      <c r="G182" s="38" t="str">
        <v/>
      </c>
      <c r="H182" s="38">
        <f ca="1">_xlfn.LET(_xlpm._今月から4ヶ月計画合計,
  SUM(
    OFFSET($A182,0,
      MATCH(
        EDATE(基準データ!$C$5,3),$A$1:$BE$1,1
      )-4,1,4)),
  IF($C182="","",_xlpm._今月から4ヶ月計画合計
)
)</f>
        <v>0</v>
      </c>
      <c r="I182" s="38"/>
      <c r="J182" s="1113"/>
      <c r="K182" s="57" t="s">
        <v>1317</v>
      </c>
      <c r="L182" s="57" t="s">
        <v>1317</v>
      </c>
      <c r="M182" s="57" t="s">
        <v>1317</v>
      </c>
      <c r="N182" s="57" t="s">
        <v>1317</v>
      </c>
      <c r="O182" s="57" t="s">
        <v>1317</v>
      </c>
      <c r="P182" s="57" t="s">
        <v>1317</v>
      </c>
      <c r="Q182" s="760" t="s">
        <v>1317</v>
      </c>
      <c r="R182" s="54" t="s">
        <v>1317</v>
      </c>
      <c r="S182" s="235" t="s">
        <v>1317</v>
      </c>
      <c r="T182" s="235" t="s">
        <v>1317</v>
      </c>
      <c r="U182" s="235" t="s">
        <v>1317</v>
      </c>
      <c r="V182" s="238" t="s">
        <v>1317</v>
      </c>
      <c r="W182" s="224" t="s">
        <v>21</v>
      </c>
      <c r="X182" s="239" t="s">
        <v>1317</v>
      </c>
      <c r="Y182" s="239" t="s">
        <v>1317</v>
      </c>
      <c r="Z182" s="245" t="s">
        <v>1317</v>
      </c>
      <c r="AA182" s="239" t="s">
        <v>1317</v>
      </c>
      <c r="AB182" s="239" t="s">
        <v>1317</v>
      </c>
      <c r="AC182" s="1384" t="s">
        <v>1317</v>
      </c>
      <c r="AD182" s="245" t="s">
        <v>1317</v>
      </c>
      <c r="AE182" s="238"/>
      <c r="AF182" s="238"/>
      <c r="AG182" s="238"/>
      <c r="AH182" s="237" t="s">
        <v>21</v>
      </c>
      <c r="AI182" s="847" t="s">
        <v>21</v>
      </c>
      <c r="AJ182" s="224" t="s">
        <v>21</v>
      </c>
      <c r="AK182" s="224" t="s">
        <v>21</v>
      </c>
      <c r="AL182" s="224" t="s">
        <v>21</v>
      </c>
      <c r="AM182" s="224" t="str">
        <f>_xlfn.XLOOKUP(
$C182,
'在庫使用計画 (ノート全体試算)'!$C$1:$C$170,
'在庫使用計画 (ノート全体試算)'!AN$1:AN$170,
"")</f>
        <v/>
      </c>
      <c r="AN182" s="237" t="str">
        <f>_xlfn.XLOOKUP(
$C182,
'在庫使用計画 (ノート全体試算)'!$C$1:$C$170,
'在庫使用計画 (ノート全体試算)'!AO$1:AO$170,
"")</f>
        <v/>
      </c>
      <c r="AO182" s="237" t="str">
        <f>_xlfn.XLOOKUP(
$C182,
'在庫使用計画 (ノート全体試算)'!$C$1:$C$170,
'在庫使用計画 (ノート全体試算)'!AP$1:AP$170,
"")</f>
        <v/>
      </c>
      <c r="AP182" s="224" t="str">
        <f>_xlfn.XLOOKUP(
$C182,
'在庫使用計画 (ノート全体試算)'!$C$1:$C$170,
'在庫使用計画 (ノート全体試算)'!AQ$1:AQ$170,
"")</f>
        <v/>
      </c>
      <c r="AQ182" s="1050" t="str">
        <f>_xlfn.XLOOKUP(
$C182,
'在庫使用計画 (ノート全体試算)'!$C$1:$C$170,
'在庫使用計画 (ノート全体試算)'!AR$1:AR$170,
"")</f>
        <v/>
      </c>
      <c r="AR182" s="2130" t="str">
        <f>_xlfn.XLOOKUP(
$C182,
'在庫使用計画 (ノート全体試算)'!$C$1:$C$170,
'在庫使用計画 (ノート全体試算)'!AS$1:AS$170,
"")</f>
        <v/>
      </c>
      <c r="AS182" s="244" t="str">
        <f>_xlfn.XLOOKUP(
$C182,
'在庫使用計画 (ノート全体試算)'!$C$1:$C$170,
'在庫使用計画 (ノート全体試算)'!AT$1:AT$170,
"")</f>
        <v/>
      </c>
      <c r="AT182" s="805" t="str">
        <f>_xlfn.XLOOKUP(
$C182,
'在庫使用計画 (ノート全体試算)'!$C$1:$C$170,
'在庫使用計画 (ノート全体試算)'!AU$1:AU$170,
"")</f>
        <v/>
      </c>
      <c r="AU182" s="847"/>
      <c r="AV182" s="224"/>
      <c r="AW182" s="224"/>
      <c r="AX182" s="224"/>
      <c r="AY182" s="224"/>
      <c r="AZ182" s="224"/>
      <c r="BA182" s="224"/>
      <c r="BB182" s="224"/>
      <c r="BC182" s="224"/>
      <c r="BD182" s="224"/>
      <c r="BE182" s="224"/>
      <c r="BF182" s="805"/>
    </row>
    <row r="183" spans="1:58" ht="18.75" customHeight="1">
      <c r="A183" s="114" t="s">
        <v>1406</v>
      </c>
      <c r="B183" s="55" t="s">
        <v>985</v>
      </c>
      <c r="C183" s="57" t="s">
        <v>1509</v>
      </c>
      <c r="D183" s="57" t="s">
        <v>1505</v>
      </c>
      <c r="E183" s="56" t="s">
        <v>1506</v>
      </c>
      <c r="F183" s="56"/>
      <c r="G183" s="38">
        <v>0</v>
      </c>
      <c r="H183" s="38">
        <f ca="1">_xlfn.LET(_xlpm._今月から4ヶ月計画合計,
  SUM(
    OFFSET($A183,0,
      MATCH(
        EDATE(基準データ!$C$5,3),$A$1:$BE$1,1
      )-4,1,4)),
  IF($C183="","",_xlpm._今月から4ヶ月計画合計
)
)</f>
        <v>0</v>
      </c>
      <c r="I183" s="38">
        <f>SUMIFS(マスタ_EOLリスト[在庫],マスタ_EOLリスト[製品型番],'在庫使用計画 (計画　予測)'!$C:$C)</f>
        <v>0</v>
      </c>
      <c r="J183" s="1113"/>
      <c r="K183" s="57"/>
      <c r="L183" s="57"/>
      <c r="M183" s="57"/>
      <c r="N183" s="57"/>
      <c r="O183" s="57"/>
      <c r="P183" s="57"/>
      <c r="Q183" s="760"/>
      <c r="R183" s="54"/>
      <c r="S183" s="219" t="s">
        <v>21</v>
      </c>
      <c r="T183" s="219" t="s">
        <v>21</v>
      </c>
      <c r="U183" s="219" t="s">
        <v>21</v>
      </c>
      <c r="V183" s="219" t="s">
        <v>21</v>
      </c>
      <c r="W183" s="224">
        <v>2</v>
      </c>
      <c r="X183" s="224">
        <v>3</v>
      </c>
      <c r="Y183" s="224" t="s">
        <v>21</v>
      </c>
      <c r="Z183" s="224" t="s">
        <v>21</v>
      </c>
      <c r="AA183" s="224">
        <v>3</v>
      </c>
      <c r="AB183" s="224" t="s">
        <v>21</v>
      </c>
      <c r="AC183" s="805" t="s">
        <v>21</v>
      </c>
      <c r="AD183" s="244" t="s">
        <v>21</v>
      </c>
      <c r="AE183" s="224" t="s">
        <v>21</v>
      </c>
      <c r="AF183" s="224" t="s">
        <v>21</v>
      </c>
      <c r="AG183" s="224" t="s">
        <v>21</v>
      </c>
      <c r="AH183" s="237" t="s">
        <v>21</v>
      </c>
      <c r="AI183" s="804" t="s">
        <v>21</v>
      </c>
      <c r="AJ183" s="224" t="s">
        <v>21</v>
      </c>
      <c r="AK183" s="224" t="s">
        <v>21</v>
      </c>
      <c r="AL183" s="224" t="s">
        <v>21</v>
      </c>
      <c r="AM183" s="224" t="str">
        <f>_xlfn.XLOOKUP(
$C183,
'在庫使用計画 (ノート全体試算)'!$C$1:$C$170,
'在庫使用計画 (ノート全体試算)'!AN$1:AN$170,
"")</f>
        <v/>
      </c>
      <c r="AN183" s="237" t="str">
        <f>_xlfn.XLOOKUP(
$C183,
'在庫使用計画 (ノート全体試算)'!$C$1:$C$170,
'在庫使用計画 (ノート全体試算)'!AO$1:AO$170,
"")</f>
        <v/>
      </c>
      <c r="AO183" s="237" t="str">
        <f>_xlfn.XLOOKUP(
$C183,
'在庫使用計画 (ノート全体試算)'!$C$1:$C$170,
'在庫使用計画 (ノート全体試算)'!AP$1:AP$170,
"")</f>
        <v/>
      </c>
      <c r="AP183" s="224" t="str">
        <f>_xlfn.XLOOKUP(
$C183,
'在庫使用計画 (ノート全体試算)'!$C$1:$C$170,
'在庫使用計画 (ノート全体試算)'!AQ$1:AQ$170,
"")</f>
        <v/>
      </c>
      <c r="AQ183" s="1050" t="str">
        <f>_xlfn.XLOOKUP(
$C183,
'在庫使用計画 (ノート全体試算)'!$C$1:$C$170,
'在庫使用計画 (ノート全体試算)'!AR$1:AR$170,
"")</f>
        <v/>
      </c>
      <c r="AR183" s="2130" t="str">
        <f>_xlfn.XLOOKUP(
$C183,
'在庫使用計画 (ノート全体試算)'!$C$1:$C$170,
'在庫使用計画 (ノート全体試算)'!AS$1:AS$170,
"")</f>
        <v/>
      </c>
      <c r="AS183" s="244" t="str">
        <f>_xlfn.XLOOKUP(
$C183,
'在庫使用計画 (ノート全体試算)'!$C$1:$C$170,
'在庫使用計画 (ノート全体試算)'!AT$1:AT$170,
"")</f>
        <v/>
      </c>
      <c r="AT183" s="805" t="str">
        <f>_xlfn.XLOOKUP(
$C183,
'在庫使用計画 (ノート全体試算)'!$C$1:$C$170,
'在庫使用計画 (ノート全体試算)'!AU$1:AU$170,
"")</f>
        <v/>
      </c>
      <c r="AU183" s="804"/>
      <c r="AV183" s="224"/>
      <c r="AW183" s="224"/>
      <c r="AX183" s="224"/>
      <c r="AY183" s="224"/>
      <c r="AZ183" s="224"/>
      <c r="BA183" s="224"/>
      <c r="BB183" s="224"/>
      <c r="BC183" s="224"/>
      <c r="BD183" s="224"/>
      <c r="BE183" s="224"/>
      <c r="BF183" s="805"/>
    </row>
    <row r="184" spans="1:58" ht="18.75" customHeight="1">
      <c r="A184" s="114" t="s">
        <v>1406</v>
      </c>
      <c r="B184" s="55" t="s">
        <v>988</v>
      </c>
      <c r="C184" s="57" t="s">
        <v>986</v>
      </c>
      <c r="D184" s="57" t="s">
        <v>1505</v>
      </c>
      <c r="E184" s="56" t="s">
        <v>1507</v>
      </c>
      <c r="F184" s="56"/>
      <c r="G184" s="38">
        <v>16</v>
      </c>
      <c r="H184" s="38">
        <f ca="1">_xlfn.LET(_xlpm._今月から4ヶ月計画合計,
  SUM(
    OFFSET($A184,0,
      MATCH(
        EDATE(基準データ!$C$5,3),$A$1:$BE$1,1
      )-4,1,4)),
  IF($C184="","",_xlpm._今月から4ヶ月計画合計
)
)</f>
        <v>0</v>
      </c>
      <c r="I184" s="38">
        <f>SUMIFS(マスタ_EOLリスト[在庫],マスタ_EOLリスト[製品型番],'在庫使用計画 (計画　予測)'!$C:$C)</f>
        <v>16</v>
      </c>
      <c r="J184" s="1113"/>
      <c r="K184" s="57"/>
      <c r="L184" s="57"/>
      <c r="M184" s="57"/>
      <c r="N184" s="57"/>
      <c r="O184" s="57"/>
      <c r="P184" s="57"/>
      <c r="Q184" s="760"/>
      <c r="R184" s="54"/>
      <c r="S184" s="219" t="s">
        <v>21</v>
      </c>
      <c r="T184" s="219" t="s">
        <v>21</v>
      </c>
      <c r="U184" s="219" t="s">
        <v>21</v>
      </c>
      <c r="V184" s="219" t="s">
        <v>21</v>
      </c>
      <c r="W184" s="224">
        <v>4</v>
      </c>
      <c r="X184" s="219">
        <v>61</v>
      </c>
      <c r="Y184" s="219">
        <v>52</v>
      </c>
      <c r="Z184" s="219">
        <v>59</v>
      </c>
      <c r="AA184" s="224">
        <v>31</v>
      </c>
      <c r="AB184" s="224" t="s">
        <v>21</v>
      </c>
      <c r="AC184" s="805" t="s">
        <v>21</v>
      </c>
      <c r="AD184" s="244" t="s">
        <v>21</v>
      </c>
      <c r="AE184" s="224">
        <v>25</v>
      </c>
      <c r="AF184" s="224">
        <v>25</v>
      </c>
      <c r="AG184" s="224">
        <v>22</v>
      </c>
      <c r="AH184" s="237" t="s">
        <v>21</v>
      </c>
      <c r="AI184" s="804" t="s">
        <v>21</v>
      </c>
      <c r="AJ184" s="224" t="s">
        <v>21</v>
      </c>
      <c r="AK184" s="224" t="s">
        <v>21</v>
      </c>
      <c r="AL184" s="224" t="s">
        <v>21</v>
      </c>
      <c r="AM184" s="224">
        <f>_xlfn.XLOOKUP(
$C184,
'在庫使用計画 (ノート全体試算)'!$C$1:$C$170,
'在庫使用計画 (ノート全体試算)'!AN$1:AN$170,
"")</f>
        <v>6</v>
      </c>
      <c r="AN184" s="237" t="str">
        <f>_xlfn.XLOOKUP(
$C184,
'在庫使用計画 (ノート全体試算)'!$C$1:$C$170,
'在庫使用計画 (ノート全体試算)'!AO$1:AO$170,
"")</f>
        <v/>
      </c>
      <c r="AO184" s="237" t="str">
        <f>_xlfn.XLOOKUP(
$C184,
'在庫使用計画 (ノート全体試算)'!$C$1:$C$170,
'在庫使用計画 (ノート全体試算)'!AP$1:AP$170,
"")</f>
        <v/>
      </c>
      <c r="AP184" s="224" t="str">
        <f>_xlfn.XLOOKUP(
$C184,
'在庫使用計画 (ノート全体試算)'!$C$1:$C$170,
'在庫使用計画 (ノート全体試算)'!AQ$1:AQ$170,
"")</f>
        <v/>
      </c>
      <c r="AQ184" s="1050" t="str">
        <f>_xlfn.XLOOKUP(
$C184,
'在庫使用計画 (ノート全体試算)'!$C$1:$C$170,
'在庫使用計画 (ノート全体試算)'!AR$1:AR$170,
"")</f>
        <v/>
      </c>
      <c r="AR184" s="2130" t="str">
        <f>_xlfn.XLOOKUP(
$C184,
'在庫使用計画 (ノート全体試算)'!$C$1:$C$170,
'在庫使用計画 (ノート全体試算)'!AS$1:AS$170,
"")</f>
        <v/>
      </c>
      <c r="AS184" s="244" t="str">
        <f>_xlfn.XLOOKUP(
$C184,
'在庫使用計画 (ノート全体試算)'!$C$1:$C$170,
'在庫使用計画 (ノート全体試算)'!AT$1:AT$170,
"")</f>
        <v/>
      </c>
      <c r="AT184" s="805" t="str">
        <f>_xlfn.XLOOKUP(
$C184,
'在庫使用計画 (ノート全体試算)'!$C$1:$C$170,
'在庫使用計画 (ノート全体試算)'!AU$1:AU$170,
"")</f>
        <v/>
      </c>
      <c r="AU184" s="804"/>
      <c r="AV184" s="224"/>
      <c r="AW184" s="224"/>
      <c r="AX184" s="224"/>
      <c r="AY184" s="224"/>
      <c r="AZ184" s="224"/>
      <c r="BA184" s="224"/>
      <c r="BB184" s="224"/>
      <c r="BC184" s="224"/>
      <c r="BD184" s="224"/>
      <c r="BE184" s="224"/>
      <c r="BF184" s="805"/>
    </row>
    <row r="185" spans="1:58" ht="18.75" customHeight="1">
      <c r="A185" s="114" t="s">
        <v>1406</v>
      </c>
      <c r="B185" s="55" t="s">
        <v>1511</v>
      </c>
      <c r="C185" s="57" t="s">
        <v>1512</v>
      </c>
      <c r="D185" s="115" t="s">
        <v>1513</v>
      </c>
      <c r="E185" s="106">
        <v>4060</v>
      </c>
      <c r="F185" s="68" t="s">
        <v>1347</v>
      </c>
      <c r="G185" s="38">
        <v>0</v>
      </c>
      <c r="H185" s="38">
        <f ca="1">_xlfn.LET(_xlpm._今月から4ヶ月計画合計,
  SUM(
    OFFSET($A185,0,
      MATCH(
        EDATE(基準データ!$C$5,3),$A$1:$BE$1,1
      )-4,1,4)),
  IF($C185="","",_xlpm._今月から4ヶ月計画合計
)
)</f>
        <v>0</v>
      </c>
      <c r="I185" s="38">
        <f>SUMIFS(マスタ_EOLリスト[在庫],マスタ_EOLリスト[製品型番],'在庫使用計画 (計画　予測)'!$C:$C)</f>
        <v>0</v>
      </c>
      <c r="J185" s="1105"/>
      <c r="K185" s="38" t="s">
        <v>21</v>
      </c>
      <c r="L185" s="38" t="s">
        <v>21</v>
      </c>
      <c r="M185" s="38" t="s">
        <v>21</v>
      </c>
      <c r="N185" s="38" t="s">
        <v>21</v>
      </c>
      <c r="O185" s="38" t="s">
        <v>21</v>
      </c>
      <c r="P185" s="38" t="s">
        <v>21</v>
      </c>
      <c r="Q185" s="116">
        <v>55</v>
      </c>
      <c r="R185" s="1350">
        <v>17</v>
      </c>
      <c r="S185" s="219">
        <v>70</v>
      </c>
      <c r="T185" s="219">
        <v>37</v>
      </c>
      <c r="U185" s="219">
        <v>75</v>
      </c>
      <c r="V185" s="219">
        <v>47</v>
      </c>
      <c r="W185" s="224">
        <v>79</v>
      </c>
      <c r="X185" s="224">
        <v>119</v>
      </c>
      <c r="Y185" s="224">
        <v>75</v>
      </c>
      <c r="Z185" s="224">
        <v>67</v>
      </c>
      <c r="AA185" s="224">
        <v>57</v>
      </c>
      <c r="AB185" s="224">
        <v>57</v>
      </c>
      <c r="AC185" s="805">
        <v>47</v>
      </c>
      <c r="AD185" s="244">
        <v>30</v>
      </c>
      <c r="AE185" s="224">
        <v>14</v>
      </c>
      <c r="AF185" s="224" t="s">
        <v>21</v>
      </c>
      <c r="AG185" s="224" t="s">
        <v>21</v>
      </c>
      <c r="AH185" s="237" t="s">
        <v>21</v>
      </c>
      <c r="AI185" s="804" t="s">
        <v>21</v>
      </c>
      <c r="AJ185" s="224" t="s">
        <v>21</v>
      </c>
      <c r="AK185" s="224" t="s">
        <v>21</v>
      </c>
      <c r="AL185" s="224" t="s">
        <v>21</v>
      </c>
      <c r="AM185" s="224" t="str">
        <f>_xlfn.XLOOKUP(
$C185,
'在庫使用計画 (ノート全体試算)'!$C$1:$C$170,
'在庫使用計画 (ノート全体試算)'!AN$1:AN$170,
"")</f>
        <v/>
      </c>
      <c r="AN185" s="237" t="str">
        <f>_xlfn.XLOOKUP(
$C185,
'在庫使用計画 (ノート全体試算)'!$C$1:$C$170,
'在庫使用計画 (ノート全体試算)'!AO$1:AO$170,
"")</f>
        <v/>
      </c>
      <c r="AO185" s="237" t="str">
        <f>_xlfn.XLOOKUP(
$C185,
'在庫使用計画 (ノート全体試算)'!$C$1:$C$170,
'在庫使用計画 (ノート全体試算)'!AP$1:AP$170,
"")</f>
        <v/>
      </c>
      <c r="AP185" s="224" t="str">
        <f>_xlfn.XLOOKUP(
$C185,
'在庫使用計画 (ノート全体試算)'!$C$1:$C$170,
'在庫使用計画 (ノート全体試算)'!AQ$1:AQ$170,
"")</f>
        <v/>
      </c>
      <c r="AQ185" s="1050" t="str">
        <f>_xlfn.XLOOKUP(
$C185,
'在庫使用計画 (ノート全体試算)'!$C$1:$C$170,
'在庫使用計画 (ノート全体試算)'!AR$1:AR$170,
"")</f>
        <v/>
      </c>
      <c r="AR185" s="2130" t="str">
        <f>_xlfn.XLOOKUP(
$C185,
'在庫使用計画 (ノート全体試算)'!$C$1:$C$170,
'在庫使用計画 (ノート全体試算)'!AS$1:AS$170,
"")</f>
        <v/>
      </c>
      <c r="AS185" s="244" t="str">
        <f>_xlfn.XLOOKUP(
$C185,
'在庫使用計画 (ノート全体試算)'!$C$1:$C$170,
'在庫使用計画 (ノート全体試算)'!AT$1:AT$170,
"")</f>
        <v/>
      </c>
      <c r="AT185" s="805" t="str">
        <f>_xlfn.XLOOKUP(
$C185,
'在庫使用計画 (ノート全体試算)'!$C$1:$C$170,
'在庫使用計画 (ノート全体試算)'!AU$1:AU$170,
"")</f>
        <v/>
      </c>
      <c r="AU185" s="804"/>
      <c r="AV185" s="224"/>
      <c r="AW185" s="224"/>
      <c r="AX185" s="224"/>
      <c r="AY185" s="224"/>
      <c r="AZ185" s="224"/>
      <c r="BA185" s="224"/>
      <c r="BB185" s="224"/>
      <c r="BC185" s="224"/>
      <c r="BD185" s="224"/>
      <c r="BE185" s="224"/>
      <c r="BF185" s="805"/>
    </row>
    <row r="186" spans="1:58" ht="18.75" customHeight="1">
      <c r="A186" s="59" t="s">
        <v>1317</v>
      </c>
      <c r="B186" s="55" t="s">
        <v>1317</v>
      </c>
      <c r="C186" s="55" t="s">
        <v>1317</v>
      </c>
      <c r="D186" s="55" t="s">
        <v>1317</v>
      </c>
      <c r="E186" s="58" t="s">
        <v>1317</v>
      </c>
      <c r="F186" s="58"/>
      <c r="G186" s="38" t="str">
        <v/>
      </c>
      <c r="H186" s="38">
        <f ca="1">_xlfn.LET(_xlpm._今月から4ヶ月計画合計,
  SUM(
    OFFSET($A186,0,
      MATCH(
        EDATE(基準データ!$C$5,3),$A$1:$BE$1,1
      )-4,1,4)),
  IF($C186="","",_xlpm._今月から4ヶ月計画合計
)
)</f>
        <v>0</v>
      </c>
      <c r="I186" s="38"/>
      <c r="J186" s="1113"/>
      <c r="K186" s="57" t="s">
        <v>1317</v>
      </c>
      <c r="L186" s="57" t="s">
        <v>1317</v>
      </c>
      <c r="M186" s="57" t="s">
        <v>1317</v>
      </c>
      <c r="N186" s="57" t="s">
        <v>1317</v>
      </c>
      <c r="O186" s="57" t="s">
        <v>1317</v>
      </c>
      <c r="P186" s="57" t="s">
        <v>1317</v>
      </c>
      <c r="Q186" s="760" t="s">
        <v>1317</v>
      </c>
      <c r="R186" s="54" t="s">
        <v>1317</v>
      </c>
      <c r="S186" s="238" t="s">
        <v>1317</v>
      </c>
      <c r="T186" s="238" t="s">
        <v>1317</v>
      </c>
      <c r="U186" s="238" t="s">
        <v>1317</v>
      </c>
      <c r="V186" s="238" t="s">
        <v>1317</v>
      </c>
      <c r="W186" s="239" t="s">
        <v>1317</v>
      </c>
      <c r="X186" s="239" t="s">
        <v>1317</v>
      </c>
      <c r="Y186" s="239" t="s">
        <v>1317</v>
      </c>
      <c r="Z186" s="239" t="s">
        <v>1317</v>
      </c>
      <c r="AA186" s="224" t="s">
        <v>21</v>
      </c>
      <c r="AB186" s="224" t="s">
        <v>21</v>
      </c>
      <c r="AC186" s="805" t="s">
        <v>21</v>
      </c>
      <c r="AD186" s="244" t="s">
        <v>21</v>
      </c>
      <c r="AE186" s="224" t="s">
        <v>21</v>
      </c>
      <c r="AF186" s="224" t="s">
        <v>21</v>
      </c>
      <c r="AG186" s="224" t="s">
        <v>21</v>
      </c>
      <c r="AH186" s="237" t="s">
        <v>21</v>
      </c>
      <c r="AI186" s="804" t="s">
        <v>21</v>
      </c>
      <c r="AJ186" s="224" t="s">
        <v>21</v>
      </c>
      <c r="AK186" s="224" t="s">
        <v>21</v>
      </c>
      <c r="AL186" s="224" t="s">
        <v>21</v>
      </c>
      <c r="AM186" s="224" t="str">
        <f>_xlfn.XLOOKUP(
$C186,
'在庫使用計画 (ノート全体試算)'!$C$1:$C$170,
'在庫使用計画 (ノート全体試算)'!AN$1:AN$170,
"")</f>
        <v/>
      </c>
      <c r="AN186" s="237" t="str">
        <f>_xlfn.XLOOKUP(
$C186,
'在庫使用計画 (ノート全体試算)'!$C$1:$C$170,
'在庫使用計画 (ノート全体試算)'!AO$1:AO$170,
"")</f>
        <v/>
      </c>
      <c r="AO186" s="237" t="str">
        <f>_xlfn.XLOOKUP(
$C186,
'在庫使用計画 (ノート全体試算)'!$C$1:$C$170,
'在庫使用計画 (ノート全体試算)'!AP$1:AP$170,
"")</f>
        <v/>
      </c>
      <c r="AP186" s="224" t="str">
        <f>_xlfn.XLOOKUP(
$C186,
'在庫使用計画 (ノート全体試算)'!$C$1:$C$170,
'在庫使用計画 (ノート全体試算)'!AQ$1:AQ$170,
"")</f>
        <v/>
      </c>
      <c r="AQ186" s="1050" t="str">
        <f>_xlfn.XLOOKUP(
$C186,
'在庫使用計画 (ノート全体試算)'!$C$1:$C$170,
'在庫使用計画 (ノート全体試算)'!AR$1:AR$170,
"")</f>
        <v/>
      </c>
      <c r="AR186" s="2130" t="str">
        <f>_xlfn.XLOOKUP(
$C186,
'在庫使用計画 (ノート全体試算)'!$C$1:$C$170,
'在庫使用計画 (ノート全体試算)'!AS$1:AS$170,
"")</f>
        <v/>
      </c>
      <c r="AS186" s="244" t="str">
        <f>_xlfn.XLOOKUP(
$C186,
'在庫使用計画 (ノート全体試算)'!$C$1:$C$170,
'在庫使用計画 (ノート全体試算)'!AT$1:AT$170,
"")</f>
        <v/>
      </c>
      <c r="AT186" s="805" t="str">
        <f>_xlfn.XLOOKUP(
$C186,
'在庫使用計画 (ノート全体試算)'!$C$1:$C$170,
'在庫使用計画 (ノート全体試算)'!AU$1:AU$170,
"")</f>
        <v/>
      </c>
      <c r="AU186" s="804"/>
      <c r="AV186" s="224"/>
      <c r="AW186" s="224"/>
      <c r="AX186" s="224"/>
      <c r="AY186" s="224"/>
      <c r="AZ186" s="224"/>
      <c r="BA186" s="224"/>
      <c r="BB186" s="224"/>
      <c r="BC186" s="224"/>
      <c r="BD186" s="224"/>
      <c r="BE186" s="224"/>
      <c r="BF186" s="805"/>
    </row>
    <row r="187" spans="1:58" ht="18.75" customHeight="1">
      <c r="A187" s="54" t="s">
        <v>1419</v>
      </c>
      <c r="B187" s="55" t="s">
        <v>1514</v>
      </c>
      <c r="C187" s="57" t="s">
        <v>1515</v>
      </c>
      <c r="D187" s="115" t="s">
        <v>1516</v>
      </c>
      <c r="E187" s="106">
        <v>4060</v>
      </c>
      <c r="F187" s="106" t="s">
        <v>1347</v>
      </c>
      <c r="G187" s="355">
        <v>0</v>
      </c>
      <c r="H187" s="38">
        <f ca="1">_xlfn.LET(_xlpm._今月から4ヶ月計画合計,
  SUM(
    OFFSET($A187,0,
      MATCH(
        EDATE(基準データ!$C$5,3),$A$1:$BE$1,1
      )-4,1,4)),
  IF($C187="","",_xlpm._今月から4ヶ月計画合計
)
)</f>
        <v>0</v>
      </c>
      <c r="I187" s="355">
        <f>SUMIFS(マスタ_EOLリスト[在庫],マスタ_EOLリスト[製品型番],'在庫使用計画 (計画　予測)'!$C:$C)</f>
        <v>0</v>
      </c>
      <c r="J187" s="1109"/>
      <c r="K187" s="38" t="s">
        <v>21</v>
      </c>
      <c r="L187" s="38" t="s">
        <v>21</v>
      </c>
      <c r="M187" s="38" t="s">
        <v>21</v>
      </c>
      <c r="N187" s="38" t="s">
        <v>21</v>
      </c>
      <c r="O187" s="38">
        <v>20</v>
      </c>
      <c r="P187" s="38">
        <v>170</v>
      </c>
      <c r="Q187" s="116">
        <v>120</v>
      </c>
      <c r="R187" s="1350">
        <v>7</v>
      </c>
      <c r="S187" s="219">
        <v>176</v>
      </c>
      <c r="T187" s="219">
        <v>53</v>
      </c>
      <c r="U187" s="219">
        <v>97</v>
      </c>
      <c r="V187" s="219">
        <v>195</v>
      </c>
      <c r="W187" s="224">
        <v>238</v>
      </c>
      <c r="X187" s="224">
        <v>594</v>
      </c>
      <c r="Y187" s="224">
        <v>613</v>
      </c>
      <c r="Z187" s="224">
        <v>246</v>
      </c>
      <c r="AA187" s="224">
        <v>112</v>
      </c>
      <c r="AB187" s="224">
        <v>72</v>
      </c>
      <c r="AC187" s="805">
        <v>77</v>
      </c>
      <c r="AD187" s="244">
        <v>50</v>
      </c>
      <c r="AE187" s="224">
        <v>36</v>
      </c>
      <c r="AF187" s="224" t="s">
        <v>21</v>
      </c>
      <c r="AG187" s="224" t="s">
        <v>21</v>
      </c>
      <c r="AH187" s="237" t="s">
        <v>21</v>
      </c>
      <c r="AI187" s="804" t="s">
        <v>21</v>
      </c>
      <c r="AJ187" s="224" t="s">
        <v>21</v>
      </c>
      <c r="AK187" s="224" t="s">
        <v>21</v>
      </c>
      <c r="AL187" s="224" t="s">
        <v>21</v>
      </c>
      <c r="AM187" s="224" t="str">
        <f>_xlfn.XLOOKUP(
$C187,
'在庫使用計画 (ノート全体試算)'!$C$1:$C$170,
'在庫使用計画 (ノート全体試算)'!AN$1:AN$170,
"")</f>
        <v/>
      </c>
      <c r="AN187" s="237" t="str">
        <f>_xlfn.XLOOKUP(
$C187,
'在庫使用計画 (ノート全体試算)'!$C$1:$C$170,
'在庫使用計画 (ノート全体試算)'!AO$1:AO$170,
"")</f>
        <v/>
      </c>
      <c r="AO187" s="237" t="str">
        <f>_xlfn.XLOOKUP(
$C187,
'在庫使用計画 (ノート全体試算)'!$C$1:$C$170,
'在庫使用計画 (ノート全体試算)'!AP$1:AP$170,
"")</f>
        <v/>
      </c>
      <c r="AP187" s="224" t="str">
        <f>_xlfn.XLOOKUP(
$C187,
'在庫使用計画 (ノート全体試算)'!$C$1:$C$170,
'在庫使用計画 (ノート全体試算)'!AQ$1:AQ$170,
"")</f>
        <v/>
      </c>
      <c r="AQ187" s="1050" t="str">
        <f>_xlfn.XLOOKUP(
$C187,
'在庫使用計画 (ノート全体試算)'!$C$1:$C$170,
'在庫使用計画 (ノート全体試算)'!AR$1:AR$170,
"")</f>
        <v/>
      </c>
      <c r="AR187" s="2130" t="str">
        <f>_xlfn.XLOOKUP(
$C187,
'在庫使用計画 (ノート全体試算)'!$C$1:$C$170,
'在庫使用計画 (ノート全体試算)'!AS$1:AS$170,
"")</f>
        <v/>
      </c>
      <c r="AS187" s="244" t="str">
        <f>_xlfn.XLOOKUP(
$C187,
'在庫使用計画 (ノート全体試算)'!$C$1:$C$170,
'在庫使用計画 (ノート全体試算)'!AT$1:AT$170,
"")</f>
        <v/>
      </c>
      <c r="AT187" s="805" t="str">
        <f>_xlfn.XLOOKUP(
$C187,
'在庫使用計画 (ノート全体試算)'!$C$1:$C$170,
'在庫使用計画 (ノート全体試算)'!AU$1:AU$170,
"")</f>
        <v/>
      </c>
      <c r="AU187" s="804"/>
      <c r="AV187" s="224"/>
      <c r="AW187" s="224"/>
      <c r="AX187" s="224"/>
      <c r="AY187" s="224"/>
      <c r="AZ187" s="224"/>
      <c r="BA187" s="224"/>
      <c r="BB187" s="224"/>
      <c r="BC187" s="224"/>
      <c r="BD187" s="224"/>
      <c r="BE187" s="224"/>
      <c r="BF187" s="805"/>
    </row>
    <row r="188" spans="1:58" ht="18.75" customHeight="1">
      <c r="A188" s="114" t="s">
        <v>1317</v>
      </c>
      <c r="B188" s="55" t="s">
        <v>1517</v>
      </c>
      <c r="C188" s="57" t="s">
        <v>1518</v>
      </c>
      <c r="D188" s="115" t="s">
        <v>1516</v>
      </c>
      <c r="E188" s="106">
        <v>3050</v>
      </c>
      <c r="F188" s="106" t="s">
        <v>1347</v>
      </c>
      <c r="G188" s="355">
        <v>0</v>
      </c>
      <c r="H188" s="38">
        <f ca="1">_xlfn.LET(_xlpm._今月から4ヶ月計画合計,
  SUM(
    OFFSET($A188,0,
      MATCH(
        EDATE(基準データ!$C$5,3),$A$1:$BE$1,1
      )-4,1,4)),
  IF($C188="","",_xlpm._今月から4ヶ月計画合計
)
)</f>
        <v>0</v>
      </c>
      <c r="I188" s="355">
        <f>SUMIFS(マスタ_EOLリスト[在庫],マスタ_EOLリスト[製品型番],'在庫使用計画 (計画　予測)'!$C:$C)</f>
        <v>0</v>
      </c>
      <c r="J188" s="1109"/>
      <c r="K188" s="38" t="s">
        <v>21</v>
      </c>
      <c r="L188" s="38" t="s">
        <v>21</v>
      </c>
      <c r="M188" s="38" t="s">
        <v>21</v>
      </c>
      <c r="N188" s="38" t="s">
        <v>21</v>
      </c>
      <c r="O188" s="38">
        <v>65</v>
      </c>
      <c r="P188" s="38">
        <v>100</v>
      </c>
      <c r="Q188" s="116">
        <v>65</v>
      </c>
      <c r="R188" s="1350">
        <v>13</v>
      </c>
      <c r="S188" s="219">
        <v>85</v>
      </c>
      <c r="T188" s="219">
        <v>75</v>
      </c>
      <c r="U188" s="219">
        <v>86</v>
      </c>
      <c r="V188" s="219">
        <v>182</v>
      </c>
      <c r="W188" s="224">
        <v>112</v>
      </c>
      <c r="X188" s="224">
        <v>308</v>
      </c>
      <c r="Y188" s="224">
        <v>546</v>
      </c>
      <c r="Z188" s="224">
        <v>345</v>
      </c>
      <c r="AA188" s="224">
        <v>155</v>
      </c>
      <c r="AB188" s="224">
        <v>175</v>
      </c>
      <c r="AC188" s="805">
        <v>305</v>
      </c>
      <c r="AD188" s="244">
        <v>320</v>
      </c>
      <c r="AE188" s="224">
        <v>110</v>
      </c>
      <c r="AF188" s="224" t="s">
        <v>21</v>
      </c>
      <c r="AG188" s="224" t="s">
        <v>21</v>
      </c>
      <c r="AH188" s="237" t="s">
        <v>21</v>
      </c>
      <c r="AI188" s="804" t="s">
        <v>21</v>
      </c>
      <c r="AJ188" s="224" t="s">
        <v>21</v>
      </c>
      <c r="AK188" s="224" t="s">
        <v>21</v>
      </c>
      <c r="AL188" s="224" t="s">
        <v>21</v>
      </c>
      <c r="AM188" s="224" t="str">
        <f>_xlfn.XLOOKUP(
$C188,
'在庫使用計画 (ノート全体試算)'!$C$1:$C$170,
'在庫使用計画 (ノート全体試算)'!AN$1:AN$170,
"")</f>
        <v/>
      </c>
      <c r="AN188" s="237" t="str">
        <f>_xlfn.XLOOKUP(
$C188,
'在庫使用計画 (ノート全体試算)'!$C$1:$C$170,
'在庫使用計画 (ノート全体試算)'!AO$1:AO$170,
"")</f>
        <v/>
      </c>
      <c r="AO188" s="237" t="str">
        <f>_xlfn.XLOOKUP(
$C188,
'在庫使用計画 (ノート全体試算)'!$C$1:$C$170,
'在庫使用計画 (ノート全体試算)'!AP$1:AP$170,
"")</f>
        <v/>
      </c>
      <c r="AP188" s="224" t="str">
        <f>_xlfn.XLOOKUP(
$C188,
'在庫使用計画 (ノート全体試算)'!$C$1:$C$170,
'在庫使用計画 (ノート全体試算)'!AQ$1:AQ$170,
"")</f>
        <v/>
      </c>
      <c r="AQ188" s="1050" t="str">
        <f>_xlfn.XLOOKUP(
$C188,
'在庫使用計画 (ノート全体試算)'!$C$1:$C$170,
'在庫使用計画 (ノート全体試算)'!AR$1:AR$170,
"")</f>
        <v/>
      </c>
      <c r="AR188" s="2130" t="str">
        <f>_xlfn.XLOOKUP(
$C188,
'在庫使用計画 (ノート全体試算)'!$C$1:$C$170,
'在庫使用計画 (ノート全体試算)'!AS$1:AS$170,
"")</f>
        <v/>
      </c>
      <c r="AS188" s="244" t="str">
        <f>_xlfn.XLOOKUP(
$C188,
'在庫使用計画 (ノート全体試算)'!$C$1:$C$170,
'在庫使用計画 (ノート全体試算)'!AT$1:AT$170,
"")</f>
        <v/>
      </c>
      <c r="AT188" s="805" t="str">
        <f>_xlfn.XLOOKUP(
$C188,
'在庫使用計画 (ノート全体試算)'!$C$1:$C$170,
'在庫使用計画 (ノート全体試算)'!AU$1:AU$170,
"")</f>
        <v/>
      </c>
      <c r="AU188" s="804"/>
      <c r="AV188" s="224"/>
      <c r="AW188" s="224"/>
      <c r="AX188" s="224"/>
      <c r="AY188" s="224"/>
      <c r="AZ188" s="224"/>
      <c r="BA188" s="224"/>
      <c r="BB188" s="224"/>
      <c r="BC188" s="224"/>
      <c r="BD188" s="224"/>
      <c r="BE188" s="224"/>
      <c r="BF188" s="805"/>
    </row>
    <row r="189" spans="1:58" ht="18.75" customHeight="1">
      <c r="A189" s="54" t="s">
        <v>1317</v>
      </c>
      <c r="B189" s="55" t="s">
        <v>1317</v>
      </c>
      <c r="C189" s="60" t="s">
        <v>1317</v>
      </c>
      <c r="D189" s="60" t="s">
        <v>1317</v>
      </c>
      <c r="E189" s="56" t="s">
        <v>1317</v>
      </c>
      <c r="F189" s="56"/>
      <c r="G189" s="38" t="str">
        <v/>
      </c>
      <c r="H189" s="38">
        <f ca="1">_xlfn.LET(_xlpm._今月から4ヶ月計画合計,
  SUM(
    OFFSET($A189,0,
      MATCH(
        EDATE(基準データ!$C$5,3),$A$1:$BE$1,1
      )-4,1,4)),
  IF($C189="","",_xlpm._今月から4ヶ月計画合計
)
)</f>
        <v>0</v>
      </c>
      <c r="I189" s="38"/>
      <c r="J189" s="1113"/>
      <c r="K189" s="57" t="s">
        <v>1317</v>
      </c>
      <c r="L189" s="57" t="s">
        <v>1317</v>
      </c>
      <c r="M189" s="57" t="s">
        <v>1317</v>
      </c>
      <c r="N189" s="57" t="s">
        <v>1317</v>
      </c>
      <c r="O189" s="57" t="s">
        <v>1317</v>
      </c>
      <c r="P189" s="57" t="s">
        <v>1317</v>
      </c>
      <c r="Q189" s="760" t="s">
        <v>1317</v>
      </c>
      <c r="R189" s="54" t="s">
        <v>1317</v>
      </c>
      <c r="S189" s="238" t="s">
        <v>1317</v>
      </c>
      <c r="T189" s="238" t="s">
        <v>1317</v>
      </c>
      <c r="U189" s="238" t="s">
        <v>1317</v>
      </c>
      <c r="V189" s="238" t="s">
        <v>1317</v>
      </c>
      <c r="W189" s="239" t="s">
        <v>1317</v>
      </c>
      <c r="X189" s="239" t="s">
        <v>1317</v>
      </c>
      <c r="Y189" s="239" t="s">
        <v>1317</v>
      </c>
      <c r="Z189" s="239" t="s">
        <v>1317</v>
      </c>
      <c r="AA189" s="224" t="s">
        <v>21</v>
      </c>
      <c r="AB189" s="224" t="s">
        <v>21</v>
      </c>
      <c r="AC189" s="805" t="s">
        <v>21</v>
      </c>
      <c r="AD189" s="244" t="s">
        <v>21</v>
      </c>
      <c r="AE189" s="224" t="s">
        <v>21</v>
      </c>
      <c r="AF189" s="224" t="s">
        <v>21</v>
      </c>
      <c r="AG189" s="224" t="s">
        <v>21</v>
      </c>
      <c r="AH189" s="237" t="s">
        <v>21</v>
      </c>
      <c r="AI189" s="804" t="s">
        <v>21</v>
      </c>
      <c r="AJ189" s="224" t="s">
        <v>21</v>
      </c>
      <c r="AK189" s="224" t="s">
        <v>21</v>
      </c>
      <c r="AL189" s="224" t="s">
        <v>21</v>
      </c>
      <c r="AM189" s="224" t="str">
        <f>_xlfn.XLOOKUP(
$C189,
'在庫使用計画 (ノート全体試算)'!$C$1:$C$170,
'在庫使用計画 (ノート全体試算)'!AN$1:AN$170,
"")</f>
        <v/>
      </c>
      <c r="AN189" s="237" t="str">
        <f>_xlfn.XLOOKUP(
$C189,
'在庫使用計画 (ノート全体試算)'!$C$1:$C$170,
'在庫使用計画 (ノート全体試算)'!AO$1:AO$170,
"")</f>
        <v/>
      </c>
      <c r="AO189" s="237" t="str">
        <f>_xlfn.XLOOKUP(
$C189,
'在庫使用計画 (ノート全体試算)'!$C$1:$C$170,
'在庫使用計画 (ノート全体試算)'!AP$1:AP$170,
"")</f>
        <v/>
      </c>
      <c r="AP189" s="224" t="str">
        <f>_xlfn.XLOOKUP(
$C189,
'在庫使用計画 (ノート全体試算)'!$C$1:$C$170,
'在庫使用計画 (ノート全体試算)'!AQ$1:AQ$170,
"")</f>
        <v/>
      </c>
      <c r="AQ189" s="1050" t="str">
        <f>_xlfn.XLOOKUP(
$C189,
'在庫使用計画 (ノート全体試算)'!$C$1:$C$170,
'在庫使用計画 (ノート全体試算)'!AR$1:AR$170,
"")</f>
        <v/>
      </c>
      <c r="AR189" s="2130" t="str">
        <f>_xlfn.XLOOKUP(
$C189,
'在庫使用計画 (ノート全体試算)'!$C$1:$C$170,
'在庫使用計画 (ノート全体試算)'!AS$1:AS$170,
"")</f>
        <v/>
      </c>
      <c r="AS189" s="244" t="str">
        <f>_xlfn.XLOOKUP(
$C189,
'在庫使用計画 (ノート全体試算)'!$C$1:$C$170,
'在庫使用計画 (ノート全体試算)'!AT$1:AT$170,
"")</f>
        <v/>
      </c>
      <c r="AT189" s="805" t="str">
        <f>_xlfn.XLOOKUP(
$C189,
'在庫使用計画 (ノート全体試算)'!$C$1:$C$170,
'在庫使用計画 (ノート全体試算)'!AU$1:AU$170,
"")</f>
        <v/>
      </c>
      <c r="AU189" s="804"/>
      <c r="AV189" s="224"/>
      <c r="AW189" s="224"/>
      <c r="AX189" s="224"/>
      <c r="AY189" s="224"/>
      <c r="AZ189" s="224"/>
      <c r="BA189" s="224"/>
      <c r="BB189" s="224"/>
      <c r="BC189" s="224"/>
      <c r="BD189" s="224"/>
      <c r="BE189" s="224"/>
      <c r="BF189" s="805"/>
    </row>
    <row r="190" spans="1:58" ht="18.75" customHeight="1">
      <c r="A190" s="114" t="s">
        <v>1442</v>
      </c>
      <c r="B190" s="55" t="s">
        <v>1519</v>
      </c>
      <c r="C190" s="57" t="s">
        <v>1520</v>
      </c>
      <c r="D190" s="115" t="s">
        <v>1521</v>
      </c>
      <c r="E190" s="106" t="s">
        <v>438</v>
      </c>
      <c r="F190" s="68" t="s">
        <v>1347</v>
      </c>
      <c r="G190" s="355">
        <v>0</v>
      </c>
      <c r="H190" s="38">
        <f ca="1">_xlfn.LET(_xlpm._今月から4ヶ月計画合計,
  SUM(
    OFFSET($A190,0,
      MATCH(
        EDATE(基準データ!$C$5,3),$A$1:$BE$1,1
      )-4,1,4)),
  IF($C190="","",_xlpm._今月から4ヶ月計画合計
)
)</f>
        <v>0</v>
      </c>
      <c r="I190" s="355">
        <f>SUMIFS(マスタ_EOLリスト[在庫],マスタ_EOLリスト[製品型番],'在庫使用計画 (計画　予測)'!$C:$C)</f>
        <v>0</v>
      </c>
      <c r="J190" s="1109"/>
      <c r="K190" s="38" t="s">
        <v>21</v>
      </c>
      <c r="L190" s="38" t="s">
        <v>21</v>
      </c>
      <c r="M190" s="38" t="s">
        <v>21</v>
      </c>
      <c r="N190" s="38" t="s">
        <v>21</v>
      </c>
      <c r="O190" s="38" t="s">
        <v>21</v>
      </c>
      <c r="P190" s="38" t="s">
        <v>21</v>
      </c>
      <c r="Q190" s="116">
        <v>25</v>
      </c>
      <c r="R190" s="1350">
        <v>5</v>
      </c>
      <c r="S190" s="219">
        <v>63</v>
      </c>
      <c r="T190" s="219">
        <v>6</v>
      </c>
      <c r="U190" s="219">
        <v>35</v>
      </c>
      <c r="V190" s="219">
        <v>45</v>
      </c>
      <c r="W190" s="224">
        <v>21</v>
      </c>
      <c r="X190" s="224">
        <v>144</v>
      </c>
      <c r="Y190" s="224">
        <v>100</v>
      </c>
      <c r="Z190" s="224">
        <v>100</v>
      </c>
      <c r="AA190" s="224">
        <v>160</v>
      </c>
      <c r="AB190" s="224">
        <v>135</v>
      </c>
      <c r="AC190" s="805">
        <v>155</v>
      </c>
      <c r="AD190" s="244">
        <v>125</v>
      </c>
      <c r="AE190" s="224">
        <v>177</v>
      </c>
      <c r="AF190" s="224" t="s">
        <v>21</v>
      </c>
      <c r="AG190" s="224" t="s">
        <v>21</v>
      </c>
      <c r="AH190" s="237" t="s">
        <v>21</v>
      </c>
      <c r="AI190" s="804" t="s">
        <v>21</v>
      </c>
      <c r="AJ190" s="224" t="s">
        <v>21</v>
      </c>
      <c r="AK190" s="224" t="s">
        <v>21</v>
      </c>
      <c r="AL190" s="224">
        <v>8</v>
      </c>
      <c r="AM190" s="224" t="str">
        <f>_xlfn.XLOOKUP(
$C190,
'在庫使用計画 (ノート全体試算)'!$C$1:$C$170,
'在庫使用計画 (ノート全体試算)'!AN$1:AN$170,
"")</f>
        <v/>
      </c>
      <c r="AN190" s="237" t="str">
        <f>_xlfn.XLOOKUP(
$C190,
'在庫使用計画 (ノート全体試算)'!$C$1:$C$170,
'在庫使用計画 (ノート全体試算)'!AO$1:AO$170,
"")</f>
        <v/>
      </c>
      <c r="AO190" s="237" t="str">
        <f>_xlfn.XLOOKUP(
$C190,
'在庫使用計画 (ノート全体試算)'!$C$1:$C$170,
'在庫使用計画 (ノート全体試算)'!AP$1:AP$170,
"")</f>
        <v/>
      </c>
      <c r="AP190" s="224" t="str">
        <f>_xlfn.XLOOKUP(
$C190,
'在庫使用計画 (ノート全体試算)'!$C$1:$C$170,
'在庫使用計画 (ノート全体試算)'!AQ$1:AQ$170,
"")</f>
        <v/>
      </c>
      <c r="AQ190" s="1050" t="str">
        <f>_xlfn.XLOOKUP(
$C190,
'在庫使用計画 (ノート全体試算)'!$C$1:$C$170,
'在庫使用計画 (ノート全体試算)'!AR$1:AR$170,
"")</f>
        <v/>
      </c>
      <c r="AR190" s="2130" t="str">
        <f>_xlfn.XLOOKUP(
$C190,
'在庫使用計画 (ノート全体試算)'!$C$1:$C$170,
'在庫使用計画 (ノート全体試算)'!AS$1:AS$170,
"")</f>
        <v/>
      </c>
      <c r="AS190" s="244" t="str">
        <f>_xlfn.XLOOKUP(
$C190,
'在庫使用計画 (ノート全体試算)'!$C$1:$C$170,
'在庫使用計画 (ノート全体試算)'!AT$1:AT$170,
"")</f>
        <v/>
      </c>
      <c r="AT190" s="805" t="str">
        <f>_xlfn.XLOOKUP(
$C190,
'在庫使用計画 (ノート全体試算)'!$C$1:$C$170,
'在庫使用計画 (ノート全体試算)'!AU$1:AU$170,
"")</f>
        <v/>
      </c>
      <c r="AU190" s="804"/>
      <c r="AV190" s="224"/>
      <c r="AW190" s="224"/>
      <c r="AX190" s="224"/>
      <c r="AY190" s="224"/>
      <c r="AZ190" s="224"/>
      <c r="BA190" s="224"/>
      <c r="BB190" s="224"/>
      <c r="BC190" s="224"/>
      <c r="BD190" s="224"/>
      <c r="BE190" s="224"/>
      <c r="BF190" s="805"/>
    </row>
    <row r="191" spans="1:58" ht="18.75" customHeight="1">
      <c r="A191" s="208"/>
      <c r="B191" s="206" t="s">
        <v>1522</v>
      </c>
      <c r="C191" s="206"/>
      <c r="D191" s="205"/>
      <c r="E191" s="205"/>
      <c r="F191" s="205"/>
      <c r="G191" s="207">
        <f>SUMIFS(在庫確認!C:C,在庫確認!B:B,'在庫使用計画 (計画　予測)'!C:C)</f>
        <v>0</v>
      </c>
      <c r="H191" s="365"/>
      <c r="I191" s="366"/>
      <c r="J191" s="366"/>
      <c r="K191" s="366">
        <v>60</v>
      </c>
      <c r="L191" s="366">
        <v>50</v>
      </c>
      <c r="M191" s="366">
        <v>4</v>
      </c>
      <c r="N191" s="366">
        <v>20</v>
      </c>
      <c r="O191" s="366">
        <v>106</v>
      </c>
      <c r="P191" s="366">
        <v>292</v>
      </c>
      <c r="Q191" s="828">
        <v>279</v>
      </c>
      <c r="R191" s="851">
        <v>61</v>
      </c>
      <c r="S191" s="366">
        <v>409</v>
      </c>
      <c r="T191" s="366">
        <v>188</v>
      </c>
      <c r="U191" s="366">
        <v>293</v>
      </c>
      <c r="V191" s="366">
        <v>469</v>
      </c>
      <c r="W191" s="366">
        <v>456</v>
      </c>
      <c r="X191" s="366">
        <v>1229</v>
      </c>
      <c r="Y191" s="366">
        <v>1386</v>
      </c>
      <c r="Z191" s="366">
        <v>817</v>
      </c>
      <c r="AA191" s="366">
        <v>518</v>
      </c>
      <c r="AB191" s="366">
        <v>439</v>
      </c>
      <c r="AC191" s="852">
        <v>584</v>
      </c>
      <c r="AD191" s="1297">
        <v>525</v>
      </c>
      <c r="AE191" s="366">
        <v>362</v>
      </c>
      <c r="AF191" s="366">
        <v>25</v>
      </c>
      <c r="AG191" s="366">
        <v>22</v>
      </c>
      <c r="AH191" s="828">
        <v>0</v>
      </c>
      <c r="AI191" s="851">
        <v>0</v>
      </c>
      <c r="AJ191" s="366">
        <v>0</v>
      </c>
      <c r="AK191" s="366">
        <v>0</v>
      </c>
      <c r="AL191" s="366">
        <v>8</v>
      </c>
      <c r="AM191" s="366">
        <f t="shared" ref="AM191:AT191" si="21">SUM(AM181:AM190)</f>
        <v>6</v>
      </c>
      <c r="AN191" s="828">
        <f t="shared" si="21"/>
        <v>0</v>
      </c>
      <c r="AO191" s="828">
        <f t="shared" si="21"/>
        <v>0</v>
      </c>
      <c r="AP191" s="366">
        <f t="shared" si="21"/>
        <v>0</v>
      </c>
      <c r="AQ191" s="2127">
        <f t="shared" si="21"/>
        <v>0</v>
      </c>
      <c r="AR191" s="2143">
        <f t="shared" si="21"/>
        <v>0</v>
      </c>
      <c r="AS191" s="1297">
        <f t="shared" si="21"/>
        <v>0</v>
      </c>
      <c r="AT191" s="852">
        <f t="shared" si="21"/>
        <v>0</v>
      </c>
      <c r="AU191" s="851">
        <f t="shared" ref="AU191" si="22">SUM(AU181:AU190)</f>
        <v>0</v>
      </c>
      <c r="AV191" s="366">
        <f t="shared" ref="AV191:BF191" si="23">SUM(AV181:AV190)</f>
        <v>0</v>
      </c>
      <c r="AW191" s="366">
        <f t="shared" si="23"/>
        <v>0</v>
      </c>
      <c r="AX191" s="366">
        <f t="shared" si="23"/>
        <v>0</v>
      </c>
      <c r="AY191" s="366">
        <f t="shared" si="23"/>
        <v>0</v>
      </c>
      <c r="AZ191" s="366">
        <f t="shared" si="23"/>
        <v>0</v>
      </c>
      <c r="BA191" s="366">
        <f t="shared" si="23"/>
        <v>0</v>
      </c>
      <c r="BB191" s="366">
        <f t="shared" si="23"/>
        <v>0</v>
      </c>
      <c r="BC191" s="366">
        <f t="shared" si="23"/>
        <v>0</v>
      </c>
      <c r="BD191" s="366">
        <f t="shared" si="23"/>
        <v>0</v>
      </c>
      <c r="BE191" s="366">
        <f t="shared" si="23"/>
        <v>0</v>
      </c>
      <c r="BF191" s="852">
        <f t="shared" si="23"/>
        <v>0</v>
      </c>
    </row>
    <row r="192" spans="1:58" ht="18.75" customHeight="1" thickBot="1">
      <c r="A192" s="209"/>
      <c r="B192" s="210" t="s">
        <v>1523</v>
      </c>
      <c r="C192" s="210"/>
      <c r="D192" s="211"/>
      <c r="E192" s="211"/>
      <c r="F192" s="211"/>
      <c r="G192" s="285"/>
      <c r="H192" s="325"/>
      <c r="I192" s="325"/>
      <c r="J192" s="325"/>
      <c r="K192" s="326">
        <v>2330</v>
      </c>
      <c r="L192" s="326">
        <v>2151</v>
      </c>
      <c r="M192" s="326">
        <v>2783</v>
      </c>
      <c r="N192" s="326">
        <v>1861</v>
      </c>
      <c r="O192" s="326">
        <v>1433</v>
      </c>
      <c r="P192" s="326">
        <v>1179</v>
      </c>
      <c r="Q192" s="1332">
        <v>1175</v>
      </c>
      <c r="R192" s="1385">
        <v>983.72870747183322</v>
      </c>
      <c r="S192" s="1386">
        <v>1051.1538846621038</v>
      </c>
      <c r="T192" s="1386">
        <v>1051.8028635265428</v>
      </c>
      <c r="U192" s="1386">
        <v>1129.0502203031988</v>
      </c>
      <c r="V192" s="1386">
        <v>1411.3588985813017</v>
      </c>
      <c r="W192" s="1386">
        <v>1377.708661429612</v>
      </c>
      <c r="X192" s="1387">
        <v>1606.0711358555175</v>
      </c>
      <c r="Y192" s="1386">
        <v>1790.838688195653</v>
      </c>
      <c r="Z192" s="1386">
        <v>1498.3237009929553</v>
      </c>
      <c r="AA192" s="1386">
        <v>1292.4816273304011</v>
      </c>
      <c r="AB192" s="1386">
        <v>1290.1841465528341</v>
      </c>
      <c r="AC192" s="1388">
        <v>1366.2158117693425</v>
      </c>
      <c r="AD192" s="1347"/>
      <c r="AE192" s="327"/>
      <c r="AF192" s="327"/>
      <c r="AG192" s="327"/>
      <c r="AH192" s="328"/>
      <c r="AI192" s="853"/>
      <c r="AJ192" s="854"/>
      <c r="AK192" s="854"/>
      <c r="AL192" s="854"/>
      <c r="AM192" s="854"/>
      <c r="AN192" s="1273"/>
      <c r="AO192" s="1273"/>
      <c r="AP192" s="854"/>
      <c r="AQ192" s="2128"/>
      <c r="AR192" s="1299"/>
      <c r="AS192" s="1298"/>
      <c r="AT192" s="855"/>
      <c r="AU192" s="853"/>
      <c r="AV192" s="854"/>
      <c r="AW192" s="854"/>
      <c r="AX192" s="854"/>
      <c r="AY192" s="854"/>
      <c r="AZ192" s="854"/>
      <c r="BA192" s="854"/>
      <c r="BB192" s="854"/>
      <c r="BC192" s="854"/>
      <c r="BD192" s="854"/>
      <c r="BE192" s="854"/>
      <c r="BF192" s="855"/>
    </row>
    <row r="193" spans="1:41">
      <c r="V193" s="307"/>
      <c r="AO193" s="1300"/>
    </row>
    <row r="194" spans="1:41">
      <c r="A194" s="1079" t="s">
        <v>1806</v>
      </c>
      <c r="K194" s="20"/>
      <c r="L194" s="20"/>
      <c r="M194" s="20"/>
      <c r="N194" s="20"/>
      <c r="O194" s="20"/>
    </row>
    <row r="195" spans="1:41">
      <c r="A195" s="1079"/>
      <c r="K195" s="20"/>
      <c r="L195" s="20"/>
      <c r="M195" s="20"/>
      <c r="N195" s="20"/>
      <c r="O195" s="20"/>
    </row>
    <row r="196" spans="1:41">
      <c r="A196" s="1079"/>
      <c r="K196" s="20"/>
      <c r="L196" s="20"/>
      <c r="M196" s="20"/>
      <c r="N196" s="20"/>
      <c r="O196" s="20"/>
    </row>
    <row r="197" spans="1:41">
      <c r="B197" s="150" t="s">
        <v>1524</v>
      </c>
      <c r="C197" s="113" t="str" cm="1">
        <f t="array" aca="1" ref="C197:C263" ca="1">_xlfn.UNIQUE(_xlfn._xlws.FILTER(C4:C153,SUBTOTAL(103,OFFSET(C2,ROW(C4:C153)-ROW(C2),0,1))))</f>
        <v>UL9C-R59-8A</v>
      </c>
      <c r="D197" s="46"/>
      <c r="H197" s="1457">
        <f t="shared" ref="H197:H218" ca="1" si="24">MIN(_xlfn.XLOOKUP(C197,C2:C153,J2:J153),_xlfn.XLOOKUP(C197,C2:C153,J2:J153,,,-1))</f>
        <v>46204</v>
      </c>
      <c r="K197" s="16"/>
      <c r="L197" s="16"/>
      <c r="M197" s="16"/>
      <c r="N197" s="16"/>
      <c r="O197" s="16"/>
    </row>
    <row r="198" spans="1:41">
      <c r="C198" s="113" t="str">
        <f ca="1"/>
        <v>NMC9L-R59-G8</v>
      </c>
      <c r="H198" s="1457">
        <f t="shared" ca="1" si="24"/>
        <v>46357</v>
      </c>
      <c r="K198" s="16"/>
      <c r="L198" s="16"/>
      <c r="M198" s="16"/>
      <c r="N198" s="16"/>
      <c r="O198" s="16"/>
    </row>
    <row r="199" spans="1:41" ht="19.5" thickBot="1">
      <c r="C199" s="113" t="str">
        <f ca="1"/>
        <v>NMC9L-R58-H6</v>
      </c>
      <c r="H199" s="1457">
        <f t="shared" ca="1" si="24"/>
        <v>46357</v>
      </c>
      <c r="K199" s="17"/>
      <c r="L199" s="17"/>
      <c r="M199" s="17"/>
      <c r="N199" s="17"/>
      <c r="O199" s="17"/>
    </row>
    <row r="200" spans="1:41" ht="19.5" thickTop="1">
      <c r="C200" s="113" t="str">
        <f ca="1"/>
        <v>ZL9R-R57T-6</v>
      </c>
      <c r="H200" s="1457">
        <f t="shared" ca="1" si="24"/>
        <v>46204</v>
      </c>
      <c r="K200" s="16"/>
      <c r="L200" s="16"/>
      <c r="M200" s="16"/>
      <c r="N200" s="16"/>
      <c r="O200" s="16"/>
      <c r="P200" s="16"/>
    </row>
    <row r="201" spans="1:41">
      <c r="C201" s="113" t="str">
        <f ca="1"/>
        <v>ZL9C-R57T-6A</v>
      </c>
      <c r="H201" s="1457">
        <f t="shared" ca="1" si="24"/>
        <v>46296</v>
      </c>
      <c r="K201" s="16"/>
      <c r="L201" s="16"/>
      <c r="M201" s="16"/>
      <c r="N201" s="16"/>
      <c r="O201" s="16"/>
    </row>
    <row r="202" spans="1:41">
      <c r="C202" s="113" t="str">
        <f ca="1"/>
        <v>ZL7C-R57-6A</v>
      </c>
      <c r="H202" s="1457">
        <f t="shared" ca="1" si="24"/>
        <v>46235</v>
      </c>
      <c r="O202" s="19"/>
    </row>
    <row r="203" spans="1:41">
      <c r="C203" s="113" t="str">
        <f ca="1"/>
        <v>XL7R-R56-6A</v>
      </c>
      <c r="H203" s="1457">
        <f t="shared" ca="1" si="24"/>
        <v>0</v>
      </c>
      <c r="K203" s="16"/>
      <c r="L203" s="16"/>
      <c r="M203" s="16"/>
      <c r="N203" s="16"/>
      <c r="O203" s="16"/>
    </row>
    <row r="204" spans="1:41">
      <c r="C204" s="113" t="str">
        <f ca="1"/>
        <v>XL7C-R56-6A</v>
      </c>
      <c r="H204" s="1457">
        <f t="shared" ca="1" si="24"/>
        <v>46296</v>
      </c>
      <c r="K204" s="16"/>
      <c r="L204" s="16"/>
      <c r="M204" s="16"/>
      <c r="N204" s="16"/>
      <c r="O204" s="16"/>
    </row>
    <row r="205" spans="1:41" ht="19.5" thickBot="1">
      <c r="C205" s="113" t="str">
        <f ca="1"/>
        <v>RL7C-R56-5N</v>
      </c>
      <c r="H205" s="1457">
        <f t="shared" ca="1" si="24"/>
        <v>46204</v>
      </c>
      <c r="K205" s="17"/>
      <c r="L205" s="17"/>
      <c r="M205" s="17"/>
      <c r="N205" s="17"/>
      <c r="O205" s="17"/>
    </row>
    <row r="206" spans="1:41" ht="19.5" thickTop="1">
      <c r="C206" s="113" t="str">
        <f ca="1"/>
        <v>NPC7L-R56-G5</v>
      </c>
      <c r="H206" s="1457">
        <f t="shared" ca="1" si="24"/>
        <v>46327</v>
      </c>
      <c r="K206" s="16"/>
      <c r="L206" s="16"/>
      <c r="M206" s="16"/>
      <c r="N206" s="16"/>
      <c r="O206" s="16"/>
      <c r="P206" s="16"/>
    </row>
    <row r="207" spans="1:41">
      <c r="C207" s="113" t="str">
        <f ca="1"/>
        <v>RL7C-R55-5N</v>
      </c>
      <c r="H207" s="1457">
        <f t="shared" ca="1" si="24"/>
        <v>46296</v>
      </c>
    </row>
    <row r="208" spans="1:41">
      <c r="C208" s="113" t="str">
        <f ca="1"/>
        <v>RL7C-R45-5N</v>
      </c>
      <c r="H208" s="1457">
        <f t="shared" ca="1" si="24"/>
        <v>46235</v>
      </c>
      <c r="K208" s="16"/>
      <c r="L208" s="16"/>
      <c r="M208" s="16"/>
      <c r="N208" s="16"/>
      <c r="O208" s="16"/>
      <c r="P208" s="16"/>
    </row>
    <row r="209" spans="2:16">
      <c r="C209" s="113" t="str">
        <f ca="1"/>
        <v>NPC5L-R55-G5</v>
      </c>
      <c r="H209" s="1457">
        <f t="shared" ca="1" si="24"/>
        <v>46296</v>
      </c>
      <c r="K209" s="16"/>
      <c r="L209" s="16"/>
      <c r="M209" s="16"/>
      <c r="N209" s="16"/>
      <c r="O209" s="16"/>
      <c r="P209" s="16"/>
    </row>
    <row r="210" spans="2:16">
      <c r="C210" s="113" t="str">
        <f ca="1"/>
        <v>RL7C-R35-5N</v>
      </c>
      <c r="H210" s="1457">
        <f t="shared" ca="1" si="24"/>
        <v>46235</v>
      </c>
      <c r="K210" s="18"/>
      <c r="L210" s="18"/>
      <c r="M210" s="18"/>
      <c r="N210" s="18"/>
      <c r="O210" s="18"/>
    </row>
    <row r="211" spans="2:16">
      <c r="C211" s="113" t="str">
        <f ca="1"/>
        <v>RL5C-R35-5N</v>
      </c>
      <c r="H211" s="1457">
        <f t="shared" ca="1" si="24"/>
        <v>0</v>
      </c>
      <c r="K211" s="16"/>
      <c r="L211" s="16"/>
      <c r="M211" s="16"/>
      <c r="N211" s="16"/>
      <c r="O211" s="16"/>
      <c r="P211" s="16"/>
    </row>
    <row r="212" spans="2:16">
      <c r="C212" s="113" t="str">
        <f ca="1"/>
        <v>RL7C-R45-4</v>
      </c>
      <c r="H212" s="1457">
        <f t="shared" ca="1" si="24"/>
        <v>0</v>
      </c>
      <c r="K212" s="16"/>
      <c r="L212" s="16"/>
      <c r="M212" s="16"/>
      <c r="N212" s="16"/>
      <c r="O212" s="16"/>
      <c r="P212" s="16"/>
    </row>
    <row r="213" spans="2:16" ht="19.5" thickBot="1">
      <c r="C213" s="113" t="str">
        <f ca="1"/>
        <v>Gaming 計画合計</v>
      </c>
      <c r="H213" s="1457">
        <f t="shared" ca="1" si="24"/>
        <v>0</v>
      </c>
      <c r="K213" s="17"/>
      <c r="L213" s="17"/>
      <c r="M213" s="17"/>
      <c r="N213" s="17"/>
      <c r="O213" s="17"/>
      <c r="P213" s="16"/>
    </row>
    <row r="214" spans="2:16" ht="19.5" thickTop="1">
      <c r="C214" s="113" t="str">
        <f ca="1"/>
        <v>Gaming 予測値</v>
      </c>
      <c r="H214" s="1457">
        <f t="shared" ca="1" si="24"/>
        <v>0</v>
      </c>
      <c r="K214" s="16"/>
      <c r="L214" s="16"/>
      <c r="M214" s="16"/>
      <c r="N214" s="16"/>
      <c r="O214" s="16"/>
      <c r="P214" s="16"/>
    </row>
    <row r="215" spans="2:16">
      <c r="C215" s="113" t="str">
        <f ca="1"/>
        <v>型番</v>
      </c>
      <c r="H215" s="1457">
        <f t="shared" ca="1" si="24"/>
        <v>0</v>
      </c>
    </row>
    <row r="216" spans="2:16">
      <c r="B216" s="113" t="s">
        <v>1665</v>
      </c>
      <c r="C216" s="113" t="str">
        <f ca="1"/>
        <v>ZL9C-R57-C7</v>
      </c>
      <c r="H216" s="1457">
        <f t="shared" ca="1" si="24"/>
        <v>46235</v>
      </c>
    </row>
    <row r="217" spans="2:16">
      <c r="C217" s="113" t="str">
        <f ca="1"/>
        <v>NDR9L-R56-C6</v>
      </c>
      <c r="H217" s="1457">
        <f t="shared" ca="1" si="24"/>
        <v>46357</v>
      </c>
    </row>
    <row r="218" spans="2:16">
      <c r="C218" s="113" t="str">
        <f ca="1"/>
        <v>XL7C-R56-C6A</v>
      </c>
      <c r="H218" s="1457">
        <f t="shared" ca="1" si="24"/>
        <v>46204</v>
      </c>
    </row>
    <row r="219" spans="2:16">
      <c r="C219" s="113" t="str">
        <f ca="1"/>
        <v>NDR9L-IG-C4</v>
      </c>
      <c r="H219" s="1457">
        <f ca="1">MIN(_xlfn.XLOOKUP(C219,C24:C174,J24:J174),_xlfn.XLOOKUP(C219,C24:C174,J24:J174,,,-1))</f>
        <v>46296</v>
      </c>
    </row>
    <row r="220" spans="2:16">
      <c r="C220" s="113" t="str">
        <f ca="1"/>
        <v>DL9R-IG-C4A</v>
      </c>
      <c r="H220" s="1457">
        <f t="shared" ref="H220:H229" ca="1" si="25">MIN(_xlfn.XLOOKUP(C220,C25:C174,J25:J174),_xlfn.XLOOKUP(C220,C25:C174,J25:J174,,,-1))</f>
        <v>46204</v>
      </c>
    </row>
    <row r="221" spans="2:16">
      <c r="C221" s="113" t="str">
        <f ca="1"/>
        <v>RL7C-R56-C5N</v>
      </c>
      <c r="H221" s="1457">
        <f t="shared" ca="1" si="25"/>
        <v>46266</v>
      </c>
    </row>
    <row r="222" spans="2:16">
      <c r="C222" s="113" t="str">
        <f ca="1"/>
        <v>RL7C-R55-C5N</v>
      </c>
      <c r="H222" s="1457">
        <f t="shared" ca="1" si="25"/>
        <v>46204</v>
      </c>
    </row>
    <row r="223" spans="2:16">
      <c r="C223" s="113" t="str">
        <f ca="1"/>
        <v>NSC7L-R56-C6</v>
      </c>
      <c r="H223" s="1457">
        <f t="shared" ca="1" si="25"/>
        <v>46357</v>
      </c>
    </row>
    <row r="224" spans="2:16">
      <c r="C224" s="113" t="str">
        <f ca="1"/>
        <v>NSC7L-R55-C6</v>
      </c>
      <c r="H224" s="1457">
        <f t="shared" ca="1" si="25"/>
        <v>46357</v>
      </c>
    </row>
    <row r="225" spans="3:8">
      <c r="C225" s="113" t="str">
        <f ca="1"/>
        <v>RL7C-R45-C5N</v>
      </c>
      <c r="H225" s="1457">
        <f t="shared" ca="1" si="25"/>
        <v>46235</v>
      </c>
    </row>
    <row r="226" spans="3:8">
      <c r="C226" s="113" t="str">
        <f ca="1"/>
        <v>RL7C-R35-C5N</v>
      </c>
      <c r="H226" s="1457">
        <f t="shared" ca="1" si="25"/>
        <v>46204</v>
      </c>
    </row>
    <row r="227" spans="3:8">
      <c r="C227" s="113" t="str">
        <f ca="1"/>
        <v>NSC5L-IG-C4 (16GB)</v>
      </c>
      <c r="H227" s="1457">
        <f t="shared" ca="1" si="25"/>
        <v>46357</v>
      </c>
    </row>
    <row r="228" spans="3:8">
      <c r="C228" s="113" t="str">
        <f ca="1"/>
        <v>NSC5L-IG-C4 (32GB)</v>
      </c>
      <c r="H228" s="1457">
        <f t="shared" ca="1" si="25"/>
        <v>46357</v>
      </c>
    </row>
    <row r="229" spans="3:8">
      <c r="C229" s="113" t="str">
        <f ca="1"/>
        <v>Creator 計画合計</v>
      </c>
      <c r="H229" s="1457">
        <f t="shared" ca="1" si="25"/>
        <v>0</v>
      </c>
    </row>
    <row r="230" spans="3:8">
      <c r="C230" s="113" t="str">
        <f ca="1"/>
        <v>Creator 予測値</v>
      </c>
    </row>
    <row r="231" spans="3:8">
      <c r="C231" s="113" t="str">
        <f ca="1"/>
        <v>計画合計</v>
      </c>
    </row>
    <row r="232" spans="3:8">
      <c r="C232" s="113" t="str">
        <f ca="1"/>
        <v>予測値</v>
      </c>
    </row>
    <row r="233" spans="3:8">
      <c r="C233" s="113" t="str">
        <f ca="1"/>
        <v>M9652</v>
      </c>
    </row>
    <row r="234" spans="3:8">
      <c r="C234" s="113" t="str">
        <f ca="1"/>
        <v>M9622</v>
      </c>
    </row>
    <row r="235" spans="3:8">
      <c r="C235" s="113" t="str">
        <f ca="1"/>
        <v>DX-16RP7A-6</v>
      </c>
    </row>
    <row r="236" spans="3:8">
      <c r="C236" s="113" t="str">
        <f ca="1"/>
        <v>DX-17RP5A</v>
      </c>
    </row>
    <row r="237" spans="3:8">
      <c r="C237" s="113" t="str">
        <f ca="1"/>
        <v>DX-16PN7A</v>
      </c>
    </row>
    <row r="238" spans="3:8">
      <c r="C238" s="113" t="str">
        <f ca="1"/>
        <v>DX-R7</v>
      </c>
    </row>
    <row r="239" spans="3:8">
      <c r="C239" s="113" t="str">
        <f ca="1"/>
        <v>DX-R7S</v>
      </c>
    </row>
    <row r="240" spans="3:8">
      <c r="C240" s="113" t="str">
        <f ca="1"/>
        <v>DX-15RP7A</v>
      </c>
    </row>
    <row r="241" spans="3:3">
      <c r="C241" s="113" t="str">
        <f ca="1"/>
        <v>DX-15RP7C</v>
      </c>
    </row>
    <row r="242" spans="3:3">
      <c r="C242" s="113" t="str">
        <f ca="1"/>
        <v>TW15MT1H7CS</v>
      </c>
    </row>
    <row r="243" spans="3:3">
      <c r="C243" s="113" t="str">
        <f ca="1"/>
        <v>DX-R5</v>
      </c>
    </row>
    <row r="244" spans="3:3">
      <c r="C244" s="113" t="str">
        <f ca="1"/>
        <v>DX-R5S</v>
      </c>
    </row>
    <row r="245" spans="3:3">
      <c r="C245" s="113" t="str">
        <f ca="1"/>
        <v>DX-R5T</v>
      </c>
    </row>
    <row r="246" spans="3:3">
      <c r="C246" s="113" t="str">
        <f ca="1"/>
        <v>DX-15RP5A</v>
      </c>
    </row>
    <row r="247" spans="3:3">
      <c r="C247" s="113" t="str">
        <f ca="1"/>
        <v>DX-15RP5B</v>
      </c>
    </row>
    <row r="248" spans="3:3">
      <c r="C248" s="113" t="str">
        <f ca="1"/>
        <v>DX-15RP5C</v>
      </c>
    </row>
    <row r="249" spans="3:3">
      <c r="C249" s="113" t="str">
        <f ca="1"/>
        <v>TW15MT1U5CS</v>
      </c>
    </row>
    <row r="250" spans="3:3">
      <c r="C250" s="113" t="str">
        <f ca="1"/>
        <v>DX-R3S</v>
      </c>
    </row>
    <row r="251" spans="3:3">
      <c r="C251" s="113" t="str">
        <f ca="1"/>
        <v>DX-15RP3A</v>
      </c>
    </row>
    <row r="252" spans="3:3">
      <c r="C252" s="113" t="str">
        <f ca="1"/>
        <v>F-14LN7LA</v>
      </c>
    </row>
    <row r="253" spans="3:3">
      <c r="C253" s="113" t="str">
        <f ca="1"/>
        <v>F-14LN5LA</v>
      </c>
    </row>
    <row r="254" spans="3:3">
      <c r="C254" s="113" t="str">
        <f ca="1"/>
        <v>F-14PN7A</v>
      </c>
    </row>
    <row r="255" spans="3:3">
      <c r="C255" s="113" t="str">
        <f ca="1"/>
        <v>F-14PN5A</v>
      </c>
    </row>
    <row r="256" spans="3:3">
      <c r="C256" s="113" t="str">
        <f ca="1"/>
        <v>F-14RP7F-B</v>
      </c>
    </row>
    <row r="257" spans="3:3">
      <c r="C257" s="113" t="str">
        <f ca="1"/>
        <v>F-14RP7H-B</v>
      </c>
    </row>
    <row r="258" spans="3:3">
      <c r="C258" s="113" t="str">
        <f ca="1"/>
        <v>F-14RP5F-B</v>
      </c>
    </row>
    <row r="259" spans="3:3">
      <c r="C259" s="113" t="str">
        <f ca="1"/>
        <v>F-14RP5H-B</v>
      </c>
    </row>
    <row r="260" spans="3:3">
      <c r="C260" s="113" t="str">
        <f ca="1"/>
        <v>F-14RP7V</v>
      </c>
    </row>
    <row r="261" spans="3:3">
      <c r="C261" s="113" t="str">
        <f ca="1"/>
        <v>F-14RP5S</v>
      </c>
    </row>
    <row r="262" spans="3:3">
      <c r="C262" s="113" t="str">
        <f ca="1"/>
        <v>F-14RP5V</v>
      </c>
    </row>
    <row r="263" spans="3:3">
      <c r="C263" s="113" t="str">
        <f ca="1"/>
        <v>F-14BR5A</v>
      </c>
    </row>
  </sheetData>
  <autoFilter ref="A1:BJ192" xr:uid="{55ABB10C-A5FD-457B-8CBF-0F1AF3F6ED9A}"/>
  <phoneticPr fontId="4"/>
  <conditionalFormatting sqref="A2:H13 A15:H15 A17:H49 A51:H54 A57:H57 A59:H59 A61:H61 A63:H63 A65:H68 A70:H72 A74:H77 A79:H79 A81:H81 A83:H99 A101:H112 A114:H126 A128:H132 A134:H138 A140:H146 A148:H152 A154:H166 A168:H174 A176:H192">
    <cfRule type="expression" dxfId="104" priority="11">
      <formula>AND($A2="",     ISTEXT($C2),     ISNUMBER($H1),     ISNUMBER($H2),    $H2&lt;($H1/2), $I2&lt;&gt;0 )</formula>
    </cfRule>
  </conditionalFormatting>
  <conditionalFormatting sqref="A14:H14 A16:H16">
    <cfRule type="expression" dxfId="103" priority="219">
      <formula>AND($A14="",     ISTEXT($C14),     ISNUMBER(#REF!),     ISNUMBER($H14),    $H14&lt;(#REF!/2), $I14&lt;&gt;0 )</formula>
    </cfRule>
  </conditionalFormatting>
  <conditionalFormatting sqref="A50:H50">
    <cfRule type="expression" dxfId="102" priority="363">
      <formula>AND($A50="",     ISTEXT($C50),     ISNUMBER($H48),     ISNUMBER($H50),    $H50&lt;($H48/2), $I50&lt;&gt;0 )</formula>
    </cfRule>
  </conditionalFormatting>
  <conditionalFormatting sqref="A55:H55 A58:H58">
    <cfRule type="expression" dxfId="101" priority="235">
      <formula>AND($A55="",     ISTEXT($C55),     ISNUMBER($H52),     ISNUMBER($H55),    $H55&lt;($H52/2), $I55&lt;&gt;0 )</formula>
    </cfRule>
  </conditionalFormatting>
  <conditionalFormatting sqref="A56:H56">
    <cfRule type="expression" dxfId="100" priority="353">
      <formula>AND($A56="",     ISTEXT($C56),     ISNUMBER($H72),     ISNUMBER($H56),    $H56&lt;($H72/2), $I56&lt;&gt;0 )</formula>
    </cfRule>
  </conditionalFormatting>
  <conditionalFormatting sqref="A60:H60">
    <cfRule type="expression" dxfId="99" priority="360">
      <formula>AND($A60="",     ISTEXT($C60),     ISNUMBER($H79),     ISNUMBER($H60),    $H60&lt;($H79/2), $I60&lt;&gt;0 )</formula>
    </cfRule>
  </conditionalFormatting>
  <conditionalFormatting sqref="A62:H62">
    <cfRule type="expression" dxfId="98" priority="356">
      <formula>AND($A62="",     ISTEXT($C62),     ISNUMBER($H77),     ISNUMBER($H62),    $H62&lt;($H77/2), $I62&lt;&gt;0 )</formula>
    </cfRule>
  </conditionalFormatting>
  <conditionalFormatting sqref="A64:H64 A127:H127 A167:H167">
    <cfRule type="expression" dxfId="97" priority="217">
      <formula>AND($A64="",     ISTEXT($C64),     ISNUMBER($H57),     ISNUMBER($H64),    $H64&lt;($H57/2), $I64&lt;&gt;0 )</formula>
    </cfRule>
  </conditionalFormatting>
  <conditionalFormatting sqref="A69:H69">
    <cfRule type="expression" dxfId="96" priority="352">
      <formula>AND($A69="",     ISTEXT($C69),     ISNUMBER($H59),     ISNUMBER($H69),    $H69&lt;($H59/2), $I69&lt;&gt;0 )</formula>
    </cfRule>
  </conditionalFormatting>
  <conditionalFormatting sqref="A73:H73 A113:H113">
    <cfRule type="expression" dxfId="95" priority="211">
      <formula>AND($A73="",     ISTEXT($C73),     ISNUMBER($H68),     ISNUMBER($H73),    $H73&lt;($H68/2), $I73&lt;&gt;0 )</formula>
    </cfRule>
  </conditionalFormatting>
  <conditionalFormatting sqref="A78:H78">
    <cfRule type="expression" dxfId="94" priority="361">
      <formula>AND($A78="",     ISTEXT($C78),     ISNUMBER($H63),     ISNUMBER($H78),    $H78&lt;($H63/2), $I78&lt;&gt;0 )</formula>
    </cfRule>
  </conditionalFormatting>
  <conditionalFormatting sqref="A80:H80">
    <cfRule type="expression" dxfId="93" priority="2">
      <formula>AND($A80="",     ISTEXT($C80),     ISNUMBER($H65),     ISNUMBER($H80),    $H80&lt;($H65/2), $I80&lt;&gt;0 )</formula>
    </cfRule>
  </conditionalFormatting>
  <conditionalFormatting sqref="A82:H82">
    <cfRule type="expression" dxfId="92" priority="389">
      <formula>AND($A82="",     ISTEXT($C82),     ISNUMBER(#REF!),     ISNUMBER($H82),    $H82&lt;(#REF!/2), $I82&lt;&gt;0 )</formula>
    </cfRule>
  </conditionalFormatting>
  <conditionalFormatting sqref="A100:H100">
    <cfRule type="expression" dxfId="91" priority="388">
      <formula>AND($A100="",     ISTEXT($C100),     ISNUMBER(#REF!),     ISNUMBER($H100),    $H100&lt;(#REF!/2), $I100&lt;&gt;0 )</formula>
    </cfRule>
  </conditionalFormatting>
  <conditionalFormatting sqref="A133:H133 A139:H139 A147:H147 A153:H153 A175:H175">
    <cfRule type="expression" dxfId="90" priority="421">
      <formula>AND($A133="",     ISTEXT($C133),     ISNUMBER(#REF!),     ISNUMBER($H133),    $H133&lt;(#REF!/2), $I133&lt;&gt;0 )</formula>
    </cfRule>
  </conditionalFormatting>
  <conditionalFormatting sqref="A2:AI2 A3:BF192 AK2:BF2">
    <cfRule type="expression" dxfId="89" priority="12">
      <formula>AND($A2="", ISTEXT($C2))</formula>
    </cfRule>
  </conditionalFormatting>
  <conditionalFormatting sqref="H1:H196">
    <cfRule type="expression" dxfId="88" priority="15">
      <formula>OFFSET(INDIRECT(ADDRESS(ROW(),COLUMN())), 0, -1)&lt;INDIRECT(ADDRESS(ROW(),COLUMN()))</formula>
    </cfRule>
    <cfRule type="expression" priority="16">
      <formula>"$H:$H-$G:$G&lt;0"</formula>
    </cfRule>
  </conditionalFormatting>
  <conditionalFormatting sqref="H181">
    <cfRule type="expression" dxfId="87" priority="1">
      <formula>AND($A181="",     ISTEXT($C181),     ISNUMBER(#REF!),     ISNUMBER($H181),    $H181&lt;(#REF!/2), $I181&lt;&gt;0 )</formula>
    </cfRule>
  </conditionalFormatting>
  <conditionalFormatting sqref="J2:J249">
    <cfRule type="expression" dxfId="86" priority="3">
      <formula>AND(ISNUMBER($J2),$J2&gt;=EOMONTH(TODAY(),-1)+1,$J2&lt;=EDATE(TODAY(),3))</formula>
    </cfRule>
    <cfRule type="containsText" dxfId="85" priority="7" operator="containsText" text="不足">
      <formula>NOT(ISERROR(SEARCH("不足",J2)))</formula>
    </cfRule>
  </conditionalFormatting>
  <conditionalFormatting sqref="K1:BF1">
    <cfRule type="timePeriod" dxfId="84" priority="120" timePeriod="thisMonth">
      <formula>AND(MONTH(K1)=MONTH(TODAY()),YEAR(K1)=YEAR(TODAY()))</formula>
    </cfRule>
  </conditionalFormatting>
  <conditionalFormatting sqref="K87:BF87">
    <cfRule type="expression" dxfId="83" priority="119">
      <formula>K$87&lt;K$89</formula>
    </cfRule>
  </conditionalFormatting>
  <conditionalFormatting sqref="K177:BF178">
    <cfRule type="expression" dxfId="82" priority="118">
      <formula>K$177&lt;K$179</formula>
    </cfRule>
  </conditionalFormatting>
  <conditionalFormatting sqref="K191:BF191">
    <cfRule type="expression" dxfId="81" priority="117">
      <formula>N$191&lt;N$192</formula>
    </cfRule>
  </conditionalFormatting>
  <conditionalFormatting sqref="AI176:AL176">
    <cfRule type="expression" dxfId="80" priority="113">
      <formula>OFFSET(INDIRECT(ADDRESS(ROW(),COLUMN())), 0, -1)&lt;INDIRECT(ADDRESS(ROW(),COLUMN()))</formula>
    </cfRule>
  </conditionalFormatting>
  <conditionalFormatting sqref="AJ5:AK5">
    <cfRule type="expression" dxfId="79" priority="371">
      <formula>AND(   $J5&lt;&gt;"",   ISNUMBER($J5),   DATE(YEAR(AM$1),MONTH(AM$1),1)=DATE(YEAR($J5),MONTH($J5),1) )</formula>
    </cfRule>
  </conditionalFormatting>
  <conditionalFormatting sqref="AK2:AM2">
    <cfRule type="expression" dxfId="78" priority="372">
      <formula>AND(   $J2&lt;&gt;"",   ISNUMBER($J2),   DATE(YEAR(AL$1),MONTH(AL$1),1)=DATE(YEAR($J2),MONTH($J2),1) )</formula>
    </cfRule>
  </conditionalFormatting>
  <conditionalFormatting sqref="AM5">
    <cfRule type="expression" dxfId="77" priority="413">
      <formula>AND(   $J5&lt;&gt;"",   ISNUMBER($J5),   DATE(YEAR(AK$1),MONTH(AK$1),1)=DATE(YEAR($J5),MONTH($J5),1) )</formula>
    </cfRule>
  </conditionalFormatting>
  <conditionalFormatting sqref="AO2:BF2 AK3:BF4 AO5:BF5 AK6:BF192">
    <cfRule type="expression" dxfId="76" priority="4">
      <formula>AND(   $J2&lt;&gt;"",   ISNUMBER($J2),   DATE(YEAR(AK$1),MONTH(AK$1),1)=DATE(YEAR($J2),MONTH($J2),1) )</formula>
    </cfRule>
  </conditionalFormatting>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CAA10-1922-4AA4-B427-439F1DAD6B81}">
  <sheetPr codeName="Sheet7"/>
  <dimension ref="A1:BT180"/>
  <sheetViews>
    <sheetView zoomScale="90" zoomScaleNormal="90" workbookViewId="0">
      <pane xSplit="11" ySplit="1" topLeftCell="L2" activePane="bottomRight" state="frozen"/>
      <selection pane="topRight" activeCell="B46" sqref="B46"/>
      <selection pane="bottomLeft" activeCell="B46" sqref="B46"/>
      <selection pane="bottomRight" activeCell="D3" sqref="D3"/>
    </sheetView>
  </sheetViews>
  <sheetFormatPr defaultColWidth="9" defaultRowHeight="18.75" outlineLevelRow="1" outlineLevelCol="1"/>
  <cols>
    <col min="1" max="1" width="9" style="1079"/>
    <col min="2" max="2" width="33.75" style="113" customWidth="1"/>
    <col min="3" max="3" width="16" style="113" bestFit="1" customWidth="1"/>
    <col min="4" max="4" width="9" style="2178" customWidth="1"/>
    <col min="5" max="6" width="9" style="15" hidden="1" customWidth="1" outlineLevel="1"/>
    <col min="7" max="7" width="9" style="110" collapsed="1"/>
    <col min="8" max="9" width="9" style="110"/>
    <col min="10" max="10" width="9" style="110" hidden="1" customWidth="1" outlineLevel="1"/>
    <col min="11" max="11" width="21.25" style="110" customWidth="1" collapsed="1"/>
    <col min="12" max="32" width="9" style="15" hidden="1" customWidth="1" outlineLevel="1"/>
    <col min="33" max="33" width="9" style="15" hidden="1" customWidth="1" outlineLevel="1" collapsed="1"/>
    <col min="34" max="34" width="9" style="15" hidden="1" customWidth="1" outlineLevel="1"/>
    <col min="35" max="36" width="9" style="15" hidden="1" customWidth="1" outlineLevel="1" collapsed="1"/>
    <col min="37" max="37" width="7.125" style="15" hidden="1" customWidth="1" outlineLevel="1" collapsed="1"/>
    <col min="38" max="40" width="7" style="15" hidden="1" customWidth="1" outlineLevel="1" collapsed="1"/>
    <col min="41" max="41" width="7" style="15" customWidth="1" collapsed="1"/>
    <col min="42" max="58" width="7" style="15" customWidth="1"/>
    <col min="59" max="16384" width="9" style="15"/>
  </cols>
  <sheetData>
    <row r="1" spans="1:72" s="928" customFormat="1" ht="18.75" customHeight="1">
      <c r="A1" s="1058" t="s">
        <v>9</v>
      </c>
      <c r="B1" s="30" t="s">
        <v>1757</v>
      </c>
      <c r="C1" s="30" t="s">
        <v>1758</v>
      </c>
      <c r="D1" s="2152" t="s">
        <v>4420</v>
      </c>
      <c r="E1" s="30" t="s">
        <v>11</v>
      </c>
      <c r="F1" s="30" t="s">
        <v>13</v>
      </c>
      <c r="G1" s="30" t="s">
        <v>1807</v>
      </c>
      <c r="H1" s="30" t="s">
        <v>1760</v>
      </c>
      <c r="I1" s="30" t="s">
        <v>15</v>
      </c>
      <c r="J1" s="30" t="s">
        <v>1627</v>
      </c>
      <c r="K1" s="908" t="s">
        <v>1808</v>
      </c>
      <c r="L1" s="913">
        <v>45292</v>
      </c>
      <c r="M1" s="913">
        <v>45323</v>
      </c>
      <c r="N1" s="913">
        <v>45352</v>
      </c>
      <c r="O1" s="913">
        <v>45383</v>
      </c>
      <c r="P1" s="913">
        <v>45413</v>
      </c>
      <c r="Q1" s="913">
        <v>45444</v>
      </c>
      <c r="R1" s="913">
        <v>45474</v>
      </c>
      <c r="S1" s="913">
        <v>45505</v>
      </c>
      <c r="T1" s="913">
        <v>45536</v>
      </c>
      <c r="U1" s="913">
        <v>45566</v>
      </c>
      <c r="V1" s="913">
        <v>45597</v>
      </c>
      <c r="W1" s="921">
        <v>45627</v>
      </c>
      <c r="X1" s="18">
        <v>45658</v>
      </c>
      <c r="Y1" s="18">
        <v>45689</v>
      </c>
      <c r="Z1" s="18">
        <v>45717</v>
      </c>
      <c r="AA1" s="18">
        <v>45748</v>
      </c>
      <c r="AB1" s="18">
        <v>45778</v>
      </c>
      <c r="AC1" s="18">
        <v>45809</v>
      </c>
      <c r="AD1" s="18">
        <v>45839</v>
      </c>
      <c r="AE1" s="18">
        <v>45870</v>
      </c>
      <c r="AF1" s="18">
        <v>45901</v>
      </c>
      <c r="AG1" s="18">
        <v>45931</v>
      </c>
      <c r="AH1" s="18">
        <v>45962</v>
      </c>
      <c r="AI1" s="18">
        <v>45992</v>
      </c>
      <c r="AJ1" s="922">
        <v>46023</v>
      </c>
      <c r="AK1" s="923">
        <v>46054</v>
      </c>
      <c r="AL1" s="923">
        <v>46082</v>
      </c>
      <c r="AM1" s="923">
        <v>46113</v>
      </c>
      <c r="AN1" s="923">
        <v>46143</v>
      </c>
      <c r="AO1" s="923">
        <v>46174</v>
      </c>
      <c r="AP1" s="923">
        <v>46204</v>
      </c>
      <c r="AQ1" s="923">
        <v>46235</v>
      </c>
      <c r="AR1" s="923">
        <v>46266</v>
      </c>
      <c r="AS1" s="923">
        <v>46296</v>
      </c>
      <c r="AT1" s="923">
        <v>46327</v>
      </c>
      <c r="AU1" s="924">
        <v>46357</v>
      </c>
      <c r="AV1" s="18">
        <v>46388</v>
      </c>
      <c r="AW1" s="18">
        <v>46419</v>
      </c>
      <c r="AX1" s="18">
        <v>46447</v>
      </c>
      <c r="AY1" s="18">
        <v>46478</v>
      </c>
      <c r="AZ1" s="18">
        <v>46508</v>
      </c>
      <c r="BA1" s="18">
        <v>46539</v>
      </c>
      <c r="BB1" s="18">
        <v>46569</v>
      </c>
      <c r="BC1" s="18">
        <v>46600</v>
      </c>
      <c r="BD1" s="18">
        <v>46631</v>
      </c>
      <c r="BE1" s="18">
        <v>46661</v>
      </c>
      <c r="BF1" s="18">
        <v>46692</v>
      </c>
      <c r="BG1" s="18">
        <v>46722</v>
      </c>
      <c r="BH1" s="922">
        <v>46753</v>
      </c>
      <c r="BI1" s="923">
        <v>46784</v>
      </c>
      <c r="BJ1" s="923">
        <v>46813</v>
      </c>
      <c r="BK1" s="923">
        <v>46844</v>
      </c>
      <c r="BL1" s="925">
        <v>46874</v>
      </c>
      <c r="BM1" s="925">
        <v>46905</v>
      </c>
      <c r="BN1" s="925">
        <v>46935</v>
      </c>
      <c r="BO1" s="925">
        <v>46966</v>
      </c>
      <c r="BP1" s="925">
        <v>46997</v>
      </c>
      <c r="BQ1" s="925">
        <v>47027</v>
      </c>
      <c r="BR1" s="925">
        <v>47058</v>
      </c>
      <c r="BS1" s="926">
        <v>47088</v>
      </c>
      <c r="BT1" s="927"/>
    </row>
    <row r="2" spans="1:72" customFormat="1" ht="18.75" customHeight="1">
      <c r="A2" s="1059"/>
      <c r="B2" s="934" t="str" cm="1">
        <f t="array" ref="B2:B25">IF($C2:$C25="","",_xlfn.XLOOKUP($C2:$C25,マスタ_EOLリスト[製品型番],マスタ_EOLリスト[綽名]))</f>
        <v/>
      </c>
      <c r="C2" s="26"/>
      <c r="D2" s="2153" t="str" cm="1">
        <f t="array" ref="D2:D25">IF(_xlfn.ANCHORARRAY(B2)="","",_xlfn.XLOOKUP(_xlfn.ANCHORARRAY(B2),購買計画one_note_貼り付け[綽名],購買計画one_note_貼り付け[累計発注数],,,-1))</f>
        <v/>
      </c>
      <c r="E2" s="26"/>
      <c r="F2" s="24"/>
      <c r="G2" s="74" t="str" cm="1">
        <f t="array" ref="G2:G25">IF($C2:$C25="","",SUMIF(マスタ_EOLリスト[[製品型番]:[製品型番]],$C2:$C25,マスタ_EOLリスト[[在庫+注残]:[在庫+注残]]))</f>
        <v/>
      </c>
      <c r="H2" s="74" t="str" cm="1">
        <f t="array" ref="H2:H25">IF($C2:$C25="","",SUMIF(マスタ_EOLリスト[[製品型番]:[製品型番]],$C2:$C25,マスタ_EOLリスト[[在庫]:[在庫]]))</f>
        <v/>
      </c>
      <c r="I2" s="38" t="str" cm="1">
        <f t="array" ref="I2">_xlfn.IFS(
  $C2="","",
  $G2="","発売前？",
  $G2=0,"在庫無し",
  TRUE,
  IFERROR(
    _xlfn.LET(
      _xlpm._在庫注残,     $G2,
      _xlpm._しきい値,     _xlpm._在庫注残 * 0.75,
      _xlpm._見出し元,     $L$1:$BU$1,
      _xlpm._計画,         $L2:$BU2,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
      </c>
      <c r="J2" s="74" t="str" cm="1">
        <f t="array" ref="J2">_xlfn.LET(
  _xlpm._見出し,$A$1:$BS$1,
  _xlpm._行,$A2:$BS2,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IF($C2="","",_xlpm._四点五月計画合計)
)</f>
        <v/>
      </c>
      <c r="K2" s="1458" t="str" cm="1">
        <f t="array" ref="K2">_xlfn.IFS(
  $C2="","",
  $G2="","発売前？",
  $G2=0,"在庫無し",
  TRUE,
  IFERROR(
    _xlfn.LET(
      _xlpm._在庫注残,     $G2,
      _xlpm._しきい値,     _xlpm._在庫注残 * 0.75,
      _xlpm._見出し元,     $L$1:$BU$1,
      _xlpm._計画,         $L2:$BU2,
      _xlpm._最新実績日,       基準データ!$C$5,
      _xlpm._今月1日,      EOMONTH(_xlpm._最新実績日, -1) + 1,
      _xlpm._月末日,       EOMONTH(_xlpm._最新実績日, 0),
      _xlpm._今月位置,     _xlfn.XMATCH(_xlpm._今月1日, _xlpm._見出し元),
      _xlpm._今月計画按分, N(INDEX(_xlpm._計画, 1, _xlpm._今月位置))
                      * (_xlpm._月末日 - _xlpm._最新実績日)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
      </c>
      <c r="L2" s="38"/>
      <c r="M2" s="38"/>
      <c r="N2" s="38"/>
      <c r="O2" s="38"/>
      <c r="P2" s="38"/>
      <c r="Q2" s="38"/>
      <c r="R2" s="38"/>
      <c r="S2" s="38"/>
      <c r="T2" s="219"/>
      <c r="U2" s="219"/>
      <c r="V2" s="219"/>
      <c r="W2" s="298"/>
      <c r="X2" s="299"/>
      <c r="Y2" s="299"/>
      <c r="Z2" s="223"/>
      <c r="AA2" s="241"/>
      <c r="AB2" s="224"/>
      <c r="AC2" s="224"/>
      <c r="AD2" s="224"/>
      <c r="AE2" s="224"/>
      <c r="AF2" s="224"/>
      <c r="AG2" s="224"/>
      <c r="AH2" s="224"/>
      <c r="AI2" s="237"/>
      <c r="AJ2" s="804"/>
      <c r="AK2" s="224"/>
      <c r="AL2" s="224"/>
      <c r="AM2" s="224"/>
      <c r="AN2" s="224" t="str">
        <f>_xlfn.LET(
_xlpm._一般検索,IFERROR(INDEX('在庫使用計画 (一般)'!$A$1:$BF$391,MATCH($C2,'在庫使用計画 (一般)'!$C$1:$C$391,0),MATCH(AN$1,'在庫使用計画 (一般)'!$A$1:$BF$1,0))*1,0),
_xlpm._法人検索,IFERROR(INDEX('在庫使用計画 (法人)'!$A$1:$BF$391,MATCH($C2,'在庫使用計画 (法人)'!$C$1:$C$391,0),MATCH(AN$1,'在庫使用計画 (法人)'!$A$1:$BF$1,0))*1,0),
_xlpm._合計,_xlpm._一般検索+_xlpm._法人検索,
IF(_xlpm._合計=0,"",_xlpm._合計)
)</f>
        <v/>
      </c>
      <c r="AO2" s="224" t="str">
        <f>_xlfn.LET(
_xlpm._一般検索,IFERROR(INDEX('在庫使用計画 (一般)'!$A$1:$BF$391,MATCH($C2,'在庫使用計画 (一般)'!$C$1:$C$391,0),MATCH(AO$1,'在庫使用計画 (一般)'!$A$1:$BF$1,0))*1,0),
_xlpm._法人検索,IFERROR(INDEX('在庫使用計画 (法人)'!$A$1:$BF$391,MATCH($C2,'在庫使用計画 (法人)'!$C$1:$C$391,0),MATCH(AO$1,'在庫使用計画 (法人)'!$A$1:$BF$1,0))*1,0),
_xlpm._合計,_xlpm._一般検索+_xlpm._法人検索,
IF(_xlpm._合計=0,"",_xlpm._合計)
)</f>
        <v/>
      </c>
      <c r="AP2" s="224" t="str">
        <f>_xlfn.LET(
_xlpm._一般検索,IFERROR(INDEX('在庫使用計画 (一般)'!$A$1:$BF$391,MATCH($C2,'在庫使用計画 (一般)'!$C$1:$C$391,0),MATCH(AP$1,'在庫使用計画 (一般)'!$A$1:$BF$1,0))*1,0),
_xlpm._法人検索,IFERROR(INDEX('在庫使用計画 (法人)'!$A$1:$BF$391,MATCH($C2,'在庫使用計画 (法人)'!$C$1:$C$391,0),MATCH(AP$1,'在庫使用計画 (法人)'!$A$1:$BF$1,0))*1,0),
_xlpm._合計,_xlpm._一般検索+_xlpm._法人検索,
IF(_xlpm._合計=0,"",_xlpm._合計)
)</f>
        <v/>
      </c>
      <c r="AQ2" s="224" t="str">
        <f>_xlfn.LET(
_xlpm._一般検索,IFERROR(INDEX('在庫使用計画 (一般)'!$A$1:$BF$391,MATCH($C2,'在庫使用計画 (一般)'!$C$1:$C$391,0),MATCH(AQ$1,'在庫使用計画 (一般)'!$A$1:$BF$1,0))*1,0),
_xlpm._法人検索,IFERROR(INDEX('在庫使用計画 (法人)'!$A$1:$BF$391,MATCH($C2,'在庫使用計画 (法人)'!$C$1:$C$391,0),MATCH(AQ$1,'在庫使用計画 (法人)'!$A$1:$BF$1,0))*1,0),
_xlpm._合計,_xlpm._一般検索+_xlpm._法人検索,
IF(_xlpm._合計=0,"",_xlpm._合計)
)</f>
        <v/>
      </c>
      <c r="AR2" s="224" t="str">
        <f>_xlfn.LET(
_xlpm._一般検索,IFERROR(INDEX('在庫使用計画 (一般)'!$A$1:$BF$391,MATCH($C2,'在庫使用計画 (一般)'!$C$1:$C$391,0),MATCH(AR$1,'在庫使用計画 (一般)'!$A$1:$BF$1,0))*1,0),
_xlpm._法人検索,IFERROR(INDEX('在庫使用計画 (法人)'!$A$1:$BF$391,MATCH($C2,'在庫使用計画 (法人)'!$C$1:$C$391,0),MATCH(AR$1,'在庫使用計画 (法人)'!$A$1:$BF$1,0))*1,0),
_xlpm._合計,_xlpm._一般検索+_xlpm._法人検索,
IF(_xlpm._合計=0,"",_xlpm._合計)
)</f>
        <v/>
      </c>
      <c r="AS2" s="224" t="str">
        <f>_xlfn.LET(
_xlpm._一般検索,IFERROR(INDEX('在庫使用計画 (一般)'!$A$1:$BF$391,MATCH($C2,'在庫使用計画 (一般)'!$C$1:$C$391,0),MATCH(AS$1,'在庫使用計画 (一般)'!$A$1:$BF$1,0))*1,0),
_xlpm._法人検索,IFERROR(INDEX('在庫使用計画 (法人)'!$A$1:$BF$391,MATCH($C2,'在庫使用計画 (法人)'!$C$1:$C$391,0),MATCH(AS$1,'在庫使用計画 (法人)'!$A$1:$BF$1,0))*1,0),
_xlpm._合計,_xlpm._一般検索+_xlpm._法人検索,
IF(_xlpm._合計=0,"",_xlpm._合計)
)</f>
        <v/>
      </c>
      <c r="AT2" s="224" t="str">
        <f>_xlfn.LET(
_xlpm._一般検索,IFERROR(INDEX('在庫使用計画 (一般)'!$A$1:$BF$391,MATCH($C2,'在庫使用計画 (一般)'!$C$1:$C$391,0),MATCH(AT$1,'在庫使用計画 (一般)'!$A$1:$BF$1,0))*1,0),
_xlpm._法人検索,IFERROR(INDEX('在庫使用計画 (法人)'!$A$1:$BF$391,MATCH($C2,'在庫使用計画 (法人)'!$C$1:$C$391,0),MATCH(AT$1,'在庫使用計画 (法人)'!$A$1:$BF$1,0))*1,0),
_xlpm._合計,_xlpm._一般検索+_xlpm._法人検索,
IF(_xlpm._合計=0,"",_xlpm._合計)
)</f>
        <v/>
      </c>
      <c r="AU2" s="805" t="str">
        <f>_xlfn.LET(
_xlpm._一般検索,IFERROR(INDEX('在庫使用計画 (一般)'!$A$1:$BF$391,MATCH($C2,'在庫使用計画 (一般)'!$C$1:$C$391,0),MATCH(AU$1,'在庫使用計画 (一般)'!$A$1:$BF$1,0))*1,0),
_xlpm._法人検索,IFERROR(INDEX('在庫使用計画 (法人)'!$A$1:$BF$391,MATCH($C2,'在庫使用計画 (法人)'!$C$1:$C$391,0),MATCH(AU$1,'在庫使用計画 (法人)'!$A$1:$BF$1,0))*1,0),
_xlpm._合計,_xlpm._一般検索+_xlpm._法人検索,
IF(_xlpm._合計=0,"",_xlpm._合計)
)</f>
        <v/>
      </c>
      <c r="AV2" s="244" t="str">
        <f>_xlfn.LET(
_xlpm._一般検索,IFERROR(INDEX('在庫使用計画 (一般)'!$A$1:$BF$391,MATCH($C2,'在庫使用計画 (一般)'!$C$1:$C$391,0),MATCH(AV$1,'在庫使用計画 (一般)'!$A$1:$BF$1,0))*1,0),
_xlpm._法人検索,IFERROR(INDEX('在庫使用計画 (法人)'!$A$1:$BF$391,MATCH($C2,'在庫使用計画 (法人)'!$C$1:$C$391,0),MATCH(AV$1,'在庫使用計画 (法人)'!$A$1:$BF$1,0))*1,0),
_xlpm._合計,_xlpm._一般検索+_xlpm._法人検索,
IF(_xlpm._合計=0,"",_xlpm._合計)
)</f>
        <v/>
      </c>
      <c r="AW2" s="224" t="str">
        <f>_xlfn.LET(
_xlpm._一般検索,IFERROR(INDEX('在庫使用計画 (一般)'!$A$1:$BF$391,MATCH($C2,'在庫使用計画 (一般)'!$C$1:$C$391,0),MATCH(AW$1,'在庫使用計画 (一般)'!$A$1:$BF$1,0))*1,0),
_xlpm._法人検索,IFERROR(INDEX('在庫使用計画 (法人)'!$A$1:$BF$391,MATCH($C2,'在庫使用計画 (法人)'!$C$1:$C$391,0),MATCH(AW$1,'在庫使用計画 (法人)'!$A$1:$BF$1,0))*1,0),
_xlpm._合計,_xlpm._一般検索+_xlpm._法人検索,
IF(_xlpm._合計=0,"",_xlpm._合計)
)</f>
        <v/>
      </c>
      <c r="AX2" s="224" t="str">
        <f>_xlfn.LET(
_xlpm._一般検索,IFERROR(INDEX('在庫使用計画 (一般)'!$A$1:$BF$391,MATCH($C2,'在庫使用計画 (一般)'!$C$1:$C$391,0),MATCH(AX$1,'在庫使用計画 (一般)'!$A$1:$BF$1,0))*1,0),
_xlpm._法人検索,IFERROR(INDEX('在庫使用計画 (法人)'!$A$1:$BF$391,MATCH($C2,'在庫使用計画 (法人)'!$C$1:$C$391,0),MATCH(AX$1,'在庫使用計画 (法人)'!$A$1:$BF$1,0))*1,0),
_xlpm._合計,_xlpm._一般検索+_xlpm._法人検索,
IF(_xlpm._合計=0,"",_xlpm._合計)
)</f>
        <v/>
      </c>
      <c r="AY2" s="224" t="str">
        <f>_xlfn.LET(
_xlpm._一般検索,IFERROR(INDEX('在庫使用計画 (一般)'!$A$1:$BF$391,MATCH($C2,'在庫使用計画 (一般)'!$C$1:$C$391,0),MATCH(AY$1,'在庫使用計画 (一般)'!$A$1:$BF$1,0))*1,0),
_xlpm._法人検索,IFERROR(INDEX('在庫使用計画 (法人)'!$A$1:$BF$391,MATCH($C2,'在庫使用計画 (法人)'!$C$1:$C$391,0),MATCH(AY$1,'在庫使用計画 (法人)'!$A$1:$BF$1,0))*1,0),
_xlpm._合計,_xlpm._一般検索+_xlpm._法人検索,
IF(_xlpm._合計=0,"",_xlpm._合計)
)</f>
        <v/>
      </c>
      <c r="AZ2" s="224" t="str">
        <f>_xlfn.LET(
_xlpm._一般検索,IFERROR(INDEX('在庫使用計画 (一般)'!$A$1:$BF$391,MATCH($C2,'在庫使用計画 (一般)'!$C$1:$C$391,0),MATCH(AZ$1,'在庫使用計画 (一般)'!$A$1:$BF$1,0))*1,0),
_xlpm._法人検索,IFERROR(INDEX('在庫使用計画 (法人)'!$A$1:$BF$391,MATCH($C2,'在庫使用計画 (法人)'!$C$1:$C$391,0),MATCH(AZ$1,'在庫使用計画 (法人)'!$A$1:$BF$1,0))*1,0),
_xlpm._合計,_xlpm._一般検索+_xlpm._法人検索,
IF(_xlpm._合計=0,"",_xlpm._合計)
)</f>
        <v/>
      </c>
      <c r="BA2" s="224" t="str">
        <f>_xlfn.LET(
_xlpm._一般検索,IFERROR(INDEX('在庫使用計画 (一般)'!$A$1:$BF$391,MATCH($C2,'在庫使用計画 (一般)'!$C$1:$C$391,0),MATCH(BA$1,'在庫使用計画 (一般)'!$A$1:$BF$1,0))*1,0),
_xlpm._法人検索,IFERROR(INDEX('在庫使用計画 (法人)'!$A$1:$BF$391,MATCH($C2,'在庫使用計画 (法人)'!$C$1:$C$391,0),MATCH(BA$1,'在庫使用計画 (法人)'!$A$1:$BF$1,0))*1,0),
_xlpm._合計,_xlpm._一般検索+_xlpm._法人検索,
IF(_xlpm._合計=0,"",_xlpm._合計)
)</f>
        <v/>
      </c>
      <c r="BB2" s="224" t="str">
        <f>_xlfn.LET(
_xlpm._一般検索,IFERROR(INDEX('在庫使用計画 (一般)'!$A$1:$BF$391,MATCH($C2,'在庫使用計画 (一般)'!$C$1:$C$391,0),MATCH(BB$1,'在庫使用計画 (一般)'!$A$1:$BF$1,0))*1,0),
_xlpm._法人検索,IFERROR(INDEX('在庫使用計画 (法人)'!$A$1:$BF$391,MATCH($C2,'在庫使用計画 (法人)'!$C$1:$C$391,0),MATCH(BB$1,'在庫使用計画 (法人)'!$A$1:$BF$1,0))*1,0),
_xlpm._合計,_xlpm._一般検索+_xlpm._法人検索,
IF(_xlpm._合計=0,"",_xlpm._合計)
)</f>
        <v/>
      </c>
      <c r="BC2" s="224" t="str">
        <f>_xlfn.LET(
_xlpm._一般検索,IFERROR(INDEX('在庫使用計画 (一般)'!$A$1:$BF$391,MATCH($C2,'在庫使用計画 (一般)'!$C$1:$C$391,0),MATCH(BC$1,'在庫使用計画 (一般)'!$A$1:$BF$1,0))*1,0),
_xlpm._法人検索,IFERROR(INDEX('在庫使用計画 (法人)'!$A$1:$BF$391,MATCH($C2,'在庫使用計画 (法人)'!$C$1:$C$391,0),MATCH(BC$1,'在庫使用計画 (法人)'!$A$1:$BF$1,0))*1,0),
_xlpm._合計,_xlpm._一般検索+_xlpm._法人検索,
IF(_xlpm._合計=0,"",_xlpm._合計)
)</f>
        <v/>
      </c>
      <c r="BD2" s="224" t="str">
        <f>_xlfn.LET(
_xlpm._一般検索,IFERROR(INDEX('在庫使用計画 (一般)'!$A$1:$BF$391,MATCH($C2,'在庫使用計画 (一般)'!$C$1:$C$391,0),MATCH(BD$1,'在庫使用計画 (一般)'!$A$1:$BF$1,0))*1,0),
_xlpm._法人検索,IFERROR(INDEX('在庫使用計画 (法人)'!$A$1:$BF$391,MATCH($C2,'在庫使用計画 (法人)'!$C$1:$C$391,0),MATCH(BD$1,'在庫使用計画 (法人)'!$A$1:$BF$1,0))*1,0),
_xlpm._合計,_xlpm._一般検索+_xlpm._法人検索,
IF(_xlpm._合計=0,"",_xlpm._合計)
)</f>
        <v/>
      </c>
      <c r="BE2" s="224" t="str">
        <f>_xlfn.LET(
_xlpm._一般検索,IFERROR(INDEX('在庫使用計画 (一般)'!$A$1:$BF$391,MATCH($C2,'在庫使用計画 (一般)'!$C$1:$C$391,0),MATCH(BE$1,'在庫使用計画 (一般)'!$A$1:$BF$1,0))*1,0),
_xlpm._法人検索,IFERROR(INDEX('在庫使用計画 (法人)'!$A$1:$BF$391,MATCH($C2,'在庫使用計画 (法人)'!$C$1:$C$391,0),MATCH(BE$1,'在庫使用計画 (法人)'!$A$1:$BF$1,0))*1,0),
_xlpm._合計,_xlpm._一般検索+_xlpm._法人検索,
IF(_xlpm._合計=0,"",_xlpm._合計)
)</f>
        <v/>
      </c>
      <c r="BF2" s="224" t="str">
        <f>_xlfn.LET(
_xlpm._一般検索,IFERROR(INDEX('在庫使用計画 (一般)'!$A$1:$BF$391,MATCH($C2,'在庫使用計画 (一般)'!$C$1:$C$391,0),MATCH(BF$1,'在庫使用計画 (一般)'!$A$1:$BF$1,0))*1,0),
_xlpm._法人検索,IFERROR(INDEX('在庫使用計画 (法人)'!$A$1:$BF$391,MATCH($C2,'在庫使用計画 (法人)'!$C$1:$C$391,0),MATCH(BF$1,'在庫使用計画 (法人)'!$A$1:$BF$1,0))*1,0),
_xlpm._合計,_xlpm._一般検索+_xlpm._法人検索,
IF(_xlpm._合計=0,"",_xlpm._合計)
)</f>
        <v/>
      </c>
      <c r="BG2" s="237" t="str">
        <f>_xlfn.LET(
_xlpm._一般検索,IFERROR(INDEX('在庫使用計画 (一般)'!$A$1:$BF$391,MATCH($C2,'在庫使用計画 (一般)'!$C$1:$C$391,0),MATCH(BG$1,'在庫使用計画 (一般)'!$A$1:$BF$1,0))*1,0),
_xlpm._法人検索,IFERROR(INDEX('在庫使用計画 (法人)'!$A$1:$BF$391,MATCH($C2,'在庫使用計画 (法人)'!$C$1:$C$391,0),MATCH(BG$1,'在庫使用計画 (法人)'!$A$1:$BF$1,0))*1,0),
_xlpm._合計,_xlpm._一般検索+_xlpm._法人検索,
IF(_xlpm._合計=0,"",_xlpm._合計)
)</f>
        <v/>
      </c>
      <c r="BH2" s="804" t="str">
        <f>_xlfn.LET(
_xlpm._一般検索,IFERROR(INDEX('在庫使用計画 (一般)'!$A$1:$BF$391,MATCH($C2,'在庫使用計画 (一般)'!$C$1:$C$391,0),MATCH(BH$1,'在庫使用計画 (一般)'!$A$1:$BF$1,0))*1,0),
_xlpm._法人検索,IFERROR(INDEX('在庫使用計画 (法人)'!$A$1:$BF$391,MATCH($C2,'在庫使用計画 (法人)'!$C$1:$C$391,0),MATCH(BH$1,'在庫使用計画 (法人)'!$A$1:$BF$1,0))*1,0),
_xlpm._合計,_xlpm._一般検索+_xlpm._法人検索,
IF(_xlpm._合計=0,"",_xlpm._合計)
)</f>
        <v/>
      </c>
      <c r="BI2" s="224" t="str">
        <f>_xlfn.LET(
_xlpm._一般検索,IFERROR(INDEX('在庫使用計画 (一般)'!$A$1:$BF$391,MATCH($C2,'在庫使用計画 (一般)'!$C$1:$C$391,0),MATCH(BI$1,'在庫使用計画 (一般)'!$A$1:$BF$1,0))*1,0),
_xlpm._法人検索,IFERROR(INDEX('在庫使用計画 (法人)'!$A$1:$BF$391,MATCH($C2,'在庫使用計画 (法人)'!$C$1:$C$391,0),MATCH(BI$1,'在庫使用計画 (法人)'!$A$1:$BF$1,0))*1,0),
_xlpm._合計,_xlpm._一般検索+_xlpm._法人検索,
IF(_xlpm._合計=0,"",_xlpm._合計)
)</f>
        <v/>
      </c>
      <c r="BJ2" s="224" t="str">
        <f>_xlfn.LET(
_xlpm._一般検索,IFERROR(INDEX('在庫使用計画 (一般)'!$A$1:$BF$391,MATCH($C2,'在庫使用計画 (一般)'!$C$1:$C$391,0),MATCH(BJ$1,'在庫使用計画 (一般)'!$A$1:$BF$1,0))*1,0),
_xlpm._法人検索,IFERROR(INDEX('在庫使用計画 (法人)'!$A$1:$BF$391,MATCH($C2,'在庫使用計画 (法人)'!$C$1:$C$391,0),MATCH(BJ$1,'在庫使用計画 (法人)'!$A$1:$BF$1,0))*1,0),
_xlpm._合計,_xlpm._一般検索+_xlpm._法人検索,
IF(_xlpm._合計=0,"",_xlpm._合計)
)</f>
        <v/>
      </c>
      <c r="BK2" s="224" t="str">
        <f>_xlfn.LET(
_xlpm._一般検索,IFERROR(INDEX('在庫使用計画 (一般)'!$A$1:$BF$391,MATCH($C2,'在庫使用計画 (一般)'!$C$1:$C$391,0),MATCH(BK$1,'在庫使用計画 (一般)'!$A$1:$BF$1,0))*1,0),
_xlpm._法人検索,IFERROR(INDEX('在庫使用計画 (法人)'!$A$1:$BF$391,MATCH($C2,'在庫使用計画 (法人)'!$C$1:$C$391,0),MATCH(BK$1,'在庫使用計画 (法人)'!$A$1:$BF$1,0))*1,0),
_xlpm._合計,_xlpm._一般検索+_xlpm._法人検索,
IF(_xlpm._合計=0,"",_xlpm._合計)
)</f>
        <v/>
      </c>
      <c r="BL2" s="224" t="str">
        <f>_xlfn.LET(
_xlpm._一般検索,IFERROR(INDEX('在庫使用計画 (一般)'!$A$1:$BF$391,MATCH($C2,'在庫使用計画 (一般)'!$C$1:$C$391,0),MATCH(BL$1,'在庫使用計画 (一般)'!$A$1:$BF$1,0))*1,0),
_xlpm._法人検索,IFERROR(INDEX('在庫使用計画 (法人)'!$A$1:$BF$391,MATCH($C2,'在庫使用計画 (法人)'!$C$1:$C$391,0),MATCH(BL$1,'在庫使用計画 (法人)'!$A$1:$BF$1,0))*1,0),
_xlpm._合計,_xlpm._一般検索+_xlpm._法人検索,
IF(_xlpm._合計=0,"",_xlpm._合計)
)</f>
        <v/>
      </c>
      <c r="BM2" s="224" t="str">
        <f>_xlfn.LET(
_xlpm._一般検索,IFERROR(INDEX('在庫使用計画 (一般)'!$A$1:$BF$391,MATCH($C2,'在庫使用計画 (一般)'!$C$1:$C$391,0),MATCH(BM$1,'在庫使用計画 (一般)'!$A$1:$BF$1,0))*1,0),
_xlpm._法人検索,IFERROR(INDEX('在庫使用計画 (法人)'!$A$1:$BF$391,MATCH($C2,'在庫使用計画 (法人)'!$C$1:$C$391,0),MATCH(BM$1,'在庫使用計画 (法人)'!$A$1:$BF$1,0))*1,0),
_xlpm._合計,_xlpm._一般検索+_xlpm._法人検索,
IF(_xlpm._合計=0,"",_xlpm._合計)
)</f>
        <v/>
      </c>
      <c r="BN2" s="224" t="str">
        <f>_xlfn.LET(
_xlpm._一般検索,IFERROR(INDEX('在庫使用計画 (一般)'!$A$1:$BF$391,MATCH($C2,'在庫使用計画 (一般)'!$C$1:$C$391,0),MATCH(BN$1,'在庫使用計画 (一般)'!$A$1:$BF$1,0))*1,0),
_xlpm._法人検索,IFERROR(INDEX('在庫使用計画 (法人)'!$A$1:$BF$391,MATCH($C2,'在庫使用計画 (法人)'!$C$1:$C$391,0),MATCH(BN$1,'在庫使用計画 (法人)'!$A$1:$BF$1,0))*1,0),
_xlpm._合計,_xlpm._一般検索+_xlpm._法人検索,
IF(_xlpm._合計=0,"",_xlpm._合計)
)</f>
        <v/>
      </c>
      <c r="BO2" s="224" t="str">
        <f>_xlfn.LET(
_xlpm._一般検索,IFERROR(INDEX('在庫使用計画 (一般)'!$A$1:$BF$391,MATCH($C2,'在庫使用計画 (一般)'!$C$1:$C$391,0),MATCH(BO$1,'在庫使用計画 (一般)'!$A$1:$BF$1,0))*1,0),
_xlpm._法人検索,IFERROR(INDEX('在庫使用計画 (法人)'!$A$1:$BF$391,MATCH($C2,'在庫使用計画 (法人)'!$C$1:$C$391,0),MATCH(BO$1,'在庫使用計画 (法人)'!$A$1:$BF$1,0))*1,0),
_xlpm._合計,_xlpm._一般検索+_xlpm._法人検索,
IF(_xlpm._合計=0,"",_xlpm._合計)
)</f>
        <v/>
      </c>
      <c r="BP2" s="224" t="str">
        <f>_xlfn.LET(
_xlpm._一般検索,IFERROR(INDEX('在庫使用計画 (一般)'!$A$1:$BF$391,MATCH($C2,'在庫使用計画 (一般)'!$C$1:$C$391,0),MATCH(BP$1,'在庫使用計画 (一般)'!$A$1:$BF$1,0))*1,0),
_xlpm._法人検索,IFERROR(INDEX('在庫使用計画 (法人)'!$A$1:$BF$391,MATCH($C2,'在庫使用計画 (法人)'!$C$1:$C$391,0),MATCH(BP$1,'在庫使用計画 (法人)'!$A$1:$BF$1,0))*1,0),
_xlpm._合計,_xlpm._一般検索+_xlpm._法人検索,
IF(_xlpm._合計=0,"",_xlpm._合計)
)</f>
        <v/>
      </c>
      <c r="BQ2" s="224" t="str">
        <f>_xlfn.LET(
_xlpm._一般検索,IFERROR(INDEX('在庫使用計画 (一般)'!$A$1:$BF$391,MATCH($C2,'在庫使用計画 (一般)'!$C$1:$C$391,0),MATCH(BQ$1,'在庫使用計画 (一般)'!$A$1:$BF$1,0))*1,0),
_xlpm._法人検索,IFERROR(INDEX('在庫使用計画 (法人)'!$A$1:$BF$391,MATCH($C2,'在庫使用計画 (法人)'!$C$1:$C$391,0),MATCH(BQ$1,'在庫使用計画 (法人)'!$A$1:$BF$1,0))*1,0),
_xlpm._合計,_xlpm._一般検索+_xlpm._法人検索,
IF(_xlpm._合計=0,"",_xlpm._合計)
)</f>
        <v/>
      </c>
      <c r="BR2" s="224" t="str">
        <f>_xlfn.LET(
_xlpm._一般検索,IFERROR(INDEX('在庫使用計画 (一般)'!$A$1:$BF$391,MATCH($C2,'在庫使用計画 (一般)'!$C$1:$C$391,0),MATCH(BR$1,'在庫使用計画 (一般)'!$A$1:$BF$1,0))*1,0),
_xlpm._法人検索,IFERROR(INDEX('在庫使用計画 (法人)'!$A$1:$BF$391,MATCH($C2,'在庫使用計画 (法人)'!$C$1:$C$391,0),MATCH(BR$1,'在庫使用計画 (法人)'!$A$1:$BF$1,0))*1,0),
_xlpm._合計,_xlpm._一般検索+_xlpm._法人検索,
IF(_xlpm._合計=0,"",_xlpm._合計)
)</f>
        <v/>
      </c>
      <c r="BS2" s="805" t="str">
        <f>_xlfn.LET(
_xlpm._一般検索,IFERROR(INDEX('在庫使用計画 (一般)'!$A$1:$BF$391,MATCH($C2,'在庫使用計画 (一般)'!$C$1:$C$391,0),MATCH(BS$1,'在庫使用計画 (一般)'!$A$1:$BF$1,0))*1,0),
_xlpm._法人検索,IFERROR(INDEX('在庫使用計画 (法人)'!$A$1:$BF$391,MATCH($C2,'在庫使用計画 (法人)'!$C$1:$C$391,0),MATCH(BS$1,'在庫使用計画 (法人)'!$A$1:$BF$1,0))*1,0),
_xlpm._合計,_xlpm._一般検索+_xlpm._法人検索,
IF(_xlpm._合計=0,"",_xlpm._合計)
)</f>
        <v/>
      </c>
      <c r="BT2" s="21"/>
    </row>
    <row r="3" spans="1:72" customFormat="1" ht="18.75" customHeight="1" thickBot="1">
      <c r="A3" s="1059" t="s">
        <v>1628</v>
      </c>
      <c r="B3" s="26" t="str">
        <v>CLE-X58-275HX-5090-L6</v>
      </c>
      <c r="C3" s="380" t="s">
        <v>149</v>
      </c>
      <c r="D3" s="2153">
        <v>436</v>
      </c>
      <c r="E3" s="26" t="s">
        <v>1629</v>
      </c>
      <c r="F3" s="24" t="s">
        <v>20</v>
      </c>
      <c r="G3" s="74">
        <v>66</v>
      </c>
      <c r="H3" s="74">
        <v>66</v>
      </c>
      <c r="I3" s="38">
        <f>_xlfn.LET(
  _xlpm._基準日,基準データ!$C$5,
  _xlpm._月末日,EOMONTH(_xlpm._基準日,0),
  _xlpm._見出し,$A$1:$BE$1,
  _xlpm._計画,$A3:$BE3,
  _xlpm._4ヶ月目位置,MATCH(EDATE(_xlpm._基準日,3),_xlpm._見出し,1),
  _xlpm._今月位置,_xlpm._4ヶ月目位置-3,
  _xlpm._今月計画,N(INDEX(_xlpm._計画,1,_xlpm._今月位置)),
  _xlpm._翌月以降3ヶ月計画,
    SUM(
      INDEX(_xlpm._計画,1,_xlpm._今月位置+1):
      INDEX(_xlpm._計画,1,_xlpm._今月位置+3)
    ),
  _xlpm._今月残日数,_xlpm._月末日-_xlpm._基準日+1,
  _xlpm._今月計画按分,
    _xlpm._今月計画*_xlpm._今月残日数/DAY(_xlpm._月末日),
  _xlpm._今月から4ヶ月計画合計,
    _xlpm._今月計画按分+_xlpm._翌月以降3ヶ月計画,
  IF(
    $C3="",
    "",
    _xlpm._今月から4ヶ月計画合計
  )
)</f>
        <v>57.096774193548384</v>
      </c>
      <c r="J3" s="74" cm="1">
        <f t="array" ref="J3">_xlfn.LET(
  _xlpm._見出し,$A$1:$BS$1,
  _xlpm._行,$A3:$BS3,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IF($C3="","",_xlpm._四点五月計画合計)
)</f>
        <v>29.5</v>
      </c>
      <c r="K3" s="1458" cm="1">
        <f t="array" ref="K3">_xlfn.IFS(
  $C3="","",
  $G3="","発売前？",
  $G3=0,"在庫無し",
  TRUE,
  IFERROR(
    _xlfn.LET(
      _xlpm._在庫注残,     $G3,
      _xlpm._しきい値,     _xlpm._在庫注残 * 0.75,
      _xlpm._見出し元,     $L$1:$BU$1,
      _xlpm._計画,         $L3:$BU3,
      _xlpm._最新実績日,       基準データ!$C$5,
      _xlpm._今月1日,      EOMONTH(_xlpm._最新実績日, -1) + 1,
      _xlpm._月末日,       EOMONTH(_xlpm._最新実績日, 0),
      _xlpm._今月位置,     _xlfn.XMATCH(_xlpm._今月1日, _xlpm._見出し元),
      _xlpm._今月計画按分, N(INDEX(_xlpm._計画, 1, _xlpm._今月位置))
                      * (_xlpm._月末日 - _xlpm._最新実績日)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46204</v>
      </c>
      <c r="L3" s="38"/>
      <c r="M3" s="38"/>
      <c r="N3" s="38"/>
      <c r="O3" s="38"/>
      <c r="P3" s="38"/>
      <c r="Q3" s="38"/>
      <c r="R3" s="38"/>
      <c r="S3" s="38"/>
      <c r="T3" s="219"/>
      <c r="U3" s="219"/>
      <c r="V3" s="219"/>
      <c r="W3" s="298"/>
      <c r="X3" s="299"/>
      <c r="Y3" s="299"/>
      <c r="Z3" s="223">
        <v>30</v>
      </c>
      <c r="AA3" s="241">
        <v>60</v>
      </c>
      <c r="AB3" s="224">
        <v>75</v>
      </c>
      <c r="AC3" s="224">
        <v>89</v>
      </c>
      <c r="AD3" s="224">
        <v>117</v>
      </c>
      <c r="AE3" s="224">
        <v>44</v>
      </c>
      <c r="AF3" s="224">
        <v>32.769887859345573</v>
      </c>
      <c r="AG3" s="224">
        <v>31.580322994691301</v>
      </c>
      <c r="AH3" s="224">
        <v>26</v>
      </c>
      <c r="AI3" s="237">
        <v>11.333333333333332</v>
      </c>
      <c r="AJ3" s="804">
        <v>20</v>
      </c>
      <c r="AK3" s="224">
        <v>36.042352352804166</v>
      </c>
      <c r="AL3" s="224">
        <v>55</v>
      </c>
      <c r="AM3" s="224">
        <v>18</v>
      </c>
      <c r="AN3" s="224">
        <f>_xlfn.LET(
_xlpm._一般検索,IFERROR(INDEX('在庫使用計画 (一般)'!$A$1:$BF$391,MATCH($C3,'在庫使用計画 (一般)'!$C$1:$C$391,0),MATCH(AN$1,'在庫使用計画 (一般)'!$A$1:$BF$1,0))*1,0),
_xlpm._法人検索,IFERROR(INDEX('在庫使用計画 (法人)'!$A$1:$BF$391,MATCH($C3,'在庫使用計画 (法人)'!$C$1:$C$391,0),MATCH(AN$1,'在庫使用計画 (法人)'!$A$1:$BF$1,0))*1,0),
_xlpm._合計,_xlpm._一般検索+_xlpm._法人検索,
IF(_xlpm._合計=0,"",_xlpm._合計)
)</f>
        <v>30</v>
      </c>
      <c r="AO3" s="224">
        <f>_xlfn.LET(
_xlpm._一般検索,IFERROR(INDEX('在庫使用計画 (一般)'!$A$1:$BF$391,MATCH($C3,'在庫使用計画 (一般)'!$C$1:$C$391,0),MATCH(AO$1,'在庫使用計画 (一般)'!$A$1:$BF$1,0))*1,0),
_xlpm._法人検索,IFERROR(INDEX('在庫使用計画 (法人)'!$A$1:$BF$391,MATCH($C3,'在庫使用計画 (法人)'!$C$1:$C$391,0),MATCH(AO$1,'在庫使用計画 (法人)'!$A$1:$BF$1,0))*1,0),
_xlpm._合計,_xlpm._一般検索+_xlpm._法人検索,
IF(_xlpm._合計=0,"",_xlpm._合計)
)</f>
        <v>30</v>
      </c>
      <c r="AP3" s="224">
        <f>_xlfn.LET(
_xlpm._一般検索,IFERROR(INDEX('在庫使用計画 (一般)'!$A$1:$BF$391,MATCH($C3,'在庫使用計画 (一般)'!$C$1:$C$391,0),MATCH(AP$1,'在庫使用計画 (一般)'!$A$1:$BF$1,0))*1,0),
_xlpm._法人検索,IFERROR(INDEX('在庫使用計画 (法人)'!$A$1:$BF$391,MATCH($C3,'在庫使用計画 (法人)'!$C$1:$C$391,0),MATCH(AP$1,'在庫使用計画 (法人)'!$A$1:$BF$1,0))*1,0),
_xlpm._合計,_xlpm._一般検索+_xlpm._法人検索,
IF(_xlpm._合計=0,"",_xlpm._合計)
)</f>
        <v>59</v>
      </c>
      <c r="AQ3" s="224" t="str">
        <f>_xlfn.LET(
_xlpm._一般検索,IFERROR(INDEX('在庫使用計画 (一般)'!$A$1:$BF$391,MATCH($C3,'在庫使用計画 (一般)'!$C$1:$C$391,0),MATCH(AQ$1,'在庫使用計画 (一般)'!$A$1:$BF$1,0))*1,0),
_xlpm._法人検索,IFERROR(INDEX('在庫使用計画 (法人)'!$A$1:$BF$391,MATCH($C3,'在庫使用計画 (法人)'!$C$1:$C$391,0),MATCH(AQ$1,'在庫使用計画 (法人)'!$A$1:$BF$1,0))*1,0),
_xlpm._合計,_xlpm._一般検索+_xlpm._法人検索,
IF(_xlpm._合計=0,"",_xlpm._合計)
)</f>
        <v/>
      </c>
      <c r="AR3" s="224" t="str">
        <f>_xlfn.LET(
_xlpm._一般検索,IFERROR(INDEX('在庫使用計画 (一般)'!$A$1:$BF$391,MATCH($C3,'在庫使用計画 (一般)'!$C$1:$C$391,0),MATCH(AR$1,'在庫使用計画 (一般)'!$A$1:$BF$1,0))*1,0),
_xlpm._法人検索,IFERROR(INDEX('在庫使用計画 (法人)'!$A$1:$BF$391,MATCH($C3,'在庫使用計画 (法人)'!$C$1:$C$391,0),MATCH(AR$1,'在庫使用計画 (法人)'!$A$1:$BF$1,0))*1,0),
_xlpm._合計,_xlpm._一般検索+_xlpm._法人検索,
IF(_xlpm._合計=0,"",_xlpm._合計)
)</f>
        <v/>
      </c>
      <c r="AS3" s="224" t="str">
        <f>_xlfn.LET(
_xlpm._一般検索,IFERROR(INDEX('在庫使用計画 (一般)'!$A$1:$BF$391,MATCH($C3,'在庫使用計画 (一般)'!$C$1:$C$391,0),MATCH(AS$1,'在庫使用計画 (一般)'!$A$1:$BF$1,0))*1,0),
_xlpm._法人検索,IFERROR(INDEX('在庫使用計画 (法人)'!$A$1:$BF$391,MATCH($C3,'在庫使用計画 (法人)'!$C$1:$C$391,0),MATCH(AS$1,'在庫使用計画 (法人)'!$A$1:$BF$1,0))*1,0),
_xlpm._合計,_xlpm._一般検索+_xlpm._法人検索,
IF(_xlpm._合計=0,"",_xlpm._合計)
)</f>
        <v/>
      </c>
      <c r="AT3" s="224" t="str">
        <f>_xlfn.LET(
_xlpm._一般検索,IFERROR(INDEX('在庫使用計画 (一般)'!$A$1:$BF$391,MATCH($C3,'在庫使用計画 (一般)'!$C$1:$C$391,0),MATCH(AT$1,'在庫使用計画 (一般)'!$A$1:$BF$1,0))*1,0),
_xlpm._法人検索,IFERROR(INDEX('在庫使用計画 (法人)'!$A$1:$BF$391,MATCH($C3,'在庫使用計画 (法人)'!$C$1:$C$391,0),MATCH(AT$1,'在庫使用計画 (法人)'!$A$1:$BF$1,0))*1,0),
_xlpm._合計,_xlpm._一般検索+_xlpm._法人検索,
IF(_xlpm._合計=0,"",_xlpm._合計)
)</f>
        <v/>
      </c>
      <c r="AU3" s="805" t="str">
        <f>_xlfn.LET(
_xlpm._一般検索,IFERROR(INDEX('在庫使用計画 (一般)'!$A$1:$BF$391,MATCH($C3,'在庫使用計画 (一般)'!$C$1:$C$391,0),MATCH(AU$1,'在庫使用計画 (一般)'!$A$1:$BF$1,0))*1,0),
_xlpm._法人検索,IFERROR(INDEX('在庫使用計画 (法人)'!$A$1:$BF$391,MATCH($C3,'在庫使用計画 (法人)'!$C$1:$C$391,0),MATCH(AU$1,'在庫使用計画 (法人)'!$A$1:$BF$1,0))*1,0),
_xlpm._合計,_xlpm._一般検索+_xlpm._法人検索,
IF(_xlpm._合計=0,"",_xlpm._合計)
)</f>
        <v/>
      </c>
      <c r="AV3" s="244" t="str">
        <f>_xlfn.LET(
_xlpm._一般検索,IFERROR(INDEX('在庫使用計画 (一般)'!$A$1:$BF$391,MATCH($C3,'在庫使用計画 (一般)'!$C$1:$C$391,0),MATCH(AV$1,'在庫使用計画 (一般)'!$A$1:$BF$1,0))*1,0),
_xlpm._法人検索,IFERROR(INDEX('在庫使用計画 (法人)'!$A$1:$BF$391,MATCH($C3,'在庫使用計画 (法人)'!$C$1:$C$391,0),MATCH(AV$1,'在庫使用計画 (法人)'!$A$1:$BF$1,0))*1,0),
_xlpm._合計,_xlpm._一般検索+_xlpm._法人検索,
IF(_xlpm._合計=0,"",_xlpm._合計)
)</f>
        <v/>
      </c>
      <c r="AW3" s="224" t="str">
        <f>_xlfn.LET(
_xlpm._一般検索,IFERROR(INDEX('在庫使用計画 (一般)'!$A$1:$BF$391,MATCH($C3,'在庫使用計画 (一般)'!$C$1:$C$391,0),MATCH(AW$1,'在庫使用計画 (一般)'!$A$1:$BF$1,0))*1,0),
_xlpm._法人検索,IFERROR(INDEX('在庫使用計画 (法人)'!$A$1:$BF$391,MATCH($C3,'在庫使用計画 (法人)'!$C$1:$C$391,0),MATCH(AW$1,'在庫使用計画 (法人)'!$A$1:$BF$1,0))*1,0),
_xlpm._合計,_xlpm._一般検索+_xlpm._法人検索,
IF(_xlpm._合計=0,"",_xlpm._合計)
)</f>
        <v/>
      </c>
      <c r="AX3" s="224" t="str">
        <f>_xlfn.LET(
_xlpm._一般検索,IFERROR(INDEX('在庫使用計画 (一般)'!$A$1:$BF$391,MATCH($C3,'在庫使用計画 (一般)'!$C$1:$C$391,0),MATCH(AX$1,'在庫使用計画 (一般)'!$A$1:$BF$1,0))*1,0),
_xlpm._法人検索,IFERROR(INDEX('在庫使用計画 (法人)'!$A$1:$BF$391,MATCH($C3,'在庫使用計画 (法人)'!$C$1:$C$391,0),MATCH(AX$1,'在庫使用計画 (法人)'!$A$1:$BF$1,0))*1,0),
_xlpm._合計,_xlpm._一般検索+_xlpm._法人検索,
IF(_xlpm._合計=0,"",_xlpm._合計)
)</f>
        <v/>
      </c>
      <c r="AY3" s="224" t="str">
        <f>_xlfn.LET(
_xlpm._一般検索,IFERROR(INDEX('在庫使用計画 (一般)'!$A$1:$BF$391,MATCH($C3,'在庫使用計画 (一般)'!$C$1:$C$391,0),MATCH(AY$1,'在庫使用計画 (一般)'!$A$1:$BF$1,0))*1,0),
_xlpm._法人検索,IFERROR(INDEX('在庫使用計画 (法人)'!$A$1:$BF$391,MATCH($C3,'在庫使用計画 (法人)'!$C$1:$C$391,0),MATCH(AY$1,'在庫使用計画 (法人)'!$A$1:$BF$1,0))*1,0),
_xlpm._合計,_xlpm._一般検索+_xlpm._法人検索,
IF(_xlpm._合計=0,"",_xlpm._合計)
)</f>
        <v/>
      </c>
      <c r="AZ3" s="224" t="str">
        <f>_xlfn.LET(
_xlpm._一般検索,IFERROR(INDEX('在庫使用計画 (一般)'!$A$1:$BF$391,MATCH($C3,'在庫使用計画 (一般)'!$C$1:$C$391,0),MATCH(AZ$1,'在庫使用計画 (一般)'!$A$1:$BF$1,0))*1,0),
_xlpm._法人検索,IFERROR(INDEX('在庫使用計画 (法人)'!$A$1:$BF$391,MATCH($C3,'在庫使用計画 (法人)'!$C$1:$C$391,0),MATCH(AZ$1,'在庫使用計画 (法人)'!$A$1:$BF$1,0))*1,0),
_xlpm._合計,_xlpm._一般検索+_xlpm._法人検索,
IF(_xlpm._合計=0,"",_xlpm._合計)
)</f>
        <v/>
      </c>
      <c r="BA3" s="224" t="str">
        <f>_xlfn.LET(
_xlpm._一般検索,IFERROR(INDEX('在庫使用計画 (一般)'!$A$1:$BF$391,MATCH($C3,'在庫使用計画 (一般)'!$C$1:$C$391,0),MATCH(BA$1,'在庫使用計画 (一般)'!$A$1:$BF$1,0))*1,0),
_xlpm._法人検索,IFERROR(INDEX('在庫使用計画 (法人)'!$A$1:$BF$391,MATCH($C3,'在庫使用計画 (法人)'!$C$1:$C$391,0),MATCH(BA$1,'在庫使用計画 (法人)'!$A$1:$BF$1,0))*1,0),
_xlpm._合計,_xlpm._一般検索+_xlpm._法人検索,
IF(_xlpm._合計=0,"",_xlpm._合計)
)</f>
        <v/>
      </c>
      <c r="BB3" s="224" t="str">
        <f>_xlfn.LET(
_xlpm._一般検索,IFERROR(INDEX('在庫使用計画 (一般)'!$A$1:$BF$391,MATCH($C3,'在庫使用計画 (一般)'!$C$1:$C$391,0),MATCH(BB$1,'在庫使用計画 (一般)'!$A$1:$BF$1,0))*1,0),
_xlpm._法人検索,IFERROR(INDEX('在庫使用計画 (法人)'!$A$1:$BF$391,MATCH($C3,'在庫使用計画 (法人)'!$C$1:$C$391,0),MATCH(BB$1,'在庫使用計画 (法人)'!$A$1:$BF$1,0))*1,0),
_xlpm._合計,_xlpm._一般検索+_xlpm._法人検索,
IF(_xlpm._合計=0,"",_xlpm._合計)
)</f>
        <v/>
      </c>
      <c r="BC3" s="224" t="str">
        <f>_xlfn.LET(
_xlpm._一般検索,IFERROR(INDEX('在庫使用計画 (一般)'!$A$1:$BF$391,MATCH($C3,'在庫使用計画 (一般)'!$C$1:$C$391,0),MATCH(BC$1,'在庫使用計画 (一般)'!$A$1:$BF$1,0))*1,0),
_xlpm._法人検索,IFERROR(INDEX('在庫使用計画 (法人)'!$A$1:$BF$391,MATCH($C3,'在庫使用計画 (法人)'!$C$1:$C$391,0),MATCH(BC$1,'在庫使用計画 (法人)'!$A$1:$BF$1,0))*1,0),
_xlpm._合計,_xlpm._一般検索+_xlpm._法人検索,
IF(_xlpm._合計=0,"",_xlpm._合計)
)</f>
        <v/>
      </c>
      <c r="BD3" s="224" t="str">
        <f>_xlfn.LET(
_xlpm._一般検索,IFERROR(INDEX('在庫使用計画 (一般)'!$A$1:$BF$391,MATCH($C3,'在庫使用計画 (一般)'!$C$1:$C$391,0),MATCH(BD$1,'在庫使用計画 (一般)'!$A$1:$BF$1,0))*1,0),
_xlpm._法人検索,IFERROR(INDEX('在庫使用計画 (法人)'!$A$1:$BF$391,MATCH($C3,'在庫使用計画 (法人)'!$C$1:$C$391,0),MATCH(BD$1,'在庫使用計画 (法人)'!$A$1:$BF$1,0))*1,0),
_xlpm._合計,_xlpm._一般検索+_xlpm._法人検索,
IF(_xlpm._合計=0,"",_xlpm._合計)
)</f>
        <v/>
      </c>
      <c r="BE3" s="224" t="str">
        <f>_xlfn.LET(
_xlpm._一般検索,IFERROR(INDEX('在庫使用計画 (一般)'!$A$1:$BF$391,MATCH($C3,'在庫使用計画 (一般)'!$C$1:$C$391,0),MATCH(BE$1,'在庫使用計画 (一般)'!$A$1:$BF$1,0))*1,0),
_xlpm._法人検索,IFERROR(INDEX('在庫使用計画 (法人)'!$A$1:$BF$391,MATCH($C3,'在庫使用計画 (法人)'!$C$1:$C$391,0),MATCH(BE$1,'在庫使用計画 (法人)'!$A$1:$BF$1,0))*1,0),
_xlpm._合計,_xlpm._一般検索+_xlpm._法人検索,
IF(_xlpm._合計=0,"",_xlpm._合計)
)</f>
        <v/>
      </c>
      <c r="BF3" s="224" t="str">
        <f>_xlfn.LET(
_xlpm._一般検索,IFERROR(INDEX('在庫使用計画 (一般)'!$A$1:$BF$391,MATCH($C3,'在庫使用計画 (一般)'!$C$1:$C$391,0),MATCH(BF$1,'在庫使用計画 (一般)'!$A$1:$BF$1,0))*1,0),
_xlpm._法人検索,IFERROR(INDEX('在庫使用計画 (法人)'!$A$1:$BF$391,MATCH($C3,'在庫使用計画 (法人)'!$C$1:$C$391,0),MATCH(BF$1,'在庫使用計画 (法人)'!$A$1:$BF$1,0))*1,0),
_xlpm._合計,_xlpm._一般検索+_xlpm._法人検索,
IF(_xlpm._合計=0,"",_xlpm._合計)
)</f>
        <v/>
      </c>
      <c r="BG3" s="237" t="str">
        <f>_xlfn.LET(
_xlpm._一般検索,IFERROR(INDEX('在庫使用計画 (一般)'!$A$1:$BF$391,MATCH($C3,'在庫使用計画 (一般)'!$C$1:$C$391,0),MATCH(BG$1,'在庫使用計画 (一般)'!$A$1:$BF$1,0))*1,0),
_xlpm._法人検索,IFERROR(INDEX('在庫使用計画 (法人)'!$A$1:$BF$391,MATCH($C3,'在庫使用計画 (法人)'!$C$1:$C$391,0),MATCH(BG$1,'在庫使用計画 (法人)'!$A$1:$BF$1,0))*1,0),
_xlpm._合計,_xlpm._一般検索+_xlpm._法人検索,
IF(_xlpm._合計=0,"",_xlpm._合計)
)</f>
        <v/>
      </c>
      <c r="BH3" s="804" t="str">
        <f>_xlfn.LET(
_xlpm._一般検索,IFERROR(INDEX('在庫使用計画 (一般)'!$A$1:$BF$391,MATCH($C3,'在庫使用計画 (一般)'!$C$1:$C$391,0),MATCH(BH$1,'在庫使用計画 (一般)'!$A$1:$BF$1,0))*1,0),
_xlpm._法人検索,IFERROR(INDEX('在庫使用計画 (法人)'!$A$1:$BF$391,MATCH($C3,'在庫使用計画 (法人)'!$C$1:$C$391,0),MATCH(BH$1,'在庫使用計画 (法人)'!$A$1:$BF$1,0))*1,0),
_xlpm._合計,_xlpm._一般検索+_xlpm._法人検索,
IF(_xlpm._合計=0,"",_xlpm._合計)
)</f>
        <v/>
      </c>
      <c r="BI3" s="224" t="str">
        <f>_xlfn.LET(
_xlpm._一般検索,IFERROR(INDEX('在庫使用計画 (一般)'!$A$1:$BF$391,MATCH($C3,'在庫使用計画 (一般)'!$C$1:$C$391,0),MATCH(BI$1,'在庫使用計画 (一般)'!$A$1:$BF$1,0))*1,0),
_xlpm._法人検索,IFERROR(INDEX('在庫使用計画 (法人)'!$A$1:$BF$391,MATCH($C3,'在庫使用計画 (法人)'!$C$1:$C$391,0),MATCH(BI$1,'在庫使用計画 (法人)'!$A$1:$BF$1,0))*1,0),
_xlpm._合計,_xlpm._一般検索+_xlpm._法人検索,
IF(_xlpm._合計=0,"",_xlpm._合計)
)</f>
        <v/>
      </c>
      <c r="BJ3" s="224" t="str">
        <f>_xlfn.LET(
_xlpm._一般検索,IFERROR(INDEX('在庫使用計画 (一般)'!$A$1:$BF$391,MATCH($C3,'在庫使用計画 (一般)'!$C$1:$C$391,0),MATCH(BJ$1,'在庫使用計画 (一般)'!$A$1:$BF$1,0))*1,0),
_xlpm._法人検索,IFERROR(INDEX('在庫使用計画 (法人)'!$A$1:$BF$391,MATCH($C3,'在庫使用計画 (法人)'!$C$1:$C$391,0),MATCH(BJ$1,'在庫使用計画 (法人)'!$A$1:$BF$1,0))*1,0),
_xlpm._合計,_xlpm._一般検索+_xlpm._法人検索,
IF(_xlpm._合計=0,"",_xlpm._合計)
)</f>
        <v/>
      </c>
      <c r="BK3" s="224" t="str">
        <f>_xlfn.LET(
_xlpm._一般検索,IFERROR(INDEX('在庫使用計画 (一般)'!$A$1:$BF$391,MATCH($C3,'在庫使用計画 (一般)'!$C$1:$C$391,0),MATCH(BK$1,'在庫使用計画 (一般)'!$A$1:$BF$1,0))*1,0),
_xlpm._法人検索,IFERROR(INDEX('在庫使用計画 (法人)'!$A$1:$BF$391,MATCH($C3,'在庫使用計画 (法人)'!$C$1:$C$391,0),MATCH(BK$1,'在庫使用計画 (法人)'!$A$1:$BF$1,0))*1,0),
_xlpm._合計,_xlpm._一般検索+_xlpm._法人検索,
IF(_xlpm._合計=0,"",_xlpm._合計)
)</f>
        <v/>
      </c>
      <c r="BL3" s="224" t="str">
        <f>_xlfn.LET(
_xlpm._一般検索,IFERROR(INDEX('在庫使用計画 (一般)'!$A$1:$BF$391,MATCH($C3,'在庫使用計画 (一般)'!$C$1:$C$391,0),MATCH(BL$1,'在庫使用計画 (一般)'!$A$1:$BF$1,0))*1,0),
_xlpm._法人検索,IFERROR(INDEX('在庫使用計画 (法人)'!$A$1:$BF$391,MATCH($C3,'在庫使用計画 (法人)'!$C$1:$C$391,0),MATCH(BL$1,'在庫使用計画 (法人)'!$A$1:$BF$1,0))*1,0),
_xlpm._合計,_xlpm._一般検索+_xlpm._法人検索,
IF(_xlpm._合計=0,"",_xlpm._合計)
)</f>
        <v/>
      </c>
      <c r="BM3" s="224" t="str">
        <f>_xlfn.LET(
_xlpm._一般検索,IFERROR(INDEX('在庫使用計画 (一般)'!$A$1:$BF$391,MATCH($C3,'在庫使用計画 (一般)'!$C$1:$C$391,0),MATCH(BM$1,'在庫使用計画 (一般)'!$A$1:$BF$1,0))*1,0),
_xlpm._法人検索,IFERROR(INDEX('在庫使用計画 (法人)'!$A$1:$BF$391,MATCH($C3,'在庫使用計画 (法人)'!$C$1:$C$391,0),MATCH(BM$1,'在庫使用計画 (法人)'!$A$1:$BF$1,0))*1,0),
_xlpm._合計,_xlpm._一般検索+_xlpm._法人検索,
IF(_xlpm._合計=0,"",_xlpm._合計)
)</f>
        <v/>
      </c>
      <c r="BN3" s="224" t="str">
        <f>_xlfn.LET(
_xlpm._一般検索,IFERROR(INDEX('在庫使用計画 (一般)'!$A$1:$BF$391,MATCH($C3,'在庫使用計画 (一般)'!$C$1:$C$391,0),MATCH(BN$1,'在庫使用計画 (一般)'!$A$1:$BF$1,0))*1,0),
_xlpm._法人検索,IFERROR(INDEX('在庫使用計画 (法人)'!$A$1:$BF$391,MATCH($C3,'在庫使用計画 (法人)'!$C$1:$C$391,0),MATCH(BN$1,'在庫使用計画 (法人)'!$A$1:$BF$1,0))*1,0),
_xlpm._合計,_xlpm._一般検索+_xlpm._法人検索,
IF(_xlpm._合計=0,"",_xlpm._合計)
)</f>
        <v/>
      </c>
      <c r="BO3" s="224" t="str">
        <f>_xlfn.LET(
_xlpm._一般検索,IFERROR(INDEX('在庫使用計画 (一般)'!$A$1:$BF$391,MATCH($C3,'在庫使用計画 (一般)'!$C$1:$C$391,0),MATCH(BO$1,'在庫使用計画 (一般)'!$A$1:$BF$1,0))*1,0),
_xlpm._法人検索,IFERROR(INDEX('在庫使用計画 (法人)'!$A$1:$BF$391,MATCH($C3,'在庫使用計画 (法人)'!$C$1:$C$391,0),MATCH(BO$1,'在庫使用計画 (法人)'!$A$1:$BF$1,0))*1,0),
_xlpm._合計,_xlpm._一般検索+_xlpm._法人検索,
IF(_xlpm._合計=0,"",_xlpm._合計)
)</f>
        <v/>
      </c>
      <c r="BP3" s="224" t="str">
        <f>_xlfn.LET(
_xlpm._一般検索,IFERROR(INDEX('在庫使用計画 (一般)'!$A$1:$BF$391,MATCH($C3,'在庫使用計画 (一般)'!$C$1:$C$391,0),MATCH(BP$1,'在庫使用計画 (一般)'!$A$1:$BF$1,0))*1,0),
_xlpm._法人検索,IFERROR(INDEX('在庫使用計画 (法人)'!$A$1:$BF$391,MATCH($C3,'在庫使用計画 (法人)'!$C$1:$C$391,0),MATCH(BP$1,'在庫使用計画 (法人)'!$A$1:$BF$1,0))*1,0),
_xlpm._合計,_xlpm._一般検索+_xlpm._法人検索,
IF(_xlpm._合計=0,"",_xlpm._合計)
)</f>
        <v/>
      </c>
      <c r="BQ3" s="224" t="str">
        <f>_xlfn.LET(
_xlpm._一般検索,IFERROR(INDEX('在庫使用計画 (一般)'!$A$1:$BF$391,MATCH($C3,'在庫使用計画 (一般)'!$C$1:$C$391,0),MATCH(BQ$1,'在庫使用計画 (一般)'!$A$1:$BF$1,0))*1,0),
_xlpm._法人検索,IFERROR(INDEX('在庫使用計画 (法人)'!$A$1:$BF$391,MATCH($C3,'在庫使用計画 (法人)'!$C$1:$C$391,0),MATCH(BQ$1,'在庫使用計画 (法人)'!$A$1:$BF$1,0))*1,0),
_xlpm._合計,_xlpm._一般検索+_xlpm._法人検索,
IF(_xlpm._合計=0,"",_xlpm._合計)
)</f>
        <v/>
      </c>
      <c r="BR3" s="224" t="str">
        <f>_xlfn.LET(
_xlpm._一般検索,IFERROR(INDEX('在庫使用計画 (一般)'!$A$1:$BF$391,MATCH($C3,'在庫使用計画 (一般)'!$C$1:$C$391,0),MATCH(BR$1,'在庫使用計画 (一般)'!$A$1:$BF$1,0))*1,0),
_xlpm._法人検索,IFERROR(INDEX('在庫使用計画 (法人)'!$A$1:$BF$391,MATCH($C3,'在庫使用計画 (法人)'!$C$1:$C$391,0),MATCH(BR$1,'在庫使用計画 (法人)'!$A$1:$BF$1,0))*1,0),
_xlpm._合計,_xlpm._一般検索+_xlpm._法人検索,
IF(_xlpm._合計=0,"",_xlpm._合計)
)</f>
        <v/>
      </c>
      <c r="BS3" s="805" t="str">
        <f>_xlfn.LET(
_xlpm._一般検索,IFERROR(INDEX('在庫使用計画 (一般)'!$A$1:$BF$391,MATCH($C3,'在庫使用計画 (一般)'!$C$1:$C$391,0),MATCH(BS$1,'在庫使用計画 (一般)'!$A$1:$BF$1,0))*1,0),
_xlpm._法人検索,IFERROR(INDEX('在庫使用計画 (法人)'!$A$1:$BF$391,MATCH($C3,'在庫使用計画 (法人)'!$C$1:$C$391,0),MATCH(BS$1,'在庫使用計画 (法人)'!$A$1:$BF$1,0))*1,0),
_xlpm._合計,_xlpm._一般検索+_xlpm._法人検索,
IF(_xlpm._合計=0,"",_xlpm._合計)
)</f>
        <v/>
      </c>
      <c r="BT3" s="21"/>
    </row>
    <row r="4" spans="1:72" customFormat="1" ht="18.75" customHeight="1" thickBot="1">
      <c r="A4" s="1099" t="s">
        <v>1628</v>
      </c>
      <c r="B4" s="494" t="str">
        <v>CLE-X58-290HXP-5090-L6-GG</v>
      </c>
      <c r="C4" s="1434" t="s">
        <v>184</v>
      </c>
      <c r="D4" s="2153">
        <v>160</v>
      </c>
      <c r="E4" s="1258" t="s">
        <v>295</v>
      </c>
      <c r="F4" s="24" t="s">
        <v>20</v>
      </c>
      <c r="G4" s="74">
        <v>137</v>
      </c>
      <c r="H4" s="38">
        <v>107</v>
      </c>
      <c r="I4" s="38" cm="1">
        <f t="array" ref="I4">IF($C4="","",
_xlfn.LET(
  _xlpm._見出し,$A$1:$BT$1,
  _xlpm._行,$A4:$BT4,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67.364173383328975</v>
      </c>
      <c r="J4" s="74" cm="1">
        <f t="array" ref="J4">_xlfn.LET(
  _xlpm._見出し,$A$1:$BS$1,
  _xlpm._行,$A4:$BS4,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IF($C4="","",_xlpm._四点五月計画合計)
)</f>
        <v>76.712456227684925</v>
      </c>
      <c r="K4" s="1458" cm="1">
        <f t="array" ref="K4">_xlfn.IFS(
  $C4="","",
  $G4="","発売前？",
  $G4=0,"在庫無し",
  TRUE,
  IFERROR(
    _xlfn.LET(
      _xlpm._在庫注残,     $G4,
      _xlpm._しきい値,     _xlpm._在庫注残 * 0.75,
      _xlpm._見出し元,     $L$1:$BU$1,
      _xlpm._計画,         $L4:$BU4,
      _xlpm._最新実績日,       基準データ!$C$5,
      _xlpm._今月1日,      EOMONTH(_xlpm._最新実績日, -1) + 1,
      _xlpm._月末日,       EOMONTH(_xlpm._最新実績日, 0),
      _xlpm._今月位置,     _xlfn.XMATCH(_xlpm._今月1日, _xlpm._見出し元),
      _xlpm._今月計画按分, N(INDEX(_xlpm._計画, 1, _xlpm._今月位置))
                      * (_xlpm._月末日 - _xlpm._最新実績日)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46357</v>
      </c>
      <c r="L4" s="38"/>
      <c r="M4" s="38"/>
      <c r="N4" s="38"/>
      <c r="O4" s="38"/>
      <c r="P4" s="38"/>
      <c r="Q4" s="38"/>
      <c r="R4" s="38"/>
      <c r="S4" s="38"/>
      <c r="T4" s="219"/>
      <c r="U4" s="219"/>
      <c r="V4" s="219"/>
      <c r="W4" s="677"/>
      <c r="X4" s="678"/>
      <c r="Y4" s="678"/>
      <c r="Z4" s="223"/>
      <c r="AA4" s="241"/>
      <c r="AB4" s="224"/>
      <c r="AC4" s="224"/>
      <c r="AD4" s="224"/>
      <c r="AE4" s="224"/>
      <c r="AF4" s="224"/>
      <c r="AG4" s="224"/>
      <c r="AH4" s="224"/>
      <c r="AI4" s="237"/>
      <c r="AJ4" s="804" t="s">
        <v>21</v>
      </c>
      <c r="AK4" s="224" t="s">
        <v>21</v>
      </c>
      <c r="AL4" s="224">
        <v>3</v>
      </c>
      <c r="AM4" s="224">
        <v>2.2304413469132101</v>
      </c>
      <c r="AN4" s="224">
        <f>_xlfn.LET(
_xlpm._一般検索,IFERROR(INDEX('在庫使用計画 (一般)'!$A$1:$BF$391,MATCH($C4,'在庫使用計画 (一般)'!$C$1:$C$391,0),MATCH(AN$1,'在庫使用計画 (一般)'!$A$1:$BF$1,0))*1,0),
_xlpm._法人検索,IFERROR(INDEX('在庫使用計画 (法人)'!$A$1:$BF$391,MATCH($C4,'在庫使用計画 (法人)'!$C$1:$C$391,0),MATCH(AN$1,'在庫使用計画 (法人)'!$A$1:$BF$1,0))*1,0),
_xlpm._合計,_xlpm._一般検索+_xlpm._法人検索,
IF(_xlpm._合計=0,"",_xlpm._合計)
)</f>
        <v>10</v>
      </c>
      <c r="AO4" s="224">
        <f>_xlfn.LET(
_xlpm._一般検索,IFERROR(INDEX('在庫使用計画 (一般)'!$A$1:$BF$391,MATCH($C4,'在庫使用計画 (一般)'!$C$1:$C$391,0),MATCH(AO$1,'在庫使用計画 (一般)'!$A$1:$BF$1,0))*1,0),
_xlpm._法人検索,IFERROR(INDEX('在庫使用計画 (法人)'!$A$1:$BF$391,MATCH($C4,'在庫使用計画 (法人)'!$C$1:$C$391,0),MATCH(AO$1,'在庫使用計画 (法人)'!$A$1:$BF$1,0))*1,0),
_xlpm._合計,_xlpm._一般検索+_xlpm._法人検索,
IF(_xlpm._合計=0,"",_xlpm._合計)
)</f>
        <v>11.571092817687738</v>
      </c>
      <c r="AP4" s="224">
        <f>_xlfn.LET(
_xlpm._一般検索,IFERROR(INDEX('在庫使用計画 (一般)'!$A$1:$BF$391,MATCH($C4,'在庫使用計画 (一般)'!$C$1:$C$391,0),MATCH(AP$1,'在庫使用計画 (一般)'!$A$1:$BF$1,0))*1,0),
_xlpm._法人検索,IFERROR(INDEX('在庫使用計画 (法人)'!$A$1:$BF$391,MATCH($C4,'在庫使用計画 (法人)'!$C$1:$C$391,0),MATCH(AP$1,'在庫使用計画 (法人)'!$A$1:$BF$1,0))*1,0),
_xlpm._合計,_xlpm._一般検索+_xlpm._法人検索,
IF(_xlpm._合計=0,"",_xlpm._合計)
)</f>
        <v>14.677271498425696</v>
      </c>
      <c r="AQ4" s="224">
        <f>_xlfn.LET(
_xlpm._一般検索,IFERROR(INDEX('在庫使用計画 (一般)'!$A$1:$BF$391,MATCH($C4,'在庫使用計画 (一般)'!$C$1:$C$391,0),MATCH(AQ$1,'在庫使用計画 (一般)'!$A$1:$BF$1,0))*1,0),
_xlpm._法人検索,IFERROR(INDEX('在庫使用計画 (法人)'!$A$1:$BF$391,MATCH($C4,'在庫使用計画 (法人)'!$C$1:$C$391,0),MATCH(AQ$1,'在庫使用計画 (法人)'!$A$1:$BF$1,0))*1,0),
_xlpm._合計,_xlpm._一般検索+_xlpm._法人検索,
IF(_xlpm._合計=0,"",_xlpm._合計)
)</f>
        <v>19.294817620538364</v>
      </c>
      <c r="AR4" s="224">
        <f>_xlfn.LET(
_xlpm._一般検索,IFERROR(INDEX('在庫使用計画 (一般)'!$A$1:$BF$391,MATCH($C4,'在庫使用計画 (一般)'!$C$1:$C$391,0),MATCH(AR$1,'在庫使用計画 (一般)'!$A$1:$BF$1,0))*1,0),
_xlpm._法人検索,IFERROR(INDEX('在庫使用計画 (法人)'!$A$1:$BF$391,MATCH($C4,'在庫使用計画 (法人)'!$C$1:$C$391,0),MATCH(AR$1,'在庫使用計画 (法人)'!$A$1:$BF$1,0))*1,0),
_xlpm._合計,_xlpm._一般検索+_xlpm._法人検索,
IF(_xlpm._合計=0,"",_xlpm._合計)
)</f>
        <v>17.220765020512381</v>
      </c>
      <c r="AS4" s="224">
        <f>_xlfn.LET(
_xlpm._一般検索,IFERROR(INDEX('在庫使用計画 (一般)'!$A$1:$BF$391,MATCH($C4,'在庫使用計画 (一般)'!$C$1:$C$391,0),MATCH(AS$1,'在庫使用計画 (一般)'!$A$1:$BF$1,0))*1,0),
_xlpm._法人検索,IFERROR(INDEX('在庫使用計画 (法人)'!$A$1:$BF$391,MATCH($C4,'在庫使用計画 (法人)'!$C$1:$C$391,0),MATCH(AS$1,'在庫使用計画 (法人)'!$A$1:$BF$1,0))*1,0),
_xlpm._合計,_xlpm._一般検索+_xlpm._法人検索,
IF(_xlpm._合計=0,"",_xlpm._合計)
)</f>
        <v>16.17131924385253</v>
      </c>
      <c r="AT4" s="224">
        <f>_xlfn.LET(
_xlpm._一般検索,IFERROR(INDEX('在庫使用計画 (一般)'!$A$1:$BF$391,MATCH($C4,'在庫使用計画 (一般)'!$C$1:$C$391,0),MATCH(AT$1,'在庫使用計画 (一般)'!$A$1:$BF$1,0))*1,0),
_xlpm._法人検索,IFERROR(INDEX('在庫使用計画 (法人)'!$A$1:$BF$391,MATCH($C4,'在庫使用計画 (法人)'!$C$1:$C$391,0),MATCH(AT$1,'在庫使用計画 (法人)'!$A$1:$BF$1,0))*1,0),
_xlpm._合計,_xlpm._一般検索+_xlpm._法人検索,
IF(_xlpm._合計=0,"",_xlpm._合計)
)</f>
        <v>16.686918593568798</v>
      </c>
      <c r="AU4" s="805">
        <f>_xlfn.LET(
_xlpm._一般検索,IFERROR(INDEX('在庫使用計画 (一般)'!$A$1:$BF$391,MATCH($C4,'在庫使用計画 (一般)'!$C$1:$C$391,0),MATCH(AU$1,'在庫使用計画 (一般)'!$A$1:$BF$1,0))*1,0),
_xlpm._法人検索,IFERROR(INDEX('在庫使用計画 (法人)'!$A$1:$BF$391,MATCH($C4,'在庫使用計画 (法人)'!$C$1:$C$391,0),MATCH(AU$1,'在庫使用計画 (法人)'!$A$1:$BF$1,0))*1,0),
_xlpm._合計,_xlpm._一般検索+_xlpm._法人検索,
IF(_xlpm._合計=0,"",_xlpm._合計)
)</f>
        <v>25.327893524118746</v>
      </c>
      <c r="AV4" s="244">
        <f>_xlfn.LET(
_xlpm._一般検索,IFERROR(INDEX('在庫使用計画 (一般)'!$A$1:$BF$391,MATCH($C4,'在庫使用計画 (一般)'!$C$1:$C$391,0),MATCH(AV$1,'在庫使用計画 (一般)'!$A$1:$BF$1,0))*1,0),
_xlpm._法人検索,IFERROR(INDEX('在庫使用計画 (法人)'!$A$1:$BF$391,MATCH($C4,'在庫使用計画 (法人)'!$C$1:$C$391,0),MATCH(AV$1,'在庫使用計画 (法人)'!$A$1:$BF$1,0))*1,0),
_xlpm._合計,_xlpm._一般検索+_xlpm._法人検索,
IF(_xlpm._合計=0,"",_xlpm._合計)
)</f>
        <v>29.230849080749543</v>
      </c>
      <c r="AW4" s="224">
        <f>_xlfn.LET(
_xlpm._一般検索,IFERROR(INDEX('在庫使用計画 (一般)'!$A$1:$BF$391,MATCH($C4,'在庫使用計画 (一般)'!$C$1:$C$391,0),MATCH(AW$1,'在庫使用計画 (一般)'!$A$1:$BF$1,0))*1,0),
_xlpm._法人検索,IFERROR(INDEX('在庫使用計画 (法人)'!$A$1:$BF$391,MATCH($C4,'在庫使用計画 (法人)'!$C$1:$C$391,0),MATCH(AW$1,'在庫使用計画 (法人)'!$A$1:$BF$1,0))*1,0),
_xlpm._合計,_xlpm._一般検索+_xlpm._法人検索,
IF(_xlpm._合計=0,"",_xlpm._合計)
)</f>
        <v>30.58777662927152</v>
      </c>
      <c r="AX4" s="224">
        <f>_xlfn.LET(
_xlpm._一般検索,IFERROR(INDEX('在庫使用計画 (一般)'!$A$1:$BF$391,MATCH($C4,'在庫使用計画 (一般)'!$C$1:$C$391,0),MATCH(AX$1,'在庫使用計画 (一般)'!$A$1:$BF$1,0))*1,0),
_xlpm._法人検索,IFERROR(INDEX('在庫使用計画 (法人)'!$A$1:$BF$391,MATCH($C4,'在庫使用計画 (法人)'!$C$1:$C$391,0),MATCH(AX$1,'在庫使用計画 (法人)'!$A$1:$BF$1,0))*1,0),
_xlpm._合計,_xlpm._一般検索+_xlpm._法人検索,
IF(_xlpm._合計=0,"",_xlpm._合計)
)</f>
        <v>27.645182316905295</v>
      </c>
      <c r="AY4" s="224">
        <f>_xlfn.LET(
_xlpm._一般検索,IFERROR(INDEX('在庫使用計画 (一般)'!$A$1:$BF$391,MATCH($C4,'在庫使用計画 (一般)'!$C$1:$C$391,0),MATCH(AY$1,'在庫使用計画 (一般)'!$A$1:$BF$1,0))*1,0),
_xlpm._法人検索,IFERROR(INDEX('在庫使用計画 (法人)'!$A$1:$BF$391,MATCH($C4,'在庫使用計画 (法人)'!$C$1:$C$391,0),MATCH(AY$1,'在庫使用計画 (法人)'!$A$1:$BF$1,0))*1,0),
_xlpm._合計,_xlpm._一般検索+_xlpm._法人検索,
IF(_xlpm._合計=0,"",_xlpm._合計)
)</f>
        <v>5</v>
      </c>
      <c r="AZ4" s="224">
        <f>_xlfn.LET(
_xlpm._一般検索,IFERROR(INDEX('在庫使用計画 (一般)'!$A$1:$BF$391,MATCH($C4,'在庫使用計画 (一般)'!$C$1:$C$391,0),MATCH(AZ$1,'在庫使用計画 (一般)'!$A$1:$BF$1,0))*1,0),
_xlpm._法人検索,IFERROR(INDEX('在庫使用計画 (法人)'!$A$1:$BF$391,MATCH($C4,'在庫使用計画 (法人)'!$C$1:$C$391,0),MATCH(AZ$1,'在庫使用計画 (法人)'!$A$1:$BF$1,0))*1,0),
_xlpm._合計,_xlpm._一般検索+_xlpm._法人検索,
IF(_xlpm._合計=0,"",_xlpm._合計)
)</f>
        <v>5</v>
      </c>
      <c r="BA4" s="224" t="str">
        <f>_xlfn.LET(
_xlpm._一般検索,IFERROR(INDEX('在庫使用計画 (一般)'!$A$1:$BF$391,MATCH($C4,'在庫使用計画 (一般)'!$C$1:$C$391,0),MATCH(BA$1,'在庫使用計画 (一般)'!$A$1:$BF$1,0))*1,0),
_xlpm._法人検索,IFERROR(INDEX('在庫使用計画 (法人)'!$A$1:$BF$391,MATCH($C4,'在庫使用計画 (法人)'!$C$1:$C$391,0),MATCH(BA$1,'在庫使用計画 (法人)'!$A$1:$BF$1,0))*1,0),
_xlpm._合計,_xlpm._一般検索+_xlpm._法人検索,
IF(_xlpm._合計=0,"",_xlpm._合計)
)</f>
        <v/>
      </c>
      <c r="BB4" s="224" t="str">
        <f>_xlfn.LET(
_xlpm._一般検索,IFERROR(INDEX('在庫使用計画 (一般)'!$A$1:$BF$391,MATCH($C4,'在庫使用計画 (一般)'!$C$1:$C$391,0),MATCH(BB$1,'在庫使用計画 (一般)'!$A$1:$BF$1,0))*1,0),
_xlpm._法人検索,IFERROR(INDEX('在庫使用計画 (法人)'!$A$1:$BF$391,MATCH($C4,'在庫使用計画 (法人)'!$C$1:$C$391,0),MATCH(BB$1,'在庫使用計画 (法人)'!$A$1:$BF$1,0))*1,0),
_xlpm._合計,_xlpm._一般検索+_xlpm._法人検索,
IF(_xlpm._合計=0,"",_xlpm._合計)
)</f>
        <v/>
      </c>
      <c r="BC4" s="224" t="str">
        <f>_xlfn.LET(
_xlpm._一般検索,IFERROR(INDEX('在庫使用計画 (一般)'!$A$1:$BF$391,MATCH($C4,'在庫使用計画 (一般)'!$C$1:$C$391,0),MATCH(BC$1,'在庫使用計画 (一般)'!$A$1:$BF$1,0))*1,0),
_xlpm._法人検索,IFERROR(INDEX('在庫使用計画 (法人)'!$A$1:$BF$391,MATCH($C4,'在庫使用計画 (法人)'!$C$1:$C$391,0),MATCH(BC$1,'在庫使用計画 (法人)'!$A$1:$BF$1,0))*1,0),
_xlpm._合計,_xlpm._一般検索+_xlpm._法人検索,
IF(_xlpm._合計=0,"",_xlpm._合計)
)</f>
        <v/>
      </c>
      <c r="BD4" s="224" t="str">
        <f>_xlfn.LET(
_xlpm._一般検索,IFERROR(INDEX('在庫使用計画 (一般)'!$A$1:$BF$391,MATCH($C4,'在庫使用計画 (一般)'!$C$1:$C$391,0),MATCH(BD$1,'在庫使用計画 (一般)'!$A$1:$BF$1,0))*1,0),
_xlpm._法人検索,IFERROR(INDEX('在庫使用計画 (法人)'!$A$1:$BF$391,MATCH($C4,'在庫使用計画 (法人)'!$C$1:$C$391,0),MATCH(BD$1,'在庫使用計画 (法人)'!$A$1:$BF$1,0))*1,0),
_xlpm._合計,_xlpm._一般検索+_xlpm._法人検索,
IF(_xlpm._合計=0,"",_xlpm._合計)
)</f>
        <v/>
      </c>
      <c r="BE4" s="224" t="str">
        <f>_xlfn.LET(
_xlpm._一般検索,IFERROR(INDEX('在庫使用計画 (一般)'!$A$1:$BF$391,MATCH($C4,'在庫使用計画 (一般)'!$C$1:$C$391,0),MATCH(BE$1,'在庫使用計画 (一般)'!$A$1:$BF$1,0))*1,0),
_xlpm._法人検索,IFERROR(INDEX('在庫使用計画 (法人)'!$A$1:$BF$391,MATCH($C4,'在庫使用計画 (法人)'!$C$1:$C$391,0),MATCH(BE$1,'在庫使用計画 (法人)'!$A$1:$BF$1,0))*1,0),
_xlpm._合計,_xlpm._一般検索+_xlpm._法人検索,
IF(_xlpm._合計=0,"",_xlpm._合計)
)</f>
        <v/>
      </c>
      <c r="BF4" s="224" t="str">
        <f>_xlfn.LET(
_xlpm._一般検索,IFERROR(INDEX('在庫使用計画 (一般)'!$A$1:$BF$391,MATCH($C4,'在庫使用計画 (一般)'!$C$1:$C$391,0),MATCH(BF$1,'在庫使用計画 (一般)'!$A$1:$BF$1,0))*1,0),
_xlpm._法人検索,IFERROR(INDEX('在庫使用計画 (法人)'!$A$1:$BF$391,MATCH($C4,'在庫使用計画 (法人)'!$C$1:$C$391,0),MATCH(BF$1,'在庫使用計画 (法人)'!$A$1:$BF$1,0))*1,0),
_xlpm._合計,_xlpm._一般検索+_xlpm._法人検索,
IF(_xlpm._合計=0,"",_xlpm._合計)
)</f>
        <v/>
      </c>
      <c r="BG4" s="237" t="str">
        <f>_xlfn.LET(
_xlpm._一般検索,IFERROR(INDEX('在庫使用計画 (一般)'!$A$1:$BF$391,MATCH($C4,'在庫使用計画 (一般)'!$C$1:$C$391,0),MATCH(BG$1,'在庫使用計画 (一般)'!$A$1:$BF$1,0))*1,0),
_xlpm._法人検索,IFERROR(INDEX('在庫使用計画 (法人)'!$A$1:$BF$391,MATCH($C4,'在庫使用計画 (法人)'!$C$1:$C$391,0),MATCH(BG$1,'在庫使用計画 (法人)'!$A$1:$BF$1,0))*1,0),
_xlpm._合計,_xlpm._一般検索+_xlpm._法人検索,
IF(_xlpm._合計=0,"",_xlpm._合計)
)</f>
        <v/>
      </c>
      <c r="BH4" s="804" t="str">
        <f>_xlfn.LET(
_xlpm._一般検索,IFERROR(INDEX('在庫使用計画 (一般)'!$A$1:$BF$391,MATCH($C4,'在庫使用計画 (一般)'!$C$1:$C$391,0),MATCH(BH$1,'在庫使用計画 (一般)'!$A$1:$BF$1,0))*1,0),
_xlpm._法人検索,IFERROR(INDEX('在庫使用計画 (法人)'!$A$1:$BF$391,MATCH($C4,'在庫使用計画 (法人)'!$C$1:$C$391,0),MATCH(BH$1,'在庫使用計画 (法人)'!$A$1:$BF$1,0))*1,0),
_xlpm._合計,_xlpm._一般検索+_xlpm._法人検索,
IF(_xlpm._合計=0,"",_xlpm._合計)
)</f>
        <v/>
      </c>
      <c r="BI4" s="224" t="str">
        <f>_xlfn.LET(
_xlpm._一般検索,IFERROR(INDEX('在庫使用計画 (一般)'!$A$1:$BF$391,MATCH($C4,'在庫使用計画 (一般)'!$C$1:$C$391,0),MATCH(BI$1,'在庫使用計画 (一般)'!$A$1:$BF$1,0))*1,0),
_xlpm._法人検索,IFERROR(INDEX('在庫使用計画 (法人)'!$A$1:$BF$391,MATCH($C4,'在庫使用計画 (法人)'!$C$1:$C$391,0),MATCH(BI$1,'在庫使用計画 (法人)'!$A$1:$BF$1,0))*1,0),
_xlpm._合計,_xlpm._一般検索+_xlpm._法人検索,
IF(_xlpm._合計=0,"",_xlpm._合計)
)</f>
        <v/>
      </c>
      <c r="BJ4" s="224" t="str">
        <f>_xlfn.LET(
_xlpm._一般検索,IFERROR(INDEX('在庫使用計画 (一般)'!$A$1:$BF$391,MATCH($C4,'在庫使用計画 (一般)'!$C$1:$C$391,0),MATCH(BJ$1,'在庫使用計画 (一般)'!$A$1:$BF$1,0))*1,0),
_xlpm._法人検索,IFERROR(INDEX('在庫使用計画 (法人)'!$A$1:$BF$391,MATCH($C4,'在庫使用計画 (法人)'!$C$1:$C$391,0),MATCH(BJ$1,'在庫使用計画 (法人)'!$A$1:$BF$1,0))*1,0),
_xlpm._合計,_xlpm._一般検索+_xlpm._法人検索,
IF(_xlpm._合計=0,"",_xlpm._合計)
)</f>
        <v/>
      </c>
      <c r="BK4" s="224" t="str">
        <f>_xlfn.LET(
_xlpm._一般検索,IFERROR(INDEX('在庫使用計画 (一般)'!$A$1:$BF$391,MATCH($C4,'在庫使用計画 (一般)'!$C$1:$C$391,0),MATCH(BK$1,'在庫使用計画 (一般)'!$A$1:$BF$1,0))*1,0),
_xlpm._法人検索,IFERROR(INDEX('在庫使用計画 (法人)'!$A$1:$BF$391,MATCH($C4,'在庫使用計画 (法人)'!$C$1:$C$391,0),MATCH(BK$1,'在庫使用計画 (法人)'!$A$1:$BF$1,0))*1,0),
_xlpm._合計,_xlpm._一般検索+_xlpm._法人検索,
IF(_xlpm._合計=0,"",_xlpm._合計)
)</f>
        <v/>
      </c>
      <c r="BL4" s="224" t="str">
        <f>_xlfn.LET(
_xlpm._一般検索,IFERROR(INDEX('在庫使用計画 (一般)'!$A$1:$BF$391,MATCH($C4,'在庫使用計画 (一般)'!$C$1:$C$391,0),MATCH(BL$1,'在庫使用計画 (一般)'!$A$1:$BF$1,0))*1,0),
_xlpm._法人検索,IFERROR(INDEX('在庫使用計画 (法人)'!$A$1:$BF$391,MATCH($C4,'在庫使用計画 (法人)'!$C$1:$C$391,0),MATCH(BL$1,'在庫使用計画 (法人)'!$A$1:$BF$1,0))*1,0),
_xlpm._合計,_xlpm._一般検索+_xlpm._法人検索,
IF(_xlpm._合計=0,"",_xlpm._合計)
)</f>
        <v/>
      </c>
      <c r="BM4" s="224" t="str">
        <f>_xlfn.LET(
_xlpm._一般検索,IFERROR(INDEX('在庫使用計画 (一般)'!$A$1:$BF$391,MATCH($C4,'在庫使用計画 (一般)'!$C$1:$C$391,0),MATCH(BM$1,'在庫使用計画 (一般)'!$A$1:$BF$1,0))*1,0),
_xlpm._法人検索,IFERROR(INDEX('在庫使用計画 (法人)'!$A$1:$BF$391,MATCH($C4,'在庫使用計画 (法人)'!$C$1:$C$391,0),MATCH(BM$1,'在庫使用計画 (法人)'!$A$1:$BF$1,0))*1,0),
_xlpm._合計,_xlpm._一般検索+_xlpm._法人検索,
IF(_xlpm._合計=0,"",_xlpm._合計)
)</f>
        <v/>
      </c>
      <c r="BN4" s="224" t="str">
        <f>_xlfn.LET(
_xlpm._一般検索,IFERROR(INDEX('在庫使用計画 (一般)'!$A$1:$BF$391,MATCH($C4,'在庫使用計画 (一般)'!$C$1:$C$391,0),MATCH(BN$1,'在庫使用計画 (一般)'!$A$1:$BF$1,0))*1,0),
_xlpm._法人検索,IFERROR(INDEX('在庫使用計画 (法人)'!$A$1:$BF$391,MATCH($C4,'在庫使用計画 (法人)'!$C$1:$C$391,0),MATCH(BN$1,'在庫使用計画 (法人)'!$A$1:$BF$1,0))*1,0),
_xlpm._合計,_xlpm._一般検索+_xlpm._法人検索,
IF(_xlpm._合計=0,"",_xlpm._合計)
)</f>
        <v/>
      </c>
      <c r="BO4" s="224" t="str">
        <f>_xlfn.LET(
_xlpm._一般検索,IFERROR(INDEX('在庫使用計画 (一般)'!$A$1:$BF$391,MATCH($C4,'在庫使用計画 (一般)'!$C$1:$C$391,0),MATCH(BO$1,'在庫使用計画 (一般)'!$A$1:$BF$1,0))*1,0),
_xlpm._法人検索,IFERROR(INDEX('在庫使用計画 (法人)'!$A$1:$BF$391,MATCH($C4,'在庫使用計画 (法人)'!$C$1:$C$391,0),MATCH(BO$1,'在庫使用計画 (法人)'!$A$1:$BF$1,0))*1,0),
_xlpm._合計,_xlpm._一般検索+_xlpm._法人検索,
IF(_xlpm._合計=0,"",_xlpm._合計)
)</f>
        <v/>
      </c>
      <c r="BP4" s="224" t="str">
        <f>_xlfn.LET(
_xlpm._一般検索,IFERROR(INDEX('在庫使用計画 (一般)'!$A$1:$BF$391,MATCH($C4,'在庫使用計画 (一般)'!$C$1:$C$391,0),MATCH(BP$1,'在庫使用計画 (一般)'!$A$1:$BF$1,0))*1,0),
_xlpm._法人検索,IFERROR(INDEX('在庫使用計画 (法人)'!$A$1:$BF$391,MATCH($C4,'在庫使用計画 (法人)'!$C$1:$C$391,0),MATCH(BP$1,'在庫使用計画 (法人)'!$A$1:$BF$1,0))*1,0),
_xlpm._合計,_xlpm._一般検索+_xlpm._法人検索,
IF(_xlpm._合計=0,"",_xlpm._合計)
)</f>
        <v/>
      </c>
      <c r="BQ4" s="224" t="str">
        <f>_xlfn.LET(
_xlpm._一般検索,IFERROR(INDEX('在庫使用計画 (一般)'!$A$1:$BF$391,MATCH($C4,'在庫使用計画 (一般)'!$C$1:$C$391,0),MATCH(BQ$1,'在庫使用計画 (一般)'!$A$1:$BF$1,0))*1,0),
_xlpm._法人検索,IFERROR(INDEX('在庫使用計画 (法人)'!$A$1:$BF$391,MATCH($C4,'在庫使用計画 (法人)'!$C$1:$C$391,0),MATCH(BQ$1,'在庫使用計画 (法人)'!$A$1:$BF$1,0))*1,0),
_xlpm._合計,_xlpm._一般検索+_xlpm._法人検索,
IF(_xlpm._合計=0,"",_xlpm._合計)
)</f>
        <v/>
      </c>
      <c r="BR4" s="224" t="str">
        <f>_xlfn.LET(
_xlpm._一般検索,IFERROR(INDEX('在庫使用計画 (一般)'!$A$1:$BF$391,MATCH($C4,'在庫使用計画 (一般)'!$C$1:$C$391,0),MATCH(BR$1,'在庫使用計画 (一般)'!$A$1:$BF$1,0))*1,0),
_xlpm._法人検索,IFERROR(INDEX('在庫使用計画 (法人)'!$A$1:$BF$391,MATCH($C4,'在庫使用計画 (法人)'!$C$1:$C$391,0),MATCH(BR$1,'在庫使用計画 (法人)'!$A$1:$BF$1,0))*1,0),
_xlpm._合計,_xlpm._一般検索+_xlpm._法人検索,
IF(_xlpm._合計=0,"",_xlpm._合計)
)</f>
        <v/>
      </c>
      <c r="BS4" s="805" t="str">
        <f>_xlfn.LET(
_xlpm._一般検索,IFERROR(INDEX('在庫使用計画 (一般)'!$A$1:$BF$391,MATCH($C4,'在庫使用計画 (一般)'!$C$1:$C$391,0),MATCH(BS$1,'在庫使用計画 (一般)'!$A$1:$BF$1,0))*1,0),
_xlpm._法人検索,IFERROR(INDEX('在庫使用計画 (法人)'!$A$1:$BF$391,MATCH($C4,'在庫使用計画 (法人)'!$C$1:$C$391,0),MATCH(BS$1,'在庫使用計画 (法人)'!$A$1:$BF$1,0))*1,0),
_xlpm._合計,_xlpm._一般検索+_xlpm._法人検索,
IF(_xlpm._合計=0,"",_xlpm._合計)
)</f>
        <v/>
      </c>
      <c r="BT4" s="21"/>
    </row>
    <row r="5" spans="1:72" customFormat="1" ht="18.75" customHeight="1" thickBot="1">
      <c r="A5" s="1099" t="s">
        <v>1630</v>
      </c>
      <c r="B5" s="494" t="str">
        <v>UNW-Y-290HXP-5080-L6-GC</v>
      </c>
      <c r="C5" s="1434" t="s">
        <v>190</v>
      </c>
      <c r="D5" s="2153">
        <v>422</v>
      </c>
      <c r="E5" s="1258" t="s">
        <v>295</v>
      </c>
      <c r="F5" s="24" t="s">
        <v>20</v>
      </c>
      <c r="G5" s="74">
        <v>341</v>
      </c>
      <c r="H5" s="38">
        <v>269</v>
      </c>
      <c r="I5" s="38" cm="1">
        <f t="array" ref="I5">IF($C5="","",
_xlfn.LET(
  _xlpm._見出し,$A$1:$BT$1,
  _xlpm._行,$A5:$BT5,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166.21665027024551</v>
      </c>
      <c r="J5" s="74" cm="1">
        <f t="array" ref="J5">_xlfn.LET(
  _xlpm._見出し,$A$1:$BS$1,
  _xlpm._行,$A5:$BS5,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IF($C5="","",_xlpm._四点五月計画合計)
)</f>
        <v>210.61599353650547</v>
      </c>
      <c r="K5" s="1458" cm="1">
        <f t="array" ref="K5">_xlfn.IFS(
  $C5="","",
  $G5="","発売前？",
  $G5=0,"在庫無し",
  TRUE,
  IFERROR(
    _xlfn.LET(
      _xlpm._在庫注残,     $G5,
      _xlpm._しきい値,     _xlpm._在庫注残 * 0.75,
      _xlpm._見出し元,     $L$1:$BU$1,
      _xlpm._計画,         $L5:$BU5,
      _xlpm._最新実績日,       基準データ!$C$5,
      _xlpm._今月1日,      EOMONTH(_xlpm._最新実績日, -1) + 1,
      _xlpm._月末日,       EOMONTH(_xlpm._最新実績日, 0),
      _xlpm._今月位置,     _xlfn.XMATCH(_xlpm._今月1日, _xlpm._見出し元),
      _xlpm._今月計画按分, N(INDEX(_xlpm._計画, 1, _xlpm._今月位置))
                      * (_xlpm._月末日 - _xlpm._最新実績日)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46357</v>
      </c>
      <c r="L5" s="38"/>
      <c r="M5" s="38"/>
      <c r="N5" s="38"/>
      <c r="O5" s="38"/>
      <c r="P5" s="38"/>
      <c r="Q5" s="38"/>
      <c r="R5" s="38"/>
      <c r="S5" s="38"/>
      <c r="T5" s="219"/>
      <c r="U5" s="219"/>
      <c r="V5" s="219"/>
      <c r="W5" s="677"/>
      <c r="X5" s="678"/>
      <c r="Y5" s="678"/>
      <c r="Z5" s="223"/>
      <c r="AA5" s="241"/>
      <c r="AB5" s="224"/>
      <c r="AC5" s="224"/>
      <c r="AD5" s="224"/>
      <c r="AE5" s="224"/>
      <c r="AF5" s="224"/>
      <c r="AG5" s="224"/>
      <c r="AH5" s="224"/>
      <c r="AI5" s="237"/>
      <c r="AJ5" s="804" t="s">
        <v>21</v>
      </c>
      <c r="AK5" s="224" t="s">
        <v>21</v>
      </c>
      <c r="AL5" s="224" t="s">
        <v>21</v>
      </c>
      <c r="AM5" s="224">
        <v>50</v>
      </c>
      <c r="AN5" s="224">
        <f>_xlfn.LET(
_xlpm._一般検索,IFERROR(INDEX('在庫使用計画 (一般)'!$A$1:$BF$391,MATCH($C5,'在庫使用計画 (一般)'!$C$1:$C$391,0),MATCH(AN$1,'在庫使用計画 (一般)'!$A$1:$BF$1,0))*1,0),
_xlpm._法人検索,IFERROR(INDEX('在庫使用計画 (法人)'!$A$1:$BF$391,MATCH($C5,'在庫使用計画 (法人)'!$C$1:$C$391,0),MATCH(AN$1,'在庫使用計画 (法人)'!$A$1:$BF$1,0))*1,0),
_xlpm._合計,_xlpm._一般検索+_xlpm._法人検索,
IF(_xlpm._合計=0,"",_xlpm._合計)
)</f>
        <v>15</v>
      </c>
      <c r="AO5" s="224">
        <f>_xlfn.LET(
_xlpm._一般検索,IFERROR(INDEX('在庫使用計画 (一般)'!$A$1:$BF$391,MATCH($C5,'在庫使用計画 (一般)'!$C$1:$C$391,0),MATCH(AO$1,'在庫使用計画 (一般)'!$A$1:$BF$1,0))*1,0),
_xlpm._法人検索,IFERROR(INDEX('在庫使用計画 (法人)'!$A$1:$BF$391,MATCH($C5,'在庫使用計画 (法人)'!$C$1:$C$391,0),MATCH(AO$1,'在庫使用計画 (法人)'!$A$1:$BF$1,0))*1,0),
_xlpm._合計,_xlpm._一般検索+_xlpm._法人検索,
IF(_xlpm._合計=0,"",_xlpm._合計)
)</f>
        <v>18</v>
      </c>
      <c r="AP5" s="224">
        <f>_xlfn.LET(
_xlpm._一般検索,IFERROR(INDEX('在庫使用計画 (一般)'!$A$1:$BF$391,MATCH($C5,'在庫使用計画 (一般)'!$C$1:$C$391,0),MATCH(AP$1,'在庫使用計画 (一般)'!$A$1:$BF$1,0))*1,0),
_xlpm._法人検索,IFERROR(INDEX('在庫使用計画 (法人)'!$A$1:$BF$391,MATCH($C5,'在庫使用計画 (法人)'!$C$1:$C$391,0),MATCH(AP$1,'在庫使用計画 (法人)'!$A$1:$BF$1,0))*1,0),
_xlpm._合計,_xlpm._一般検索+_xlpm._法人検索,
IF(_xlpm._合計=0,"",_xlpm._合計)
)</f>
        <v>15</v>
      </c>
      <c r="AQ5" s="224">
        <f>_xlfn.LET(
_xlpm._一般検索,IFERROR(INDEX('在庫使用計画 (一般)'!$A$1:$BF$391,MATCH($C5,'在庫使用計画 (一般)'!$C$1:$C$391,0),MATCH(AQ$1,'在庫使用計画 (一般)'!$A$1:$BF$1,0))*1,0),
_xlpm._法人検索,IFERROR(INDEX('在庫使用計画 (法人)'!$A$1:$BF$391,MATCH($C5,'在庫使用計画 (法人)'!$C$1:$C$391,0),MATCH(AQ$1,'在庫使用計画 (法人)'!$A$1:$BF$1,0))*1,0),
_xlpm._合計,_xlpm._一般検索+_xlpm._法人検索,
IF(_xlpm._合計=0,"",_xlpm._合計)
)</f>
        <v>54</v>
      </c>
      <c r="AR5" s="224">
        <f>_xlfn.LET(
_xlpm._一般検索,IFERROR(INDEX('在庫使用計画 (一般)'!$A$1:$BF$391,MATCH($C5,'在庫使用計画 (一般)'!$C$1:$C$391,0),MATCH(AR$1,'在庫使用計画 (一般)'!$A$1:$BF$1,0))*1,0),
_xlpm._法人検索,IFERROR(INDEX('在庫使用計画 (法人)'!$A$1:$BF$391,MATCH($C5,'在庫使用計画 (法人)'!$C$1:$C$391,0),MATCH(AR$1,'在庫使用計画 (法人)'!$A$1:$BF$1,0))*1,0),
_xlpm._合計,_xlpm._一般検索+_xlpm._法人検索,
IF(_xlpm._合計=0,"",_xlpm._合計)
)</f>
        <v>52.187338258671495</v>
      </c>
      <c r="AS5" s="224">
        <f>_xlfn.LET(
_xlpm._一般検索,IFERROR(INDEX('在庫使用計画 (一般)'!$A$1:$BF$391,MATCH($C5,'在庫使用計画 (一般)'!$C$1:$C$391,0),MATCH(AS$1,'在庫使用計画 (一般)'!$A$1:$BF$1,0))*1,0),
_xlpm._法人検索,IFERROR(INDEX('在庫使用計画 (法人)'!$A$1:$BF$391,MATCH($C5,'在庫使用計画 (法人)'!$C$1:$C$391,0),MATCH(AS$1,'在庫使用計画 (法人)'!$A$1:$BF$1,0))*1,0),
_xlpm._合計,_xlpm._一般検索+_xlpm._法人検索,
IF(_xlpm._合計=0,"",_xlpm._合計)
)</f>
        <v>45.029312011573992</v>
      </c>
      <c r="AT5" s="224">
        <f>_xlfn.LET(
_xlpm._一般検索,IFERROR(INDEX('在庫使用計画 (一般)'!$A$1:$BF$391,MATCH($C5,'在庫使用計画 (一般)'!$C$1:$C$391,0),MATCH(AT$1,'在庫使用計画 (一般)'!$A$1:$BF$1,0))*1,0),
_xlpm._法人検索,IFERROR(INDEX('在庫使用計画 (法人)'!$A$1:$BF$391,MATCH($C5,'在庫使用計画 (法人)'!$C$1:$C$391,0),MATCH(AT$1,'在庫使用計画 (法人)'!$A$1:$BF$1,0))*1,0),
_xlpm._合計,_xlpm._一般検索+_xlpm._法人検索,
IF(_xlpm._合計=0,"",_xlpm._合計)
)</f>
        <v>51.899343266259947</v>
      </c>
      <c r="AU5" s="805">
        <f>_xlfn.LET(
_xlpm._一般検索,IFERROR(INDEX('在庫使用計画 (一般)'!$A$1:$BF$391,MATCH($C5,'在庫使用計画 (一般)'!$C$1:$C$391,0),MATCH(AU$1,'在庫使用計画 (一般)'!$A$1:$BF$1,0))*1,0),
_xlpm._法人検索,IFERROR(INDEX('在庫使用計画 (法人)'!$A$1:$BF$391,MATCH($C5,'在庫使用計画 (法人)'!$C$1:$C$391,0),MATCH(AU$1,'在庫使用計画 (法人)'!$A$1:$BF$1,0))*1,0),
_xlpm._合計,_xlpm._一般検索+_xlpm._法人検索,
IF(_xlpm._合計=0,"",_xlpm._合計)
)</f>
        <v>61.577615492781398</v>
      </c>
      <c r="AV5" s="244">
        <f>_xlfn.LET(
_xlpm._一般検索,IFERROR(INDEX('在庫使用計画 (一般)'!$A$1:$BF$391,MATCH($C5,'在庫使用計画 (一般)'!$C$1:$C$391,0),MATCH(AV$1,'在庫使用計画 (一般)'!$A$1:$BF$1,0))*1,0),
_xlpm._法人検索,IFERROR(INDEX('在庫使用計画 (法人)'!$A$1:$BF$391,MATCH($C5,'在庫使用計画 (法人)'!$C$1:$C$391,0),MATCH(AV$1,'在庫使用計画 (法人)'!$A$1:$BF$1,0))*1,0),
_xlpm._合計,_xlpm._一般検索+_xlpm._法人検索,
IF(_xlpm._合計=0,"",_xlpm._合計)
)</f>
        <v>44.422055946032678</v>
      </c>
      <c r="AW5" s="224">
        <f>_xlfn.LET(
_xlpm._一般検索,IFERROR(INDEX('在庫使用計画 (一般)'!$A$1:$BF$391,MATCH($C5,'在庫使用計画 (一般)'!$C$1:$C$391,0),MATCH(AW$1,'在庫使用計画 (一般)'!$A$1:$BF$1,0))*1,0),
_xlpm._法人検索,IFERROR(INDEX('在庫使用計画 (法人)'!$A$1:$BF$391,MATCH($C5,'在庫使用計画 (法人)'!$C$1:$C$391,0),MATCH(AW$1,'在庫使用計画 (法人)'!$A$1:$BF$1,0))*1,0),
_xlpm._合計,_xlpm._一般検索+_xlpm._法人検索,
IF(_xlpm._合計=0,"",_xlpm._合計)
)</f>
        <v>41.28601872266546</v>
      </c>
      <c r="AX5" s="224">
        <f>_xlfn.LET(
_xlpm._一般検索,IFERROR(INDEX('在庫使用計画 (一般)'!$A$1:$BF$391,MATCH($C5,'在庫使用計画 (一般)'!$C$1:$C$391,0),MATCH(AX$1,'在庫使用計画 (一般)'!$A$1:$BF$1,0))*1,0),
_xlpm._法人検索,IFERROR(INDEX('在庫使用計画 (法人)'!$A$1:$BF$391,MATCH($C5,'在庫使用計画 (法人)'!$C$1:$C$391,0),MATCH(AX$1,'在庫使用計画 (法人)'!$A$1:$BF$1,0))*1,0),
_xlpm._合計,_xlpm._一般検索+_xlpm._法人検索,
IF(_xlpm._合計=0,"",_xlpm._合計)
)</f>
        <v>53.697860543666614</v>
      </c>
      <c r="AY5" s="224">
        <f>_xlfn.LET(
_xlpm._一般検索,IFERROR(INDEX('在庫使用計画 (一般)'!$A$1:$BF$391,MATCH($C5,'在庫使用計画 (一般)'!$C$1:$C$391,0),MATCH(AY$1,'在庫使用計画 (一般)'!$A$1:$BF$1,0))*1,0),
_xlpm._法人検索,IFERROR(INDEX('在庫使用計画 (法人)'!$A$1:$BF$391,MATCH($C5,'在庫使用計画 (法人)'!$C$1:$C$391,0),MATCH(AY$1,'在庫使用計画 (法人)'!$A$1:$BF$1,0))*1,0),
_xlpm._合計,_xlpm._一般検索+_xlpm._法人検索,
IF(_xlpm._合計=0,"",_xlpm._合計)
)</f>
        <v>44.327516234006765</v>
      </c>
      <c r="AZ5" s="224">
        <f>_xlfn.LET(
_xlpm._一般検索,IFERROR(INDEX('在庫使用計画 (一般)'!$A$1:$BF$391,MATCH($C5,'在庫使用計画 (一般)'!$C$1:$C$391,0),MATCH(AZ$1,'在庫使用計画 (一般)'!$A$1:$BF$1,0))*1,0),
_xlpm._法人検索,IFERROR(INDEX('在庫使用計画 (法人)'!$A$1:$BF$391,MATCH($C5,'在庫使用計画 (法人)'!$C$1:$C$391,0),MATCH(AZ$1,'在庫使用計画 (法人)'!$A$1:$BF$1,0))*1,0),
_xlpm._合計,_xlpm._一般検索+_xlpm._法人検索,
IF(_xlpm._合計=0,"",_xlpm._合計)
)</f>
        <v>13</v>
      </c>
      <c r="BA5" s="224" t="str">
        <f>_xlfn.LET(
_xlpm._一般検索,IFERROR(INDEX('在庫使用計画 (一般)'!$A$1:$BF$391,MATCH($C5,'在庫使用計画 (一般)'!$C$1:$C$391,0),MATCH(BA$1,'在庫使用計画 (一般)'!$A$1:$BF$1,0))*1,0),
_xlpm._法人検索,IFERROR(INDEX('在庫使用計画 (法人)'!$A$1:$BF$391,MATCH($C5,'在庫使用計画 (法人)'!$C$1:$C$391,0),MATCH(BA$1,'在庫使用計画 (法人)'!$A$1:$BF$1,0))*1,0),
_xlpm._合計,_xlpm._一般検索+_xlpm._法人検索,
IF(_xlpm._合計=0,"",_xlpm._合計)
)</f>
        <v/>
      </c>
      <c r="BB5" s="224" t="str">
        <f>_xlfn.LET(
_xlpm._一般検索,IFERROR(INDEX('在庫使用計画 (一般)'!$A$1:$BF$391,MATCH($C5,'在庫使用計画 (一般)'!$C$1:$C$391,0),MATCH(BB$1,'在庫使用計画 (一般)'!$A$1:$BF$1,0))*1,0),
_xlpm._法人検索,IFERROR(INDEX('在庫使用計画 (法人)'!$A$1:$BF$391,MATCH($C5,'在庫使用計画 (法人)'!$C$1:$C$391,0),MATCH(BB$1,'在庫使用計画 (法人)'!$A$1:$BF$1,0))*1,0),
_xlpm._合計,_xlpm._一般検索+_xlpm._法人検索,
IF(_xlpm._合計=0,"",_xlpm._合計)
)</f>
        <v/>
      </c>
      <c r="BC5" s="224" t="str">
        <f>_xlfn.LET(
_xlpm._一般検索,IFERROR(INDEX('在庫使用計画 (一般)'!$A$1:$BF$391,MATCH($C5,'在庫使用計画 (一般)'!$C$1:$C$391,0),MATCH(BC$1,'在庫使用計画 (一般)'!$A$1:$BF$1,0))*1,0),
_xlpm._法人検索,IFERROR(INDEX('在庫使用計画 (法人)'!$A$1:$BF$391,MATCH($C5,'在庫使用計画 (法人)'!$C$1:$C$391,0),MATCH(BC$1,'在庫使用計画 (法人)'!$A$1:$BF$1,0))*1,0),
_xlpm._合計,_xlpm._一般検索+_xlpm._法人検索,
IF(_xlpm._合計=0,"",_xlpm._合計)
)</f>
        <v/>
      </c>
      <c r="BD5" s="224" t="str">
        <f>_xlfn.LET(
_xlpm._一般検索,IFERROR(INDEX('在庫使用計画 (一般)'!$A$1:$BF$391,MATCH($C5,'在庫使用計画 (一般)'!$C$1:$C$391,0),MATCH(BD$1,'在庫使用計画 (一般)'!$A$1:$BF$1,0))*1,0),
_xlpm._法人検索,IFERROR(INDEX('在庫使用計画 (法人)'!$A$1:$BF$391,MATCH($C5,'在庫使用計画 (法人)'!$C$1:$C$391,0),MATCH(BD$1,'在庫使用計画 (法人)'!$A$1:$BF$1,0))*1,0),
_xlpm._合計,_xlpm._一般検索+_xlpm._法人検索,
IF(_xlpm._合計=0,"",_xlpm._合計)
)</f>
        <v/>
      </c>
      <c r="BE5" s="224" t="str">
        <f>_xlfn.LET(
_xlpm._一般検索,IFERROR(INDEX('在庫使用計画 (一般)'!$A$1:$BF$391,MATCH($C5,'在庫使用計画 (一般)'!$C$1:$C$391,0),MATCH(BE$1,'在庫使用計画 (一般)'!$A$1:$BF$1,0))*1,0),
_xlpm._法人検索,IFERROR(INDEX('在庫使用計画 (法人)'!$A$1:$BF$391,MATCH($C5,'在庫使用計画 (法人)'!$C$1:$C$391,0),MATCH(BE$1,'在庫使用計画 (法人)'!$A$1:$BF$1,0))*1,0),
_xlpm._合計,_xlpm._一般検索+_xlpm._法人検索,
IF(_xlpm._合計=0,"",_xlpm._合計)
)</f>
        <v/>
      </c>
      <c r="BF5" s="224" t="str">
        <f>_xlfn.LET(
_xlpm._一般検索,IFERROR(INDEX('在庫使用計画 (一般)'!$A$1:$BF$391,MATCH($C5,'在庫使用計画 (一般)'!$C$1:$C$391,0),MATCH(BF$1,'在庫使用計画 (一般)'!$A$1:$BF$1,0))*1,0),
_xlpm._法人検索,IFERROR(INDEX('在庫使用計画 (法人)'!$A$1:$BF$391,MATCH($C5,'在庫使用計画 (法人)'!$C$1:$C$391,0),MATCH(BF$1,'在庫使用計画 (法人)'!$A$1:$BF$1,0))*1,0),
_xlpm._合計,_xlpm._一般検索+_xlpm._法人検索,
IF(_xlpm._合計=0,"",_xlpm._合計)
)</f>
        <v/>
      </c>
      <c r="BG5" s="237" t="str">
        <f>_xlfn.LET(
_xlpm._一般検索,IFERROR(INDEX('在庫使用計画 (一般)'!$A$1:$BF$391,MATCH($C5,'在庫使用計画 (一般)'!$C$1:$C$391,0),MATCH(BG$1,'在庫使用計画 (一般)'!$A$1:$BF$1,0))*1,0),
_xlpm._法人検索,IFERROR(INDEX('在庫使用計画 (法人)'!$A$1:$BF$391,MATCH($C5,'在庫使用計画 (法人)'!$C$1:$C$391,0),MATCH(BG$1,'在庫使用計画 (法人)'!$A$1:$BF$1,0))*1,0),
_xlpm._合計,_xlpm._一般検索+_xlpm._法人検索,
IF(_xlpm._合計=0,"",_xlpm._合計)
)</f>
        <v/>
      </c>
      <c r="BH5" s="804" t="str">
        <f>_xlfn.LET(
_xlpm._一般検索,IFERROR(INDEX('在庫使用計画 (一般)'!$A$1:$BF$391,MATCH($C5,'在庫使用計画 (一般)'!$C$1:$C$391,0),MATCH(BH$1,'在庫使用計画 (一般)'!$A$1:$BF$1,0))*1,0),
_xlpm._法人検索,IFERROR(INDEX('在庫使用計画 (法人)'!$A$1:$BF$391,MATCH($C5,'在庫使用計画 (法人)'!$C$1:$C$391,0),MATCH(BH$1,'在庫使用計画 (法人)'!$A$1:$BF$1,0))*1,0),
_xlpm._合計,_xlpm._一般検索+_xlpm._法人検索,
IF(_xlpm._合計=0,"",_xlpm._合計)
)</f>
        <v/>
      </c>
      <c r="BI5" s="224" t="str">
        <f>_xlfn.LET(
_xlpm._一般検索,IFERROR(INDEX('在庫使用計画 (一般)'!$A$1:$BF$391,MATCH($C5,'在庫使用計画 (一般)'!$C$1:$C$391,0),MATCH(BI$1,'在庫使用計画 (一般)'!$A$1:$BF$1,0))*1,0),
_xlpm._法人検索,IFERROR(INDEX('在庫使用計画 (法人)'!$A$1:$BF$391,MATCH($C5,'在庫使用計画 (法人)'!$C$1:$C$391,0),MATCH(BI$1,'在庫使用計画 (法人)'!$A$1:$BF$1,0))*1,0),
_xlpm._合計,_xlpm._一般検索+_xlpm._法人検索,
IF(_xlpm._合計=0,"",_xlpm._合計)
)</f>
        <v/>
      </c>
      <c r="BJ5" s="224" t="str">
        <f>_xlfn.LET(
_xlpm._一般検索,IFERROR(INDEX('在庫使用計画 (一般)'!$A$1:$BF$391,MATCH($C5,'在庫使用計画 (一般)'!$C$1:$C$391,0),MATCH(BJ$1,'在庫使用計画 (一般)'!$A$1:$BF$1,0))*1,0),
_xlpm._法人検索,IFERROR(INDEX('在庫使用計画 (法人)'!$A$1:$BF$391,MATCH($C5,'在庫使用計画 (法人)'!$C$1:$C$391,0),MATCH(BJ$1,'在庫使用計画 (法人)'!$A$1:$BF$1,0))*1,0),
_xlpm._合計,_xlpm._一般検索+_xlpm._法人検索,
IF(_xlpm._合計=0,"",_xlpm._合計)
)</f>
        <v/>
      </c>
      <c r="BK5" s="224" t="str">
        <f>_xlfn.LET(
_xlpm._一般検索,IFERROR(INDEX('在庫使用計画 (一般)'!$A$1:$BF$391,MATCH($C5,'在庫使用計画 (一般)'!$C$1:$C$391,0),MATCH(BK$1,'在庫使用計画 (一般)'!$A$1:$BF$1,0))*1,0),
_xlpm._法人検索,IFERROR(INDEX('在庫使用計画 (法人)'!$A$1:$BF$391,MATCH($C5,'在庫使用計画 (法人)'!$C$1:$C$391,0),MATCH(BK$1,'在庫使用計画 (法人)'!$A$1:$BF$1,0))*1,0),
_xlpm._合計,_xlpm._一般検索+_xlpm._法人検索,
IF(_xlpm._合計=0,"",_xlpm._合計)
)</f>
        <v/>
      </c>
      <c r="BL5" s="224" t="str">
        <f>_xlfn.LET(
_xlpm._一般検索,IFERROR(INDEX('在庫使用計画 (一般)'!$A$1:$BF$391,MATCH($C5,'在庫使用計画 (一般)'!$C$1:$C$391,0),MATCH(BL$1,'在庫使用計画 (一般)'!$A$1:$BF$1,0))*1,0),
_xlpm._法人検索,IFERROR(INDEX('在庫使用計画 (法人)'!$A$1:$BF$391,MATCH($C5,'在庫使用計画 (法人)'!$C$1:$C$391,0),MATCH(BL$1,'在庫使用計画 (法人)'!$A$1:$BF$1,0))*1,0),
_xlpm._合計,_xlpm._一般検索+_xlpm._法人検索,
IF(_xlpm._合計=0,"",_xlpm._合計)
)</f>
        <v/>
      </c>
      <c r="BM5" s="224" t="str">
        <f>_xlfn.LET(
_xlpm._一般検索,IFERROR(INDEX('在庫使用計画 (一般)'!$A$1:$BF$391,MATCH($C5,'在庫使用計画 (一般)'!$C$1:$C$391,0),MATCH(BM$1,'在庫使用計画 (一般)'!$A$1:$BF$1,0))*1,0),
_xlpm._法人検索,IFERROR(INDEX('在庫使用計画 (法人)'!$A$1:$BF$391,MATCH($C5,'在庫使用計画 (法人)'!$C$1:$C$391,0),MATCH(BM$1,'在庫使用計画 (法人)'!$A$1:$BF$1,0))*1,0),
_xlpm._合計,_xlpm._一般検索+_xlpm._法人検索,
IF(_xlpm._合計=0,"",_xlpm._合計)
)</f>
        <v/>
      </c>
      <c r="BN5" s="224" t="str">
        <f>_xlfn.LET(
_xlpm._一般検索,IFERROR(INDEX('在庫使用計画 (一般)'!$A$1:$BF$391,MATCH($C5,'在庫使用計画 (一般)'!$C$1:$C$391,0),MATCH(BN$1,'在庫使用計画 (一般)'!$A$1:$BF$1,0))*1,0),
_xlpm._法人検索,IFERROR(INDEX('在庫使用計画 (法人)'!$A$1:$BF$391,MATCH($C5,'在庫使用計画 (法人)'!$C$1:$C$391,0),MATCH(BN$1,'在庫使用計画 (法人)'!$A$1:$BF$1,0))*1,0),
_xlpm._合計,_xlpm._一般検索+_xlpm._法人検索,
IF(_xlpm._合計=0,"",_xlpm._合計)
)</f>
        <v/>
      </c>
      <c r="BO5" s="224" t="str">
        <f>_xlfn.LET(
_xlpm._一般検索,IFERROR(INDEX('在庫使用計画 (一般)'!$A$1:$BF$391,MATCH($C5,'在庫使用計画 (一般)'!$C$1:$C$391,0),MATCH(BO$1,'在庫使用計画 (一般)'!$A$1:$BF$1,0))*1,0),
_xlpm._法人検索,IFERROR(INDEX('在庫使用計画 (法人)'!$A$1:$BF$391,MATCH($C5,'在庫使用計画 (法人)'!$C$1:$C$391,0),MATCH(BO$1,'在庫使用計画 (法人)'!$A$1:$BF$1,0))*1,0),
_xlpm._合計,_xlpm._一般検索+_xlpm._法人検索,
IF(_xlpm._合計=0,"",_xlpm._合計)
)</f>
        <v/>
      </c>
      <c r="BP5" s="224" t="str">
        <f>_xlfn.LET(
_xlpm._一般検索,IFERROR(INDEX('在庫使用計画 (一般)'!$A$1:$BF$391,MATCH($C5,'在庫使用計画 (一般)'!$C$1:$C$391,0),MATCH(BP$1,'在庫使用計画 (一般)'!$A$1:$BF$1,0))*1,0),
_xlpm._法人検索,IFERROR(INDEX('在庫使用計画 (法人)'!$A$1:$BF$391,MATCH($C5,'在庫使用計画 (法人)'!$C$1:$C$391,0),MATCH(BP$1,'在庫使用計画 (法人)'!$A$1:$BF$1,0))*1,0),
_xlpm._合計,_xlpm._一般検索+_xlpm._法人検索,
IF(_xlpm._合計=0,"",_xlpm._合計)
)</f>
        <v/>
      </c>
      <c r="BQ5" s="224" t="str">
        <f>_xlfn.LET(
_xlpm._一般検索,IFERROR(INDEX('在庫使用計画 (一般)'!$A$1:$BF$391,MATCH($C5,'在庫使用計画 (一般)'!$C$1:$C$391,0),MATCH(BQ$1,'在庫使用計画 (一般)'!$A$1:$BF$1,0))*1,0),
_xlpm._法人検索,IFERROR(INDEX('在庫使用計画 (法人)'!$A$1:$BF$391,MATCH($C5,'在庫使用計画 (法人)'!$C$1:$C$391,0),MATCH(BQ$1,'在庫使用計画 (法人)'!$A$1:$BF$1,0))*1,0),
_xlpm._合計,_xlpm._一般検索+_xlpm._法人検索,
IF(_xlpm._合計=0,"",_xlpm._合計)
)</f>
        <v/>
      </c>
      <c r="BR5" s="224" t="str">
        <f>_xlfn.LET(
_xlpm._一般検索,IFERROR(INDEX('在庫使用計画 (一般)'!$A$1:$BF$391,MATCH($C5,'在庫使用計画 (一般)'!$C$1:$C$391,0),MATCH(BR$1,'在庫使用計画 (一般)'!$A$1:$BF$1,0))*1,0),
_xlpm._法人検索,IFERROR(INDEX('在庫使用計画 (法人)'!$A$1:$BF$391,MATCH($C5,'在庫使用計画 (法人)'!$C$1:$C$391,0),MATCH(BR$1,'在庫使用計画 (法人)'!$A$1:$BF$1,0))*1,0),
_xlpm._合計,_xlpm._一般検索+_xlpm._法人検索,
IF(_xlpm._合計=0,"",_xlpm._合計)
)</f>
        <v/>
      </c>
      <c r="BS5" s="805" t="str">
        <f>_xlfn.LET(
_xlpm._一般検索,IFERROR(INDEX('在庫使用計画 (一般)'!$A$1:$BF$391,MATCH($C5,'在庫使用計画 (一般)'!$C$1:$C$391,0),MATCH(BS$1,'在庫使用計画 (一般)'!$A$1:$BF$1,0))*1,0),
_xlpm._法人検索,IFERROR(INDEX('在庫使用計画 (法人)'!$A$1:$BF$391,MATCH($C5,'在庫使用計画 (法人)'!$C$1:$C$391,0),MATCH(BS$1,'在庫使用計画 (法人)'!$A$1:$BF$1,0))*1,0),
_xlpm._合計,_xlpm._一般検索+_xlpm._法人検索,
IF(_xlpm._合計=0,"",_xlpm._合計)
)</f>
        <v/>
      </c>
      <c r="BT5" s="21"/>
    </row>
    <row r="6" spans="1:72" customFormat="1" ht="18.75" customHeight="1">
      <c r="A6" s="1059"/>
      <c r="B6" s="26" t="str">
        <v/>
      </c>
      <c r="C6" s="194"/>
      <c r="D6" s="2153" t="str">
        <v/>
      </c>
      <c r="E6" s="26"/>
      <c r="F6" s="26"/>
      <c r="G6" s="74" t="str">
        <v/>
      </c>
      <c r="H6" s="38" t="str">
        <v/>
      </c>
      <c r="I6" s="38" t="str" cm="1">
        <f t="array" ref="I6">IF($C6="","",
_xlfn.LET(
  _xlpm._見出し,$A$1:$BT$1,
  _xlpm._行,$A6:$BT6,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
      </c>
      <c r="J6" s="74" t="str" cm="1">
        <f t="array" ref="J6">_xlfn.LET(
  _xlpm._見出し,$A$1:$BS$1,
  _xlpm._行,$A6:$BS6,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IF($C6="","",_xlpm._四点五月計画合計)
)</f>
        <v/>
      </c>
      <c r="K6" s="1458" t="str" cm="1">
        <f t="array" ref="K6">_xlfn.IFS(
  $C6="","",
  $G6="","発売前？",
  $G6=0,"在庫無し",
  TRUE,
  IFERROR(
    _xlfn.LET(
      _xlpm._在庫注残,     $G6,
      _xlpm._しきい値,     _xlpm._在庫注残 * 0.75,
      _xlpm._見出し元,     $L$1:$BU$1,
      _xlpm._計画,         $L6:$BU6,
      _xlpm._最新実績日,       基準データ!$C$5,
      _xlpm._今月1日,      EOMONTH(_xlpm._最新実績日, -1) + 1,
      _xlpm._月末日,       EOMONTH(_xlpm._最新実績日, 0),
      _xlpm._今月位置,     _xlfn.XMATCH(_xlpm._今月1日, _xlpm._見出し元),
      _xlpm._今月計画按分, N(INDEX(_xlpm._計画, 1, _xlpm._今月位置))
                      * (_xlpm._月末日 - _xlpm._最新実績日)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
      </c>
      <c r="L6" s="38"/>
      <c r="M6" s="38"/>
      <c r="N6" s="38"/>
      <c r="O6" s="38"/>
      <c r="P6" s="38"/>
      <c r="Q6" s="38"/>
      <c r="R6" s="38"/>
      <c r="S6" s="38"/>
      <c r="T6" s="219"/>
      <c r="U6" s="219"/>
      <c r="V6" s="219"/>
      <c r="W6" s="222"/>
      <c r="X6" s="223"/>
      <c r="Y6" s="223"/>
      <c r="Z6" s="223"/>
      <c r="AA6" s="241"/>
      <c r="AB6" s="224"/>
      <c r="AC6" s="224"/>
      <c r="AD6" s="224" t="s">
        <v>21</v>
      </c>
      <c r="AE6" s="224" t="s">
        <v>21</v>
      </c>
      <c r="AF6" s="224" t="s">
        <v>21</v>
      </c>
      <c r="AG6" s="224" t="s">
        <v>21</v>
      </c>
      <c r="AH6" s="224" t="s">
        <v>21</v>
      </c>
      <c r="AI6" s="237" t="s">
        <v>21</v>
      </c>
      <c r="AJ6" s="804" t="s">
        <v>21</v>
      </c>
      <c r="AK6" s="224" t="s">
        <v>21</v>
      </c>
      <c r="AL6" s="224" t="s">
        <v>21</v>
      </c>
      <c r="AM6" s="224" t="s">
        <v>21</v>
      </c>
      <c r="AN6" s="224" t="str">
        <f>_xlfn.LET(
_xlpm._一般検索,IFERROR(INDEX('在庫使用計画 (一般)'!$A$1:$BF$391,MATCH($C6,'在庫使用計画 (一般)'!$C$1:$C$391,0),MATCH(AN$1,'在庫使用計画 (一般)'!$A$1:$BF$1,0))*1,0),
_xlpm._法人検索,IFERROR(INDEX('在庫使用計画 (法人)'!$A$1:$BF$391,MATCH($C6,'在庫使用計画 (法人)'!$C$1:$C$391,0),MATCH(AN$1,'在庫使用計画 (法人)'!$A$1:$BF$1,0))*1,0),
_xlpm._合計,_xlpm._一般検索+_xlpm._法人検索,
IF(_xlpm._合計=0,"",_xlpm._合計)
)</f>
        <v/>
      </c>
      <c r="AO6" s="224" t="str">
        <f>_xlfn.LET(
_xlpm._一般検索,IFERROR(INDEX('在庫使用計画 (一般)'!$A$1:$BF$391,MATCH($C6,'在庫使用計画 (一般)'!$C$1:$C$391,0),MATCH(AO$1,'在庫使用計画 (一般)'!$A$1:$BF$1,0))*1,0),
_xlpm._法人検索,IFERROR(INDEX('在庫使用計画 (法人)'!$A$1:$BF$391,MATCH($C6,'在庫使用計画 (法人)'!$C$1:$C$391,0),MATCH(AO$1,'在庫使用計画 (法人)'!$A$1:$BF$1,0))*1,0),
_xlpm._合計,_xlpm._一般検索+_xlpm._法人検索,
IF(_xlpm._合計=0,"",_xlpm._合計)
)</f>
        <v/>
      </c>
      <c r="AP6" s="224" t="str">
        <f>_xlfn.LET(
_xlpm._一般検索,IFERROR(INDEX('在庫使用計画 (一般)'!$A$1:$BF$391,MATCH($C6,'在庫使用計画 (一般)'!$C$1:$C$391,0),MATCH(AP$1,'在庫使用計画 (一般)'!$A$1:$BF$1,0))*1,0),
_xlpm._法人検索,IFERROR(INDEX('在庫使用計画 (法人)'!$A$1:$BF$391,MATCH($C6,'在庫使用計画 (法人)'!$C$1:$C$391,0),MATCH(AP$1,'在庫使用計画 (法人)'!$A$1:$BF$1,0))*1,0),
_xlpm._合計,_xlpm._一般検索+_xlpm._法人検索,
IF(_xlpm._合計=0,"",_xlpm._合計)
)</f>
        <v/>
      </c>
      <c r="AQ6" s="224" t="str">
        <f>_xlfn.LET(
_xlpm._一般検索,IFERROR(INDEX('在庫使用計画 (一般)'!$A$1:$BF$391,MATCH($C6,'在庫使用計画 (一般)'!$C$1:$C$391,0),MATCH(AQ$1,'在庫使用計画 (一般)'!$A$1:$BF$1,0))*1,0),
_xlpm._法人検索,IFERROR(INDEX('在庫使用計画 (法人)'!$A$1:$BF$391,MATCH($C6,'在庫使用計画 (法人)'!$C$1:$C$391,0),MATCH(AQ$1,'在庫使用計画 (法人)'!$A$1:$BF$1,0))*1,0),
_xlpm._合計,_xlpm._一般検索+_xlpm._法人検索,
IF(_xlpm._合計=0,"",_xlpm._合計)
)</f>
        <v/>
      </c>
      <c r="AR6" s="224" t="str">
        <f>_xlfn.LET(
_xlpm._一般検索,IFERROR(INDEX('在庫使用計画 (一般)'!$A$1:$BF$391,MATCH($C6,'在庫使用計画 (一般)'!$C$1:$C$391,0),MATCH(AR$1,'在庫使用計画 (一般)'!$A$1:$BF$1,0))*1,0),
_xlpm._法人検索,IFERROR(INDEX('在庫使用計画 (法人)'!$A$1:$BF$391,MATCH($C6,'在庫使用計画 (法人)'!$C$1:$C$391,0),MATCH(AR$1,'在庫使用計画 (法人)'!$A$1:$BF$1,0))*1,0),
_xlpm._合計,_xlpm._一般検索+_xlpm._法人検索,
IF(_xlpm._合計=0,"",_xlpm._合計)
)</f>
        <v/>
      </c>
      <c r="AS6" s="224" t="str">
        <f>_xlfn.LET(
_xlpm._一般検索,IFERROR(INDEX('在庫使用計画 (一般)'!$A$1:$BF$391,MATCH($C6,'在庫使用計画 (一般)'!$C$1:$C$391,0),MATCH(AS$1,'在庫使用計画 (一般)'!$A$1:$BF$1,0))*1,0),
_xlpm._法人検索,IFERROR(INDEX('在庫使用計画 (法人)'!$A$1:$BF$391,MATCH($C6,'在庫使用計画 (法人)'!$C$1:$C$391,0),MATCH(AS$1,'在庫使用計画 (法人)'!$A$1:$BF$1,0))*1,0),
_xlpm._合計,_xlpm._一般検索+_xlpm._法人検索,
IF(_xlpm._合計=0,"",_xlpm._合計)
)</f>
        <v/>
      </c>
      <c r="AT6" s="224" t="str">
        <f>_xlfn.LET(
_xlpm._一般検索,IFERROR(INDEX('在庫使用計画 (一般)'!$A$1:$BF$391,MATCH($C6,'在庫使用計画 (一般)'!$C$1:$C$391,0),MATCH(AT$1,'在庫使用計画 (一般)'!$A$1:$BF$1,0))*1,0),
_xlpm._法人検索,IFERROR(INDEX('在庫使用計画 (法人)'!$A$1:$BF$391,MATCH($C6,'在庫使用計画 (法人)'!$C$1:$C$391,0),MATCH(AT$1,'在庫使用計画 (法人)'!$A$1:$BF$1,0))*1,0),
_xlpm._合計,_xlpm._一般検索+_xlpm._法人検索,
IF(_xlpm._合計=0,"",_xlpm._合計)
)</f>
        <v/>
      </c>
      <c r="AU6" s="805" t="str">
        <f>_xlfn.LET(
_xlpm._一般検索,IFERROR(INDEX('在庫使用計画 (一般)'!$A$1:$BF$391,MATCH($C6,'在庫使用計画 (一般)'!$C$1:$C$391,0),MATCH(AU$1,'在庫使用計画 (一般)'!$A$1:$BF$1,0))*1,0),
_xlpm._法人検索,IFERROR(INDEX('在庫使用計画 (法人)'!$A$1:$BF$391,MATCH($C6,'在庫使用計画 (法人)'!$C$1:$C$391,0),MATCH(AU$1,'在庫使用計画 (法人)'!$A$1:$BF$1,0))*1,0),
_xlpm._合計,_xlpm._一般検索+_xlpm._法人検索,
IF(_xlpm._合計=0,"",_xlpm._合計)
)</f>
        <v/>
      </c>
      <c r="AV6" s="244" t="str">
        <f>_xlfn.LET(
_xlpm._一般検索,IFERROR(INDEX('在庫使用計画 (一般)'!$A$1:$BF$391,MATCH($C6,'在庫使用計画 (一般)'!$C$1:$C$391,0),MATCH(AV$1,'在庫使用計画 (一般)'!$A$1:$BF$1,0))*1,0),
_xlpm._法人検索,IFERROR(INDEX('在庫使用計画 (法人)'!$A$1:$BF$391,MATCH($C6,'在庫使用計画 (法人)'!$C$1:$C$391,0),MATCH(AV$1,'在庫使用計画 (法人)'!$A$1:$BF$1,0))*1,0),
_xlpm._合計,_xlpm._一般検索+_xlpm._法人検索,
IF(_xlpm._合計=0,"",_xlpm._合計)
)</f>
        <v/>
      </c>
      <c r="AW6" s="224" t="str">
        <f>_xlfn.LET(
_xlpm._一般検索,IFERROR(INDEX('在庫使用計画 (一般)'!$A$1:$BF$391,MATCH($C6,'在庫使用計画 (一般)'!$C$1:$C$391,0),MATCH(AW$1,'在庫使用計画 (一般)'!$A$1:$BF$1,0))*1,0),
_xlpm._法人検索,IFERROR(INDEX('在庫使用計画 (法人)'!$A$1:$BF$391,MATCH($C6,'在庫使用計画 (法人)'!$C$1:$C$391,0),MATCH(AW$1,'在庫使用計画 (法人)'!$A$1:$BF$1,0))*1,0),
_xlpm._合計,_xlpm._一般検索+_xlpm._法人検索,
IF(_xlpm._合計=0,"",_xlpm._合計)
)</f>
        <v/>
      </c>
      <c r="AX6" s="224" t="str">
        <f>_xlfn.LET(
_xlpm._一般検索,IFERROR(INDEX('在庫使用計画 (一般)'!$A$1:$BF$391,MATCH($C6,'在庫使用計画 (一般)'!$C$1:$C$391,0),MATCH(AX$1,'在庫使用計画 (一般)'!$A$1:$BF$1,0))*1,0),
_xlpm._法人検索,IFERROR(INDEX('在庫使用計画 (法人)'!$A$1:$BF$391,MATCH($C6,'在庫使用計画 (法人)'!$C$1:$C$391,0),MATCH(AX$1,'在庫使用計画 (法人)'!$A$1:$BF$1,0))*1,0),
_xlpm._合計,_xlpm._一般検索+_xlpm._法人検索,
IF(_xlpm._合計=0,"",_xlpm._合計)
)</f>
        <v/>
      </c>
      <c r="AY6" s="224" t="str">
        <f>_xlfn.LET(
_xlpm._一般検索,IFERROR(INDEX('在庫使用計画 (一般)'!$A$1:$BF$391,MATCH($C6,'在庫使用計画 (一般)'!$C$1:$C$391,0),MATCH(AY$1,'在庫使用計画 (一般)'!$A$1:$BF$1,0))*1,0),
_xlpm._法人検索,IFERROR(INDEX('在庫使用計画 (法人)'!$A$1:$BF$391,MATCH($C6,'在庫使用計画 (法人)'!$C$1:$C$391,0),MATCH(AY$1,'在庫使用計画 (法人)'!$A$1:$BF$1,0))*1,0),
_xlpm._合計,_xlpm._一般検索+_xlpm._法人検索,
IF(_xlpm._合計=0,"",_xlpm._合計)
)</f>
        <v/>
      </c>
      <c r="AZ6" s="224" t="str">
        <f>_xlfn.LET(
_xlpm._一般検索,IFERROR(INDEX('在庫使用計画 (一般)'!$A$1:$BF$391,MATCH($C6,'在庫使用計画 (一般)'!$C$1:$C$391,0),MATCH(AZ$1,'在庫使用計画 (一般)'!$A$1:$BF$1,0))*1,0),
_xlpm._法人検索,IFERROR(INDEX('在庫使用計画 (法人)'!$A$1:$BF$391,MATCH($C6,'在庫使用計画 (法人)'!$C$1:$C$391,0),MATCH(AZ$1,'在庫使用計画 (法人)'!$A$1:$BF$1,0))*1,0),
_xlpm._合計,_xlpm._一般検索+_xlpm._法人検索,
IF(_xlpm._合計=0,"",_xlpm._合計)
)</f>
        <v/>
      </c>
      <c r="BA6" s="224" t="str">
        <f>_xlfn.LET(
_xlpm._一般検索,IFERROR(INDEX('在庫使用計画 (一般)'!$A$1:$BF$391,MATCH($C6,'在庫使用計画 (一般)'!$C$1:$C$391,0),MATCH(BA$1,'在庫使用計画 (一般)'!$A$1:$BF$1,0))*1,0),
_xlpm._法人検索,IFERROR(INDEX('在庫使用計画 (法人)'!$A$1:$BF$391,MATCH($C6,'在庫使用計画 (法人)'!$C$1:$C$391,0),MATCH(BA$1,'在庫使用計画 (法人)'!$A$1:$BF$1,0))*1,0),
_xlpm._合計,_xlpm._一般検索+_xlpm._法人検索,
IF(_xlpm._合計=0,"",_xlpm._合計)
)</f>
        <v/>
      </c>
      <c r="BB6" s="224" t="str">
        <f>_xlfn.LET(
_xlpm._一般検索,IFERROR(INDEX('在庫使用計画 (一般)'!$A$1:$BF$391,MATCH($C6,'在庫使用計画 (一般)'!$C$1:$C$391,0),MATCH(BB$1,'在庫使用計画 (一般)'!$A$1:$BF$1,0))*1,0),
_xlpm._法人検索,IFERROR(INDEX('在庫使用計画 (法人)'!$A$1:$BF$391,MATCH($C6,'在庫使用計画 (法人)'!$C$1:$C$391,0),MATCH(BB$1,'在庫使用計画 (法人)'!$A$1:$BF$1,0))*1,0),
_xlpm._合計,_xlpm._一般検索+_xlpm._法人検索,
IF(_xlpm._合計=0,"",_xlpm._合計)
)</f>
        <v/>
      </c>
      <c r="BC6" s="224" t="str">
        <f>_xlfn.LET(
_xlpm._一般検索,IFERROR(INDEX('在庫使用計画 (一般)'!$A$1:$BF$391,MATCH($C6,'在庫使用計画 (一般)'!$C$1:$C$391,0),MATCH(BC$1,'在庫使用計画 (一般)'!$A$1:$BF$1,0))*1,0),
_xlpm._法人検索,IFERROR(INDEX('在庫使用計画 (法人)'!$A$1:$BF$391,MATCH($C6,'在庫使用計画 (法人)'!$C$1:$C$391,0),MATCH(BC$1,'在庫使用計画 (法人)'!$A$1:$BF$1,0))*1,0),
_xlpm._合計,_xlpm._一般検索+_xlpm._法人検索,
IF(_xlpm._合計=0,"",_xlpm._合計)
)</f>
        <v/>
      </c>
      <c r="BD6" s="224" t="str">
        <f>_xlfn.LET(
_xlpm._一般検索,IFERROR(INDEX('在庫使用計画 (一般)'!$A$1:$BF$391,MATCH($C6,'在庫使用計画 (一般)'!$C$1:$C$391,0),MATCH(BD$1,'在庫使用計画 (一般)'!$A$1:$BF$1,0))*1,0),
_xlpm._法人検索,IFERROR(INDEX('在庫使用計画 (法人)'!$A$1:$BF$391,MATCH($C6,'在庫使用計画 (法人)'!$C$1:$C$391,0),MATCH(BD$1,'在庫使用計画 (法人)'!$A$1:$BF$1,0))*1,0),
_xlpm._合計,_xlpm._一般検索+_xlpm._法人検索,
IF(_xlpm._合計=0,"",_xlpm._合計)
)</f>
        <v/>
      </c>
      <c r="BE6" s="224" t="str">
        <f>_xlfn.LET(
_xlpm._一般検索,IFERROR(INDEX('在庫使用計画 (一般)'!$A$1:$BF$391,MATCH($C6,'在庫使用計画 (一般)'!$C$1:$C$391,0),MATCH(BE$1,'在庫使用計画 (一般)'!$A$1:$BF$1,0))*1,0),
_xlpm._法人検索,IFERROR(INDEX('在庫使用計画 (法人)'!$A$1:$BF$391,MATCH($C6,'在庫使用計画 (法人)'!$C$1:$C$391,0),MATCH(BE$1,'在庫使用計画 (法人)'!$A$1:$BF$1,0))*1,0),
_xlpm._合計,_xlpm._一般検索+_xlpm._法人検索,
IF(_xlpm._合計=0,"",_xlpm._合計)
)</f>
        <v/>
      </c>
      <c r="BF6" s="224" t="str">
        <f>_xlfn.LET(
_xlpm._一般検索,IFERROR(INDEX('在庫使用計画 (一般)'!$A$1:$BF$391,MATCH($C6,'在庫使用計画 (一般)'!$C$1:$C$391,0),MATCH(BF$1,'在庫使用計画 (一般)'!$A$1:$BF$1,0))*1,0),
_xlpm._法人検索,IFERROR(INDEX('在庫使用計画 (法人)'!$A$1:$BF$391,MATCH($C6,'在庫使用計画 (法人)'!$C$1:$C$391,0),MATCH(BF$1,'在庫使用計画 (法人)'!$A$1:$BF$1,0))*1,0),
_xlpm._合計,_xlpm._一般検索+_xlpm._法人検索,
IF(_xlpm._合計=0,"",_xlpm._合計)
)</f>
        <v/>
      </c>
      <c r="BG6" s="237" t="str">
        <f>_xlfn.LET(
_xlpm._一般検索,IFERROR(INDEX('在庫使用計画 (一般)'!$A$1:$BF$391,MATCH($C6,'在庫使用計画 (一般)'!$C$1:$C$391,0),MATCH(BG$1,'在庫使用計画 (一般)'!$A$1:$BF$1,0))*1,0),
_xlpm._法人検索,IFERROR(INDEX('在庫使用計画 (法人)'!$A$1:$BF$391,MATCH($C6,'在庫使用計画 (法人)'!$C$1:$C$391,0),MATCH(BG$1,'在庫使用計画 (法人)'!$A$1:$BF$1,0))*1,0),
_xlpm._合計,_xlpm._一般検索+_xlpm._法人検索,
IF(_xlpm._合計=0,"",_xlpm._合計)
)</f>
        <v/>
      </c>
      <c r="BH6" s="804" t="str">
        <f>_xlfn.LET(
_xlpm._一般検索,IFERROR(INDEX('在庫使用計画 (一般)'!$A$1:$BF$391,MATCH($C6,'在庫使用計画 (一般)'!$C$1:$C$391,0),MATCH(BH$1,'在庫使用計画 (一般)'!$A$1:$BF$1,0))*1,0),
_xlpm._法人検索,IFERROR(INDEX('在庫使用計画 (法人)'!$A$1:$BF$391,MATCH($C6,'在庫使用計画 (法人)'!$C$1:$C$391,0),MATCH(BH$1,'在庫使用計画 (法人)'!$A$1:$BF$1,0))*1,0),
_xlpm._合計,_xlpm._一般検索+_xlpm._法人検索,
IF(_xlpm._合計=0,"",_xlpm._合計)
)</f>
        <v/>
      </c>
      <c r="BI6" s="224" t="str">
        <f>_xlfn.LET(
_xlpm._一般検索,IFERROR(INDEX('在庫使用計画 (一般)'!$A$1:$BF$391,MATCH($C6,'在庫使用計画 (一般)'!$C$1:$C$391,0),MATCH(BI$1,'在庫使用計画 (一般)'!$A$1:$BF$1,0))*1,0),
_xlpm._法人検索,IFERROR(INDEX('在庫使用計画 (法人)'!$A$1:$BF$391,MATCH($C6,'在庫使用計画 (法人)'!$C$1:$C$391,0),MATCH(BI$1,'在庫使用計画 (法人)'!$A$1:$BF$1,0))*1,0),
_xlpm._合計,_xlpm._一般検索+_xlpm._法人検索,
IF(_xlpm._合計=0,"",_xlpm._合計)
)</f>
        <v/>
      </c>
      <c r="BJ6" s="224" t="str">
        <f>_xlfn.LET(
_xlpm._一般検索,IFERROR(INDEX('在庫使用計画 (一般)'!$A$1:$BF$391,MATCH($C6,'在庫使用計画 (一般)'!$C$1:$C$391,0),MATCH(BJ$1,'在庫使用計画 (一般)'!$A$1:$BF$1,0))*1,0),
_xlpm._法人検索,IFERROR(INDEX('在庫使用計画 (法人)'!$A$1:$BF$391,MATCH($C6,'在庫使用計画 (法人)'!$C$1:$C$391,0),MATCH(BJ$1,'在庫使用計画 (法人)'!$A$1:$BF$1,0))*1,0),
_xlpm._合計,_xlpm._一般検索+_xlpm._法人検索,
IF(_xlpm._合計=0,"",_xlpm._合計)
)</f>
        <v/>
      </c>
      <c r="BK6" s="224" t="str">
        <f>_xlfn.LET(
_xlpm._一般検索,IFERROR(INDEX('在庫使用計画 (一般)'!$A$1:$BF$391,MATCH($C6,'在庫使用計画 (一般)'!$C$1:$C$391,0),MATCH(BK$1,'在庫使用計画 (一般)'!$A$1:$BF$1,0))*1,0),
_xlpm._法人検索,IFERROR(INDEX('在庫使用計画 (法人)'!$A$1:$BF$391,MATCH($C6,'在庫使用計画 (法人)'!$C$1:$C$391,0),MATCH(BK$1,'在庫使用計画 (法人)'!$A$1:$BF$1,0))*1,0),
_xlpm._合計,_xlpm._一般検索+_xlpm._法人検索,
IF(_xlpm._合計=0,"",_xlpm._合計)
)</f>
        <v/>
      </c>
      <c r="BL6" s="224" t="str">
        <f>_xlfn.LET(
_xlpm._一般検索,IFERROR(INDEX('在庫使用計画 (一般)'!$A$1:$BF$391,MATCH($C6,'在庫使用計画 (一般)'!$C$1:$C$391,0),MATCH(BL$1,'在庫使用計画 (一般)'!$A$1:$BF$1,0))*1,0),
_xlpm._法人検索,IFERROR(INDEX('在庫使用計画 (法人)'!$A$1:$BF$391,MATCH($C6,'在庫使用計画 (法人)'!$C$1:$C$391,0),MATCH(BL$1,'在庫使用計画 (法人)'!$A$1:$BF$1,0))*1,0),
_xlpm._合計,_xlpm._一般検索+_xlpm._法人検索,
IF(_xlpm._合計=0,"",_xlpm._合計)
)</f>
        <v/>
      </c>
      <c r="BM6" s="224" t="str">
        <f>_xlfn.LET(
_xlpm._一般検索,IFERROR(INDEX('在庫使用計画 (一般)'!$A$1:$BF$391,MATCH($C6,'在庫使用計画 (一般)'!$C$1:$C$391,0),MATCH(BM$1,'在庫使用計画 (一般)'!$A$1:$BF$1,0))*1,0),
_xlpm._法人検索,IFERROR(INDEX('在庫使用計画 (法人)'!$A$1:$BF$391,MATCH($C6,'在庫使用計画 (法人)'!$C$1:$C$391,0),MATCH(BM$1,'在庫使用計画 (法人)'!$A$1:$BF$1,0))*1,0),
_xlpm._合計,_xlpm._一般検索+_xlpm._法人検索,
IF(_xlpm._合計=0,"",_xlpm._合計)
)</f>
        <v/>
      </c>
      <c r="BN6" s="224" t="str">
        <f>_xlfn.LET(
_xlpm._一般検索,IFERROR(INDEX('在庫使用計画 (一般)'!$A$1:$BF$391,MATCH($C6,'在庫使用計画 (一般)'!$C$1:$C$391,0),MATCH(BN$1,'在庫使用計画 (一般)'!$A$1:$BF$1,0))*1,0),
_xlpm._法人検索,IFERROR(INDEX('在庫使用計画 (法人)'!$A$1:$BF$391,MATCH($C6,'在庫使用計画 (法人)'!$C$1:$C$391,0),MATCH(BN$1,'在庫使用計画 (法人)'!$A$1:$BF$1,0))*1,0),
_xlpm._合計,_xlpm._一般検索+_xlpm._法人検索,
IF(_xlpm._合計=0,"",_xlpm._合計)
)</f>
        <v/>
      </c>
      <c r="BO6" s="224" t="str">
        <f>_xlfn.LET(
_xlpm._一般検索,IFERROR(INDEX('在庫使用計画 (一般)'!$A$1:$BF$391,MATCH($C6,'在庫使用計画 (一般)'!$C$1:$C$391,0),MATCH(BO$1,'在庫使用計画 (一般)'!$A$1:$BF$1,0))*1,0),
_xlpm._法人検索,IFERROR(INDEX('在庫使用計画 (法人)'!$A$1:$BF$391,MATCH($C6,'在庫使用計画 (法人)'!$C$1:$C$391,0),MATCH(BO$1,'在庫使用計画 (法人)'!$A$1:$BF$1,0))*1,0),
_xlpm._合計,_xlpm._一般検索+_xlpm._法人検索,
IF(_xlpm._合計=0,"",_xlpm._合計)
)</f>
        <v/>
      </c>
      <c r="BP6" s="224" t="str">
        <f>_xlfn.LET(
_xlpm._一般検索,IFERROR(INDEX('在庫使用計画 (一般)'!$A$1:$BF$391,MATCH($C6,'在庫使用計画 (一般)'!$C$1:$C$391,0),MATCH(BP$1,'在庫使用計画 (一般)'!$A$1:$BF$1,0))*1,0),
_xlpm._法人検索,IFERROR(INDEX('在庫使用計画 (法人)'!$A$1:$BF$391,MATCH($C6,'在庫使用計画 (法人)'!$C$1:$C$391,0),MATCH(BP$1,'在庫使用計画 (法人)'!$A$1:$BF$1,0))*1,0),
_xlpm._合計,_xlpm._一般検索+_xlpm._法人検索,
IF(_xlpm._合計=0,"",_xlpm._合計)
)</f>
        <v/>
      </c>
      <c r="BQ6" s="224" t="str">
        <f>_xlfn.LET(
_xlpm._一般検索,IFERROR(INDEX('在庫使用計画 (一般)'!$A$1:$BF$391,MATCH($C6,'在庫使用計画 (一般)'!$C$1:$C$391,0),MATCH(BQ$1,'在庫使用計画 (一般)'!$A$1:$BF$1,0))*1,0),
_xlpm._法人検索,IFERROR(INDEX('在庫使用計画 (法人)'!$A$1:$BF$391,MATCH($C6,'在庫使用計画 (法人)'!$C$1:$C$391,0),MATCH(BQ$1,'在庫使用計画 (法人)'!$A$1:$BF$1,0))*1,0),
_xlpm._合計,_xlpm._一般検索+_xlpm._法人検索,
IF(_xlpm._合計=0,"",_xlpm._合計)
)</f>
        <v/>
      </c>
      <c r="BR6" s="224" t="str">
        <f>_xlfn.LET(
_xlpm._一般検索,IFERROR(INDEX('在庫使用計画 (一般)'!$A$1:$BF$391,MATCH($C6,'在庫使用計画 (一般)'!$C$1:$C$391,0),MATCH(BR$1,'在庫使用計画 (一般)'!$A$1:$BF$1,0))*1,0),
_xlpm._法人検索,IFERROR(INDEX('在庫使用計画 (法人)'!$A$1:$BF$391,MATCH($C6,'在庫使用計画 (法人)'!$C$1:$C$391,0),MATCH(BR$1,'在庫使用計画 (法人)'!$A$1:$BF$1,0))*1,0),
_xlpm._合計,_xlpm._一般検索+_xlpm._法人検索,
IF(_xlpm._合計=0,"",_xlpm._合計)
)</f>
        <v/>
      </c>
      <c r="BS6" s="805" t="str">
        <f>_xlfn.LET(
_xlpm._一般検索,IFERROR(INDEX('在庫使用計画 (一般)'!$A$1:$BF$391,MATCH($C6,'在庫使用計画 (一般)'!$C$1:$C$391,0),MATCH(BS$1,'在庫使用計画 (一般)'!$A$1:$BF$1,0))*1,0),
_xlpm._法人検索,IFERROR(INDEX('在庫使用計画 (法人)'!$A$1:$BF$391,MATCH($C6,'在庫使用計画 (法人)'!$C$1:$C$391,0),MATCH(BS$1,'在庫使用計画 (法人)'!$A$1:$BF$1,0))*1,0),
_xlpm._合計,_xlpm._一般検索+_xlpm._法人検索,
IF(_xlpm._合計=0,"",_xlpm._合計)
)</f>
        <v/>
      </c>
      <c r="BT6" s="21"/>
    </row>
    <row r="7" spans="1:72" customFormat="1" ht="18.75" customHeight="1" thickBot="1">
      <c r="A7" s="1059" t="s">
        <v>1632</v>
      </c>
      <c r="B7" s="26" t="str">
        <v>UNW-K-9955HX-5070Ti-L6</v>
      </c>
      <c r="C7" s="373" t="s">
        <v>1350</v>
      </c>
      <c r="D7" s="2154">
        <v>1306</v>
      </c>
      <c r="E7" s="26" t="s">
        <v>1719</v>
      </c>
      <c r="F7" s="24" t="s">
        <v>20</v>
      </c>
      <c r="G7" s="74">
        <v>11</v>
      </c>
      <c r="H7" s="38">
        <v>11</v>
      </c>
      <c r="I7" s="38" cm="1">
        <f t="array" ref="I7">IF($C7="","",
_xlfn.LET(
  _xlpm._見出し,$A$1:$BT$1,
  _xlpm._行,$A7:$BT7,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0</v>
      </c>
      <c r="J7" s="74" cm="1">
        <f t="array" ref="J7">_xlfn.LET(
  _xlpm._見出し,$A$1:$BS$1,
  _xlpm._行,$A7:$BS7,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IF($C7="","",_xlpm._四点五月計画合計)
)</f>
        <v>0</v>
      </c>
      <c r="K7" s="1458" t="str" cm="1">
        <f t="array" ref="K7">_xlfn.IFS(
  $C7="","",
  $G7="","発売前？",
  $G7=0,"在庫無し",
  TRUE,
  IFERROR(
    _xlfn.LET(
      _xlpm._在庫注残,     $G7,
      _xlpm._しきい値,     _xlpm._在庫注残 * 0.75,
      _xlpm._見出し元,     $L$1:$BU$1,
      _xlpm._計画,         $L7:$BU7,
      _xlpm._最新実績日,       基準データ!$C$5,
      _xlpm._今月1日,      EOMONTH(_xlpm._最新実績日, -1) + 1,
      _xlpm._月末日,       EOMONTH(_xlpm._最新実績日, 0),
      _xlpm._今月位置,     _xlfn.XMATCH(_xlpm._今月1日, _xlpm._見出し元),
      _xlpm._今月計画按分, N(INDEX(_xlpm._計画, 1, _xlpm._今月位置))
                      * (_xlpm._月末日 - _xlpm._最新実績日)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計画なし</v>
      </c>
      <c r="L7" s="38"/>
      <c r="M7" s="38"/>
      <c r="N7" s="38"/>
      <c r="O7" s="38"/>
      <c r="P7" s="38"/>
      <c r="Q7" s="38"/>
      <c r="R7" s="38"/>
      <c r="S7" s="38"/>
      <c r="T7" s="219"/>
      <c r="U7" s="219"/>
      <c r="V7" s="219"/>
      <c r="W7" s="298"/>
      <c r="X7" s="299"/>
      <c r="Y7" s="299"/>
      <c r="Z7" s="444" t="s">
        <v>21</v>
      </c>
      <c r="AA7" s="470" t="s">
        <v>21</v>
      </c>
      <c r="AB7" s="224">
        <v>85</v>
      </c>
      <c r="AC7" s="224">
        <v>156.375</v>
      </c>
      <c r="AD7" s="224">
        <v>177.36729976102956</v>
      </c>
      <c r="AE7" s="224">
        <v>136.53633094634384</v>
      </c>
      <c r="AF7" s="224">
        <v>167.52876902403332</v>
      </c>
      <c r="AG7" s="224">
        <v>105.02560401614882</v>
      </c>
      <c r="AH7" s="224">
        <v>101.61759909510482</v>
      </c>
      <c r="AI7" s="237">
        <v>46.166666666666671</v>
      </c>
      <c r="AJ7" s="804">
        <v>41</v>
      </c>
      <c r="AK7" s="224">
        <v>80.12705705841249</v>
      </c>
      <c r="AL7" s="224">
        <v>59.933108910309755</v>
      </c>
      <c r="AM7" s="224">
        <v>42.098212027042713</v>
      </c>
      <c r="AN7" s="224">
        <f>_xlfn.LET(
_xlpm._一般検索,IFERROR(INDEX('在庫使用計画 (一般)'!$A$1:$BF$391,MATCH($C7,'在庫使用計画 (一般)'!$C$1:$C$391,0),MATCH(AN$1,'在庫使用計画 (一般)'!$A$1:$BF$1,0))*1,0),
_xlpm._法人検索,IFERROR(INDEX('在庫使用計画 (法人)'!$A$1:$BF$391,MATCH($C7,'在庫使用計画 (法人)'!$C$1:$C$391,0),MATCH(AN$1,'在庫使用計画 (法人)'!$A$1:$BF$1,0))*1,0),
_xlpm._合計,_xlpm._一般検索+_xlpm._法人検索,
IF(_xlpm._合計=0,"",_xlpm._合計)
)</f>
        <v>50</v>
      </c>
      <c r="AO7" s="224">
        <f>_xlfn.LET(
_xlpm._一般検索,IFERROR(INDEX('在庫使用計画 (一般)'!$A$1:$BF$391,MATCH($C7,'在庫使用計画 (一般)'!$C$1:$C$391,0),MATCH(AO$1,'在庫使用計画 (一般)'!$A$1:$BF$1,0))*1,0),
_xlpm._法人検索,IFERROR(INDEX('在庫使用計画 (法人)'!$A$1:$BF$391,MATCH($C7,'在庫使用計画 (法人)'!$C$1:$C$391,0),MATCH(AO$1,'在庫使用計画 (法人)'!$A$1:$BF$1,0))*1,0),
_xlpm._合計,_xlpm._一般検索+_xlpm._法人検索,
IF(_xlpm._合計=0,"",_xlpm._合計)
)</f>
        <v>23</v>
      </c>
      <c r="AP7" s="224" t="str">
        <f>_xlfn.LET(
_xlpm._一般検索,IFERROR(INDEX('在庫使用計画 (一般)'!$A$1:$BF$391,MATCH($C7,'在庫使用計画 (一般)'!$C$1:$C$391,0),MATCH(AP$1,'在庫使用計画 (一般)'!$A$1:$BF$1,0))*1,0),
_xlpm._法人検索,IFERROR(INDEX('在庫使用計画 (法人)'!$A$1:$BF$391,MATCH($C7,'在庫使用計画 (法人)'!$C$1:$C$391,0),MATCH(AP$1,'在庫使用計画 (法人)'!$A$1:$BF$1,0))*1,0),
_xlpm._合計,_xlpm._一般検索+_xlpm._法人検索,
IF(_xlpm._合計=0,"",_xlpm._合計)
)</f>
        <v/>
      </c>
      <c r="AQ7" s="224" t="str">
        <f>_xlfn.LET(
_xlpm._一般検索,IFERROR(INDEX('在庫使用計画 (一般)'!$A$1:$BF$391,MATCH($C7,'在庫使用計画 (一般)'!$C$1:$C$391,0),MATCH(AQ$1,'在庫使用計画 (一般)'!$A$1:$BF$1,0))*1,0),
_xlpm._法人検索,IFERROR(INDEX('在庫使用計画 (法人)'!$A$1:$BF$391,MATCH($C7,'在庫使用計画 (法人)'!$C$1:$C$391,0),MATCH(AQ$1,'在庫使用計画 (法人)'!$A$1:$BF$1,0))*1,0),
_xlpm._合計,_xlpm._一般検索+_xlpm._法人検索,
IF(_xlpm._合計=0,"",_xlpm._合計)
)</f>
        <v/>
      </c>
      <c r="AR7" s="224" t="str">
        <f>_xlfn.LET(
_xlpm._一般検索,IFERROR(INDEX('在庫使用計画 (一般)'!$A$1:$BF$391,MATCH($C7,'在庫使用計画 (一般)'!$C$1:$C$391,0),MATCH(AR$1,'在庫使用計画 (一般)'!$A$1:$BF$1,0))*1,0),
_xlpm._法人検索,IFERROR(INDEX('在庫使用計画 (法人)'!$A$1:$BF$391,MATCH($C7,'在庫使用計画 (法人)'!$C$1:$C$391,0),MATCH(AR$1,'在庫使用計画 (法人)'!$A$1:$BF$1,0))*1,0),
_xlpm._合計,_xlpm._一般検索+_xlpm._法人検索,
IF(_xlpm._合計=0,"",_xlpm._合計)
)</f>
        <v/>
      </c>
      <c r="AS7" s="224" t="str">
        <f>_xlfn.LET(
_xlpm._一般検索,IFERROR(INDEX('在庫使用計画 (一般)'!$A$1:$BF$391,MATCH($C7,'在庫使用計画 (一般)'!$C$1:$C$391,0),MATCH(AS$1,'在庫使用計画 (一般)'!$A$1:$BF$1,0))*1,0),
_xlpm._法人検索,IFERROR(INDEX('在庫使用計画 (法人)'!$A$1:$BF$391,MATCH($C7,'在庫使用計画 (法人)'!$C$1:$C$391,0),MATCH(AS$1,'在庫使用計画 (法人)'!$A$1:$BF$1,0))*1,0),
_xlpm._合計,_xlpm._一般検索+_xlpm._法人検索,
IF(_xlpm._合計=0,"",_xlpm._合計)
)</f>
        <v/>
      </c>
      <c r="AT7" s="224" t="str">
        <f>_xlfn.LET(
_xlpm._一般検索,IFERROR(INDEX('在庫使用計画 (一般)'!$A$1:$BF$391,MATCH($C7,'在庫使用計画 (一般)'!$C$1:$C$391,0),MATCH(AT$1,'在庫使用計画 (一般)'!$A$1:$BF$1,0))*1,0),
_xlpm._法人検索,IFERROR(INDEX('在庫使用計画 (法人)'!$A$1:$BF$391,MATCH($C7,'在庫使用計画 (法人)'!$C$1:$C$391,0),MATCH(AT$1,'在庫使用計画 (法人)'!$A$1:$BF$1,0))*1,0),
_xlpm._合計,_xlpm._一般検索+_xlpm._法人検索,
IF(_xlpm._合計=0,"",_xlpm._合計)
)</f>
        <v/>
      </c>
      <c r="AU7" s="805" t="str">
        <f>_xlfn.LET(
_xlpm._一般検索,IFERROR(INDEX('在庫使用計画 (一般)'!$A$1:$BF$391,MATCH($C7,'在庫使用計画 (一般)'!$C$1:$C$391,0),MATCH(AU$1,'在庫使用計画 (一般)'!$A$1:$BF$1,0))*1,0),
_xlpm._法人検索,IFERROR(INDEX('在庫使用計画 (法人)'!$A$1:$BF$391,MATCH($C7,'在庫使用計画 (法人)'!$C$1:$C$391,0),MATCH(AU$1,'在庫使用計画 (法人)'!$A$1:$BF$1,0))*1,0),
_xlpm._合計,_xlpm._一般検索+_xlpm._法人検索,
IF(_xlpm._合計=0,"",_xlpm._合計)
)</f>
        <v/>
      </c>
      <c r="AV7" s="244" t="str">
        <f>_xlfn.LET(
_xlpm._一般検索,IFERROR(INDEX('在庫使用計画 (一般)'!$A$1:$BF$391,MATCH($C7,'在庫使用計画 (一般)'!$C$1:$C$391,0),MATCH(AV$1,'在庫使用計画 (一般)'!$A$1:$BF$1,0))*1,0),
_xlpm._法人検索,IFERROR(INDEX('在庫使用計画 (法人)'!$A$1:$BF$391,MATCH($C7,'在庫使用計画 (法人)'!$C$1:$C$391,0),MATCH(AV$1,'在庫使用計画 (法人)'!$A$1:$BF$1,0))*1,0),
_xlpm._合計,_xlpm._一般検索+_xlpm._法人検索,
IF(_xlpm._合計=0,"",_xlpm._合計)
)</f>
        <v/>
      </c>
      <c r="AW7" s="224" t="str">
        <f>_xlfn.LET(
_xlpm._一般検索,IFERROR(INDEX('在庫使用計画 (一般)'!$A$1:$BF$391,MATCH($C7,'在庫使用計画 (一般)'!$C$1:$C$391,0),MATCH(AW$1,'在庫使用計画 (一般)'!$A$1:$BF$1,0))*1,0),
_xlpm._法人検索,IFERROR(INDEX('在庫使用計画 (法人)'!$A$1:$BF$391,MATCH($C7,'在庫使用計画 (法人)'!$C$1:$C$391,0),MATCH(AW$1,'在庫使用計画 (法人)'!$A$1:$BF$1,0))*1,0),
_xlpm._合計,_xlpm._一般検索+_xlpm._法人検索,
IF(_xlpm._合計=0,"",_xlpm._合計)
)</f>
        <v/>
      </c>
      <c r="AX7" s="224" t="str">
        <f>_xlfn.LET(
_xlpm._一般検索,IFERROR(INDEX('在庫使用計画 (一般)'!$A$1:$BF$391,MATCH($C7,'在庫使用計画 (一般)'!$C$1:$C$391,0),MATCH(AX$1,'在庫使用計画 (一般)'!$A$1:$BF$1,0))*1,0),
_xlpm._法人検索,IFERROR(INDEX('在庫使用計画 (法人)'!$A$1:$BF$391,MATCH($C7,'在庫使用計画 (法人)'!$C$1:$C$391,0),MATCH(AX$1,'在庫使用計画 (法人)'!$A$1:$BF$1,0))*1,0),
_xlpm._合計,_xlpm._一般検索+_xlpm._法人検索,
IF(_xlpm._合計=0,"",_xlpm._合計)
)</f>
        <v/>
      </c>
      <c r="AY7" s="224" t="str">
        <f>_xlfn.LET(
_xlpm._一般検索,IFERROR(INDEX('在庫使用計画 (一般)'!$A$1:$BF$391,MATCH($C7,'在庫使用計画 (一般)'!$C$1:$C$391,0),MATCH(AY$1,'在庫使用計画 (一般)'!$A$1:$BF$1,0))*1,0),
_xlpm._法人検索,IFERROR(INDEX('在庫使用計画 (法人)'!$A$1:$BF$391,MATCH($C7,'在庫使用計画 (法人)'!$C$1:$C$391,0),MATCH(AY$1,'在庫使用計画 (法人)'!$A$1:$BF$1,0))*1,0),
_xlpm._合計,_xlpm._一般検索+_xlpm._法人検索,
IF(_xlpm._合計=0,"",_xlpm._合計)
)</f>
        <v/>
      </c>
      <c r="AZ7" s="224" t="str">
        <f>_xlfn.LET(
_xlpm._一般検索,IFERROR(INDEX('在庫使用計画 (一般)'!$A$1:$BF$391,MATCH($C7,'在庫使用計画 (一般)'!$C$1:$C$391,0),MATCH(AZ$1,'在庫使用計画 (一般)'!$A$1:$BF$1,0))*1,0),
_xlpm._法人検索,IFERROR(INDEX('在庫使用計画 (法人)'!$A$1:$BF$391,MATCH($C7,'在庫使用計画 (法人)'!$C$1:$C$391,0),MATCH(AZ$1,'在庫使用計画 (法人)'!$A$1:$BF$1,0))*1,0),
_xlpm._合計,_xlpm._一般検索+_xlpm._法人検索,
IF(_xlpm._合計=0,"",_xlpm._合計)
)</f>
        <v/>
      </c>
      <c r="BA7" s="224" t="str">
        <f>_xlfn.LET(
_xlpm._一般検索,IFERROR(INDEX('在庫使用計画 (一般)'!$A$1:$BF$391,MATCH($C7,'在庫使用計画 (一般)'!$C$1:$C$391,0),MATCH(BA$1,'在庫使用計画 (一般)'!$A$1:$BF$1,0))*1,0),
_xlpm._法人検索,IFERROR(INDEX('在庫使用計画 (法人)'!$A$1:$BF$391,MATCH($C7,'在庫使用計画 (法人)'!$C$1:$C$391,0),MATCH(BA$1,'在庫使用計画 (法人)'!$A$1:$BF$1,0))*1,0),
_xlpm._合計,_xlpm._一般検索+_xlpm._法人検索,
IF(_xlpm._合計=0,"",_xlpm._合計)
)</f>
        <v/>
      </c>
      <c r="BB7" s="224" t="str">
        <f>_xlfn.LET(
_xlpm._一般検索,IFERROR(INDEX('在庫使用計画 (一般)'!$A$1:$BF$391,MATCH($C7,'在庫使用計画 (一般)'!$C$1:$C$391,0),MATCH(BB$1,'在庫使用計画 (一般)'!$A$1:$BF$1,0))*1,0),
_xlpm._法人検索,IFERROR(INDEX('在庫使用計画 (法人)'!$A$1:$BF$391,MATCH($C7,'在庫使用計画 (法人)'!$C$1:$C$391,0),MATCH(BB$1,'在庫使用計画 (法人)'!$A$1:$BF$1,0))*1,0),
_xlpm._合計,_xlpm._一般検索+_xlpm._法人検索,
IF(_xlpm._合計=0,"",_xlpm._合計)
)</f>
        <v/>
      </c>
      <c r="BC7" s="224" t="str">
        <f>_xlfn.LET(
_xlpm._一般検索,IFERROR(INDEX('在庫使用計画 (一般)'!$A$1:$BF$391,MATCH($C7,'在庫使用計画 (一般)'!$C$1:$C$391,0),MATCH(BC$1,'在庫使用計画 (一般)'!$A$1:$BF$1,0))*1,0),
_xlpm._法人検索,IFERROR(INDEX('在庫使用計画 (法人)'!$A$1:$BF$391,MATCH($C7,'在庫使用計画 (法人)'!$C$1:$C$391,0),MATCH(BC$1,'在庫使用計画 (法人)'!$A$1:$BF$1,0))*1,0),
_xlpm._合計,_xlpm._一般検索+_xlpm._法人検索,
IF(_xlpm._合計=0,"",_xlpm._合計)
)</f>
        <v/>
      </c>
      <c r="BD7" s="224" t="str">
        <f>_xlfn.LET(
_xlpm._一般検索,IFERROR(INDEX('在庫使用計画 (一般)'!$A$1:$BF$391,MATCH($C7,'在庫使用計画 (一般)'!$C$1:$C$391,0),MATCH(BD$1,'在庫使用計画 (一般)'!$A$1:$BF$1,0))*1,0),
_xlpm._法人検索,IFERROR(INDEX('在庫使用計画 (法人)'!$A$1:$BF$391,MATCH($C7,'在庫使用計画 (法人)'!$C$1:$C$391,0),MATCH(BD$1,'在庫使用計画 (法人)'!$A$1:$BF$1,0))*1,0),
_xlpm._合計,_xlpm._一般検索+_xlpm._法人検索,
IF(_xlpm._合計=0,"",_xlpm._合計)
)</f>
        <v/>
      </c>
      <c r="BE7" s="224" t="str">
        <f>_xlfn.LET(
_xlpm._一般検索,IFERROR(INDEX('在庫使用計画 (一般)'!$A$1:$BF$391,MATCH($C7,'在庫使用計画 (一般)'!$C$1:$C$391,0),MATCH(BE$1,'在庫使用計画 (一般)'!$A$1:$BF$1,0))*1,0),
_xlpm._法人検索,IFERROR(INDEX('在庫使用計画 (法人)'!$A$1:$BF$391,MATCH($C7,'在庫使用計画 (法人)'!$C$1:$C$391,0),MATCH(BE$1,'在庫使用計画 (法人)'!$A$1:$BF$1,0))*1,0),
_xlpm._合計,_xlpm._一般検索+_xlpm._法人検索,
IF(_xlpm._合計=0,"",_xlpm._合計)
)</f>
        <v/>
      </c>
      <c r="BF7" s="224" t="str">
        <f>_xlfn.LET(
_xlpm._一般検索,IFERROR(INDEX('在庫使用計画 (一般)'!$A$1:$BF$391,MATCH($C7,'在庫使用計画 (一般)'!$C$1:$C$391,0),MATCH(BF$1,'在庫使用計画 (一般)'!$A$1:$BF$1,0))*1,0),
_xlpm._法人検索,IFERROR(INDEX('在庫使用計画 (法人)'!$A$1:$BF$391,MATCH($C7,'在庫使用計画 (法人)'!$C$1:$C$391,0),MATCH(BF$1,'在庫使用計画 (法人)'!$A$1:$BF$1,0))*1,0),
_xlpm._合計,_xlpm._一般検索+_xlpm._法人検索,
IF(_xlpm._合計=0,"",_xlpm._合計)
)</f>
        <v/>
      </c>
      <c r="BG7" s="237" t="str">
        <f>_xlfn.LET(
_xlpm._一般検索,IFERROR(INDEX('在庫使用計画 (一般)'!$A$1:$BF$391,MATCH($C7,'在庫使用計画 (一般)'!$C$1:$C$391,0),MATCH(BG$1,'在庫使用計画 (一般)'!$A$1:$BF$1,0))*1,0),
_xlpm._法人検索,IFERROR(INDEX('在庫使用計画 (法人)'!$A$1:$BF$391,MATCH($C7,'在庫使用計画 (法人)'!$C$1:$C$391,0),MATCH(BG$1,'在庫使用計画 (法人)'!$A$1:$BF$1,0))*1,0),
_xlpm._合計,_xlpm._一般検索+_xlpm._法人検索,
IF(_xlpm._合計=0,"",_xlpm._合計)
)</f>
        <v/>
      </c>
      <c r="BH7" s="804" t="str">
        <f>_xlfn.LET(
_xlpm._一般検索,IFERROR(INDEX('在庫使用計画 (一般)'!$A$1:$BF$391,MATCH($C7,'在庫使用計画 (一般)'!$C$1:$C$391,0),MATCH(BH$1,'在庫使用計画 (一般)'!$A$1:$BF$1,0))*1,0),
_xlpm._法人検索,IFERROR(INDEX('在庫使用計画 (法人)'!$A$1:$BF$391,MATCH($C7,'在庫使用計画 (法人)'!$C$1:$C$391,0),MATCH(BH$1,'在庫使用計画 (法人)'!$A$1:$BF$1,0))*1,0),
_xlpm._合計,_xlpm._一般検索+_xlpm._法人検索,
IF(_xlpm._合計=0,"",_xlpm._合計)
)</f>
        <v/>
      </c>
      <c r="BI7" s="224" t="str">
        <f>_xlfn.LET(
_xlpm._一般検索,IFERROR(INDEX('在庫使用計画 (一般)'!$A$1:$BF$391,MATCH($C7,'在庫使用計画 (一般)'!$C$1:$C$391,0),MATCH(BI$1,'在庫使用計画 (一般)'!$A$1:$BF$1,0))*1,0),
_xlpm._法人検索,IFERROR(INDEX('在庫使用計画 (法人)'!$A$1:$BF$391,MATCH($C7,'在庫使用計画 (法人)'!$C$1:$C$391,0),MATCH(BI$1,'在庫使用計画 (法人)'!$A$1:$BF$1,0))*1,0),
_xlpm._合計,_xlpm._一般検索+_xlpm._法人検索,
IF(_xlpm._合計=0,"",_xlpm._合計)
)</f>
        <v/>
      </c>
      <c r="BJ7" s="224" t="str">
        <f>_xlfn.LET(
_xlpm._一般検索,IFERROR(INDEX('在庫使用計画 (一般)'!$A$1:$BF$391,MATCH($C7,'在庫使用計画 (一般)'!$C$1:$C$391,0),MATCH(BJ$1,'在庫使用計画 (一般)'!$A$1:$BF$1,0))*1,0),
_xlpm._法人検索,IFERROR(INDEX('在庫使用計画 (法人)'!$A$1:$BF$391,MATCH($C7,'在庫使用計画 (法人)'!$C$1:$C$391,0),MATCH(BJ$1,'在庫使用計画 (法人)'!$A$1:$BF$1,0))*1,0),
_xlpm._合計,_xlpm._一般検索+_xlpm._法人検索,
IF(_xlpm._合計=0,"",_xlpm._合計)
)</f>
        <v/>
      </c>
      <c r="BK7" s="224" t="str">
        <f>_xlfn.LET(
_xlpm._一般検索,IFERROR(INDEX('在庫使用計画 (一般)'!$A$1:$BF$391,MATCH($C7,'在庫使用計画 (一般)'!$C$1:$C$391,0),MATCH(BK$1,'在庫使用計画 (一般)'!$A$1:$BF$1,0))*1,0),
_xlpm._法人検索,IFERROR(INDEX('在庫使用計画 (法人)'!$A$1:$BF$391,MATCH($C7,'在庫使用計画 (法人)'!$C$1:$C$391,0),MATCH(BK$1,'在庫使用計画 (法人)'!$A$1:$BF$1,0))*1,0),
_xlpm._合計,_xlpm._一般検索+_xlpm._法人検索,
IF(_xlpm._合計=0,"",_xlpm._合計)
)</f>
        <v/>
      </c>
      <c r="BL7" s="224" t="str">
        <f>_xlfn.LET(
_xlpm._一般検索,IFERROR(INDEX('在庫使用計画 (一般)'!$A$1:$BF$391,MATCH($C7,'在庫使用計画 (一般)'!$C$1:$C$391,0),MATCH(BL$1,'在庫使用計画 (一般)'!$A$1:$BF$1,0))*1,0),
_xlpm._法人検索,IFERROR(INDEX('在庫使用計画 (法人)'!$A$1:$BF$391,MATCH($C7,'在庫使用計画 (法人)'!$C$1:$C$391,0),MATCH(BL$1,'在庫使用計画 (法人)'!$A$1:$BF$1,0))*1,0),
_xlpm._合計,_xlpm._一般検索+_xlpm._法人検索,
IF(_xlpm._合計=0,"",_xlpm._合計)
)</f>
        <v/>
      </c>
      <c r="BM7" s="224" t="str">
        <f>_xlfn.LET(
_xlpm._一般検索,IFERROR(INDEX('在庫使用計画 (一般)'!$A$1:$BF$391,MATCH($C7,'在庫使用計画 (一般)'!$C$1:$C$391,0),MATCH(BM$1,'在庫使用計画 (一般)'!$A$1:$BF$1,0))*1,0),
_xlpm._法人検索,IFERROR(INDEX('在庫使用計画 (法人)'!$A$1:$BF$391,MATCH($C7,'在庫使用計画 (法人)'!$C$1:$C$391,0),MATCH(BM$1,'在庫使用計画 (法人)'!$A$1:$BF$1,0))*1,0),
_xlpm._合計,_xlpm._一般検索+_xlpm._法人検索,
IF(_xlpm._合計=0,"",_xlpm._合計)
)</f>
        <v/>
      </c>
      <c r="BN7" s="224" t="str">
        <f>_xlfn.LET(
_xlpm._一般検索,IFERROR(INDEX('在庫使用計画 (一般)'!$A$1:$BF$391,MATCH($C7,'在庫使用計画 (一般)'!$C$1:$C$391,0),MATCH(BN$1,'在庫使用計画 (一般)'!$A$1:$BF$1,0))*1,0),
_xlpm._法人検索,IFERROR(INDEX('在庫使用計画 (法人)'!$A$1:$BF$391,MATCH($C7,'在庫使用計画 (法人)'!$C$1:$C$391,0),MATCH(BN$1,'在庫使用計画 (法人)'!$A$1:$BF$1,0))*1,0),
_xlpm._合計,_xlpm._一般検索+_xlpm._法人検索,
IF(_xlpm._合計=0,"",_xlpm._合計)
)</f>
        <v/>
      </c>
      <c r="BO7" s="224" t="str">
        <f>_xlfn.LET(
_xlpm._一般検索,IFERROR(INDEX('在庫使用計画 (一般)'!$A$1:$BF$391,MATCH($C7,'在庫使用計画 (一般)'!$C$1:$C$391,0),MATCH(BO$1,'在庫使用計画 (一般)'!$A$1:$BF$1,0))*1,0),
_xlpm._法人検索,IFERROR(INDEX('在庫使用計画 (法人)'!$A$1:$BF$391,MATCH($C7,'在庫使用計画 (法人)'!$C$1:$C$391,0),MATCH(BO$1,'在庫使用計画 (法人)'!$A$1:$BF$1,0))*1,0),
_xlpm._合計,_xlpm._一般検索+_xlpm._法人検索,
IF(_xlpm._合計=0,"",_xlpm._合計)
)</f>
        <v/>
      </c>
      <c r="BP7" s="224" t="str">
        <f>_xlfn.LET(
_xlpm._一般検索,IFERROR(INDEX('在庫使用計画 (一般)'!$A$1:$BF$391,MATCH($C7,'在庫使用計画 (一般)'!$C$1:$C$391,0),MATCH(BP$1,'在庫使用計画 (一般)'!$A$1:$BF$1,0))*1,0),
_xlpm._法人検索,IFERROR(INDEX('在庫使用計画 (法人)'!$A$1:$BF$391,MATCH($C7,'在庫使用計画 (法人)'!$C$1:$C$391,0),MATCH(BP$1,'在庫使用計画 (法人)'!$A$1:$BF$1,0))*1,0),
_xlpm._合計,_xlpm._一般検索+_xlpm._法人検索,
IF(_xlpm._合計=0,"",_xlpm._合計)
)</f>
        <v/>
      </c>
      <c r="BQ7" s="224" t="str">
        <f>_xlfn.LET(
_xlpm._一般検索,IFERROR(INDEX('在庫使用計画 (一般)'!$A$1:$BF$391,MATCH($C7,'在庫使用計画 (一般)'!$C$1:$C$391,0),MATCH(BQ$1,'在庫使用計画 (一般)'!$A$1:$BF$1,0))*1,0),
_xlpm._法人検索,IFERROR(INDEX('在庫使用計画 (法人)'!$A$1:$BF$391,MATCH($C7,'在庫使用計画 (法人)'!$C$1:$C$391,0),MATCH(BQ$1,'在庫使用計画 (法人)'!$A$1:$BF$1,0))*1,0),
_xlpm._合計,_xlpm._一般検索+_xlpm._法人検索,
IF(_xlpm._合計=0,"",_xlpm._合計)
)</f>
        <v/>
      </c>
      <c r="BR7" s="224" t="str">
        <f>_xlfn.LET(
_xlpm._一般検索,IFERROR(INDEX('在庫使用計画 (一般)'!$A$1:$BF$391,MATCH($C7,'在庫使用計画 (一般)'!$C$1:$C$391,0),MATCH(BR$1,'在庫使用計画 (一般)'!$A$1:$BF$1,0))*1,0),
_xlpm._法人検索,IFERROR(INDEX('在庫使用計画 (法人)'!$A$1:$BF$391,MATCH($C7,'在庫使用計画 (法人)'!$C$1:$C$391,0),MATCH(BR$1,'在庫使用計画 (法人)'!$A$1:$BF$1,0))*1,0),
_xlpm._合計,_xlpm._一般検索+_xlpm._法人検索,
IF(_xlpm._合計=0,"",_xlpm._合計)
)</f>
        <v/>
      </c>
      <c r="BS7" s="805" t="str">
        <f>_xlfn.LET(
_xlpm._一般検索,IFERROR(INDEX('在庫使用計画 (一般)'!$A$1:$BF$391,MATCH($C7,'在庫使用計画 (一般)'!$C$1:$C$391,0),MATCH(BS$1,'在庫使用計画 (一般)'!$A$1:$BF$1,0))*1,0),
_xlpm._法人検索,IFERROR(INDEX('在庫使用計画 (法人)'!$A$1:$BF$391,MATCH($C7,'在庫使用計画 (法人)'!$C$1:$C$391,0),MATCH(BS$1,'在庫使用計画 (法人)'!$A$1:$BF$1,0))*1,0),
_xlpm._合計,_xlpm._一般検索+_xlpm._法人検索,
IF(_xlpm._合計=0,"",_xlpm._合計)
)</f>
        <v/>
      </c>
      <c r="BT7" s="21"/>
    </row>
    <row r="8" spans="1:72" customFormat="1" ht="18.75" customHeight="1" thickBot="1">
      <c r="A8" s="1059" t="s">
        <v>1632</v>
      </c>
      <c r="B8" s="26" t="str">
        <v>UNW-K-275HX-5070Ti-L6</v>
      </c>
      <c r="C8" s="1435" t="s">
        <v>209</v>
      </c>
      <c r="D8" s="2154">
        <v>1676</v>
      </c>
      <c r="E8" s="1258" t="s">
        <v>1720</v>
      </c>
      <c r="F8" s="24" t="s">
        <v>20</v>
      </c>
      <c r="G8" s="74">
        <v>553</v>
      </c>
      <c r="H8" s="38">
        <v>193</v>
      </c>
      <c r="I8" s="38" cm="1">
        <f t="array" ref="I8">IF($C8="","",
_xlfn.LET(
  _xlpm._見出し,$A$1:$BT$1,
  _xlpm._行,$A8:$BT8,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537.51025661556832</v>
      </c>
      <c r="J8" s="74" cm="1">
        <f t="array" ref="J8">_xlfn.LET(
  _xlpm._見出し,$A$1:$BS$1,
  _xlpm._行,$A8:$BS8,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IF($C8="","",_xlpm._四点五月計画合計)
)</f>
        <v>628.46245387426711</v>
      </c>
      <c r="K8" s="1458" cm="1">
        <f t="array" ref="K8">_xlfn.IFS(
  $C8="","",
  $G8="","発売前？",
  $G8=0,"在庫無し",
  TRUE,
  IFERROR(
    _xlfn.LET(
      _xlpm._在庫注残,     $G8,
      _xlpm._しきい値,     _xlpm._在庫注残 * 0.75,
      _xlpm._見出し元,     $L$1:$BU$1,
      _xlpm._計画,         $L8:$BU8,
      _xlpm._最新実績日,       基準データ!$C$5,
      _xlpm._今月1日,      EOMONTH(_xlpm._最新実績日, -1) + 1,
      _xlpm._月末日,       EOMONTH(_xlpm._最新実績日, 0),
      _xlpm._今月位置,     _xlfn.XMATCH(_xlpm._今月1日, _xlpm._見出し元),
      _xlpm._今月計画按分, N(INDEX(_xlpm._計画, 1, _xlpm._今月位置))
                      * (_xlpm._月末日 - _xlpm._最新実績日)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46296</v>
      </c>
      <c r="L8" s="38"/>
      <c r="M8" s="38"/>
      <c r="N8" s="38"/>
      <c r="O8" s="38"/>
      <c r="P8" s="38"/>
      <c r="Q8" s="38"/>
      <c r="R8" s="38"/>
      <c r="S8" s="38"/>
      <c r="T8" s="219"/>
      <c r="U8" s="219"/>
      <c r="V8" s="219"/>
      <c r="W8" s="298"/>
      <c r="X8" s="299"/>
      <c r="Y8" s="299"/>
      <c r="Z8" s="299"/>
      <c r="AA8" s="299"/>
      <c r="AB8" s="299"/>
      <c r="AC8" s="299"/>
      <c r="AD8" s="224">
        <v>54</v>
      </c>
      <c r="AE8" s="224">
        <v>69</v>
      </c>
      <c r="AF8" s="224">
        <v>139.45797802548967</v>
      </c>
      <c r="AG8" s="224">
        <v>100.64802884023231</v>
      </c>
      <c r="AH8" s="224">
        <v>68.920777577795945</v>
      </c>
      <c r="AI8" s="237">
        <v>74.166666666666657</v>
      </c>
      <c r="AJ8" s="804">
        <v>90</v>
      </c>
      <c r="AK8" s="224">
        <v>49.406721008011893</v>
      </c>
      <c r="AL8" s="224">
        <v>142.36486562886643</v>
      </c>
      <c r="AM8" s="224">
        <v>44</v>
      </c>
      <c r="AN8" s="224">
        <f>_xlfn.LET(
_xlpm._一般検索,IFERROR(INDEX('在庫使用計画 (一般)'!$A$1:$BF$391,MATCH($C8,'在庫使用計画 (一般)'!$C$1:$C$391,0),MATCH(AN$1,'在庫使用計画 (一般)'!$A$1:$BF$1,0))*1,0),
_xlpm._法人検索,IFERROR(INDEX('在庫使用計画 (法人)'!$A$1:$BF$391,MATCH($C8,'在庫使用計画 (法人)'!$C$1:$C$391,0),MATCH(AN$1,'在庫使用計画 (法人)'!$A$1:$BF$1,0))*1,0),
_xlpm._合計,_xlpm._一般検索+_xlpm._法人検索,
IF(_xlpm._合計=0,"",_xlpm._合計)
)</f>
        <v>62</v>
      </c>
      <c r="AO8" s="224">
        <f>_xlfn.LET(
_xlpm._一般検索,IFERROR(INDEX('在庫使用計画 (一般)'!$A$1:$BF$391,MATCH($C8,'在庫使用計画 (一般)'!$C$1:$C$391,0),MATCH(AO$1,'在庫使用計画 (一般)'!$A$1:$BF$1,0))*1,0),
_xlpm._法人検索,IFERROR(INDEX('在庫使用計画 (法人)'!$A$1:$BF$391,MATCH($C8,'在庫使用計画 (法人)'!$C$1:$C$391,0),MATCH(AO$1,'在庫使用計画 (法人)'!$A$1:$BF$1,0))*1,0),
_xlpm._合計,_xlpm._一般検索+_xlpm._法人検索,
IF(_xlpm._合計=0,"",_xlpm._合計)
)</f>
        <v>82</v>
      </c>
      <c r="AP8" s="224">
        <f>_xlfn.LET(
_xlpm._一般検索,IFERROR(INDEX('在庫使用計画 (一般)'!$A$1:$BF$391,MATCH($C8,'在庫使用計画 (一般)'!$C$1:$C$391,0),MATCH(AP$1,'在庫使用計画 (一般)'!$A$1:$BF$1,0))*1,0),
_xlpm._法人検索,IFERROR(INDEX('在庫使用計画 (法人)'!$A$1:$BF$391,MATCH($C8,'在庫使用計画 (法人)'!$C$1:$C$391,0),MATCH(AP$1,'在庫使用計画 (法人)'!$A$1:$BF$1,0))*1,0),
_xlpm._合計,_xlpm._一般検索+_xlpm._法人検索,
IF(_xlpm._合計=0,"",_xlpm._合計)
)</f>
        <v>122</v>
      </c>
      <c r="AQ8" s="224">
        <f>_xlfn.LET(
_xlpm._一般検索,IFERROR(INDEX('在庫使用計画 (一般)'!$A$1:$BF$391,MATCH($C8,'在庫使用計画 (一般)'!$C$1:$C$391,0),MATCH(AQ$1,'在庫使用計画 (一般)'!$A$1:$BF$1,0))*1,0),
_xlpm._法人検索,IFERROR(INDEX('在庫使用計画 (法人)'!$A$1:$BF$391,MATCH($C8,'在庫使用計画 (法人)'!$C$1:$C$391,0),MATCH(AQ$1,'在庫使用計画 (法人)'!$A$1:$BF$1,0))*1,0),
_xlpm._合計,_xlpm._一般検索+_xlpm._法人検索,
IF(_xlpm._合計=0,"",_xlpm._合計)
)</f>
        <v>112</v>
      </c>
      <c r="AR8" s="224">
        <f>_xlfn.LET(
_xlpm._一般検索,IFERROR(INDEX('在庫使用計画 (一般)'!$A$1:$BF$391,MATCH($C8,'在庫使用計画 (一般)'!$C$1:$C$391,0),MATCH(AR$1,'在庫使用計画 (一般)'!$A$1:$BF$1,0))*1,0),
_xlpm._法人検索,IFERROR(INDEX('在庫使用計画 (法人)'!$A$1:$BF$391,MATCH($C8,'在庫使用計画 (法人)'!$C$1:$C$391,0),MATCH(AR$1,'在庫使用計画 (法人)'!$A$1:$BF$1,0))*1,0),
_xlpm._合計,_xlpm._一般検索+_xlpm._法人検索,
IF(_xlpm._合計=0,"",_xlpm._合計)
)</f>
        <v>160</v>
      </c>
      <c r="AS8" s="224">
        <f>_xlfn.LET(
_xlpm._一般検索,IFERROR(INDEX('在庫使用計画 (一般)'!$A$1:$BF$391,MATCH($C8,'在庫使用計画 (一般)'!$C$1:$C$391,0),MATCH(AS$1,'在庫使用計画 (一般)'!$A$1:$BF$1,0))*1,0),
_xlpm._法人検索,IFERROR(INDEX('在庫使用計画 (法人)'!$A$1:$BF$391,MATCH($C8,'在庫使用計画 (法人)'!$C$1:$C$391,0),MATCH(AS$1,'在庫使用計画 (法人)'!$A$1:$BF$1,0))*1,0),
_xlpm._合計,_xlpm._一般検索+_xlpm._法人検索,
IF(_xlpm._合計=0,"",_xlpm._合計)
)</f>
        <v>143.51025661556838</v>
      </c>
      <c r="AT8" s="224">
        <f>_xlfn.LET(
_xlpm._一般検索,IFERROR(INDEX('在庫使用計画 (一般)'!$A$1:$BF$391,MATCH($C8,'在庫使用計画 (一般)'!$C$1:$C$391,0),MATCH(AT$1,'在庫使用計画 (一般)'!$A$1:$BF$1,0))*1,0),
_xlpm._法人検索,IFERROR(INDEX('在庫使用計画 (法人)'!$A$1:$BF$391,MATCH($C8,'在庫使用計画 (法人)'!$C$1:$C$391,0),MATCH(AT$1,'在庫使用計画 (法人)'!$A$1:$BF$1,0))*1,0),
_xlpm._合計,_xlpm._一般検索+_xlpm._法人検索,
IF(_xlpm._合計=0,"",_xlpm._合計)
)</f>
        <v>151.95219725869876</v>
      </c>
      <c r="AU8" s="805">
        <f>_xlfn.LET(
_xlpm._一般検索,IFERROR(INDEX('在庫使用計画 (一般)'!$A$1:$BF$391,MATCH($C8,'在庫使用計画 (一般)'!$C$1:$C$391,0),MATCH(AU$1,'在庫使用計画 (一般)'!$A$1:$BF$1,0))*1,0),
_xlpm._法人検索,IFERROR(INDEX('在庫使用計画 (法人)'!$A$1:$BF$391,MATCH($C8,'在庫使用計画 (法人)'!$C$1:$C$391,0),MATCH(AU$1,'在庫使用計画 (法人)'!$A$1:$BF$1,0))*1,0),
_xlpm._合計,_xlpm._一般検索+_xlpm._法人検索,
IF(_xlpm._合計=0,"",_xlpm._合計)
)</f>
        <v>201.71740676877573</v>
      </c>
      <c r="AV8" s="244">
        <f>_xlfn.LET(
_xlpm._一般検索,IFERROR(INDEX('在庫使用計画 (一般)'!$A$1:$BF$391,MATCH($C8,'在庫使用計画 (一般)'!$C$1:$C$391,0),MATCH(AV$1,'在庫使用計画 (一般)'!$A$1:$BF$1,0))*1,0),
_xlpm._法人検索,IFERROR(INDEX('在庫使用計画 (法人)'!$A$1:$BF$391,MATCH($C8,'在庫使用計画 (法人)'!$C$1:$C$391,0),MATCH(AV$1,'在庫使用計画 (法人)'!$A$1:$BF$1,0))*1,0),
_xlpm._合計,_xlpm._一般検索+_xlpm._法人検索,
IF(_xlpm._合計=0,"",_xlpm._合計)
)</f>
        <v>164.32183623014137</v>
      </c>
      <c r="AW8" s="224">
        <f>_xlfn.LET(
_xlpm._一般検索,IFERROR(INDEX('在庫使用計画 (一般)'!$A$1:$BF$391,MATCH($C8,'在庫使用計画 (一般)'!$C$1:$C$391,0),MATCH(AW$1,'在庫使用計画 (一般)'!$A$1:$BF$1,0))*1,0),
_xlpm._法人検索,IFERROR(INDEX('在庫使用計画 (法人)'!$A$1:$BF$391,MATCH($C8,'在庫使用計画 (法人)'!$C$1:$C$391,0),MATCH(AW$1,'在庫使用計画 (法人)'!$A$1:$BF$1,0))*1,0),
_xlpm._合計,_xlpm._一般検索+_xlpm._法人検索,
IF(_xlpm._合計=0,"",_xlpm._合計)
)</f>
        <v>170.72385905902928</v>
      </c>
      <c r="AX8" s="224">
        <f>_xlfn.LET(
_xlpm._一般検索,IFERROR(INDEX('在庫使用計画 (一般)'!$A$1:$BF$391,MATCH($C8,'在庫使用計画 (一般)'!$C$1:$C$391,0),MATCH(AX$1,'在庫使用計画 (一般)'!$A$1:$BF$1,0))*1,0),
_xlpm._法人検索,IFERROR(INDEX('在庫使用計画 (法人)'!$A$1:$BF$391,MATCH($C8,'在庫使用計画 (法人)'!$C$1:$C$391,0),MATCH(AX$1,'在庫使用計画 (法人)'!$A$1:$BF$1,0))*1,0),
_xlpm._合計,_xlpm._一般検索+_xlpm._法人検索,
IF(_xlpm._合計=0,"",_xlpm._合計)
)</f>
        <v>156.84061526724093</v>
      </c>
      <c r="AY8" s="224">
        <f>_xlfn.LET(
_xlpm._一般検索,IFERROR(INDEX('在庫使用計画 (一般)'!$A$1:$BF$391,MATCH($C8,'在庫使用計画 (一般)'!$C$1:$C$391,0),MATCH(AY$1,'在庫使用計画 (一般)'!$A$1:$BF$1,0))*1,0),
_xlpm._法人検索,IFERROR(INDEX('在庫使用計画 (法人)'!$A$1:$BF$391,MATCH($C8,'在庫使用計画 (法人)'!$C$1:$C$391,0),MATCH(AY$1,'在庫使用計画 (法人)'!$A$1:$BF$1,0))*1,0),
_xlpm._合計,_xlpm._一般検索+_xlpm._法人検索,
IF(_xlpm._合計=0,"",_xlpm._合計)
)</f>
        <v>50</v>
      </c>
      <c r="AZ8" s="224">
        <f>_xlfn.LET(
_xlpm._一般検索,IFERROR(INDEX('在庫使用計画 (一般)'!$A$1:$BF$391,MATCH($C8,'在庫使用計画 (一般)'!$C$1:$C$391,0),MATCH(AZ$1,'在庫使用計画 (一般)'!$A$1:$BF$1,0))*1,0),
_xlpm._法人検索,IFERROR(INDEX('在庫使用計画 (法人)'!$A$1:$BF$391,MATCH($C8,'在庫使用計画 (法人)'!$C$1:$C$391,0),MATCH(AZ$1,'在庫使用計画 (法人)'!$A$1:$BF$1,0))*1,0),
_xlpm._合計,_xlpm._一般検索+_xlpm._法人検索,
IF(_xlpm._合計=0,"",_xlpm._合計)
)</f>
        <v>50</v>
      </c>
      <c r="BA8" s="224" t="str">
        <f>_xlfn.LET(
_xlpm._一般検索,IFERROR(INDEX('在庫使用計画 (一般)'!$A$1:$BF$391,MATCH($C8,'在庫使用計画 (一般)'!$C$1:$C$391,0),MATCH(BA$1,'在庫使用計画 (一般)'!$A$1:$BF$1,0))*1,0),
_xlpm._法人検索,IFERROR(INDEX('在庫使用計画 (法人)'!$A$1:$BF$391,MATCH($C8,'在庫使用計画 (法人)'!$C$1:$C$391,0),MATCH(BA$1,'在庫使用計画 (法人)'!$A$1:$BF$1,0))*1,0),
_xlpm._合計,_xlpm._一般検索+_xlpm._法人検索,
IF(_xlpm._合計=0,"",_xlpm._合計)
)</f>
        <v/>
      </c>
      <c r="BB8" s="224" t="str">
        <f>_xlfn.LET(
_xlpm._一般検索,IFERROR(INDEX('在庫使用計画 (一般)'!$A$1:$BF$391,MATCH($C8,'在庫使用計画 (一般)'!$C$1:$C$391,0),MATCH(BB$1,'在庫使用計画 (一般)'!$A$1:$BF$1,0))*1,0),
_xlpm._法人検索,IFERROR(INDEX('在庫使用計画 (法人)'!$A$1:$BF$391,MATCH($C8,'在庫使用計画 (法人)'!$C$1:$C$391,0),MATCH(BB$1,'在庫使用計画 (法人)'!$A$1:$BF$1,0))*1,0),
_xlpm._合計,_xlpm._一般検索+_xlpm._法人検索,
IF(_xlpm._合計=0,"",_xlpm._合計)
)</f>
        <v/>
      </c>
      <c r="BC8" s="224" t="str">
        <f>_xlfn.LET(
_xlpm._一般検索,IFERROR(INDEX('在庫使用計画 (一般)'!$A$1:$BF$391,MATCH($C8,'在庫使用計画 (一般)'!$C$1:$C$391,0),MATCH(BC$1,'在庫使用計画 (一般)'!$A$1:$BF$1,0))*1,0),
_xlpm._法人検索,IFERROR(INDEX('在庫使用計画 (法人)'!$A$1:$BF$391,MATCH($C8,'在庫使用計画 (法人)'!$C$1:$C$391,0),MATCH(BC$1,'在庫使用計画 (法人)'!$A$1:$BF$1,0))*1,0),
_xlpm._合計,_xlpm._一般検索+_xlpm._法人検索,
IF(_xlpm._合計=0,"",_xlpm._合計)
)</f>
        <v/>
      </c>
      <c r="BD8" s="224" t="str">
        <f>_xlfn.LET(
_xlpm._一般検索,IFERROR(INDEX('在庫使用計画 (一般)'!$A$1:$BF$391,MATCH($C8,'在庫使用計画 (一般)'!$C$1:$C$391,0),MATCH(BD$1,'在庫使用計画 (一般)'!$A$1:$BF$1,0))*1,0),
_xlpm._法人検索,IFERROR(INDEX('在庫使用計画 (法人)'!$A$1:$BF$391,MATCH($C8,'在庫使用計画 (法人)'!$C$1:$C$391,0),MATCH(BD$1,'在庫使用計画 (法人)'!$A$1:$BF$1,0))*1,0),
_xlpm._合計,_xlpm._一般検索+_xlpm._法人検索,
IF(_xlpm._合計=0,"",_xlpm._合計)
)</f>
        <v/>
      </c>
      <c r="BE8" s="224" t="str">
        <f>_xlfn.LET(
_xlpm._一般検索,IFERROR(INDEX('在庫使用計画 (一般)'!$A$1:$BF$391,MATCH($C8,'在庫使用計画 (一般)'!$C$1:$C$391,0),MATCH(BE$1,'在庫使用計画 (一般)'!$A$1:$BF$1,0))*1,0),
_xlpm._法人検索,IFERROR(INDEX('在庫使用計画 (法人)'!$A$1:$BF$391,MATCH($C8,'在庫使用計画 (法人)'!$C$1:$C$391,0),MATCH(BE$1,'在庫使用計画 (法人)'!$A$1:$BF$1,0))*1,0),
_xlpm._合計,_xlpm._一般検索+_xlpm._法人検索,
IF(_xlpm._合計=0,"",_xlpm._合計)
)</f>
        <v/>
      </c>
      <c r="BF8" s="224" t="str">
        <f>_xlfn.LET(
_xlpm._一般検索,IFERROR(INDEX('在庫使用計画 (一般)'!$A$1:$BF$391,MATCH($C8,'在庫使用計画 (一般)'!$C$1:$C$391,0),MATCH(BF$1,'在庫使用計画 (一般)'!$A$1:$BF$1,0))*1,0),
_xlpm._法人検索,IFERROR(INDEX('在庫使用計画 (法人)'!$A$1:$BF$391,MATCH($C8,'在庫使用計画 (法人)'!$C$1:$C$391,0),MATCH(BF$1,'在庫使用計画 (法人)'!$A$1:$BF$1,0))*1,0),
_xlpm._合計,_xlpm._一般検索+_xlpm._法人検索,
IF(_xlpm._合計=0,"",_xlpm._合計)
)</f>
        <v/>
      </c>
      <c r="BG8" s="237" t="str">
        <f>_xlfn.LET(
_xlpm._一般検索,IFERROR(INDEX('在庫使用計画 (一般)'!$A$1:$BF$391,MATCH($C8,'在庫使用計画 (一般)'!$C$1:$C$391,0),MATCH(BG$1,'在庫使用計画 (一般)'!$A$1:$BF$1,0))*1,0),
_xlpm._法人検索,IFERROR(INDEX('在庫使用計画 (法人)'!$A$1:$BF$391,MATCH($C8,'在庫使用計画 (法人)'!$C$1:$C$391,0),MATCH(BG$1,'在庫使用計画 (法人)'!$A$1:$BF$1,0))*1,0),
_xlpm._合計,_xlpm._一般検索+_xlpm._法人検索,
IF(_xlpm._合計=0,"",_xlpm._合計)
)</f>
        <v/>
      </c>
      <c r="BH8" s="804" t="str">
        <f>_xlfn.LET(
_xlpm._一般検索,IFERROR(INDEX('在庫使用計画 (一般)'!$A$1:$BF$391,MATCH($C8,'在庫使用計画 (一般)'!$C$1:$C$391,0),MATCH(BH$1,'在庫使用計画 (一般)'!$A$1:$BF$1,0))*1,0),
_xlpm._法人検索,IFERROR(INDEX('在庫使用計画 (法人)'!$A$1:$BF$391,MATCH($C8,'在庫使用計画 (法人)'!$C$1:$C$391,0),MATCH(BH$1,'在庫使用計画 (法人)'!$A$1:$BF$1,0))*1,0),
_xlpm._合計,_xlpm._一般検索+_xlpm._法人検索,
IF(_xlpm._合計=0,"",_xlpm._合計)
)</f>
        <v/>
      </c>
      <c r="BI8" s="224" t="str">
        <f>_xlfn.LET(
_xlpm._一般検索,IFERROR(INDEX('在庫使用計画 (一般)'!$A$1:$BF$391,MATCH($C8,'在庫使用計画 (一般)'!$C$1:$C$391,0),MATCH(BI$1,'在庫使用計画 (一般)'!$A$1:$BF$1,0))*1,0),
_xlpm._法人検索,IFERROR(INDEX('在庫使用計画 (法人)'!$A$1:$BF$391,MATCH($C8,'在庫使用計画 (法人)'!$C$1:$C$391,0),MATCH(BI$1,'在庫使用計画 (法人)'!$A$1:$BF$1,0))*1,0),
_xlpm._合計,_xlpm._一般検索+_xlpm._法人検索,
IF(_xlpm._合計=0,"",_xlpm._合計)
)</f>
        <v/>
      </c>
      <c r="BJ8" s="224" t="str">
        <f>_xlfn.LET(
_xlpm._一般検索,IFERROR(INDEX('在庫使用計画 (一般)'!$A$1:$BF$391,MATCH($C8,'在庫使用計画 (一般)'!$C$1:$C$391,0),MATCH(BJ$1,'在庫使用計画 (一般)'!$A$1:$BF$1,0))*1,0),
_xlpm._法人検索,IFERROR(INDEX('在庫使用計画 (法人)'!$A$1:$BF$391,MATCH($C8,'在庫使用計画 (法人)'!$C$1:$C$391,0),MATCH(BJ$1,'在庫使用計画 (法人)'!$A$1:$BF$1,0))*1,0),
_xlpm._合計,_xlpm._一般検索+_xlpm._法人検索,
IF(_xlpm._合計=0,"",_xlpm._合計)
)</f>
        <v/>
      </c>
      <c r="BK8" s="224" t="str">
        <f>_xlfn.LET(
_xlpm._一般検索,IFERROR(INDEX('在庫使用計画 (一般)'!$A$1:$BF$391,MATCH($C8,'在庫使用計画 (一般)'!$C$1:$C$391,0),MATCH(BK$1,'在庫使用計画 (一般)'!$A$1:$BF$1,0))*1,0),
_xlpm._法人検索,IFERROR(INDEX('在庫使用計画 (法人)'!$A$1:$BF$391,MATCH($C8,'在庫使用計画 (法人)'!$C$1:$C$391,0),MATCH(BK$1,'在庫使用計画 (法人)'!$A$1:$BF$1,0))*1,0),
_xlpm._合計,_xlpm._一般検索+_xlpm._法人検索,
IF(_xlpm._合計=0,"",_xlpm._合計)
)</f>
        <v/>
      </c>
      <c r="BL8" s="224" t="str">
        <f>_xlfn.LET(
_xlpm._一般検索,IFERROR(INDEX('在庫使用計画 (一般)'!$A$1:$BF$391,MATCH($C8,'在庫使用計画 (一般)'!$C$1:$C$391,0),MATCH(BL$1,'在庫使用計画 (一般)'!$A$1:$BF$1,0))*1,0),
_xlpm._法人検索,IFERROR(INDEX('在庫使用計画 (法人)'!$A$1:$BF$391,MATCH($C8,'在庫使用計画 (法人)'!$C$1:$C$391,0),MATCH(BL$1,'在庫使用計画 (法人)'!$A$1:$BF$1,0))*1,0),
_xlpm._合計,_xlpm._一般検索+_xlpm._法人検索,
IF(_xlpm._合計=0,"",_xlpm._合計)
)</f>
        <v/>
      </c>
      <c r="BM8" s="224" t="str">
        <f>_xlfn.LET(
_xlpm._一般検索,IFERROR(INDEX('在庫使用計画 (一般)'!$A$1:$BF$391,MATCH($C8,'在庫使用計画 (一般)'!$C$1:$C$391,0),MATCH(BM$1,'在庫使用計画 (一般)'!$A$1:$BF$1,0))*1,0),
_xlpm._法人検索,IFERROR(INDEX('在庫使用計画 (法人)'!$A$1:$BF$391,MATCH($C8,'在庫使用計画 (法人)'!$C$1:$C$391,0),MATCH(BM$1,'在庫使用計画 (法人)'!$A$1:$BF$1,0))*1,0),
_xlpm._合計,_xlpm._一般検索+_xlpm._法人検索,
IF(_xlpm._合計=0,"",_xlpm._合計)
)</f>
        <v/>
      </c>
      <c r="BN8" s="224" t="str">
        <f>_xlfn.LET(
_xlpm._一般検索,IFERROR(INDEX('在庫使用計画 (一般)'!$A$1:$BF$391,MATCH($C8,'在庫使用計画 (一般)'!$C$1:$C$391,0),MATCH(BN$1,'在庫使用計画 (一般)'!$A$1:$BF$1,0))*1,0),
_xlpm._法人検索,IFERROR(INDEX('在庫使用計画 (法人)'!$A$1:$BF$391,MATCH($C8,'在庫使用計画 (法人)'!$C$1:$C$391,0),MATCH(BN$1,'在庫使用計画 (法人)'!$A$1:$BF$1,0))*1,0),
_xlpm._合計,_xlpm._一般検索+_xlpm._法人検索,
IF(_xlpm._合計=0,"",_xlpm._合計)
)</f>
        <v/>
      </c>
      <c r="BO8" s="224" t="str">
        <f>_xlfn.LET(
_xlpm._一般検索,IFERROR(INDEX('在庫使用計画 (一般)'!$A$1:$BF$391,MATCH($C8,'在庫使用計画 (一般)'!$C$1:$C$391,0),MATCH(BO$1,'在庫使用計画 (一般)'!$A$1:$BF$1,0))*1,0),
_xlpm._法人検索,IFERROR(INDEX('在庫使用計画 (法人)'!$A$1:$BF$391,MATCH($C8,'在庫使用計画 (法人)'!$C$1:$C$391,0),MATCH(BO$1,'在庫使用計画 (法人)'!$A$1:$BF$1,0))*1,0),
_xlpm._合計,_xlpm._一般検索+_xlpm._法人検索,
IF(_xlpm._合計=0,"",_xlpm._合計)
)</f>
        <v/>
      </c>
      <c r="BP8" s="224" t="str">
        <f>_xlfn.LET(
_xlpm._一般検索,IFERROR(INDEX('在庫使用計画 (一般)'!$A$1:$BF$391,MATCH($C8,'在庫使用計画 (一般)'!$C$1:$C$391,0),MATCH(BP$1,'在庫使用計画 (一般)'!$A$1:$BF$1,0))*1,0),
_xlpm._法人検索,IFERROR(INDEX('在庫使用計画 (法人)'!$A$1:$BF$391,MATCH($C8,'在庫使用計画 (法人)'!$C$1:$C$391,0),MATCH(BP$1,'在庫使用計画 (法人)'!$A$1:$BF$1,0))*1,0),
_xlpm._合計,_xlpm._一般検索+_xlpm._法人検索,
IF(_xlpm._合計=0,"",_xlpm._合計)
)</f>
        <v/>
      </c>
      <c r="BQ8" s="224" t="str">
        <f>_xlfn.LET(
_xlpm._一般検索,IFERROR(INDEX('在庫使用計画 (一般)'!$A$1:$BF$391,MATCH($C8,'在庫使用計画 (一般)'!$C$1:$C$391,0),MATCH(BQ$1,'在庫使用計画 (一般)'!$A$1:$BF$1,0))*1,0),
_xlpm._法人検索,IFERROR(INDEX('在庫使用計画 (法人)'!$A$1:$BF$391,MATCH($C8,'在庫使用計画 (法人)'!$C$1:$C$391,0),MATCH(BQ$1,'在庫使用計画 (法人)'!$A$1:$BF$1,0))*1,0),
_xlpm._合計,_xlpm._一般検索+_xlpm._法人検索,
IF(_xlpm._合計=0,"",_xlpm._合計)
)</f>
        <v/>
      </c>
      <c r="BR8" s="224" t="str">
        <f>_xlfn.LET(
_xlpm._一般検索,IFERROR(INDEX('在庫使用計画 (一般)'!$A$1:$BF$391,MATCH($C8,'在庫使用計画 (一般)'!$C$1:$C$391,0),MATCH(BR$1,'在庫使用計画 (一般)'!$A$1:$BF$1,0))*1,0),
_xlpm._法人検索,IFERROR(INDEX('在庫使用計画 (法人)'!$A$1:$BF$391,MATCH($C8,'在庫使用計画 (法人)'!$C$1:$C$391,0),MATCH(BR$1,'在庫使用計画 (法人)'!$A$1:$BF$1,0))*1,0),
_xlpm._合計,_xlpm._一般検索+_xlpm._法人検索,
IF(_xlpm._合計=0,"",_xlpm._合計)
)</f>
        <v/>
      </c>
      <c r="BS8" s="805" t="str">
        <f>_xlfn.LET(
_xlpm._一般検索,IFERROR(INDEX('在庫使用計画 (一般)'!$A$1:$BF$391,MATCH($C8,'在庫使用計画 (一般)'!$C$1:$C$391,0),MATCH(BS$1,'在庫使用計画 (一般)'!$A$1:$BF$1,0))*1,0),
_xlpm._法人検索,IFERROR(INDEX('在庫使用計画 (法人)'!$A$1:$BF$391,MATCH($C8,'在庫使用計画 (法人)'!$C$1:$C$391,0),MATCH(BS$1,'在庫使用計画 (法人)'!$A$1:$BF$1,0))*1,0),
_xlpm._合計,_xlpm._一般検索+_xlpm._法人検索,
IF(_xlpm._合計=0,"",_xlpm._合計)
)</f>
        <v/>
      </c>
      <c r="BT8" s="21"/>
    </row>
    <row r="9" spans="1:72" customFormat="1" ht="18.75" customHeight="1" thickBot="1">
      <c r="A9" s="1059" t="s">
        <v>1632</v>
      </c>
      <c r="B9" s="26" t="str">
        <v>UNW-K-255HX-5070-L6</v>
      </c>
      <c r="C9" s="1435" t="s">
        <v>215</v>
      </c>
      <c r="D9" s="2154">
        <v>1066</v>
      </c>
      <c r="E9" s="1258" t="s">
        <v>1721</v>
      </c>
      <c r="F9" s="24" t="s">
        <v>20</v>
      </c>
      <c r="G9" s="74">
        <v>268</v>
      </c>
      <c r="H9" s="38">
        <v>128</v>
      </c>
      <c r="I9" s="38" cm="1">
        <f t="array" ref="I9">IF($C9="","",
_xlfn.LET(
  _xlpm._見出し,$A$1:$BT$1,
  _xlpm._行,$A9:$BT9,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298.03851990217726</v>
      </c>
      <c r="J9" s="74" cm="1">
        <f t="array" ref="J9">_xlfn.LET(
  _xlpm._見出し,$A$1:$BS$1,
  _xlpm._行,$A9:$BS9,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IF($C9="","",_xlpm._四点五月計画合計)
)</f>
        <v>314.58605962752443</v>
      </c>
      <c r="K9" s="1458" cm="1">
        <f t="array" ref="K9">_xlfn.IFS(
  $C9="","",
  $G9="","発売前？",
  $G9=0,"在庫無し",
  TRUE,
  IFERROR(
    _xlfn.LET(
      _xlpm._在庫注残,     $G9,
      _xlpm._しきい値,     _xlpm._在庫注残 * 0.75,
      _xlpm._見出し元,     $L$1:$BU$1,
      _xlpm._計画,         $L9:$BU9,
      _xlpm._最新実績日,       基準データ!$C$5,
      _xlpm._今月1日,      EOMONTH(_xlpm._最新実績日, -1) + 1,
      _xlpm._月末日,       EOMONTH(_xlpm._最新実績日, 0),
      _xlpm._今月位置,     _xlfn.XMATCH(_xlpm._今月1日, _xlpm._見出し元),
      _xlpm._今月計画按分, N(INDEX(_xlpm._計画, 1, _xlpm._今月位置))
                      * (_xlpm._月末日 - _xlpm._最新実績日)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46266</v>
      </c>
      <c r="L9" s="38"/>
      <c r="M9" s="38"/>
      <c r="N9" s="38"/>
      <c r="O9" s="38"/>
      <c r="P9" s="38"/>
      <c r="Q9" s="38"/>
      <c r="R9" s="38"/>
      <c r="S9" s="38"/>
      <c r="T9" s="219"/>
      <c r="U9" s="219"/>
      <c r="V9" s="219"/>
      <c r="W9" s="298"/>
      <c r="X9" s="299"/>
      <c r="Y9" s="299"/>
      <c r="Z9" s="299"/>
      <c r="AA9" s="299"/>
      <c r="AB9" s="299"/>
      <c r="AC9" s="299"/>
      <c r="AD9" s="224">
        <v>5</v>
      </c>
      <c r="AE9" s="224">
        <v>110</v>
      </c>
      <c r="AF9" s="224">
        <v>116.98245562839257</v>
      </c>
      <c r="AG9" s="224">
        <v>73.834868825909425</v>
      </c>
      <c r="AH9" s="224">
        <v>81.019787590315573</v>
      </c>
      <c r="AI9" s="237">
        <v>58.833333333333329</v>
      </c>
      <c r="AJ9" s="804">
        <v>55</v>
      </c>
      <c r="AK9" s="224">
        <v>51</v>
      </c>
      <c r="AL9" s="224">
        <v>65.714920950363961</v>
      </c>
      <c r="AM9" s="224">
        <v>26</v>
      </c>
      <c r="AN9" s="224">
        <f>_xlfn.LET(
_xlpm._一般検索,IFERROR(INDEX('在庫使用計画 (一般)'!$A$1:$BF$391,MATCH($C9,'在庫使用計画 (一般)'!$C$1:$C$391,0),MATCH(AN$1,'在庫使用計画 (一般)'!$A$1:$BF$1,0))*1,0),
_xlpm._法人検索,IFERROR(INDEX('在庫使用計画 (法人)'!$A$1:$BF$391,MATCH($C9,'在庫使用計画 (法人)'!$C$1:$C$391,0),MATCH(AN$1,'在庫使用計画 (法人)'!$A$1:$BF$1,0))*1,0),
_xlpm._合計,_xlpm._一般検索+_xlpm._法人検索,
IF(_xlpm._合計=0,"",_xlpm._合計)
)</f>
        <v>43</v>
      </c>
      <c r="AO9" s="224">
        <f>_xlfn.LET(
_xlpm._一般検索,IFERROR(INDEX('在庫使用計画 (一般)'!$A$1:$BF$391,MATCH($C9,'在庫使用計画 (一般)'!$C$1:$C$391,0),MATCH(AO$1,'在庫使用計画 (一般)'!$A$1:$BF$1,0))*1,0),
_xlpm._法人検索,IFERROR(INDEX('在庫使用計画 (法人)'!$A$1:$BF$391,MATCH($C9,'在庫使用計画 (法人)'!$C$1:$C$391,0),MATCH(AO$1,'在庫使用計画 (法人)'!$A$1:$BF$1,0))*1,0),
_xlpm._合計,_xlpm._一般検索+_xlpm._法人検索,
IF(_xlpm._合計=0,"",_xlpm._合計)
)</f>
        <v>83</v>
      </c>
      <c r="AP9" s="224">
        <f>_xlfn.LET(
_xlpm._一般検索,IFERROR(INDEX('在庫使用計画 (一般)'!$A$1:$BF$391,MATCH($C9,'在庫使用計画 (一般)'!$C$1:$C$391,0),MATCH(AP$1,'在庫使用計画 (一般)'!$A$1:$BF$1,0))*1,0),
_xlpm._法人検索,IFERROR(INDEX('在庫使用計画 (法人)'!$A$1:$BF$391,MATCH($C9,'在庫使用計画 (法人)'!$C$1:$C$391,0),MATCH(AP$1,'在庫使用計画 (法人)'!$A$1:$BF$1,0))*1,0),
_xlpm._合計,_xlpm._一般検索+_xlpm._法人検索,
IF(_xlpm._合計=0,"",_xlpm._合計)
)</f>
        <v>88</v>
      </c>
      <c r="AQ9" s="224">
        <f>_xlfn.LET(
_xlpm._一般検索,IFERROR(INDEX('在庫使用計画 (一般)'!$A$1:$BF$391,MATCH($C9,'在庫使用計画 (一般)'!$C$1:$C$391,0),MATCH(AQ$1,'在庫使用計画 (一般)'!$A$1:$BF$1,0))*1,0),
_xlpm._法人検索,IFERROR(INDEX('在庫使用計画 (法人)'!$A$1:$BF$391,MATCH($C9,'在庫使用計画 (法人)'!$C$1:$C$391,0),MATCH(AQ$1,'在庫使用計画 (法人)'!$A$1:$BF$1,0))*1,0),
_xlpm._合計,_xlpm._一般検索+_xlpm._法人検索,
IF(_xlpm._合計=0,"",_xlpm._合計)
)</f>
        <v>88</v>
      </c>
      <c r="AR9" s="224">
        <f>_xlfn.LET(
_xlpm._一般検索,IFERROR(INDEX('在庫使用計画 (一般)'!$A$1:$BF$391,MATCH($C9,'在庫使用計画 (一般)'!$C$1:$C$391,0),MATCH(AR$1,'在庫使用計画 (一般)'!$A$1:$BF$1,0))*1,0),
_xlpm._法人検索,IFERROR(INDEX('在庫使用計画 (法人)'!$A$1:$BF$391,MATCH($C9,'在庫使用計画 (法人)'!$C$1:$C$391,0),MATCH(AR$1,'在庫使用計画 (法人)'!$A$1:$BF$1,0))*1,0),
_xlpm._合計,_xlpm._一般検索+_xlpm._法人検索,
IF(_xlpm._合計=0,"",_xlpm._合計)
)</f>
        <v>66</v>
      </c>
      <c r="AS9" s="224">
        <f>_xlfn.LET(
_xlpm._一般検索,IFERROR(INDEX('在庫使用計画 (一般)'!$A$1:$BF$391,MATCH($C9,'在庫使用計画 (一般)'!$C$1:$C$391,0),MATCH(AS$1,'在庫使用計画 (一般)'!$A$1:$BF$1,0))*1,0),
_xlpm._法人検索,IFERROR(INDEX('在庫使用計画 (法人)'!$A$1:$BF$391,MATCH($C9,'在庫使用計画 (法人)'!$C$1:$C$391,0),MATCH(AS$1,'在庫使用計画 (法人)'!$A$1:$BF$1,0))*1,0),
_xlpm._合計,_xlpm._一般検索+_xlpm._法人検索,
IF(_xlpm._合計=0,"",_xlpm._合計)
)</f>
        <v>56.038519902177264</v>
      </c>
      <c r="AT9" s="224">
        <f>_xlfn.LET(
_xlpm._一般検索,IFERROR(INDEX('在庫使用計画 (一般)'!$A$1:$BF$391,MATCH($C9,'在庫使用計画 (一般)'!$C$1:$C$391,0),MATCH(AT$1,'在庫使用計画 (一般)'!$A$1:$BF$1,0))*1,0),
_xlpm._法人検索,IFERROR(INDEX('在庫使用計画 (法人)'!$A$1:$BF$391,MATCH($C9,'在庫使用計画 (法人)'!$C$1:$C$391,0),MATCH(AT$1,'在庫使用計画 (法人)'!$A$1:$BF$1,0))*1,0),
_xlpm._合計,_xlpm._一般検索+_xlpm._法人検索,
IF(_xlpm._合計=0,"",_xlpm._合計)
)</f>
        <v>60.547539725347193</v>
      </c>
      <c r="AU9" s="805">
        <f>_xlfn.LET(
_xlpm._一般検索,IFERROR(INDEX('在庫使用計画 (一般)'!$A$1:$BF$391,MATCH($C9,'在庫使用計画 (一般)'!$C$1:$C$391,0),MATCH(AU$1,'在庫使用計画 (一般)'!$A$1:$BF$1,0))*1,0),
_xlpm._法人検索,IFERROR(INDEX('在庫使用計画 (法人)'!$A$1:$BF$391,MATCH($C9,'在庫使用計画 (法人)'!$C$1:$C$391,0),MATCH(AU$1,'在庫使用計画 (法人)'!$A$1:$BF$1,0))*1,0),
_xlpm._合計,_xlpm._一般検索+_xlpm._法人検索,
IF(_xlpm._合計=0,"",_xlpm._合計)
)</f>
        <v>87.037062013789523</v>
      </c>
      <c r="AV9" s="244">
        <f>_xlfn.LET(
_xlpm._一般検索,IFERROR(INDEX('在庫使用計画 (一般)'!$A$1:$BF$391,MATCH($C9,'在庫使用計画 (一般)'!$C$1:$C$391,0),MATCH(AV$1,'在庫使用計画 (一般)'!$A$1:$BF$1,0))*1,0),
_xlpm._法人検索,IFERROR(INDEX('在庫使用計画 (法人)'!$A$1:$BF$391,MATCH($C9,'在庫使用計画 (法人)'!$C$1:$C$391,0),MATCH(AV$1,'在庫使用計画 (法人)'!$A$1:$BF$1,0))*1,0),
_xlpm._合計,_xlpm._一般検索+_xlpm._法人検索,
IF(_xlpm._合計=0,"",_xlpm._合計)
)</f>
        <v>64.366247463015583</v>
      </c>
      <c r="AW9" s="224">
        <f>_xlfn.LET(
_xlpm._一般検索,IFERROR(INDEX('在庫使用計画 (一般)'!$A$1:$BF$391,MATCH($C9,'在庫使用計画 (一般)'!$C$1:$C$391,0),MATCH(AW$1,'在庫使用計画 (一般)'!$A$1:$BF$1,0))*1,0),
_xlpm._法人検索,IFERROR(INDEX('在庫使用計画 (法人)'!$A$1:$BF$391,MATCH($C9,'在庫使用計画 (法人)'!$C$1:$C$391,0),MATCH(AW$1,'在庫使用計画 (法人)'!$A$1:$BF$1,0))*1,0),
_xlpm._合計,_xlpm._一般検索+_xlpm._法人検索,
IF(_xlpm._合計=0,"",_xlpm._合計)
)</f>
        <v>67.130757320944468</v>
      </c>
      <c r="AX9" s="224">
        <f>_xlfn.LET(
_xlpm._一般検索,IFERROR(INDEX('在庫使用計画 (一般)'!$A$1:$BF$391,MATCH($C9,'在庫使用計画 (一般)'!$C$1:$C$391,0),MATCH(AX$1,'在庫使用計画 (一般)'!$A$1:$BF$1,0))*1,0),
_xlpm._法人検索,IFERROR(INDEX('在庫使用計画 (法人)'!$A$1:$BF$391,MATCH($C9,'在庫使用計画 (法人)'!$C$1:$C$391,0),MATCH(AX$1,'在庫使用計画 (法人)'!$A$1:$BF$1,0))*1,0),
_xlpm._合計,_xlpm._一般検索+_xlpm._法人検索,
IF(_xlpm._合計=0,"",_xlpm._合計)
)</f>
        <v>61.135720229035854</v>
      </c>
      <c r="AY9" s="224">
        <f>_xlfn.LET(
_xlpm._一般検索,IFERROR(INDEX('在庫使用計画 (一般)'!$A$1:$BF$391,MATCH($C9,'在庫使用計画 (一般)'!$C$1:$C$391,0),MATCH(AY$1,'在庫使用計画 (一般)'!$A$1:$BF$1,0))*1,0),
_xlpm._法人検索,IFERROR(INDEX('在庫使用計画 (法人)'!$A$1:$BF$391,MATCH($C9,'在庫使用計画 (法人)'!$C$1:$C$391,0),MATCH(AY$1,'在庫使用計画 (法人)'!$A$1:$BF$1,0))*1,0),
_xlpm._合計,_xlpm._一般検索+_xlpm._法人検索,
IF(_xlpm._合計=0,"",_xlpm._合計)
)</f>
        <v>15</v>
      </c>
      <c r="AZ9" s="224">
        <f>_xlfn.LET(
_xlpm._一般検索,IFERROR(INDEX('在庫使用計画 (一般)'!$A$1:$BF$391,MATCH($C9,'在庫使用計画 (一般)'!$C$1:$C$391,0),MATCH(AZ$1,'在庫使用計画 (一般)'!$A$1:$BF$1,0))*1,0),
_xlpm._法人検索,IFERROR(INDEX('在庫使用計画 (法人)'!$A$1:$BF$391,MATCH($C9,'在庫使用計画 (法人)'!$C$1:$C$391,0),MATCH(AZ$1,'在庫使用計画 (法人)'!$A$1:$BF$1,0))*1,0),
_xlpm._合計,_xlpm._一般検索+_xlpm._法人検索,
IF(_xlpm._合計=0,"",_xlpm._合計)
)</f>
        <v>15</v>
      </c>
      <c r="BA9" s="224" t="str">
        <f>_xlfn.LET(
_xlpm._一般検索,IFERROR(INDEX('在庫使用計画 (一般)'!$A$1:$BF$391,MATCH($C9,'在庫使用計画 (一般)'!$C$1:$C$391,0),MATCH(BA$1,'在庫使用計画 (一般)'!$A$1:$BF$1,0))*1,0),
_xlpm._法人検索,IFERROR(INDEX('在庫使用計画 (法人)'!$A$1:$BF$391,MATCH($C9,'在庫使用計画 (法人)'!$C$1:$C$391,0),MATCH(BA$1,'在庫使用計画 (法人)'!$A$1:$BF$1,0))*1,0),
_xlpm._合計,_xlpm._一般検索+_xlpm._法人検索,
IF(_xlpm._合計=0,"",_xlpm._合計)
)</f>
        <v/>
      </c>
      <c r="BB9" s="224" t="str">
        <f>_xlfn.LET(
_xlpm._一般検索,IFERROR(INDEX('在庫使用計画 (一般)'!$A$1:$BF$391,MATCH($C9,'在庫使用計画 (一般)'!$C$1:$C$391,0),MATCH(BB$1,'在庫使用計画 (一般)'!$A$1:$BF$1,0))*1,0),
_xlpm._法人検索,IFERROR(INDEX('在庫使用計画 (法人)'!$A$1:$BF$391,MATCH($C9,'在庫使用計画 (法人)'!$C$1:$C$391,0),MATCH(BB$1,'在庫使用計画 (法人)'!$A$1:$BF$1,0))*1,0),
_xlpm._合計,_xlpm._一般検索+_xlpm._法人検索,
IF(_xlpm._合計=0,"",_xlpm._合計)
)</f>
        <v/>
      </c>
      <c r="BC9" s="224" t="str">
        <f>_xlfn.LET(
_xlpm._一般検索,IFERROR(INDEX('在庫使用計画 (一般)'!$A$1:$BF$391,MATCH($C9,'在庫使用計画 (一般)'!$C$1:$C$391,0),MATCH(BC$1,'在庫使用計画 (一般)'!$A$1:$BF$1,0))*1,0),
_xlpm._法人検索,IFERROR(INDEX('在庫使用計画 (法人)'!$A$1:$BF$391,MATCH($C9,'在庫使用計画 (法人)'!$C$1:$C$391,0),MATCH(BC$1,'在庫使用計画 (法人)'!$A$1:$BF$1,0))*1,0),
_xlpm._合計,_xlpm._一般検索+_xlpm._法人検索,
IF(_xlpm._合計=0,"",_xlpm._合計)
)</f>
        <v/>
      </c>
      <c r="BD9" s="224" t="str">
        <f>_xlfn.LET(
_xlpm._一般検索,IFERROR(INDEX('在庫使用計画 (一般)'!$A$1:$BF$391,MATCH($C9,'在庫使用計画 (一般)'!$C$1:$C$391,0),MATCH(BD$1,'在庫使用計画 (一般)'!$A$1:$BF$1,0))*1,0),
_xlpm._法人検索,IFERROR(INDEX('在庫使用計画 (法人)'!$A$1:$BF$391,MATCH($C9,'在庫使用計画 (法人)'!$C$1:$C$391,0),MATCH(BD$1,'在庫使用計画 (法人)'!$A$1:$BF$1,0))*1,0),
_xlpm._合計,_xlpm._一般検索+_xlpm._法人検索,
IF(_xlpm._合計=0,"",_xlpm._合計)
)</f>
        <v/>
      </c>
      <c r="BE9" s="224" t="str">
        <f>_xlfn.LET(
_xlpm._一般検索,IFERROR(INDEX('在庫使用計画 (一般)'!$A$1:$BF$391,MATCH($C9,'在庫使用計画 (一般)'!$C$1:$C$391,0),MATCH(BE$1,'在庫使用計画 (一般)'!$A$1:$BF$1,0))*1,0),
_xlpm._法人検索,IFERROR(INDEX('在庫使用計画 (法人)'!$A$1:$BF$391,MATCH($C9,'在庫使用計画 (法人)'!$C$1:$C$391,0),MATCH(BE$1,'在庫使用計画 (法人)'!$A$1:$BF$1,0))*1,0),
_xlpm._合計,_xlpm._一般検索+_xlpm._法人検索,
IF(_xlpm._合計=0,"",_xlpm._合計)
)</f>
        <v/>
      </c>
      <c r="BF9" s="224" t="str">
        <f>_xlfn.LET(
_xlpm._一般検索,IFERROR(INDEX('在庫使用計画 (一般)'!$A$1:$BF$391,MATCH($C9,'在庫使用計画 (一般)'!$C$1:$C$391,0),MATCH(BF$1,'在庫使用計画 (一般)'!$A$1:$BF$1,0))*1,0),
_xlpm._法人検索,IFERROR(INDEX('在庫使用計画 (法人)'!$A$1:$BF$391,MATCH($C9,'在庫使用計画 (法人)'!$C$1:$C$391,0),MATCH(BF$1,'在庫使用計画 (法人)'!$A$1:$BF$1,0))*1,0),
_xlpm._合計,_xlpm._一般検索+_xlpm._法人検索,
IF(_xlpm._合計=0,"",_xlpm._合計)
)</f>
        <v/>
      </c>
      <c r="BG9" s="237" t="str">
        <f>_xlfn.LET(
_xlpm._一般検索,IFERROR(INDEX('在庫使用計画 (一般)'!$A$1:$BF$391,MATCH($C9,'在庫使用計画 (一般)'!$C$1:$C$391,0),MATCH(BG$1,'在庫使用計画 (一般)'!$A$1:$BF$1,0))*1,0),
_xlpm._法人検索,IFERROR(INDEX('在庫使用計画 (法人)'!$A$1:$BF$391,MATCH($C9,'在庫使用計画 (法人)'!$C$1:$C$391,0),MATCH(BG$1,'在庫使用計画 (法人)'!$A$1:$BF$1,0))*1,0),
_xlpm._合計,_xlpm._一般検索+_xlpm._法人検索,
IF(_xlpm._合計=0,"",_xlpm._合計)
)</f>
        <v/>
      </c>
      <c r="BH9" s="804" t="str">
        <f>_xlfn.LET(
_xlpm._一般検索,IFERROR(INDEX('在庫使用計画 (一般)'!$A$1:$BF$391,MATCH($C9,'在庫使用計画 (一般)'!$C$1:$C$391,0),MATCH(BH$1,'在庫使用計画 (一般)'!$A$1:$BF$1,0))*1,0),
_xlpm._法人検索,IFERROR(INDEX('在庫使用計画 (法人)'!$A$1:$BF$391,MATCH($C9,'在庫使用計画 (法人)'!$C$1:$C$391,0),MATCH(BH$1,'在庫使用計画 (法人)'!$A$1:$BF$1,0))*1,0),
_xlpm._合計,_xlpm._一般検索+_xlpm._法人検索,
IF(_xlpm._合計=0,"",_xlpm._合計)
)</f>
        <v/>
      </c>
      <c r="BI9" s="224" t="str">
        <f>_xlfn.LET(
_xlpm._一般検索,IFERROR(INDEX('在庫使用計画 (一般)'!$A$1:$BF$391,MATCH($C9,'在庫使用計画 (一般)'!$C$1:$C$391,0),MATCH(BI$1,'在庫使用計画 (一般)'!$A$1:$BF$1,0))*1,0),
_xlpm._法人検索,IFERROR(INDEX('在庫使用計画 (法人)'!$A$1:$BF$391,MATCH($C9,'在庫使用計画 (法人)'!$C$1:$C$391,0),MATCH(BI$1,'在庫使用計画 (法人)'!$A$1:$BF$1,0))*1,0),
_xlpm._合計,_xlpm._一般検索+_xlpm._法人検索,
IF(_xlpm._合計=0,"",_xlpm._合計)
)</f>
        <v/>
      </c>
      <c r="BJ9" s="224" t="str">
        <f>_xlfn.LET(
_xlpm._一般検索,IFERROR(INDEX('在庫使用計画 (一般)'!$A$1:$BF$391,MATCH($C9,'在庫使用計画 (一般)'!$C$1:$C$391,0),MATCH(BJ$1,'在庫使用計画 (一般)'!$A$1:$BF$1,0))*1,0),
_xlpm._法人検索,IFERROR(INDEX('在庫使用計画 (法人)'!$A$1:$BF$391,MATCH($C9,'在庫使用計画 (法人)'!$C$1:$C$391,0),MATCH(BJ$1,'在庫使用計画 (法人)'!$A$1:$BF$1,0))*1,0),
_xlpm._合計,_xlpm._一般検索+_xlpm._法人検索,
IF(_xlpm._合計=0,"",_xlpm._合計)
)</f>
        <v/>
      </c>
      <c r="BK9" s="224" t="str">
        <f>_xlfn.LET(
_xlpm._一般検索,IFERROR(INDEX('在庫使用計画 (一般)'!$A$1:$BF$391,MATCH($C9,'在庫使用計画 (一般)'!$C$1:$C$391,0),MATCH(BK$1,'在庫使用計画 (一般)'!$A$1:$BF$1,0))*1,0),
_xlpm._法人検索,IFERROR(INDEX('在庫使用計画 (法人)'!$A$1:$BF$391,MATCH($C9,'在庫使用計画 (法人)'!$C$1:$C$391,0),MATCH(BK$1,'在庫使用計画 (法人)'!$A$1:$BF$1,0))*1,0),
_xlpm._合計,_xlpm._一般検索+_xlpm._法人検索,
IF(_xlpm._合計=0,"",_xlpm._合計)
)</f>
        <v/>
      </c>
      <c r="BL9" s="224" t="str">
        <f>_xlfn.LET(
_xlpm._一般検索,IFERROR(INDEX('在庫使用計画 (一般)'!$A$1:$BF$391,MATCH($C9,'在庫使用計画 (一般)'!$C$1:$C$391,0),MATCH(BL$1,'在庫使用計画 (一般)'!$A$1:$BF$1,0))*1,0),
_xlpm._法人検索,IFERROR(INDEX('在庫使用計画 (法人)'!$A$1:$BF$391,MATCH($C9,'在庫使用計画 (法人)'!$C$1:$C$391,0),MATCH(BL$1,'在庫使用計画 (法人)'!$A$1:$BF$1,0))*1,0),
_xlpm._合計,_xlpm._一般検索+_xlpm._法人検索,
IF(_xlpm._合計=0,"",_xlpm._合計)
)</f>
        <v/>
      </c>
      <c r="BM9" s="224" t="str">
        <f>_xlfn.LET(
_xlpm._一般検索,IFERROR(INDEX('在庫使用計画 (一般)'!$A$1:$BF$391,MATCH($C9,'在庫使用計画 (一般)'!$C$1:$C$391,0),MATCH(BM$1,'在庫使用計画 (一般)'!$A$1:$BF$1,0))*1,0),
_xlpm._法人検索,IFERROR(INDEX('在庫使用計画 (法人)'!$A$1:$BF$391,MATCH($C9,'在庫使用計画 (法人)'!$C$1:$C$391,0),MATCH(BM$1,'在庫使用計画 (法人)'!$A$1:$BF$1,0))*1,0),
_xlpm._合計,_xlpm._一般検索+_xlpm._法人検索,
IF(_xlpm._合計=0,"",_xlpm._合計)
)</f>
        <v/>
      </c>
      <c r="BN9" s="224" t="str">
        <f>_xlfn.LET(
_xlpm._一般検索,IFERROR(INDEX('在庫使用計画 (一般)'!$A$1:$BF$391,MATCH($C9,'在庫使用計画 (一般)'!$C$1:$C$391,0),MATCH(BN$1,'在庫使用計画 (一般)'!$A$1:$BF$1,0))*1,0),
_xlpm._法人検索,IFERROR(INDEX('在庫使用計画 (法人)'!$A$1:$BF$391,MATCH($C9,'在庫使用計画 (法人)'!$C$1:$C$391,0),MATCH(BN$1,'在庫使用計画 (法人)'!$A$1:$BF$1,0))*1,0),
_xlpm._合計,_xlpm._一般検索+_xlpm._法人検索,
IF(_xlpm._合計=0,"",_xlpm._合計)
)</f>
        <v/>
      </c>
      <c r="BO9" s="224" t="str">
        <f>_xlfn.LET(
_xlpm._一般検索,IFERROR(INDEX('在庫使用計画 (一般)'!$A$1:$BF$391,MATCH($C9,'在庫使用計画 (一般)'!$C$1:$C$391,0),MATCH(BO$1,'在庫使用計画 (一般)'!$A$1:$BF$1,0))*1,0),
_xlpm._法人検索,IFERROR(INDEX('在庫使用計画 (法人)'!$A$1:$BF$391,MATCH($C9,'在庫使用計画 (法人)'!$C$1:$C$391,0),MATCH(BO$1,'在庫使用計画 (法人)'!$A$1:$BF$1,0))*1,0),
_xlpm._合計,_xlpm._一般検索+_xlpm._法人検索,
IF(_xlpm._合計=0,"",_xlpm._合計)
)</f>
        <v/>
      </c>
      <c r="BP9" s="224" t="str">
        <f>_xlfn.LET(
_xlpm._一般検索,IFERROR(INDEX('在庫使用計画 (一般)'!$A$1:$BF$391,MATCH($C9,'在庫使用計画 (一般)'!$C$1:$C$391,0),MATCH(BP$1,'在庫使用計画 (一般)'!$A$1:$BF$1,0))*1,0),
_xlpm._法人検索,IFERROR(INDEX('在庫使用計画 (法人)'!$A$1:$BF$391,MATCH($C9,'在庫使用計画 (法人)'!$C$1:$C$391,0),MATCH(BP$1,'在庫使用計画 (法人)'!$A$1:$BF$1,0))*1,0),
_xlpm._合計,_xlpm._一般検索+_xlpm._法人検索,
IF(_xlpm._合計=0,"",_xlpm._合計)
)</f>
        <v/>
      </c>
      <c r="BQ9" s="224" t="str">
        <f>_xlfn.LET(
_xlpm._一般検索,IFERROR(INDEX('在庫使用計画 (一般)'!$A$1:$BF$391,MATCH($C9,'在庫使用計画 (一般)'!$C$1:$C$391,0),MATCH(BQ$1,'在庫使用計画 (一般)'!$A$1:$BF$1,0))*1,0),
_xlpm._法人検索,IFERROR(INDEX('在庫使用計画 (法人)'!$A$1:$BF$391,MATCH($C9,'在庫使用計画 (法人)'!$C$1:$C$391,0),MATCH(BQ$1,'在庫使用計画 (法人)'!$A$1:$BF$1,0))*1,0),
_xlpm._合計,_xlpm._一般検索+_xlpm._法人検索,
IF(_xlpm._合計=0,"",_xlpm._合計)
)</f>
        <v/>
      </c>
      <c r="BR9" s="224" t="str">
        <f>_xlfn.LET(
_xlpm._一般検索,IFERROR(INDEX('在庫使用計画 (一般)'!$A$1:$BF$391,MATCH($C9,'在庫使用計画 (一般)'!$C$1:$C$391,0),MATCH(BR$1,'在庫使用計画 (一般)'!$A$1:$BF$1,0))*1,0),
_xlpm._法人検索,IFERROR(INDEX('在庫使用計画 (法人)'!$A$1:$BF$391,MATCH($C9,'在庫使用計画 (法人)'!$C$1:$C$391,0),MATCH(BR$1,'在庫使用計画 (法人)'!$A$1:$BF$1,0))*1,0),
_xlpm._合計,_xlpm._一般検索+_xlpm._法人検索,
IF(_xlpm._合計=0,"",_xlpm._合計)
)</f>
        <v/>
      </c>
      <c r="BS9" s="805" t="str">
        <f>_xlfn.LET(
_xlpm._一般検索,IFERROR(INDEX('在庫使用計画 (一般)'!$A$1:$BF$391,MATCH($C9,'在庫使用計画 (一般)'!$C$1:$C$391,0),MATCH(BS$1,'在庫使用計画 (一般)'!$A$1:$BF$1,0))*1,0),
_xlpm._法人検索,IFERROR(INDEX('在庫使用計画 (法人)'!$A$1:$BF$391,MATCH($C9,'在庫使用計画 (法人)'!$C$1:$C$391,0),MATCH(BS$1,'在庫使用計画 (法人)'!$A$1:$BF$1,0))*1,0),
_xlpm._合計,_xlpm._一般検索+_xlpm._法人検索,
IF(_xlpm._合計=0,"",_xlpm._合計)
)</f>
        <v/>
      </c>
      <c r="BT9" s="21"/>
    </row>
    <row r="10" spans="1:72" customFormat="1" ht="18.75" customHeight="1">
      <c r="A10" s="1059" t="s">
        <v>1632</v>
      </c>
      <c r="B10" s="26" t="str">
        <v>CLE-V56-350-5060-L6</v>
      </c>
      <c r="C10" s="531" t="s">
        <v>244</v>
      </c>
      <c r="D10" s="2154">
        <v>890</v>
      </c>
      <c r="E10" s="26" t="s">
        <v>1722</v>
      </c>
      <c r="F10" s="24" t="s">
        <v>20</v>
      </c>
      <c r="G10" s="74">
        <v>0</v>
      </c>
      <c r="H10" s="38">
        <v>0</v>
      </c>
      <c r="I10" s="38" cm="1">
        <f t="array" ref="I10">IF($C10="","",
_xlfn.LET(
  _xlpm._見出し,$A$1:$BT$1,
  _xlpm._行,$A10:$BT10,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0</v>
      </c>
      <c r="J10" s="74" cm="1">
        <f t="array" ref="J10">_xlfn.LET(
  _xlpm._見出し,$A$1:$BS$1,
  _xlpm._行,$A10:$BS10,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IF($C10="","",_xlpm._四点五月計画合計)
)</f>
        <v>0</v>
      </c>
      <c r="K10" s="1458" t="str" cm="1">
        <f t="array" ref="K10">_xlfn.IFS(
  $C10="","",
  $G10="","発売前？",
  $G10=0,"在庫無し",
  TRUE,
  IFERROR(
    _xlfn.LET(
      _xlpm._在庫注残,     $G10,
      _xlpm._しきい値,     _xlpm._在庫注残 * 0.75,
      _xlpm._見出し元,     $L$1:$BU$1,
      _xlpm._計画,         $L10:$BU10,
      _xlpm._最新実績日,       基準データ!$C$5,
      _xlpm._今月1日,      EOMONTH(_xlpm._最新実績日, -1) + 1,
      _xlpm._月末日,       EOMONTH(_xlpm._最新実績日, 0),
      _xlpm._今月位置,     _xlfn.XMATCH(_xlpm._今月1日, _xlpm._見出し元),
      _xlpm._今月計画按分, N(INDEX(_xlpm._計画, 1, _xlpm._今月位置))
                      * (_xlpm._月末日 - _xlpm._最新実績日)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在庫無し</v>
      </c>
      <c r="L10" s="311"/>
      <c r="M10" s="311"/>
      <c r="N10" s="311"/>
      <c r="O10" s="311"/>
      <c r="P10" s="311"/>
      <c r="Q10" s="311"/>
      <c r="R10" s="311"/>
      <c r="S10" s="311"/>
      <c r="T10" s="298"/>
      <c r="U10" s="298"/>
      <c r="V10" s="298"/>
      <c r="W10" s="298"/>
      <c r="X10" s="299"/>
      <c r="Y10" s="299"/>
      <c r="Z10" s="299"/>
      <c r="AA10" s="237"/>
      <c r="AB10" s="471">
        <v>92</v>
      </c>
      <c r="AC10" s="224">
        <v>109</v>
      </c>
      <c r="AD10" s="224">
        <v>105</v>
      </c>
      <c r="AE10" s="224">
        <v>90</v>
      </c>
      <c r="AF10" s="224">
        <v>84.987468305994724</v>
      </c>
      <c r="AG10" s="224">
        <v>80</v>
      </c>
      <c r="AH10" s="224">
        <v>78.553926797305948</v>
      </c>
      <c r="AI10" s="237">
        <v>67.166666666666657</v>
      </c>
      <c r="AJ10" s="804">
        <v>43</v>
      </c>
      <c r="AK10" s="224">
        <v>41.567729159213684</v>
      </c>
      <c r="AL10" s="224">
        <v>60.069595473196408</v>
      </c>
      <c r="AM10" s="224">
        <v>43.91708936295155</v>
      </c>
      <c r="AN10" s="224" t="str">
        <f>_xlfn.LET(
_xlpm._一般検索,IFERROR(INDEX('在庫使用計画 (一般)'!$A$1:$BF$391,MATCH($C10,'在庫使用計画 (一般)'!$C$1:$C$391,0),MATCH(AN$1,'在庫使用計画 (一般)'!$A$1:$BF$1,0))*1,0),
_xlpm._法人検索,IFERROR(INDEX('在庫使用計画 (法人)'!$A$1:$BF$391,MATCH($C10,'在庫使用計画 (法人)'!$C$1:$C$391,0),MATCH(AN$1,'在庫使用計画 (法人)'!$A$1:$BF$1,0))*1,0),
_xlpm._合計,_xlpm._一般検索+_xlpm._法人検索,
IF(_xlpm._合計=0,"",_xlpm._合計)
)</f>
        <v/>
      </c>
      <c r="AO10" s="224" t="str">
        <f>_xlfn.LET(
_xlpm._一般検索,IFERROR(INDEX('在庫使用計画 (一般)'!$A$1:$BF$391,MATCH($C10,'在庫使用計画 (一般)'!$C$1:$C$391,0),MATCH(AO$1,'在庫使用計画 (一般)'!$A$1:$BF$1,0))*1,0),
_xlpm._法人検索,IFERROR(INDEX('在庫使用計画 (法人)'!$A$1:$BF$391,MATCH($C10,'在庫使用計画 (法人)'!$C$1:$C$391,0),MATCH(AO$1,'在庫使用計画 (法人)'!$A$1:$BF$1,0))*1,0),
_xlpm._合計,_xlpm._一般検索+_xlpm._法人検索,
IF(_xlpm._合計=0,"",_xlpm._合計)
)</f>
        <v/>
      </c>
      <c r="AP10" s="224" t="str">
        <f>_xlfn.LET(
_xlpm._一般検索,IFERROR(INDEX('在庫使用計画 (一般)'!$A$1:$BF$391,MATCH($C10,'在庫使用計画 (一般)'!$C$1:$C$391,0),MATCH(AP$1,'在庫使用計画 (一般)'!$A$1:$BF$1,0))*1,0),
_xlpm._法人検索,IFERROR(INDEX('在庫使用計画 (法人)'!$A$1:$BF$391,MATCH($C10,'在庫使用計画 (法人)'!$C$1:$C$391,0),MATCH(AP$1,'在庫使用計画 (法人)'!$A$1:$BF$1,0))*1,0),
_xlpm._合計,_xlpm._一般検索+_xlpm._法人検索,
IF(_xlpm._合計=0,"",_xlpm._合計)
)</f>
        <v/>
      </c>
      <c r="AQ10" s="224" t="str">
        <f>_xlfn.LET(
_xlpm._一般検索,IFERROR(INDEX('在庫使用計画 (一般)'!$A$1:$BF$391,MATCH($C10,'在庫使用計画 (一般)'!$C$1:$C$391,0),MATCH(AQ$1,'在庫使用計画 (一般)'!$A$1:$BF$1,0))*1,0),
_xlpm._法人検索,IFERROR(INDEX('在庫使用計画 (法人)'!$A$1:$BF$391,MATCH($C10,'在庫使用計画 (法人)'!$C$1:$C$391,0),MATCH(AQ$1,'在庫使用計画 (法人)'!$A$1:$BF$1,0))*1,0),
_xlpm._合計,_xlpm._一般検索+_xlpm._法人検索,
IF(_xlpm._合計=0,"",_xlpm._合計)
)</f>
        <v/>
      </c>
      <c r="AR10" s="224" t="str">
        <f>_xlfn.LET(
_xlpm._一般検索,IFERROR(INDEX('在庫使用計画 (一般)'!$A$1:$BF$391,MATCH($C10,'在庫使用計画 (一般)'!$C$1:$C$391,0),MATCH(AR$1,'在庫使用計画 (一般)'!$A$1:$BF$1,0))*1,0),
_xlpm._法人検索,IFERROR(INDEX('在庫使用計画 (法人)'!$A$1:$BF$391,MATCH($C10,'在庫使用計画 (法人)'!$C$1:$C$391,0),MATCH(AR$1,'在庫使用計画 (法人)'!$A$1:$BF$1,0))*1,0),
_xlpm._合計,_xlpm._一般検索+_xlpm._法人検索,
IF(_xlpm._合計=0,"",_xlpm._合計)
)</f>
        <v/>
      </c>
      <c r="AS10" s="224" t="str">
        <f>_xlfn.LET(
_xlpm._一般検索,IFERROR(INDEX('在庫使用計画 (一般)'!$A$1:$BF$391,MATCH($C10,'在庫使用計画 (一般)'!$C$1:$C$391,0),MATCH(AS$1,'在庫使用計画 (一般)'!$A$1:$BF$1,0))*1,0),
_xlpm._法人検索,IFERROR(INDEX('在庫使用計画 (法人)'!$A$1:$BF$391,MATCH($C10,'在庫使用計画 (法人)'!$C$1:$C$391,0),MATCH(AS$1,'在庫使用計画 (法人)'!$A$1:$BF$1,0))*1,0),
_xlpm._合計,_xlpm._一般検索+_xlpm._法人検索,
IF(_xlpm._合計=0,"",_xlpm._合計)
)</f>
        <v/>
      </c>
      <c r="AT10" s="224" t="str">
        <f>_xlfn.LET(
_xlpm._一般検索,IFERROR(INDEX('在庫使用計画 (一般)'!$A$1:$BF$391,MATCH($C10,'在庫使用計画 (一般)'!$C$1:$C$391,0),MATCH(AT$1,'在庫使用計画 (一般)'!$A$1:$BF$1,0))*1,0),
_xlpm._法人検索,IFERROR(INDEX('在庫使用計画 (法人)'!$A$1:$BF$391,MATCH($C10,'在庫使用計画 (法人)'!$C$1:$C$391,0),MATCH(AT$1,'在庫使用計画 (法人)'!$A$1:$BF$1,0))*1,0),
_xlpm._合計,_xlpm._一般検索+_xlpm._法人検索,
IF(_xlpm._合計=0,"",_xlpm._合計)
)</f>
        <v/>
      </c>
      <c r="AU10" s="805" t="str">
        <f>_xlfn.LET(
_xlpm._一般検索,IFERROR(INDEX('在庫使用計画 (一般)'!$A$1:$BF$391,MATCH($C10,'在庫使用計画 (一般)'!$C$1:$C$391,0),MATCH(AU$1,'在庫使用計画 (一般)'!$A$1:$BF$1,0))*1,0),
_xlpm._法人検索,IFERROR(INDEX('在庫使用計画 (法人)'!$A$1:$BF$391,MATCH($C10,'在庫使用計画 (法人)'!$C$1:$C$391,0),MATCH(AU$1,'在庫使用計画 (法人)'!$A$1:$BF$1,0))*1,0),
_xlpm._合計,_xlpm._一般検索+_xlpm._法人検索,
IF(_xlpm._合計=0,"",_xlpm._合計)
)</f>
        <v/>
      </c>
      <c r="AV10" s="244" t="str">
        <f>_xlfn.LET(
_xlpm._一般検索,IFERROR(INDEX('在庫使用計画 (一般)'!$A$1:$BF$391,MATCH($C10,'在庫使用計画 (一般)'!$C$1:$C$391,0),MATCH(AV$1,'在庫使用計画 (一般)'!$A$1:$BF$1,0))*1,0),
_xlpm._法人検索,IFERROR(INDEX('在庫使用計画 (法人)'!$A$1:$BF$391,MATCH($C10,'在庫使用計画 (法人)'!$C$1:$C$391,0),MATCH(AV$1,'在庫使用計画 (法人)'!$A$1:$BF$1,0))*1,0),
_xlpm._合計,_xlpm._一般検索+_xlpm._法人検索,
IF(_xlpm._合計=0,"",_xlpm._合計)
)</f>
        <v/>
      </c>
      <c r="AW10" s="224" t="str">
        <f>_xlfn.LET(
_xlpm._一般検索,IFERROR(INDEX('在庫使用計画 (一般)'!$A$1:$BF$391,MATCH($C10,'在庫使用計画 (一般)'!$C$1:$C$391,0),MATCH(AW$1,'在庫使用計画 (一般)'!$A$1:$BF$1,0))*1,0),
_xlpm._法人検索,IFERROR(INDEX('在庫使用計画 (法人)'!$A$1:$BF$391,MATCH($C10,'在庫使用計画 (法人)'!$C$1:$C$391,0),MATCH(AW$1,'在庫使用計画 (法人)'!$A$1:$BF$1,0))*1,0),
_xlpm._合計,_xlpm._一般検索+_xlpm._法人検索,
IF(_xlpm._合計=0,"",_xlpm._合計)
)</f>
        <v/>
      </c>
      <c r="AX10" s="224" t="str">
        <f>_xlfn.LET(
_xlpm._一般検索,IFERROR(INDEX('在庫使用計画 (一般)'!$A$1:$BF$391,MATCH($C10,'在庫使用計画 (一般)'!$C$1:$C$391,0),MATCH(AX$1,'在庫使用計画 (一般)'!$A$1:$BF$1,0))*1,0),
_xlpm._法人検索,IFERROR(INDEX('在庫使用計画 (法人)'!$A$1:$BF$391,MATCH($C10,'在庫使用計画 (法人)'!$C$1:$C$391,0),MATCH(AX$1,'在庫使用計画 (法人)'!$A$1:$BF$1,0))*1,0),
_xlpm._合計,_xlpm._一般検索+_xlpm._法人検索,
IF(_xlpm._合計=0,"",_xlpm._合計)
)</f>
        <v/>
      </c>
      <c r="AY10" s="224" t="str">
        <f>_xlfn.LET(
_xlpm._一般検索,IFERROR(INDEX('在庫使用計画 (一般)'!$A$1:$BF$391,MATCH($C10,'在庫使用計画 (一般)'!$C$1:$C$391,0),MATCH(AY$1,'在庫使用計画 (一般)'!$A$1:$BF$1,0))*1,0),
_xlpm._法人検索,IFERROR(INDEX('在庫使用計画 (法人)'!$A$1:$BF$391,MATCH($C10,'在庫使用計画 (法人)'!$C$1:$C$391,0),MATCH(AY$1,'在庫使用計画 (法人)'!$A$1:$BF$1,0))*1,0),
_xlpm._合計,_xlpm._一般検索+_xlpm._法人検索,
IF(_xlpm._合計=0,"",_xlpm._合計)
)</f>
        <v/>
      </c>
      <c r="AZ10" s="224" t="str">
        <f>_xlfn.LET(
_xlpm._一般検索,IFERROR(INDEX('在庫使用計画 (一般)'!$A$1:$BF$391,MATCH($C10,'在庫使用計画 (一般)'!$C$1:$C$391,0),MATCH(AZ$1,'在庫使用計画 (一般)'!$A$1:$BF$1,0))*1,0),
_xlpm._法人検索,IFERROR(INDEX('在庫使用計画 (法人)'!$A$1:$BF$391,MATCH($C10,'在庫使用計画 (法人)'!$C$1:$C$391,0),MATCH(AZ$1,'在庫使用計画 (法人)'!$A$1:$BF$1,0))*1,0),
_xlpm._合計,_xlpm._一般検索+_xlpm._法人検索,
IF(_xlpm._合計=0,"",_xlpm._合計)
)</f>
        <v/>
      </c>
      <c r="BA10" s="224" t="str">
        <f>_xlfn.LET(
_xlpm._一般検索,IFERROR(INDEX('在庫使用計画 (一般)'!$A$1:$BF$391,MATCH($C10,'在庫使用計画 (一般)'!$C$1:$C$391,0),MATCH(BA$1,'在庫使用計画 (一般)'!$A$1:$BF$1,0))*1,0),
_xlpm._法人検索,IFERROR(INDEX('在庫使用計画 (法人)'!$A$1:$BF$391,MATCH($C10,'在庫使用計画 (法人)'!$C$1:$C$391,0),MATCH(BA$1,'在庫使用計画 (法人)'!$A$1:$BF$1,0))*1,0),
_xlpm._合計,_xlpm._一般検索+_xlpm._法人検索,
IF(_xlpm._合計=0,"",_xlpm._合計)
)</f>
        <v/>
      </c>
      <c r="BB10" s="224" t="str">
        <f>_xlfn.LET(
_xlpm._一般検索,IFERROR(INDEX('在庫使用計画 (一般)'!$A$1:$BF$391,MATCH($C10,'在庫使用計画 (一般)'!$C$1:$C$391,0),MATCH(BB$1,'在庫使用計画 (一般)'!$A$1:$BF$1,0))*1,0),
_xlpm._法人検索,IFERROR(INDEX('在庫使用計画 (法人)'!$A$1:$BF$391,MATCH($C10,'在庫使用計画 (法人)'!$C$1:$C$391,0),MATCH(BB$1,'在庫使用計画 (法人)'!$A$1:$BF$1,0))*1,0),
_xlpm._合計,_xlpm._一般検索+_xlpm._法人検索,
IF(_xlpm._合計=0,"",_xlpm._合計)
)</f>
        <v/>
      </c>
      <c r="BC10" s="224" t="str">
        <f>_xlfn.LET(
_xlpm._一般検索,IFERROR(INDEX('在庫使用計画 (一般)'!$A$1:$BF$391,MATCH($C10,'在庫使用計画 (一般)'!$C$1:$C$391,0),MATCH(BC$1,'在庫使用計画 (一般)'!$A$1:$BF$1,0))*1,0),
_xlpm._法人検索,IFERROR(INDEX('在庫使用計画 (法人)'!$A$1:$BF$391,MATCH($C10,'在庫使用計画 (法人)'!$C$1:$C$391,0),MATCH(BC$1,'在庫使用計画 (法人)'!$A$1:$BF$1,0))*1,0),
_xlpm._合計,_xlpm._一般検索+_xlpm._法人検索,
IF(_xlpm._合計=0,"",_xlpm._合計)
)</f>
        <v/>
      </c>
      <c r="BD10" s="224" t="str">
        <f>_xlfn.LET(
_xlpm._一般検索,IFERROR(INDEX('在庫使用計画 (一般)'!$A$1:$BF$391,MATCH($C10,'在庫使用計画 (一般)'!$C$1:$C$391,0),MATCH(BD$1,'在庫使用計画 (一般)'!$A$1:$BF$1,0))*1,0),
_xlpm._法人検索,IFERROR(INDEX('在庫使用計画 (法人)'!$A$1:$BF$391,MATCH($C10,'在庫使用計画 (法人)'!$C$1:$C$391,0),MATCH(BD$1,'在庫使用計画 (法人)'!$A$1:$BF$1,0))*1,0),
_xlpm._合計,_xlpm._一般検索+_xlpm._法人検索,
IF(_xlpm._合計=0,"",_xlpm._合計)
)</f>
        <v/>
      </c>
      <c r="BE10" s="224" t="str">
        <f>_xlfn.LET(
_xlpm._一般検索,IFERROR(INDEX('在庫使用計画 (一般)'!$A$1:$BF$391,MATCH($C10,'在庫使用計画 (一般)'!$C$1:$C$391,0),MATCH(BE$1,'在庫使用計画 (一般)'!$A$1:$BF$1,0))*1,0),
_xlpm._法人検索,IFERROR(INDEX('在庫使用計画 (法人)'!$A$1:$BF$391,MATCH($C10,'在庫使用計画 (法人)'!$C$1:$C$391,0),MATCH(BE$1,'在庫使用計画 (法人)'!$A$1:$BF$1,0))*1,0),
_xlpm._合計,_xlpm._一般検索+_xlpm._法人検索,
IF(_xlpm._合計=0,"",_xlpm._合計)
)</f>
        <v/>
      </c>
      <c r="BF10" s="224" t="str">
        <f>_xlfn.LET(
_xlpm._一般検索,IFERROR(INDEX('在庫使用計画 (一般)'!$A$1:$BF$391,MATCH($C10,'在庫使用計画 (一般)'!$C$1:$C$391,0),MATCH(BF$1,'在庫使用計画 (一般)'!$A$1:$BF$1,0))*1,0),
_xlpm._法人検索,IFERROR(INDEX('在庫使用計画 (法人)'!$A$1:$BF$391,MATCH($C10,'在庫使用計画 (法人)'!$C$1:$C$391,0),MATCH(BF$1,'在庫使用計画 (法人)'!$A$1:$BF$1,0))*1,0),
_xlpm._合計,_xlpm._一般検索+_xlpm._法人検索,
IF(_xlpm._合計=0,"",_xlpm._合計)
)</f>
        <v/>
      </c>
      <c r="BG10" s="237" t="str">
        <f>_xlfn.LET(
_xlpm._一般検索,IFERROR(INDEX('在庫使用計画 (一般)'!$A$1:$BF$391,MATCH($C10,'在庫使用計画 (一般)'!$C$1:$C$391,0),MATCH(BG$1,'在庫使用計画 (一般)'!$A$1:$BF$1,0))*1,0),
_xlpm._法人検索,IFERROR(INDEX('在庫使用計画 (法人)'!$A$1:$BF$391,MATCH($C10,'在庫使用計画 (法人)'!$C$1:$C$391,0),MATCH(BG$1,'在庫使用計画 (法人)'!$A$1:$BF$1,0))*1,0),
_xlpm._合計,_xlpm._一般検索+_xlpm._法人検索,
IF(_xlpm._合計=0,"",_xlpm._合計)
)</f>
        <v/>
      </c>
      <c r="BH10" s="804" t="str">
        <f>_xlfn.LET(
_xlpm._一般検索,IFERROR(INDEX('在庫使用計画 (一般)'!$A$1:$BF$391,MATCH($C10,'在庫使用計画 (一般)'!$C$1:$C$391,0),MATCH(BH$1,'在庫使用計画 (一般)'!$A$1:$BF$1,0))*1,0),
_xlpm._法人検索,IFERROR(INDEX('在庫使用計画 (法人)'!$A$1:$BF$391,MATCH($C10,'在庫使用計画 (法人)'!$C$1:$C$391,0),MATCH(BH$1,'在庫使用計画 (法人)'!$A$1:$BF$1,0))*1,0),
_xlpm._合計,_xlpm._一般検索+_xlpm._法人検索,
IF(_xlpm._合計=0,"",_xlpm._合計)
)</f>
        <v/>
      </c>
      <c r="BI10" s="224" t="str">
        <f>_xlfn.LET(
_xlpm._一般検索,IFERROR(INDEX('在庫使用計画 (一般)'!$A$1:$BF$391,MATCH($C10,'在庫使用計画 (一般)'!$C$1:$C$391,0),MATCH(BI$1,'在庫使用計画 (一般)'!$A$1:$BF$1,0))*1,0),
_xlpm._法人検索,IFERROR(INDEX('在庫使用計画 (法人)'!$A$1:$BF$391,MATCH($C10,'在庫使用計画 (法人)'!$C$1:$C$391,0),MATCH(BI$1,'在庫使用計画 (法人)'!$A$1:$BF$1,0))*1,0),
_xlpm._合計,_xlpm._一般検索+_xlpm._法人検索,
IF(_xlpm._合計=0,"",_xlpm._合計)
)</f>
        <v/>
      </c>
      <c r="BJ10" s="224" t="str">
        <f>_xlfn.LET(
_xlpm._一般検索,IFERROR(INDEX('在庫使用計画 (一般)'!$A$1:$BF$391,MATCH($C10,'在庫使用計画 (一般)'!$C$1:$C$391,0),MATCH(BJ$1,'在庫使用計画 (一般)'!$A$1:$BF$1,0))*1,0),
_xlpm._法人検索,IFERROR(INDEX('在庫使用計画 (法人)'!$A$1:$BF$391,MATCH($C10,'在庫使用計画 (法人)'!$C$1:$C$391,0),MATCH(BJ$1,'在庫使用計画 (法人)'!$A$1:$BF$1,0))*1,0),
_xlpm._合計,_xlpm._一般検索+_xlpm._法人検索,
IF(_xlpm._合計=0,"",_xlpm._合計)
)</f>
        <v/>
      </c>
      <c r="BK10" s="224" t="str">
        <f>_xlfn.LET(
_xlpm._一般検索,IFERROR(INDEX('在庫使用計画 (一般)'!$A$1:$BF$391,MATCH($C10,'在庫使用計画 (一般)'!$C$1:$C$391,0),MATCH(BK$1,'在庫使用計画 (一般)'!$A$1:$BF$1,0))*1,0),
_xlpm._法人検索,IFERROR(INDEX('在庫使用計画 (法人)'!$A$1:$BF$391,MATCH($C10,'在庫使用計画 (法人)'!$C$1:$C$391,0),MATCH(BK$1,'在庫使用計画 (法人)'!$A$1:$BF$1,0))*1,0),
_xlpm._合計,_xlpm._一般検索+_xlpm._法人検索,
IF(_xlpm._合計=0,"",_xlpm._合計)
)</f>
        <v/>
      </c>
      <c r="BL10" s="224" t="str">
        <f>_xlfn.LET(
_xlpm._一般検索,IFERROR(INDEX('在庫使用計画 (一般)'!$A$1:$BF$391,MATCH($C10,'在庫使用計画 (一般)'!$C$1:$C$391,0),MATCH(BL$1,'在庫使用計画 (一般)'!$A$1:$BF$1,0))*1,0),
_xlpm._法人検索,IFERROR(INDEX('在庫使用計画 (法人)'!$A$1:$BF$391,MATCH($C10,'在庫使用計画 (法人)'!$C$1:$C$391,0),MATCH(BL$1,'在庫使用計画 (法人)'!$A$1:$BF$1,0))*1,0),
_xlpm._合計,_xlpm._一般検索+_xlpm._法人検索,
IF(_xlpm._合計=0,"",_xlpm._合計)
)</f>
        <v/>
      </c>
      <c r="BM10" s="224" t="str">
        <f>_xlfn.LET(
_xlpm._一般検索,IFERROR(INDEX('在庫使用計画 (一般)'!$A$1:$BF$391,MATCH($C10,'在庫使用計画 (一般)'!$C$1:$C$391,0),MATCH(BM$1,'在庫使用計画 (一般)'!$A$1:$BF$1,0))*1,0),
_xlpm._法人検索,IFERROR(INDEX('在庫使用計画 (法人)'!$A$1:$BF$391,MATCH($C10,'在庫使用計画 (法人)'!$C$1:$C$391,0),MATCH(BM$1,'在庫使用計画 (法人)'!$A$1:$BF$1,0))*1,0),
_xlpm._合計,_xlpm._一般検索+_xlpm._法人検索,
IF(_xlpm._合計=0,"",_xlpm._合計)
)</f>
        <v/>
      </c>
      <c r="BN10" s="224" t="str">
        <f>_xlfn.LET(
_xlpm._一般検索,IFERROR(INDEX('在庫使用計画 (一般)'!$A$1:$BF$391,MATCH($C10,'在庫使用計画 (一般)'!$C$1:$C$391,0),MATCH(BN$1,'在庫使用計画 (一般)'!$A$1:$BF$1,0))*1,0),
_xlpm._法人検索,IFERROR(INDEX('在庫使用計画 (法人)'!$A$1:$BF$391,MATCH($C10,'在庫使用計画 (法人)'!$C$1:$C$391,0),MATCH(BN$1,'在庫使用計画 (法人)'!$A$1:$BF$1,0))*1,0),
_xlpm._合計,_xlpm._一般検索+_xlpm._法人検索,
IF(_xlpm._合計=0,"",_xlpm._合計)
)</f>
        <v/>
      </c>
      <c r="BO10" s="224" t="str">
        <f>_xlfn.LET(
_xlpm._一般検索,IFERROR(INDEX('在庫使用計画 (一般)'!$A$1:$BF$391,MATCH($C10,'在庫使用計画 (一般)'!$C$1:$C$391,0),MATCH(BO$1,'在庫使用計画 (一般)'!$A$1:$BF$1,0))*1,0),
_xlpm._法人検索,IFERROR(INDEX('在庫使用計画 (法人)'!$A$1:$BF$391,MATCH($C10,'在庫使用計画 (法人)'!$C$1:$C$391,0),MATCH(BO$1,'在庫使用計画 (法人)'!$A$1:$BF$1,0))*1,0),
_xlpm._合計,_xlpm._一般検索+_xlpm._法人検索,
IF(_xlpm._合計=0,"",_xlpm._合計)
)</f>
        <v/>
      </c>
      <c r="BP10" s="224" t="str">
        <f>_xlfn.LET(
_xlpm._一般検索,IFERROR(INDEX('在庫使用計画 (一般)'!$A$1:$BF$391,MATCH($C10,'在庫使用計画 (一般)'!$C$1:$C$391,0),MATCH(BP$1,'在庫使用計画 (一般)'!$A$1:$BF$1,0))*1,0),
_xlpm._法人検索,IFERROR(INDEX('在庫使用計画 (法人)'!$A$1:$BF$391,MATCH($C10,'在庫使用計画 (法人)'!$C$1:$C$391,0),MATCH(BP$1,'在庫使用計画 (法人)'!$A$1:$BF$1,0))*1,0),
_xlpm._合計,_xlpm._一般検索+_xlpm._法人検索,
IF(_xlpm._合計=0,"",_xlpm._合計)
)</f>
        <v/>
      </c>
      <c r="BQ10" s="224" t="str">
        <f>_xlfn.LET(
_xlpm._一般検索,IFERROR(INDEX('在庫使用計画 (一般)'!$A$1:$BF$391,MATCH($C10,'在庫使用計画 (一般)'!$C$1:$C$391,0),MATCH(BQ$1,'在庫使用計画 (一般)'!$A$1:$BF$1,0))*1,0),
_xlpm._法人検索,IFERROR(INDEX('在庫使用計画 (法人)'!$A$1:$BF$391,MATCH($C10,'在庫使用計画 (法人)'!$C$1:$C$391,0),MATCH(BQ$1,'在庫使用計画 (法人)'!$A$1:$BF$1,0))*1,0),
_xlpm._合計,_xlpm._一般検索+_xlpm._法人検索,
IF(_xlpm._合計=0,"",_xlpm._合計)
)</f>
        <v/>
      </c>
      <c r="BR10" s="224" t="str">
        <f>_xlfn.LET(
_xlpm._一般検索,IFERROR(INDEX('在庫使用計画 (一般)'!$A$1:$BF$391,MATCH($C10,'在庫使用計画 (一般)'!$C$1:$C$391,0),MATCH(BR$1,'在庫使用計画 (一般)'!$A$1:$BF$1,0))*1,0),
_xlpm._法人検索,IFERROR(INDEX('在庫使用計画 (法人)'!$A$1:$BF$391,MATCH($C10,'在庫使用計画 (法人)'!$C$1:$C$391,0),MATCH(BR$1,'在庫使用計画 (法人)'!$A$1:$BF$1,0))*1,0),
_xlpm._合計,_xlpm._一般検索+_xlpm._法人検索,
IF(_xlpm._合計=0,"",_xlpm._合計)
)</f>
        <v/>
      </c>
      <c r="BS10" s="805" t="str">
        <f>_xlfn.LET(
_xlpm._一般検索,IFERROR(INDEX('在庫使用計画 (一般)'!$A$1:$BF$391,MATCH($C10,'在庫使用計画 (一般)'!$C$1:$C$391,0),MATCH(BS$1,'在庫使用計画 (一般)'!$A$1:$BF$1,0))*1,0),
_xlpm._法人検索,IFERROR(INDEX('在庫使用計画 (法人)'!$A$1:$BF$391,MATCH($C10,'在庫使用計画 (法人)'!$C$1:$C$391,0),MATCH(BS$1,'在庫使用計画 (法人)'!$A$1:$BF$1,0))*1,0),
_xlpm._合計,_xlpm._一般検索+_xlpm._法人検索,
IF(_xlpm._合計=0,"",_xlpm._合計)
)</f>
        <v/>
      </c>
      <c r="BT10" s="21"/>
    </row>
    <row r="11" spans="1:72" customFormat="1" ht="18.75" customHeight="1">
      <c r="A11" s="1059" t="s">
        <v>1632</v>
      </c>
      <c r="B11" s="26" t="str">
        <v>UNW-U-255HX-5060-L6</v>
      </c>
      <c r="C11" s="25" t="s">
        <v>256</v>
      </c>
      <c r="D11" s="2154">
        <v>786</v>
      </c>
      <c r="E11" s="26" t="s">
        <v>1721</v>
      </c>
      <c r="F11" s="24" t="s">
        <v>20</v>
      </c>
      <c r="G11" s="74">
        <v>5</v>
      </c>
      <c r="H11" s="38">
        <v>5</v>
      </c>
      <c r="I11" s="38" cm="1">
        <f t="array" ref="I11">IF($C11="","",
_xlfn.LET(
  _xlpm._見出し,$A$1:$BT$1,
  _xlpm._行,$A11:$BT11,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0</v>
      </c>
      <c r="J11" s="74" cm="1">
        <f t="array" ref="J11">_xlfn.LET(
  _xlpm._見出し,$A$1:$BS$1,
  _xlpm._行,$A11:$BS11,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IF($C11="","",_xlpm._四点五月計画合計)
)</f>
        <v>0</v>
      </c>
      <c r="K11" s="1458" t="str" cm="1">
        <f t="array" ref="K11">_xlfn.IFS(
  $C11="","",
  $G11="","発売前？",
  $G11=0,"在庫無し",
  TRUE,
  IFERROR(
    _xlfn.LET(
      _xlpm._在庫注残,     $G11,
      _xlpm._しきい値,     _xlpm._在庫注残 * 0.75,
      _xlpm._見出し元,     $L$1:$BU$1,
      _xlpm._計画,         $L11:$BU11,
      _xlpm._最新実績日,       基準データ!$C$5,
      _xlpm._今月1日,      EOMONTH(_xlpm._最新実績日, -1) + 1,
      _xlpm._月末日,       EOMONTH(_xlpm._最新実績日, 0),
      _xlpm._今月位置,     _xlfn.XMATCH(_xlpm._今月1日, _xlpm._見出し元),
      _xlpm._今月計画按分, N(INDEX(_xlpm._計画, 1, _xlpm._今月位置))
                      * (_xlpm._月末日 - _xlpm._最新実績日)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計画なし</v>
      </c>
      <c r="L11" s="311"/>
      <c r="M11" s="311"/>
      <c r="N11" s="311"/>
      <c r="O11" s="311"/>
      <c r="P11" s="311"/>
      <c r="Q11" s="311"/>
      <c r="R11" s="311"/>
      <c r="S11" s="311"/>
      <c r="T11" s="298"/>
      <c r="U11" s="298"/>
      <c r="V11" s="298"/>
      <c r="W11" s="298"/>
      <c r="X11" s="299"/>
      <c r="Y11" s="299"/>
      <c r="Z11" s="299"/>
      <c r="AA11" s="299"/>
      <c r="AB11" s="224" t="s">
        <v>21</v>
      </c>
      <c r="AC11" s="471" t="s">
        <v>21</v>
      </c>
      <c r="AD11" s="224" t="s">
        <v>21</v>
      </c>
      <c r="AE11" s="224">
        <v>20</v>
      </c>
      <c r="AF11" s="224">
        <v>140</v>
      </c>
      <c r="AG11" s="224">
        <v>41.992692142991729</v>
      </c>
      <c r="AH11" s="224">
        <v>40.726888702177547</v>
      </c>
      <c r="AI11" s="237">
        <v>9.8888888888888893</v>
      </c>
      <c r="AJ11" s="804">
        <v>24.019283614591487</v>
      </c>
      <c r="AK11" s="224">
        <v>12.322016302403568</v>
      </c>
      <c r="AL11" s="224">
        <v>25.409459688659929</v>
      </c>
      <c r="AM11" s="224">
        <v>134</v>
      </c>
      <c r="AN11" s="224">
        <f>_xlfn.LET(
_xlpm._一般検索,IFERROR(INDEX('在庫使用計画 (一般)'!$A$1:$BF$391,MATCH($C11,'在庫使用計画 (一般)'!$C$1:$C$391,0),MATCH(AN$1,'在庫使用計画 (一般)'!$A$1:$BF$1,0))*1,0),
_xlpm._法人検索,IFERROR(INDEX('在庫使用計画 (法人)'!$A$1:$BF$391,MATCH($C11,'在庫使用計画 (法人)'!$C$1:$C$391,0),MATCH(AN$1,'在庫使用計画 (法人)'!$A$1:$BF$1,0))*1,0),
_xlpm._合計,_xlpm._一般検索+_xlpm._法人検索,
IF(_xlpm._合計=0,"",_xlpm._合計)
)</f>
        <v>230</v>
      </c>
      <c r="AO11" s="224" t="str">
        <f>_xlfn.LET(
_xlpm._一般検索,IFERROR(INDEX('在庫使用計画 (一般)'!$A$1:$BF$391,MATCH($C11,'在庫使用計画 (一般)'!$C$1:$C$391,0),MATCH(AO$1,'在庫使用計画 (一般)'!$A$1:$BF$1,0))*1,0),
_xlpm._法人検索,IFERROR(INDEX('在庫使用計画 (法人)'!$A$1:$BF$391,MATCH($C11,'在庫使用計画 (法人)'!$C$1:$C$391,0),MATCH(AO$1,'在庫使用計画 (法人)'!$A$1:$BF$1,0))*1,0),
_xlpm._合計,_xlpm._一般検索+_xlpm._法人検索,
IF(_xlpm._合計=0,"",_xlpm._合計)
)</f>
        <v/>
      </c>
      <c r="AP11" s="224" t="str">
        <f>_xlfn.LET(
_xlpm._一般検索,IFERROR(INDEX('在庫使用計画 (一般)'!$A$1:$BF$391,MATCH($C11,'在庫使用計画 (一般)'!$C$1:$C$391,0),MATCH(AP$1,'在庫使用計画 (一般)'!$A$1:$BF$1,0))*1,0),
_xlpm._法人検索,IFERROR(INDEX('在庫使用計画 (法人)'!$A$1:$BF$391,MATCH($C11,'在庫使用計画 (法人)'!$C$1:$C$391,0),MATCH(AP$1,'在庫使用計画 (法人)'!$A$1:$BF$1,0))*1,0),
_xlpm._合計,_xlpm._一般検索+_xlpm._法人検索,
IF(_xlpm._合計=0,"",_xlpm._合計)
)</f>
        <v/>
      </c>
      <c r="AQ11" s="224" t="str">
        <f>_xlfn.LET(
_xlpm._一般検索,IFERROR(INDEX('在庫使用計画 (一般)'!$A$1:$BF$391,MATCH($C11,'在庫使用計画 (一般)'!$C$1:$C$391,0),MATCH(AQ$1,'在庫使用計画 (一般)'!$A$1:$BF$1,0))*1,0),
_xlpm._法人検索,IFERROR(INDEX('在庫使用計画 (法人)'!$A$1:$BF$391,MATCH($C11,'在庫使用計画 (法人)'!$C$1:$C$391,0),MATCH(AQ$1,'在庫使用計画 (法人)'!$A$1:$BF$1,0))*1,0),
_xlpm._合計,_xlpm._一般検索+_xlpm._法人検索,
IF(_xlpm._合計=0,"",_xlpm._合計)
)</f>
        <v/>
      </c>
      <c r="AR11" s="224" t="str">
        <f>_xlfn.LET(
_xlpm._一般検索,IFERROR(INDEX('在庫使用計画 (一般)'!$A$1:$BF$391,MATCH($C11,'在庫使用計画 (一般)'!$C$1:$C$391,0),MATCH(AR$1,'在庫使用計画 (一般)'!$A$1:$BF$1,0))*1,0),
_xlpm._法人検索,IFERROR(INDEX('在庫使用計画 (法人)'!$A$1:$BF$391,MATCH($C11,'在庫使用計画 (法人)'!$C$1:$C$391,0),MATCH(AR$1,'在庫使用計画 (法人)'!$A$1:$BF$1,0))*1,0),
_xlpm._合計,_xlpm._一般検索+_xlpm._法人検索,
IF(_xlpm._合計=0,"",_xlpm._合計)
)</f>
        <v/>
      </c>
      <c r="AS11" s="224" t="str">
        <f>_xlfn.LET(
_xlpm._一般検索,IFERROR(INDEX('在庫使用計画 (一般)'!$A$1:$BF$391,MATCH($C11,'在庫使用計画 (一般)'!$C$1:$C$391,0),MATCH(AS$1,'在庫使用計画 (一般)'!$A$1:$BF$1,0))*1,0),
_xlpm._法人検索,IFERROR(INDEX('在庫使用計画 (法人)'!$A$1:$BF$391,MATCH($C11,'在庫使用計画 (法人)'!$C$1:$C$391,0),MATCH(AS$1,'在庫使用計画 (法人)'!$A$1:$BF$1,0))*1,0),
_xlpm._合計,_xlpm._一般検索+_xlpm._法人検索,
IF(_xlpm._合計=0,"",_xlpm._合計)
)</f>
        <v/>
      </c>
      <c r="AT11" s="224" t="str">
        <f>_xlfn.LET(
_xlpm._一般検索,IFERROR(INDEX('在庫使用計画 (一般)'!$A$1:$BF$391,MATCH($C11,'在庫使用計画 (一般)'!$C$1:$C$391,0),MATCH(AT$1,'在庫使用計画 (一般)'!$A$1:$BF$1,0))*1,0),
_xlpm._法人検索,IFERROR(INDEX('在庫使用計画 (法人)'!$A$1:$BF$391,MATCH($C11,'在庫使用計画 (法人)'!$C$1:$C$391,0),MATCH(AT$1,'在庫使用計画 (法人)'!$A$1:$BF$1,0))*1,0),
_xlpm._合計,_xlpm._一般検索+_xlpm._法人検索,
IF(_xlpm._合計=0,"",_xlpm._合計)
)</f>
        <v/>
      </c>
      <c r="AU11" s="805" t="str">
        <f>_xlfn.LET(
_xlpm._一般検索,IFERROR(INDEX('在庫使用計画 (一般)'!$A$1:$BF$391,MATCH($C11,'在庫使用計画 (一般)'!$C$1:$C$391,0),MATCH(AU$1,'在庫使用計画 (一般)'!$A$1:$BF$1,0))*1,0),
_xlpm._法人検索,IFERROR(INDEX('在庫使用計画 (法人)'!$A$1:$BF$391,MATCH($C11,'在庫使用計画 (法人)'!$C$1:$C$391,0),MATCH(AU$1,'在庫使用計画 (法人)'!$A$1:$BF$1,0))*1,0),
_xlpm._合計,_xlpm._一般検索+_xlpm._法人検索,
IF(_xlpm._合計=0,"",_xlpm._合計)
)</f>
        <v/>
      </c>
      <c r="AV11" s="244" t="str">
        <f>_xlfn.LET(
_xlpm._一般検索,IFERROR(INDEX('在庫使用計画 (一般)'!$A$1:$BF$391,MATCH($C11,'在庫使用計画 (一般)'!$C$1:$C$391,0),MATCH(AV$1,'在庫使用計画 (一般)'!$A$1:$BF$1,0))*1,0),
_xlpm._法人検索,IFERROR(INDEX('在庫使用計画 (法人)'!$A$1:$BF$391,MATCH($C11,'在庫使用計画 (法人)'!$C$1:$C$391,0),MATCH(AV$1,'在庫使用計画 (法人)'!$A$1:$BF$1,0))*1,0),
_xlpm._合計,_xlpm._一般検索+_xlpm._法人検索,
IF(_xlpm._合計=0,"",_xlpm._合計)
)</f>
        <v/>
      </c>
      <c r="AW11" s="224" t="str">
        <f>_xlfn.LET(
_xlpm._一般検索,IFERROR(INDEX('在庫使用計画 (一般)'!$A$1:$BF$391,MATCH($C11,'在庫使用計画 (一般)'!$C$1:$C$391,0),MATCH(AW$1,'在庫使用計画 (一般)'!$A$1:$BF$1,0))*1,0),
_xlpm._法人検索,IFERROR(INDEX('在庫使用計画 (法人)'!$A$1:$BF$391,MATCH($C11,'在庫使用計画 (法人)'!$C$1:$C$391,0),MATCH(AW$1,'在庫使用計画 (法人)'!$A$1:$BF$1,0))*1,0),
_xlpm._合計,_xlpm._一般検索+_xlpm._法人検索,
IF(_xlpm._合計=0,"",_xlpm._合計)
)</f>
        <v/>
      </c>
      <c r="AX11" s="224" t="str">
        <f>_xlfn.LET(
_xlpm._一般検索,IFERROR(INDEX('在庫使用計画 (一般)'!$A$1:$BF$391,MATCH($C11,'在庫使用計画 (一般)'!$C$1:$C$391,0),MATCH(AX$1,'在庫使用計画 (一般)'!$A$1:$BF$1,0))*1,0),
_xlpm._法人検索,IFERROR(INDEX('在庫使用計画 (法人)'!$A$1:$BF$391,MATCH($C11,'在庫使用計画 (法人)'!$C$1:$C$391,0),MATCH(AX$1,'在庫使用計画 (法人)'!$A$1:$BF$1,0))*1,0),
_xlpm._合計,_xlpm._一般検索+_xlpm._法人検索,
IF(_xlpm._合計=0,"",_xlpm._合計)
)</f>
        <v/>
      </c>
      <c r="AY11" s="224" t="str">
        <f>_xlfn.LET(
_xlpm._一般検索,IFERROR(INDEX('在庫使用計画 (一般)'!$A$1:$BF$391,MATCH($C11,'在庫使用計画 (一般)'!$C$1:$C$391,0),MATCH(AY$1,'在庫使用計画 (一般)'!$A$1:$BF$1,0))*1,0),
_xlpm._法人検索,IFERROR(INDEX('在庫使用計画 (法人)'!$A$1:$BF$391,MATCH($C11,'在庫使用計画 (法人)'!$C$1:$C$391,0),MATCH(AY$1,'在庫使用計画 (法人)'!$A$1:$BF$1,0))*1,0),
_xlpm._合計,_xlpm._一般検索+_xlpm._法人検索,
IF(_xlpm._合計=0,"",_xlpm._合計)
)</f>
        <v/>
      </c>
      <c r="AZ11" s="224" t="str">
        <f>_xlfn.LET(
_xlpm._一般検索,IFERROR(INDEX('在庫使用計画 (一般)'!$A$1:$BF$391,MATCH($C11,'在庫使用計画 (一般)'!$C$1:$C$391,0),MATCH(AZ$1,'在庫使用計画 (一般)'!$A$1:$BF$1,0))*1,0),
_xlpm._法人検索,IFERROR(INDEX('在庫使用計画 (法人)'!$A$1:$BF$391,MATCH($C11,'在庫使用計画 (法人)'!$C$1:$C$391,0),MATCH(AZ$1,'在庫使用計画 (法人)'!$A$1:$BF$1,0))*1,0),
_xlpm._合計,_xlpm._一般検索+_xlpm._法人検索,
IF(_xlpm._合計=0,"",_xlpm._合計)
)</f>
        <v/>
      </c>
      <c r="BA11" s="224" t="str">
        <f>_xlfn.LET(
_xlpm._一般検索,IFERROR(INDEX('在庫使用計画 (一般)'!$A$1:$BF$391,MATCH($C11,'在庫使用計画 (一般)'!$C$1:$C$391,0),MATCH(BA$1,'在庫使用計画 (一般)'!$A$1:$BF$1,0))*1,0),
_xlpm._法人検索,IFERROR(INDEX('在庫使用計画 (法人)'!$A$1:$BF$391,MATCH($C11,'在庫使用計画 (法人)'!$C$1:$C$391,0),MATCH(BA$1,'在庫使用計画 (法人)'!$A$1:$BF$1,0))*1,0),
_xlpm._合計,_xlpm._一般検索+_xlpm._法人検索,
IF(_xlpm._合計=0,"",_xlpm._合計)
)</f>
        <v/>
      </c>
      <c r="BB11" s="224" t="str">
        <f>_xlfn.LET(
_xlpm._一般検索,IFERROR(INDEX('在庫使用計画 (一般)'!$A$1:$BF$391,MATCH($C11,'在庫使用計画 (一般)'!$C$1:$C$391,0),MATCH(BB$1,'在庫使用計画 (一般)'!$A$1:$BF$1,0))*1,0),
_xlpm._法人検索,IFERROR(INDEX('在庫使用計画 (法人)'!$A$1:$BF$391,MATCH($C11,'在庫使用計画 (法人)'!$C$1:$C$391,0),MATCH(BB$1,'在庫使用計画 (法人)'!$A$1:$BF$1,0))*1,0),
_xlpm._合計,_xlpm._一般検索+_xlpm._法人検索,
IF(_xlpm._合計=0,"",_xlpm._合計)
)</f>
        <v/>
      </c>
      <c r="BC11" s="224" t="str">
        <f>_xlfn.LET(
_xlpm._一般検索,IFERROR(INDEX('在庫使用計画 (一般)'!$A$1:$BF$391,MATCH($C11,'在庫使用計画 (一般)'!$C$1:$C$391,0),MATCH(BC$1,'在庫使用計画 (一般)'!$A$1:$BF$1,0))*1,0),
_xlpm._法人検索,IFERROR(INDEX('在庫使用計画 (法人)'!$A$1:$BF$391,MATCH($C11,'在庫使用計画 (法人)'!$C$1:$C$391,0),MATCH(BC$1,'在庫使用計画 (法人)'!$A$1:$BF$1,0))*1,0),
_xlpm._合計,_xlpm._一般検索+_xlpm._法人検索,
IF(_xlpm._合計=0,"",_xlpm._合計)
)</f>
        <v/>
      </c>
      <c r="BD11" s="224" t="str">
        <f>_xlfn.LET(
_xlpm._一般検索,IFERROR(INDEX('在庫使用計画 (一般)'!$A$1:$BF$391,MATCH($C11,'在庫使用計画 (一般)'!$C$1:$C$391,0),MATCH(BD$1,'在庫使用計画 (一般)'!$A$1:$BF$1,0))*1,0),
_xlpm._法人検索,IFERROR(INDEX('在庫使用計画 (法人)'!$A$1:$BF$391,MATCH($C11,'在庫使用計画 (法人)'!$C$1:$C$391,0),MATCH(BD$1,'在庫使用計画 (法人)'!$A$1:$BF$1,0))*1,0),
_xlpm._合計,_xlpm._一般検索+_xlpm._法人検索,
IF(_xlpm._合計=0,"",_xlpm._合計)
)</f>
        <v/>
      </c>
      <c r="BE11" s="224" t="str">
        <f>_xlfn.LET(
_xlpm._一般検索,IFERROR(INDEX('在庫使用計画 (一般)'!$A$1:$BF$391,MATCH($C11,'在庫使用計画 (一般)'!$C$1:$C$391,0),MATCH(BE$1,'在庫使用計画 (一般)'!$A$1:$BF$1,0))*1,0),
_xlpm._法人検索,IFERROR(INDEX('在庫使用計画 (法人)'!$A$1:$BF$391,MATCH($C11,'在庫使用計画 (法人)'!$C$1:$C$391,0),MATCH(BE$1,'在庫使用計画 (法人)'!$A$1:$BF$1,0))*1,0),
_xlpm._合計,_xlpm._一般検索+_xlpm._法人検索,
IF(_xlpm._合計=0,"",_xlpm._合計)
)</f>
        <v/>
      </c>
      <c r="BF11" s="224" t="str">
        <f>_xlfn.LET(
_xlpm._一般検索,IFERROR(INDEX('在庫使用計画 (一般)'!$A$1:$BF$391,MATCH($C11,'在庫使用計画 (一般)'!$C$1:$C$391,0),MATCH(BF$1,'在庫使用計画 (一般)'!$A$1:$BF$1,0))*1,0),
_xlpm._法人検索,IFERROR(INDEX('在庫使用計画 (法人)'!$A$1:$BF$391,MATCH($C11,'在庫使用計画 (法人)'!$C$1:$C$391,0),MATCH(BF$1,'在庫使用計画 (法人)'!$A$1:$BF$1,0))*1,0),
_xlpm._合計,_xlpm._一般検索+_xlpm._法人検索,
IF(_xlpm._合計=0,"",_xlpm._合計)
)</f>
        <v/>
      </c>
      <c r="BG11" s="237" t="str">
        <f>_xlfn.LET(
_xlpm._一般検索,IFERROR(INDEX('在庫使用計画 (一般)'!$A$1:$BF$391,MATCH($C11,'在庫使用計画 (一般)'!$C$1:$C$391,0),MATCH(BG$1,'在庫使用計画 (一般)'!$A$1:$BF$1,0))*1,0),
_xlpm._法人検索,IFERROR(INDEX('在庫使用計画 (法人)'!$A$1:$BF$391,MATCH($C11,'在庫使用計画 (法人)'!$C$1:$C$391,0),MATCH(BG$1,'在庫使用計画 (法人)'!$A$1:$BF$1,0))*1,0),
_xlpm._合計,_xlpm._一般検索+_xlpm._法人検索,
IF(_xlpm._合計=0,"",_xlpm._合計)
)</f>
        <v/>
      </c>
      <c r="BH11" s="804" t="str">
        <f>_xlfn.LET(
_xlpm._一般検索,IFERROR(INDEX('在庫使用計画 (一般)'!$A$1:$BF$391,MATCH($C11,'在庫使用計画 (一般)'!$C$1:$C$391,0),MATCH(BH$1,'在庫使用計画 (一般)'!$A$1:$BF$1,0))*1,0),
_xlpm._法人検索,IFERROR(INDEX('在庫使用計画 (法人)'!$A$1:$BF$391,MATCH($C11,'在庫使用計画 (法人)'!$C$1:$C$391,0),MATCH(BH$1,'在庫使用計画 (法人)'!$A$1:$BF$1,0))*1,0),
_xlpm._合計,_xlpm._一般検索+_xlpm._法人検索,
IF(_xlpm._合計=0,"",_xlpm._合計)
)</f>
        <v/>
      </c>
      <c r="BI11" s="224" t="str">
        <f>_xlfn.LET(
_xlpm._一般検索,IFERROR(INDEX('在庫使用計画 (一般)'!$A$1:$BF$391,MATCH($C11,'在庫使用計画 (一般)'!$C$1:$C$391,0),MATCH(BI$1,'在庫使用計画 (一般)'!$A$1:$BF$1,0))*1,0),
_xlpm._法人検索,IFERROR(INDEX('在庫使用計画 (法人)'!$A$1:$BF$391,MATCH($C11,'在庫使用計画 (法人)'!$C$1:$C$391,0),MATCH(BI$1,'在庫使用計画 (法人)'!$A$1:$BF$1,0))*1,0),
_xlpm._合計,_xlpm._一般検索+_xlpm._法人検索,
IF(_xlpm._合計=0,"",_xlpm._合計)
)</f>
        <v/>
      </c>
      <c r="BJ11" s="224" t="str">
        <f>_xlfn.LET(
_xlpm._一般検索,IFERROR(INDEX('在庫使用計画 (一般)'!$A$1:$BF$391,MATCH($C11,'在庫使用計画 (一般)'!$C$1:$C$391,0),MATCH(BJ$1,'在庫使用計画 (一般)'!$A$1:$BF$1,0))*1,0),
_xlpm._法人検索,IFERROR(INDEX('在庫使用計画 (法人)'!$A$1:$BF$391,MATCH($C11,'在庫使用計画 (法人)'!$C$1:$C$391,0),MATCH(BJ$1,'在庫使用計画 (法人)'!$A$1:$BF$1,0))*1,0),
_xlpm._合計,_xlpm._一般検索+_xlpm._法人検索,
IF(_xlpm._合計=0,"",_xlpm._合計)
)</f>
        <v/>
      </c>
      <c r="BK11" s="224" t="str">
        <f>_xlfn.LET(
_xlpm._一般検索,IFERROR(INDEX('在庫使用計画 (一般)'!$A$1:$BF$391,MATCH($C11,'在庫使用計画 (一般)'!$C$1:$C$391,0),MATCH(BK$1,'在庫使用計画 (一般)'!$A$1:$BF$1,0))*1,0),
_xlpm._法人検索,IFERROR(INDEX('在庫使用計画 (法人)'!$A$1:$BF$391,MATCH($C11,'在庫使用計画 (法人)'!$C$1:$C$391,0),MATCH(BK$1,'在庫使用計画 (法人)'!$A$1:$BF$1,0))*1,0),
_xlpm._合計,_xlpm._一般検索+_xlpm._法人検索,
IF(_xlpm._合計=0,"",_xlpm._合計)
)</f>
        <v/>
      </c>
      <c r="BL11" s="224" t="str">
        <f>_xlfn.LET(
_xlpm._一般検索,IFERROR(INDEX('在庫使用計画 (一般)'!$A$1:$BF$391,MATCH($C11,'在庫使用計画 (一般)'!$C$1:$C$391,0),MATCH(BL$1,'在庫使用計画 (一般)'!$A$1:$BF$1,0))*1,0),
_xlpm._法人検索,IFERROR(INDEX('在庫使用計画 (法人)'!$A$1:$BF$391,MATCH($C11,'在庫使用計画 (法人)'!$C$1:$C$391,0),MATCH(BL$1,'在庫使用計画 (法人)'!$A$1:$BF$1,0))*1,0),
_xlpm._合計,_xlpm._一般検索+_xlpm._法人検索,
IF(_xlpm._合計=0,"",_xlpm._合計)
)</f>
        <v/>
      </c>
      <c r="BM11" s="224" t="str">
        <f>_xlfn.LET(
_xlpm._一般検索,IFERROR(INDEX('在庫使用計画 (一般)'!$A$1:$BF$391,MATCH($C11,'在庫使用計画 (一般)'!$C$1:$C$391,0),MATCH(BM$1,'在庫使用計画 (一般)'!$A$1:$BF$1,0))*1,0),
_xlpm._法人検索,IFERROR(INDEX('在庫使用計画 (法人)'!$A$1:$BF$391,MATCH($C11,'在庫使用計画 (法人)'!$C$1:$C$391,0),MATCH(BM$1,'在庫使用計画 (法人)'!$A$1:$BF$1,0))*1,0),
_xlpm._合計,_xlpm._一般検索+_xlpm._法人検索,
IF(_xlpm._合計=0,"",_xlpm._合計)
)</f>
        <v/>
      </c>
      <c r="BN11" s="224" t="str">
        <f>_xlfn.LET(
_xlpm._一般検索,IFERROR(INDEX('在庫使用計画 (一般)'!$A$1:$BF$391,MATCH($C11,'在庫使用計画 (一般)'!$C$1:$C$391,0),MATCH(BN$1,'在庫使用計画 (一般)'!$A$1:$BF$1,0))*1,0),
_xlpm._法人検索,IFERROR(INDEX('在庫使用計画 (法人)'!$A$1:$BF$391,MATCH($C11,'在庫使用計画 (法人)'!$C$1:$C$391,0),MATCH(BN$1,'在庫使用計画 (法人)'!$A$1:$BF$1,0))*1,0),
_xlpm._合計,_xlpm._一般検索+_xlpm._法人検索,
IF(_xlpm._合計=0,"",_xlpm._合計)
)</f>
        <v/>
      </c>
      <c r="BO11" s="224" t="str">
        <f>_xlfn.LET(
_xlpm._一般検索,IFERROR(INDEX('在庫使用計画 (一般)'!$A$1:$BF$391,MATCH($C11,'在庫使用計画 (一般)'!$C$1:$C$391,0),MATCH(BO$1,'在庫使用計画 (一般)'!$A$1:$BF$1,0))*1,0),
_xlpm._法人検索,IFERROR(INDEX('在庫使用計画 (法人)'!$A$1:$BF$391,MATCH($C11,'在庫使用計画 (法人)'!$C$1:$C$391,0),MATCH(BO$1,'在庫使用計画 (法人)'!$A$1:$BF$1,0))*1,0),
_xlpm._合計,_xlpm._一般検索+_xlpm._法人検索,
IF(_xlpm._合計=0,"",_xlpm._合計)
)</f>
        <v/>
      </c>
      <c r="BP11" s="224" t="str">
        <f>_xlfn.LET(
_xlpm._一般検索,IFERROR(INDEX('在庫使用計画 (一般)'!$A$1:$BF$391,MATCH($C11,'在庫使用計画 (一般)'!$C$1:$C$391,0),MATCH(BP$1,'在庫使用計画 (一般)'!$A$1:$BF$1,0))*1,0),
_xlpm._法人検索,IFERROR(INDEX('在庫使用計画 (法人)'!$A$1:$BF$391,MATCH($C11,'在庫使用計画 (法人)'!$C$1:$C$391,0),MATCH(BP$1,'在庫使用計画 (法人)'!$A$1:$BF$1,0))*1,0),
_xlpm._合計,_xlpm._一般検索+_xlpm._法人検索,
IF(_xlpm._合計=0,"",_xlpm._合計)
)</f>
        <v/>
      </c>
      <c r="BQ11" s="224" t="str">
        <f>_xlfn.LET(
_xlpm._一般検索,IFERROR(INDEX('在庫使用計画 (一般)'!$A$1:$BF$391,MATCH($C11,'在庫使用計画 (一般)'!$C$1:$C$391,0),MATCH(BQ$1,'在庫使用計画 (一般)'!$A$1:$BF$1,0))*1,0),
_xlpm._法人検索,IFERROR(INDEX('在庫使用計画 (法人)'!$A$1:$BF$391,MATCH($C11,'在庫使用計画 (法人)'!$C$1:$C$391,0),MATCH(BQ$1,'在庫使用計画 (法人)'!$A$1:$BF$1,0))*1,0),
_xlpm._合計,_xlpm._一般検索+_xlpm._法人検索,
IF(_xlpm._合計=0,"",_xlpm._合計)
)</f>
        <v/>
      </c>
      <c r="BR11" s="224" t="str">
        <f>_xlfn.LET(
_xlpm._一般検索,IFERROR(INDEX('在庫使用計画 (一般)'!$A$1:$BF$391,MATCH($C11,'在庫使用計画 (一般)'!$C$1:$C$391,0),MATCH(BR$1,'在庫使用計画 (一般)'!$A$1:$BF$1,0))*1,0),
_xlpm._法人検索,IFERROR(INDEX('在庫使用計画 (法人)'!$A$1:$BF$391,MATCH($C11,'在庫使用計画 (法人)'!$C$1:$C$391,0),MATCH(BR$1,'在庫使用計画 (法人)'!$A$1:$BF$1,0))*1,0),
_xlpm._合計,_xlpm._一般検索+_xlpm._法人検索,
IF(_xlpm._合計=0,"",_xlpm._合計)
)</f>
        <v/>
      </c>
      <c r="BS11" s="805" t="str">
        <f>_xlfn.LET(
_xlpm._一般検索,IFERROR(INDEX('在庫使用計画 (一般)'!$A$1:$BF$391,MATCH($C11,'在庫使用計画 (一般)'!$C$1:$C$391,0),MATCH(BS$1,'在庫使用計画 (一般)'!$A$1:$BF$1,0))*1,0),
_xlpm._法人検索,IFERROR(INDEX('在庫使用計画 (法人)'!$A$1:$BF$391,MATCH($C11,'在庫使用計画 (法人)'!$C$1:$C$391,0),MATCH(BS$1,'在庫使用計画 (法人)'!$A$1:$BF$1,0))*1,0),
_xlpm._合計,_xlpm._一般検索+_xlpm._法人検索,
IF(_xlpm._合計=0,"",_xlpm._合計)
)</f>
        <v/>
      </c>
      <c r="BT11" s="21"/>
    </row>
    <row r="12" spans="1:72" customFormat="1" ht="18.75" customHeight="1">
      <c r="A12" s="1059"/>
      <c r="B12" s="26" t="str">
        <v/>
      </c>
      <c r="C12" s="26"/>
      <c r="D12" s="2153" t="str">
        <v/>
      </c>
      <c r="E12" s="26"/>
      <c r="F12" s="26"/>
      <c r="G12" s="74" t="str">
        <v/>
      </c>
      <c r="H12" s="382" t="str">
        <v/>
      </c>
      <c r="I12" s="38" t="str" cm="1">
        <f t="array" ref="I12">IF($C12="","",
_xlfn.LET(
  _xlpm._見出し,$A$1:$BT$1,
  _xlpm._行,$A12:$BT12,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
      </c>
      <c r="J12" s="74" t="str" cm="1">
        <f t="array" ref="J12">_xlfn.LET(
  _xlpm._見出し,$A$1:$BS$1,
  _xlpm._行,$A12:$BS12,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IF($C12="","",_xlpm._四点五月計画合計)
)</f>
        <v/>
      </c>
      <c r="K12" s="1458" t="str" cm="1">
        <f t="array" ref="K12">_xlfn.IFS(
  $C12="","",
  $G12="","発売前？",
  $G12=0,"在庫無し",
  TRUE,
  IFERROR(
    _xlfn.LET(
      _xlpm._在庫注残,     $G12,
      _xlpm._しきい値,     _xlpm._在庫注残 * 0.75,
      _xlpm._見出し元,     $L$1:$BU$1,
      _xlpm._計画,         $L12:$BU12,
      _xlpm._最新実績日,       基準データ!$C$5,
      _xlpm._今月1日,      EOMONTH(_xlpm._最新実績日, -1) + 1,
      _xlpm._月末日,       EOMONTH(_xlpm._最新実績日, 0),
      _xlpm._今月位置,     _xlfn.XMATCH(_xlpm._今月1日, _xlpm._見出し元),
      _xlpm._今月計画按分, N(INDEX(_xlpm._計画, 1, _xlpm._今月位置))
                      * (_xlpm._月末日 - _xlpm._最新実績日)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
      </c>
      <c r="L12" s="38"/>
      <c r="M12" s="38"/>
      <c r="N12" s="38"/>
      <c r="O12" s="38"/>
      <c r="P12" s="38"/>
      <c r="Q12" s="38"/>
      <c r="R12" s="38"/>
      <c r="S12" s="38"/>
      <c r="T12" s="219"/>
      <c r="U12" s="219"/>
      <c r="V12" s="219"/>
      <c r="W12" s="219"/>
      <c r="X12" s="224"/>
      <c r="Y12" s="224"/>
      <c r="Z12" s="224"/>
      <c r="AA12" s="237"/>
      <c r="AB12" s="224"/>
      <c r="AC12" s="224" t="s">
        <v>21</v>
      </c>
      <c r="AD12" s="224" t="s">
        <v>21</v>
      </c>
      <c r="AE12" s="224" t="s">
        <v>21</v>
      </c>
      <c r="AF12" s="224" t="s">
        <v>21</v>
      </c>
      <c r="AG12" s="224" t="s">
        <v>21</v>
      </c>
      <c r="AH12" s="224" t="s">
        <v>21</v>
      </c>
      <c r="AI12" s="237" t="s">
        <v>21</v>
      </c>
      <c r="AJ12" s="804" t="s">
        <v>21</v>
      </c>
      <c r="AK12" s="224" t="s">
        <v>21</v>
      </c>
      <c r="AL12" s="224" t="s">
        <v>21</v>
      </c>
      <c r="AM12" s="224" t="s">
        <v>21</v>
      </c>
      <c r="AN12" s="224" t="str">
        <f>_xlfn.LET(
_xlpm._一般検索,IFERROR(INDEX('在庫使用計画 (一般)'!$A$1:$BF$391,MATCH($C12,'在庫使用計画 (一般)'!$C$1:$C$391,0),MATCH(AN$1,'在庫使用計画 (一般)'!$A$1:$BF$1,0))*1,0),
_xlpm._法人検索,IFERROR(INDEX('在庫使用計画 (法人)'!$A$1:$BF$391,MATCH($C12,'在庫使用計画 (法人)'!$C$1:$C$391,0),MATCH(AN$1,'在庫使用計画 (法人)'!$A$1:$BF$1,0))*1,0),
_xlpm._合計,_xlpm._一般検索+_xlpm._法人検索,
IF(_xlpm._合計=0,"",_xlpm._合計)
)</f>
        <v/>
      </c>
      <c r="AO12" s="224" t="str">
        <f>_xlfn.LET(
_xlpm._一般検索,IFERROR(INDEX('在庫使用計画 (一般)'!$A$1:$BF$391,MATCH($C12,'在庫使用計画 (一般)'!$C$1:$C$391,0),MATCH(AO$1,'在庫使用計画 (一般)'!$A$1:$BF$1,0))*1,0),
_xlpm._法人検索,IFERROR(INDEX('在庫使用計画 (法人)'!$A$1:$BF$391,MATCH($C12,'在庫使用計画 (法人)'!$C$1:$C$391,0),MATCH(AO$1,'在庫使用計画 (法人)'!$A$1:$BF$1,0))*1,0),
_xlpm._合計,_xlpm._一般検索+_xlpm._法人検索,
IF(_xlpm._合計=0,"",_xlpm._合計)
)</f>
        <v/>
      </c>
      <c r="AP12" s="224" t="str">
        <f>_xlfn.LET(
_xlpm._一般検索,IFERROR(INDEX('在庫使用計画 (一般)'!$A$1:$BF$391,MATCH($C12,'在庫使用計画 (一般)'!$C$1:$C$391,0),MATCH(AP$1,'在庫使用計画 (一般)'!$A$1:$BF$1,0))*1,0),
_xlpm._法人検索,IFERROR(INDEX('在庫使用計画 (法人)'!$A$1:$BF$391,MATCH($C12,'在庫使用計画 (法人)'!$C$1:$C$391,0),MATCH(AP$1,'在庫使用計画 (法人)'!$A$1:$BF$1,0))*1,0),
_xlpm._合計,_xlpm._一般検索+_xlpm._法人検索,
IF(_xlpm._合計=0,"",_xlpm._合計)
)</f>
        <v/>
      </c>
      <c r="AQ12" s="224" t="str">
        <f>_xlfn.LET(
_xlpm._一般検索,IFERROR(INDEX('在庫使用計画 (一般)'!$A$1:$BF$391,MATCH($C12,'在庫使用計画 (一般)'!$C$1:$C$391,0),MATCH(AQ$1,'在庫使用計画 (一般)'!$A$1:$BF$1,0))*1,0),
_xlpm._法人検索,IFERROR(INDEX('在庫使用計画 (法人)'!$A$1:$BF$391,MATCH($C12,'在庫使用計画 (法人)'!$C$1:$C$391,0),MATCH(AQ$1,'在庫使用計画 (法人)'!$A$1:$BF$1,0))*1,0),
_xlpm._合計,_xlpm._一般検索+_xlpm._法人検索,
IF(_xlpm._合計=0,"",_xlpm._合計)
)</f>
        <v/>
      </c>
      <c r="AR12" s="224" t="str">
        <f>_xlfn.LET(
_xlpm._一般検索,IFERROR(INDEX('在庫使用計画 (一般)'!$A$1:$BF$391,MATCH($C12,'在庫使用計画 (一般)'!$C$1:$C$391,0),MATCH(AR$1,'在庫使用計画 (一般)'!$A$1:$BF$1,0))*1,0),
_xlpm._法人検索,IFERROR(INDEX('在庫使用計画 (法人)'!$A$1:$BF$391,MATCH($C12,'在庫使用計画 (法人)'!$C$1:$C$391,0),MATCH(AR$1,'在庫使用計画 (法人)'!$A$1:$BF$1,0))*1,0),
_xlpm._合計,_xlpm._一般検索+_xlpm._法人検索,
IF(_xlpm._合計=0,"",_xlpm._合計)
)</f>
        <v/>
      </c>
      <c r="AS12" s="224" t="str">
        <f>_xlfn.LET(
_xlpm._一般検索,IFERROR(INDEX('在庫使用計画 (一般)'!$A$1:$BF$391,MATCH($C12,'在庫使用計画 (一般)'!$C$1:$C$391,0),MATCH(AS$1,'在庫使用計画 (一般)'!$A$1:$BF$1,0))*1,0),
_xlpm._法人検索,IFERROR(INDEX('在庫使用計画 (法人)'!$A$1:$BF$391,MATCH($C12,'在庫使用計画 (法人)'!$C$1:$C$391,0),MATCH(AS$1,'在庫使用計画 (法人)'!$A$1:$BF$1,0))*1,0),
_xlpm._合計,_xlpm._一般検索+_xlpm._法人検索,
IF(_xlpm._合計=0,"",_xlpm._合計)
)</f>
        <v/>
      </c>
      <c r="AT12" s="224" t="str">
        <f>_xlfn.LET(
_xlpm._一般検索,IFERROR(INDEX('在庫使用計画 (一般)'!$A$1:$BF$391,MATCH($C12,'在庫使用計画 (一般)'!$C$1:$C$391,0),MATCH(AT$1,'在庫使用計画 (一般)'!$A$1:$BF$1,0))*1,0),
_xlpm._法人検索,IFERROR(INDEX('在庫使用計画 (法人)'!$A$1:$BF$391,MATCH($C12,'在庫使用計画 (法人)'!$C$1:$C$391,0),MATCH(AT$1,'在庫使用計画 (法人)'!$A$1:$BF$1,0))*1,0),
_xlpm._合計,_xlpm._一般検索+_xlpm._法人検索,
IF(_xlpm._合計=0,"",_xlpm._合計)
)</f>
        <v/>
      </c>
      <c r="AU12" s="805" t="str">
        <f>_xlfn.LET(
_xlpm._一般検索,IFERROR(INDEX('在庫使用計画 (一般)'!$A$1:$BF$391,MATCH($C12,'在庫使用計画 (一般)'!$C$1:$C$391,0),MATCH(AU$1,'在庫使用計画 (一般)'!$A$1:$BF$1,0))*1,0),
_xlpm._法人検索,IFERROR(INDEX('在庫使用計画 (法人)'!$A$1:$BF$391,MATCH($C12,'在庫使用計画 (法人)'!$C$1:$C$391,0),MATCH(AU$1,'在庫使用計画 (法人)'!$A$1:$BF$1,0))*1,0),
_xlpm._合計,_xlpm._一般検索+_xlpm._法人検索,
IF(_xlpm._合計=0,"",_xlpm._合計)
)</f>
        <v/>
      </c>
      <c r="AV12" s="244" t="str">
        <f>_xlfn.LET(
_xlpm._一般検索,IFERROR(INDEX('在庫使用計画 (一般)'!$A$1:$BF$391,MATCH($C12,'在庫使用計画 (一般)'!$C$1:$C$391,0),MATCH(AV$1,'在庫使用計画 (一般)'!$A$1:$BF$1,0))*1,0),
_xlpm._法人検索,IFERROR(INDEX('在庫使用計画 (法人)'!$A$1:$BF$391,MATCH($C12,'在庫使用計画 (法人)'!$C$1:$C$391,0),MATCH(AV$1,'在庫使用計画 (法人)'!$A$1:$BF$1,0))*1,0),
_xlpm._合計,_xlpm._一般検索+_xlpm._法人検索,
IF(_xlpm._合計=0,"",_xlpm._合計)
)</f>
        <v/>
      </c>
      <c r="AW12" s="224" t="str">
        <f>_xlfn.LET(
_xlpm._一般検索,IFERROR(INDEX('在庫使用計画 (一般)'!$A$1:$BF$391,MATCH($C12,'在庫使用計画 (一般)'!$C$1:$C$391,0),MATCH(AW$1,'在庫使用計画 (一般)'!$A$1:$BF$1,0))*1,0),
_xlpm._法人検索,IFERROR(INDEX('在庫使用計画 (法人)'!$A$1:$BF$391,MATCH($C12,'在庫使用計画 (法人)'!$C$1:$C$391,0),MATCH(AW$1,'在庫使用計画 (法人)'!$A$1:$BF$1,0))*1,0),
_xlpm._合計,_xlpm._一般検索+_xlpm._法人検索,
IF(_xlpm._合計=0,"",_xlpm._合計)
)</f>
        <v/>
      </c>
      <c r="AX12" s="224" t="str">
        <f>_xlfn.LET(
_xlpm._一般検索,IFERROR(INDEX('在庫使用計画 (一般)'!$A$1:$BF$391,MATCH($C12,'在庫使用計画 (一般)'!$C$1:$C$391,0),MATCH(AX$1,'在庫使用計画 (一般)'!$A$1:$BF$1,0))*1,0),
_xlpm._法人検索,IFERROR(INDEX('在庫使用計画 (法人)'!$A$1:$BF$391,MATCH($C12,'在庫使用計画 (法人)'!$C$1:$C$391,0),MATCH(AX$1,'在庫使用計画 (法人)'!$A$1:$BF$1,0))*1,0),
_xlpm._合計,_xlpm._一般検索+_xlpm._法人検索,
IF(_xlpm._合計=0,"",_xlpm._合計)
)</f>
        <v/>
      </c>
      <c r="AY12" s="224" t="str">
        <f>_xlfn.LET(
_xlpm._一般検索,IFERROR(INDEX('在庫使用計画 (一般)'!$A$1:$BF$391,MATCH($C12,'在庫使用計画 (一般)'!$C$1:$C$391,0),MATCH(AY$1,'在庫使用計画 (一般)'!$A$1:$BF$1,0))*1,0),
_xlpm._法人検索,IFERROR(INDEX('在庫使用計画 (法人)'!$A$1:$BF$391,MATCH($C12,'在庫使用計画 (法人)'!$C$1:$C$391,0),MATCH(AY$1,'在庫使用計画 (法人)'!$A$1:$BF$1,0))*1,0),
_xlpm._合計,_xlpm._一般検索+_xlpm._法人検索,
IF(_xlpm._合計=0,"",_xlpm._合計)
)</f>
        <v/>
      </c>
      <c r="AZ12" s="224" t="str">
        <f>_xlfn.LET(
_xlpm._一般検索,IFERROR(INDEX('在庫使用計画 (一般)'!$A$1:$BF$391,MATCH($C12,'在庫使用計画 (一般)'!$C$1:$C$391,0),MATCH(AZ$1,'在庫使用計画 (一般)'!$A$1:$BF$1,0))*1,0),
_xlpm._法人検索,IFERROR(INDEX('在庫使用計画 (法人)'!$A$1:$BF$391,MATCH($C12,'在庫使用計画 (法人)'!$C$1:$C$391,0),MATCH(AZ$1,'在庫使用計画 (法人)'!$A$1:$BF$1,0))*1,0),
_xlpm._合計,_xlpm._一般検索+_xlpm._法人検索,
IF(_xlpm._合計=0,"",_xlpm._合計)
)</f>
        <v/>
      </c>
      <c r="BA12" s="224" t="str">
        <f>_xlfn.LET(
_xlpm._一般検索,IFERROR(INDEX('在庫使用計画 (一般)'!$A$1:$BF$391,MATCH($C12,'在庫使用計画 (一般)'!$C$1:$C$391,0),MATCH(BA$1,'在庫使用計画 (一般)'!$A$1:$BF$1,0))*1,0),
_xlpm._法人検索,IFERROR(INDEX('在庫使用計画 (法人)'!$A$1:$BF$391,MATCH($C12,'在庫使用計画 (法人)'!$C$1:$C$391,0),MATCH(BA$1,'在庫使用計画 (法人)'!$A$1:$BF$1,0))*1,0),
_xlpm._合計,_xlpm._一般検索+_xlpm._法人検索,
IF(_xlpm._合計=0,"",_xlpm._合計)
)</f>
        <v/>
      </c>
      <c r="BB12" s="224" t="str">
        <f>_xlfn.LET(
_xlpm._一般検索,IFERROR(INDEX('在庫使用計画 (一般)'!$A$1:$BF$391,MATCH($C12,'在庫使用計画 (一般)'!$C$1:$C$391,0),MATCH(BB$1,'在庫使用計画 (一般)'!$A$1:$BF$1,0))*1,0),
_xlpm._法人検索,IFERROR(INDEX('在庫使用計画 (法人)'!$A$1:$BF$391,MATCH($C12,'在庫使用計画 (法人)'!$C$1:$C$391,0),MATCH(BB$1,'在庫使用計画 (法人)'!$A$1:$BF$1,0))*1,0),
_xlpm._合計,_xlpm._一般検索+_xlpm._法人検索,
IF(_xlpm._合計=0,"",_xlpm._合計)
)</f>
        <v/>
      </c>
      <c r="BC12" s="224" t="str">
        <f>_xlfn.LET(
_xlpm._一般検索,IFERROR(INDEX('在庫使用計画 (一般)'!$A$1:$BF$391,MATCH($C12,'在庫使用計画 (一般)'!$C$1:$C$391,0),MATCH(BC$1,'在庫使用計画 (一般)'!$A$1:$BF$1,0))*1,0),
_xlpm._法人検索,IFERROR(INDEX('在庫使用計画 (法人)'!$A$1:$BF$391,MATCH($C12,'在庫使用計画 (法人)'!$C$1:$C$391,0),MATCH(BC$1,'在庫使用計画 (法人)'!$A$1:$BF$1,0))*1,0),
_xlpm._合計,_xlpm._一般検索+_xlpm._法人検索,
IF(_xlpm._合計=0,"",_xlpm._合計)
)</f>
        <v/>
      </c>
      <c r="BD12" s="224" t="str">
        <f>_xlfn.LET(
_xlpm._一般検索,IFERROR(INDEX('在庫使用計画 (一般)'!$A$1:$BF$391,MATCH($C12,'在庫使用計画 (一般)'!$C$1:$C$391,0),MATCH(BD$1,'在庫使用計画 (一般)'!$A$1:$BF$1,0))*1,0),
_xlpm._法人検索,IFERROR(INDEX('在庫使用計画 (法人)'!$A$1:$BF$391,MATCH($C12,'在庫使用計画 (法人)'!$C$1:$C$391,0),MATCH(BD$1,'在庫使用計画 (法人)'!$A$1:$BF$1,0))*1,0),
_xlpm._合計,_xlpm._一般検索+_xlpm._法人検索,
IF(_xlpm._合計=0,"",_xlpm._合計)
)</f>
        <v/>
      </c>
      <c r="BE12" s="224" t="str">
        <f>_xlfn.LET(
_xlpm._一般検索,IFERROR(INDEX('在庫使用計画 (一般)'!$A$1:$BF$391,MATCH($C12,'在庫使用計画 (一般)'!$C$1:$C$391,0),MATCH(BE$1,'在庫使用計画 (一般)'!$A$1:$BF$1,0))*1,0),
_xlpm._法人検索,IFERROR(INDEX('在庫使用計画 (法人)'!$A$1:$BF$391,MATCH($C12,'在庫使用計画 (法人)'!$C$1:$C$391,0),MATCH(BE$1,'在庫使用計画 (法人)'!$A$1:$BF$1,0))*1,0),
_xlpm._合計,_xlpm._一般検索+_xlpm._法人検索,
IF(_xlpm._合計=0,"",_xlpm._合計)
)</f>
        <v/>
      </c>
      <c r="BF12" s="224" t="str">
        <f>_xlfn.LET(
_xlpm._一般検索,IFERROR(INDEX('在庫使用計画 (一般)'!$A$1:$BF$391,MATCH($C12,'在庫使用計画 (一般)'!$C$1:$C$391,0),MATCH(BF$1,'在庫使用計画 (一般)'!$A$1:$BF$1,0))*1,0),
_xlpm._法人検索,IFERROR(INDEX('在庫使用計画 (法人)'!$A$1:$BF$391,MATCH($C12,'在庫使用計画 (法人)'!$C$1:$C$391,0),MATCH(BF$1,'在庫使用計画 (法人)'!$A$1:$BF$1,0))*1,0),
_xlpm._合計,_xlpm._一般検索+_xlpm._法人検索,
IF(_xlpm._合計=0,"",_xlpm._合計)
)</f>
        <v/>
      </c>
      <c r="BG12" s="237" t="str">
        <f>_xlfn.LET(
_xlpm._一般検索,IFERROR(INDEX('在庫使用計画 (一般)'!$A$1:$BF$391,MATCH($C12,'在庫使用計画 (一般)'!$C$1:$C$391,0),MATCH(BG$1,'在庫使用計画 (一般)'!$A$1:$BF$1,0))*1,0),
_xlpm._法人検索,IFERROR(INDEX('在庫使用計画 (法人)'!$A$1:$BF$391,MATCH($C12,'在庫使用計画 (法人)'!$C$1:$C$391,0),MATCH(BG$1,'在庫使用計画 (法人)'!$A$1:$BF$1,0))*1,0),
_xlpm._合計,_xlpm._一般検索+_xlpm._法人検索,
IF(_xlpm._合計=0,"",_xlpm._合計)
)</f>
        <v/>
      </c>
      <c r="BH12" s="804" t="str">
        <f>_xlfn.LET(
_xlpm._一般検索,IFERROR(INDEX('在庫使用計画 (一般)'!$A$1:$BF$391,MATCH($C12,'在庫使用計画 (一般)'!$C$1:$C$391,0),MATCH(BH$1,'在庫使用計画 (一般)'!$A$1:$BF$1,0))*1,0),
_xlpm._法人検索,IFERROR(INDEX('在庫使用計画 (法人)'!$A$1:$BF$391,MATCH($C12,'在庫使用計画 (法人)'!$C$1:$C$391,0),MATCH(BH$1,'在庫使用計画 (法人)'!$A$1:$BF$1,0))*1,0),
_xlpm._合計,_xlpm._一般検索+_xlpm._法人検索,
IF(_xlpm._合計=0,"",_xlpm._合計)
)</f>
        <v/>
      </c>
      <c r="BI12" s="224" t="str">
        <f>_xlfn.LET(
_xlpm._一般検索,IFERROR(INDEX('在庫使用計画 (一般)'!$A$1:$BF$391,MATCH($C12,'在庫使用計画 (一般)'!$C$1:$C$391,0),MATCH(BI$1,'在庫使用計画 (一般)'!$A$1:$BF$1,0))*1,0),
_xlpm._法人検索,IFERROR(INDEX('在庫使用計画 (法人)'!$A$1:$BF$391,MATCH($C12,'在庫使用計画 (法人)'!$C$1:$C$391,0),MATCH(BI$1,'在庫使用計画 (法人)'!$A$1:$BF$1,0))*1,0),
_xlpm._合計,_xlpm._一般検索+_xlpm._法人検索,
IF(_xlpm._合計=0,"",_xlpm._合計)
)</f>
        <v/>
      </c>
      <c r="BJ12" s="224" t="str">
        <f>_xlfn.LET(
_xlpm._一般検索,IFERROR(INDEX('在庫使用計画 (一般)'!$A$1:$BF$391,MATCH($C12,'在庫使用計画 (一般)'!$C$1:$C$391,0),MATCH(BJ$1,'在庫使用計画 (一般)'!$A$1:$BF$1,0))*1,0),
_xlpm._法人検索,IFERROR(INDEX('在庫使用計画 (法人)'!$A$1:$BF$391,MATCH($C12,'在庫使用計画 (法人)'!$C$1:$C$391,0),MATCH(BJ$1,'在庫使用計画 (法人)'!$A$1:$BF$1,0))*1,0),
_xlpm._合計,_xlpm._一般検索+_xlpm._法人検索,
IF(_xlpm._合計=0,"",_xlpm._合計)
)</f>
        <v/>
      </c>
      <c r="BK12" s="224" t="str">
        <f>_xlfn.LET(
_xlpm._一般検索,IFERROR(INDEX('在庫使用計画 (一般)'!$A$1:$BF$391,MATCH($C12,'在庫使用計画 (一般)'!$C$1:$C$391,0),MATCH(BK$1,'在庫使用計画 (一般)'!$A$1:$BF$1,0))*1,0),
_xlpm._法人検索,IFERROR(INDEX('在庫使用計画 (法人)'!$A$1:$BF$391,MATCH($C12,'在庫使用計画 (法人)'!$C$1:$C$391,0),MATCH(BK$1,'在庫使用計画 (法人)'!$A$1:$BF$1,0))*1,0),
_xlpm._合計,_xlpm._一般検索+_xlpm._法人検索,
IF(_xlpm._合計=0,"",_xlpm._合計)
)</f>
        <v/>
      </c>
      <c r="BL12" s="224" t="str">
        <f>_xlfn.LET(
_xlpm._一般検索,IFERROR(INDEX('在庫使用計画 (一般)'!$A$1:$BF$391,MATCH($C12,'在庫使用計画 (一般)'!$C$1:$C$391,0),MATCH(BL$1,'在庫使用計画 (一般)'!$A$1:$BF$1,0))*1,0),
_xlpm._法人検索,IFERROR(INDEX('在庫使用計画 (法人)'!$A$1:$BF$391,MATCH($C12,'在庫使用計画 (法人)'!$C$1:$C$391,0),MATCH(BL$1,'在庫使用計画 (法人)'!$A$1:$BF$1,0))*1,0),
_xlpm._合計,_xlpm._一般検索+_xlpm._法人検索,
IF(_xlpm._合計=0,"",_xlpm._合計)
)</f>
        <v/>
      </c>
      <c r="BM12" s="224" t="str">
        <f>_xlfn.LET(
_xlpm._一般検索,IFERROR(INDEX('在庫使用計画 (一般)'!$A$1:$BF$391,MATCH($C12,'在庫使用計画 (一般)'!$C$1:$C$391,0),MATCH(BM$1,'在庫使用計画 (一般)'!$A$1:$BF$1,0))*1,0),
_xlpm._法人検索,IFERROR(INDEX('在庫使用計画 (法人)'!$A$1:$BF$391,MATCH($C12,'在庫使用計画 (法人)'!$C$1:$C$391,0),MATCH(BM$1,'在庫使用計画 (法人)'!$A$1:$BF$1,0))*1,0),
_xlpm._合計,_xlpm._一般検索+_xlpm._法人検索,
IF(_xlpm._合計=0,"",_xlpm._合計)
)</f>
        <v/>
      </c>
      <c r="BN12" s="224" t="str">
        <f>_xlfn.LET(
_xlpm._一般検索,IFERROR(INDEX('在庫使用計画 (一般)'!$A$1:$BF$391,MATCH($C12,'在庫使用計画 (一般)'!$C$1:$C$391,0),MATCH(BN$1,'在庫使用計画 (一般)'!$A$1:$BF$1,0))*1,0),
_xlpm._法人検索,IFERROR(INDEX('在庫使用計画 (法人)'!$A$1:$BF$391,MATCH($C12,'在庫使用計画 (法人)'!$C$1:$C$391,0),MATCH(BN$1,'在庫使用計画 (法人)'!$A$1:$BF$1,0))*1,0),
_xlpm._合計,_xlpm._一般検索+_xlpm._法人検索,
IF(_xlpm._合計=0,"",_xlpm._合計)
)</f>
        <v/>
      </c>
      <c r="BO12" s="224" t="str">
        <f>_xlfn.LET(
_xlpm._一般検索,IFERROR(INDEX('在庫使用計画 (一般)'!$A$1:$BF$391,MATCH($C12,'在庫使用計画 (一般)'!$C$1:$C$391,0),MATCH(BO$1,'在庫使用計画 (一般)'!$A$1:$BF$1,0))*1,0),
_xlpm._法人検索,IFERROR(INDEX('在庫使用計画 (法人)'!$A$1:$BF$391,MATCH($C12,'在庫使用計画 (法人)'!$C$1:$C$391,0),MATCH(BO$1,'在庫使用計画 (法人)'!$A$1:$BF$1,0))*1,0),
_xlpm._合計,_xlpm._一般検索+_xlpm._法人検索,
IF(_xlpm._合計=0,"",_xlpm._合計)
)</f>
        <v/>
      </c>
      <c r="BP12" s="224" t="str">
        <f>_xlfn.LET(
_xlpm._一般検索,IFERROR(INDEX('在庫使用計画 (一般)'!$A$1:$BF$391,MATCH($C12,'在庫使用計画 (一般)'!$C$1:$C$391,0),MATCH(BP$1,'在庫使用計画 (一般)'!$A$1:$BF$1,0))*1,0),
_xlpm._法人検索,IFERROR(INDEX('在庫使用計画 (法人)'!$A$1:$BF$391,MATCH($C12,'在庫使用計画 (法人)'!$C$1:$C$391,0),MATCH(BP$1,'在庫使用計画 (法人)'!$A$1:$BF$1,0))*1,0),
_xlpm._合計,_xlpm._一般検索+_xlpm._法人検索,
IF(_xlpm._合計=0,"",_xlpm._合計)
)</f>
        <v/>
      </c>
      <c r="BQ12" s="224" t="str">
        <f>_xlfn.LET(
_xlpm._一般検索,IFERROR(INDEX('在庫使用計画 (一般)'!$A$1:$BF$391,MATCH($C12,'在庫使用計画 (一般)'!$C$1:$C$391,0),MATCH(BQ$1,'在庫使用計画 (一般)'!$A$1:$BF$1,0))*1,0),
_xlpm._法人検索,IFERROR(INDEX('在庫使用計画 (法人)'!$A$1:$BF$391,MATCH($C12,'在庫使用計画 (法人)'!$C$1:$C$391,0),MATCH(BQ$1,'在庫使用計画 (法人)'!$A$1:$BF$1,0))*1,0),
_xlpm._合計,_xlpm._一般検索+_xlpm._法人検索,
IF(_xlpm._合計=0,"",_xlpm._合計)
)</f>
        <v/>
      </c>
      <c r="BR12" s="224" t="str">
        <f>_xlfn.LET(
_xlpm._一般検索,IFERROR(INDEX('在庫使用計画 (一般)'!$A$1:$BF$391,MATCH($C12,'在庫使用計画 (一般)'!$C$1:$C$391,0),MATCH(BR$1,'在庫使用計画 (一般)'!$A$1:$BF$1,0))*1,0),
_xlpm._法人検索,IFERROR(INDEX('在庫使用計画 (法人)'!$A$1:$BF$391,MATCH($C12,'在庫使用計画 (法人)'!$C$1:$C$391,0),MATCH(BR$1,'在庫使用計画 (法人)'!$A$1:$BF$1,0))*1,0),
_xlpm._合計,_xlpm._一般検索+_xlpm._法人検索,
IF(_xlpm._合計=0,"",_xlpm._合計)
)</f>
        <v/>
      </c>
      <c r="BS12" s="805" t="str">
        <f>_xlfn.LET(
_xlpm._一般検索,IFERROR(INDEX('在庫使用計画 (一般)'!$A$1:$BF$391,MATCH($C12,'在庫使用計画 (一般)'!$C$1:$C$391,0),MATCH(BS$1,'在庫使用計画 (一般)'!$A$1:$BF$1,0))*1,0),
_xlpm._法人検索,IFERROR(INDEX('在庫使用計画 (法人)'!$A$1:$BF$391,MATCH($C12,'在庫使用計画 (法人)'!$C$1:$C$391,0),MATCH(BS$1,'在庫使用計画 (法人)'!$A$1:$BF$1,0))*1,0),
_xlpm._合計,_xlpm._一般検索+_xlpm._法人検索,
IF(_xlpm._合計=0,"",_xlpm._合計)
)</f>
        <v/>
      </c>
      <c r="BT12" s="21"/>
    </row>
    <row r="13" spans="1:72" customFormat="1" ht="18.75" customHeight="1">
      <c r="A13" s="1216" t="s">
        <v>1633</v>
      </c>
      <c r="B13" s="1212" t="str">
        <v>UNW-2-14650HX-5070-L6-DDR5-15.3</v>
      </c>
      <c r="C13" s="1212" t="s">
        <v>394</v>
      </c>
      <c r="D13" s="2155" t="e">
        <v>#N/A</v>
      </c>
      <c r="E13" s="1212" t="s">
        <v>1723</v>
      </c>
      <c r="F13" s="1212" t="s">
        <v>20</v>
      </c>
      <c r="G13" s="1459">
        <v>0</v>
      </c>
      <c r="H13" s="481">
        <v>0</v>
      </c>
      <c r="I13" s="1436" cm="1">
        <f t="array" ref="I13">IF($C13="","",
_xlfn.LET(
  _xlpm._見出し,$A$1:$BT$1,
  _xlpm._行,$A13:$BT13,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0</v>
      </c>
      <c r="J13" s="1460" cm="1">
        <f t="array" ref="J13">_xlfn.LET(
  _xlpm._見出し,$A$1:$BS$1,
  _xlpm._行,$A13:$BS13,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IF($C13="","",_xlpm._四点五月計画合計)
)</f>
        <v>0</v>
      </c>
      <c r="K13" s="1461" t="str" cm="1">
        <f t="array" ref="K13">_xlfn.IFS(
  $C13="","",
  $G13="","発売前？",
  $G13=0,"在庫無し",
  TRUE,
  IFERROR(
    _xlfn.LET(
      _xlpm._在庫注残,     $G13,
      _xlpm._しきい値,     _xlpm._在庫注残 * 0.75,
      _xlpm._見出し元,     $L$1:$BU$1,
      _xlpm._計画,         $L13:$BU13,
      _xlpm._最新実績日,       基準データ!$C$5,
      _xlpm._今月1日,      EOMONTH(_xlpm._最新実績日, -1) + 1,
      _xlpm._月末日,       EOMONTH(_xlpm._最新実績日, 0),
      _xlpm._今月位置,     _xlfn.XMATCH(_xlpm._今月1日, _xlpm._見出し元),
      _xlpm._今月計画按分, N(INDEX(_xlpm._計画, 1, _xlpm._今月位置))
                      * (_xlpm._月末日 - _xlpm._最新実績日)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在庫無し</v>
      </c>
      <c r="L13" s="481"/>
      <c r="M13" s="481"/>
      <c r="N13" s="481"/>
      <c r="O13" s="481"/>
      <c r="P13" s="481"/>
      <c r="Q13" s="481"/>
      <c r="R13" s="481"/>
      <c r="S13" s="481"/>
      <c r="T13" s="1136"/>
      <c r="U13" s="1136"/>
      <c r="V13" s="1136"/>
      <c r="W13" s="1136"/>
      <c r="X13" s="709"/>
      <c r="Y13" s="709"/>
      <c r="Z13" s="709"/>
      <c r="AA13" s="710"/>
      <c r="AB13" s="709"/>
      <c r="AC13" s="709"/>
      <c r="AD13" s="709"/>
      <c r="AE13" s="709"/>
      <c r="AF13" s="709"/>
      <c r="AG13" s="709"/>
      <c r="AH13" s="709"/>
      <c r="AI13" s="710"/>
      <c r="AJ13" s="1213" t="s">
        <v>21</v>
      </c>
      <c r="AK13" s="709" t="s">
        <v>21</v>
      </c>
      <c r="AL13" s="709" t="s">
        <v>21</v>
      </c>
      <c r="AM13" s="709" t="s">
        <v>21</v>
      </c>
      <c r="AN13" s="709" t="str">
        <f>_xlfn.LET(
_xlpm._一般検索,IFERROR(INDEX('在庫使用計画 (一般)'!$A$1:$BF$391,MATCH($C13,'在庫使用計画 (一般)'!$C$1:$C$391,0),MATCH(AN$1,'在庫使用計画 (一般)'!$A$1:$BF$1,0))*1,0),
_xlpm._法人検索,IFERROR(INDEX('在庫使用計画 (法人)'!$A$1:$BF$391,MATCH($C13,'在庫使用計画 (法人)'!$C$1:$C$391,0),MATCH(AN$1,'在庫使用計画 (法人)'!$A$1:$BF$1,0))*1,0),
_xlpm._合計,_xlpm._一般検索+_xlpm._法人検索,
IF(_xlpm._合計=0,"",_xlpm._合計)
)</f>
        <v/>
      </c>
      <c r="AO13" s="709" t="str">
        <f>_xlfn.LET(
_xlpm._一般検索,IFERROR(INDEX('在庫使用計画 (一般)'!$A$1:$BF$391,MATCH($C13,'在庫使用計画 (一般)'!$C$1:$C$391,0),MATCH(AO$1,'在庫使用計画 (一般)'!$A$1:$BF$1,0))*1,0),
_xlpm._法人検索,IFERROR(INDEX('在庫使用計画 (法人)'!$A$1:$BF$391,MATCH($C13,'在庫使用計画 (法人)'!$C$1:$C$391,0),MATCH(AO$1,'在庫使用計画 (法人)'!$A$1:$BF$1,0))*1,0),
_xlpm._合計,_xlpm._一般検索+_xlpm._法人検索,
IF(_xlpm._合計=0,"",_xlpm._合計)
)</f>
        <v/>
      </c>
      <c r="AP13" s="709" t="str">
        <f>_xlfn.LET(
_xlpm._一般検索,IFERROR(INDEX('在庫使用計画 (一般)'!$A$1:$BF$391,MATCH($C13,'在庫使用計画 (一般)'!$C$1:$C$391,0),MATCH(AP$1,'在庫使用計画 (一般)'!$A$1:$BF$1,0))*1,0),
_xlpm._法人検索,IFERROR(INDEX('在庫使用計画 (法人)'!$A$1:$BF$391,MATCH($C13,'在庫使用計画 (法人)'!$C$1:$C$391,0),MATCH(AP$1,'在庫使用計画 (法人)'!$A$1:$BF$1,0))*1,0),
_xlpm._合計,_xlpm._一般検索+_xlpm._法人検索,
IF(_xlpm._合計=0,"",_xlpm._合計)
)</f>
        <v/>
      </c>
      <c r="AQ13" s="709" t="str">
        <f>_xlfn.LET(
_xlpm._一般検索,IFERROR(INDEX('在庫使用計画 (一般)'!$A$1:$BF$391,MATCH($C13,'在庫使用計画 (一般)'!$C$1:$C$391,0),MATCH(AQ$1,'在庫使用計画 (一般)'!$A$1:$BF$1,0))*1,0),
_xlpm._法人検索,IFERROR(INDEX('在庫使用計画 (法人)'!$A$1:$BF$391,MATCH($C13,'在庫使用計画 (法人)'!$C$1:$C$391,0),MATCH(AQ$1,'在庫使用計画 (法人)'!$A$1:$BF$1,0))*1,0),
_xlpm._合計,_xlpm._一般検索+_xlpm._法人検索,
IF(_xlpm._合計=0,"",_xlpm._合計)
)</f>
        <v/>
      </c>
      <c r="AR13" s="709" t="str">
        <f>_xlfn.LET(
_xlpm._一般検索,IFERROR(INDEX('在庫使用計画 (一般)'!$A$1:$BF$391,MATCH($C13,'在庫使用計画 (一般)'!$C$1:$C$391,0),MATCH(AR$1,'在庫使用計画 (一般)'!$A$1:$BF$1,0))*1,0),
_xlpm._法人検索,IFERROR(INDEX('在庫使用計画 (法人)'!$A$1:$BF$391,MATCH($C13,'在庫使用計画 (法人)'!$C$1:$C$391,0),MATCH(AR$1,'在庫使用計画 (法人)'!$A$1:$BF$1,0))*1,0),
_xlpm._合計,_xlpm._一般検索+_xlpm._法人検索,
IF(_xlpm._合計=0,"",_xlpm._合計)
)</f>
        <v/>
      </c>
      <c r="AS13" s="709" t="str">
        <f>_xlfn.LET(
_xlpm._一般検索,IFERROR(INDEX('在庫使用計画 (一般)'!$A$1:$BF$391,MATCH($C13,'在庫使用計画 (一般)'!$C$1:$C$391,0),MATCH(AS$1,'在庫使用計画 (一般)'!$A$1:$BF$1,0))*1,0),
_xlpm._法人検索,IFERROR(INDEX('在庫使用計画 (法人)'!$A$1:$BF$391,MATCH($C13,'在庫使用計画 (法人)'!$C$1:$C$391,0),MATCH(AS$1,'在庫使用計画 (法人)'!$A$1:$BF$1,0))*1,0),
_xlpm._合計,_xlpm._一般検索+_xlpm._法人検索,
IF(_xlpm._合計=0,"",_xlpm._合計)
)</f>
        <v/>
      </c>
      <c r="AT13" s="709" t="str">
        <f>_xlfn.LET(
_xlpm._一般検索,IFERROR(INDEX('在庫使用計画 (一般)'!$A$1:$BF$391,MATCH($C13,'在庫使用計画 (一般)'!$C$1:$C$391,0),MATCH(AT$1,'在庫使用計画 (一般)'!$A$1:$BF$1,0))*1,0),
_xlpm._法人検索,IFERROR(INDEX('在庫使用計画 (法人)'!$A$1:$BF$391,MATCH($C13,'在庫使用計画 (法人)'!$C$1:$C$391,0),MATCH(AT$1,'在庫使用計画 (法人)'!$A$1:$BF$1,0))*1,0),
_xlpm._合計,_xlpm._一般検索+_xlpm._法人検索,
IF(_xlpm._合計=0,"",_xlpm._合計)
)</f>
        <v/>
      </c>
      <c r="AU13" s="1214" t="str">
        <f>_xlfn.LET(
_xlpm._一般検索,IFERROR(INDEX('在庫使用計画 (一般)'!$A$1:$BF$391,MATCH($C13,'在庫使用計画 (一般)'!$C$1:$C$391,0),MATCH(AU$1,'在庫使用計画 (一般)'!$A$1:$BF$1,0))*1,0),
_xlpm._法人検索,IFERROR(INDEX('在庫使用計画 (法人)'!$A$1:$BF$391,MATCH($C13,'在庫使用計画 (法人)'!$C$1:$C$391,0),MATCH(AU$1,'在庫使用計画 (法人)'!$A$1:$BF$1,0))*1,0),
_xlpm._合計,_xlpm._一般検索+_xlpm._法人検索,
IF(_xlpm._合計=0,"",_xlpm._合計)
)</f>
        <v/>
      </c>
      <c r="AV13" s="1215" t="str">
        <f>_xlfn.LET(
_xlpm._一般検索,IFERROR(INDEX('在庫使用計画 (一般)'!$A$1:$BF$391,MATCH($C13,'在庫使用計画 (一般)'!$C$1:$C$391,0),MATCH(AV$1,'在庫使用計画 (一般)'!$A$1:$BF$1,0))*1,0),
_xlpm._法人検索,IFERROR(INDEX('在庫使用計画 (法人)'!$A$1:$BF$391,MATCH($C13,'在庫使用計画 (法人)'!$C$1:$C$391,0),MATCH(AV$1,'在庫使用計画 (法人)'!$A$1:$BF$1,0))*1,0),
_xlpm._合計,_xlpm._一般検索+_xlpm._法人検索,
IF(_xlpm._合計=0,"",_xlpm._合計)
)</f>
        <v/>
      </c>
      <c r="AW13" s="709" t="str">
        <f>_xlfn.LET(
_xlpm._一般検索,IFERROR(INDEX('在庫使用計画 (一般)'!$A$1:$BF$391,MATCH($C13,'在庫使用計画 (一般)'!$C$1:$C$391,0),MATCH(AW$1,'在庫使用計画 (一般)'!$A$1:$BF$1,0))*1,0),
_xlpm._法人検索,IFERROR(INDEX('在庫使用計画 (法人)'!$A$1:$BF$391,MATCH($C13,'在庫使用計画 (法人)'!$C$1:$C$391,0),MATCH(AW$1,'在庫使用計画 (法人)'!$A$1:$BF$1,0))*1,0),
_xlpm._合計,_xlpm._一般検索+_xlpm._法人検索,
IF(_xlpm._合計=0,"",_xlpm._合計)
)</f>
        <v/>
      </c>
      <c r="AX13" s="709" t="str">
        <f>_xlfn.LET(
_xlpm._一般検索,IFERROR(INDEX('在庫使用計画 (一般)'!$A$1:$BF$391,MATCH($C13,'在庫使用計画 (一般)'!$C$1:$C$391,0),MATCH(AX$1,'在庫使用計画 (一般)'!$A$1:$BF$1,0))*1,0),
_xlpm._法人検索,IFERROR(INDEX('在庫使用計画 (法人)'!$A$1:$BF$391,MATCH($C13,'在庫使用計画 (法人)'!$C$1:$C$391,0),MATCH(AX$1,'在庫使用計画 (法人)'!$A$1:$BF$1,0))*1,0),
_xlpm._合計,_xlpm._一般検索+_xlpm._法人検索,
IF(_xlpm._合計=0,"",_xlpm._合計)
)</f>
        <v/>
      </c>
      <c r="AY13" s="709" t="str">
        <f>_xlfn.LET(
_xlpm._一般検索,IFERROR(INDEX('在庫使用計画 (一般)'!$A$1:$BF$391,MATCH($C13,'在庫使用計画 (一般)'!$C$1:$C$391,0),MATCH(AY$1,'在庫使用計画 (一般)'!$A$1:$BF$1,0))*1,0),
_xlpm._法人検索,IFERROR(INDEX('在庫使用計画 (法人)'!$A$1:$BF$391,MATCH($C13,'在庫使用計画 (法人)'!$C$1:$C$391,0),MATCH(AY$1,'在庫使用計画 (法人)'!$A$1:$BF$1,0))*1,0),
_xlpm._合計,_xlpm._一般検索+_xlpm._法人検索,
IF(_xlpm._合計=0,"",_xlpm._合計)
)</f>
        <v/>
      </c>
      <c r="AZ13" s="709" t="str">
        <f>_xlfn.LET(
_xlpm._一般検索,IFERROR(INDEX('在庫使用計画 (一般)'!$A$1:$BF$391,MATCH($C13,'在庫使用計画 (一般)'!$C$1:$C$391,0),MATCH(AZ$1,'在庫使用計画 (一般)'!$A$1:$BF$1,0))*1,0),
_xlpm._法人検索,IFERROR(INDEX('在庫使用計画 (法人)'!$A$1:$BF$391,MATCH($C13,'在庫使用計画 (法人)'!$C$1:$C$391,0),MATCH(AZ$1,'在庫使用計画 (法人)'!$A$1:$BF$1,0))*1,0),
_xlpm._合計,_xlpm._一般検索+_xlpm._法人検索,
IF(_xlpm._合計=0,"",_xlpm._合計)
)</f>
        <v/>
      </c>
      <c r="BA13" s="709" t="str">
        <f>_xlfn.LET(
_xlpm._一般検索,IFERROR(INDEX('在庫使用計画 (一般)'!$A$1:$BF$391,MATCH($C13,'在庫使用計画 (一般)'!$C$1:$C$391,0),MATCH(BA$1,'在庫使用計画 (一般)'!$A$1:$BF$1,0))*1,0),
_xlpm._法人検索,IFERROR(INDEX('在庫使用計画 (法人)'!$A$1:$BF$391,MATCH($C13,'在庫使用計画 (法人)'!$C$1:$C$391,0),MATCH(BA$1,'在庫使用計画 (法人)'!$A$1:$BF$1,0))*1,0),
_xlpm._合計,_xlpm._一般検索+_xlpm._法人検索,
IF(_xlpm._合計=0,"",_xlpm._合計)
)</f>
        <v/>
      </c>
      <c r="BB13" s="709" t="str">
        <f>_xlfn.LET(
_xlpm._一般検索,IFERROR(INDEX('在庫使用計画 (一般)'!$A$1:$BF$391,MATCH($C13,'在庫使用計画 (一般)'!$C$1:$C$391,0),MATCH(BB$1,'在庫使用計画 (一般)'!$A$1:$BF$1,0))*1,0),
_xlpm._法人検索,IFERROR(INDEX('在庫使用計画 (法人)'!$A$1:$BF$391,MATCH($C13,'在庫使用計画 (法人)'!$C$1:$C$391,0),MATCH(BB$1,'在庫使用計画 (法人)'!$A$1:$BF$1,0))*1,0),
_xlpm._合計,_xlpm._一般検索+_xlpm._法人検索,
IF(_xlpm._合計=0,"",_xlpm._合計)
)</f>
        <v/>
      </c>
      <c r="BC13" s="709" t="str">
        <f>_xlfn.LET(
_xlpm._一般検索,IFERROR(INDEX('在庫使用計画 (一般)'!$A$1:$BF$391,MATCH($C13,'在庫使用計画 (一般)'!$C$1:$C$391,0),MATCH(BC$1,'在庫使用計画 (一般)'!$A$1:$BF$1,0))*1,0),
_xlpm._法人検索,IFERROR(INDEX('在庫使用計画 (法人)'!$A$1:$BF$391,MATCH($C13,'在庫使用計画 (法人)'!$C$1:$C$391,0),MATCH(BC$1,'在庫使用計画 (法人)'!$A$1:$BF$1,0))*1,0),
_xlpm._合計,_xlpm._一般検索+_xlpm._法人検索,
IF(_xlpm._合計=0,"",_xlpm._合計)
)</f>
        <v/>
      </c>
      <c r="BD13" s="709" t="str">
        <f>_xlfn.LET(
_xlpm._一般検索,IFERROR(INDEX('在庫使用計画 (一般)'!$A$1:$BF$391,MATCH($C13,'在庫使用計画 (一般)'!$C$1:$C$391,0),MATCH(BD$1,'在庫使用計画 (一般)'!$A$1:$BF$1,0))*1,0),
_xlpm._法人検索,IFERROR(INDEX('在庫使用計画 (法人)'!$A$1:$BF$391,MATCH($C13,'在庫使用計画 (法人)'!$C$1:$C$391,0),MATCH(BD$1,'在庫使用計画 (法人)'!$A$1:$BF$1,0))*1,0),
_xlpm._合計,_xlpm._一般検索+_xlpm._法人検索,
IF(_xlpm._合計=0,"",_xlpm._合計)
)</f>
        <v/>
      </c>
      <c r="BE13" s="709" t="str">
        <f>_xlfn.LET(
_xlpm._一般検索,IFERROR(INDEX('在庫使用計画 (一般)'!$A$1:$BF$391,MATCH($C13,'在庫使用計画 (一般)'!$C$1:$C$391,0),MATCH(BE$1,'在庫使用計画 (一般)'!$A$1:$BF$1,0))*1,0),
_xlpm._法人検索,IFERROR(INDEX('在庫使用計画 (法人)'!$A$1:$BF$391,MATCH($C13,'在庫使用計画 (法人)'!$C$1:$C$391,0),MATCH(BE$1,'在庫使用計画 (法人)'!$A$1:$BF$1,0))*1,0),
_xlpm._合計,_xlpm._一般検索+_xlpm._法人検索,
IF(_xlpm._合計=0,"",_xlpm._合計)
)</f>
        <v/>
      </c>
      <c r="BF13" s="709" t="str">
        <f>_xlfn.LET(
_xlpm._一般検索,IFERROR(INDEX('在庫使用計画 (一般)'!$A$1:$BF$391,MATCH($C13,'在庫使用計画 (一般)'!$C$1:$C$391,0),MATCH(BF$1,'在庫使用計画 (一般)'!$A$1:$BF$1,0))*1,0),
_xlpm._法人検索,IFERROR(INDEX('在庫使用計画 (法人)'!$A$1:$BF$391,MATCH($C13,'在庫使用計画 (法人)'!$C$1:$C$391,0),MATCH(BF$1,'在庫使用計画 (法人)'!$A$1:$BF$1,0))*1,0),
_xlpm._合計,_xlpm._一般検索+_xlpm._法人検索,
IF(_xlpm._合計=0,"",_xlpm._合計)
)</f>
        <v/>
      </c>
      <c r="BG13" s="710" t="str">
        <f>_xlfn.LET(
_xlpm._一般検索,IFERROR(INDEX('在庫使用計画 (一般)'!$A$1:$BF$391,MATCH($C13,'在庫使用計画 (一般)'!$C$1:$C$391,0),MATCH(BG$1,'在庫使用計画 (一般)'!$A$1:$BF$1,0))*1,0),
_xlpm._法人検索,IFERROR(INDEX('在庫使用計画 (法人)'!$A$1:$BF$391,MATCH($C13,'在庫使用計画 (法人)'!$C$1:$C$391,0),MATCH(BG$1,'在庫使用計画 (法人)'!$A$1:$BF$1,0))*1,0),
_xlpm._合計,_xlpm._一般検索+_xlpm._法人検索,
IF(_xlpm._合計=0,"",_xlpm._合計)
)</f>
        <v/>
      </c>
      <c r="BH13" s="1213" t="str">
        <f>_xlfn.LET(
_xlpm._一般検索,IFERROR(INDEX('在庫使用計画 (一般)'!$A$1:$BF$391,MATCH($C13,'在庫使用計画 (一般)'!$C$1:$C$391,0),MATCH(BH$1,'在庫使用計画 (一般)'!$A$1:$BF$1,0))*1,0),
_xlpm._法人検索,IFERROR(INDEX('在庫使用計画 (法人)'!$A$1:$BF$391,MATCH($C13,'在庫使用計画 (法人)'!$C$1:$C$391,0),MATCH(BH$1,'在庫使用計画 (法人)'!$A$1:$BF$1,0))*1,0),
_xlpm._合計,_xlpm._一般検索+_xlpm._法人検索,
IF(_xlpm._合計=0,"",_xlpm._合計)
)</f>
        <v/>
      </c>
      <c r="BI13" s="709" t="str">
        <f>_xlfn.LET(
_xlpm._一般検索,IFERROR(INDEX('在庫使用計画 (一般)'!$A$1:$BF$391,MATCH($C13,'在庫使用計画 (一般)'!$C$1:$C$391,0),MATCH(BI$1,'在庫使用計画 (一般)'!$A$1:$BF$1,0))*1,0),
_xlpm._法人検索,IFERROR(INDEX('在庫使用計画 (法人)'!$A$1:$BF$391,MATCH($C13,'在庫使用計画 (法人)'!$C$1:$C$391,0),MATCH(BI$1,'在庫使用計画 (法人)'!$A$1:$BF$1,0))*1,0),
_xlpm._合計,_xlpm._一般検索+_xlpm._法人検索,
IF(_xlpm._合計=0,"",_xlpm._合計)
)</f>
        <v/>
      </c>
      <c r="BJ13" s="709" t="str">
        <f>_xlfn.LET(
_xlpm._一般検索,IFERROR(INDEX('在庫使用計画 (一般)'!$A$1:$BF$391,MATCH($C13,'在庫使用計画 (一般)'!$C$1:$C$391,0),MATCH(BJ$1,'在庫使用計画 (一般)'!$A$1:$BF$1,0))*1,0),
_xlpm._法人検索,IFERROR(INDEX('在庫使用計画 (法人)'!$A$1:$BF$391,MATCH($C13,'在庫使用計画 (法人)'!$C$1:$C$391,0),MATCH(BJ$1,'在庫使用計画 (法人)'!$A$1:$BF$1,0))*1,0),
_xlpm._合計,_xlpm._一般検索+_xlpm._法人検索,
IF(_xlpm._合計=0,"",_xlpm._合計)
)</f>
        <v/>
      </c>
      <c r="BK13" s="709" t="str">
        <f>_xlfn.LET(
_xlpm._一般検索,IFERROR(INDEX('在庫使用計画 (一般)'!$A$1:$BF$391,MATCH($C13,'在庫使用計画 (一般)'!$C$1:$C$391,0),MATCH(BK$1,'在庫使用計画 (一般)'!$A$1:$BF$1,0))*1,0),
_xlpm._法人検索,IFERROR(INDEX('在庫使用計画 (法人)'!$A$1:$BF$391,MATCH($C13,'在庫使用計画 (法人)'!$C$1:$C$391,0),MATCH(BK$1,'在庫使用計画 (法人)'!$A$1:$BF$1,0))*1,0),
_xlpm._合計,_xlpm._一般検索+_xlpm._法人検索,
IF(_xlpm._合計=0,"",_xlpm._合計)
)</f>
        <v/>
      </c>
      <c r="BL13" s="709" t="str">
        <f>_xlfn.LET(
_xlpm._一般検索,IFERROR(INDEX('在庫使用計画 (一般)'!$A$1:$BF$391,MATCH($C13,'在庫使用計画 (一般)'!$C$1:$C$391,0),MATCH(BL$1,'在庫使用計画 (一般)'!$A$1:$BF$1,0))*1,0),
_xlpm._法人検索,IFERROR(INDEX('在庫使用計画 (法人)'!$A$1:$BF$391,MATCH($C13,'在庫使用計画 (法人)'!$C$1:$C$391,0),MATCH(BL$1,'在庫使用計画 (法人)'!$A$1:$BF$1,0))*1,0),
_xlpm._合計,_xlpm._一般検索+_xlpm._法人検索,
IF(_xlpm._合計=0,"",_xlpm._合計)
)</f>
        <v/>
      </c>
      <c r="BM13" s="709" t="str">
        <f>_xlfn.LET(
_xlpm._一般検索,IFERROR(INDEX('在庫使用計画 (一般)'!$A$1:$BF$391,MATCH($C13,'在庫使用計画 (一般)'!$C$1:$C$391,0),MATCH(BM$1,'在庫使用計画 (一般)'!$A$1:$BF$1,0))*1,0),
_xlpm._法人検索,IFERROR(INDEX('在庫使用計画 (法人)'!$A$1:$BF$391,MATCH($C13,'在庫使用計画 (法人)'!$C$1:$C$391,0),MATCH(BM$1,'在庫使用計画 (法人)'!$A$1:$BF$1,0))*1,0),
_xlpm._合計,_xlpm._一般検索+_xlpm._法人検索,
IF(_xlpm._合計=0,"",_xlpm._合計)
)</f>
        <v/>
      </c>
      <c r="BN13" s="709" t="str">
        <f>_xlfn.LET(
_xlpm._一般検索,IFERROR(INDEX('在庫使用計画 (一般)'!$A$1:$BF$391,MATCH($C13,'在庫使用計画 (一般)'!$C$1:$C$391,0),MATCH(BN$1,'在庫使用計画 (一般)'!$A$1:$BF$1,0))*1,0),
_xlpm._法人検索,IFERROR(INDEX('在庫使用計画 (法人)'!$A$1:$BF$391,MATCH($C13,'在庫使用計画 (法人)'!$C$1:$C$391,0),MATCH(BN$1,'在庫使用計画 (法人)'!$A$1:$BF$1,0))*1,0),
_xlpm._合計,_xlpm._一般検索+_xlpm._法人検索,
IF(_xlpm._合計=0,"",_xlpm._合計)
)</f>
        <v/>
      </c>
      <c r="BO13" s="709" t="str">
        <f>_xlfn.LET(
_xlpm._一般検索,IFERROR(INDEX('在庫使用計画 (一般)'!$A$1:$BF$391,MATCH($C13,'在庫使用計画 (一般)'!$C$1:$C$391,0),MATCH(BO$1,'在庫使用計画 (一般)'!$A$1:$BF$1,0))*1,0),
_xlpm._法人検索,IFERROR(INDEX('在庫使用計画 (法人)'!$A$1:$BF$391,MATCH($C13,'在庫使用計画 (法人)'!$C$1:$C$391,0),MATCH(BO$1,'在庫使用計画 (法人)'!$A$1:$BF$1,0))*1,0),
_xlpm._合計,_xlpm._一般検索+_xlpm._法人検索,
IF(_xlpm._合計=0,"",_xlpm._合計)
)</f>
        <v/>
      </c>
      <c r="BP13" s="709" t="str">
        <f>_xlfn.LET(
_xlpm._一般検索,IFERROR(INDEX('在庫使用計画 (一般)'!$A$1:$BF$391,MATCH($C13,'在庫使用計画 (一般)'!$C$1:$C$391,0),MATCH(BP$1,'在庫使用計画 (一般)'!$A$1:$BF$1,0))*1,0),
_xlpm._法人検索,IFERROR(INDEX('在庫使用計画 (法人)'!$A$1:$BF$391,MATCH($C13,'在庫使用計画 (法人)'!$C$1:$C$391,0),MATCH(BP$1,'在庫使用計画 (法人)'!$A$1:$BF$1,0))*1,0),
_xlpm._合計,_xlpm._一般検索+_xlpm._法人検索,
IF(_xlpm._合計=0,"",_xlpm._合計)
)</f>
        <v/>
      </c>
      <c r="BQ13" s="709" t="str">
        <f>_xlfn.LET(
_xlpm._一般検索,IFERROR(INDEX('在庫使用計画 (一般)'!$A$1:$BF$391,MATCH($C13,'在庫使用計画 (一般)'!$C$1:$C$391,0),MATCH(BQ$1,'在庫使用計画 (一般)'!$A$1:$BF$1,0))*1,0),
_xlpm._法人検索,IFERROR(INDEX('在庫使用計画 (法人)'!$A$1:$BF$391,MATCH($C13,'在庫使用計画 (法人)'!$C$1:$C$391,0),MATCH(BQ$1,'在庫使用計画 (法人)'!$A$1:$BF$1,0))*1,0),
_xlpm._合計,_xlpm._一般検索+_xlpm._法人検索,
IF(_xlpm._合計=0,"",_xlpm._合計)
)</f>
        <v/>
      </c>
      <c r="BR13" s="709" t="str">
        <f>_xlfn.LET(
_xlpm._一般検索,IFERROR(INDEX('在庫使用計画 (一般)'!$A$1:$BF$391,MATCH($C13,'在庫使用計画 (一般)'!$C$1:$C$391,0),MATCH(BR$1,'在庫使用計画 (一般)'!$A$1:$BF$1,0))*1,0),
_xlpm._法人検索,IFERROR(INDEX('在庫使用計画 (法人)'!$A$1:$BF$391,MATCH($C13,'在庫使用計画 (法人)'!$C$1:$C$391,0),MATCH(BR$1,'在庫使用計画 (法人)'!$A$1:$BF$1,0))*1,0),
_xlpm._合計,_xlpm._一般検索+_xlpm._法人検索,
IF(_xlpm._合計=0,"",_xlpm._合計)
)</f>
        <v/>
      </c>
      <c r="BS13" s="1214" t="str">
        <f>_xlfn.LET(
_xlpm._一般検索,IFERROR(INDEX('在庫使用計画 (一般)'!$A$1:$BF$391,MATCH($C13,'在庫使用計画 (一般)'!$C$1:$C$391,0),MATCH(BS$1,'在庫使用計画 (一般)'!$A$1:$BF$1,0))*1,0),
_xlpm._法人検索,IFERROR(INDEX('在庫使用計画 (法人)'!$A$1:$BF$391,MATCH($C13,'在庫使用計画 (法人)'!$C$1:$C$391,0),MATCH(BS$1,'在庫使用計画 (法人)'!$A$1:$BF$1,0))*1,0),
_xlpm._合計,_xlpm._一般検索+_xlpm._法人検索,
IF(_xlpm._合計=0,"",_xlpm._合計)
)</f>
        <v/>
      </c>
      <c r="BT13" s="21"/>
    </row>
    <row r="14" spans="1:72" customFormat="1" ht="18.75" customHeight="1" thickBot="1">
      <c r="A14" s="1060" t="s">
        <v>1633</v>
      </c>
      <c r="B14" s="1408" t="str">
        <v>CLE-V35-14650HX-5060-L6</v>
      </c>
      <c r="C14" s="1441" t="s">
        <v>298</v>
      </c>
      <c r="D14" s="2153">
        <v>3126</v>
      </c>
      <c r="E14" s="26" t="s">
        <v>1723</v>
      </c>
      <c r="F14" s="26" t="s">
        <v>20</v>
      </c>
      <c r="G14" s="74">
        <v>152</v>
      </c>
      <c r="H14" s="109">
        <v>152</v>
      </c>
      <c r="I14" s="38" cm="1">
        <f t="array" ref="I14">IF($C14="","",
_xlfn.LET(
  _xlpm._見出し,$A$1:$BT$1,
  _xlpm._行,$A14:$BT14,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140</v>
      </c>
      <c r="J14" s="74" cm="1">
        <f t="array" ref="J14">_xlfn.LET(
  _xlpm._見出し,$A$1:$BS$1,
  _xlpm._行,$A14:$BS14,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IF($C14="","",_xlpm._四点五月計画合計)
)</f>
        <v>70</v>
      </c>
      <c r="K14" s="1458" cm="1">
        <f t="array" ref="K14">_xlfn.IFS(
  $C14="","",
  $G14="","発売前？",
  $G14=0,"在庫無し",
  TRUE,
  IFERROR(
    _xlfn.LET(
      _xlpm._在庫注残,     $G14,
      _xlpm._しきい値,     _xlpm._在庫注残 * 0.75,
      _xlpm._見出し元,     $L$1:$BU$1,
      _xlpm._計画,         $L14:$BU14,
      _xlpm._最新実績日,       基準データ!$C$5,
      _xlpm._今月1日,      EOMONTH(_xlpm._最新実績日, -1) + 1,
      _xlpm._月末日,       EOMONTH(_xlpm._最新実績日, 0),
      _xlpm._今月位置,     _xlfn.XMATCH(_xlpm._今月1日, _xlpm._見出し元),
      _xlpm._今月計画按分, N(INDEX(_xlpm._計画, 1, _xlpm._今月位置))
                      * (_xlpm._月末日 - _xlpm._最新実績日)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46204</v>
      </c>
      <c r="L14" s="38"/>
      <c r="M14" s="38"/>
      <c r="N14" s="38"/>
      <c r="O14" s="38"/>
      <c r="P14" s="38"/>
      <c r="Q14" s="38"/>
      <c r="R14" s="38"/>
      <c r="S14" s="38"/>
      <c r="T14" s="219"/>
      <c r="U14" s="219"/>
      <c r="V14" s="219"/>
      <c r="W14" s="219"/>
      <c r="X14" s="224"/>
      <c r="Y14" s="224"/>
      <c r="Z14" s="224"/>
      <c r="AA14" s="237"/>
      <c r="AB14" s="224" t="s">
        <v>21</v>
      </c>
      <c r="AC14" s="224" t="s">
        <v>21</v>
      </c>
      <c r="AD14" s="224" t="s">
        <v>21</v>
      </c>
      <c r="AE14" s="224" t="s">
        <v>21</v>
      </c>
      <c r="AF14" s="224" t="s">
        <v>21</v>
      </c>
      <c r="AG14" s="224">
        <v>465</v>
      </c>
      <c r="AH14" s="224">
        <v>335</v>
      </c>
      <c r="AI14" s="237">
        <v>365.94444444444446</v>
      </c>
      <c r="AJ14" s="804">
        <v>322</v>
      </c>
      <c r="AK14" s="224">
        <v>343.17746461850174</v>
      </c>
      <c r="AL14" s="224">
        <v>450.16960112680806</v>
      </c>
      <c r="AM14" s="224">
        <v>371</v>
      </c>
      <c r="AN14" s="224">
        <f>_xlfn.LET(
_xlpm._一般検索,IFERROR(INDEX('在庫使用計画 (一般)'!$A$1:$BF$391,MATCH($C14,'在庫使用計画 (一般)'!$C$1:$C$391,0),MATCH(AN$1,'在庫使用計画 (一般)'!$A$1:$BF$1,0))*1,0),
_xlpm._法人検索,IFERROR(INDEX('在庫使用計画 (法人)'!$A$1:$BF$391,MATCH($C14,'在庫使用計画 (法人)'!$C$1:$C$391,0),MATCH(AN$1,'在庫使用計画 (法人)'!$A$1:$BF$1,0))*1,0),
_xlpm._合計,_xlpm._一般検索+_xlpm._法人検索,
IF(_xlpm._合計=0,"",_xlpm._合計)
)</f>
        <v>240</v>
      </c>
      <c r="AO14" s="224">
        <f>_xlfn.LET(
_xlpm._一般検索,IFERROR(INDEX('在庫使用計画 (一般)'!$A$1:$BF$391,MATCH($C14,'在庫使用計画 (一般)'!$C$1:$C$391,0),MATCH(AO$1,'在庫使用計画 (一般)'!$A$1:$BF$1,0))*1,0),
_xlpm._法人検索,IFERROR(INDEX('在庫使用計画 (法人)'!$A$1:$BF$391,MATCH($C14,'在庫使用計画 (法人)'!$C$1:$C$391,0),MATCH(AO$1,'在庫使用計画 (法人)'!$A$1:$BF$1,0))*1,0),
_xlpm._合計,_xlpm._一般検索+_xlpm._法人検索,
IF(_xlpm._合計=0,"",_xlpm._合計)
)</f>
        <v>390</v>
      </c>
      <c r="AP14" s="224">
        <f>_xlfn.LET(
_xlpm._一般検索,IFERROR(INDEX('在庫使用計画 (一般)'!$A$1:$BF$391,MATCH($C14,'在庫使用計画 (一般)'!$C$1:$C$391,0),MATCH(AP$1,'在庫使用計画 (一般)'!$A$1:$BF$1,0))*1,0),
_xlpm._法人検索,IFERROR(INDEX('在庫使用計画 (法人)'!$A$1:$BF$391,MATCH($C14,'在庫使用計画 (法人)'!$C$1:$C$391,0),MATCH(AP$1,'在庫使用計画 (法人)'!$A$1:$BF$1,0))*1,0),
_xlpm._合計,_xlpm._一般検索+_xlpm._法人検索,
IF(_xlpm._合計=0,"",_xlpm._合計)
)</f>
        <v>140</v>
      </c>
      <c r="AQ14" s="224" t="str">
        <f>_xlfn.LET(
_xlpm._一般検索,IFERROR(INDEX('在庫使用計画 (一般)'!$A$1:$BF$391,MATCH($C14,'在庫使用計画 (一般)'!$C$1:$C$391,0),MATCH(AQ$1,'在庫使用計画 (一般)'!$A$1:$BF$1,0))*1,0),
_xlpm._法人検索,IFERROR(INDEX('在庫使用計画 (法人)'!$A$1:$BF$391,MATCH($C14,'在庫使用計画 (法人)'!$C$1:$C$391,0),MATCH(AQ$1,'在庫使用計画 (法人)'!$A$1:$BF$1,0))*1,0),
_xlpm._合計,_xlpm._一般検索+_xlpm._法人検索,
IF(_xlpm._合計=0,"",_xlpm._合計)
)</f>
        <v/>
      </c>
      <c r="AR14" s="224" t="str">
        <f>_xlfn.LET(
_xlpm._一般検索,IFERROR(INDEX('在庫使用計画 (一般)'!$A$1:$BF$391,MATCH($C14,'在庫使用計画 (一般)'!$C$1:$C$391,0),MATCH(AR$1,'在庫使用計画 (一般)'!$A$1:$BF$1,0))*1,0),
_xlpm._法人検索,IFERROR(INDEX('在庫使用計画 (法人)'!$A$1:$BF$391,MATCH($C14,'在庫使用計画 (法人)'!$C$1:$C$391,0),MATCH(AR$1,'在庫使用計画 (法人)'!$A$1:$BF$1,0))*1,0),
_xlpm._合計,_xlpm._一般検索+_xlpm._法人検索,
IF(_xlpm._合計=0,"",_xlpm._合計)
)</f>
        <v/>
      </c>
      <c r="AS14" s="224" t="str">
        <f>_xlfn.LET(
_xlpm._一般検索,IFERROR(INDEX('在庫使用計画 (一般)'!$A$1:$BF$391,MATCH($C14,'在庫使用計画 (一般)'!$C$1:$C$391,0),MATCH(AS$1,'在庫使用計画 (一般)'!$A$1:$BF$1,0))*1,0),
_xlpm._法人検索,IFERROR(INDEX('在庫使用計画 (法人)'!$A$1:$BF$391,MATCH($C14,'在庫使用計画 (法人)'!$C$1:$C$391,0),MATCH(AS$1,'在庫使用計画 (法人)'!$A$1:$BF$1,0))*1,0),
_xlpm._合計,_xlpm._一般検索+_xlpm._法人検索,
IF(_xlpm._合計=0,"",_xlpm._合計)
)</f>
        <v/>
      </c>
      <c r="AT14" s="224" t="str">
        <f>_xlfn.LET(
_xlpm._一般検索,IFERROR(INDEX('在庫使用計画 (一般)'!$A$1:$BF$391,MATCH($C14,'在庫使用計画 (一般)'!$C$1:$C$391,0),MATCH(AT$1,'在庫使用計画 (一般)'!$A$1:$BF$1,0))*1,0),
_xlpm._法人検索,IFERROR(INDEX('在庫使用計画 (法人)'!$A$1:$BF$391,MATCH($C14,'在庫使用計画 (法人)'!$C$1:$C$391,0),MATCH(AT$1,'在庫使用計画 (法人)'!$A$1:$BF$1,0))*1,0),
_xlpm._合計,_xlpm._一般検索+_xlpm._法人検索,
IF(_xlpm._合計=0,"",_xlpm._合計)
)</f>
        <v/>
      </c>
      <c r="AU14" s="805" t="str">
        <f>_xlfn.LET(
_xlpm._一般検索,IFERROR(INDEX('在庫使用計画 (一般)'!$A$1:$BF$391,MATCH($C14,'在庫使用計画 (一般)'!$C$1:$C$391,0),MATCH(AU$1,'在庫使用計画 (一般)'!$A$1:$BF$1,0))*1,0),
_xlpm._法人検索,IFERROR(INDEX('在庫使用計画 (法人)'!$A$1:$BF$391,MATCH($C14,'在庫使用計画 (法人)'!$C$1:$C$391,0),MATCH(AU$1,'在庫使用計画 (法人)'!$A$1:$BF$1,0))*1,0),
_xlpm._合計,_xlpm._一般検索+_xlpm._法人検索,
IF(_xlpm._合計=0,"",_xlpm._合計)
)</f>
        <v/>
      </c>
      <c r="AV14" s="244" t="str">
        <f>_xlfn.LET(
_xlpm._一般検索,IFERROR(INDEX('在庫使用計画 (一般)'!$A$1:$BF$391,MATCH($C14,'在庫使用計画 (一般)'!$C$1:$C$391,0),MATCH(AV$1,'在庫使用計画 (一般)'!$A$1:$BF$1,0))*1,0),
_xlpm._法人検索,IFERROR(INDEX('在庫使用計画 (法人)'!$A$1:$BF$391,MATCH($C14,'在庫使用計画 (法人)'!$C$1:$C$391,0),MATCH(AV$1,'在庫使用計画 (法人)'!$A$1:$BF$1,0))*1,0),
_xlpm._合計,_xlpm._一般検索+_xlpm._法人検索,
IF(_xlpm._合計=0,"",_xlpm._合計)
)</f>
        <v/>
      </c>
      <c r="AW14" s="224" t="str">
        <f>_xlfn.LET(
_xlpm._一般検索,IFERROR(INDEX('在庫使用計画 (一般)'!$A$1:$BF$391,MATCH($C14,'在庫使用計画 (一般)'!$C$1:$C$391,0),MATCH(AW$1,'在庫使用計画 (一般)'!$A$1:$BF$1,0))*1,0),
_xlpm._法人検索,IFERROR(INDEX('在庫使用計画 (法人)'!$A$1:$BF$391,MATCH($C14,'在庫使用計画 (法人)'!$C$1:$C$391,0),MATCH(AW$1,'在庫使用計画 (法人)'!$A$1:$BF$1,0))*1,0),
_xlpm._合計,_xlpm._一般検索+_xlpm._法人検索,
IF(_xlpm._合計=0,"",_xlpm._合計)
)</f>
        <v/>
      </c>
      <c r="AX14" s="224" t="str">
        <f>_xlfn.LET(
_xlpm._一般検索,IFERROR(INDEX('在庫使用計画 (一般)'!$A$1:$BF$391,MATCH($C14,'在庫使用計画 (一般)'!$C$1:$C$391,0),MATCH(AX$1,'在庫使用計画 (一般)'!$A$1:$BF$1,0))*1,0),
_xlpm._法人検索,IFERROR(INDEX('在庫使用計画 (法人)'!$A$1:$BF$391,MATCH($C14,'在庫使用計画 (法人)'!$C$1:$C$391,0),MATCH(AX$1,'在庫使用計画 (法人)'!$A$1:$BF$1,0))*1,0),
_xlpm._合計,_xlpm._一般検索+_xlpm._法人検索,
IF(_xlpm._合計=0,"",_xlpm._合計)
)</f>
        <v/>
      </c>
      <c r="AY14" s="224" t="str">
        <f>_xlfn.LET(
_xlpm._一般検索,IFERROR(INDEX('在庫使用計画 (一般)'!$A$1:$BF$391,MATCH($C14,'在庫使用計画 (一般)'!$C$1:$C$391,0),MATCH(AY$1,'在庫使用計画 (一般)'!$A$1:$BF$1,0))*1,0),
_xlpm._法人検索,IFERROR(INDEX('在庫使用計画 (法人)'!$A$1:$BF$391,MATCH($C14,'在庫使用計画 (法人)'!$C$1:$C$391,0),MATCH(AY$1,'在庫使用計画 (法人)'!$A$1:$BF$1,0))*1,0),
_xlpm._合計,_xlpm._一般検索+_xlpm._法人検索,
IF(_xlpm._合計=0,"",_xlpm._合計)
)</f>
        <v/>
      </c>
      <c r="AZ14" s="224" t="str">
        <f>_xlfn.LET(
_xlpm._一般検索,IFERROR(INDEX('在庫使用計画 (一般)'!$A$1:$BF$391,MATCH($C14,'在庫使用計画 (一般)'!$C$1:$C$391,0),MATCH(AZ$1,'在庫使用計画 (一般)'!$A$1:$BF$1,0))*1,0),
_xlpm._法人検索,IFERROR(INDEX('在庫使用計画 (法人)'!$A$1:$BF$391,MATCH($C14,'在庫使用計画 (法人)'!$C$1:$C$391,0),MATCH(AZ$1,'在庫使用計画 (法人)'!$A$1:$BF$1,0))*1,0),
_xlpm._合計,_xlpm._一般検索+_xlpm._法人検索,
IF(_xlpm._合計=0,"",_xlpm._合計)
)</f>
        <v/>
      </c>
      <c r="BA14" s="224" t="str">
        <f>_xlfn.LET(
_xlpm._一般検索,IFERROR(INDEX('在庫使用計画 (一般)'!$A$1:$BF$391,MATCH($C14,'在庫使用計画 (一般)'!$C$1:$C$391,0),MATCH(BA$1,'在庫使用計画 (一般)'!$A$1:$BF$1,0))*1,0),
_xlpm._法人検索,IFERROR(INDEX('在庫使用計画 (法人)'!$A$1:$BF$391,MATCH($C14,'在庫使用計画 (法人)'!$C$1:$C$391,0),MATCH(BA$1,'在庫使用計画 (法人)'!$A$1:$BF$1,0))*1,0),
_xlpm._合計,_xlpm._一般検索+_xlpm._法人検索,
IF(_xlpm._合計=0,"",_xlpm._合計)
)</f>
        <v/>
      </c>
      <c r="BB14" s="224" t="str">
        <f>_xlfn.LET(
_xlpm._一般検索,IFERROR(INDEX('在庫使用計画 (一般)'!$A$1:$BF$391,MATCH($C14,'在庫使用計画 (一般)'!$C$1:$C$391,0),MATCH(BB$1,'在庫使用計画 (一般)'!$A$1:$BF$1,0))*1,0),
_xlpm._法人検索,IFERROR(INDEX('在庫使用計画 (法人)'!$A$1:$BF$391,MATCH($C14,'在庫使用計画 (法人)'!$C$1:$C$391,0),MATCH(BB$1,'在庫使用計画 (法人)'!$A$1:$BF$1,0))*1,0),
_xlpm._合計,_xlpm._一般検索+_xlpm._法人検索,
IF(_xlpm._合計=0,"",_xlpm._合計)
)</f>
        <v/>
      </c>
      <c r="BC14" s="224" t="str">
        <f>_xlfn.LET(
_xlpm._一般検索,IFERROR(INDEX('在庫使用計画 (一般)'!$A$1:$BF$391,MATCH($C14,'在庫使用計画 (一般)'!$C$1:$C$391,0),MATCH(BC$1,'在庫使用計画 (一般)'!$A$1:$BF$1,0))*1,0),
_xlpm._法人検索,IFERROR(INDEX('在庫使用計画 (法人)'!$A$1:$BF$391,MATCH($C14,'在庫使用計画 (法人)'!$C$1:$C$391,0),MATCH(BC$1,'在庫使用計画 (法人)'!$A$1:$BF$1,0))*1,0),
_xlpm._合計,_xlpm._一般検索+_xlpm._法人検索,
IF(_xlpm._合計=0,"",_xlpm._合計)
)</f>
        <v/>
      </c>
      <c r="BD14" s="224" t="str">
        <f>_xlfn.LET(
_xlpm._一般検索,IFERROR(INDEX('在庫使用計画 (一般)'!$A$1:$BF$391,MATCH($C14,'在庫使用計画 (一般)'!$C$1:$C$391,0),MATCH(BD$1,'在庫使用計画 (一般)'!$A$1:$BF$1,0))*1,0),
_xlpm._法人検索,IFERROR(INDEX('在庫使用計画 (法人)'!$A$1:$BF$391,MATCH($C14,'在庫使用計画 (法人)'!$C$1:$C$391,0),MATCH(BD$1,'在庫使用計画 (法人)'!$A$1:$BF$1,0))*1,0),
_xlpm._合計,_xlpm._一般検索+_xlpm._法人検索,
IF(_xlpm._合計=0,"",_xlpm._合計)
)</f>
        <v/>
      </c>
      <c r="BE14" s="224" t="str">
        <f>_xlfn.LET(
_xlpm._一般検索,IFERROR(INDEX('在庫使用計画 (一般)'!$A$1:$BF$391,MATCH($C14,'在庫使用計画 (一般)'!$C$1:$C$391,0),MATCH(BE$1,'在庫使用計画 (一般)'!$A$1:$BF$1,0))*1,0),
_xlpm._法人検索,IFERROR(INDEX('在庫使用計画 (法人)'!$A$1:$BF$391,MATCH($C14,'在庫使用計画 (法人)'!$C$1:$C$391,0),MATCH(BE$1,'在庫使用計画 (法人)'!$A$1:$BF$1,0))*1,0),
_xlpm._合計,_xlpm._一般検索+_xlpm._法人検索,
IF(_xlpm._合計=0,"",_xlpm._合計)
)</f>
        <v/>
      </c>
      <c r="BF14" s="224" t="str">
        <f>_xlfn.LET(
_xlpm._一般検索,IFERROR(INDEX('在庫使用計画 (一般)'!$A$1:$BF$391,MATCH($C14,'在庫使用計画 (一般)'!$C$1:$C$391,0),MATCH(BF$1,'在庫使用計画 (一般)'!$A$1:$BF$1,0))*1,0),
_xlpm._法人検索,IFERROR(INDEX('在庫使用計画 (法人)'!$A$1:$BF$391,MATCH($C14,'在庫使用計画 (法人)'!$C$1:$C$391,0),MATCH(BF$1,'在庫使用計画 (法人)'!$A$1:$BF$1,0))*1,0),
_xlpm._合計,_xlpm._一般検索+_xlpm._法人検索,
IF(_xlpm._合計=0,"",_xlpm._合計)
)</f>
        <v/>
      </c>
      <c r="BG14" s="237" t="str">
        <f>_xlfn.LET(
_xlpm._一般検索,IFERROR(INDEX('在庫使用計画 (一般)'!$A$1:$BF$391,MATCH($C14,'在庫使用計画 (一般)'!$C$1:$C$391,0),MATCH(BG$1,'在庫使用計画 (一般)'!$A$1:$BF$1,0))*1,0),
_xlpm._法人検索,IFERROR(INDEX('在庫使用計画 (法人)'!$A$1:$BF$391,MATCH($C14,'在庫使用計画 (法人)'!$C$1:$C$391,0),MATCH(BG$1,'在庫使用計画 (法人)'!$A$1:$BF$1,0))*1,0),
_xlpm._合計,_xlpm._一般検索+_xlpm._法人検索,
IF(_xlpm._合計=0,"",_xlpm._合計)
)</f>
        <v/>
      </c>
      <c r="BH14" s="804" t="str">
        <f>_xlfn.LET(
_xlpm._一般検索,IFERROR(INDEX('在庫使用計画 (一般)'!$A$1:$BF$391,MATCH($C14,'在庫使用計画 (一般)'!$C$1:$C$391,0),MATCH(BH$1,'在庫使用計画 (一般)'!$A$1:$BF$1,0))*1,0),
_xlpm._法人検索,IFERROR(INDEX('在庫使用計画 (法人)'!$A$1:$BF$391,MATCH($C14,'在庫使用計画 (法人)'!$C$1:$C$391,0),MATCH(BH$1,'在庫使用計画 (法人)'!$A$1:$BF$1,0))*1,0),
_xlpm._合計,_xlpm._一般検索+_xlpm._法人検索,
IF(_xlpm._合計=0,"",_xlpm._合計)
)</f>
        <v/>
      </c>
      <c r="BI14" s="224" t="str">
        <f>_xlfn.LET(
_xlpm._一般検索,IFERROR(INDEX('在庫使用計画 (一般)'!$A$1:$BF$391,MATCH($C14,'在庫使用計画 (一般)'!$C$1:$C$391,0),MATCH(BI$1,'在庫使用計画 (一般)'!$A$1:$BF$1,0))*1,0),
_xlpm._法人検索,IFERROR(INDEX('在庫使用計画 (法人)'!$A$1:$BF$391,MATCH($C14,'在庫使用計画 (法人)'!$C$1:$C$391,0),MATCH(BI$1,'在庫使用計画 (法人)'!$A$1:$BF$1,0))*1,0),
_xlpm._合計,_xlpm._一般検索+_xlpm._法人検索,
IF(_xlpm._合計=0,"",_xlpm._合計)
)</f>
        <v/>
      </c>
      <c r="BJ14" s="224" t="str">
        <f>_xlfn.LET(
_xlpm._一般検索,IFERROR(INDEX('在庫使用計画 (一般)'!$A$1:$BF$391,MATCH($C14,'在庫使用計画 (一般)'!$C$1:$C$391,0),MATCH(BJ$1,'在庫使用計画 (一般)'!$A$1:$BF$1,0))*1,0),
_xlpm._法人検索,IFERROR(INDEX('在庫使用計画 (法人)'!$A$1:$BF$391,MATCH($C14,'在庫使用計画 (法人)'!$C$1:$C$391,0),MATCH(BJ$1,'在庫使用計画 (法人)'!$A$1:$BF$1,0))*1,0),
_xlpm._合計,_xlpm._一般検索+_xlpm._法人検索,
IF(_xlpm._合計=0,"",_xlpm._合計)
)</f>
        <v/>
      </c>
      <c r="BK14" s="224" t="str">
        <f>_xlfn.LET(
_xlpm._一般検索,IFERROR(INDEX('在庫使用計画 (一般)'!$A$1:$BF$391,MATCH($C14,'在庫使用計画 (一般)'!$C$1:$C$391,0),MATCH(BK$1,'在庫使用計画 (一般)'!$A$1:$BF$1,0))*1,0),
_xlpm._法人検索,IFERROR(INDEX('在庫使用計画 (法人)'!$A$1:$BF$391,MATCH($C14,'在庫使用計画 (法人)'!$C$1:$C$391,0),MATCH(BK$1,'在庫使用計画 (法人)'!$A$1:$BF$1,0))*1,0),
_xlpm._合計,_xlpm._一般検索+_xlpm._法人検索,
IF(_xlpm._合計=0,"",_xlpm._合計)
)</f>
        <v/>
      </c>
      <c r="BL14" s="224" t="str">
        <f>_xlfn.LET(
_xlpm._一般検索,IFERROR(INDEX('在庫使用計画 (一般)'!$A$1:$BF$391,MATCH($C14,'在庫使用計画 (一般)'!$C$1:$C$391,0),MATCH(BL$1,'在庫使用計画 (一般)'!$A$1:$BF$1,0))*1,0),
_xlpm._法人検索,IFERROR(INDEX('在庫使用計画 (法人)'!$A$1:$BF$391,MATCH($C14,'在庫使用計画 (法人)'!$C$1:$C$391,0),MATCH(BL$1,'在庫使用計画 (法人)'!$A$1:$BF$1,0))*1,0),
_xlpm._合計,_xlpm._一般検索+_xlpm._法人検索,
IF(_xlpm._合計=0,"",_xlpm._合計)
)</f>
        <v/>
      </c>
      <c r="BM14" s="224" t="str">
        <f>_xlfn.LET(
_xlpm._一般検索,IFERROR(INDEX('在庫使用計画 (一般)'!$A$1:$BF$391,MATCH($C14,'在庫使用計画 (一般)'!$C$1:$C$391,0),MATCH(BM$1,'在庫使用計画 (一般)'!$A$1:$BF$1,0))*1,0),
_xlpm._法人検索,IFERROR(INDEX('在庫使用計画 (法人)'!$A$1:$BF$391,MATCH($C14,'在庫使用計画 (法人)'!$C$1:$C$391,0),MATCH(BM$1,'在庫使用計画 (法人)'!$A$1:$BF$1,0))*1,0),
_xlpm._合計,_xlpm._一般検索+_xlpm._法人検索,
IF(_xlpm._合計=0,"",_xlpm._合計)
)</f>
        <v/>
      </c>
      <c r="BN14" s="224" t="str">
        <f>_xlfn.LET(
_xlpm._一般検索,IFERROR(INDEX('在庫使用計画 (一般)'!$A$1:$BF$391,MATCH($C14,'在庫使用計画 (一般)'!$C$1:$C$391,0),MATCH(BN$1,'在庫使用計画 (一般)'!$A$1:$BF$1,0))*1,0),
_xlpm._法人検索,IFERROR(INDEX('在庫使用計画 (法人)'!$A$1:$BF$391,MATCH($C14,'在庫使用計画 (法人)'!$C$1:$C$391,0),MATCH(BN$1,'在庫使用計画 (法人)'!$A$1:$BF$1,0))*1,0),
_xlpm._合計,_xlpm._一般検索+_xlpm._法人検索,
IF(_xlpm._合計=0,"",_xlpm._合計)
)</f>
        <v/>
      </c>
      <c r="BO14" s="224" t="str">
        <f>_xlfn.LET(
_xlpm._一般検索,IFERROR(INDEX('在庫使用計画 (一般)'!$A$1:$BF$391,MATCH($C14,'在庫使用計画 (一般)'!$C$1:$C$391,0),MATCH(BO$1,'在庫使用計画 (一般)'!$A$1:$BF$1,0))*1,0),
_xlpm._法人検索,IFERROR(INDEX('在庫使用計画 (法人)'!$A$1:$BF$391,MATCH($C14,'在庫使用計画 (法人)'!$C$1:$C$391,0),MATCH(BO$1,'在庫使用計画 (法人)'!$A$1:$BF$1,0))*1,0),
_xlpm._合計,_xlpm._一般検索+_xlpm._法人検索,
IF(_xlpm._合計=0,"",_xlpm._合計)
)</f>
        <v/>
      </c>
      <c r="BP14" s="224" t="str">
        <f>_xlfn.LET(
_xlpm._一般検索,IFERROR(INDEX('在庫使用計画 (一般)'!$A$1:$BF$391,MATCH($C14,'在庫使用計画 (一般)'!$C$1:$C$391,0),MATCH(BP$1,'在庫使用計画 (一般)'!$A$1:$BF$1,0))*1,0),
_xlpm._法人検索,IFERROR(INDEX('在庫使用計画 (法人)'!$A$1:$BF$391,MATCH($C14,'在庫使用計画 (法人)'!$C$1:$C$391,0),MATCH(BP$1,'在庫使用計画 (法人)'!$A$1:$BF$1,0))*1,0),
_xlpm._合計,_xlpm._一般検索+_xlpm._法人検索,
IF(_xlpm._合計=0,"",_xlpm._合計)
)</f>
        <v/>
      </c>
      <c r="BQ14" s="224" t="str">
        <f>_xlfn.LET(
_xlpm._一般検索,IFERROR(INDEX('在庫使用計画 (一般)'!$A$1:$BF$391,MATCH($C14,'在庫使用計画 (一般)'!$C$1:$C$391,0),MATCH(BQ$1,'在庫使用計画 (一般)'!$A$1:$BF$1,0))*1,0),
_xlpm._法人検索,IFERROR(INDEX('在庫使用計画 (法人)'!$A$1:$BF$391,MATCH($C14,'在庫使用計画 (法人)'!$C$1:$C$391,0),MATCH(BQ$1,'在庫使用計画 (法人)'!$A$1:$BF$1,0))*1,0),
_xlpm._合計,_xlpm._一般検索+_xlpm._法人検索,
IF(_xlpm._合計=0,"",_xlpm._合計)
)</f>
        <v/>
      </c>
      <c r="BR14" s="224" t="str">
        <f>_xlfn.LET(
_xlpm._一般検索,IFERROR(INDEX('在庫使用計画 (一般)'!$A$1:$BF$391,MATCH($C14,'在庫使用計画 (一般)'!$C$1:$C$391,0),MATCH(BR$1,'在庫使用計画 (一般)'!$A$1:$BF$1,0))*1,0),
_xlpm._法人検索,IFERROR(INDEX('在庫使用計画 (法人)'!$A$1:$BF$391,MATCH($C14,'在庫使用計画 (法人)'!$C$1:$C$391,0),MATCH(BR$1,'在庫使用計画 (法人)'!$A$1:$BF$1,0))*1,0),
_xlpm._合計,_xlpm._一般検索+_xlpm._法人検索,
IF(_xlpm._合計=0,"",_xlpm._合計)
)</f>
        <v/>
      </c>
      <c r="BS14" s="805" t="str">
        <f>_xlfn.LET(
_xlpm._一般検索,IFERROR(INDEX('在庫使用計画 (一般)'!$A$1:$BF$391,MATCH($C14,'在庫使用計画 (一般)'!$C$1:$C$391,0),MATCH(BS$1,'在庫使用計画 (一般)'!$A$1:$BF$1,0))*1,0),
_xlpm._法人検索,IFERROR(INDEX('在庫使用計画 (法人)'!$A$1:$BF$391,MATCH($C14,'在庫使用計画 (法人)'!$C$1:$C$391,0),MATCH(BS$1,'在庫使用計画 (法人)'!$A$1:$BF$1,0))*1,0),
_xlpm._合計,_xlpm._一般検索+_xlpm._法人検索,
IF(_xlpm._合計=0,"",_xlpm._合計)
)</f>
        <v/>
      </c>
      <c r="BT14" s="21"/>
    </row>
    <row r="15" spans="1:72" customFormat="1" ht="18.75" customHeight="1" thickBot="1">
      <c r="A15" s="1100" t="s">
        <v>1633</v>
      </c>
      <c r="B15" s="494" t="str">
        <v>UNW-2-14650HX-5060-L6-DDR5-15.3</v>
      </c>
      <c r="C15" s="1434" t="s">
        <v>306</v>
      </c>
      <c r="D15" s="2153">
        <v>1355</v>
      </c>
      <c r="E15" s="1258" t="s">
        <v>1723</v>
      </c>
      <c r="F15" s="26" t="s">
        <v>20</v>
      </c>
      <c r="G15" s="74">
        <v>1355</v>
      </c>
      <c r="H15" s="38">
        <v>0</v>
      </c>
      <c r="I15" s="38" cm="1">
        <f t="array" ref="I15">IF($C15="","",
_xlfn.LET(
  _xlpm._見出し,$A$1:$BT$1,
  _xlpm._行,$A15:$BT15,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935</v>
      </c>
      <c r="J15" s="74" cm="1">
        <f t="array" ref="J15">_xlfn.LET(
  _xlpm._見出し,$A$1:$BS$1,
  _xlpm._行,$A15:$BS15,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IF($C15="","",_xlpm._四点五月計画合計)
)</f>
        <v>1155</v>
      </c>
      <c r="K15" s="1458" cm="1">
        <f t="array" ref="K15">_xlfn.IFS(
  $C15="","",
  $G15="","発売前？",
  $G15=0,"在庫無し",
  TRUE,
  IFERROR(
    _xlfn.LET(
      _xlpm._在庫注残,     $G15,
      _xlpm._しきい値,     _xlpm._在庫注残 * 0.75,
      _xlpm._見出し元,     $L$1:$BU$1,
      _xlpm._計画,         $L15:$BU15,
      _xlpm._最新実績日,       基準データ!$C$5,
      _xlpm._今月1日,      EOMONTH(_xlpm._最新実績日, -1) + 1,
      _xlpm._月末日,       EOMONTH(_xlpm._最新実績日, 0),
      _xlpm._今月位置,     _xlfn.XMATCH(_xlpm._今月1日, _xlpm._見出し元),
      _xlpm._今月計画按分, N(INDEX(_xlpm._計画, 1, _xlpm._今月位置))
                      * (_xlpm._月末日 - _xlpm._最新実績日)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46327</v>
      </c>
      <c r="L15" s="38"/>
      <c r="M15" s="38"/>
      <c r="N15" s="38"/>
      <c r="O15" s="38"/>
      <c r="P15" s="38"/>
      <c r="Q15" s="38"/>
      <c r="R15" s="38"/>
      <c r="S15" s="38"/>
      <c r="T15" s="219"/>
      <c r="U15" s="219"/>
      <c r="V15" s="219"/>
      <c r="W15" s="219"/>
      <c r="X15" s="224"/>
      <c r="Y15" s="224"/>
      <c r="Z15" s="224"/>
      <c r="AA15" s="237"/>
      <c r="AB15" s="224"/>
      <c r="AC15" s="224"/>
      <c r="AD15" s="224"/>
      <c r="AE15" s="224"/>
      <c r="AF15" s="224"/>
      <c r="AG15" s="224"/>
      <c r="AH15" s="224"/>
      <c r="AI15" s="237"/>
      <c r="AJ15" s="804" t="s">
        <v>21</v>
      </c>
      <c r="AK15" s="224" t="s">
        <v>21</v>
      </c>
      <c r="AL15" s="224" t="s">
        <v>21</v>
      </c>
      <c r="AM15" s="224" t="s">
        <v>21</v>
      </c>
      <c r="AN15" s="224" t="str">
        <f>_xlfn.LET(
_xlpm._一般検索,IFERROR(INDEX('在庫使用計画 (一般)'!$A$1:$BF$391,MATCH($C15,'在庫使用計画 (一般)'!$C$1:$C$391,0),MATCH(AN$1,'在庫使用計画 (一般)'!$A$1:$BF$1,0))*1,0),
_xlpm._法人検索,IFERROR(INDEX('在庫使用計画 (法人)'!$A$1:$BF$391,MATCH($C15,'在庫使用計画 (法人)'!$C$1:$C$391,0),MATCH(AN$1,'在庫使用計画 (法人)'!$A$1:$BF$1,0))*1,0),
_xlpm._合計,_xlpm._一般検索+_xlpm._法人検索,
IF(_xlpm._合計=0,"",_xlpm._合計)
)</f>
        <v/>
      </c>
      <c r="AO15" s="224" t="str">
        <f>_xlfn.LET(
_xlpm._一般検索,IFERROR(INDEX('在庫使用計画 (一般)'!$A$1:$BF$391,MATCH($C15,'在庫使用計画 (一般)'!$C$1:$C$391,0),MATCH(AO$1,'在庫使用計画 (一般)'!$A$1:$BF$1,0))*1,0),
_xlpm._法人検索,IFERROR(INDEX('在庫使用計画 (法人)'!$A$1:$BF$391,MATCH($C15,'在庫使用計画 (法人)'!$C$1:$C$391,0),MATCH(AO$1,'在庫使用計画 (法人)'!$A$1:$BF$1,0))*1,0),
_xlpm._合計,_xlpm._一般検索+_xlpm._法人検索,
IF(_xlpm._合計=0,"",_xlpm._合計)
)</f>
        <v/>
      </c>
      <c r="AP15" s="224">
        <f>_xlfn.LET(
_xlpm._一般検索,IFERROR(INDEX('在庫使用計画 (一般)'!$A$1:$BF$391,MATCH($C15,'在庫使用計画 (一般)'!$C$1:$C$391,0),MATCH(AP$1,'在庫使用計画 (一般)'!$A$1:$BF$1,0))*1,0),
_xlpm._法人検索,IFERROR(INDEX('在庫使用計画 (法人)'!$A$1:$BF$391,MATCH($C15,'在庫使用計画 (法人)'!$C$1:$C$391,0),MATCH(AP$1,'在庫使用計画 (法人)'!$A$1:$BF$1,0))*1,0),
_xlpm._合計,_xlpm._一般検索+_xlpm._法人検索,
IF(_xlpm._合計=0,"",_xlpm._合計)
)</f>
        <v>50</v>
      </c>
      <c r="AQ15" s="224">
        <f>_xlfn.LET(
_xlpm._一般検索,IFERROR(INDEX('在庫使用計画 (一般)'!$A$1:$BF$391,MATCH($C15,'在庫使用計画 (一般)'!$C$1:$C$391,0),MATCH(AQ$1,'在庫使用計画 (一般)'!$A$1:$BF$1,0))*1,0),
_xlpm._法人検索,IFERROR(INDEX('在庫使用計画 (法人)'!$A$1:$BF$391,MATCH($C15,'在庫使用計画 (法人)'!$C$1:$C$391,0),MATCH(AQ$1,'在庫使用計画 (法人)'!$A$1:$BF$1,0))*1,0),
_xlpm._合計,_xlpm._一般検索+_xlpm._法人検索,
IF(_xlpm._合計=0,"",_xlpm._合計)
)</f>
        <v>305</v>
      </c>
      <c r="AR15" s="224">
        <f>_xlfn.LET(
_xlpm._一般検索,IFERROR(INDEX('在庫使用計画 (一般)'!$A$1:$BF$391,MATCH($C15,'在庫使用計画 (一般)'!$C$1:$C$391,0),MATCH(AR$1,'在庫使用計画 (一般)'!$A$1:$BF$1,0))*1,0),
_xlpm._法人検索,IFERROR(INDEX('在庫使用計画 (法人)'!$A$1:$BF$391,MATCH($C15,'在庫使用計画 (法人)'!$C$1:$C$391,0),MATCH(AR$1,'在庫使用計画 (法人)'!$A$1:$BF$1,0))*1,0),
_xlpm._合計,_xlpm._一般検索+_xlpm._法人検索,
IF(_xlpm._合計=0,"",_xlpm._合計)
)</f>
        <v>325</v>
      </c>
      <c r="AS15" s="224">
        <f>_xlfn.LET(
_xlpm._一般検索,IFERROR(INDEX('在庫使用計画 (一般)'!$A$1:$BF$391,MATCH($C15,'在庫使用計画 (一般)'!$C$1:$C$391,0),MATCH(AS$1,'在庫使用計画 (一般)'!$A$1:$BF$1,0))*1,0),
_xlpm._法人検索,IFERROR(INDEX('在庫使用計画 (法人)'!$A$1:$BF$391,MATCH($C15,'在庫使用計画 (法人)'!$C$1:$C$391,0),MATCH(AS$1,'在庫使用計画 (法人)'!$A$1:$BF$1,0))*1,0),
_xlpm._合計,_xlpm._一般検索+_xlpm._法人検索,
IF(_xlpm._合計=0,"",_xlpm._合計)
)</f>
        <v>255</v>
      </c>
      <c r="AT15" s="224">
        <f>_xlfn.LET(
_xlpm._一般検索,IFERROR(INDEX('在庫使用計画 (一般)'!$A$1:$BF$391,MATCH($C15,'在庫使用計画 (一般)'!$C$1:$C$391,0),MATCH(AT$1,'在庫使用計画 (一般)'!$A$1:$BF$1,0))*1,0),
_xlpm._法人検索,IFERROR(INDEX('在庫使用計画 (法人)'!$A$1:$BF$391,MATCH($C15,'在庫使用計画 (法人)'!$C$1:$C$391,0),MATCH(AT$1,'在庫使用計画 (法人)'!$A$1:$BF$1,0))*1,0),
_xlpm._合計,_xlpm._一般検索+_xlpm._法人検索,
IF(_xlpm._合計=0,"",_xlpm._合計)
)</f>
        <v>245</v>
      </c>
      <c r="AU15" s="805">
        <f>_xlfn.LET(
_xlpm._一般検索,IFERROR(INDEX('在庫使用計画 (一般)'!$A$1:$BF$391,MATCH($C15,'在庫使用計画 (一般)'!$C$1:$C$391,0),MATCH(AU$1,'在庫使用計画 (一般)'!$A$1:$BF$1,0))*1,0),
_xlpm._法人検索,IFERROR(INDEX('在庫使用計画 (法人)'!$A$1:$BF$391,MATCH($C15,'在庫使用計画 (法人)'!$C$1:$C$391,0),MATCH(AU$1,'在庫使用計画 (法人)'!$A$1:$BF$1,0))*1,0),
_xlpm._合計,_xlpm._一般検索+_xlpm._法人検索,
IF(_xlpm._合計=0,"",_xlpm._合計)
)</f>
        <v>495</v>
      </c>
      <c r="AV15" s="244">
        <f>_xlfn.LET(
_xlpm._一般検索,IFERROR(INDEX('在庫使用計画 (一般)'!$A$1:$BF$391,MATCH($C15,'在庫使用計画 (一般)'!$C$1:$C$391,0),MATCH(AV$1,'在庫使用計画 (一般)'!$A$1:$BF$1,0))*1,0),
_xlpm._法人検索,IFERROR(INDEX('在庫使用計画 (法人)'!$A$1:$BF$391,MATCH($C15,'在庫使用計画 (法人)'!$C$1:$C$391,0),MATCH(AV$1,'在庫使用計画 (法人)'!$A$1:$BF$1,0))*1,0),
_xlpm._合計,_xlpm._一般検索+_xlpm._法人検索,
IF(_xlpm._合計=0,"",_xlpm._合計)
)</f>
        <v>285</v>
      </c>
      <c r="AW15" s="224">
        <f>_xlfn.LET(
_xlpm._一般検索,IFERROR(INDEX('在庫使用計画 (一般)'!$A$1:$BF$391,MATCH($C15,'在庫使用計画 (一般)'!$C$1:$C$391,0),MATCH(AW$1,'在庫使用計画 (一般)'!$A$1:$BF$1,0))*1,0),
_xlpm._法人検索,IFERROR(INDEX('在庫使用計画 (法人)'!$A$1:$BF$391,MATCH($C15,'在庫使用計画 (法人)'!$C$1:$C$391,0),MATCH(AW$1,'在庫使用計画 (法人)'!$A$1:$BF$1,0))*1,0),
_xlpm._合計,_xlpm._一般検索+_xlpm._法人検索,
IF(_xlpm._合計=0,"",_xlpm._合計)
)</f>
        <v>245</v>
      </c>
      <c r="AX15" s="224">
        <f>_xlfn.LET(
_xlpm._一般検索,IFERROR(INDEX('在庫使用計画 (一般)'!$A$1:$BF$391,MATCH($C15,'在庫使用計画 (一般)'!$C$1:$C$391,0),MATCH(AX$1,'在庫使用計画 (一般)'!$A$1:$BF$1,0))*1,0),
_xlpm._法人検索,IFERROR(INDEX('在庫使用計画 (法人)'!$A$1:$BF$391,MATCH($C15,'在庫使用計画 (法人)'!$C$1:$C$391,0),MATCH(AX$1,'在庫使用計画 (法人)'!$A$1:$BF$1,0))*1,0),
_xlpm._合計,_xlpm._一般検索+_xlpm._法人検索,
IF(_xlpm._合計=0,"",_xlpm._合計)
)</f>
        <v>220.85</v>
      </c>
      <c r="AY15" s="224">
        <f>_xlfn.LET(
_xlpm._一般検索,IFERROR(INDEX('在庫使用計画 (一般)'!$A$1:$BF$391,MATCH($C15,'在庫使用計画 (一般)'!$C$1:$C$391,0),MATCH(AY$1,'在庫使用計画 (一般)'!$A$1:$BF$1,0))*1,0),
_xlpm._法人検索,IFERROR(INDEX('在庫使用計画 (法人)'!$A$1:$BF$391,MATCH($C15,'在庫使用計画 (法人)'!$C$1:$C$391,0),MATCH(AY$1,'在庫使用計画 (法人)'!$A$1:$BF$1,0))*1,0),
_xlpm._合計,_xlpm._一般検索+_xlpm._法人検索,
IF(_xlpm._合計=0,"",_xlpm._合計)
)</f>
        <v>35</v>
      </c>
      <c r="AZ15" s="224">
        <f>_xlfn.LET(
_xlpm._一般検索,IFERROR(INDEX('在庫使用計画 (一般)'!$A$1:$BF$391,MATCH($C15,'在庫使用計画 (一般)'!$C$1:$C$391,0),MATCH(AZ$1,'在庫使用計画 (一般)'!$A$1:$BF$1,0))*1,0),
_xlpm._法人検索,IFERROR(INDEX('在庫使用計画 (法人)'!$A$1:$BF$391,MATCH($C15,'在庫使用計画 (法人)'!$C$1:$C$391,0),MATCH(AZ$1,'在庫使用計画 (法人)'!$A$1:$BF$1,0))*1,0),
_xlpm._合計,_xlpm._一般検索+_xlpm._法人検索,
IF(_xlpm._合計=0,"",_xlpm._合計)
)</f>
        <v>35</v>
      </c>
      <c r="BA15" s="224" t="str">
        <f>_xlfn.LET(
_xlpm._一般検索,IFERROR(INDEX('在庫使用計画 (一般)'!$A$1:$BF$391,MATCH($C15,'在庫使用計画 (一般)'!$C$1:$C$391,0),MATCH(BA$1,'在庫使用計画 (一般)'!$A$1:$BF$1,0))*1,0),
_xlpm._法人検索,IFERROR(INDEX('在庫使用計画 (法人)'!$A$1:$BF$391,MATCH($C15,'在庫使用計画 (法人)'!$C$1:$C$391,0),MATCH(BA$1,'在庫使用計画 (法人)'!$A$1:$BF$1,0))*1,0),
_xlpm._合計,_xlpm._一般検索+_xlpm._法人検索,
IF(_xlpm._合計=0,"",_xlpm._合計)
)</f>
        <v/>
      </c>
      <c r="BB15" s="224" t="str">
        <f>_xlfn.LET(
_xlpm._一般検索,IFERROR(INDEX('在庫使用計画 (一般)'!$A$1:$BF$391,MATCH($C15,'在庫使用計画 (一般)'!$C$1:$C$391,0),MATCH(BB$1,'在庫使用計画 (一般)'!$A$1:$BF$1,0))*1,0),
_xlpm._法人検索,IFERROR(INDEX('在庫使用計画 (法人)'!$A$1:$BF$391,MATCH($C15,'在庫使用計画 (法人)'!$C$1:$C$391,0),MATCH(BB$1,'在庫使用計画 (法人)'!$A$1:$BF$1,0))*1,0),
_xlpm._合計,_xlpm._一般検索+_xlpm._法人検索,
IF(_xlpm._合計=0,"",_xlpm._合計)
)</f>
        <v/>
      </c>
      <c r="BC15" s="224" t="str">
        <f>_xlfn.LET(
_xlpm._一般検索,IFERROR(INDEX('在庫使用計画 (一般)'!$A$1:$BF$391,MATCH($C15,'在庫使用計画 (一般)'!$C$1:$C$391,0),MATCH(BC$1,'在庫使用計画 (一般)'!$A$1:$BF$1,0))*1,0),
_xlpm._法人検索,IFERROR(INDEX('在庫使用計画 (法人)'!$A$1:$BF$391,MATCH($C15,'在庫使用計画 (法人)'!$C$1:$C$391,0),MATCH(BC$1,'在庫使用計画 (法人)'!$A$1:$BF$1,0))*1,0),
_xlpm._合計,_xlpm._一般検索+_xlpm._法人検索,
IF(_xlpm._合計=0,"",_xlpm._合計)
)</f>
        <v/>
      </c>
      <c r="BD15" s="224" t="str">
        <f>_xlfn.LET(
_xlpm._一般検索,IFERROR(INDEX('在庫使用計画 (一般)'!$A$1:$BF$391,MATCH($C15,'在庫使用計画 (一般)'!$C$1:$C$391,0),MATCH(BD$1,'在庫使用計画 (一般)'!$A$1:$BF$1,0))*1,0),
_xlpm._法人検索,IFERROR(INDEX('在庫使用計画 (法人)'!$A$1:$BF$391,MATCH($C15,'在庫使用計画 (法人)'!$C$1:$C$391,0),MATCH(BD$1,'在庫使用計画 (法人)'!$A$1:$BF$1,0))*1,0),
_xlpm._合計,_xlpm._一般検索+_xlpm._法人検索,
IF(_xlpm._合計=0,"",_xlpm._合計)
)</f>
        <v/>
      </c>
      <c r="BE15" s="224" t="str">
        <f>_xlfn.LET(
_xlpm._一般検索,IFERROR(INDEX('在庫使用計画 (一般)'!$A$1:$BF$391,MATCH($C15,'在庫使用計画 (一般)'!$C$1:$C$391,0),MATCH(BE$1,'在庫使用計画 (一般)'!$A$1:$BF$1,0))*1,0),
_xlpm._法人検索,IFERROR(INDEX('在庫使用計画 (法人)'!$A$1:$BF$391,MATCH($C15,'在庫使用計画 (法人)'!$C$1:$C$391,0),MATCH(BE$1,'在庫使用計画 (法人)'!$A$1:$BF$1,0))*1,0),
_xlpm._合計,_xlpm._一般検索+_xlpm._法人検索,
IF(_xlpm._合計=0,"",_xlpm._合計)
)</f>
        <v/>
      </c>
      <c r="BF15" s="224" t="str">
        <f>_xlfn.LET(
_xlpm._一般検索,IFERROR(INDEX('在庫使用計画 (一般)'!$A$1:$BF$391,MATCH($C15,'在庫使用計画 (一般)'!$C$1:$C$391,0),MATCH(BF$1,'在庫使用計画 (一般)'!$A$1:$BF$1,0))*1,0),
_xlpm._法人検索,IFERROR(INDEX('在庫使用計画 (法人)'!$A$1:$BF$391,MATCH($C15,'在庫使用計画 (法人)'!$C$1:$C$391,0),MATCH(BF$1,'在庫使用計画 (法人)'!$A$1:$BF$1,0))*1,0),
_xlpm._合計,_xlpm._一般検索+_xlpm._法人検索,
IF(_xlpm._合計=0,"",_xlpm._合計)
)</f>
        <v/>
      </c>
      <c r="BG15" s="237" t="str">
        <f>_xlfn.LET(
_xlpm._一般検索,IFERROR(INDEX('在庫使用計画 (一般)'!$A$1:$BF$391,MATCH($C15,'在庫使用計画 (一般)'!$C$1:$C$391,0),MATCH(BG$1,'在庫使用計画 (一般)'!$A$1:$BF$1,0))*1,0),
_xlpm._法人検索,IFERROR(INDEX('在庫使用計画 (法人)'!$A$1:$BF$391,MATCH($C15,'在庫使用計画 (法人)'!$C$1:$C$391,0),MATCH(BG$1,'在庫使用計画 (法人)'!$A$1:$BF$1,0))*1,0),
_xlpm._合計,_xlpm._一般検索+_xlpm._法人検索,
IF(_xlpm._合計=0,"",_xlpm._合計)
)</f>
        <v/>
      </c>
      <c r="BH15" s="804" t="str">
        <f>_xlfn.LET(
_xlpm._一般検索,IFERROR(INDEX('在庫使用計画 (一般)'!$A$1:$BF$391,MATCH($C15,'在庫使用計画 (一般)'!$C$1:$C$391,0),MATCH(BH$1,'在庫使用計画 (一般)'!$A$1:$BF$1,0))*1,0),
_xlpm._法人検索,IFERROR(INDEX('在庫使用計画 (法人)'!$A$1:$BF$391,MATCH($C15,'在庫使用計画 (法人)'!$C$1:$C$391,0),MATCH(BH$1,'在庫使用計画 (法人)'!$A$1:$BF$1,0))*1,0),
_xlpm._合計,_xlpm._一般検索+_xlpm._法人検索,
IF(_xlpm._合計=0,"",_xlpm._合計)
)</f>
        <v/>
      </c>
      <c r="BI15" s="224" t="str">
        <f>_xlfn.LET(
_xlpm._一般検索,IFERROR(INDEX('在庫使用計画 (一般)'!$A$1:$BF$391,MATCH($C15,'在庫使用計画 (一般)'!$C$1:$C$391,0),MATCH(BI$1,'在庫使用計画 (一般)'!$A$1:$BF$1,0))*1,0),
_xlpm._法人検索,IFERROR(INDEX('在庫使用計画 (法人)'!$A$1:$BF$391,MATCH($C15,'在庫使用計画 (法人)'!$C$1:$C$391,0),MATCH(BI$1,'在庫使用計画 (法人)'!$A$1:$BF$1,0))*1,0),
_xlpm._合計,_xlpm._一般検索+_xlpm._法人検索,
IF(_xlpm._合計=0,"",_xlpm._合計)
)</f>
        <v/>
      </c>
      <c r="BJ15" s="224" t="str">
        <f>_xlfn.LET(
_xlpm._一般検索,IFERROR(INDEX('在庫使用計画 (一般)'!$A$1:$BF$391,MATCH($C15,'在庫使用計画 (一般)'!$C$1:$C$391,0),MATCH(BJ$1,'在庫使用計画 (一般)'!$A$1:$BF$1,0))*1,0),
_xlpm._法人検索,IFERROR(INDEX('在庫使用計画 (法人)'!$A$1:$BF$391,MATCH($C15,'在庫使用計画 (法人)'!$C$1:$C$391,0),MATCH(BJ$1,'在庫使用計画 (法人)'!$A$1:$BF$1,0))*1,0),
_xlpm._合計,_xlpm._一般検索+_xlpm._法人検索,
IF(_xlpm._合計=0,"",_xlpm._合計)
)</f>
        <v/>
      </c>
      <c r="BK15" s="224" t="str">
        <f>_xlfn.LET(
_xlpm._一般検索,IFERROR(INDEX('在庫使用計画 (一般)'!$A$1:$BF$391,MATCH($C15,'在庫使用計画 (一般)'!$C$1:$C$391,0),MATCH(BK$1,'在庫使用計画 (一般)'!$A$1:$BF$1,0))*1,0),
_xlpm._法人検索,IFERROR(INDEX('在庫使用計画 (法人)'!$A$1:$BF$391,MATCH($C15,'在庫使用計画 (法人)'!$C$1:$C$391,0),MATCH(BK$1,'在庫使用計画 (法人)'!$A$1:$BF$1,0))*1,0),
_xlpm._合計,_xlpm._一般検索+_xlpm._法人検索,
IF(_xlpm._合計=0,"",_xlpm._合計)
)</f>
        <v/>
      </c>
      <c r="BL15" s="224" t="str">
        <f>_xlfn.LET(
_xlpm._一般検索,IFERROR(INDEX('在庫使用計画 (一般)'!$A$1:$BF$391,MATCH($C15,'在庫使用計画 (一般)'!$C$1:$C$391,0),MATCH(BL$1,'在庫使用計画 (一般)'!$A$1:$BF$1,0))*1,0),
_xlpm._法人検索,IFERROR(INDEX('在庫使用計画 (法人)'!$A$1:$BF$391,MATCH($C15,'在庫使用計画 (法人)'!$C$1:$C$391,0),MATCH(BL$1,'在庫使用計画 (法人)'!$A$1:$BF$1,0))*1,0),
_xlpm._合計,_xlpm._一般検索+_xlpm._法人検索,
IF(_xlpm._合計=0,"",_xlpm._合計)
)</f>
        <v/>
      </c>
      <c r="BM15" s="224" t="str">
        <f>_xlfn.LET(
_xlpm._一般検索,IFERROR(INDEX('在庫使用計画 (一般)'!$A$1:$BF$391,MATCH($C15,'在庫使用計画 (一般)'!$C$1:$C$391,0),MATCH(BM$1,'在庫使用計画 (一般)'!$A$1:$BF$1,0))*1,0),
_xlpm._法人検索,IFERROR(INDEX('在庫使用計画 (法人)'!$A$1:$BF$391,MATCH($C15,'在庫使用計画 (法人)'!$C$1:$C$391,0),MATCH(BM$1,'在庫使用計画 (法人)'!$A$1:$BF$1,0))*1,0),
_xlpm._合計,_xlpm._一般検索+_xlpm._法人検索,
IF(_xlpm._合計=0,"",_xlpm._合計)
)</f>
        <v/>
      </c>
      <c r="BN15" s="224" t="str">
        <f>_xlfn.LET(
_xlpm._一般検索,IFERROR(INDEX('在庫使用計画 (一般)'!$A$1:$BF$391,MATCH($C15,'在庫使用計画 (一般)'!$C$1:$C$391,0),MATCH(BN$1,'在庫使用計画 (一般)'!$A$1:$BF$1,0))*1,0),
_xlpm._法人検索,IFERROR(INDEX('在庫使用計画 (法人)'!$A$1:$BF$391,MATCH($C15,'在庫使用計画 (法人)'!$C$1:$C$391,0),MATCH(BN$1,'在庫使用計画 (法人)'!$A$1:$BF$1,0))*1,0),
_xlpm._合計,_xlpm._一般検索+_xlpm._法人検索,
IF(_xlpm._合計=0,"",_xlpm._合計)
)</f>
        <v/>
      </c>
      <c r="BO15" s="224" t="str">
        <f>_xlfn.LET(
_xlpm._一般検索,IFERROR(INDEX('在庫使用計画 (一般)'!$A$1:$BF$391,MATCH($C15,'在庫使用計画 (一般)'!$C$1:$C$391,0),MATCH(BO$1,'在庫使用計画 (一般)'!$A$1:$BF$1,0))*1,0),
_xlpm._法人検索,IFERROR(INDEX('在庫使用計画 (法人)'!$A$1:$BF$391,MATCH($C15,'在庫使用計画 (法人)'!$C$1:$C$391,0),MATCH(BO$1,'在庫使用計画 (法人)'!$A$1:$BF$1,0))*1,0),
_xlpm._合計,_xlpm._一般検索+_xlpm._法人検索,
IF(_xlpm._合計=0,"",_xlpm._合計)
)</f>
        <v/>
      </c>
      <c r="BP15" s="224" t="str">
        <f>_xlfn.LET(
_xlpm._一般検索,IFERROR(INDEX('在庫使用計画 (一般)'!$A$1:$BF$391,MATCH($C15,'在庫使用計画 (一般)'!$C$1:$C$391,0),MATCH(BP$1,'在庫使用計画 (一般)'!$A$1:$BF$1,0))*1,0),
_xlpm._法人検索,IFERROR(INDEX('在庫使用計画 (法人)'!$A$1:$BF$391,MATCH($C15,'在庫使用計画 (法人)'!$C$1:$C$391,0),MATCH(BP$1,'在庫使用計画 (法人)'!$A$1:$BF$1,0))*1,0),
_xlpm._合計,_xlpm._一般検索+_xlpm._法人検索,
IF(_xlpm._合計=0,"",_xlpm._合計)
)</f>
        <v/>
      </c>
      <c r="BQ15" s="224" t="str">
        <f>_xlfn.LET(
_xlpm._一般検索,IFERROR(INDEX('在庫使用計画 (一般)'!$A$1:$BF$391,MATCH($C15,'在庫使用計画 (一般)'!$C$1:$C$391,0),MATCH(BQ$1,'在庫使用計画 (一般)'!$A$1:$BF$1,0))*1,0),
_xlpm._法人検索,IFERROR(INDEX('在庫使用計画 (法人)'!$A$1:$BF$391,MATCH($C15,'在庫使用計画 (法人)'!$C$1:$C$391,0),MATCH(BQ$1,'在庫使用計画 (法人)'!$A$1:$BF$1,0))*1,0),
_xlpm._合計,_xlpm._一般検索+_xlpm._法人検索,
IF(_xlpm._合計=0,"",_xlpm._合計)
)</f>
        <v/>
      </c>
      <c r="BR15" s="224" t="str">
        <f>_xlfn.LET(
_xlpm._一般検索,IFERROR(INDEX('在庫使用計画 (一般)'!$A$1:$BF$391,MATCH($C15,'在庫使用計画 (一般)'!$C$1:$C$391,0),MATCH(BR$1,'在庫使用計画 (一般)'!$A$1:$BF$1,0))*1,0),
_xlpm._法人検索,IFERROR(INDEX('在庫使用計画 (法人)'!$A$1:$BF$391,MATCH($C15,'在庫使用計画 (法人)'!$C$1:$C$391,0),MATCH(BR$1,'在庫使用計画 (法人)'!$A$1:$BF$1,0))*1,0),
_xlpm._合計,_xlpm._一般検索+_xlpm._法人検索,
IF(_xlpm._合計=0,"",_xlpm._合計)
)</f>
        <v/>
      </c>
      <c r="BS15" s="805" t="str">
        <f>_xlfn.LET(
_xlpm._一般検索,IFERROR(INDEX('在庫使用計画 (一般)'!$A$1:$BF$391,MATCH($C15,'在庫使用計画 (一般)'!$C$1:$C$391,0),MATCH(BS$1,'在庫使用計画 (一般)'!$A$1:$BF$1,0))*1,0),
_xlpm._法人検索,IFERROR(INDEX('在庫使用計画 (法人)'!$A$1:$BF$391,MATCH($C15,'在庫使用計画 (法人)'!$C$1:$C$391,0),MATCH(BS$1,'在庫使用計画 (法人)'!$A$1:$BF$1,0))*1,0),
_xlpm._合計,_xlpm._一般検索+_xlpm._法人検索,
IF(_xlpm._合計=0,"",_xlpm._合計)
)</f>
        <v/>
      </c>
      <c r="BT15" s="21"/>
    </row>
    <row r="16" spans="1:72" customFormat="1" ht="18.75" customHeight="1">
      <c r="A16" s="1060" t="s">
        <v>1633</v>
      </c>
      <c r="B16" s="26" t="str">
        <v>CLE-V35-14650HX-5050-L6</v>
      </c>
      <c r="C16" s="194" t="s">
        <v>309</v>
      </c>
      <c r="D16" s="2153">
        <v>3596</v>
      </c>
      <c r="E16" s="26" t="s">
        <v>1723</v>
      </c>
      <c r="F16" s="26" t="s">
        <v>20</v>
      </c>
      <c r="G16" s="74">
        <v>702</v>
      </c>
      <c r="H16" s="38">
        <v>702</v>
      </c>
      <c r="I16" s="38" cm="1">
        <f t="array" ref="I16">IF($C16="","",
_xlfn.LET(
  _xlpm._見出し,$A$1:$BT$1,
  _xlpm._行,$A16:$BT16,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620</v>
      </c>
      <c r="J16" s="74" cm="1">
        <f t="array" ref="J16">_xlfn.LET(
  _xlpm._見出し,$A$1:$BS$1,
  _xlpm._行,$A16:$BS16,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IF($C16="","",_xlpm._四点五月計画合計)
)</f>
        <v>510</v>
      </c>
      <c r="K16" s="1458" cm="1">
        <f t="array" ref="K16">_xlfn.IFS(
  $C16="","",
  $G16="","発売前？",
  $G16=0,"在庫無し",
  TRUE,
  IFERROR(
    _xlfn.LET(
      _xlpm._在庫注残,     $G16,
      _xlpm._しきい値,     _xlpm._在庫注残 * 0.75,
      _xlpm._見出し元,     $L$1:$BU$1,
      _xlpm._計画,         $L16:$BU16,
      _xlpm._最新実績日,       基準データ!$C$5,
      _xlpm._今月1日,      EOMONTH(_xlpm._最新実績日, -1) + 1,
      _xlpm._月末日,       EOMONTH(_xlpm._最新実績日, 0),
      _xlpm._今月位置,     _xlfn.XMATCH(_xlpm._今月1日, _xlpm._見出し元),
      _xlpm._今月計画按分, N(INDEX(_xlpm._計画, 1, _xlpm._今月位置))
                      * (_xlpm._月末日 - _xlpm._最新実績日)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46296</v>
      </c>
      <c r="L16" s="38" t="s">
        <v>21</v>
      </c>
      <c r="M16" s="38" t="s">
        <v>21</v>
      </c>
      <c r="N16" s="38" t="s">
        <v>21</v>
      </c>
      <c r="O16" s="38" t="s">
        <v>21</v>
      </c>
      <c r="P16" s="38" t="s">
        <v>21</v>
      </c>
      <c r="Q16" s="38" t="s">
        <v>21</v>
      </c>
      <c r="R16" s="38" t="s">
        <v>21</v>
      </c>
      <c r="S16" s="38" t="s">
        <v>21</v>
      </c>
      <c r="T16" s="219" t="s">
        <v>21</v>
      </c>
      <c r="U16" s="219" t="s">
        <v>21</v>
      </c>
      <c r="V16" s="219" t="s">
        <v>21</v>
      </c>
      <c r="W16" s="219" t="s">
        <v>21</v>
      </c>
      <c r="X16" s="224" t="s">
        <v>21</v>
      </c>
      <c r="Y16" s="224" t="s">
        <v>21</v>
      </c>
      <c r="Z16" s="224" t="s">
        <v>21</v>
      </c>
      <c r="AA16" s="237" t="s">
        <v>21</v>
      </c>
      <c r="AB16" s="224" t="s">
        <v>21</v>
      </c>
      <c r="AC16" s="224" t="s">
        <v>21</v>
      </c>
      <c r="AD16" s="224">
        <v>390.70078740157481</v>
      </c>
      <c r="AE16" s="224">
        <v>340</v>
      </c>
      <c r="AF16" s="224">
        <v>389.94987322397839</v>
      </c>
      <c r="AG16" s="224">
        <v>248.46911044368861</v>
      </c>
      <c r="AH16" s="224">
        <v>404.36161303986319</v>
      </c>
      <c r="AI16" s="237">
        <v>401.11111111111114</v>
      </c>
      <c r="AJ16" s="804">
        <v>190</v>
      </c>
      <c r="AK16" s="224">
        <v>255</v>
      </c>
      <c r="AL16" s="224">
        <v>351.57460475181983</v>
      </c>
      <c r="AM16" s="224">
        <v>186</v>
      </c>
      <c r="AN16" s="224">
        <f>_xlfn.LET(
_xlpm._一般検索,IFERROR(INDEX('在庫使用計画 (一般)'!$A$1:$BF$391,MATCH($C16,'在庫使用計画 (一般)'!$C$1:$C$391,0),MATCH(AN$1,'在庫使用計画 (一般)'!$A$1:$BF$1,0))*1,0),
_xlpm._法人検索,IFERROR(INDEX('在庫使用計画 (法人)'!$A$1:$BF$391,MATCH($C16,'在庫使用計画 (法人)'!$C$1:$C$391,0),MATCH(AN$1,'在庫使用計画 (法人)'!$A$1:$BF$1,0))*1,0),
_xlpm._合計,_xlpm._一般検索+_xlpm._法人検索,
IF(_xlpm._合計=0,"",_xlpm._合計)
)</f>
        <v>181</v>
      </c>
      <c r="AO16" s="224">
        <f>_xlfn.LET(
_xlpm._一般検索,IFERROR(INDEX('在庫使用計画 (一般)'!$A$1:$BF$391,MATCH($C16,'在庫使用計画 (一般)'!$C$1:$C$391,0),MATCH(AO$1,'在庫使用計画 (一般)'!$A$1:$BF$1,0))*1,0),
_xlpm._法人検索,IFERROR(INDEX('在庫使用計画 (法人)'!$A$1:$BF$391,MATCH($C16,'在庫使用計画 (法人)'!$C$1:$C$391,0),MATCH(AO$1,'在庫使用計画 (法人)'!$A$1:$BF$1,0))*1,0),
_xlpm._合計,_xlpm._一般検索+_xlpm._法人検索,
IF(_xlpm._合計=0,"",_xlpm._合計)
)</f>
        <v>180</v>
      </c>
      <c r="AP16" s="224">
        <f>_xlfn.LET(
_xlpm._一般検索,IFERROR(INDEX('在庫使用計画 (一般)'!$A$1:$BF$391,MATCH($C16,'在庫使用計画 (一般)'!$C$1:$C$391,0),MATCH(AP$1,'在庫使用計画 (一般)'!$A$1:$BF$1,0))*1,0),
_xlpm._法人検索,IFERROR(INDEX('在庫使用計画 (法人)'!$A$1:$BF$391,MATCH($C16,'在庫使用計画 (法人)'!$C$1:$C$391,0),MATCH(AP$1,'在庫使用計画 (法人)'!$A$1:$BF$1,0))*1,0),
_xlpm._合計,_xlpm._一般検索+_xlpm._法人検索,
IF(_xlpm._合計=0,"",_xlpm._合計)
)</f>
        <v>220</v>
      </c>
      <c r="AQ16" s="224">
        <f>_xlfn.LET(
_xlpm._一般検索,IFERROR(INDEX('在庫使用計画 (一般)'!$A$1:$BF$391,MATCH($C16,'在庫使用計画 (一般)'!$C$1:$C$391,0),MATCH(AQ$1,'在庫使用計画 (一般)'!$A$1:$BF$1,0))*1,0),
_xlpm._法人検索,IFERROR(INDEX('在庫使用計画 (法人)'!$A$1:$BF$391,MATCH($C16,'在庫使用計画 (法人)'!$C$1:$C$391,0),MATCH(AQ$1,'在庫使用計画 (法人)'!$A$1:$BF$1,0))*1,0),
_xlpm._合計,_xlpm._一般検索+_xlpm._法人検索,
IF(_xlpm._合計=0,"",_xlpm._合計)
)</f>
        <v>200</v>
      </c>
      <c r="AR16" s="224">
        <f>_xlfn.LET(
_xlpm._一般検索,IFERROR(INDEX('在庫使用計画 (一般)'!$A$1:$BF$391,MATCH($C16,'在庫使用計画 (一般)'!$C$1:$C$391,0),MATCH(AR$1,'在庫使用計画 (一般)'!$A$1:$BF$1,0))*1,0),
_xlpm._法人検索,IFERROR(INDEX('在庫使用計画 (法人)'!$A$1:$BF$391,MATCH($C16,'在庫使用計画 (法人)'!$C$1:$C$391,0),MATCH(AR$1,'在庫使用計画 (法人)'!$A$1:$BF$1,0))*1,0),
_xlpm._合計,_xlpm._一般検索+_xlpm._法人検索,
IF(_xlpm._合計=0,"",_xlpm._合計)
)</f>
        <v>100</v>
      </c>
      <c r="AS16" s="224">
        <f>_xlfn.LET(
_xlpm._一般検索,IFERROR(INDEX('在庫使用計画 (一般)'!$A$1:$BF$391,MATCH($C16,'在庫使用計画 (一般)'!$C$1:$C$391,0),MATCH(AS$1,'在庫使用計画 (一般)'!$A$1:$BF$1,0))*1,0),
_xlpm._法人検索,IFERROR(INDEX('在庫使用計画 (法人)'!$A$1:$BF$391,MATCH($C16,'在庫使用計画 (法人)'!$C$1:$C$391,0),MATCH(AS$1,'在庫使用計画 (法人)'!$A$1:$BF$1,0))*1,0),
_xlpm._合計,_xlpm._一般検索+_xlpm._法人検索,
IF(_xlpm._合計=0,"",_xlpm._合計)
)</f>
        <v>100</v>
      </c>
      <c r="AT16" s="224" t="str">
        <f>_xlfn.LET(
_xlpm._一般検索,IFERROR(INDEX('在庫使用計画 (一般)'!$A$1:$BF$391,MATCH($C16,'在庫使用計画 (一般)'!$C$1:$C$391,0),MATCH(AT$1,'在庫使用計画 (一般)'!$A$1:$BF$1,0))*1,0),
_xlpm._法人検索,IFERROR(INDEX('在庫使用計画 (法人)'!$A$1:$BF$391,MATCH($C16,'在庫使用計画 (法人)'!$C$1:$C$391,0),MATCH(AT$1,'在庫使用計画 (法人)'!$A$1:$BF$1,0))*1,0),
_xlpm._合計,_xlpm._一般検索+_xlpm._法人検索,
IF(_xlpm._合計=0,"",_xlpm._合計)
)</f>
        <v/>
      </c>
      <c r="AU16" s="805" t="str">
        <f>_xlfn.LET(
_xlpm._一般検索,IFERROR(INDEX('在庫使用計画 (一般)'!$A$1:$BF$391,MATCH($C16,'在庫使用計画 (一般)'!$C$1:$C$391,0),MATCH(AU$1,'在庫使用計画 (一般)'!$A$1:$BF$1,0))*1,0),
_xlpm._法人検索,IFERROR(INDEX('在庫使用計画 (法人)'!$A$1:$BF$391,MATCH($C16,'在庫使用計画 (法人)'!$C$1:$C$391,0),MATCH(AU$1,'在庫使用計画 (法人)'!$A$1:$BF$1,0))*1,0),
_xlpm._合計,_xlpm._一般検索+_xlpm._法人検索,
IF(_xlpm._合計=0,"",_xlpm._合計)
)</f>
        <v/>
      </c>
      <c r="AV16" s="244" t="str">
        <f>_xlfn.LET(
_xlpm._一般検索,IFERROR(INDEX('在庫使用計画 (一般)'!$A$1:$BF$391,MATCH($C16,'在庫使用計画 (一般)'!$C$1:$C$391,0),MATCH(AV$1,'在庫使用計画 (一般)'!$A$1:$BF$1,0))*1,0),
_xlpm._法人検索,IFERROR(INDEX('在庫使用計画 (法人)'!$A$1:$BF$391,MATCH($C16,'在庫使用計画 (法人)'!$C$1:$C$391,0),MATCH(AV$1,'在庫使用計画 (法人)'!$A$1:$BF$1,0))*1,0),
_xlpm._合計,_xlpm._一般検索+_xlpm._法人検索,
IF(_xlpm._合計=0,"",_xlpm._合計)
)</f>
        <v/>
      </c>
      <c r="AW16" s="224" t="str">
        <f>_xlfn.LET(
_xlpm._一般検索,IFERROR(INDEX('在庫使用計画 (一般)'!$A$1:$BF$391,MATCH($C16,'在庫使用計画 (一般)'!$C$1:$C$391,0),MATCH(AW$1,'在庫使用計画 (一般)'!$A$1:$BF$1,0))*1,0),
_xlpm._法人検索,IFERROR(INDEX('在庫使用計画 (法人)'!$A$1:$BF$391,MATCH($C16,'在庫使用計画 (法人)'!$C$1:$C$391,0),MATCH(AW$1,'在庫使用計画 (法人)'!$A$1:$BF$1,0))*1,0),
_xlpm._合計,_xlpm._一般検索+_xlpm._法人検索,
IF(_xlpm._合計=0,"",_xlpm._合計)
)</f>
        <v/>
      </c>
      <c r="AX16" s="224" t="str">
        <f>_xlfn.LET(
_xlpm._一般検索,IFERROR(INDEX('在庫使用計画 (一般)'!$A$1:$BF$391,MATCH($C16,'在庫使用計画 (一般)'!$C$1:$C$391,0),MATCH(AX$1,'在庫使用計画 (一般)'!$A$1:$BF$1,0))*1,0),
_xlpm._法人検索,IFERROR(INDEX('在庫使用計画 (法人)'!$A$1:$BF$391,MATCH($C16,'在庫使用計画 (法人)'!$C$1:$C$391,0),MATCH(AX$1,'在庫使用計画 (法人)'!$A$1:$BF$1,0))*1,0),
_xlpm._合計,_xlpm._一般検索+_xlpm._法人検索,
IF(_xlpm._合計=0,"",_xlpm._合計)
)</f>
        <v/>
      </c>
      <c r="AY16" s="224" t="str">
        <f>_xlfn.LET(
_xlpm._一般検索,IFERROR(INDEX('在庫使用計画 (一般)'!$A$1:$BF$391,MATCH($C16,'在庫使用計画 (一般)'!$C$1:$C$391,0),MATCH(AY$1,'在庫使用計画 (一般)'!$A$1:$BF$1,0))*1,0),
_xlpm._法人検索,IFERROR(INDEX('在庫使用計画 (法人)'!$A$1:$BF$391,MATCH($C16,'在庫使用計画 (法人)'!$C$1:$C$391,0),MATCH(AY$1,'在庫使用計画 (法人)'!$A$1:$BF$1,0))*1,0),
_xlpm._合計,_xlpm._一般検索+_xlpm._法人検索,
IF(_xlpm._合計=0,"",_xlpm._合計)
)</f>
        <v/>
      </c>
      <c r="AZ16" s="224" t="str">
        <f>_xlfn.LET(
_xlpm._一般検索,IFERROR(INDEX('在庫使用計画 (一般)'!$A$1:$BF$391,MATCH($C16,'在庫使用計画 (一般)'!$C$1:$C$391,0),MATCH(AZ$1,'在庫使用計画 (一般)'!$A$1:$BF$1,0))*1,0),
_xlpm._法人検索,IFERROR(INDEX('在庫使用計画 (法人)'!$A$1:$BF$391,MATCH($C16,'在庫使用計画 (法人)'!$C$1:$C$391,0),MATCH(AZ$1,'在庫使用計画 (法人)'!$A$1:$BF$1,0))*1,0),
_xlpm._合計,_xlpm._一般検索+_xlpm._法人検索,
IF(_xlpm._合計=0,"",_xlpm._合計)
)</f>
        <v/>
      </c>
      <c r="BA16" s="224" t="str">
        <f>_xlfn.LET(
_xlpm._一般検索,IFERROR(INDEX('在庫使用計画 (一般)'!$A$1:$BF$391,MATCH($C16,'在庫使用計画 (一般)'!$C$1:$C$391,0),MATCH(BA$1,'在庫使用計画 (一般)'!$A$1:$BF$1,0))*1,0),
_xlpm._法人検索,IFERROR(INDEX('在庫使用計画 (法人)'!$A$1:$BF$391,MATCH($C16,'在庫使用計画 (法人)'!$C$1:$C$391,0),MATCH(BA$1,'在庫使用計画 (法人)'!$A$1:$BF$1,0))*1,0),
_xlpm._合計,_xlpm._一般検索+_xlpm._法人検索,
IF(_xlpm._合計=0,"",_xlpm._合計)
)</f>
        <v/>
      </c>
      <c r="BB16" s="224" t="str">
        <f>_xlfn.LET(
_xlpm._一般検索,IFERROR(INDEX('在庫使用計画 (一般)'!$A$1:$BF$391,MATCH($C16,'在庫使用計画 (一般)'!$C$1:$C$391,0),MATCH(BB$1,'在庫使用計画 (一般)'!$A$1:$BF$1,0))*1,0),
_xlpm._法人検索,IFERROR(INDEX('在庫使用計画 (法人)'!$A$1:$BF$391,MATCH($C16,'在庫使用計画 (法人)'!$C$1:$C$391,0),MATCH(BB$1,'在庫使用計画 (法人)'!$A$1:$BF$1,0))*1,0),
_xlpm._合計,_xlpm._一般検索+_xlpm._法人検索,
IF(_xlpm._合計=0,"",_xlpm._合計)
)</f>
        <v/>
      </c>
      <c r="BC16" s="224" t="str">
        <f>_xlfn.LET(
_xlpm._一般検索,IFERROR(INDEX('在庫使用計画 (一般)'!$A$1:$BF$391,MATCH($C16,'在庫使用計画 (一般)'!$C$1:$C$391,0),MATCH(BC$1,'在庫使用計画 (一般)'!$A$1:$BF$1,0))*1,0),
_xlpm._法人検索,IFERROR(INDEX('在庫使用計画 (法人)'!$A$1:$BF$391,MATCH($C16,'在庫使用計画 (法人)'!$C$1:$C$391,0),MATCH(BC$1,'在庫使用計画 (法人)'!$A$1:$BF$1,0))*1,0),
_xlpm._合計,_xlpm._一般検索+_xlpm._法人検索,
IF(_xlpm._合計=0,"",_xlpm._合計)
)</f>
        <v/>
      </c>
      <c r="BD16" s="224" t="str">
        <f>_xlfn.LET(
_xlpm._一般検索,IFERROR(INDEX('在庫使用計画 (一般)'!$A$1:$BF$391,MATCH($C16,'在庫使用計画 (一般)'!$C$1:$C$391,0),MATCH(BD$1,'在庫使用計画 (一般)'!$A$1:$BF$1,0))*1,0),
_xlpm._法人検索,IFERROR(INDEX('在庫使用計画 (法人)'!$A$1:$BF$391,MATCH($C16,'在庫使用計画 (法人)'!$C$1:$C$391,0),MATCH(BD$1,'在庫使用計画 (法人)'!$A$1:$BF$1,0))*1,0),
_xlpm._合計,_xlpm._一般検索+_xlpm._法人検索,
IF(_xlpm._合計=0,"",_xlpm._合計)
)</f>
        <v/>
      </c>
      <c r="BE16" s="224" t="str">
        <f>_xlfn.LET(
_xlpm._一般検索,IFERROR(INDEX('在庫使用計画 (一般)'!$A$1:$BF$391,MATCH($C16,'在庫使用計画 (一般)'!$C$1:$C$391,0),MATCH(BE$1,'在庫使用計画 (一般)'!$A$1:$BF$1,0))*1,0),
_xlpm._法人検索,IFERROR(INDEX('在庫使用計画 (法人)'!$A$1:$BF$391,MATCH($C16,'在庫使用計画 (法人)'!$C$1:$C$391,0),MATCH(BE$1,'在庫使用計画 (法人)'!$A$1:$BF$1,0))*1,0),
_xlpm._合計,_xlpm._一般検索+_xlpm._法人検索,
IF(_xlpm._合計=0,"",_xlpm._合計)
)</f>
        <v/>
      </c>
      <c r="BF16" s="224" t="str">
        <f>_xlfn.LET(
_xlpm._一般検索,IFERROR(INDEX('在庫使用計画 (一般)'!$A$1:$BF$391,MATCH($C16,'在庫使用計画 (一般)'!$C$1:$C$391,0),MATCH(BF$1,'在庫使用計画 (一般)'!$A$1:$BF$1,0))*1,0),
_xlpm._法人検索,IFERROR(INDEX('在庫使用計画 (法人)'!$A$1:$BF$391,MATCH($C16,'在庫使用計画 (法人)'!$C$1:$C$391,0),MATCH(BF$1,'在庫使用計画 (法人)'!$A$1:$BF$1,0))*1,0),
_xlpm._合計,_xlpm._一般検索+_xlpm._法人検索,
IF(_xlpm._合計=0,"",_xlpm._合計)
)</f>
        <v/>
      </c>
      <c r="BG16" s="237" t="str">
        <f>_xlfn.LET(
_xlpm._一般検索,IFERROR(INDEX('在庫使用計画 (一般)'!$A$1:$BF$391,MATCH($C16,'在庫使用計画 (一般)'!$C$1:$C$391,0),MATCH(BG$1,'在庫使用計画 (一般)'!$A$1:$BF$1,0))*1,0),
_xlpm._法人検索,IFERROR(INDEX('在庫使用計画 (法人)'!$A$1:$BF$391,MATCH($C16,'在庫使用計画 (法人)'!$C$1:$C$391,0),MATCH(BG$1,'在庫使用計画 (法人)'!$A$1:$BF$1,0))*1,0),
_xlpm._合計,_xlpm._一般検索+_xlpm._法人検索,
IF(_xlpm._合計=0,"",_xlpm._合計)
)</f>
        <v/>
      </c>
      <c r="BH16" s="804" t="str">
        <f>_xlfn.LET(
_xlpm._一般検索,IFERROR(INDEX('在庫使用計画 (一般)'!$A$1:$BF$391,MATCH($C16,'在庫使用計画 (一般)'!$C$1:$C$391,0),MATCH(BH$1,'在庫使用計画 (一般)'!$A$1:$BF$1,0))*1,0),
_xlpm._法人検索,IFERROR(INDEX('在庫使用計画 (法人)'!$A$1:$BF$391,MATCH($C16,'在庫使用計画 (法人)'!$C$1:$C$391,0),MATCH(BH$1,'在庫使用計画 (法人)'!$A$1:$BF$1,0))*1,0),
_xlpm._合計,_xlpm._一般検索+_xlpm._法人検索,
IF(_xlpm._合計=0,"",_xlpm._合計)
)</f>
        <v/>
      </c>
      <c r="BI16" s="224" t="str">
        <f>_xlfn.LET(
_xlpm._一般検索,IFERROR(INDEX('在庫使用計画 (一般)'!$A$1:$BF$391,MATCH($C16,'在庫使用計画 (一般)'!$C$1:$C$391,0),MATCH(BI$1,'在庫使用計画 (一般)'!$A$1:$BF$1,0))*1,0),
_xlpm._法人検索,IFERROR(INDEX('在庫使用計画 (法人)'!$A$1:$BF$391,MATCH($C16,'在庫使用計画 (法人)'!$C$1:$C$391,0),MATCH(BI$1,'在庫使用計画 (法人)'!$A$1:$BF$1,0))*1,0),
_xlpm._合計,_xlpm._一般検索+_xlpm._法人検索,
IF(_xlpm._合計=0,"",_xlpm._合計)
)</f>
        <v/>
      </c>
      <c r="BJ16" s="224" t="str">
        <f>_xlfn.LET(
_xlpm._一般検索,IFERROR(INDEX('在庫使用計画 (一般)'!$A$1:$BF$391,MATCH($C16,'在庫使用計画 (一般)'!$C$1:$C$391,0),MATCH(BJ$1,'在庫使用計画 (一般)'!$A$1:$BF$1,0))*1,0),
_xlpm._法人検索,IFERROR(INDEX('在庫使用計画 (法人)'!$A$1:$BF$391,MATCH($C16,'在庫使用計画 (法人)'!$C$1:$C$391,0),MATCH(BJ$1,'在庫使用計画 (法人)'!$A$1:$BF$1,0))*1,0),
_xlpm._合計,_xlpm._一般検索+_xlpm._法人検索,
IF(_xlpm._合計=0,"",_xlpm._合計)
)</f>
        <v/>
      </c>
      <c r="BK16" s="224" t="str">
        <f>_xlfn.LET(
_xlpm._一般検索,IFERROR(INDEX('在庫使用計画 (一般)'!$A$1:$BF$391,MATCH($C16,'在庫使用計画 (一般)'!$C$1:$C$391,0),MATCH(BK$1,'在庫使用計画 (一般)'!$A$1:$BF$1,0))*1,0),
_xlpm._法人検索,IFERROR(INDEX('在庫使用計画 (法人)'!$A$1:$BF$391,MATCH($C16,'在庫使用計画 (法人)'!$C$1:$C$391,0),MATCH(BK$1,'在庫使用計画 (法人)'!$A$1:$BF$1,0))*1,0),
_xlpm._合計,_xlpm._一般検索+_xlpm._法人検索,
IF(_xlpm._合計=0,"",_xlpm._合計)
)</f>
        <v/>
      </c>
      <c r="BL16" s="224" t="str">
        <f>_xlfn.LET(
_xlpm._一般検索,IFERROR(INDEX('在庫使用計画 (一般)'!$A$1:$BF$391,MATCH($C16,'在庫使用計画 (一般)'!$C$1:$C$391,0),MATCH(BL$1,'在庫使用計画 (一般)'!$A$1:$BF$1,0))*1,0),
_xlpm._法人検索,IFERROR(INDEX('在庫使用計画 (法人)'!$A$1:$BF$391,MATCH($C16,'在庫使用計画 (法人)'!$C$1:$C$391,0),MATCH(BL$1,'在庫使用計画 (法人)'!$A$1:$BF$1,0))*1,0),
_xlpm._合計,_xlpm._一般検索+_xlpm._法人検索,
IF(_xlpm._合計=0,"",_xlpm._合計)
)</f>
        <v/>
      </c>
      <c r="BM16" s="224" t="str">
        <f>_xlfn.LET(
_xlpm._一般検索,IFERROR(INDEX('在庫使用計画 (一般)'!$A$1:$BF$391,MATCH($C16,'在庫使用計画 (一般)'!$C$1:$C$391,0),MATCH(BM$1,'在庫使用計画 (一般)'!$A$1:$BF$1,0))*1,0),
_xlpm._法人検索,IFERROR(INDEX('在庫使用計画 (法人)'!$A$1:$BF$391,MATCH($C16,'在庫使用計画 (法人)'!$C$1:$C$391,0),MATCH(BM$1,'在庫使用計画 (法人)'!$A$1:$BF$1,0))*1,0),
_xlpm._合計,_xlpm._一般検索+_xlpm._法人検索,
IF(_xlpm._合計=0,"",_xlpm._合計)
)</f>
        <v/>
      </c>
      <c r="BN16" s="224" t="str">
        <f>_xlfn.LET(
_xlpm._一般検索,IFERROR(INDEX('在庫使用計画 (一般)'!$A$1:$BF$391,MATCH($C16,'在庫使用計画 (一般)'!$C$1:$C$391,0),MATCH(BN$1,'在庫使用計画 (一般)'!$A$1:$BF$1,0))*1,0),
_xlpm._法人検索,IFERROR(INDEX('在庫使用計画 (法人)'!$A$1:$BF$391,MATCH($C16,'在庫使用計画 (法人)'!$C$1:$C$391,0),MATCH(BN$1,'在庫使用計画 (法人)'!$A$1:$BF$1,0))*1,0),
_xlpm._合計,_xlpm._一般検索+_xlpm._法人検索,
IF(_xlpm._合計=0,"",_xlpm._合計)
)</f>
        <v/>
      </c>
      <c r="BO16" s="224" t="str">
        <f>_xlfn.LET(
_xlpm._一般検索,IFERROR(INDEX('在庫使用計画 (一般)'!$A$1:$BF$391,MATCH($C16,'在庫使用計画 (一般)'!$C$1:$C$391,0),MATCH(BO$1,'在庫使用計画 (一般)'!$A$1:$BF$1,0))*1,0),
_xlpm._法人検索,IFERROR(INDEX('在庫使用計画 (法人)'!$A$1:$BF$391,MATCH($C16,'在庫使用計画 (法人)'!$C$1:$C$391,0),MATCH(BO$1,'在庫使用計画 (法人)'!$A$1:$BF$1,0))*1,0),
_xlpm._合計,_xlpm._一般検索+_xlpm._法人検索,
IF(_xlpm._合計=0,"",_xlpm._合計)
)</f>
        <v/>
      </c>
      <c r="BP16" s="224" t="str">
        <f>_xlfn.LET(
_xlpm._一般検索,IFERROR(INDEX('在庫使用計画 (一般)'!$A$1:$BF$391,MATCH($C16,'在庫使用計画 (一般)'!$C$1:$C$391,0),MATCH(BP$1,'在庫使用計画 (一般)'!$A$1:$BF$1,0))*1,0),
_xlpm._法人検索,IFERROR(INDEX('在庫使用計画 (法人)'!$A$1:$BF$391,MATCH($C16,'在庫使用計画 (法人)'!$C$1:$C$391,0),MATCH(BP$1,'在庫使用計画 (法人)'!$A$1:$BF$1,0))*1,0),
_xlpm._合計,_xlpm._一般検索+_xlpm._法人検索,
IF(_xlpm._合計=0,"",_xlpm._合計)
)</f>
        <v/>
      </c>
      <c r="BQ16" s="224" t="str">
        <f>_xlfn.LET(
_xlpm._一般検索,IFERROR(INDEX('在庫使用計画 (一般)'!$A$1:$BF$391,MATCH($C16,'在庫使用計画 (一般)'!$C$1:$C$391,0),MATCH(BQ$1,'在庫使用計画 (一般)'!$A$1:$BF$1,0))*1,0),
_xlpm._法人検索,IFERROR(INDEX('在庫使用計画 (法人)'!$A$1:$BF$391,MATCH($C16,'在庫使用計画 (法人)'!$C$1:$C$391,0),MATCH(BQ$1,'在庫使用計画 (法人)'!$A$1:$BF$1,0))*1,0),
_xlpm._合計,_xlpm._一般検索+_xlpm._法人検索,
IF(_xlpm._合計=0,"",_xlpm._合計)
)</f>
        <v/>
      </c>
      <c r="BR16" s="224" t="str">
        <f>_xlfn.LET(
_xlpm._一般検索,IFERROR(INDEX('在庫使用計画 (一般)'!$A$1:$BF$391,MATCH($C16,'在庫使用計画 (一般)'!$C$1:$C$391,0),MATCH(BR$1,'在庫使用計画 (一般)'!$A$1:$BF$1,0))*1,0),
_xlpm._法人検索,IFERROR(INDEX('在庫使用計画 (法人)'!$A$1:$BF$391,MATCH($C16,'在庫使用計画 (法人)'!$C$1:$C$391,0),MATCH(BR$1,'在庫使用計画 (法人)'!$A$1:$BF$1,0))*1,0),
_xlpm._合計,_xlpm._一般検索+_xlpm._法人検索,
IF(_xlpm._合計=0,"",_xlpm._合計)
)</f>
        <v/>
      </c>
      <c r="BS16" s="805" t="str">
        <f>_xlfn.LET(
_xlpm._一般検索,IFERROR(INDEX('在庫使用計画 (一般)'!$A$1:$BF$391,MATCH($C16,'在庫使用計画 (一般)'!$C$1:$C$391,0),MATCH(BS$1,'在庫使用計画 (一般)'!$A$1:$BF$1,0))*1,0),
_xlpm._法人検索,IFERROR(INDEX('在庫使用計画 (法人)'!$A$1:$BF$391,MATCH($C16,'在庫使用計画 (法人)'!$C$1:$C$391,0),MATCH(BS$1,'在庫使用計画 (法人)'!$A$1:$BF$1,0))*1,0),
_xlpm._合計,_xlpm._一般検索+_xlpm._法人検索,
IF(_xlpm._合計=0,"",_xlpm._合計)
)</f>
        <v/>
      </c>
      <c r="BT16" s="21"/>
    </row>
    <row r="17" spans="1:72" customFormat="1" ht="18.75" customHeight="1">
      <c r="A17" s="1127" t="s">
        <v>1633</v>
      </c>
      <c r="B17" s="26" t="str">
        <v>UNW-ID2</v>
      </c>
      <c r="C17" s="26" t="s">
        <v>391</v>
      </c>
      <c r="D17" s="2153" t="e">
        <v>#N/A</v>
      </c>
      <c r="E17" s="26" t="s">
        <v>1723</v>
      </c>
      <c r="F17" s="26" t="s">
        <v>20</v>
      </c>
      <c r="G17" s="74">
        <v>0</v>
      </c>
      <c r="H17" s="38">
        <v>0</v>
      </c>
      <c r="I17" s="38" cm="1">
        <f t="array" ref="I17">IF($C17="","",
_xlfn.LET(
  _xlpm._見出し,$A$1:$BT$1,
  _xlpm._行,$A17:$BT17,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6</v>
      </c>
      <c r="J17" s="74" cm="1">
        <f t="array" ref="J17">_xlfn.LET(
  _xlpm._見出し,$A$1:$BS$1,
  _xlpm._行,$A17:$BS17,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IF($C17="","",_xlpm._四点五月計画合計)
)</f>
        <v>41</v>
      </c>
      <c r="K17" s="1458" t="str" cm="1">
        <f t="array" ref="K17">_xlfn.IFS(
  $C17="","",
  $G17="","発売前？",
  $G17=0,"在庫無し",
  TRUE,
  IFERROR(
    _xlfn.LET(
      _xlpm._在庫注残,     $G17,
      _xlpm._しきい値,     _xlpm._在庫注残 * 0.75,
      _xlpm._見出し元,     $L$1:$BU$1,
      _xlpm._計画,         $L17:$BU17,
      _xlpm._最新実績日,       基準データ!$C$5,
      _xlpm._今月1日,      EOMONTH(_xlpm._最新実績日, -1) + 1,
      _xlpm._月末日,       EOMONTH(_xlpm._最新実績日, 0),
      _xlpm._今月位置,     _xlfn.XMATCH(_xlpm._今月1日, _xlpm._見出し元),
      _xlpm._今月計画按分, N(INDEX(_xlpm._計画, 1, _xlpm._今月位置))
                      * (_xlpm._月末日 - _xlpm._最新実績日)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在庫無し</v>
      </c>
      <c r="L17" s="38"/>
      <c r="M17" s="38"/>
      <c r="N17" s="38"/>
      <c r="O17" s="38"/>
      <c r="P17" s="38"/>
      <c r="Q17" s="38"/>
      <c r="R17" s="38"/>
      <c r="S17" s="38"/>
      <c r="T17" s="219"/>
      <c r="U17" s="219"/>
      <c r="V17" s="219"/>
      <c r="W17" s="219"/>
      <c r="X17" s="224"/>
      <c r="Y17" s="224"/>
      <c r="Z17" s="224"/>
      <c r="AA17" s="237"/>
      <c r="AB17" s="224"/>
      <c r="AC17" s="224"/>
      <c r="AD17" s="224"/>
      <c r="AE17" s="224"/>
      <c r="AF17" s="224"/>
      <c r="AG17" s="224"/>
      <c r="AH17" s="224"/>
      <c r="AI17" s="237"/>
      <c r="AJ17" s="804" t="s">
        <v>21</v>
      </c>
      <c r="AK17" s="224" t="s">
        <v>21</v>
      </c>
      <c r="AL17" s="224" t="s">
        <v>21</v>
      </c>
      <c r="AM17" s="224" t="s">
        <v>21</v>
      </c>
      <c r="AN17" s="224" t="str">
        <f>_xlfn.LET(
_xlpm._一般検索,IFERROR(INDEX('在庫使用計画 (一般)'!$A$1:$BF$391,MATCH($C17,'在庫使用計画 (一般)'!$C$1:$C$391,0),MATCH(AN$1,'在庫使用計画 (一般)'!$A$1:$BF$1,0))*1,0),
_xlpm._法人検索,IFERROR(INDEX('在庫使用計画 (法人)'!$A$1:$BF$391,MATCH($C17,'在庫使用計画 (法人)'!$C$1:$C$391,0),MATCH(AN$1,'在庫使用計画 (法人)'!$A$1:$BF$1,0))*1,0),
_xlpm._合計,_xlpm._一般検索+_xlpm._法人検索,
IF(_xlpm._合計=0,"",_xlpm._合計)
)</f>
        <v/>
      </c>
      <c r="AO17" s="224" t="str">
        <f>_xlfn.LET(
_xlpm._一般検索,IFERROR(INDEX('在庫使用計画 (一般)'!$A$1:$BF$391,MATCH($C17,'在庫使用計画 (一般)'!$C$1:$C$391,0),MATCH(AO$1,'在庫使用計画 (一般)'!$A$1:$BF$1,0))*1,0),
_xlpm._法人検索,IFERROR(INDEX('在庫使用計画 (法人)'!$A$1:$BF$391,MATCH($C17,'在庫使用計画 (法人)'!$C$1:$C$391,0),MATCH(AO$1,'在庫使用計画 (法人)'!$A$1:$BF$1,0))*1,0),
_xlpm._合計,_xlpm._一般検索+_xlpm._法人検索,
IF(_xlpm._合計=0,"",_xlpm._合計)
)</f>
        <v/>
      </c>
      <c r="AP17" s="224" t="str">
        <f>_xlfn.LET(
_xlpm._一般検索,IFERROR(INDEX('在庫使用計画 (一般)'!$A$1:$BF$391,MATCH($C17,'在庫使用計画 (一般)'!$C$1:$C$391,0),MATCH(AP$1,'在庫使用計画 (一般)'!$A$1:$BF$1,0))*1,0),
_xlpm._法人検索,IFERROR(INDEX('在庫使用計画 (法人)'!$A$1:$BF$391,MATCH($C17,'在庫使用計画 (法人)'!$C$1:$C$391,0),MATCH(AP$1,'在庫使用計画 (法人)'!$A$1:$BF$1,0))*1,0),
_xlpm._合計,_xlpm._一般検索+_xlpm._法人検索,
IF(_xlpm._合計=0,"",_xlpm._合計)
)</f>
        <v/>
      </c>
      <c r="AQ17" s="224" t="str">
        <f>_xlfn.LET(
_xlpm._一般検索,IFERROR(INDEX('在庫使用計画 (一般)'!$A$1:$BF$391,MATCH($C17,'在庫使用計画 (一般)'!$C$1:$C$391,0),MATCH(AQ$1,'在庫使用計画 (一般)'!$A$1:$BF$1,0))*1,0),
_xlpm._法人検索,IFERROR(INDEX('在庫使用計画 (法人)'!$A$1:$BF$391,MATCH($C17,'在庫使用計画 (法人)'!$C$1:$C$391,0),MATCH(AQ$1,'在庫使用計画 (法人)'!$A$1:$BF$1,0))*1,0),
_xlpm._合計,_xlpm._一般検索+_xlpm._法人検索,
IF(_xlpm._合計=0,"",_xlpm._合計)
)</f>
        <v/>
      </c>
      <c r="AR17" s="224" t="str">
        <f>_xlfn.LET(
_xlpm._一般検索,IFERROR(INDEX('在庫使用計画 (一般)'!$A$1:$BF$391,MATCH($C17,'在庫使用計画 (一般)'!$C$1:$C$391,0),MATCH(AR$1,'在庫使用計画 (一般)'!$A$1:$BF$1,0))*1,0),
_xlpm._法人検索,IFERROR(INDEX('在庫使用計画 (法人)'!$A$1:$BF$391,MATCH($C17,'在庫使用計画 (法人)'!$C$1:$C$391,0),MATCH(AR$1,'在庫使用計画 (法人)'!$A$1:$BF$1,0))*1,0),
_xlpm._合計,_xlpm._一般検索+_xlpm._法人検索,
IF(_xlpm._合計=0,"",_xlpm._合計)
)</f>
        <v/>
      </c>
      <c r="AS17" s="224">
        <f>_xlfn.LET(
_xlpm._一般検索,IFERROR(INDEX('在庫使用計画 (一般)'!$A$1:$BF$391,MATCH($C17,'在庫使用計画 (一般)'!$C$1:$C$391,0),MATCH(AS$1,'在庫使用計画 (一般)'!$A$1:$BF$1,0))*1,0),
_xlpm._法人検索,IFERROR(INDEX('在庫使用計画 (法人)'!$A$1:$BF$391,MATCH($C17,'在庫使用計画 (法人)'!$C$1:$C$391,0),MATCH(AS$1,'在庫使用計画 (法人)'!$A$1:$BF$1,0))*1,0),
_xlpm._合計,_xlpm._一般検索+_xlpm._法人検索,
IF(_xlpm._合計=0,"",_xlpm._合計)
)</f>
        <v>6</v>
      </c>
      <c r="AT17" s="224">
        <f>_xlfn.LET(
_xlpm._一般検索,IFERROR(INDEX('在庫使用計画 (一般)'!$A$1:$BF$391,MATCH($C17,'在庫使用計画 (一般)'!$C$1:$C$391,0),MATCH(AT$1,'在庫使用計画 (一般)'!$A$1:$BF$1,0))*1,0),
_xlpm._法人検索,IFERROR(INDEX('在庫使用計画 (法人)'!$A$1:$BF$391,MATCH($C17,'在庫使用計画 (法人)'!$C$1:$C$391,0),MATCH(AT$1,'在庫使用計画 (法人)'!$A$1:$BF$1,0))*1,0),
_xlpm._合計,_xlpm._一般検索+_xlpm._法人検索,
IF(_xlpm._合計=0,"",_xlpm._合計)
)</f>
        <v>35</v>
      </c>
      <c r="AU17" s="805">
        <f>_xlfn.LET(
_xlpm._一般検索,IFERROR(INDEX('在庫使用計画 (一般)'!$A$1:$BF$391,MATCH($C17,'在庫使用計画 (一般)'!$C$1:$C$391,0),MATCH(AU$1,'在庫使用計画 (一般)'!$A$1:$BF$1,0))*1,0),
_xlpm._法人検索,IFERROR(INDEX('在庫使用計画 (法人)'!$A$1:$BF$391,MATCH($C17,'在庫使用計画 (法人)'!$C$1:$C$391,0),MATCH(AU$1,'在庫使用計画 (法人)'!$A$1:$BF$1,0))*1,0),
_xlpm._合計,_xlpm._一般検索+_xlpm._法人検索,
IF(_xlpm._合計=0,"",_xlpm._合計)
)</f>
        <v>35</v>
      </c>
      <c r="AV17" s="244">
        <f>_xlfn.LET(
_xlpm._一般検索,IFERROR(INDEX('在庫使用計画 (一般)'!$A$1:$BF$391,MATCH($C17,'在庫使用計画 (一般)'!$C$1:$C$391,0),MATCH(AV$1,'在庫使用計画 (一般)'!$A$1:$BF$1,0))*1,0),
_xlpm._法人検索,IFERROR(INDEX('在庫使用計画 (法人)'!$A$1:$BF$391,MATCH($C17,'在庫使用計画 (法人)'!$C$1:$C$391,0),MATCH(AV$1,'在庫使用計画 (法人)'!$A$1:$BF$1,0))*1,0),
_xlpm._合計,_xlpm._一般検索+_xlpm._法人検索,
IF(_xlpm._合計=0,"",_xlpm._合計)
)</f>
        <v>35</v>
      </c>
      <c r="AW17" s="224">
        <f>_xlfn.LET(
_xlpm._一般検索,IFERROR(INDEX('在庫使用計画 (一般)'!$A$1:$BF$391,MATCH($C17,'在庫使用計画 (一般)'!$C$1:$C$391,0),MATCH(AW$1,'在庫使用計画 (一般)'!$A$1:$BF$1,0))*1,0),
_xlpm._法人検索,IFERROR(INDEX('在庫使用計画 (法人)'!$A$1:$BF$391,MATCH($C17,'在庫使用計画 (法人)'!$C$1:$C$391,0),MATCH(AW$1,'在庫使用計画 (法人)'!$A$1:$BF$1,0))*1,0),
_xlpm._合計,_xlpm._一般検索+_xlpm._法人検索,
IF(_xlpm._合計=0,"",_xlpm._合計)
)</f>
        <v>35</v>
      </c>
      <c r="AX17" s="224">
        <f>_xlfn.LET(
_xlpm._一般検索,IFERROR(INDEX('在庫使用計画 (一般)'!$A$1:$BF$391,MATCH($C17,'在庫使用計画 (一般)'!$C$1:$C$391,0),MATCH(AX$1,'在庫使用計画 (一般)'!$A$1:$BF$1,0))*1,0),
_xlpm._法人検索,IFERROR(INDEX('在庫使用計画 (法人)'!$A$1:$BF$391,MATCH($C17,'在庫使用計画 (法人)'!$C$1:$C$391,0),MATCH(AX$1,'在庫使用計画 (法人)'!$A$1:$BF$1,0))*1,0),
_xlpm._合計,_xlpm._一般検索+_xlpm._法人検索,
IF(_xlpm._合計=0,"",_xlpm._合計)
)</f>
        <v>35</v>
      </c>
      <c r="AY17" s="224">
        <f>_xlfn.LET(
_xlpm._一般検索,IFERROR(INDEX('在庫使用計画 (一般)'!$A$1:$BF$391,MATCH($C17,'在庫使用計画 (一般)'!$C$1:$C$391,0),MATCH(AY$1,'在庫使用計画 (一般)'!$A$1:$BF$1,0))*1,0),
_xlpm._法人検索,IFERROR(INDEX('在庫使用計画 (法人)'!$A$1:$BF$391,MATCH($C17,'在庫使用計画 (法人)'!$C$1:$C$391,0),MATCH(AY$1,'在庫使用計画 (法人)'!$A$1:$BF$1,0))*1,0),
_xlpm._合計,_xlpm._一般検索+_xlpm._法人検索,
IF(_xlpm._合計=0,"",_xlpm._合計)
)</f>
        <v>35</v>
      </c>
      <c r="AZ17" s="224">
        <f>_xlfn.LET(
_xlpm._一般検索,IFERROR(INDEX('在庫使用計画 (一般)'!$A$1:$BF$391,MATCH($C17,'在庫使用計画 (一般)'!$C$1:$C$391,0),MATCH(AZ$1,'在庫使用計画 (一般)'!$A$1:$BF$1,0))*1,0),
_xlpm._法人検索,IFERROR(INDEX('在庫使用計画 (法人)'!$A$1:$BF$391,MATCH($C17,'在庫使用計画 (法人)'!$C$1:$C$391,0),MATCH(AZ$1,'在庫使用計画 (法人)'!$A$1:$BF$1,0))*1,0),
_xlpm._合計,_xlpm._一般検索+_xlpm._法人検索,
IF(_xlpm._合計=0,"",_xlpm._合計)
)</f>
        <v>35</v>
      </c>
      <c r="BA17" s="224" t="str">
        <f>_xlfn.LET(
_xlpm._一般検索,IFERROR(INDEX('在庫使用計画 (一般)'!$A$1:$BF$391,MATCH($C17,'在庫使用計画 (一般)'!$C$1:$C$391,0),MATCH(BA$1,'在庫使用計画 (一般)'!$A$1:$BF$1,0))*1,0),
_xlpm._法人検索,IFERROR(INDEX('在庫使用計画 (法人)'!$A$1:$BF$391,MATCH($C17,'在庫使用計画 (法人)'!$C$1:$C$391,0),MATCH(BA$1,'在庫使用計画 (法人)'!$A$1:$BF$1,0))*1,0),
_xlpm._合計,_xlpm._一般検索+_xlpm._法人検索,
IF(_xlpm._合計=0,"",_xlpm._合計)
)</f>
        <v/>
      </c>
      <c r="BB17" s="224" t="str">
        <f>_xlfn.LET(
_xlpm._一般検索,IFERROR(INDEX('在庫使用計画 (一般)'!$A$1:$BF$391,MATCH($C17,'在庫使用計画 (一般)'!$C$1:$C$391,0),MATCH(BB$1,'在庫使用計画 (一般)'!$A$1:$BF$1,0))*1,0),
_xlpm._法人検索,IFERROR(INDEX('在庫使用計画 (法人)'!$A$1:$BF$391,MATCH($C17,'在庫使用計画 (法人)'!$C$1:$C$391,0),MATCH(BB$1,'在庫使用計画 (法人)'!$A$1:$BF$1,0))*1,0),
_xlpm._合計,_xlpm._一般検索+_xlpm._法人検索,
IF(_xlpm._合計=0,"",_xlpm._合計)
)</f>
        <v/>
      </c>
      <c r="BC17" s="224" t="str">
        <f>_xlfn.LET(
_xlpm._一般検索,IFERROR(INDEX('在庫使用計画 (一般)'!$A$1:$BF$391,MATCH($C17,'在庫使用計画 (一般)'!$C$1:$C$391,0),MATCH(BC$1,'在庫使用計画 (一般)'!$A$1:$BF$1,0))*1,0),
_xlpm._法人検索,IFERROR(INDEX('在庫使用計画 (法人)'!$A$1:$BF$391,MATCH($C17,'在庫使用計画 (法人)'!$C$1:$C$391,0),MATCH(BC$1,'在庫使用計画 (法人)'!$A$1:$BF$1,0))*1,0),
_xlpm._合計,_xlpm._一般検索+_xlpm._法人検索,
IF(_xlpm._合計=0,"",_xlpm._合計)
)</f>
        <v/>
      </c>
      <c r="BD17" s="224" t="str">
        <f>_xlfn.LET(
_xlpm._一般検索,IFERROR(INDEX('在庫使用計画 (一般)'!$A$1:$BF$391,MATCH($C17,'在庫使用計画 (一般)'!$C$1:$C$391,0),MATCH(BD$1,'在庫使用計画 (一般)'!$A$1:$BF$1,0))*1,0),
_xlpm._法人検索,IFERROR(INDEX('在庫使用計画 (法人)'!$A$1:$BF$391,MATCH($C17,'在庫使用計画 (法人)'!$C$1:$C$391,0),MATCH(BD$1,'在庫使用計画 (法人)'!$A$1:$BF$1,0))*1,0),
_xlpm._合計,_xlpm._一般検索+_xlpm._法人検索,
IF(_xlpm._合計=0,"",_xlpm._合計)
)</f>
        <v/>
      </c>
      <c r="BE17" s="224" t="str">
        <f>_xlfn.LET(
_xlpm._一般検索,IFERROR(INDEX('在庫使用計画 (一般)'!$A$1:$BF$391,MATCH($C17,'在庫使用計画 (一般)'!$C$1:$C$391,0),MATCH(BE$1,'在庫使用計画 (一般)'!$A$1:$BF$1,0))*1,0),
_xlpm._法人検索,IFERROR(INDEX('在庫使用計画 (法人)'!$A$1:$BF$391,MATCH($C17,'在庫使用計画 (法人)'!$C$1:$C$391,0),MATCH(BE$1,'在庫使用計画 (法人)'!$A$1:$BF$1,0))*1,0),
_xlpm._合計,_xlpm._一般検索+_xlpm._法人検索,
IF(_xlpm._合計=0,"",_xlpm._合計)
)</f>
        <v/>
      </c>
      <c r="BF17" s="224" t="str">
        <f>_xlfn.LET(
_xlpm._一般検索,IFERROR(INDEX('在庫使用計画 (一般)'!$A$1:$BF$391,MATCH($C17,'在庫使用計画 (一般)'!$C$1:$C$391,0),MATCH(BF$1,'在庫使用計画 (一般)'!$A$1:$BF$1,0))*1,0),
_xlpm._法人検索,IFERROR(INDEX('在庫使用計画 (法人)'!$A$1:$BF$391,MATCH($C17,'在庫使用計画 (法人)'!$C$1:$C$391,0),MATCH(BF$1,'在庫使用計画 (法人)'!$A$1:$BF$1,0))*1,0),
_xlpm._合計,_xlpm._一般検索+_xlpm._法人検索,
IF(_xlpm._合計=0,"",_xlpm._合計)
)</f>
        <v/>
      </c>
      <c r="BG17" s="237" t="str">
        <f>_xlfn.LET(
_xlpm._一般検索,IFERROR(INDEX('在庫使用計画 (一般)'!$A$1:$BF$391,MATCH($C17,'在庫使用計画 (一般)'!$C$1:$C$391,0),MATCH(BG$1,'在庫使用計画 (一般)'!$A$1:$BF$1,0))*1,0),
_xlpm._法人検索,IFERROR(INDEX('在庫使用計画 (法人)'!$A$1:$BF$391,MATCH($C17,'在庫使用計画 (法人)'!$C$1:$C$391,0),MATCH(BG$1,'在庫使用計画 (法人)'!$A$1:$BF$1,0))*1,0),
_xlpm._合計,_xlpm._一般検索+_xlpm._法人検索,
IF(_xlpm._合計=0,"",_xlpm._合計)
)</f>
        <v/>
      </c>
      <c r="BH17" s="804" t="str">
        <f>_xlfn.LET(
_xlpm._一般検索,IFERROR(INDEX('在庫使用計画 (一般)'!$A$1:$BF$391,MATCH($C17,'在庫使用計画 (一般)'!$C$1:$C$391,0),MATCH(BH$1,'在庫使用計画 (一般)'!$A$1:$BF$1,0))*1,0),
_xlpm._法人検索,IFERROR(INDEX('在庫使用計画 (法人)'!$A$1:$BF$391,MATCH($C17,'在庫使用計画 (法人)'!$C$1:$C$391,0),MATCH(BH$1,'在庫使用計画 (法人)'!$A$1:$BF$1,0))*1,0),
_xlpm._合計,_xlpm._一般検索+_xlpm._法人検索,
IF(_xlpm._合計=0,"",_xlpm._合計)
)</f>
        <v/>
      </c>
      <c r="BI17" s="224" t="str">
        <f>_xlfn.LET(
_xlpm._一般検索,IFERROR(INDEX('在庫使用計画 (一般)'!$A$1:$BF$391,MATCH($C17,'在庫使用計画 (一般)'!$C$1:$C$391,0),MATCH(BI$1,'在庫使用計画 (一般)'!$A$1:$BF$1,0))*1,0),
_xlpm._法人検索,IFERROR(INDEX('在庫使用計画 (法人)'!$A$1:$BF$391,MATCH($C17,'在庫使用計画 (法人)'!$C$1:$C$391,0),MATCH(BI$1,'在庫使用計画 (法人)'!$A$1:$BF$1,0))*1,0),
_xlpm._合計,_xlpm._一般検索+_xlpm._法人検索,
IF(_xlpm._合計=0,"",_xlpm._合計)
)</f>
        <v/>
      </c>
      <c r="BJ17" s="224" t="str">
        <f>_xlfn.LET(
_xlpm._一般検索,IFERROR(INDEX('在庫使用計画 (一般)'!$A$1:$BF$391,MATCH($C17,'在庫使用計画 (一般)'!$C$1:$C$391,0),MATCH(BJ$1,'在庫使用計画 (一般)'!$A$1:$BF$1,0))*1,0),
_xlpm._法人検索,IFERROR(INDEX('在庫使用計画 (法人)'!$A$1:$BF$391,MATCH($C17,'在庫使用計画 (法人)'!$C$1:$C$391,0),MATCH(BJ$1,'在庫使用計画 (法人)'!$A$1:$BF$1,0))*1,0),
_xlpm._合計,_xlpm._一般検索+_xlpm._法人検索,
IF(_xlpm._合計=0,"",_xlpm._合計)
)</f>
        <v/>
      </c>
      <c r="BK17" s="224" t="str">
        <f>_xlfn.LET(
_xlpm._一般検索,IFERROR(INDEX('在庫使用計画 (一般)'!$A$1:$BF$391,MATCH($C17,'在庫使用計画 (一般)'!$C$1:$C$391,0),MATCH(BK$1,'在庫使用計画 (一般)'!$A$1:$BF$1,0))*1,0),
_xlpm._法人検索,IFERROR(INDEX('在庫使用計画 (法人)'!$A$1:$BF$391,MATCH($C17,'在庫使用計画 (法人)'!$C$1:$C$391,0),MATCH(BK$1,'在庫使用計画 (法人)'!$A$1:$BF$1,0))*1,0),
_xlpm._合計,_xlpm._一般検索+_xlpm._法人検索,
IF(_xlpm._合計=0,"",_xlpm._合計)
)</f>
        <v/>
      </c>
      <c r="BL17" s="224" t="str">
        <f>_xlfn.LET(
_xlpm._一般検索,IFERROR(INDEX('在庫使用計画 (一般)'!$A$1:$BF$391,MATCH($C17,'在庫使用計画 (一般)'!$C$1:$C$391,0),MATCH(BL$1,'在庫使用計画 (一般)'!$A$1:$BF$1,0))*1,0),
_xlpm._法人検索,IFERROR(INDEX('在庫使用計画 (法人)'!$A$1:$BF$391,MATCH($C17,'在庫使用計画 (法人)'!$C$1:$C$391,0),MATCH(BL$1,'在庫使用計画 (法人)'!$A$1:$BF$1,0))*1,0),
_xlpm._合計,_xlpm._一般検索+_xlpm._法人検索,
IF(_xlpm._合計=0,"",_xlpm._合計)
)</f>
        <v/>
      </c>
      <c r="BM17" s="224" t="str">
        <f>_xlfn.LET(
_xlpm._一般検索,IFERROR(INDEX('在庫使用計画 (一般)'!$A$1:$BF$391,MATCH($C17,'在庫使用計画 (一般)'!$C$1:$C$391,0),MATCH(BM$1,'在庫使用計画 (一般)'!$A$1:$BF$1,0))*1,0),
_xlpm._法人検索,IFERROR(INDEX('在庫使用計画 (法人)'!$A$1:$BF$391,MATCH($C17,'在庫使用計画 (法人)'!$C$1:$C$391,0),MATCH(BM$1,'在庫使用計画 (法人)'!$A$1:$BF$1,0))*1,0),
_xlpm._合計,_xlpm._一般検索+_xlpm._法人検索,
IF(_xlpm._合計=0,"",_xlpm._合計)
)</f>
        <v/>
      </c>
      <c r="BN17" s="224" t="str">
        <f>_xlfn.LET(
_xlpm._一般検索,IFERROR(INDEX('在庫使用計画 (一般)'!$A$1:$BF$391,MATCH($C17,'在庫使用計画 (一般)'!$C$1:$C$391,0),MATCH(BN$1,'在庫使用計画 (一般)'!$A$1:$BF$1,0))*1,0),
_xlpm._法人検索,IFERROR(INDEX('在庫使用計画 (法人)'!$A$1:$BF$391,MATCH($C17,'在庫使用計画 (法人)'!$C$1:$C$391,0),MATCH(BN$1,'在庫使用計画 (法人)'!$A$1:$BF$1,0))*1,0),
_xlpm._合計,_xlpm._一般検索+_xlpm._法人検索,
IF(_xlpm._合計=0,"",_xlpm._合計)
)</f>
        <v/>
      </c>
      <c r="BO17" s="224" t="str">
        <f>_xlfn.LET(
_xlpm._一般検索,IFERROR(INDEX('在庫使用計画 (一般)'!$A$1:$BF$391,MATCH($C17,'在庫使用計画 (一般)'!$C$1:$C$391,0),MATCH(BO$1,'在庫使用計画 (一般)'!$A$1:$BF$1,0))*1,0),
_xlpm._法人検索,IFERROR(INDEX('在庫使用計画 (法人)'!$A$1:$BF$391,MATCH($C17,'在庫使用計画 (法人)'!$C$1:$C$391,0),MATCH(BO$1,'在庫使用計画 (法人)'!$A$1:$BF$1,0))*1,0),
_xlpm._合計,_xlpm._一般検索+_xlpm._法人検索,
IF(_xlpm._合計=0,"",_xlpm._合計)
)</f>
        <v/>
      </c>
      <c r="BP17" s="224" t="str">
        <f>_xlfn.LET(
_xlpm._一般検索,IFERROR(INDEX('在庫使用計画 (一般)'!$A$1:$BF$391,MATCH($C17,'在庫使用計画 (一般)'!$C$1:$C$391,0),MATCH(BP$1,'在庫使用計画 (一般)'!$A$1:$BF$1,0))*1,0),
_xlpm._法人検索,IFERROR(INDEX('在庫使用計画 (法人)'!$A$1:$BF$391,MATCH($C17,'在庫使用計画 (法人)'!$C$1:$C$391,0),MATCH(BP$1,'在庫使用計画 (法人)'!$A$1:$BF$1,0))*1,0),
_xlpm._合計,_xlpm._一般検索+_xlpm._法人検索,
IF(_xlpm._合計=0,"",_xlpm._合計)
)</f>
        <v/>
      </c>
      <c r="BQ17" s="224" t="str">
        <f>_xlfn.LET(
_xlpm._一般検索,IFERROR(INDEX('在庫使用計画 (一般)'!$A$1:$BF$391,MATCH($C17,'在庫使用計画 (一般)'!$C$1:$C$391,0),MATCH(BQ$1,'在庫使用計画 (一般)'!$A$1:$BF$1,0))*1,0),
_xlpm._法人検索,IFERROR(INDEX('在庫使用計画 (法人)'!$A$1:$BF$391,MATCH($C17,'在庫使用計画 (法人)'!$C$1:$C$391,0),MATCH(BQ$1,'在庫使用計画 (法人)'!$A$1:$BF$1,0))*1,0),
_xlpm._合計,_xlpm._一般検索+_xlpm._法人検索,
IF(_xlpm._合計=0,"",_xlpm._合計)
)</f>
        <v/>
      </c>
      <c r="BR17" s="224" t="str">
        <f>_xlfn.LET(
_xlpm._一般検索,IFERROR(INDEX('在庫使用計画 (一般)'!$A$1:$BF$391,MATCH($C17,'在庫使用計画 (一般)'!$C$1:$C$391,0),MATCH(BR$1,'在庫使用計画 (一般)'!$A$1:$BF$1,0))*1,0),
_xlpm._法人検索,IFERROR(INDEX('在庫使用計画 (法人)'!$A$1:$BF$391,MATCH($C17,'在庫使用計画 (法人)'!$C$1:$C$391,0),MATCH(BR$1,'在庫使用計画 (法人)'!$A$1:$BF$1,0))*1,0),
_xlpm._合計,_xlpm._一般検索+_xlpm._法人検索,
IF(_xlpm._合計=0,"",_xlpm._合計)
)</f>
        <v/>
      </c>
      <c r="BS17" s="805" t="str">
        <f>_xlfn.LET(
_xlpm._一般検索,IFERROR(INDEX('在庫使用計画 (一般)'!$A$1:$BF$391,MATCH($C17,'在庫使用計画 (一般)'!$C$1:$C$391,0),MATCH(BS$1,'在庫使用計画 (一般)'!$A$1:$BF$1,0))*1,0),
_xlpm._法人検索,IFERROR(INDEX('在庫使用計画 (法人)'!$A$1:$BF$391,MATCH($C17,'在庫使用計画 (法人)'!$C$1:$C$391,0),MATCH(BS$1,'在庫使用計画 (法人)'!$A$1:$BF$1,0))*1,0),
_xlpm._合計,_xlpm._一般検索+_xlpm._法人検索,
IF(_xlpm._合計=0,"",_xlpm._合計)
)</f>
        <v/>
      </c>
      <c r="BT17" s="21"/>
    </row>
    <row r="18" spans="1:72" customFormat="1" ht="18.75" customHeight="1" thickBot="1">
      <c r="A18" s="1060" t="s">
        <v>1633</v>
      </c>
      <c r="B18" s="1408" t="str">
        <v>UNW-E-13620H-4050-L6</v>
      </c>
      <c r="C18" s="1441" t="s">
        <v>324</v>
      </c>
      <c r="D18" s="2153">
        <v>11578</v>
      </c>
      <c r="E18" s="26" t="s">
        <v>1365</v>
      </c>
      <c r="F18" s="26" t="s">
        <v>20</v>
      </c>
      <c r="G18" s="74">
        <v>1414</v>
      </c>
      <c r="H18" s="38">
        <v>1414</v>
      </c>
      <c r="I18" s="38" cm="1">
        <f t="array" ref="I18">IF($C18="","",
_xlfn.LET(
  _xlpm._見出し,$A$1:$BT$1,
  _xlpm._行,$A18:$BT18,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1579</v>
      </c>
      <c r="J18" s="74" cm="1">
        <f t="array" ref="J18">_xlfn.LET(
  _xlpm._見出し,$A$1:$BS$1,
  _xlpm._行,$A18:$BS18,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IF($C18="","",_xlpm._四点五月計画合計)
)</f>
        <v>1407</v>
      </c>
      <c r="K18" s="1458" cm="1">
        <f t="array" ref="K18">_xlfn.IFS(
  $C18="","",
  $G18="","発売前？",
  $G18=0,"在庫無し",
  TRUE,
  IFERROR(
    _xlfn.LET(
      _xlpm._在庫注残,     $G18,
      _xlpm._しきい値,     _xlpm._在庫注残 * 0.75,
      _xlpm._見出し元,     $L$1:$BU$1,
      _xlpm._計画,         $L18:$BU18,
      _xlpm._最新実績日,       基準データ!$C$5,
      _xlpm._今月1日,      EOMONTH(_xlpm._最新実績日, -1) + 1,
      _xlpm._月末日,       EOMONTH(_xlpm._最新実績日, 0),
      _xlpm._今月位置,     _xlfn.XMATCH(_xlpm._今月1日, _xlpm._見出し元),
      _xlpm._今月計画按分, N(INDEX(_xlpm._計画, 1, _xlpm._今月位置))
                      * (_xlpm._月末日 - _xlpm._最新実績日)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46266</v>
      </c>
      <c r="L18" s="38" t="s">
        <v>21</v>
      </c>
      <c r="M18" s="38" t="s">
        <v>21</v>
      </c>
      <c r="N18" s="38" t="s">
        <v>21</v>
      </c>
      <c r="O18" s="38" t="s">
        <v>21</v>
      </c>
      <c r="P18" s="38" t="s">
        <v>21</v>
      </c>
      <c r="Q18" s="38" t="s">
        <v>21</v>
      </c>
      <c r="R18" s="38" t="s">
        <v>21</v>
      </c>
      <c r="S18" s="38" t="s">
        <v>21</v>
      </c>
      <c r="T18" s="219" t="s">
        <v>21</v>
      </c>
      <c r="U18" s="219">
        <v>25</v>
      </c>
      <c r="V18" s="219">
        <v>335.30902503794056</v>
      </c>
      <c r="W18" s="219">
        <v>442.56251493856411</v>
      </c>
      <c r="X18" s="224">
        <v>405.86678181694236</v>
      </c>
      <c r="Y18" s="224">
        <v>259</v>
      </c>
      <c r="Z18" s="224">
        <v>415</v>
      </c>
      <c r="AA18" s="237">
        <v>324.76160068114092</v>
      </c>
      <c r="AB18" s="224">
        <v>413.26990208599398</v>
      </c>
      <c r="AC18" s="224">
        <v>568</v>
      </c>
      <c r="AD18" s="224">
        <v>652</v>
      </c>
      <c r="AE18" s="224">
        <v>841</v>
      </c>
      <c r="AF18" s="224">
        <v>909.78310091453307</v>
      </c>
      <c r="AG18" s="224">
        <v>803</v>
      </c>
      <c r="AH18" s="224">
        <v>401.66666666666669</v>
      </c>
      <c r="AI18" s="237">
        <v>572.33333333333326</v>
      </c>
      <c r="AJ18" s="804">
        <v>362</v>
      </c>
      <c r="AK18" s="224">
        <v>528.89745461617201</v>
      </c>
      <c r="AL18" s="224">
        <v>845.7905516185632</v>
      </c>
      <c r="AM18" s="224">
        <v>387</v>
      </c>
      <c r="AN18" s="224">
        <f>_xlfn.LET(
_xlpm._一般検索,IFERROR(INDEX('在庫使用計画 (一般)'!$A$1:$BF$391,MATCH($C18,'在庫使用計画 (一般)'!$C$1:$C$391,0),MATCH(AN$1,'在庫使用計画 (一般)'!$A$1:$BF$1,0))*1,0),
_xlpm._法人検索,IFERROR(INDEX('在庫使用計画 (法人)'!$A$1:$BF$391,MATCH($C18,'在庫使用計画 (法人)'!$C$1:$C$391,0),MATCH(AN$1,'在庫使用計画 (法人)'!$A$1:$BF$1,0))*1,0),
_xlpm._合計,_xlpm._一般検索+_xlpm._法人検索,
IF(_xlpm._合計=0,"",_xlpm._合計)
)</f>
        <v>332</v>
      </c>
      <c r="AO18" s="224">
        <f>_xlfn.LET(
_xlpm._一般検索,IFERROR(INDEX('在庫使用計画 (一般)'!$A$1:$BF$391,MATCH($C18,'在庫使用計画 (一般)'!$C$1:$C$391,0),MATCH(AO$1,'在庫使用計画 (一般)'!$A$1:$BF$1,0))*1,0),
_xlpm._法人検索,IFERROR(INDEX('在庫使用計画 (法人)'!$A$1:$BF$391,MATCH($C18,'在庫使用計画 (法人)'!$C$1:$C$391,0),MATCH(AO$1,'在庫使用計画 (法人)'!$A$1:$BF$1,0))*1,0),
_xlpm._合計,_xlpm._一般検索+_xlpm._法人検索,
IF(_xlpm._合計=0,"",_xlpm._合計)
)</f>
        <v>450</v>
      </c>
      <c r="AP18" s="224">
        <f>_xlfn.LET(
_xlpm._一般検索,IFERROR(INDEX('在庫使用計画 (一般)'!$A$1:$BF$391,MATCH($C18,'在庫使用計画 (一般)'!$C$1:$C$391,0),MATCH(AP$1,'在庫使用計画 (一般)'!$A$1:$BF$1,0))*1,0),
_xlpm._法人検索,IFERROR(INDEX('在庫使用計画 (法人)'!$A$1:$BF$391,MATCH($C18,'在庫使用計画 (法人)'!$C$1:$C$391,0),MATCH(AP$1,'在庫使用計画 (法人)'!$A$1:$BF$1,0))*1,0),
_xlpm._合計,_xlpm._一般検索+_xlpm._法人検索,
IF(_xlpm._合計=0,"",_xlpm._合計)
)</f>
        <v>450</v>
      </c>
      <c r="AQ18" s="224">
        <f>_xlfn.LET(
_xlpm._一般検索,IFERROR(INDEX('在庫使用計画 (一般)'!$A$1:$BF$391,MATCH($C18,'在庫使用計画 (一般)'!$C$1:$C$391,0),MATCH(AQ$1,'在庫使用計画 (一般)'!$A$1:$BF$1,0))*1,0),
_xlpm._法人検索,IFERROR(INDEX('在庫使用計画 (法人)'!$A$1:$BF$391,MATCH($C18,'在庫使用計画 (法人)'!$C$1:$C$391,0),MATCH(AQ$1,'在庫使用計画 (法人)'!$A$1:$BF$1,0))*1,0),
_xlpm._合計,_xlpm._一般検索+_xlpm._法人検索,
IF(_xlpm._合計=0,"",_xlpm._合計)
)</f>
        <v>623</v>
      </c>
      <c r="AR18" s="224">
        <f>_xlfn.LET(
_xlpm._一般検索,IFERROR(INDEX('在庫使用計画 (一般)'!$A$1:$BF$391,MATCH($C18,'在庫使用計画 (一般)'!$C$1:$C$391,0),MATCH(AR$1,'在庫使用計画 (一般)'!$A$1:$BF$1,0))*1,0),
_xlpm._法人検索,IFERROR(INDEX('在庫使用計画 (法人)'!$A$1:$BF$391,MATCH($C18,'在庫使用計画 (法人)'!$C$1:$C$391,0),MATCH(AR$1,'在庫使用計画 (法人)'!$A$1:$BF$1,0))*1,0),
_xlpm._合計,_xlpm._一般検索+_xlpm._法人検索,
IF(_xlpm._合計=0,"",_xlpm._合計)
)</f>
        <v>453</v>
      </c>
      <c r="AS18" s="224">
        <f>_xlfn.LET(
_xlpm._一般検索,IFERROR(INDEX('在庫使用計画 (一般)'!$A$1:$BF$391,MATCH($C18,'在庫使用計画 (一般)'!$C$1:$C$391,0),MATCH(AS$1,'在庫使用計画 (一般)'!$A$1:$BF$1,0))*1,0),
_xlpm._法人検索,IFERROR(INDEX('在庫使用計画 (法人)'!$A$1:$BF$391,MATCH($C18,'在庫使用計画 (法人)'!$C$1:$C$391,0),MATCH(AS$1,'在庫使用計画 (法人)'!$A$1:$BF$1,0))*1,0),
_xlpm._合計,_xlpm._一般検索+_xlpm._法人検索,
IF(_xlpm._合計=0,"",_xlpm._合計)
)</f>
        <v>53</v>
      </c>
      <c r="AT18" s="224">
        <f>_xlfn.LET(
_xlpm._一般検索,IFERROR(INDEX('在庫使用計画 (一般)'!$A$1:$BF$391,MATCH($C18,'在庫使用計画 (一般)'!$C$1:$C$391,0),MATCH(AT$1,'在庫使用計画 (一般)'!$A$1:$BF$1,0))*1,0),
_xlpm._法人検索,IFERROR(INDEX('在庫使用計画 (法人)'!$A$1:$BF$391,MATCH($C18,'在庫使用計画 (法人)'!$C$1:$C$391,0),MATCH(AT$1,'在庫使用計画 (法人)'!$A$1:$BF$1,0))*1,0),
_xlpm._合計,_xlpm._一般検索+_xlpm._法人検索,
IF(_xlpm._合計=0,"",_xlpm._合計)
)</f>
        <v>53</v>
      </c>
      <c r="AU18" s="805" t="str">
        <f>_xlfn.LET(
_xlpm._一般検索,IFERROR(INDEX('在庫使用計画 (一般)'!$A$1:$BF$391,MATCH($C18,'在庫使用計画 (一般)'!$C$1:$C$391,0),MATCH(AU$1,'在庫使用計画 (一般)'!$A$1:$BF$1,0))*1,0),
_xlpm._法人検索,IFERROR(INDEX('在庫使用計画 (法人)'!$A$1:$BF$391,MATCH($C18,'在庫使用計画 (法人)'!$C$1:$C$391,0),MATCH(AU$1,'在庫使用計画 (法人)'!$A$1:$BF$1,0))*1,0),
_xlpm._合計,_xlpm._一般検索+_xlpm._法人検索,
IF(_xlpm._合計=0,"",_xlpm._合計)
)</f>
        <v/>
      </c>
      <c r="AV18" s="244" t="str">
        <f>_xlfn.LET(
_xlpm._一般検索,IFERROR(INDEX('在庫使用計画 (一般)'!$A$1:$BF$391,MATCH($C18,'在庫使用計画 (一般)'!$C$1:$C$391,0),MATCH(AV$1,'在庫使用計画 (一般)'!$A$1:$BF$1,0))*1,0),
_xlpm._法人検索,IFERROR(INDEX('在庫使用計画 (法人)'!$A$1:$BF$391,MATCH($C18,'在庫使用計画 (法人)'!$C$1:$C$391,0),MATCH(AV$1,'在庫使用計画 (法人)'!$A$1:$BF$1,0))*1,0),
_xlpm._合計,_xlpm._一般検索+_xlpm._法人検索,
IF(_xlpm._合計=0,"",_xlpm._合計)
)</f>
        <v/>
      </c>
      <c r="AW18" s="224" t="str">
        <f>_xlfn.LET(
_xlpm._一般検索,IFERROR(INDEX('在庫使用計画 (一般)'!$A$1:$BF$391,MATCH($C18,'在庫使用計画 (一般)'!$C$1:$C$391,0),MATCH(AW$1,'在庫使用計画 (一般)'!$A$1:$BF$1,0))*1,0),
_xlpm._法人検索,IFERROR(INDEX('在庫使用計画 (法人)'!$A$1:$BF$391,MATCH($C18,'在庫使用計画 (法人)'!$C$1:$C$391,0),MATCH(AW$1,'在庫使用計画 (法人)'!$A$1:$BF$1,0))*1,0),
_xlpm._合計,_xlpm._一般検索+_xlpm._法人検索,
IF(_xlpm._合計=0,"",_xlpm._合計)
)</f>
        <v/>
      </c>
      <c r="AX18" s="224" t="str">
        <f>_xlfn.LET(
_xlpm._一般検索,IFERROR(INDEX('在庫使用計画 (一般)'!$A$1:$BF$391,MATCH($C18,'在庫使用計画 (一般)'!$C$1:$C$391,0),MATCH(AX$1,'在庫使用計画 (一般)'!$A$1:$BF$1,0))*1,0),
_xlpm._法人検索,IFERROR(INDEX('在庫使用計画 (法人)'!$A$1:$BF$391,MATCH($C18,'在庫使用計画 (法人)'!$C$1:$C$391,0),MATCH(AX$1,'在庫使用計画 (法人)'!$A$1:$BF$1,0))*1,0),
_xlpm._合計,_xlpm._一般検索+_xlpm._法人検索,
IF(_xlpm._合計=0,"",_xlpm._合計)
)</f>
        <v/>
      </c>
      <c r="AY18" s="224" t="str">
        <f>_xlfn.LET(
_xlpm._一般検索,IFERROR(INDEX('在庫使用計画 (一般)'!$A$1:$BF$391,MATCH($C18,'在庫使用計画 (一般)'!$C$1:$C$391,0),MATCH(AY$1,'在庫使用計画 (一般)'!$A$1:$BF$1,0))*1,0),
_xlpm._法人検索,IFERROR(INDEX('在庫使用計画 (法人)'!$A$1:$BF$391,MATCH($C18,'在庫使用計画 (法人)'!$C$1:$C$391,0),MATCH(AY$1,'在庫使用計画 (法人)'!$A$1:$BF$1,0))*1,0),
_xlpm._合計,_xlpm._一般検索+_xlpm._法人検索,
IF(_xlpm._合計=0,"",_xlpm._合計)
)</f>
        <v/>
      </c>
      <c r="AZ18" s="224" t="str">
        <f>_xlfn.LET(
_xlpm._一般検索,IFERROR(INDEX('在庫使用計画 (一般)'!$A$1:$BF$391,MATCH($C18,'在庫使用計画 (一般)'!$C$1:$C$391,0),MATCH(AZ$1,'在庫使用計画 (一般)'!$A$1:$BF$1,0))*1,0),
_xlpm._法人検索,IFERROR(INDEX('在庫使用計画 (法人)'!$A$1:$BF$391,MATCH($C18,'在庫使用計画 (法人)'!$C$1:$C$391,0),MATCH(AZ$1,'在庫使用計画 (法人)'!$A$1:$BF$1,0))*1,0),
_xlpm._合計,_xlpm._一般検索+_xlpm._法人検索,
IF(_xlpm._合計=0,"",_xlpm._合計)
)</f>
        <v/>
      </c>
      <c r="BA18" s="224" t="str">
        <f>_xlfn.LET(
_xlpm._一般検索,IFERROR(INDEX('在庫使用計画 (一般)'!$A$1:$BF$391,MATCH($C18,'在庫使用計画 (一般)'!$C$1:$C$391,0),MATCH(BA$1,'在庫使用計画 (一般)'!$A$1:$BF$1,0))*1,0),
_xlpm._法人検索,IFERROR(INDEX('在庫使用計画 (法人)'!$A$1:$BF$391,MATCH($C18,'在庫使用計画 (法人)'!$C$1:$C$391,0),MATCH(BA$1,'在庫使用計画 (法人)'!$A$1:$BF$1,0))*1,0),
_xlpm._合計,_xlpm._一般検索+_xlpm._法人検索,
IF(_xlpm._合計=0,"",_xlpm._合計)
)</f>
        <v/>
      </c>
      <c r="BB18" s="224" t="str">
        <f>_xlfn.LET(
_xlpm._一般検索,IFERROR(INDEX('在庫使用計画 (一般)'!$A$1:$BF$391,MATCH($C18,'在庫使用計画 (一般)'!$C$1:$C$391,0),MATCH(BB$1,'在庫使用計画 (一般)'!$A$1:$BF$1,0))*1,0),
_xlpm._法人検索,IFERROR(INDEX('在庫使用計画 (法人)'!$A$1:$BF$391,MATCH($C18,'在庫使用計画 (法人)'!$C$1:$C$391,0),MATCH(BB$1,'在庫使用計画 (法人)'!$A$1:$BF$1,0))*1,0),
_xlpm._合計,_xlpm._一般検索+_xlpm._法人検索,
IF(_xlpm._合計=0,"",_xlpm._合計)
)</f>
        <v/>
      </c>
      <c r="BC18" s="224" t="str">
        <f>_xlfn.LET(
_xlpm._一般検索,IFERROR(INDEX('在庫使用計画 (一般)'!$A$1:$BF$391,MATCH($C18,'在庫使用計画 (一般)'!$C$1:$C$391,0),MATCH(BC$1,'在庫使用計画 (一般)'!$A$1:$BF$1,0))*1,0),
_xlpm._法人検索,IFERROR(INDEX('在庫使用計画 (法人)'!$A$1:$BF$391,MATCH($C18,'在庫使用計画 (法人)'!$C$1:$C$391,0),MATCH(BC$1,'在庫使用計画 (法人)'!$A$1:$BF$1,0))*1,0),
_xlpm._合計,_xlpm._一般検索+_xlpm._法人検索,
IF(_xlpm._合計=0,"",_xlpm._合計)
)</f>
        <v/>
      </c>
      <c r="BD18" s="224" t="str">
        <f>_xlfn.LET(
_xlpm._一般検索,IFERROR(INDEX('在庫使用計画 (一般)'!$A$1:$BF$391,MATCH($C18,'在庫使用計画 (一般)'!$C$1:$C$391,0),MATCH(BD$1,'在庫使用計画 (一般)'!$A$1:$BF$1,0))*1,0),
_xlpm._法人検索,IFERROR(INDEX('在庫使用計画 (法人)'!$A$1:$BF$391,MATCH($C18,'在庫使用計画 (法人)'!$C$1:$C$391,0),MATCH(BD$1,'在庫使用計画 (法人)'!$A$1:$BF$1,0))*1,0),
_xlpm._合計,_xlpm._一般検索+_xlpm._法人検索,
IF(_xlpm._合計=0,"",_xlpm._合計)
)</f>
        <v/>
      </c>
      <c r="BE18" s="224" t="str">
        <f>_xlfn.LET(
_xlpm._一般検索,IFERROR(INDEX('在庫使用計画 (一般)'!$A$1:$BF$391,MATCH($C18,'在庫使用計画 (一般)'!$C$1:$C$391,0),MATCH(BE$1,'在庫使用計画 (一般)'!$A$1:$BF$1,0))*1,0),
_xlpm._法人検索,IFERROR(INDEX('在庫使用計画 (法人)'!$A$1:$BF$391,MATCH($C18,'在庫使用計画 (法人)'!$C$1:$C$391,0),MATCH(BE$1,'在庫使用計画 (法人)'!$A$1:$BF$1,0))*1,0),
_xlpm._合計,_xlpm._一般検索+_xlpm._法人検索,
IF(_xlpm._合計=0,"",_xlpm._合計)
)</f>
        <v/>
      </c>
      <c r="BF18" s="224" t="str">
        <f>_xlfn.LET(
_xlpm._一般検索,IFERROR(INDEX('在庫使用計画 (一般)'!$A$1:$BF$391,MATCH($C18,'在庫使用計画 (一般)'!$C$1:$C$391,0),MATCH(BF$1,'在庫使用計画 (一般)'!$A$1:$BF$1,0))*1,0),
_xlpm._法人検索,IFERROR(INDEX('在庫使用計画 (法人)'!$A$1:$BF$391,MATCH($C18,'在庫使用計画 (法人)'!$C$1:$C$391,0),MATCH(BF$1,'在庫使用計画 (法人)'!$A$1:$BF$1,0))*1,0),
_xlpm._合計,_xlpm._一般検索+_xlpm._法人検索,
IF(_xlpm._合計=0,"",_xlpm._合計)
)</f>
        <v/>
      </c>
      <c r="BG18" s="237" t="str">
        <f>_xlfn.LET(
_xlpm._一般検索,IFERROR(INDEX('在庫使用計画 (一般)'!$A$1:$BF$391,MATCH($C18,'在庫使用計画 (一般)'!$C$1:$C$391,0),MATCH(BG$1,'在庫使用計画 (一般)'!$A$1:$BF$1,0))*1,0),
_xlpm._法人検索,IFERROR(INDEX('在庫使用計画 (法人)'!$A$1:$BF$391,MATCH($C18,'在庫使用計画 (法人)'!$C$1:$C$391,0),MATCH(BG$1,'在庫使用計画 (法人)'!$A$1:$BF$1,0))*1,0),
_xlpm._合計,_xlpm._一般検索+_xlpm._法人検索,
IF(_xlpm._合計=0,"",_xlpm._合計)
)</f>
        <v/>
      </c>
      <c r="BH18" s="804" t="str">
        <f>_xlfn.LET(
_xlpm._一般検索,IFERROR(INDEX('在庫使用計画 (一般)'!$A$1:$BF$391,MATCH($C18,'在庫使用計画 (一般)'!$C$1:$C$391,0),MATCH(BH$1,'在庫使用計画 (一般)'!$A$1:$BF$1,0))*1,0),
_xlpm._法人検索,IFERROR(INDEX('在庫使用計画 (法人)'!$A$1:$BF$391,MATCH($C18,'在庫使用計画 (法人)'!$C$1:$C$391,0),MATCH(BH$1,'在庫使用計画 (法人)'!$A$1:$BF$1,0))*1,0),
_xlpm._合計,_xlpm._一般検索+_xlpm._法人検索,
IF(_xlpm._合計=0,"",_xlpm._合計)
)</f>
        <v/>
      </c>
      <c r="BI18" s="224" t="str">
        <f>_xlfn.LET(
_xlpm._一般検索,IFERROR(INDEX('在庫使用計画 (一般)'!$A$1:$BF$391,MATCH($C18,'在庫使用計画 (一般)'!$C$1:$C$391,0),MATCH(BI$1,'在庫使用計画 (一般)'!$A$1:$BF$1,0))*1,0),
_xlpm._法人検索,IFERROR(INDEX('在庫使用計画 (法人)'!$A$1:$BF$391,MATCH($C18,'在庫使用計画 (法人)'!$C$1:$C$391,0),MATCH(BI$1,'在庫使用計画 (法人)'!$A$1:$BF$1,0))*1,0),
_xlpm._合計,_xlpm._一般検索+_xlpm._法人検索,
IF(_xlpm._合計=0,"",_xlpm._合計)
)</f>
        <v/>
      </c>
      <c r="BJ18" s="224" t="str">
        <f>_xlfn.LET(
_xlpm._一般検索,IFERROR(INDEX('在庫使用計画 (一般)'!$A$1:$BF$391,MATCH($C18,'在庫使用計画 (一般)'!$C$1:$C$391,0),MATCH(BJ$1,'在庫使用計画 (一般)'!$A$1:$BF$1,0))*1,0),
_xlpm._法人検索,IFERROR(INDEX('在庫使用計画 (法人)'!$A$1:$BF$391,MATCH($C18,'在庫使用計画 (法人)'!$C$1:$C$391,0),MATCH(BJ$1,'在庫使用計画 (法人)'!$A$1:$BF$1,0))*1,0),
_xlpm._合計,_xlpm._一般検索+_xlpm._法人検索,
IF(_xlpm._合計=0,"",_xlpm._合計)
)</f>
        <v/>
      </c>
      <c r="BK18" s="224" t="str">
        <f>_xlfn.LET(
_xlpm._一般検索,IFERROR(INDEX('在庫使用計画 (一般)'!$A$1:$BF$391,MATCH($C18,'在庫使用計画 (一般)'!$C$1:$C$391,0),MATCH(BK$1,'在庫使用計画 (一般)'!$A$1:$BF$1,0))*1,0),
_xlpm._法人検索,IFERROR(INDEX('在庫使用計画 (法人)'!$A$1:$BF$391,MATCH($C18,'在庫使用計画 (法人)'!$C$1:$C$391,0),MATCH(BK$1,'在庫使用計画 (法人)'!$A$1:$BF$1,0))*1,0),
_xlpm._合計,_xlpm._一般検索+_xlpm._法人検索,
IF(_xlpm._合計=0,"",_xlpm._合計)
)</f>
        <v/>
      </c>
      <c r="BL18" s="224" t="str">
        <f>_xlfn.LET(
_xlpm._一般検索,IFERROR(INDEX('在庫使用計画 (一般)'!$A$1:$BF$391,MATCH($C18,'在庫使用計画 (一般)'!$C$1:$C$391,0),MATCH(BL$1,'在庫使用計画 (一般)'!$A$1:$BF$1,0))*1,0),
_xlpm._法人検索,IFERROR(INDEX('在庫使用計画 (法人)'!$A$1:$BF$391,MATCH($C18,'在庫使用計画 (法人)'!$C$1:$C$391,0),MATCH(BL$1,'在庫使用計画 (法人)'!$A$1:$BF$1,0))*1,0),
_xlpm._合計,_xlpm._一般検索+_xlpm._法人検索,
IF(_xlpm._合計=0,"",_xlpm._合計)
)</f>
        <v/>
      </c>
      <c r="BM18" s="224" t="str">
        <f>_xlfn.LET(
_xlpm._一般検索,IFERROR(INDEX('在庫使用計画 (一般)'!$A$1:$BF$391,MATCH($C18,'在庫使用計画 (一般)'!$C$1:$C$391,0),MATCH(BM$1,'在庫使用計画 (一般)'!$A$1:$BF$1,0))*1,0),
_xlpm._法人検索,IFERROR(INDEX('在庫使用計画 (法人)'!$A$1:$BF$391,MATCH($C18,'在庫使用計画 (法人)'!$C$1:$C$391,0),MATCH(BM$1,'在庫使用計画 (法人)'!$A$1:$BF$1,0))*1,0),
_xlpm._合計,_xlpm._一般検索+_xlpm._法人検索,
IF(_xlpm._合計=0,"",_xlpm._合計)
)</f>
        <v/>
      </c>
      <c r="BN18" s="224" t="str">
        <f>_xlfn.LET(
_xlpm._一般検索,IFERROR(INDEX('在庫使用計画 (一般)'!$A$1:$BF$391,MATCH($C18,'在庫使用計画 (一般)'!$C$1:$C$391,0),MATCH(BN$1,'在庫使用計画 (一般)'!$A$1:$BF$1,0))*1,0),
_xlpm._法人検索,IFERROR(INDEX('在庫使用計画 (法人)'!$A$1:$BF$391,MATCH($C18,'在庫使用計画 (法人)'!$C$1:$C$391,0),MATCH(BN$1,'在庫使用計画 (法人)'!$A$1:$BF$1,0))*1,0),
_xlpm._合計,_xlpm._一般検索+_xlpm._法人検索,
IF(_xlpm._合計=0,"",_xlpm._合計)
)</f>
        <v/>
      </c>
      <c r="BO18" s="224" t="str">
        <f>_xlfn.LET(
_xlpm._一般検索,IFERROR(INDEX('在庫使用計画 (一般)'!$A$1:$BF$391,MATCH($C18,'在庫使用計画 (一般)'!$C$1:$C$391,0),MATCH(BO$1,'在庫使用計画 (一般)'!$A$1:$BF$1,0))*1,0),
_xlpm._法人検索,IFERROR(INDEX('在庫使用計画 (法人)'!$A$1:$BF$391,MATCH($C18,'在庫使用計画 (法人)'!$C$1:$C$391,0),MATCH(BO$1,'在庫使用計画 (法人)'!$A$1:$BF$1,0))*1,0),
_xlpm._合計,_xlpm._一般検索+_xlpm._法人検索,
IF(_xlpm._合計=0,"",_xlpm._合計)
)</f>
        <v/>
      </c>
      <c r="BP18" s="224" t="str">
        <f>_xlfn.LET(
_xlpm._一般検索,IFERROR(INDEX('在庫使用計画 (一般)'!$A$1:$BF$391,MATCH($C18,'在庫使用計画 (一般)'!$C$1:$C$391,0),MATCH(BP$1,'在庫使用計画 (一般)'!$A$1:$BF$1,0))*1,0),
_xlpm._法人検索,IFERROR(INDEX('在庫使用計画 (法人)'!$A$1:$BF$391,MATCH($C18,'在庫使用計画 (法人)'!$C$1:$C$391,0),MATCH(BP$1,'在庫使用計画 (法人)'!$A$1:$BF$1,0))*1,0),
_xlpm._合計,_xlpm._一般検索+_xlpm._法人検索,
IF(_xlpm._合計=0,"",_xlpm._合計)
)</f>
        <v/>
      </c>
      <c r="BQ18" s="224" t="str">
        <f>_xlfn.LET(
_xlpm._一般検索,IFERROR(INDEX('在庫使用計画 (一般)'!$A$1:$BF$391,MATCH($C18,'在庫使用計画 (一般)'!$C$1:$C$391,0),MATCH(BQ$1,'在庫使用計画 (一般)'!$A$1:$BF$1,0))*1,0),
_xlpm._法人検索,IFERROR(INDEX('在庫使用計画 (法人)'!$A$1:$BF$391,MATCH($C18,'在庫使用計画 (法人)'!$C$1:$C$391,0),MATCH(BQ$1,'在庫使用計画 (法人)'!$A$1:$BF$1,0))*1,0),
_xlpm._合計,_xlpm._一般検索+_xlpm._法人検索,
IF(_xlpm._合計=0,"",_xlpm._合計)
)</f>
        <v/>
      </c>
      <c r="BR18" s="224" t="str">
        <f>_xlfn.LET(
_xlpm._一般検索,IFERROR(INDEX('在庫使用計画 (一般)'!$A$1:$BF$391,MATCH($C18,'在庫使用計画 (一般)'!$C$1:$C$391,0),MATCH(BR$1,'在庫使用計画 (一般)'!$A$1:$BF$1,0))*1,0),
_xlpm._法人検索,IFERROR(INDEX('在庫使用計画 (法人)'!$A$1:$BF$391,MATCH($C18,'在庫使用計画 (法人)'!$C$1:$C$391,0),MATCH(BR$1,'在庫使用計画 (法人)'!$A$1:$BF$1,0))*1,0),
_xlpm._合計,_xlpm._一般検索+_xlpm._法人検索,
IF(_xlpm._合計=0,"",_xlpm._合計)
)</f>
        <v/>
      </c>
      <c r="BS18" s="805" t="str">
        <f>_xlfn.LET(
_xlpm._一般検索,IFERROR(INDEX('在庫使用計画 (一般)'!$A$1:$BF$391,MATCH($C18,'在庫使用計画 (一般)'!$C$1:$C$391,0),MATCH(BS$1,'在庫使用計画 (一般)'!$A$1:$BF$1,0))*1,0),
_xlpm._法人検索,IFERROR(INDEX('在庫使用計画 (法人)'!$A$1:$BF$391,MATCH($C18,'在庫使用計画 (法人)'!$C$1:$C$391,0),MATCH(BS$1,'在庫使用計画 (法人)'!$A$1:$BF$1,0))*1,0),
_xlpm._合計,_xlpm._一般検索+_xlpm._法人検索,
IF(_xlpm._合計=0,"",_xlpm._合計)
)</f>
        <v/>
      </c>
      <c r="BT18" s="21"/>
    </row>
    <row r="19" spans="1:72" customFormat="1" ht="18.75" customHeight="1" thickBot="1">
      <c r="A19" s="1100" t="s">
        <v>1633</v>
      </c>
      <c r="B19" s="494" t="str">
        <v>UNW-E-14450HX-5050-L6-DDR5-15.6</v>
      </c>
      <c r="C19" s="1434" t="s">
        <v>334</v>
      </c>
      <c r="D19" s="2153">
        <v>1805</v>
      </c>
      <c r="E19" s="1258" t="s">
        <v>1809</v>
      </c>
      <c r="F19" s="26" t="s">
        <v>20</v>
      </c>
      <c r="G19" s="74">
        <v>1805</v>
      </c>
      <c r="H19" s="38">
        <v>0</v>
      </c>
      <c r="I19" s="38" cm="1">
        <f t="array" ref="I19">IF($C19="","",
_xlfn.LET(
  _xlpm._見出し,$A$1:$BT$1,
  _xlpm._行,$A19:$BT19,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1656</v>
      </c>
      <c r="J19" s="74" cm="1">
        <f t="array" ref="J19">_xlfn.LET(
  _xlpm._見出し,$A$1:$BS$1,
  _xlpm._行,$A19:$BS19,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IF($C19="","",_xlpm._四点五月計画合計)
)</f>
        <v>2775.4726411386964</v>
      </c>
      <c r="K19" s="1458" cm="1">
        <f t="array" ref="K19">_xlfn.IFS(
  $C19="","",
  $G19="","発売前？",
  $G19=0,"在庫無し",
  TRUE,
  IFERROR(
    _xlfn.LET(
      _xlpm._在庫注残,     $G19,
      _xlpm._しきい値,     _xlpm._在庫注残 * 0.75,
      _xlpm._見出し元,     $L$1:$BU$1,
      _xlpm._計画,         $L19:$BU19,
      _xlpm._最新実績日,       基準データ!$C$5,
      _xlpm._今月1日,      EOMONTH(_xlpm._最新実績日, -1) + 1,
      _xlpm._月末日,       EOMONTH(_xlpm._最新実績日, 0),
      _xlpm._今月位置,     _xlfn.XMATCH(_xlpm._今月1日, _xlpm._見出し元),
      _xlpm._今月計画按分, N(INDEX(_xlpm._計画, 1, _xlpm._今月位置))
                      * (_xlpm._月末日 - _xlpm._最新実績日)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46296</v>
      </c>
      <c r="L19" s="38"/>
      <c r="M19" s="38"/>
      <c r="N19" s="38"/>
      <c r="O19" s="38"/>
      <c r="P19" s="38"/>
      <c r="Q19" s="38"/>
      <c r="R19" s="38"/>
      <c r="S19" s="38"/>
      <c r="T19" s="219"/>
      <c r="U19" s="219"/>
      <c r="V19" s="219"/>
      <c r="W19" s="219"/>
      <c r="X19" s="224"/>
      <c r="Y19" s="224"/>
      <c r="Z19" s="224"/>
      <c r="AA19" s="237"/>
      <c r="AB19" s="224"/>
      <c r="AC19" s="224"/>
      <c r="AD19" s="224"/>
      <c r="AE19" s="224"/>
      <c r="AF19" s="224"/>
      <c r="AG19" s="224"/>
      <c r="AH19" s="224"/>
      <c r="AI19" s="237"/>
      <c r="AJ19" s="804" t="s">
        <v>21</v>
      </c>
      <c r="AK19" s="224" t="s">
        <v>21</v>
      </c>
      <c r="AL19" s="224" t="s">
        <v>21</v>
      </c>
      <c r="AM19" s="224" t="s">
        <v>21</v>
      </c>
      <c r="AN19" s="224" t="str">
        <f>_xlfn.LET(
_xlpm._一般検索,IFERROR(INDEX('在庫使用計画 (一般)'!$A$1:$BF$391,MATCH($C19,'在庫使用計画 (一般)'!$C$1:$C$391,0),MATCH(AN$1,'在庫使用計画 (一般)'!$A$1:$BF$1,0))*1,0),
_xlpm._法人検索,IFERROR(INDEX('在庫使用計画 (法人)'!$A$1:$BF$391,MATCH($C19,'在庫使用計画 (法人)'!$C$1:$C$391,0),MATCH(AN$1,'在庫使用計画 (法人)'!$A$1:$BF$1,0))*1,0),
_xlpm._合計,_xlpm._一般検索+_xlpm._法人検索,
IF(_xlpm._合計=0,"",_xlpm._合計)
)</f>
        <v/>
      </c>
      <c r="AO19" s="224" t="str">
        <f>_xlfn.LET(
_xlpm._一般検索,IFERROR(INDEX('在庫使用計画 (一般)'!$A$1:$BF$391,MATCH($C19,'在庫使用計画 (一般)'!$C$1:$C$391,0),MATCH(AO$1,'在庫使用計画 (一般)'!$A$1:$BF$1,0))*1,0),
_xlpm._法人検索,IFERROR(INDEX('在庫使用計画 (法人)'!$A$1:$BF$391,MATCH($C19,'在庫使用計画 (法人)'!$C$1:$C$391,0),MATCH(AO$1,'在庫使用計画 (法人)'!$A$1:$BF$1,0))*1,0),
_xlpm._合計,_xlpm._一般検索+_xlpm._法人検索,
IF(_xlpm._合計=0,"",_xlpm._合計)
)</f>
        <v/>
      </c>
      <c r="AP19" s="224" t="str">
        <f>_xlfn.LET(
_xlpm._一般検索,IFERROR(INDEX('在庫使用計画 (一般)'!$A$1:$BF$391,MATCH($C19,'在庫使用計画 (一般)'!$C$1:$C$391,0),MATCH(AP$1,'在庫使用計画 (一般)'!$A$1:$BF$1,0))*1,0),
_xlpm._法人検索,IFERROR(INDEX('在庫使用計画 (法人)'!$A$1:$BF$391,MATCH($C19,'在庫使用計画 (法人)'!$C$1:$C$391,0),MATCH(AP$1,'在庫使用計画 (法人)'!$A$1:$BF$1,0))*1,0),
_xlpm._合計,_xlpm._一般検索+_xlpm._法人検索,
IF(_xlpm._合計=0,"",_xlpm._合計)
)</f>
        <v/>
      </c>
      <c r="AQ19" s="224" t="str">
        <f>_xlfn.LET(
_xlpm._一般検索,IFERROR(INDEX('在庫使用計画 (一般)'!$A$1:$BF$391,MATCH($C19,'在庫使用計画 (一般)'!$C$1:$C$391,0),MATCH(AQ$1,'在庫使用計画 (一般)'!$A$1:$BF$1,0))*1,0),
_xlpm._法人検索,IFERROR(INDEX('在庫使用計画 (法人)'!$A$1:$BF$391,MATCH($C19,'在庫使用計画 (法人)'!$C$1:$C$391,0),MATCH(AQ$1,'在庫使用計画 (法人)'!$A$1:$BF$1,0))*1,0),
_xlpm._合計,_xlpm._一般検索+_xlpm._法人検索,
IF(_xlpm._合計=0,"",_xlpm._合計)
)</f>
        <v/>
      </c>
      <c r="AR19" s="224">
        <f>_xlfn.LET(
_xlpm._一般検索,IFERROR(INDEX('在庫使用計画 (一般)'!$A$1:$BF$391,MATCH($C19,'在庫使用計画 (一般)'!$C$1:$C$391,0),MATCH(AR$1,'在庫使用計画 (一般)'!$A$1:$BF$1,0))*1,0),
_xlpm._法人検索,IFERROR(INDEX('在庫使用計画 (法人)'!$A$1:$BF$391,MATCH($C19,'在庫使用計画 (法人)'!$C$1:$C$391,0),MATCH(AR$1,'在庫使用計画 (法人)'!$A$1:$BF$1,0))*1,0),
_xlpm._合計,_xlpm._一般検索+_xlpm._法人検索,
IF(_xlpm._合計=0,"",_xlpm._合計)
)</f>
        <v>700</v>
      </c>
      <c r="AS19" s="224">
        <f>_xlfn.LET(
_xlpm._一般検索,IFERROR(INDEX('在庫使用計画 (一般)'!$A$1:$BF$391,MATCH($C19,'在庫使用計画 (一般)'!$C$1:$C$391,0),MATCH(AS$1,'在庫使用計画 (一般)'!$A$1:$BF$1,0))*1,0),
_xlpm._法人検索,IFERROR(INDEX('在庫使用計画 (法人)'!$A$1:$BF$391,MATCH($C19,'在庫使用計画 (法人)'!$C$1:$C$391,0),MATCH(AS$1,'在庫使用計画 (法人)'!$A$1:$BF$1,0))*1,0),
_xlpm._合計,_xlpm._一般検索+_xlpm._法人検索,
IF(_xlpm._合計=0,"",_xlpm._合計)
)</f>
        <v>956</v>
      </c>
      <c r="AT19" s="224">
        <f>_xlfn.LET(
_xlpm._一般検索,IFERROR(INDEX('在庫使用計画 (一般)'!$A$1:$BF$391,MATCH($C19,'在庫使用計画 (一般)'!$C$1:$C$391,0),MATCH(AT$1,'在庫使用計画 (一般)'!$A$1:$BF$1,0))*1,0),
_xlpm._法人検索,IFERROR(INDEX('在庫使用計画 (法人)'!$A$1:$BF$391,MATCH($C19,'在庫使用計画 (法人)'!$C$1:$C$391,0),MATCH(AT$1,'在庫使用計画 (法人)'!$A$1:$BF$1,0))*1,0),
_xlpm._合計,_xlpm._一般検索+_xlpm._法人検索,
IF(_xlpm._合計=0,"",_xlpm._合計)
)</f>
        <v>1119.4726411386964</v>
      </c>
      <c r="AU19" s="805">
        <f>_xlfn.LET(
_xlpm._一般検索,IFERROR(INDEX('在庫使用計画 (一般)'!$A$1:$BF$391,MATCH($C19,'在庫使用計画 (一般)'!$C$1:$C$391,0),MATCH(AU$1,'在庫使用計画 (一般)'!$A$1:$BF$1,0))*1,0),
_xlpm._法人検索,IFERROR(INDEX('在庫使用計画 (法人)'!$A$1:$BF$391,MATCH($C19,'在庫使用計画 (法人)'!$C$1:$C$391,0),MATCH(AU$1,'在庫使用計画 (法人)'!$A$1:$BF$1,0))*1,0),
_xlpm._合計,_xlpm._一般検索+_xlpm._法人検索,
IF(_xlpm._合計=0,"",_xlpm._合計)
)</f>
        <v>1741.2917592038796</v>
      </c>
      <c r="AV19" s="244">
        <f>_xlfn.LET(
_xlpm._一般検索,IFERROR(INDEX('在庫使用計画 (一般)'!$A$1:$BF$391,MATCH($C19,'在庫使用計画 (一般)'!$C$1:$C$391,0),MATCH(AV$1,'在庫使用計画 (一般)'!$A$1:$BF$1,0))*1,0),
_xlpm._法人検索,IFERROR(INDEX('在庫使用計画 (法人)'!$A$1:$BF$391,MATCH($C19,'在庫使用計画 (法人)'!$C$1:$C$391,0),MATCH(AV$1,'在庫使用計画 (法人)'!$A$1:$BF$1,0))*1,0),
_xlpm._合計,_xlpm._一般検索+_xlpm._法人検索,
IF(_xlpm._合計=0,"",_xlpm._合計)
)</f>
        <v>1461.4578338974798</v>
      </c>
      <c r="AW19" s="224">
        <f>_xlfn.LET(
_xlpm._一般検索,IFERROR(INDEX('在庫使用計画 (一般)'!$A$1:$BF$391,MATCH($C19,'在庫使用計画 (一般)'!$C$1:$C$391,0),MATCH(AW$1,'在庫使用計画 (一般)'!$A$1:$BF$1,0))*1,0),
_xlpm._法人検索,IFERROR(INDEX('在庫使用計画 (法人)'!$A$1:$BF$391,MATCH($C19,'在庫使用計画 (法人)'!$C$1:$C$391,0),MATCH(AW$1,'在庫使用計画 (法人)'!$A$1:$BF$1,0))*1,0),
_xlpm._合計,_xlpm._一般検索+_xlpm._法人検索,
IF(_xlpm._合計=0,"",_xlpm._合計)
)</f>
        <v>1318.8924668569882</v>
      </c>
      <c r="AX19" s="224">
        <f>_xlfn.LET(
_xlpm._一般検索,IFERROR(INDEX('在庫使用計画 (一般)'!$A$1:$BF$391,MATCH($C19,'在庫使用計画 (一般)'!$C$1:$C$391,0),MATCH(AX$1,'在庫使用計画 (一般)'!$A$1:$BF$1,0))*1,0),
_xlpm._法人検索,IFERROR(INDEX('在庫使用計画 (法人)'!$A$1:$BF$391,MATCH($C19,'在庫使用計画 (法人)'!$C$1:$C$391,0),MATCH(AX$1,'在庫使用計画 (法人)'!$A$1:$BF$1,0))*1,0),
_xlpm._合計,_xlpm._一般検索+_xlpm._法人検索,
IF(_xlpm._合計=0,"",_xlpm._合計)
)</f>
        <v>1883.139208469197</v>
      </c>
      <c r="AY19" s="224">
        <f>_xlfn.LET(
_xlpm._一般検索,IFERROR(INDEX('在庫使用計画 (一般)'!$A$1:$BF$391,MATCH($C19,'在庫使用計画 (一般)'!$C$1:$C$391,0),MATCH(AY$1,'在庫使用計画 (一般)'!$A$1:$BF$1,0))*1,0),
_xlpm._法人検索,IFERROR(INDEX('在庫使用計画 (法人)'!$A$1:$BF$391,MATCH($C19,'在庫使用計画 (法人)'!$C$1:$C$391,0),MATCH(AY$1,'在庫使用計画 (法人)'!$A$1:$BF$1,0))*1,0),
_xlpm._合計,_xlpm._一般検索+_xlpm._法人検索,
IF(_xlpm._合計=0,"",_xlpm._合計)
)</f>
        <v>33</v>
      </c>
      <c r="AZ19" s="224">
        <f>_xlfn.LET(
_xlpm._一般検索,IFERROR(INDEX('在庫使用計画 (一般)'!$A$1:$BF$391,MATCH($C19,'在庫使用計画 (一般)'!$C$1:$C$391,0),MATCH(AZ$1,'在庫使用計画 (一般)'!$A$1:$BF$1,0))*1,0),
_xlpm._法人検索,IFERROR(INDEX('在庫使用計画 (法人)'!$A$1:$BF$391,MATCH($C19,'在庫使用計画 (法人)'!$C$1:$C$391,0),MATCH(AZ$1,'在庫使用計画 (法人)'!$A$1:$BF$1,0))*1,0),
_xlpm._合計,_xlpm._一般検索+_xlpm._法人検索,
IF(_xlpm._合計=0,"",_xlpm._合計)
)</f>
        <v>33</v>
      </c>
      <c r="BA19" s="224" t="str">
        <f>_xlfn.LET(
_xlpm._一般検索,IFERROR(INDEX('在庫使用計画 (一般)'!$A$1:$BF$391,MATCH($C19,'在庫使用計画 (一般)'!$C$1:$C$391,0),MATCH(BA$1,'在庫使用計画 (一般)'!$A$1:$BF$1,0))*1,0),
_xlpm._法人検索,IFERROR(INDEX('在庫使用計画 (法人)'!$A$1:$BF$391,MATCH($C19,'在庫使用計画 (法人)'!$C$1:$C$391,0),MATCH(BA$1,'在庫使用計画 (法人)'!$A$1:$BF$1,0))*1,0),
_xlpm._合計,_xlpm._一般検索+_xlpm._法人検索,
IF(_xlpm._合計=0,"",_xlpm._合計)
)</f>
        <v/>
      </c>
      <c r="BB19" s="224" t="str">
        <f>_xlfn.LET(
_xlpm._一般検索,IFERROR(INDEX('在庫使用計画 (一般)'!$A$1:$BF$391,MATCH($C19,'在庫使用計画 (一般)'!$C$1:$C$391,0),MATCH(BB$1,'在庫使用計画 (一般)'!$A$1:$BF$1,0))*1,0),
_xlpm._法人検索,IFERROR(INDEX('在庫使用計画 (法人)'!$A$1:$BF$391,MATCH($C19,'在庫使用計画 (法人)'!$C$1:$C$391,0),MATCH(BB$1,'在庫使用計画 (法人)'!$A$1:$BF$1,0))*1,0),
_xlpm._合計,_xlpm._一般検索+_xlpm._法人検索,
IF(_xlpm._合計=0,"",_xlpm._合計)
)</f>
        <v/>
      </c>
      <c r="BC19" s="224" t="str">
        <f>_xlfn.LET(
_xlpm._一般検索,IFERROR(INDEX('在庫使用計画 (一般)'!$A$1:$BF$391,MATCH($C19,'在庫使用計画 (一般)'!$C$1:$C$391,0),MATCH(BC$1,'在庫使用計画 (一般)'!$A$1:$BF$1,0))*1,0),
_xlpm._法人検索,IFERROR(INDEX('在庫使用計画 (法人)'!$A$1:$BF$391,MATCH($C19,'在庫使用計画 (法人)'!$C$1:$C$391,0),MATCH(BC$1,'在庫使用計画 (法人)'!$A$1:$BF$1,0))*1,0),
_xlpm._合計,_xlpm._一般検索+_xlpm._法人検索,
IF(_xlpm._合計=0,"",_xlpm._合計)
)</f>
        <v/>
      </c>
      <c r="BD19" s="224" t="str">
        <f>_xlfn.LET(
_xlpm._一般検索,IFERROR(INDEX('在庫使用計画 (一般)'!$A$1:$BF$391,MATCH($C19,'在庫使用計画 (一般)'!$C$1:$C$391,0),MATCH(BD$1,'在庫使用計画 (一般)'!$A$1:$BF$1,0))*1,0),
_xlpm._法人検索,IFERROR(INDEX('在庫使用計画 (法人)'!$A$1:$BF$391,MATCH($C19,'在庫使用計画 (法人)'!$C$1:$C$391,0),MATCH(BD$1,'在庫使用計画 (法人)'!$A$1:$BF$1,0))*1,0),
_xlpm._合計,_xlpm._一般検索+_xlpm._法人検索,
IF(_xlpm._合計=0,"",_xlpm._合計)
)</f>
        <v/>
      </c>
      <c r="BE19" s="224" t="str">
        <f>_xlfn.LET(
_xlpm._一般検索,IFERROR(INDEX('在庫使用計画 (一般)'!$A$1:$BF$391,MATCH($C19,'在庫使用計画 (一般)'!$C$1:$C$391,0),MATCH(BE$1,'在庫使用計画 (一般)'!$A$1:$BF$1,0))*1,0),
_xlpm._法人検索,IFERROR(INDEX('在庫使用計画 (法人)'!$A$1:$BF$391,MATCH($C19,'在庫使用計画 (法人)'!$C$1:$C$391,0),MATCH(BE$1,'在庫使用計画 (法人)'!$A$1:$BF$1,0))*1,0),
_xlpm._合計,_xlpm._一般検索+_xlpm._法人検索,
IF(_xlpm._合計=0,"",_xlpm._合計)
)</f>
        <v/>
      </c>
      <c r="BF19" s="224" t="str">
        <f>_xlfn.LET(
_xlpm._一般検索,IFERROR(INDEX('在庫使用計画 (一般)'!$A$1:$BF$391,MATCH($C19,'在庫使用計画 (一般)'!$C$1:$C$391,0),MATCH(BF$1,'在庫使用計画 (一般)'!$A$1:$BF$1,0))*1,0),
_xlpm._法人検索,IFERROR(INDEX('在庫使用計画 (法人)'!$A$1:$BF$391,MATCH($C19,'在庫使用計画 (法人)'!$C$1:$C$391,0),MATCH(BF$1,'在庫使用計画 (法人)'!$A$1:$BF$1,0))*1,0),
_xlpm._合計,_xlpm._一般検索+_xlpm._法人検索,
IF(_xlpm._合計=0,"",_xlpm._合計)
)</f>
        <v/>
      </c>
      <c r="BG19" s="237" t="str">
        <f>_xlfn.LET(
_xlpm._一般検索,IFERROR(INDEX('在庫使用計画 (一般)'!$A$1:$BF$391,MATCH($C19,'在庫使用計画 (一般)'!$C$1:$C$391,0),MATCH(BG$1,'在庫使用計画 (一般)'!$A$1:$BF$1,0))*1,0),
_xlpm._法人検索,IFERROR(INDEX('在庫使用計画 (法人)'!$A$1:$BF$391,MATCH($C19,'在庫使用計画 (法人)'!$C$1:$C$391,0),MATCH(BG$1,'在庫使用計画 (法人)'!$A$1:$BF$1,0))*1,0),
_xlpm._合計,_xlpm._一般検索+_xlpm._法人検索,
IF(_xlpm._合計=0,"",_xlpm._合計)
)</f>
        <v/>
      </c>
      <c r="BH19" s="804" t="str">
        <f>_xlfn.LET(
_xlpm._一般検索,IFERROR(INDEX('在庫使用計画 (一般)'!$A$1:$BF$391,MATCH($C19,'在庫使用計画 (一般)'!$C$1:$C$391,0),MATCH(BH$1,'在庫使用計画 (一般)'!$A$1:$BF$1,0))*1,0),
_xlpm._法人検索,IFERROR(INDEX('在庫使用計画 (法人)'!$A$1:$BF$391,MATCH($C19,'在庫使用計画 (法人)'!$C$1:$C$391,0),MATCH(BH$1,'在庫使用計画 (法人)'!$A$1:$BF$1,0))*1,0),
_xlpm._合計,_xlpm._一般検索+_xlpm._法人検索,
IF(_xlpm._合計=0,"",_xlpm._合計)
)</f>
        <v/>
      </c>
      <c r="BI19" s="224" t="str">
        <f>_xlfn.LET(
_xlpm._一般検索,IFERROR(INDEX('在庫使用計画 (一般)'!$A$1:$BF$391,MATCH($C19,'在庫使用計画 (一般)'!$C$1:$C$391,0),MATCH(BI$1,'在庫使用計画 (一般)'!$A$1:$BF$1,0))*1,0),
_xlpm._法人検索,IFERROR(INDEX('在庫使用計画 (法人)'!$A$1:$BF$391,MATCH($C19,'在庫使用計画 (法人)'!$C$1:$C$391,0),MATCH(BI$1,'在庫使用計画 (法人)'!$A$1:$BF$1,0))*1,0),
_xlpm._合計,_xlpm._一般検索+_xlpm._法人検索,
IF(_xlpm._合計=0,"",_xlpm._合計)
)</f>
        <v/>
      </c>
      <c r="BJ19" s="224" t="str">
        <f>_xlfn.LET(
_xlpm._一般検索,IFERROR(INDEX('在庫使用計画 (一般)'!$A$1:$BF$391,MATCH($C19,'在庫使用計画 (一般)'!$C$1:$C$391,0),MATCH(BJ$1,'在庫使用計画 (一般)'!$A$1:$BF$1,0))*1,0),
_xlpm._法人検索,IFERROR(INDEX('在庫使用計画 (法人)'!$A$1:$BF$391,MATCH($C19,'在庫使用計画 (法人)'!$C$1:$C$391,0),MATCH(BJ$1,'在庫使用計画 (法人)'!$A$1:$BF$1,0))*1,0),
_xlpm._合計,_xlpm._一般検索+_xlpm._法人検索,
IF(_xlpm._合計=0,"",_xlpm._合計)
)</f>
        <v/>
      </c>
      <c r="BK19" s="224" t="str">
        <f>_xlfn.LET(
_xlpm._一般検索,IFERROR(INDEX('在庫使用計画 (一般)'!$A$1:$BF$391,MATCH($C19,'在庫使用計画 (一般)'!$C$1:$C$391,0),MATCH(BK$1,'在庫使用計画 (一般)'!$A$1:$BF$1,0))*1,0),
_xlpm._法人検索,IFERROR(INDEX('在庫使用計画 (法人)'!$A$1:$BF$391,MATCH($C19,'在庫使用計画 (法人)'!$C$1:$C$391,0),MATCH(BK$1,'在庫使用計画 (法人)'!$A$1:$BF$1,0))*1,0),
_xlpm._合計,_xlpm._一般検索+_xlpm._法人検索,
IF(_xlpm._合計=0,"",_xlpm._合計)
)</f>
        <v/>
      </c>
      <c r="BL19" s="224" t="str">
        <f>_xlfn.LET(
_xlpm._一般検索,IFERROR(INDEX('在庫使用計画 (一般)'!$A$1:$BF$391,MATCH($C19,'在庫使用計画 (一般)'!$C$1:$C$391,0),MATCH(BL$1,'在庫使用計画 (一般)'!$A$1:$BF$1,0))*1,0),
_xlpm._法人検索,IFERROR(INDEX('在庫使用計画 (法人)'!$A$1:$BF$391,MATCH($C19,'在庫使用計画 (法人)'!$C$1:$C$391,0),MATCH(BL$1,'在庫使用計画 (法人)'!$A$1:$BF$1,0))*1,0),
_xlpm._合計,_xlpm._一般検索+_xlpm._法人検索,
IF(_xlpm._合計=0,"",_xlpm._合計)
)</f>
        <v/>
      </c>
      <c r="BM19" s="224" t="str">
        <f>_xlfn.LET(
_xlpm._一般検索,IFERROR(INDEX('在庫使用計画 (一般)'!$A$1:$BF$391,MATCH($C19,'在庫使用計画 (一般)'!$C$1:$C$391,0),MATCH(BM$1,'在庫使用計画 (一般)'!$A$1:$BF$1,0))*1,0),
_xlpm._法人検索,IFERROR(INDEX('在庫使用計画 (法人)'!$A$1:$BF$391,MATCH($C19,'在庫使用計画 (法人)'!$C$1:$C$391,0),MATCH(BM$1,'在庫使用計画 (法人)'!$A$1:$BF$1,0))*1,0),
_xlpm._合計,_xlpm._一般検索+_xlpm._法人検索,
IF(_xlpm._合計=0,"",_xlpm._合計)
)</f>
        <v/>
      </c>
      <c r="BN19" s="224" t="str">
        <f>_xlfn.LET(
_xlpm._一般検索,IFERROR(INDEX('在庫使用計画 (一般)'!$A$1:$BF$391,MATCH($C19,'在庫使用計画 (一般)'!$C$1:$C$391,0),MATCH(BN$1,'在庫使用計画 (一般)'!$A$1:$BF$1,0))*1,0),
_xlpm._法人検索,IFERROR(INDEX('在庫使用計画 (法人)'!$A$1:$BF$391,MATCH($C19,'在庫使用計画 (法人)'!$C$1:$C$391,0),MATCH(BN$1,'在庫使用計画 (法人)'!$A$1:$BF$1,0))*1,0),
_xlpm._合計,_xlpm._一般検索+_xlpm._法人検索,
IF(_xlpm._合計=0,"",_xlpm._合計)
)</f>
        <v/>
      </c>
      <c r="BO19" s="224" t="str">
        <f>_xlfn.LET(
_xlpm._一般検索,IFERROR(INDEX('在庫使用計画 (一般)'!$A$1:$BF$391,MATCH($C19,'在庫使用計画 (一般)'!$C$1:$C$391,0),MATCH(BO$1,'在庫使用計画 (一般)'!$A$1:$BF$1,0))*1,0),
_xlpm._法人検索,IFERROR(INDEX('在庫使用計画 (法人)'!$A$1:$BF$391,MATCH($C19,'在庫使用計画 (法人)'!$C$1:$C$391,0),MATCH(BO$1,'在庫使用計画 (法人)'!$A$1:$BF$1,0))*1,0),
_xlpm._合計,_xlpm._一般検索+_xlpm._法人検索,
IF(_xlpm._合計=0,"",_xlpm._合計)
)</f>
        <v/>
      </c>
      <c r="BP19" s="224" t="str">
        <f>_xlfn.LET(
_xlpm._一般検索,IFERROR(INDEX('在庫使用計画 (一般)'!$A$1:$BF$391,MATCH($C19,'在庫使用計画 (一般)'!$C$1:$C$391,0),MATCH(BP$1,'在庫使用計画 (一般)'!$A$1:$BF$1,0))*1,0),
_xlpm._法人検索,IFERROR(INDEX('在庫使用計画 (法人)'!$A$1:$BF$391,MATCH($C19,'在庫使用計画 (法人)'!$C$1:$C$391,0),MATCH(BP$1,'在庫使用計画 (法人)'!$A$1:$BF$1,0))*1,0),
_xlpm._合計,_xlpm._一般検索+_xlpm._法人検索,
IF(_xlpm._合計=0,"",_xlpm._合計)
)</f>
        <v/>
      </c>
      <c r="BQ19" s="224" t="str">
        <f>_xlfn.LET(
_xlpm._一般検索,IFERROR(INDEX('在庫使用計画 (一般)'!$A$1:$BF$391,MATCH($C19,'在庫使用計画 (一般)'!$C$1:$C$391,0),MATCH(BQ$1,'在庫使用計画 (一般)'!$A$1:$BF$1,0))*1,0),
_xlpm._法人検索,IFERROR(INDEX('在庫使用計画 (法人)'!$A$1:$BF$391,MATCH($C19,'在庫使用計画 (法人)'!$C$1:$C$391,0),MATCH(BQ$1,'在庫使用計画 (法人)'!$A$1:$BF$1,0))*1,0),
_xlpm._合計,_xlpm._一般検索+_xlpm._法人検索,
IF(_xlpm._合計=0,"",_xlpm._合計)
)</f>
        <v/>
      </c>
      <c r="BR19" s="224" t="str">
        <f>_xlfn.LET(
_xlpm._一般検索,IFERROR(INDEX('在庫使用計画 (一般)'!$A$1:$BF$391,MATCH($C19,'在庫使用計画 (一般)'!$C$1:$C$391,0),MATCH(BR$1,'在庫使用計画 (一般)'!$A$1:$BF$1,0))*1,0),
_xlpm._法人検索,IFERROR(INDEX('在庫使用計画 (法人)'!$A$1:$BF$391,MATCH($C19,'在庫使用計画 (法人)'!$C$1:$C$391,0),MATCH(BR$1,'在庫使用計画 (法人)'!$A$1:$BF$1,0))*1,0),
_xlpm._合計,_xlpm._一般検索+_xlpm._法人検索,
IF(_xlpm._合計=0,"",_xlpm._合計)
)</f>
        <v/>
      </c>
      <c r="BS19" s="805" t="str">
        <f>_xlfn.LET(
_xlpm._一般検索,IFERROR(INDEX('在庫使用計画 (一般)'!$A$1:$BF$391,MATCH($C19,'在庫使用計画 (一般)'!$C$1:$C$391,0),MATCH(BS$1,'在庫使用計画 (一般)'!$A$1:$BF$1,0))*1,0),
_xlpm._法人検索,IFERROR(INDEX('在庫使用計画 (法人)'!$A$1:$BF$391,MATCH($C19,'在庫使用計画 (法人)'!$C$1:$C$391,0),MATCH(BS$1,'在庫使用計画 (法人)'!$A$1:$BF$1,0))*1,0),
_xlpm._合計,_xlpm._一般検索+_xlpm._法人検索,
IF(_xlpm._合計=0,"",_xlpm._合計)
)</f>
        <v/>
      </c>
      <c r="BT19" s="21"/>
    </row>
    <row r="20" spans="1:72" customFormat="1" ht="18.75" customHeight="1">
      <c r="A20" s="1060" t="s">
        <v>1633</v>
      </c>
      <c r="B20" s="26" t="str">
        <v>UNW-E-13620H-3050-L6</v>
      </c>
      <c r="C20" s="531" t="s">
        <v>336</v>
      </c>
      <c r="D20" s="2156">
        <v>20320</v>
      </c>
      <c r="E20" s="68" t="s">
        <v>1365</v>
      </c>
      <c r="F20" s="68" t="s">
        <v>20</v>
      </c>
      <c r="G20" s="74">
        <v>2039</v>
      </c>
      <c r="H20" s="38">
        <v>2039</v>
      </c>
      <c r="I20" s="38" cm="1">
        <f t="array" ref="I20">IF($C20="","",
_xlfn.LET(
  _xlpm._見出し,$A$1:$BT$1,
  _xlpm._行,$A20:$BT20,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2104</v>
      </c>
      <c r="J20" s="74" cm="1">
        <f t="array" ref="J20">_xlfn.LET(
  _xlpm._見出し,$A$1:$BS$1,
  _xlpm._行,$A20:$BS20,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IF($C20="","",_xlpm._四点五月計画合計)
)</f>
        <v>1488</v>
      </c>
      <c r="K20" s="1458" cm="1">
        <f t="array" ref="K20">_xlfn.IFS(
  $C20="","",
  $G20="","発売前？",
  $G20=0,"在庫無し",
  TRUE,
  IFERROR(
    _xlfn.LET(
      _xlpm._在庫注残,     $G20,
      _xlpm._しきい値,     _xlpm._在庫注残 * 0.75,
      _xlpm._見出し元,     $L$1:$BU$1,
      _xlpm._計画,         $L20:$BU20,
      _xlpm._最新実績日,       基準データ!$C$5,
      _xlpm._今月1日,      EOMONTH(_xlpm._最新実績日, -1) + 1,
      _xlpm._月末日,       EOMONTH(_xlpm._最新実績日, 0),
      _xlpm._今月位置,     _xlfn.XMATCH(_xlpm._今月1日, _xlpm._見出し元),
      _xlpm._今月計画按分, N(INDEX(_xlpm._計画, 1, _xlpm._今月位置))
                      * (_xlpm._月末日 - _xlpm._最新実績日)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46235</v>
      </c>
      <c r="L20" s="38" t="s">
        <v>21</v>
      </c>
      <c r="M20" s="38" t="s">
        <v>21</v>
      </c>
      <c r="N20" s="38" t="s">
        <v>21</v>
      </c>
      <c r="O20" s="38" t="s">
        <v>21</v>
      </c>
      <c r="P20" s="38">
        <v>337.7876378723364</v>
      </c>
      <c r="Q20" s="38">
        <v>665.45809283936887</v>
      </c>
      <c r="R20" s="38">
        <v>695.77657793536696</v>
      </c>
      <c r="S20" s="38">
        <v>586.42926606356662</v>
      </c>
      <c r="T20" s="219">
        <v>693.41411776724442</v>
      </c>
      <c r="U20" s="219">
        <v>608.77017872667273</v>
      </c>
      <c r="V20" s="219">
        <v>654.24466168979893</v>
      </c>
      <c r="W20" s="219">
        <v>609.80104094095418</v>
      </c>
      <c r="X20" s="219">
        <v>544.96219146259034</v>
      </c>
      <c r="Y20" s="219">
        <v>461</v>
      </c>
      <c r="Z20" s="219">
        <v>705.2556427377931</v>
      </c>
      <c r="AA20" s="480">
        <v>832</v>
      </c>
      <c r="AB20" s="219">
        <v>740.36000793911717</v>
      </c>
      <c r="AC20" s="219">
        <v>1278</v>
      </c>
      <c r="AD20" s="219">
        <v>1471</v>
      </c>
      <c r="AE20" s="219">
        <v>1259</v>
      </c>
      <c r="AF20" s="219">
        <v>1392.1474890113725</v>
      </c>
      <c r="AG20" s="224">
        <v>1221.0877339602578</v>
      </c>
      <c r="AH20" s="224">
        <v>1123</v>
      </c>
      <c r="AI20" s="480">
        <v>965</v>
      </c>
      <c r="AJ20" s="804">
        <v>571</v>
      </c>
      <c r="AK20" s="224">
        <v>588</v>
      </c>
      <c r="AL20" s="224">
        <v>375</v>
      </c>
      <c r="AM20" s="224">
        <v>722</v>
      </c>
      <c r="AN20" s="224">
        <f>_xlfn.LET(
_xlpm._一般検索,IFERROR(INDEX('在庫使用計画 (一般)'!$A$1:$BF$391,MATCH($C20,'在庫使用計画 (一般)'!$C$1:$C$391,0),MATCH(AN$1,'在庫使用計画 (一般)'!$A$1:$BF$1,0))*1,0),
_xlpm._法人検索,IFERROR(INDEX('在庫使用計画 (法人)'!$A$1:$BF$391,MATCH($C20,'在庫使用計画 (法人)'!$C$1:$C$391,0),MATCH(AN$1,'在庫使用計画 (法人)'!$A$1:$BF$1,0))*1,0),
_xlpm._合計,_xlpm._一般検索+_xlpm._法人検索,
IF(_xlpm._合計=0,"",_xlpm._合計)
)</f>
        <v>998</v>
      </c>
      <c r="AO20" s="224">
        <f>_xlfn.LET(
_xlpm._一般検索,IFERROR(INDEX('在庫使用計画 (一般)'!$A$1:$BF$391,MATCH($C20,'在庫使用計画 (一般)'!$C$1:$C$391,0),MATCH(AO$1,'在庫使用計画 (一般)'!$A$1:$BF$1,0))*1,0),
_xlpm._法人検索,IFERROR(INDEX('在庫使用計画 (法人)'!$A$1:$BF$391,MATCH($C20,'在庫使用計画 (法人)'!$C$1:$C$391,0),MATCH(AO$1,'在庫使用計画 (法人)'!$A$1:$BF$1,0))*1,0),
_xlpm._合計,_xlpm._一般検索+_xlpm._法人検索,
IF(_xlpm._合計=0,"",_xlpm._合計)
)</f>
        <v>1055</v>
      </c>
      <c r="AP20" s="224">
        <f>_xlfn.LET(
_xlpm._一般検索,IFERROR(INDEX('在庫使用計画 (一般)'!$A$1:$BF$391,MATCH($C20,'在庫使用計画 (一般)'!$C$1:$C$391,0),MATCH(AP$1,'在庫使用計画 (一般)'!$A$1:$BF$1,0))*1,0),
_xlpm._法人検索,IFERROR(INDEX('在庫使用計画 (法人)'!$A$1:$BF$391,MATCH($C20,'在庫使用計画 (法人)'!$C$1:$C$391,0),MATCH(AP$1,'在庫使用計画 (法人)'!$A$1:$BF$1,0))*1,0),
_xlpm._合計,_xlpm._一般検索+_xlpm._法人検索,
IF(_xlpm._合計=0,"",_xlpm._合計)
)</f>
        <v>1232</v>
      </c>
      <c r="AQ20" s="224">
        <f>_xlfn.LET(
_xlpm._一般検索,IFERROR(INDEX('在庫使用計画 (一般)'!$A$1:$BF$391,MATCH($C20,'在庫使用計画 (一般)'!$C$1:$C$391,0),MATCH(AQ$1,'在庫使用計画 (一般)'!$A$1:$BF$1,0))*1,0),
_xlpm._法人検索,IFERROR(INDEX('在庫使用計画 (法人)'!$A$1:$BF$391,MATCH($C20,'在庫使用計画 (法人)'!$C$1:$C$391,0),MATCH(AQ$1,'在庫使用計画 (法人)'!$A$1:$BF$1,0))*1,0),
_xlpm._合計,_xlpm._一般検索+_xlpm._法人検索,
IF(_xlpm._合計=0,"",_xlpm._合計)
)</f>
        <v>872</v>
      </c>
      <c r="AR20" s="224" t="str">
        <f>_xlfn.LET(
_xlpm._一般検索,IFERROR(INDEX('在庫使用計画 (一般)'!$A$1:$BF$391,MATCH($C20,'在庫使用計画 (一般)'!$C$1:$C$391,0),MATCH(AR$1,'在庫使用計画 (一般)'!$A$1:$BF$1,0))*1,0),
_xlpm._法人検索,IFERROR(INDEX('在庫使用計画 (法人)'!$A$1:$BF$391,MATCH($C20,'在庫使用計画 (法人)'!$C$1:$C$391,0),MATCH(AR$1,'在庫使用計画 (法人)'!$A$1:$BF$1,0))*1,0),
_xlpm._合計,_xlpm._一般検索+_xlpm._法人検索,
IF(_xlpm._合計=0,"",_xlpm._合計)
)</f>
        <v/>
      </c>
      <c r="AS20" s="224" t="str">
        <f>_xlfn.LET(
_xlpm._一般検索,IFERROR(INDEX('在庫使用計画 (一般)'!$A$1:$BF$391,MATCH($C20,'在庫使用計画 (一般)'!$C$1:$C$391,0),MATCH(AS$1,'在庫使用計画 (一般)'!$A$1:$BF$1,0))*1,0),
_xlpm._法人検索,IFERROR(INDEX('在庫使用計画 (法人)'!$A$1:$BF$391,MATCH($C20,'在庫使用計画 (法人)'!$C$1:$C$391,0),MATCH(AS$1,'在庫使用計画 (法人)'!$A$1:$BF$1,0))*1,0),
_xlpm._合計,_xlpm._一般検索+_xlpm._法人検索,
IF(_xlpm._合計=0,"",_xlpm._合計)
)</f>
        <v/>
      </c>
      <c r="AT20" s="224" t="str">
        <f>_xlfn.LET(
_xlpm._一般検索,IFERROR(INDEX('在庫使用計画 (一般)'!$A$1:$BF$391,MATCH($C20,'在庫使用計画 (一般)'!$C$1:$C$391,0),MATCH(AT$1,'在庫使用計画 (一般)'!$A$1:$BF$1,0))*1,0),
_xlpm._法人検索,IFERROR(INDEX('在庫使用計画 (法人)'!$A$1:$BF$391,MATCH($C20,'在庫使用計画 (法人)'!$C$1:$C$391,0),MATCH(AT$1,'在庫使用計画 (法人)'!$A$1:$BF$1,0))*1,0),
_xlpm._合計,_xlpm._一般検索+_xlpm._法人検索,
IF(_xlpm._合計=0,"",_xlpm._合計)
)</f>
        <v/>
      </c>
      <c r="AU20" s="805" t="str">
        <f>_xlfn.LET(
_xlpm._一般検索,IFERROR(INDEX('在庫使用計画 (一般)'!$A$1:$BF$391,MATCH($C20,'在庫使用計画 (一般)'!$C$1:$C$391,0),MATCH(AU$1,'在庫使用計画 (一般)'!$A$1:$BF$1,0))*1,0),
_xlpm._法人検索,IFERROR(INDEX('在庫使用計画 (法人)'!$A$1:$BF$391,MATCH($C20,'在庫使用計画 (法人)'!$C$1:$C$391,0),MATCH(AU$1,'在庫使用計画 (法人)'!$A$1:$BF$1,0))*1,0),
_xlpm._合計,_xlpm._一般検索+_xlpm._法人検索,
IF(_xlpm._合計=0,"",_xlpm._合計)
)</f>
        <v/>
      </c>
      <c r="AV20" s="244" t="str">
        <f>_xlfn.LET(
_xlpm._一般検索,IFERROR(INDEX('在庫使用計画 (一般)'!$A$1:$BF$391,MATCH($C20,'在庫使用計画 (一般)'!$C$1:$C$391,0),MATCH(AV$1,'在庫使用計画 (一般)'!$A$1:$BF$1,0))*1,0),
_xlpm._法人検索,IFERROR(INDEX('在庫使用計画 (法人)'!$A$1:$BF$391,MATCH($C20,'在庫使用計画 (法人)'!$C$1:$C$391,0),MATCH(AV$1,'在庫使用計画 (法人)'!$A$1:$BF$1,0))*1,0),
_xlpm._合計,_xlpm._一般検索+_xlpm._法人検索,
IF(_xlpm._合計=0,"",_xlpm._合計)
)</f>
        <v/>
      </c>
      <c r="AW20" s="224" t="str">
        <f>_xlfn.LET(
_xlpm._一般検索,IFERROR(INDEX('在庫使用計画 (一般)'!$A$1:$BF$391,MATCH($C20,'在庫使用計画 (一般)'!$C$1:$C$391,0),MATCH(AW$1,'在庫使用計画 (一般)'!$A$1:$BF$1,0))*1,0),
_xlpm._法人検索,IFERROR(INDEX('在庫使用計画 (法人)'!$A$1:$BF$391,MATCH($C20,'在庫使用計画 (法人)'!$C$1:$C$391,0),MATCH(AW$1,'在庫使用計画 (法人)'!$A$1:$BF$1,0))*1,0),
_xlpm._合計,_xlpm._一般検索+_xlpm._法人検索,
IF(_xlpm._合計=0,"",_xlpm._合計)
)</f>
        <v/>
      </c>
      <c r="AX20" s="224" t="str">
        <f>_xlfn.LET(
_xlpm._一般検索,IFERROR(INDEX('在庫使用計画 (一般)'!$A$1:$BF$391,MATCH($C20,'在庫使用計画 (一般)'!$C$1:$C$391,0),MATCH(AX$1,'在庫使用計画 (一般)'!$A$1:$BF$1,0))*1,0),
_xlpm._法人検索,IFERROR(INDEX('在庫使用計画 (法人)'!$A$1:$BF$391,MATCH($C20,'在庫使用計画 (法人)'!$C$1:$C$391,0),MATCH(AX$1,'在庫使用計画 (法人)'!$A$1:$BF$1,0))*1,0),
_xlpm._合計,_xlpm._一般検索+_xlpm._法人検索,
IF(_xlpm._合計=0,"",_xlpm._合計)
)</f>
        <v/>
      </c>
      <c r="AY20" s="224" t="str">
        <f>_xlfn.LET(
_xlpm._一般検索,IFERROR(INDEX('在庫使用計画 (一般)'!$A$1:$BF$391,MATCH($C20,'在庫使用計画 (一般)'!$C$1:$C$391,0),MATCH(AY$1,'在庫使用計画 (一般)'!$A$1:$BF$1,0))*1,0),
_xlpm._法人検索,IFERROR(INDEX('在庫使用計画 (法人)'!$A$1:$BF$391,MATCH($C20,'在庫使用計画 (法人)'!$C$1:$C$391,0),MATCH(AY$1,'在庫使用計画 (法人)'!$A$1:$BF$1,0))*1,0),
_xlpm._合計,_xlpm._一般検索+_xlpm._法人検索,
IF(_xlpm._合計=0,"",_xlpm._合計)
)</f>
        <v/>
      </c>
      <c r="AZ20" s="224" t="str">
        <f>_xlfn.LET(
_xlpm._一般検索,IFERROR(INDEX('在庫使用計画 (一般)'!$A$1:$BF$391,MATCH($C20,'在庫使用計画 (一般)'!$C$1:$C$391,0),MATCH(AZ$1,'在庫使用計画 (一般)'!$A$1:$BF$1,0))*1,0),
_xlpm._法人検索,IFERROR(INDEX('在庫使用計画 (法人)'!$A$1:$BF$391,MATCH($C20,'在庫使用計画 (法人)'!$C$1:$C$391,0),MATCH(AZ$1,'在庫使用計画 (法人)'!$A$1:$BF$1,0))*1,0),
_xlpm._合計,_xlpm._一般検索+_xlpm._法人検索,
IF(_xlpm._合計=0,"",_xlpm._合計)
)</f>
        <v/>
      </c>
      <c r="BA20" s="224" t="str">
        <f>_xlfn.LET(
_xlpm._一般検索,IFERROR(INDEX('在庫使用計画 (一般)'!$A$1:$BF$391,MATCH($C20,'在庫使用計画 (一般)'!$C$1:$C$391,0),MATCH(BA$1,'在庫使用計画 (一般)'!$A$1:$BF$1,0))*1,0),
_xlpm._法人検索,IFERROR(INDEX('在庫使用計画 (法人)'!$A$1:$BF$391,MATCH($C20,'在庫使用計画 (法人)'!$C$1:$C$391,0),MATCH(BA$1,'在庫使用計画 (法人)'!$A$1:$BF$1,0))*1,0),
_xlpm._合計,_xlpm._一般検索+_xlpm._法人検索,
IF(_xlpm._合計=0,"",_xlpm._合計)
)</f>
        <v/>
      </c>
      <c r="BB20" s="224" t="str">
        <f>_xlfn.LET(
_xlpm._一般検索,IFERROR(INDEX('在庫使用計画 (一般)'!$A$1:$BF$391,MATCH($C20,'在庫使用計画 (一般)'!$C$1:$C$391,0),MATCH(BB$1,'在庫使用計画 (一般)'!$A$1:$BF$1,0))*1,0),
_xlpm._法人検索,IFERROR(INDEX('在庫使用計画 (法人)'!$A$1:$BF$391,MATCH($C20,'在庫使用計画 (法人)'!$C$1:$C$391,0),MATCH(BB$1,'在庫使用計画 (法人)'!$A$1:$BF$1,0))*1,0),
_xlpm._合計,_xlpm._一般検索+_xlpm._法人検索,
IF(_xlpm._合計=0,"",_xlpm._合計)
)</f>
        <v/>
      </c>
      <c r="BC20" s="224" t="str">
        <f>_xlfn.LET(
_xlpm._一般検索,IFERROR(INDEX('在庫使用計画 (一般)'!$A$1:$BF$391,MATCH($C20,'在庫使用計画 (一般)'!$C$1:$C$391,0),MATCH(BC$1,'在庫使用計画 (一般)'!$A$1:$BF$1,0))*1,0),
_xlpm._法人検索,IFERROR(INDEX('在庫使用計画 (法人)'!$A$1:$BF$391,MATCH($C20,'在庫使用計画 (法人)'!$C$1:$C$391,0),MATCH(BC$1,'在庫使用計画 (法人)'!$A$1:$BF$1,0))*1,0),
_xlpm._合計,_xlpm._一般検索+_xlpm._法人検索,
IF(_xlpm._合計=0,"",_xlpm._合計)
)</f>
        <v/>
      </c>
      <c r="BD20" s="224" t="str">
        <f>_xlfn.LET(
_xlpm._一般検索,IFERROR(INDEX('在庫使用計画 (一般)'!$A$1:$BF$391,MATCH($C20,'在庫使用計画 (一般)'!$C$1:$C$391,0),MATCH(BD$1,'在庫使用計画 (一般)'!$A$1:$BF$1,0))*1,0),
_xlpm._法人検索,IFERROR(INDEX('在庫使用計画 (法人)'!$A$1:$BF$391,MATCH($C20,'在庫使用計画 (法人)'!$C$1:$C$391,0),MATCH(BD$1,'在庫使用計画 (法人)'!$A$1:$BF$1,0))*1,0),
_xlpm._合計,_xlpm._一般検索+_xlpm._法人検索,
IF(_xlpm._合計=0,"",_xlpm._合計)
)</f>
        <v/>
      </c>
      <c r="BE20" s="224" t="str">
        <f>_xlfn.LET(
_xlpm._一般検索,IFERROR(INDEX('在庫使用計画 (一般)'!$A$1:$BF$391,MATCH($C20,'在庫使用計画 (一般)'!$C$1:$C$391,0),MATCH(BE$1,'在庫使用計画 (一般)'!$A$1:$BF$1,0))*1,0),
_xlpm._法人検索,IFERROR(INDEX('在庫使用計画 (法人)'!$A$1:$BF$391,MATCH($C20,'在庫使用計画 (法人)'!$C$1:$C$391,0),MATCH(BE$1,'在庫使用計画 (法人)'!$A$1:$BF$1,0))*1,0),
_xlpm._合計,_xlpm._一般検索+_xlpm._法人検索,
IF(_xlpm._合計=0,"",_xlpm._合計)
)</f>
        <v/>
      </c>
      <c r="BF20" s="224" t="str">
        <f>_xlfn.LET(
_xlpm._一般検索,IFERROR(INDEX('在庫使用計画 (一般)'!$A$1:$BF$391,MATCH($C20,'在庫使用計画 (一般)'!$C$1:$C$391,0),MATCH(BF$1,'在庫使用計画 (一般)'!$A$1:$BF$1,0))*1,0),
_xlpm._法人検索,IFERROR(INDEX('在庫使用計画 (法人)'!$A$1:$BF$391,MATCH($C20,'在庫使用計画 (法人)'!$C$1:$C$391,0),MATCH(BF$1,'在庫使用計画 (法人)'!$A$1:$BF$1,0))*1,0),
_xlpm._合計,_xlpm._一般検索+_xlpm._法人検索,
IF(_xlpm._合計=0,"",_xlpm._合計)
)</f>
        <v/>
      </c>
      <c r="BG20" s="237" t="str">
        <f>_xlfn.LET(
_xlpm._一般検索,IFERROR(INDEX('在庫使用計画 (一般)'!$A$1:$BF$391,MATCH($C20,'在庫使用計画 (一般)'!$C$1:$C$391,0),MATCH(BG$1,'在庫使用計画 (一般)'!$A$1:$BF$1,0))*1,0),
_xlpm._法人検索,IFERROR(INDEX('在庫使用計画 (法人)'!$A$1:$BF$391,MATCH($C20,'在庫使用計画 (法人)'!$C$1:$C$391,0),MATCH(BG$1,'在庫使用計画 (法人)'!$A$1:$BF$1,0))*1,0),
_xlpm._合計,_xlpm._一般検索+_xlpm._法人検索,
IF(_xlpm._合計=0,"",_xlpm._合計)
)</f>
        <v/>
      </c>
      <c r="BH20" s="804" t="str">
        <f>_xlfn.LET(
_xlpm._一般検索,IFERROR(INDEX('在庫使用計画 (一般)'!$A$1:$BF$391,MATCH($C20,'在庫使用計画 (一般)'!$C$1:$C$391,0),MATCH(BH$1,'在庫使用計画 (一般)'!$A$1:$BF$1,0))*1,0),
_xlpm._法人検索,IFERROR(INDEX('在庫使用計画 (法人)'!$A$1:$BF$391,MATCH($C20,'在庫使用計画 (法人)'!$C$1:$C$391,0),MATCH(BH$1,'在庫使用計画 (法人)'!$A$1:$BF$1,0))*1,0),
_xlpm._合計,_xlpm._一般検索+_xlpm._法人検索,
IF(_xlpm._合計=0,"",_xlpm._合計)
)</f>
        <v/>
      </c>
      <c r="BI20" s="224" t="str">
        <f>_xlfn.LET(
_xlpm._一般検索,IFERROR(INDEX('在庫使用計画 (一般)'!$A$1:$BF$391,MATCH($C20,'在庫使用計画 (一般)'!$C$1:$C$391,0),MATCH(BI$1,'在庫使用計画 (一般)'!$A$1:$BF$1,0))*1,0),
_xlpm._法人検索,IFERROR(INDEX('在庫使用計画 (法人)'!$A$1:$BF$391,MATCH($C20,'在庫使用計画 (法人)'!$C$1:$C$391,0),MATCH(BI$1,'在庫使用計画 (法人)'!$A$1:$BF$1,0))*1,0),
_xlpm._合計,_xlpm._一般検索+_xlpm._法人検索,
IF(_xlpm._合計=0,"",_xlpm._合計)
)</f>
        <v/>
      </c>
      <c r="BJ20" s="224" t="str">
        <f>_xlfn.LET(
_xlpm._一般検索,IFERROR(INDEX('在庫使用計画 (一般)'!$A$1:$BF$391,MATCH($C20,'在庫使用計画 (一般)'!$C$1:$C$391,0),MATCH(BJ$1,'在庫使用計画 (一般)'!$A$1:$BF$1,0))*1,0),
_xlpm._法人検索,IFERROR(INDEX('在庫使用計画 (法人)'!$A$1:$BF$391,MATCH($C20,'在庫使用計画 (法人)'!$C$1:$C$391,0),MATCH(BJ$1,'在庫使用計画 (法人)'!$A$1:$BF$1,0))*1,0),
_xlpm._合計,_xlpm._一般検索+_xlpm._法人検索,
IF(_xlpm._合計=0,"",_xlpm._合計)
)</f>
        <v/>
      </c>
      <c r="BK20" s="224" t="str">
        <f>_xlfn.LET(
_xlpm._一般検索,IFERROR(INDEX('在庫使用計画 (一般)'!$A$1:$BF$391,MATCH($C20,'在庫使用計画 (一般)'!$C$1:$C$391,0),MATCH(BK$1,'在庫使用計画 (一般)'!$A$1:$BF$1,0))*1,0),
_xlpm._法人検索,IFERROR(INDEX('在庫使用計画 (法人)'!$A$1:$BF$391,MATCH($C20,'在庫使用計画 (法人)'!$C$1:$C$391,0),MATCH(BK$1,'在庫使用計画 (法人)'!$A$1:$BF$1,0))*1,0),
_xlpm._合計,_xlpm._一般検索+_xlpm._法人検索,
IF(_xlpm._合計=0,"",_xlpm._合計)
)</f>
        <v/>
      </c>
      <c r="BL20" s="224" t="str">
        <f>_xlfn.LET(
_xlpm._一般検索,IFERROR(INDEX('在庫使用計画 (一般)'!$A$1:$BF$391,MATCH($C20,'在庫使用計画 (一般)'!$C$1:$C$391,0),MATCH(BL$1,'在庫使用計画 (一般)'!$A$1:$BF$1,0))*1,0),
_xlpm._法人検索,IFERROR(INDEX('在庫使用計画 (法人)'!$A$1:$BF$391,MATCH($C20,'在庫使用計画 (法人)'!$C$1:$C$391,0),MATCH(BL$1,'在庫使用計画 (法人)'!$A$1:$BF$1,0))*1,0),
_xlpm._合計,_xlpm._一般検索+_xlpm._法人検索,
IF(_xlpm._合計=0,"",_xlpm._合計)
)</f>
        <v/>
      </c>
      <c r="BM20" s="224" t="str">
        <f>_xlfn.LET(
_xlpm._一般検索,IFERROR(INDEX('在庫使用計画 (一般)'!$A$1:$BF$391,MATCH($C20,'在庫使用計画 (一般)'!$C$1:$C$391,0),MATCH(BM$1,'在庫使用計画 (一般)'!$A$1:$BF$1,0))*1,0),
_xlpm._法人検索,IFERROR(INDEX('在庫使用計画 (法人)'!$A$1:$BF$391,MATCH($C20,'在庫使用計画 (法人)'!$C$1:$C$391,0),MATCH(BM$1,'在庫使用計画 (法人)'!$A$1:$BF$1,0))*1,0),
_xlpm._合計,_xlpm._一般検索+_xlpm._法人検索,
IF(_xlpm._合計=0,"",_xlpm._合計)
)</f>
        <v/>
      </c>
      <c r="BN20" s="224" t="str">
        <f>_xlfn.LET(
_xlpm._一般検索,IFERROR(INDEX('在庫使用計画 (一般)'!$A$1:$BF$391,MATCH($C20,'在庫使用計画 (一般)'!$C$1:$C$391,0),MATCH(BN$1,'在庫使用計画 (一般)'!$A$1:$BF$1,0))*1,0),
_xlpm._法人検索,IFERROR(INDEX('在庫使用計画 (法人)'!$A$1:$BF$391,MATCH($C20,'在庫使用計画 (法人)'!$C$1:$C$391,0),MATCH(BN$1,'在庫使用計画 (法人)'!$A$1:$BF$1,0))*1,0),
_xlpm._合計,_xlpm._一般検索+_xlpm._法人検索,
IF(_xlpm._合計=0,"",_xlpm._合計)
)</f>
        <v/>
      </c>
      <c r="BO20" s="224" t="str">
        <f>_xlfn.LET(
_xlpm._一般検索,IFERROR(INDEX('在庫使用計画 (一般)'!$A$1:$BF$391,MATCH($C20,'在庫使用計画 (一般)'!$C$1:$C$391,0),MATCH(BO$1,'在庫使用計画 (一般)'!$A$1:$BF$1,0))*1,0),
_xlpm._法人検索,IFERROR(INDEX('在庫使用計画 (法人)'!$A$1:$BF$391,MATCH($C20,'在庫使用計画 (法人)'!$C$1:$C$391,0),MATCH(BO$1,'在庫使用計画 (法人)'!$A$1:$BF$1,0))*1,0),
_xlpm._合計,_xlpm._一般検索+_xlpm._法人検索,
IF(_xlpm._合計=0,"",_xlpm._合計)
)</f>
        <v/>
      </c>
      <c r="BP20" s="224" t="str">
        <f>_xlfn.LET(
_xlpm._一般検索,IFERROR(INDEX('在庫使用計画 (一般)'!$A$1:$BF$391,MATCH($C20,'在庫使用計画 (一般)'!$C$1:$C$391,0),MATCH(BP$1,'在庫使用計画 (一般)'!$A$1:$BF$1,0))*1,0),
_xlpm._法人検索,IFERROR(INDEX('在庫使用計画 (法人)'!$A$1:$BF$391,MATCH($C20,'在庫使用計画 (法人)'!$C$1:$C$391,0),MATCH(BP$1,'在庫使用計画 (法人)'!$A$1:$BF$1,0))*1,0),
_xlpm._合計,_xlpm._一般検索+_xlpm._法人検索,
IF(_xlpm._合計=0,"",_xlpm._合計)
)</f>
        <v/>
      </c>
      <c r="BQ20" s="224" t="str">
        <f>_xlfn.LET(
_xlpm._一般検索,IFERROR(INDEX('在庫使用計画 (一般)'!$A$1:$BF$391,MATCH($C20,'在庫使用計画 (一般)'!$C$1:$C$391,0),MATCH(BQ$1,'在庫使用計画 (一般)'!$A$1:$BF$1,0))*1,0),
_xlpm._法人検索,IFERROR(INDEX('在庫使用計画 (法人)'!$A$1:$BF$391,MATCH($C20,'在庫使用計画 (法人)'!$C$1:$C$391,0),MATCH(BQ$1,'在庫使用計画 (法人)'!$A$1:$BF$1,0))*1,0),
_xlpm._合計,_xlpm._一般検索+_xlpm._法人検索,
IF(_xlpm._合計=0,"",_xlpm._合計)
)</f>
        <v/>
      </c>
      <c r="BR20" s="224" t="str">
        <f>_xlfn.LET(
_xlpm._一般検索,IFERROR(INDEX('在庫使用計画 (一般)'!$A$1:$BF$391,MATCH($C20,'在庫使用計画 (一般)'!$C$1:$C$391,0),MATCH(BR$1,'在庫使用計画 (一般)'!$A$1:$BF$1,0))*1,0),
_xlpm._法人検索,IFERROR(INDEX('在庫使用計画 (法人)'!$A$1:$BF$391,MATCH($C20,'在庫使用計画 (法人)'!$C$1:$C$391,0),MATCH(BR$1,'在庫使用計画 (法人)'!$A$1:$BF$1,0))*1,0),
_xlpm._合計,_xlpm._一般検索+_xlpm._法人検索,
IF(_xlpm._合計=0,"",_xlpm._合計)
)</f>
        <v/>
      </c>
      <c r="BS20" s="805" t="str">
        <f>_xlfn.LET(
_xlpm._一般検索,IFERROR(INDEX('在庫使用計画 (一般)'!$A$1:$BF$391,MATCH($C20,'在庫使用計画 (一般)'!$C$1:$C$391,0),MATCH(BS$1,'在庫使用計画 (一般)'!$A$1:$BF$1,0))*1,0),
_xlpm._法人検索,IFERROR(INDEX('在庫使用計画 (法人)'!$A$1:$BF$391,MATCH($C20,'在庫使用計画 (法人)'!$C$1:$C$391,0),MATCH(BS$1,'在庫使用計画 (法人)'!$A$1:$BF$1,0))*1,0),
_xlpm._合計,_xlpm._一般検索+_xlpm._法人検索,
IF(_xlpm._合計=0,"",_xlpm._合計)
)</f>
        <v/>
      </c>
      <c r="BT20" s="70"/>
    </row>
    <row r="21" spans="1:72" customFormat="1" ht="18.75" customHeight="1">
      <c r="A21" s="1060" t="s">
        <v>1633</v>
      </c>
      <c r="B21" s="26" t="str">
        <v>TFH-E-13420H-3050-L6</v>
      </c>
      <c r="C21" s="55" t="s">
        <v>347</v>
      </c>
      <c r="D21" s="2156">
        <v>506</v>
      </c>
      <c r="E21" s="26" t="s">
        <v>1369</v>
      </c>
      <c r="F21" s="68"/>
      <c r="G21" s="74">
        <v>5</v>
      </c>
      <c r="H21" s="38">
        <v>5</v>
      </c>
      <c r="I21" s="38" cm="1">
        <f t="array" ref="I21">IF($C21="","",
_xlfn.LET(
  _xlpm._見出し,$A$1:$BT$1,
  _xlpm._行,$A21:$BT21,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0</v>
      </c>
      <c r="J21" s="74" cm="1">
        <f t="array" ref="J21">_xlfn.LET(
  _xlpm._見出し,$A$1:$BS$1,
  _xlpm._行,$A21:$BS21,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IF($C21="","",_xlpm._四点五月計画合計)
)</f>
        <v>0</v>
      </c>
      <c r="K21" s="1458" t="str" cm="1">
        <f t="array" ref="K21">_xlfn.IFS(
  $C21="","",
  $G21="","発売前？",
  $G21=0,"在庫無し",
  TRUE,
  IFERROR(
    _xlfn.LET(
      _xlpm._在庫注残,     $G21,
      _xlpm._しきい値,     _xlpm._在庫注残 * 0.75,
      _xlpm._見出し元,     $L$1:$BU$1,
      _xlpm._計画,         $L21:$BU21,
      _xlpm._最新実績日,       基準データ!$C$5,
      _xlpm._今月1日,      EOMONTH(_xlpm._最新実績日, -1) + 1,
      _xlpm._月末日,       EOMONTH(_xlpm._最新実績日, 0),
      _xlpm._今月位置,     _xlfn.XMATCH(_xlpm._今月1日, _xlpm._見出し元),
      _xlpm._今月計画按分, N(INDEX(_xlpm._計画, 1, _xlpm._今月位置))
                      * (_xlpm._月末日 - _xlpm._最新実績日)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計画なし</v>
      </c>
      <c r="L21" s="472"/>
      <c r="M21" s="472"/>
      <c r="N21" s="472"/>
      <c r="O21" s="472"/>
      <c r="P21" s="472"/>
      <c r="Q21" s="472"/>
      <c r="R21" s="472"/>
      <c r="S21" s="472"/>
      <c r="T21" s="473"/>
      <c r="U21" s="473"/>
      <c r="V21" s="473"/>
      <c r="W21" s="473"/>
      <c r="X21" s="224" t="s">
        <v>21</v>
      </c>
      <c r="Y21" s="224" t="s">
        <v>21</v>
      </c>
      <c r="Z21" s="224" t="s">
        <v>21</v>
      </c>
      <c r="AA21" s="237" t="s">
        <v>21</v>
      </c>
      <c r="AB21" s="224" t="s">
        <v>21</v>
      </c>
      <c r="AC21" s="224" t="s">
        <v>21</v>
      </c>
      <c r="AD21" s="224" t="s">
        <v>21</v>
      </c>
      <c r="AE21" s="224">
        <v>40</v>
      </c>
      <c r="AF21" s="224">
        <v>15</v>
      </c>
      <c r="AG21" s="224">
        <v>25</v>
      </c>
      <c r="AH21" s="224">
        <v>85</v>
      </c>
      <c r="AI21" s="237">
        <v>169</v>
      </c>
      <c r="AJ21" s="804">
        <v>13</v>
      </c>
      <c r="AK21" s="224">
        <v>105</v>
      </c>
      <c r="AL21" s="224">
        <v>304</v>
      </c>
      <c r="AM21" s="224">
        <v>197</v>
      </c>
      <c r="AN21" s="224" t="str">
        <f>_xlfn.LET(
_xlpm._一般検索,IFERROR(INDEX('在庫使用計画 (一般)'!$A$1:$BF$391,MATCH($C21,'在庫使用計画 (一般)'!$C$1:$C$391,0),MATCH(AN$1,'在庫使用計画 (一般)'!$A$1:$BF$1,0))*1,0),
_xlpm._法人検索,IFERROR(INDEX('在庫使用計画 (法人)'!$A$1:$BF$391,MATCH($C21,'在庫使用計画 (法人)'!$C$1:$C$391,0),MATCH(AN$1,'在庫使用計画 (法人)'!$A$1:$BF$1,0))*1,0),
_xlpm._合計,_xlpm._一般検索+_xlpm._法人検索,
IF(_xlpm._合計=0,"",_xlpm._合計)
)</f>
        <v/>
      </c>
      <c r="AO21" s="224" t="str">
        <f>_xlfn.LET(
_xlpm._一般検索,IFERROR(INDEX('在庫使用計画 (一般)'!$A$1:$BF$391,MATCH($C21,'在庫使用計画 (一般)'!$C$1:$C$391,0),MATCH(AO$1,'在庫使用計画 (一般)'!$A$1:$BF$1,0))*1,0),
_xlpm._法人検索,IFERROR(INDEX('在庫使用計画 (法人)'!$A$1:$BF$391,MATCH($C21,'在庫使用計画 (法人)'!$C$1:$C$391,0),MATCH(AO$1,'在庫使用計画 (法人)'!$A$1:$BF$1,0))*1,0),
_xlpm._合計,_xlpm._一般検索+_xlpm._法人検索,
IF(_xlpm._合計=0,"",_xlpm._合計)
)</f>
        <v/>
      </c>
      <c r="AP21" s="224" t="str">
        <f>_xlfn.LET(
_xlpm._一般検索,IFERROR(INDEX('在庫使用計画 (一般)'!$A$1:$BF$391,MATCH($C21,'在庫使用計画 (一般)'!$C$1:$C$391,0),MATCH(AP$1,'在庫使用計画 (一般)'!$A$1:$BF$1,0))*1,0),
_xlpm._法人検索,IFERROR(INDEX('在庫使用計画 (法人)'!$A$1:$BF$391,MATCH($C21,'在庫使用計画 (法人)'!$C$1:$C$391,0),MATCH(AP$1,'在庫使用計画 (法人)'!$A$1:$BF$1,0))*1,0),
_xlpm._合計,_xlpm._一般検索+_xlpm._法人検索,
IF(_xlpm._合計=0,"",_xlpm._合計)
)</f>
        <v/>
      </c>
      <c r="AQ21" s="224" t="str">
        <f>_xlfn.LET(
_xlpm._一般検索,IFERROR(INDEX('在庫使用計画 (一般)'!$A$1:$BF$391,MATCH($C21,'在庫使用計画 (一般)'!$C$1:$C$391,0),MATCH(AQ$1,'在庫使用計画 (一般)'!$A$1:$BF$1,0))*1,0),
_xlpm._法人検索,IFERROR(INDEX('在庫使用計画 (法人)'!$A$1:$BF$391,MATCH($C21,'在庫使用計画 (法人)'!$C$1:$C$391,0),MATCH(AQ$1,'在庫使用計画 (法人)'!$A$1:$BF$1,0))*1,0),
_xlpm._合計,_xlpm._一般検索+_xlpm._法人検索,
IF(_xlpm._合計=0,"",_xlpm._合計)
)</f>
        <v/>
      </c>
      <c r="AR21" s="224" t="str">
        <f>_xlfn.LET(
_xlpm._一般検索,IFERROR(INDEX('在庫使用計画 (一般)'!$A$1:$BF$391,MATCH($C21,'在庫使用計画 (一般)'!$C$1:$C$391,0),MATCH(AR$1,'在庫使用計画 (一般)'!$A$1:$BF$1,0))*1,0),
_xlpm._法人検索,IFERROR(INDEX('在庫使用計画 (法人)'!$A$1:$BF$391,MATCH($C21,'在庫使用計画 (法人)'!$C$1:$C$391,0),MATCH(AR$1,'在庫使用計画 (法人)'!$A$1:$BF$1,0))*1,0),
_xlpm._合計,_xlpm._一般検索+_xlpm._法人検索,
IF(_xlpm._合計=0,"",_xlpm._合計)
)</f>
        <v/>
      </c>
      <c r="AS21" s="224" t="str">
        <f>_xlfn.LET(
_xlpm._一般検索,IFERROR(INDEX('在庫使用計画 (一般)'!$A$1:$BF$391,MATCH($C21,'在庫使用計画 (一般)'!$C$1:$C$391,0),MATCH(AS$1,'在庫使用計画 (一般)'!$A$1:$BF$1,0))*1,0),
_xlpm._法人検索,IFERROR(INDEX('在庫使用計画 (法人)'!$A$1:$BF$391,MATCH($C21,'在庫使用計画 (法人)'!$C$1:$C$391,0),MATCH(AS$1,'在庫使用計画 (法人)'!$A$1:$BF$1,0))*1,0),
_xlpm._合計,_xlpm._一般検索+_xlpm._法人検索,
IF(_xlpm._合計=0,"",_xlpm._合計)
)</f>
        <v/>
      </c>
      <c r="AT21" s="224" t="str">
        <f>_xlfn.LET(
_xlpm._一般検索,IFERROR(INDEX('在庫使用計画 (一般)'!$A$1:$BF$391,MATCH($C21,'在庫使用計画 (一般)'!$C$1:$C$391,0),MATCH(AT$1,'在庫使用計画 (一般)'!$A$1:$BF$1,0))*1,0),
_xlpm._法人検索,IFERROR(INDEX('在庫使用計画 (法人)'!$A$1:$BF$391,MATCH($C21,'在庫使用計画 (法人)'!$C$1:$C$391,0),MATCH(AT$1,'在庫使用計画 (法人)'!$A$1:$BF$1,0))*1,0),
_xlpm._合計,_xlpm._一般検索+_xlpm._法人検索,
IF(_xlpm._合計=0,"",_xlpm._合計)
)</f>
        <v/>
      </c>
      <c r="AU21" s="805" t="str">
        <f>_xlfn.LET(
_xlpm._一般検索,IFERROR(INDEX('在庫使用計画 (一般)'!$A$1:$BF$391,MATCH($C21,'在庫使用計画 (一般)'!$C$1:$C$391,0),MATCH(AU$1,'在庫使用計画 (一般)'!$A$1:$BF$1,0))*1,0),
_xlpm._法人検索,IFERROR(INDEX('在庫使用計画 (法人)'!$A$1:$BF$391,MATCH($C21,'在庫使用計画 (法人)'!$C$1:$C$391,0),MATCH(AU$1,'在庫使用計画 (法人)'!$A$1:$BF$1,0))*1,0),
_xlpm._合計,_xlpm._一般検索+_xlpm._法人検索,
IF(_xlpm._合計=0,"",_xlpm._合計)
)</f>
        <v/>
      </c>
      <c r="AV21" s="244" t="str">
        <f>_xlfn.LET(
_xlpm._一般検索,IFERROR(INDEX('在庫使用計画 (一般)'!$A$1:$BF$391,MATCH($C21,'在庫使用計画 (一般)'!$C$1:$C$391,0),MATCH(AV$1,'在庫使用計画 (一般)'!$A$1:$BF$1,0))*1,0),
_xlpm._法人検索,IFERROR(INDEX('在庫使用計画 (法人)'!$A$1:$BF$391,MATCH($C21,'在庫使用計画 (法人)'!$C$1:$C$391,0),MATCH(AV$1,'在庫使用計画 (法人)'!$A$1:$BF$1,0))*1,0),
_xlpm._合計,_xlpm._一般検索+_xlpm._法人検索,
IF(_xlpm._合計=0,"",_xlpm._合計)
)</f>
        <v/>
      </c>
      <c r="AW21" s="224" t="str">
        <f>_xlfn.LET(
_xlpm._一般検索,IFERROR(INDEX('在庫使用計画 (一般)'!$A$1:$BF$391,MATCH($C21,'在庫使用計画 (一般)'!$C$1:$C$391,0),MATCH(AW$1,'在庫使用計画 (一般)'!$A$1:$BF$1,0))*1,0),
_xlpm._法人検索,IFERROR(INDEX('在庫使用計画 (法人)'!$A$1:$BF$391,MATCH($C21,'在庫使用計画 (法人)'!$C$1:$C$391,0),MATCH(AW$1,'在庫使用計画 (法人)'!$A$1:$BF$1,0))*1,0),
_xlpm._合計,_xlpm._一般検索+_xlpm._法人検索,
IF(_xlpm._合計=0,"",_xlpm._合計)
)</f>
        <v/>
      </c>
      <c r="AX21" s="224" t="str">
        <f>_xlfn.LET(
_xlpm._一般検索,IFERROR(INDEX('在庫使用計画 (一般)'!$A$1:$BF$391,MATCH($C21,'在庫使用計画 (一般)'!$C$1:$C$391,0),MATCH(AX$1,'在庫使用計画 (一般)'!$A$1:$BF$1,0))*1,0),
_xlpm._法人検索,IFERROR(INDEX('在庫使用計画 (法人)'!$A$1:$BF$391,MATCH($C21,'在庫使用計画 (法人)'!$C$1:$C$391,0),MATCH(AX$1,'在庫使用計画 (法人)'!$A$1:$BF$1,0))*1,0),
_xlpm._合計,_xlpm._一般検索+_xlpm._法人検索,
IF(_xlpm._合計=0,"",_xlpm._合計)
)</f>
        <v/>
      </c>
      <c r="AY21" s="224" t="str">
        <f>_xlfn.LET(
_xlpm._一般検索,IFERROR(INDEX('在庫使用計画 (一般)'!$A$1:$BF$391,MATCH($C21,'在庫使用計画 (一般)'!$C$1:$C$391,0),MATCH(AY$1,'在庫使用計画 (一般)'!$A$1:$BF$1,0))*1,0),
_xlpm._法人検索,IFERROR(INDEX('在庫使用計画 (法人)'!$A$1:$BF$391,MATCH($C21,'在庫使用計画 (法人)'!$C$1:$C$391,0),MATCH(AY$1,'在庫使用計画 (法人)'!$A$1:$BF$1,0))*1,0),
_xlpm._合計,_xlpm._一般検索+_xlpm._法人検索,
IF(_xlpm._合計=0,"",_xlpm._合計)
)</f>
        <v/>
      </c>
      <c r="AZ21" s="224" t="str">
        <f>_xlfn.LET(
_xlpm._一般検索,IFERROR(INDEX('在庫使用計画 (一般)'!$A$1:$BF$391,MATCH($C21,'在庫使用計画 (一般)'!$C$1:$C$391,0),MATCH(AZ$1,'在庫使用計画 (一般)'!$A$1:$BF$1,0))*1,0),
_xlpm._法人検索,IFERROR(INDEX('在庫使用計画 (法人)'!$A$1:$BF$391,MATCH($C21,'在庫使用計画 (法人)'!$C$1:$C$391,0),MATCH(AZ$1,'在庫使用計画 (法人)'!$A$1:$BF$1,0))*1,0),
_xlpm._合計,_xlpm._一般検索+_xlpm._法人検索,
IF(_xlpm._合計=0,"",_xlpm._合計)
)</f>
        <v/>
      </c>
      <c r="BA21" s="224" t="str">
        <f>_xlfn.LET(
_xlpm._一般検索,IFERROR(INDEX('在庫使用計画 (一般)'!$A$1:$BF$391,MATCH($C21,'在庫使用計画 (一般)'!$C$1:$C$391,0),MATCH(BA$1,'在庫使用計画 (一般)'!$A$1:$BF$1,0))*1,0),
_xlpm._法人検索,IFERROR(INDEX('在庫使用計画 (法人)'!$A$1:$BF$391,MATCH($C21,'在庫使用計画 (法人)'!$C$1:$C$391,0),MATCH(BA$1,'在庫使用計画 (法人)'!$A$1:$BF$1,0))*1,0),
_xlpm._合計,_xlpm._一般検索+_xlpm._法人検索,
IF(_xlpm._合計=0,"",_xlpm._合計)
)</f>
        <v/>
      </c>
      <c r="BB21" s="224" t="str">
        <f>_xlfn.LET(
_xlpm._一般検索,IFERROR(INDEX('在庫使用計画 (一般)'!$A$1:$BF$391,MATCH($C21,'在庫使用計画 (一般)'!$C$1:$C$391,0),MATCH(BB$1,'在庫使用計画 (一般)'!$A$1:$BF$1,0))*1,0),
_xlpm._法人検索,IFERROR(INDEX('在庫使用計画 (法人)'!$A$1:$BF$391,MATCH($C21,'在庫使用計画 (法人)'!$C$1:$C$391,0),MATCH(BB$1,'在庫使用計画 (法人)'!$A$1:$BF$1,0))*1,0),
_xlpm._合計,_xlpm._一般検索+_xlpm._法人検索,
IF(_xlpm._合計=0,"",_xlpm._合計)
)</f>
        <v/>
      </c>
      <c r="BC21" s="224" t="str">
        <f>_xlfn.LET(
_xlpm._一般検索,IFERROR(INDEX('在庫使用計画 (一般)'!$A$1:$BF$391,MATCH($C21,'在庫使用計画 (一般)'!$C$1:$C$391,0),MATCH(BC$1,'在庫使用計画 (一般)'!$A$1:$BF$1,0))*1,0),
_xlpm._法人検索,IFERROR(INDEX('在庫使用計画 (法人)'!$A$1:$BF$391,MATCH($C21,'在庫使用計画 (法人)'!$C$1:$C$391,0),MATCH(BC$1,'在庫使用計画 (法人)'!$A$1:$BF$1,0))*1,0),
_xlpm._合計,_xlpm._一般検索+_xlpm._法人検索,
IF(_xlpm._合計=0,"",_xlpm._合計)
)</f>
        <v/>
      </c>
      <c r="BD21" s="224" t="str">
        <f>_xlfn.LET(
_xlpm._一般検索,IFERROR(INDEX('在庫使用計画 (一般)'!$A$1:$BF$391,MATCH($C21,'在庫使用計画 (一般)'!$C$1:$C$391,0),MATCH(BD$1,'在庫使用計画 (一般)'!$A$1:$BF$1,0))*1,0),
_xlpm._法人検索,IFERROR(INDEX('在庫使用計画 (法人)'!$A$1:$BF$391,MATCH($C21,'在庫使用計画 (法人)'!$C$1:$C$391,0),MATCH(BD$1,'在庫使用計画 (法人)'!$A$1:$BF$1,0))*1,0),
_xlpm._合計,_xlpm._一般検索+_xlpm._法人検索,
IF(_xlpm._合計=0,"",_xlpm._合計)
)</f>
        <v/>
      </c>
      <c r="BE21" s="224" t="str">
        <f>_xlfn.LET(
_xlpm._一般検索,IFERROR(INDEX('在庫使用計画 (一般)'!$A$1:$BF$391,MATCH($C21,'在庫使用計画 (一般)'!$C$1:$C$391,0),MATCH(BE$1,'在庫使用計画 (一般)'!$A$1:$BF$1,0))*1,0),
_xlpm._法人検索,IFERROR(INDEX('在庫使用計画 (法人)'!$A$1:$BF$391,MATCH($C21,'在庫使用計画 (法人)'!$C$1:$C$391,0),MATCH(BE$1,'在庫使用計画 (法人)'!$A$1:$BF$1,0))*1,0),
_xlpm._合計,_xlpm._一般検索+_xlpm._法人検索,
IF(_xlpm._合計=0,"",_xlpm._合計)
)</f>
        <v/>
      </c>
      <c r="BF21" s="224" t="str">
        <f>_xlfn.LET(
_xlpm._一般検索,IFERROR(INDEX('在庫使用計画 (一般)'!$A$1:$BF$391,MATCH($C21,'在庫使用計画 (一般)'!$C$1:$C$391,0),MATCH(BF$1,'在庫使用計画 (一般)'!$A$1:$BF$1,0))*1,0),
_xlpm._法人検索,IFERROR(INDEX('在庫使用計画 (法人)'!$A$1:$BF$391,MATCH($C21,'在庫使用計画 (法人)'!$C$1:$C$391,0),MATCH(BF$1,'在庫使用計画 (法人)'!$A$1:$BF$1,0))*1,0),
_xlpm._合計,_xlpm._一般検索+_xlpm._法人検索,
IF(_xlpm._合計=0,"",_xlpm._合計)
)</f>
        <v/>
      </c>
      <c r="BG21" s="237" t="str">
        <f>_xlfn.LET(
_xlpm._一般検索,IFERROR(INDEX('在庫使用計画 (一般)'!$A$1:$BF$391,MATCH($C21,'在庫使用計画 (一般)'!$C$1:$C$391,0),MATCH(BG$1,'在庫使用計画 (一般)'!$A$1:$BF$1,0))*1,0),
_xlpm._法人検索,IFERROR(INDEX('在庫使用計画 (法人)'!$A$1:$BF$391,MATCH($C21,'在庫使用計画 (法人)'!$C$1:$C$391,0),MATCH(BG$1,'在庫使用計画 (法人)'!$A$1:$BF$1,0))*1,0),
_xlpm._合計,_xlpm._一般検索+_xlpm._法人検索,
IF(_xlpm._合計=0,"",_xlpm._合計)
)</f>
        <v/>
      </c>
      <c r="BH21" s="804" t="str">
        <f>_xlfn.LET(
_xlpm._一般検索,IFERROR(INDEX('在庫使用計画 (一般)'!$A$1:$BF$391,MATCH($C21,'在庫使用計画 (一般)'!$C$1:$C$391,0),MATCH(BH$1,'在庫使用計画 (一般)'!$A$1:$BF$1,0))*1,0),
_xlpm._法人検索,IFERROR(INDEX('在庫使用計画 (法人)'!$A$1:$BF$391,MATCH($C21,'在庫使用計画 (法人)'!$C$1:$C$391,0),MATCH(BH$1,'在庫使用計画 (法人)'!$A$1:$BF$1,0))*1,0),
_xlpm._合計,_xlpm._一般検索+_xlpm._法人検索,
IF(_xlpm._合計=0,"",_xlpm._合計)
)</f>
        <v/>
      </c>
      <c r="BI21" s="224" t="str">
        <f>_xlfn.LET(
_xlpm._一般検索,IFERROR(INDEX('在庫使用計画 (一般)'!$A$1:$BF$391,MATCH($C21,'在庫使用計画 (一般)'!$C$1:$C$391,0),MATCH(BI$1,'在庫使用計画 (一般)'!$A$1:$BF$1,0))*1,0),
_xlpm._法人検索,IFERROR(INDEX('在庫使用計画 (法人)'!$A$1:$BF$391,MATCH($C21,'在庫使用計画 (法人)'!$C$1:$C$391,0),MATCH(BI$1,'在庫使用計画 (法人)'!$A$1:$BF$1,0))*1,0),
_xlpm._合計,_xlpm._一般検索+_xlpm._法人検索,
IF(_xlpm._合計=0,"",_xlpm._合計)
)</f>
        <v/>
      </c>
      <c r="BJ21" s="224" t="str">
        <f>_xlfn.LET(
_xlpm._一般検索,IFERROR(INDEX('在庫使用計画 (一般)'!$A$1:$BF$391,MATCH($C21,'在庫使用計画 (一般)'!$C$1:$C$391,0),MATCH(BJ$1,'在庫使用計画 (一般)'!$A$1:$BF$1,0))*1,0),
_xlpm._法人検索,IFERROR(INDEX('在庫使用計画 (法人)'!$A$1:$BF$391,MATCH($C21,'在庫使用計画 (法人)'!$C$1:$C$391,0),MATCH(BJ$1,'在庫使用計画 (法人)'!$A$1:$BF$1,0))*1,0),
_xlpm._合計,_xlpm._一般検索+_xlpm._法人検索,
IF(_xlpm._合計=0,"",_xlpm._合計)
)</f>
        <v/>
      </c>
      <c r="BK21" s="224" t="str">
        <f>_xlfn.LET(
_xlpm._一般検索,IFERROR(INDEX('在庫使用計画 (一般)'!$A$1:$BF$391,MATCH($C21,'在庫使用計画 (一般)'!$C$1:$C$391,0),MATCH(BK$1,'在庫使用計画 (一般)'!$A$1:$BF$1,0))*1,0),
_xlpm._法人検索,IFERROR(INDEX('在庫使用計画 (法人)'!$A$1:$BF$391,MATCH($C21,'在庫使用計画 (法人)'!$C$1:$C$391,0),MATCH(BK$1,'在庫使用計画 (法人)'!$A$1:$BF$1,0))*1,0),
_xlpm._合計,_xlpm._一般検索+_xlpm._法人検索,
IF(_xlpm._合計=0,"",_xlpm._合計)
)</f>
        <v/>
      </c>
      <c r="BL21" s="224" t="str">
        <f>_xlfn.LET(
_xlpm._一般検索,IFERROR(INDEX('在庫使用計画 (一般)'!$A$1:$BF$391,MATCH($C21,'在庫使用計画 (一般)'!$C$1:$C$391,0),MATCH(BL$1,'在庫使用計画 (一般)'!$A$1:$BF$1,0))*1,0),
_xlpm._法人検索,IFERROR(INDEX('在庫使用計画 (法人)'!$A$1:$BF$391,MATCH($C21,'在庫使用計画 (法人)'!$C$1:$C$391,0),MATCH(BL$1,'在庫使用計画 (法人)'!$A$1:$BF$1,0))*1,0),
_xlpm._合計,_xlpm._一般検索+_xlpm._法人検索,
IF(_xlpm._合計=0,"",_xlpm._合計)
)</f>
        <v/>
      </c>
      <c r="BM21" s="224" t="str">
        <f>_xlfn.LET(
_xlpm._一般検索,IFERROR(INDEX('在庫使用計画 (一般)'!$A$1:$BF$391,MATCH($C21,'在庫使用計画 (一般)'!$C$1:$C$391,0),MATCH(BM$1,'在庫使用計画 (一般)'!$A$1:$BF$1,0))*1,0),
_xlpm._法人検索,IFERROR(INDEX('在庫使用計画 (法人)'!$A$1:$BF$391,MATCH($C21,'在庫使用計画 (法人)'!$C$1:$C$391,0),MATCH(BM$1,'在庫使用計画 (法人)'!$A$1:$BF$1,0))*1,0),
_xlpm._合計,_xlpm._一般検索+_xlpm._法人検索,
IF(_xlpm._合計=0,"",_xlpm._合計)
)</f>
        <v/>
      </c>
      <c r="BN21" s="224" t="str">
        <f>_xlfn.LET(
_xlpm._一般検索,IFERROR(INDEX('在庫使用計画 (一般)'!$A$1:$BF$391,MATCH($C21,'在庫使用計画 (一般)'!$C$1:$C$391,0),MATCH(BN$1,'在庫使用計画 (一般)'!$A$1:$BF$1,0))*1,0),
_xlpm._法人検索,IFERROR(INDEX('在庫使用計画 (法人)'!$A$1:$BF$391,MATCH($C21,'在庫使用計画 (法人)'!$C$1:$C$391,0),MATCH(BN$1,'在庫使用計画 (法人)'!$A$1:$BF$1,0))*1,0),
_xlpm._合計,_xlpm._一般検索+_xlpm._法人検索,
IF(_xlpm._合計=0,"",_xlpm._合計)
)</f>
        <v/>
      </c>
      <c r="BO21" s="224" t="str">
        <f>_xlfn.LET(
_xlpm._一般検索,IFERROR(INDEX('在庫使用計画 (一般)'!$A$1:$BF$391,MATCH($C21,'在庫使用計画 (一般)'!$C$1:$C$391,0),MATCH(BO$1,'在庫使用計画 (一般)'!$A$1:$BF$1,0))*1,0),
_xlpm._法人検索,IFERROR(INDEX('在庫使用計画 (法人)'!$A$1:$BF$391,MATCH($C21,'在庫使用計画 (法人)'!$C$1:$C$391,0),MATCH(BO$1,'在庫使用計画 (法人)'!$A$1:$BF$1,0))*1,0),
_xlpm._合計,_xlpm._一般検索+_xlpm._法人検索,
IF(_xlpm._合計=0,"",_xlpm._合計)
)</f>
        <v/>
      </c>
      <c r="BP21" s="224" t="str">
        <f>_xlfn.LET(
_xlpm._一般検索,IFERROR(INDEX('在庫使用計画 (一般)'!$A$1:$BF$391,MATCH($C21,'在庫使用計画 (一般)'!$C$1:$C$391,0),MATCH(BP$1,'在庫使用計画 (一般)'!$A$1:$BF$1,0))*1,0),
_xlpm._法人検索,IFERROR(INDEX('在庫使用計画 (法人)'!$A$1:$BF$391,MATCH($C21,'在庫使用計画 (法人)'!$C$1:$C$391,0),MATCH(BP$1,'在庫使用計画 (法人)'!$A$1:$BF$1,0))*1,0),
_xlpm._合計,_xlpm._一般検索+_xlpm._法人検索,
IF(_xlpm._合計=0,"",_xlpm._合計)
)</f>
        <v/>
      </c>
      <c r="BQ21" s="224" t="str">
        <f>_xlfn.LET(
_xlpm._一般検索,IFERROR(INDEX('在庫使用計画 (一般)'!$A$1:$BF$391,MATCH($C21,'在庫使用計画 (一般)'!$C$1:$C$391,0),MATCH(BQ$1,'在庫使用計画 (一般)'!$A$1:$BF$1,0))*1,0),
_xlpm._法人検索,IFERROR(INDEX('在庫使用計画 (法人)'!$A$1:$BF$391,MATCH($C21,'在庫使用計画 (法人)'!$C$1:$C$391,0),MATCH(BQ$1,'在庫使用計画 (法人)'!$A$1:$BF$1,0))*1,0),
_xlpm._合計,_xlpm._一般検索+_xlpm._法人検索,
IF(_xlpm._合計=0,"",_xlpm._合計)
)</f>
        <v/>
      </c>
      <c r="BR21" s="224" t="str">
        <f>_xlfn.LET(
_xlpm._一般検索,IFERROR(INDEX('在庫使用計画 (一般)'!$A$1:$BF$391,MATCH($C21,'在庫使用計画 (一般)'!$C$1:$C$391,0),MATCH(BR$1,'在庫使用計画 (一般)'!$A$1:$BF$1,0))*1,0),
_xlpm._法人検索,IFERROR(INDEX('在庫使用計画 (法人)'!$A$1:$BF$391,MATCH($C21,'在庫使用計画 (法人)'!$C$1:$C$391,0),MATCH(BR$1,'在庫使用計画 (法人)'!$A$1:$BF$1,0))*1,0),
_xlpm._合計,_xlpm._一般検索+_xlpm._法人検索,
IF(_xlpm._合計=0,"",_xlpm._合計)
)</f>
        <v/>
      </c>
      <c r="BS21" s="805" t="str">
        <f>_xlfn.LET(
_xlpm._一般検索,IFERROR(INDEX('在庫使用計画 (一般)'!$A$1:$BF$391,MATCH($C21,'在庫使用計画 (一般)'!$C$1:$C$391,0),MATCH(BS$1,'在庫使用計画 (一般)'!$A$1:$BF$1,0))*1,0),
_xlpm._法人検索,IFERROR(INDEX('在庫使用計画 (法人)'!$A$1:$BF$391,MATCH($C21,'在庫使用計画 (法人)'!$C$1:$C$391,0),MATCH(BS$1,'在庫使用計画 (法人)'!$A$1:$BF$1,0))*1,0),
_xlpm._合計,_xlpm._一般検索+_xlpm._法人検索,
IF(_xlpm._合計=0,"",_xlpm._合計)
)</f>
        <v/>
      </c>
      <c r="BT21" s="70"/>
    </row>
    <row r="22" spans="1:72" customFormat="1" ht="18.75" customHeight="1">
      <c r="A22" s="1060" t="s">
        <v>1633</v>
      </c>
      <c r="B22" s="26" t="str">
        <v>TFH-E-12450H-3050-L6</v>
      </c>
      <c r="C22" s="55" t="s">
        <v>342</v>
      </c>
      <c r="D22" s="2153">
        <v>680</v>
      </c>
      <c r="E22" s="26" t="s">
        <v>1726</v>
      </c>
      <c r="F22" s="26" t="s">
        <v>1725</v>
      </c>
      <c r="G22" s="74">
        <v>0</v>
      </c>
      <c r="H22" s="38">
        <v>0</v>
      </c>
      <c r="I22" s="38" cm="1">
        <f t="array" ref="I22">IF($C22="","",
_xlfn.LET(
  _xlpm._見出し,$A$1:$BT$1,
  _xlpm._行,$A22:$BT22,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0</v>
      </c>
      <c r="J22" s="74" cm="1">
        <f t="array" ref="J22">_xlfn.LET(
  _xlpm._見出し,$A$1:$BS$1,
  _xlpm._行,$A22:$BS22,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IF($C22="","",_xlpm._四点五月計画合計)
)</f>
        <v>0</v>
      </c>
      <c r="K22" s="1458" t="str" cm="1">
        <f t="array" ref="K22">_xlfn.IFS(
  $C22="","",
  $G22="","発売前？",
  $G22=0,"在庫無し",
  TRUE,
  IFERROR(
    _xlfn.LET(
      _xlpm._在庫注残,     $G22,
      _xlpm._しきい値,     _xlpm._在庫注残 * 0.75,
      _xlpm._見出し元,     $L$1:$BU$1,
      _xlpm._計画,         $L22:$BU22,
      _xlpm._最新実績日,       基準データ!$C$5,
      _xlpm._今月1日,      EOMONTH(_xlpm._最新実績日, -1) + 1,
      _xlpm._月末日,       EOMONTH(_xlpm._最新実績日, 0),
      _xlpm._今月位置,     _xlfn.XMATCH(_xlpm._今月1日, _xlpm._見出し元),
      _xlpm._今月計画按分, N(INDEX(_xlpm._計画, 1, _xlpm._今月位置))
                      * (_xlpm._月末日 - _xlpm._最新実績日)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在庫無し</v>
      </c>
      <c r="L22" s="38">
        <v>605</v>
      </c>
      <c r="M22" s="38">
        <v>410</v>
      </c>
      <c r="N22" s="38">
        <v>610</v>
      </c>
      <c r="O22" s="38">
        <v>75</v>
      </c>
      <c r="P22" s="38">
        <v>256.72002847544093</v>
      </c>
      <c r="Q22" s="38">
        <v>225.81936427978962</v>
      </c>
      <c r="R22" s="38">
        <v>236.92552597845565</v>
      </c>
      <c r="S22" s="38">
        <v>200.47642202118885</v>
      </c>
      <c r="T22" s="219">
        <v>176.82314371325683</v>
      </c>
      <c r="U22" s="219">
        <v>76.848792466394187</v>
      </c>
      <c r="V22" s="219">
        <v>154</v>
      </c>
      <c r="W22" s="219">
        <v>228.56119437554858</v>
      </c>
      <c r="X22" s="224">
        <v>195.94057760277485</v>
      </c>
      <c r="Y22" s="224">
        <v>319</v>
      </c>
      <c r="Z22" s="224">
        <v>52</v>
      </c>
      <c r="AA22" s="237">
        <v>70</v>
      </c>
      <c r="AB22" s="224">
        <v>40</v>
      </c>
      <c r="AC22" s="224">
        <v>30</v>
      </c>
      <c r="AD22" s="224" t="s">
        <v>21</v>
      </c>
      <c r="AE22" s="224" t="s">
        <v>21</v>
      </c>
      <c r="AF22" s="224">
        <v>15</v>
      </c>
      <c r="AG22" s="224">
        <v>15</v>
      </c>
      <c r="AH22" s="224">
        <v>15</v>
      </c>
      <c r="AI22" s="237" t="s">
        <v>21</v>
      </c>
      <c r="AJ22" s="804" t="s">
        <v>21</v>
      </c>
      <c r="AK22" s="224" t="s">
        <v>21</v>
      </c>
      <c r="AL22" s="224" t="s">
        <v>21</v>
      </c>
      <c r="AM22" s="224" t="s">
        <v>21</v>
      </c>
      <c r="AN22" s="224" t="str">
        <f>_xlfn.LET(
_xlpm._一般検索,IFERROR(INDEX('在庫使用計画 (一般)'!$A$1:$BF$391,MATCH($C22,'在庫使用計画 (一般)'!$C$1:$C$391,0),MATCH(AN$1,'在庫使用計画 (一般)'!$A$1:$BF$1,0))*1,0),
_xlpm._法人検索,IFERROR(INDEX('在庫使用計画 (法人)'!$A$1:$BF$391,MATCH($C22,'在庫使用計画 (法人)'!$C$1:$C$391,0),MATCH(AN$1,'在庫使用計画 (法人)'!$A$1:$BF$1,0))*1,0),
_xlpm._合計,_xlpm._一般検索+_xlpm._法人検索,
IF(_xlpm._合計=0,"",_xlpm._合計)
)</f>
        <v/>
      </c>
      <c r="AO22" s="224" t="str">
        <f>_xlfn.LET(
_xlpm._一般検索,IFERROR(INDEX('在庫使用計画 (一般)'!$A$1:$BF$391,MATCH($C22,'在庫使用計画 (一般)'!$C$1:$C$391,0),MATCH(AO$1,'在庫使用計画 (一般)'!$A$1:$BF$1,0))*1,0),
_xlpm._法人検索,IFERROR(INDEX('在庫使用計画 (法人)'!$A$1:$BF$391,MATCH($C22,'在庫使用計画 (法人)'!$C$1:$C$391,0),MATCH(AO$1,'在庫使用計画 (法人)'!$A$1:$BF$1,0))*1,0),
_xlpm._合計,_xlpm._一般検索+_xlpm._法人検索,
IF(_xlpm._合計=0,"",_xlpm._合計)
)</f>
        <v/>
      </c>
      <c r="AP22" s="224" t="str">
        <f>_xlfn.LET(
_xlpm._一般検索,IFERROR(INDEX('在庫使用計画 (一般)'!$A$1:$BF$391,MATCH($C22,'在庫使用計画 (一般)'!$C$1:$C$391,0),MATCH(AP$1,'在庫使用計画 (一般)'!$A$1:$BF$1,0))*1,0),
_xlpm._法人検索,IFERROR(INDEX('在庫使用計画 (法人)'!$A$1:$BF$391,MATCH($C22,'在庫使用計画 (法人)'!$C$1:$C$391,0),MATCH(AP$1,'在庫使用計画 (法人)'!$A$1:$BF$1,0))*1,0),
_xlpm._合計,_xlpm._一般検索+_xlpm._法人検索,
IF(_xlpm._合計=0,"",_xlpm._合計)
)</f>
        <v/>
      </c>
      <c r="AQ22" s="224" t="str">
        <f>_xlfn.LET(
_xlpm._一般検索,IFERROR(INDEX('在庫使用計画 (一般)'!$A$1:$BF$391,MATCH($C22,'在庫使用計画 (一般)'!$C$1:$C$391,0),MATCH(AQ$1,'在庫使用計画 (一般)'!$A$1:$BF$1,0))*1,0),
_xlpm._法人検索,IFERROR(INDEX('在庫使用計画 (法人)'!$A$1:$BF$391,MATCH($C22,'在庫使用計画 (法人)'!$C$1:$C$391,0),MATCH(AQ$1,'在庫使用計画 (法人)'!$A$1:$BF$1,0))*1,0),
_xlpm._合計,_xlpm._一般検索+_xlpm._法人検索,
IF(_xlpm._合計=0,"",_xlpm._合計)
)</f>
        <v/>
      </c>
      <c r="AR22" s="224" t="str">
        <f>_xlfn.LET(
_xlpm._一般検索,IFERROR(INDEX('在庫使用計画 (一般)'!$A$1:$BF$391,MATCH($C22,'在庫使用計画 (一般)'!$C$1:$C$391,0),MATCH(AR$1,'在庫使用計画 (一般)'!$A$1:$BF$1,0))*1,0),
_xlpm._法人検索,IFERROR(INDEX('在庫使用計画 (法人)'!$A$1:$BF$391,MATCH($C22,'在庫使用計画 (法人)'!$C$1:$C$391,0),MATCH(AR$1,'在庫使用計画 (法人)'!$A$1:$BF$1,0))*1,0),
_xlpm._合計,_xlpm._一般検索+_xlpm._法人検索,
IF(_xlpm._合計=0,"",_xlpm._合計)
)</f>
        <v/>
      </c>
      <c r="AS22" s="224" t="str">
        <f>_xlfn.LET(
_xlpm._一般検索,IFERROR(INDEX('在庫使用計画 (一般)'!$A$1:$BF$391,MATCH($C22,'在庫使用計画 (一般)'!$C$1:$C$391,0),MATCH(AS$1,'在庫使用計画 (一般)'!$A$1:$BF$1,0))*1,0),
_xlpm._法人検索,IFERROR(INDEX('在庫使用計画 (法人)'!$A$1:$BF$391,MATCH($C22,'在庫使用計画 (法人)'!$C$1:$C$391,0),MATCH(AS$1,'在庫使用計画 (法人)'!$A$1:$BF$1,0))*1,0),
_xlpm._合計,_xlpm._一般検索+_xlpm._法人検索,
IF(_xlpm._合計=0,"",_xlpm._合計)
)</f>
        <v/>
      </c>
      <c r="AT22" s="224" t="str">
        <f>_xlfn.LET(
_xlpm._一般検索,IFERROR(INDEX('在庫使用計画 (一般)'!$A$1:$BF$391,MATCH($C22,'在庫使用計画 (一般)'!$C$1:$C$391,0),MATCH(AT$1,'在庫使用計画 (一般)'!$A$1:$BF$1,0))*1,0),
_xlpm._法人検索,IFERROR(INDEX('在庫使用計画 (法人)'!$A$1:$BF$391,MATCH($C22,'在庫使用計画 (法人)'!$C$1:$C$391,0),MATCH(AT$1,'在庫使用計画 (法人)'!$A$1:$BF$1,0))*1,0),
_xlpm._合計,_xlpm._一般検索+_xlpm._法人検索,
IF(_xlpm._合計=0,"",_xlpm._合計)
)</f>
        <v/>
      </c>
      <c r="AU22" s="805" t="str">
        <f>_xlfn.LET(
_xlpm._一般検索,IFERROR(INDEX('在庫使用計画 (一般)'!$A$1:$BF$391,MATCH($C22,'在庫使用計画 (一般)'!$C$1:$C$391,0),MATCH(AU$1,'在庫使用計画 (一般)'!$A$1:$BF$1,0))*1,0),
_xlpm._法人検索,IFERROR(INDEX('在庫使用計画 (法人)'!$A$1:$BF$391,MATCH($C22,'在庫使用計画 (法人)'!$C$1:$C$391,0),MATCH(AU$1,'在庫使用計画 (法人)'!$A$1:$BF$1,0))*1,0),
_xlpm._合計,_xlpm._一般検索+_xlpm._法人検索,
IF(_xlpm._合計=0,"",_xlpm._合計)
)</f>
        <v/>
      </c>
      <c r="AV22" s="244" t="str">
        <f>_xlfn.LET(
_xlpm._一般検索,IFERROR(INDEX('在庫使用計画 (一般)'!$A$1:$BF$391,MATCH($C22,'在庫使用計画 (一般)'!$C$1:$C$391,0),MATCH(AV$1,'在庫使用計画 (一般)'!$A$1:$BF$1,0))*1,0),
_xlpm._法人検索,IFERROR(INDEX('在庫使用計画 (法人)'!$A$1:$BF$391,MATCH($C22,'在庫使用計画 (法人)'!$C$1:$C$391,0),MATCH(AV$1,'在庫使用計画 (法人)'!$A$1:$BF$1,0))*1,0),
_xlpm._合計,_xlpm._一般検索+_xlpm._法人検索,
IF(_xlpm._合計=0,"",_xlpm._合計)
)</f>
        <v/>
      </c>
      <c r="AW22" s="224" t="str">
        <f>_xlfn.LET(
_xlpm._一般検索,IFERROR(INDEX('在庫使用計画 (一般)'!$A$1:$BF$391,MATCH($C22,'在庫使用計画 (一般)'!$C$1:$C$391,0),MATCH(AW$1,'在庫使用計画 (一般)'!$A$1:$BF$1,0))*1,0),
_xlpm._法人検索,IFERROR(INDEX('在庫使用計画 (法人)'!$A$1:$BF$391,MATCH($C22,'在庫使用計画 (法人)'!$C$1:$C$391,0),MATCH(AW$1,'在庫使用計画 (法人)'!$A$1:$BF$1,0))*1,0),
_xlpm._合計,_xlpm._一般検索+_xlpm._法人検索,
IF(_xlpm._合計=0,"",_xlpm._合計)
)</f>
        <v/>
      </c>
      <c r="AX22" s="224" t="str">
        <f>_xlfn.LET(
_xlpm._一般検索,IFERROR(INDEX('在庫使用計画 (一般)'!$A$1:$BF$391,MATCH($C22,'在庫使用計画 (一般)'!$C$1:$C$391,0),MATCH(AX$1,'在庫使用計画 (一般)'!$A$1:$BF$1,0))*1,0),
_xlpm._法人検索,IFERROR(INDEX('在庫使用計画 (法人)'!$A$1:$BF$391,MATCH($C22,'在庫使用計画 (法人)'!$C$1:$C$391,0),MATCH(AX$1,'在庫使用計画 (法人)'!$A$1:$BF$1,0))*1,0),
_xlpm._合計,_xlpm._一般検索+_xlpm._法人検索,
IF(_xlpm._合計=0,"",_xlpm._合計)
)</f>
        <v/>
      </c>
      <c r="AY22" s="224" t="str">
        <f>_xlfn.LET(
_xlpm._一般検索,IFERROR(INDEX('在庫使用計画 (一般)'!$A$1:$BF$391,MATCH($C22,'在庫使用計画 (一般)'!$C$1:$C$391,0),MATCH(AY$1,'在庫使用計画 (一般)'!$A$1:$BF$1,0))*1,0),
_xlpm._法人検索,IFERROR(INDEX('在庫使用計画 (法人)'!$A$1:$BF$391,MATCH($C22,'在庫使用計画 (法人)'!$C$1:$C$391,0),MATCH(AY$1,'在庫使用計画 (法人)'!$A$1:$BF$1,0))*1,0),
_xlpm._合計,_xlpm._一般検索+_xlpm._法人検索,
IF(_xlpm._合計=0,"",_xlpm._合計)
)</f>
        <v/>
      </c>
      <c r="AZ22" s="224" t="str">
        <f>_xlfn.LET(
_xlpm._一般検索,IFERROR(INDEX('在庫使用計画 (一般)'!$A$1:$BF$391,MATCH($C22,'在庫使用計画 (一般)'!$C$1:$C$391,0),MATCH(AZ$1,'在庫使用計画 (一般)'!$A$1:$BF$1,0))*1,0),
_xlpm._法人検索,IFERROR(INDEX('在庫使用計画 (法人)'!$A$1:$BF$391,MATCH($C22,'在庫使用計画 (法人)'!$C$1:$C$391,0),MATCH(AZ$1,'在庫使用計画 (法人)'!$A$1:$BF$1,0))*1,0),
_xlpm._合計,_xlpm._一般検索+_xlpm._法人検索,
IF(_xlpm._合計=0,"",_xlpm._合計)
)</f>
        <v/>
      </c>
      <c r="BA22" s="224" t="str">
        <f>_xlfn.LET(
_xlpm._一般検索,IFERROR(INDEX('在庫使用計画 (一般)'!$A$1:$BF$391,MATCH($C22,'在庫使用計画 (一般)'!$C$1:$C$391,0),MATCH(BA$1,'在庫使用計画 (一般)'!$A$1:$BF$1,0))*1,0),
_xlpm._法人検索,IFERROR(INDEX('在庫使用計画 (法人)'!$A$1:$BF$391,MATCH($C22,'在庫使用計画 (法人)'!$C$1:$C$391,0),MATCH(BA$1,'在庫使用計画 (法人)'!$A$1:$BF$1,0))*1,0),
_xlpm._合計,_xlpm._一般検索+_xlpm._法人検索,
IF(_xlpm._合計=0,"",_xlpm._合計)
)</f>
        <v/>
      </c>
      <c r="BB22" s="224" t="str">
        <f>_xlfn.LET(
_xlpm._一般検索,IFERROR(INDEX('在庫使用計画 (一般)'!$A$1:$BF$391,MATCH($C22,'在庫使用計画 (一般)'!$C$1:$C$391,0),MATCH(BB$1,'在庫使用計画 (一般)'!$A$1:$BF$1,0))*1,0),
_xlpm._法人検索,IFERROR(INDEX('在庫使用計画 (法人)'!$A$1:$BF$391,MATCH($C22,'在庫使用計画 (法人)'!$C$1:$C$391,0),MATCH(BB$1,'在庫使用計画 (法人)'!$A$1:$BF$1,0))*1,0),
_xlpm._合計,_xlpm._一般検索+_xlpm._法人検索,
IF(_xlpm._合計=0,"",_xlpm._合計)
)</f>
        <v/>
      </c>
      <c r="BC22" s="224" t="str">
        <f>_xlfn.LET(
_xlpm._一般検索,IFERROR(INDEX('在庫使用計画 (一般)'!$A$1:$BF$391,MATCH($C22,'在庫使用計画 (一般)'!$C$1:$C$391,0),MATCH(BC$1,'在庫使用計画 (一般)'!$A$1:$BF$1,0))*1,0),
_xlpm._法人検索,IFERROR(INDEX('在庫使用計画 (法人)'!$A$1:$BF$391,MATCH($C22,'在庫使用計画 (法人)'!$C$1:$C$391,0),MATCH(BC$1,'在庫使用計画 (法人)'!$A$1:$BF$1,0))*1,0),
_xlpm._合計,_xlpm._一般検索+_xlpm._法人検索,
IF(_xlpm._合計=0,"",_xlpm._合計)
)</f>
        <v/>
      </c>
      <c r="BD22" s="224" t="str">
        <f>_xlfn.LET(
_xlpm._一般検索,IFERROR(INDEX('在庫使用計画 (一般)'!$A$1:$BF$391,MATCH($C22,'在庫使用計画 (一般)'!$C$1:$C$391,0),MATCH(BD$1,'在庫使用計画 (一般)'!$A$1:$BF$1,0))*1,0),
_xlpm._法人検索,IFERROR(INDEX('在庫使用計画 (法人)'!$A$1:$BF$391,MATCH($C22,'在庫使用計画 (法人)'!$C$1:$C$391,0),MATCH(BD$1,'在庫使用計画 (法人)'!$A$1:$BF$1,0))*1,0),
_xlpm._合計,_xlpm._一般検索+_xlpm._法人検索,
IF(_xlpm._合計=0,"",_xlpm._合計)
)</f>
        <v/>
      </c>
      <c r="BE22" s="224" t="str">
        <f>_xlfn.LET(
_xlpm._一般検索,IFERROR(INDEX('在庫使用計画 (一般)'!$A$1:$BF$391,MATCH($C22,'在庫使用計画 (一般)'!$C$1:$C$391,0),MATCH(BE$1,'在庫使用計画 (一般)'!$A$1:$BF$1,0))*1,0),
_xlpm._法人検索,IFERROR(INDEX('在庫使用計画 (法人)'!$A$1:$BF$391,MATCH($C22,'在庫使用計画 (法人)'!$C$1:$C$391,0),MATCH(BE$1,'在庫使用計画 (法人)'!$A$1:$BF$1,0))*1,0),
_xlpm._合計,_xlpm._一般検索+_xlpm._法人検索,
IF(_xlpm._合計=0,"",_xlpm._合計)
)</f>
        <v/>
      </c>
      <c r="BF22" s="224" t="str">
        <f>_xlfn.LET(
_xlpm._一般検索,IFERROR(INDEX('在庫使用計画 (一般)'!$A$1:$BF$391,MATCH($C22,'在庫使用計画 (一般)'!$C$1:$C$391,0),MATCH(BF$1,'在庫使用計画 (一般)'!$A$1:$BF$1,0))*1,0),
_xlpm._法人検索,IFERROR(INDEX('在庫使用計画 (法人)'!$A$1:$BF$391,MATCH($C22,'在庫使用計画 (法人)'!$C$1:$C$391,0),MATCH(BF$1,'在庫使用計画 (法人)'!$A$1:$BF$1,0))*1,0),
_xlpm._合計,_xlpm._一般検索+_xlpm._法人検索,
IF(_xlpm._合計=0,"",_xlpm._合計)
)</f>
        <v/>
      </c>
      <c r="BG22" s="237" t="str">
        <f>_xlfn.LET(
_xlpm._一般検索,IFERROR(INDEX('在庫使用計画 (一般)'!$A$1:$BF$391,MATCH($C22,'在庫使用計画 (一般)'!$C$1:$C$391,0),MATCH(BG$1,'在庫使用計画 (一般)'!$A$1:$BF$1,0))*1,0),
_xlpm._法人検索,IFERROR(INDEX('在庫使用計画 (法人)'!$A$1:$BF$391,MATCH($C22,'在庫使用計画 (法人)'!$C$1:$C$391,0),MATCH(BG$1,'在庫使用計画 (法人)'!$A$1:$BF$1,0))*1,0),
_xlpm._合計,_xlpm._一般検索+_xlpm._法人検索,
IF(_xlpm._合計=0,"",_xlpm._合計)
)</f>
        <v/>
      </c>
      <c r="BH22" s="804" t="str">
        <f>_xlfn.LET(
_xlpm._一般検索,IFERROR(INDEX('在庫使用計画 (一般)'!$A$1:$BF$391,MATCH($C22,'在庫使用計画 (一般)'!$C$1:$C$391,0),MATCH(BH$1,'在庫使用計画 (一般)'!$A$1:$BF$1,0))*1,0),
_xlpm._法人検索,IFERROR(INDEX('在庫使用計画 (法人)'!$A$1:$BF$391,MATCH($C22,'在庫使用計画 (法人)'!$C$1:$C$391,0),MATCH(BH$1,'在庫使用計画 (法人)'!$A$1:$BF$1,0))*1,0),
_xlpm._合計,_xlpm._一般検索+_xlpm._法人検索,
IF(_xlpm._合計=0,"",_xlpm._合計)
)</f>
        <v/>
      </c>
      <c r="BI22" s="224" t="str">
        <f>_xlfn.LET(
_xlpm._一般検索,IFERROR(INDEX('在庫使用計画 (一般)'!$A$1:$BF$391,MATCH($C22,'在庫使用計画 (一般)'!$C$1:$C$391,0),MATCH(BI$1,'在庫使用計画 (一般)'!$A$1:$BF$1,0))*1,0),
_xlpm._法人検索,IFERROR(INDEX('在庫使用計画 (法人)'!$A$1:$BF$391,MATCH($C22,'在庫使用計画 (法人)'!$C$1:$C$391,0),MATCH(BI$1,'在庫使用計画 (法人)'!$A$1:$BF$1,0))*1,0),
_xlpm._合計,_xlpm._一般検索+_xlpm._法人検索,
IF(_xlpm._合計=0,"",_xlpm._合計)
)</f>
        <v/>
      </c>
      <c r="BJ22" s="224" t="str">
        <f>_xlfn.LET(
_xlpm._一般検索,IFERROR(INDEX('在庫使用計画 (一般)'!$A$1:$BF$391,MATCH($C22,'在庫使用計画 (一般)'!$C$1:$C$391,0),MATCH(BJ$1,'在庫使用計画 (一般)'!$A$1:$BF$1,0))*1,0),
_xlpm._法人検索,IFERROR(INDEX('在庫使用計画 (法人)'!$A$1:$BF$391,MATCH($C22,'在庫使用計画 (法人)'!$C$1:$C$391,0),MATCH(BJ$1,'在庫使用計画 (法人)'!$A$1:$BF$1,0))*1,0),
_xlpm._合計,_xlpm._一般検索+_xlpm._法人検索,
IF(_xlpm._合計=0,"",_xlpm._合計)
)</f>
        <v/>
      </c>
      <c r="BK22" s="224" t="str">
        <f>_xlfn.LET(
_xlpm._一般検索,IFERROR(INDEX('在庫使用計画 (一般)'!$A$1:$BF$391,MATCH($C22,'在庫使用計画 (一般)'!$C$1:$C$391,0),MATCH(BK$1,'在庫使用計画 (一般)'!$A$1:$BF$1,0))*1,0),
_xlpm._法人検索,IFERROR(INDEX('在庫使用計画 (法人)'!$A$1:$BF$391,MATCH($C22,'在庫使用計画 (法人)'!$C$1:$C$391,0),MATCH(BK$1,'在庫使用計画 (法人)'!$A$1:$BF$1,0))*1,0),
_xlpm._合計,_xlpm._一般検索+_xlpm._法人検索,
IF(_xlpm._合計=0,"",_xlpm._合計)
)</f>
        <v/>
      </c>
      <c r="BL22" s="224" t="str">
        <f>_xlfn.LET(
_xlpm._一般検索,IFERROR(INDEX('在庫使用計画 (一般)'!$A$1:$BF$391,MATCH($C22,'在庫使用計画 (一般)'!$C$1:$C$391,0),MATCH(BL$1,'在庫使用計画 (一般)'!$A$1:$BF$1,0))*1,0),
_xlpm._法人検索,IFERROR(INDEX('在庫使用計画 (法人)'!$A$1:$BF$391,MATCH($C22,'在庫使用計画 (法人)'!$C$1:$C$391,0),MATCH(BL$1,'在庫使用計画 (法人)'!$A$1:$BF$1,0))*1,0),
_xlpm._合計,_xlpm._一般検索+_xlpm._法人検索,
IF(_xlpm._合計=0,"",_xlpm._合計)
)</f>
        <v/>
      </c>
      <c r="BM22" s="224" t="str">
        <f>_xlfn.LET(
_xlpm._一般検索,IFERROR(INDEX('在庫使用計画 (一般)'!$A$1:$BF$391,MATCH($C22,'在庫使用計画 (一般)'!$C$1:$C$391,0),MATCH(BM$1,'在庫使用計画 (一般)'!$A$1:$BF$1,0))*1,0),
_xlpm._法人検索,IFERROR(INDEX('在庫使用計画 (法人)'!$A$1:$BF$391,MATCH($C22,'在庫使用計画 (法人)'!$C$1:$C$391,0),MATCH(BM$1,'在庫使用計画 (法人)'!$A$1:$BF$1,0))*1,0),
_xlpm._合計,_xlpm._一般検索+_xlpm._法人検索,
IF(_xlpm._合計=0,"",_xlpm._合計)
)</f>
        <v/>
      </c>
      <c r="BN22" s="224" t="str">
        <f>_xlfn.LET(
_xlpm._一般検索,IFERROR(INDEX('在庫使用計画 (一般)'!$A$1:$BF$391,MATCH($C22,'在庫使用計画 (一般)'!$C$1:$C$391,0),MATCH(BN$1,'在庫使用計画 (一般)'!$A$1:$BF$1,0))*1,0),
_xlpm._法人検索,IFERROR(INDEX('在庫使用計画 (法人)'!$A$1:$BF$391,MATCH($C22,'在庫使用計画 (法人)'!$C$1:$C$391,0),MATCH(BN$1,'在庫使用計画 (法人)'!$A$1:$BF$1,0))*1,0),
_xlpm._合計,_xlpm._一般検索+_xlpm._法人検索,
IF(_xlpm._合計=0,"",_xlpm._合計)
)</f>
        <v/>
      </c>
      <c r="BO22" s="224" t="str">
        <f>_xlfn.LET(
_xlpm._一般検索,IFERROR(INDEX('在庫使用計画 (一般)'!$A$1:$BF$391,MATCH($C22,'在庫使用計画 (一般)'!$C$1:$C$391,0),MATCH(BO$1,'在庫使用計画 (一般)'!$A$1:$BF$1,0))*1,0),
_xlpm._法人検索,IFERROR(INDEX('在庫使用計画 (法人)'!$A$1:$BF$391,MATCH($C22,'在庫使用計画 (法人)'!$C$1:$C$391,0),MATCH(BO$1,'在庫使用計画 (法人)'!$A$1:$BF$1,0))*1,0),
_xlpm._合計,_xlpm._一般検索+_xlpm._法人検索,
IF(_xlpm._合計=0,"",_xlpm._合計)
)</f>
        <v/>
      </c>
      <c r="BP22" s="224" t="str">
        <f>_xlfn.LET(
_xlpm._一般検索,IFERROR(INDEX('在庫使用計画 (一般)'!$A$1:$BF$391,MATCH($C22,'在庫使用計画 (一般)'!$C$1:$C$391,0),MATCH(BP$1,'在庫使用計画 (一般)'!$A$1:$BF$1,0))*1,0),
_xlpm._法人検索,IFERROR(INDEX('在庫使用計画 (法人)'!$A$1:$BF$391,MATCH($C22,'在庫使用計画 (法人)'!$C$1:$C$391,0),MATCH(BP$1,'在庫使用計画 (法人)'!$A$1:$BF$1,0))*1,0),
_xlpm._合計,_xlpm._一般検索+_xlpm._法人検索,
IF(_xlpm._合計=0,"",_xlpm._合計)
)</f>
        <v/>
      </c>
      <c r="BQ22" s="224" t="str">
        <f>_xlfn.LET(
_xlpm._一般検索,IFERROR(INDEX('在庫使用計画 (一般)'!$A$1:$BF$391,MATCH($C22,'在庫使用計画 (一般)'!$C$1:$C$391,0),MATCH(BQ$1,'在庫使用計画 (一般)'!$A$1:$BF$1,0))*1,0),
_xlpm._法人検索,IFERROR(INDEX('在庫使用計画 (法人)'!$A$1:$BF$391,MATCH($C22,'在庫使用計画 (法人)'!$C$1:$C$391,0),MATCH(BQ$1,'在庫使用計画 (法人)'!$A$1:$BF$1,0))*1,0),
_xlpm._合計,_xlpm._一般検索+_xlpm._法人検索,
IF(_xlpm._合計=0,"",_xlpm._合計)
)</f>
        <v/>
      </c>
      <c r="BR22" s="224" t="str">
        <f>_xlfn.LET(
_xlpm._一般検索,IFERROR(INDEX('在庫使用計画 (一般)'!$A$1:$BF$391,MATCH($C22,'在庫使用計画 (一般)'!$C$1:$C$391,0),MATCH(BR$1,'在庫使用計画 (一般)'!$A$1:$BF$1,0))*1,0),
_xlpm._法人検索,IFERROR(INDEX('在庫使用計画 (法人)'!$A$1:$BF$391,MATCH($C22,'在庫使用計画 (法人)'!$C$1:$C$391,0),MATCH(BR$1,'在庫使用計画 (法人)'!$A$1:$BF$1,0))*1,0),
_xlpm._合計,_xlpm._一般検索+_xlpm._法人検索,
IF(_xlpm._合計=0,"",_xlpm._合計)
)</f>
        <v/>
      </c>
      <c r="BS22" s="805" t="str">
        <f>_xlfn.LET(
_xlpm._一般検索,IFERROR(INDEX('在庫使用計画 (一般)'!$A$1:$BF$391,MATCH($C22,'在庫使用計画 (一般)'!$C$1:$C$391,0),MATCH(BS$1,'在庫使用計画 (一般)'!$A$1:$BF$1,0))*1,0),
_xlpm._法人検索,IFERROR(INDEX('在庫使用計画 (法人)'!$A$1:$BF$391,MATCH($C22,'在庫使用計画 (法人)'!$C$1:$C$391,0),MATCH(BS$1,'在庫使用計画 (法人)'!$A$1:$BF$1,0))*1,0),
_xlpm._合計,_xlpm._一般検索+_xlpm._法人検索,
IF(_xlpm._合計=0,"",_xlpm._合計)
)</f>
        <v/>
      </c>
      <c r="BT22" s="21"/>
    </row>
    <row r="23" spans="1:72" customFormat="1" ht="18.75" customHeight="1">
      <c r="A23" s="1059"/>
      <c r="B23" s="26" t="str">
        <v/>
      </c>
      <c r="C23" s="26"/>
      <c r="D23" s="2153" t="str">
        <v/>
      </c>
      <c r="E23" s="26"/>
      <c r="F23" s="26"/>
      <c r="G23" s="74" t="str">
        <v/>
      </c>
      <c r="H23" s="38" t="str">
        <v/>
      </c>
      <c r="I23" s="38" t="str" cm="1">
        <f t="array" ref="I23">IF($C23="","",
_xlfn.LET(
  _xlpm._見出し,$A$1:$BT$1,
  _xlpm._行,$A23:$BT23,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
      </c>
      <c r="J23" s="74" t="str" cm="1">
        <f t="array" ref="J23">_xlfn.LET(
  _xlpm._見出し,$A$1:$BS$1,
  _xlpm._行,$A23:$BS23,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IF($C23="","",_xlpm._四点五月計画合計)
)</f>
        <v/>
      </c>
      <c r="K23" s="1458" t="str" cm="1">
        <f t="array" ref="K23">_xlfn.IFS(
  $C23="","",
  $G23="","発売前？",
  $G23=0,"在庫無し",
  TRUE,
  IFERROR(
    _xlfn.LET(
      _xlpm._在庫注残,     $G23,
      _xlpm._しきい値,     _xlpm._在庫注残 * 0.75,
      _xlpm._見出し元,     $L$1:$BU$1,
      _xlpm._計画,         $L23:$BU23,
      _xlpm._最新実績日,       基準データ!$C$5,
      _xlpm._今月1日,      EOMONTH(_xlpm._最新実績日, -1) + 1,
      _xlpm._月末日,       EOMONTH(_xlpm._最新実績日, 0),
      _xlpm._今月位置,     _xlfn.XMATCH(_xlpm._今月1日, _xlpm._見出し元),
      _xlpm._今月計画按分, N(INDEX(_xlpm._計画, 1, _xlpm._今月位置))
                      * (_xlpm._月末日 - _xlpm._最新実績日)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
      </c>
      <c r="L23" s="38"/>
      <c r="M23" s="38"/>
      <c r="N23" s="38"/>
      <c r="O23" s="38"/>
      <c r="P23" s="38"/>
      <c r="Q23" s="38"/>
      <c r="R23" s="38"/>
      <c r="S23" s="38"/>
      <c r="T23" s="219"/>
      <c r="U23" s="219"/>
      <c r="V23" s="219"/>
      <c r="W23" s="219"/>
      <c r="X23" s="224"/>
      <c r="Y23" s="224"/>
      <c r="Z23" s="224"/>
      <c r="AA23" s="237"/>
      <c r="AB23" s="224"/>
      <c r="AC23" s="224" t="s">
        <v>21</v>
      </c>
      <c r="AD23" s="224" t="s">
        <v>21</v>
      </c>
      <c r="AE23" s="224" t="s">
        <v>21</v>
      </c>
      <c r="AF23" s="224" t="s">
        <v>21</v>
      </c>
      <c r="AG23" s="224" t="s">
        <v>21</v>
      </c>
      <c r="AH23" s="224" t="s">
        <v>21</v>
      </c>
      <c r="AI23" s="237" t="s">
        <v>21</v>
      </c>
      <c r="AJ23" s="804" t="s">
        <v>21</v>
      </c>
      <c r="AK23" s="224" t="s">
        <v>21</v>
      </c>
      <c r="AL23" s="224" t="s">
        <v>21</v>
      </c>
      <c r="AM23" s="224" t="s">
        <v>21</v>
      </c>
      <c r="AN23" s="224" t="str">
        <f>_xlfn.LET(
_xlpm._一般検索,IFERROR(INDEX('在庫使用計画 (一般)'!$A$1:$BF$391,MATCH($C23,'在庫使用計画 (一般)'!$C$1:$C$391,0),MATCH(AN$1,'在庫使用計画 (一般)'!$A$1:$BF$1,0))*1,0),
_xlpm._法人検索,IFERROR(INDEX('在庫使用計画 (法人)'!$A$1:$BF$391,MATCH($C23,'在庫使用計画 (法人)'!$C$1:$C$391,0),MATCH(AN$1,'在庫使用計画 (法人)'!$A$1:$BF$1,0))*1,0),
_xlpm._合計,_xlpm._一般検索+_xlpm._法人検索,
IF(_xlpm._合計=0,"",_xlpm._合計)
)</f>
        <v/>
      </c>
      <c r="AO23" s="224" t="str">
        <f>_xlfn.LET(
_xlpm._一般検索,IFERROR(INDEX('在庫使用計画 (一般)'!$A$1:$BF$391,MATCH($C23,'在庫使用計画 (一般)'!$C$1:$C$391,0),MATCH(AO$1,'在庫使用計画 (一般)'!$A$1:$BF$1,0))*1,0),
_xlpm._法人検索,IFERROR(INDEX('在庫使用計画 (法人)'!$A$1:$BF$391,MATCH($C23,'在庫使用計画 (法人)'!$C$1:$C$391,0),MATCH(AO$1,'在庫使用計画 (法人)'!$A$1:$BF$1,0))*1,0),
_xlpm._合計,_xlpm._一般検索+_xlpm._法人検索,
IF(_xlpm._合計=0,"",_xlpm._合計)
)</f>
        <v/>
      </c>
      <c r="AP23" s="224" t="str">
        <f>_xlfn.LET(
_xlpm._一般検索,IFERROR(INDEX('在庫使用計画 (一般)'!$A$1:$BF$391,MATCH($C23,'在庫使用計画 (一般)'!$C$1:$C$391,0),MATCH(AP$1,'在庫使用計画 (一般)'!$A$1:$BF$1,0))*1,0),
_xlpm._法人検索,IFERROR(INDEX('在庫使用計画 (法人)'!$A$1:$BF$391,MATCH($C23,'在庫使用計画 (法人)'!$C$1:$C$391,0),MATCH(AP$1,'在庫使用計画 (法人)'!$A$1:$BF$1,0))*1,0),
_xlpm._合計,_xlpm._一般検索+_xlpm._法人検索,
IF(_xlpm._合計=0,"",_xlpm._合計)
)</f>
        <v/>
      </c>
      <c r="AQ23" s="224" t="str">
        <f>_xlfn.LET(
_xlpm._一般検索,IFERROR(INDEX('在庫使用計画 (一般)'!$A$1:$BF$391,MATCH($C23,'在庫使用計画 (一般)'!$C$1:$C$391,0),MATCH(AQ$1,'在庫使用計画 (一般)'!$A$1:$BF$1,0))*1,0),
_xlpm._法人検索,IFERROR(INDEX('在庫使用計画 (法人)'!$A$1:$BF$391,MATCH($C23,'在庫使用計画 (法人)'!$C$1:$C$391,0),MATCH(AQ$1,'在庫使用計画 (法人)'!$A$1:$BF$1,0))*1,0),
_xlpm._合計,_xlpm._一般検索+_xlpm._法人検索,
IF(_xlpm._合計=0,"",_xlpm._合計)
)</f>
        <v/>
      </c>
      <c r="AR23" s="224" t="str">
        <f>_xlfn.LET(
_xlpm._一般検索,IFERROR(INDEX('在庫使用計画 (一般)'!$A$1:$BF$391,MATCH($C23,'在庫使用計画 (一般)'!$C$1:$C$391,0),MATCH(AR$1,'在庫使用計画 (一般)'!$A$1:$BF$1,0))*1,0),
_xlpm._法人検索,IFERROR(INDEX('在庫使用計画 (法人)'!$A$1:$BF$391,MATCH($C23,'在庫使用計画 (法人)'!$C$1:$C$391,0),MATCH(AR$1,'在庫使用計画 (法人)'!$A$1:$BF$1,0))*1,0),
_xlpm._合計,_xlpm._一般検索+_xlpm._法人検索,
IF(_xlpm._合計=0,"",_xlpm._合計)
)</f>
        <v/>
      </c>
      <c r="AS23" s="224" t="str">
        <f>_xlfn.LET(
_xlpm._一般検索,IFERROR(INDEX('在庫使用計画 (一般)'!$A$1:$BF$391,MATCH($C23,'在庫使用計画 (一般)'!$C$1:$C$391,0),MATCH(AS$1,'在庫使用計画 (一般)'!$A$1:$BF$1,0))*1,0),
_xlpm._法人検索,IFERROR(INDEX('在庫使用計画 (法人)'!$A$1:$BF$391,MATCH($C23,'在庫使用計画 (法人)'!$C$1:$C$391,0),MATCH(AS$1,'在庫使用計画 (法人)'!$A$1:$BF$1,0))*1,0),
_xlpm._合計,_xlpm._一般検索+_xlpm._法人検索,
IF(_xlpm._合計=0,"",_xlpm._合計)
)</f>
        <v/>
      </c>
      <c r="AT23" s="224" t="str">
        <f>_xlfn.LET(
_xlpm._一般検索,IFERROR(INDEX('在庫使用計画 (一般)'!$A$1:$BF$391,MATCH($C23,'在庫使用計画 (一般)'!$C$1:$C$391,0),MATCH(AT$1,'在庫使用計画 (一般)'!$A$1:$BF$1,0))*1,0),
_xlpm._法人検索,IFERROR(INDEX('在庫使用計画 (法人)'!$A$1:$BF$391,MATCH($C23,'在庫使用計画 (法人)'!$C$1:$C$391,0),MATCH(AT$1,'在庫使用計画 (法人)'!$A$1:$BF$1,0))*1,0),
_xlpm._合計,_xlpm._一般検索+_xlpm._法人検索,
IF(_xlpm._合計=0,"",_xlpm._合計)
)</f>
        <v/>
      </c>
      <c r="AU23" s="805" t="str">
        <f>_xlfn.LET(
_xlpm._一般検索,IFERROR(INDEX('在庫使用計画 (一般)'!$A$1:$BF$391,MATCH($C23,'在庫使用計画 (一般)'!$C$1:$C$391,0),MATCH(AU$1,'在庫使用計画 (一般)'!$A$1:$BF$1,0))*1,0),
_xlpm._法人検索,IFERROR(INDEX('在庫使用計画 (法人)'!$A$1:$BF$391,MATCH($C23,'在庫使用計画 (法人)'!$C$1:$C$391,0),MATCH(AU$1,'在庫使用計画 (法人)'!$A$1:$BF$1,0))*1,0),
_xlpm._合計,_xlpm._一般検索+_xlpm._法人検索,
IF(_xlpm._合計=0,"",_xlpm._合計)
)</f>
        <v/>
      </c>
      <c r="AV23" s="244" t="str">
        <f>_xlfn.LET(
_xlpm._一般検索,IFERROR(INDEX('在庫使用計画 (一般)'!$A$1:$BF$391,MATCH($C23,'在庫使用計画 (一般)'!$C$1:$C$391,0),MATCH(AV$1,'在庫使用計画 (一般)'!$A$1:$BF$1,0))*1,0),
_xlpm._法人検索,IFERROR(INDEX('在庫使用計画 (法人)'!$A$1:$BF$391,MATCH($C23,'在庫使用計画 (法人)'!$C$1:$C$391,0),MATCH(AV$1,'在庫使用計画 (法人)'!$A$1:$BF$1,0))*1,0),
_xlpm._合計,_xlpm._一般検索+_xlpm._法人検索,
IF(_xlpm._合計=0,"",_xlpm._合計)
)</f>
        <v/>
      </c>
      <c r="AW23" s="224" t="str">
        <f>_xlfn.LET(
_xlpm._一般検索,IFERROR(INDEX('在庫使用計画 (一般)'!$A$1:$BF$391,MATCH($C23,'在庫使用計画 (一般)'!$C$1:$C$391,0),MATCH(AW$1,'在庫使用計画 (一般)'!$A$1:$BF$1,0))*1,0),
_xlpm._法人検索,IFERROR(INDEX('在庫使用計画 (法人)'!$A$1:$BF$391,MATCH($C23,'在庫使用計画 (法人)'!$C$1:$C$391,0),MATCH(AW$1,'在庫使用計画 (法人)'!$A$1:$BF$1,0))*1,0),
_xlpm._合計,_xlpm._一般検索+_xlpm._法人検索,
IF(_xlpm._合計=0,"",_xlpm._合計)
)</f>
        <v/>
      </c>
      <c r="AX23" s="224" t="str">
        <f>_xlfn.LET(
_xlpm._一般検索,IFERROR(INDEX('在庫使用計画 (一般)'!$A$1:$BF$391,MATCH($C23,'在庫使用計画 (一般)'!$C$1:$C$391,0),MATCH(AX$1,'在庫使用計画 (一般)'!$A$1:$BF$1,0))*1,0),
_xlpm._法人検索,IFERROR(INDEX('在庫使用計画 (法人)'!$A$1:$BF$391,MATCH($C23,'在庫使用計画 (法人)'!$C$1:$C$391,0),MATCH(AX$1,'在庫使用計画 (法人)'!$A$1:$BF$1,0))*1,0),
_xlpm._合計,_xlpm._一般検索+_xlpm._法人検索,
IF(_xlpm._合計=0,"",_xlpm._合計)
)</f>
        <v/>
      </c>
      <c r="AY23" s="224" t="str">
        <f>_xlfn.LET(
_xlpm._一般検索,IFERROR(INDEX('在庫使用計画 (一般)'!$A$1:$BF$391,MATCH($C23,'在庫使用計画 (一般)'!$C$1:$C$391,0),MATCH(AY$1,'在庫使用計画 (一般)'!$A$1:$BF$1,0))*1,0),
_xlpm._法人検索,IFERROR(INDEX('在庫使用計画 (法人)'!$A$1:$BF$391,MATCH($C23,'在庫使用計画 (法人)'!$C$1:$C$391,0),MATCH(AY$1,'在庫使用計画 (法人)'!$A$1:$BF$1,0))*1,0),
_xlpm._合計,_xlpm._一般検索+_xlpm._法人検索,
IF(_xlpm._合計=0,"",_xlpm._合計)
)</f>
        <v/>
      </c>
      <c r="AZ23" s="224" t="str">
        <f>_xlfn.LET(
_xlpm._一般検索,IFERROR(INDEX('在庫使用計画 (一般)'!$A$1:$BF$391,MATCH($C23,'在庫使用計画 (一般)'!$C$1:$C$391,0),MATCH(AZ$1,'在庫使用計画 (一般)'!$A$1:$BF$1,0))*1,0),
_xlpm._法人検索,IFERROR(INDEX('在庫使用計画 (法人)'!$A$1:$BF$391,MATCH($C23,'在庫使用計画 (法人)'!$C$1:$C$391,0),MATCH(AZ$1,'在庫使用計画 (法人)'!$A$1:$BF$1,0))*1,0),
_xlpm._合計,_xlpm._一般検索+_xlpm._法人検索,
IF(_xlpm._合計=0,"",_xlpm._合計)
)</f>
        <v/>
      </c>
      <c r="BA23" s="224" t="str">
        <f>_xlfn.LET(
_xlpm._一般検索,IFERROR(INDEX('在庫使用計画 (一般)'!$A$1:$BF$391,MATCH($C23,'在庫使用計画 (一般)'!$C$1:$C$391,0),MATCH(BA$1,'在庫使用計画 (一般)'!$A$1:$BF$1,0))*1,0),
_xlpm._法人検索,IFERROR(INDEX('在庫使用計画 (法人)'!$A$1:$BF$391,MATCH($C23,'在庫使用計画 (法人)'!$C$1:$C$391,0),MATCH(BA$1,'在庫使用計画 (法人)'!$A$1:$BF$1,0))*1,0),
_xlpm._合計,_xlpm._一般検索+_xlpm._法人検索,
IF(_xlpm._合計=0,"",_xlpm._合計)
)</f>
        <v/>
      </c>
      <c r="BB23" s="224" t="str">
        <f>_xlfn.LET(
_xlpm._一般検索,IFERROR(INDEX('在庫使用計画 (一般)'!$A$1:$BF$391,MATCH($C23,'在庫使用計画 (一般)'!$C$1:$C$391,0),MATCH(BB$1,'在庫使用計画 (一般)'!$A$1:$BF$1,0))*1,0),
_xlpm._法人検索,IFERROR(INDEX('在庫使用計画 (法人)'!$A$1:$BF$391,MATCH($C23,'在庫使用計画 (法人)'!$C$1:$C$391,0),MATCH(BB$1,'在庫使用計画 (法人)'!$A$1:$BF$1,0))*1,0),
_xlpm._合計,_xlpm._一般検索+_xlpm._法人検索,
IF(_xlpm._合計=0,"",_xlpm._合計)
)</f>
        <v/>
      </c>
      <c r="BC23" s="224" t="str">
        <f>_xlfn.LET(
_xlpm._一般検索,IFERROR(INDEX('在庫使用計画 (一般)'!$A$1:$BF$391,MATCH($C23,'在庫使用計画 (一般)'!$C$1:$C$391,0),MATCH(BC$1,'在庫使用計画 (一般)'!$A$1:$BF$1,0))*1,0),
_xlpm._法人検索,IFERROR(INDEX('在庫使用計画 (法人)'!$A$1:$BF$391,MATCH($C23,'在庫使用計画 (法人)'!$C$1:$C$391,0),MATCH(BC$1,'在庫使用計画 (法人)'!$A$1:$BF$1,0))*1,0),
_xlpm._合計,_xlpm._一般検索+_xlpm._法人検索,
IF(_xlpm._合計=0,"",_xlpm._合計)
)</f>
        <v/>
      </c>
      <c r="BD23" s="224" t="str">
        <f>_xlfn.LET(
_xlpm._一般検索,IFERROR(INDEX('在庫使用計画 (一般)'!$A$1:$BF$391,MATCH($C23,'在庫使用計画 (一般)'!$C$1:$C$391,0),MATCH(BD$1,'在庫使用計画 (一般)'!$A$1:$BF$1,0))*1,0),
_xlpm._法人検索,IFERROR(INDEX('在庫使用計画 (法人)'!$A$1:$BF$391,MATCH($C23,'在庫使用計画 (法人)'!$C$1:$C$391,0),MATCH(BD$1,'在庫使用計画 (法人)'!$A$1:$BF$1,0))*1,0),
_xlpm._合計,_xlpm._一般検索+_xlpm._法人検索,
IF(_xlpm._合計=0,"",_xlpm._合計)
)</f>
        <v/>
      </c>
      <c r="BE23" s="224" t="str">
        <f>_xlfn.LET(
_xlpm._一般検索,IFERROR(INDEX('在庫使用計画 (一般)'!$A$1:$BF$391,MATCH($C23,'在庫使用計画 (一般)'!$C$1:$C$391,0),MATCH(BE$1,'在庫使用計画 (一般)'!$A$1:$BF$1,0))*1,0),
_xlpm._法人検索,IFERROR(INDEX('在庫使用計画 (法人)'!$A$1:$BF$391,MATCH($C23,'在庫使用計画 (法人)'!$C$1:$C$391,0),MATCH(BE$1,'在庫使用計画 (法人)'!$A$1:$BF$1,0))*1,0),
_xlpm._合計,_xlpm._一般検索+_xlpm._法人検索,
IF(_xlpm._合計=0,"",_xlpm._合計)
)</f>
        <v/>
      </c>
      <c r="BF23" s="224" t="str">
        <f>_xlfn.LET(
_xlpm._一般検索,IFERROR(INDEX('在庫使用計画 (一般)'!$A$1:$BF$391,MATCH($C23,'在庫使用計画 (一般)'!$C$1:$C$391,0),MATCH(BF$1,'在庫使用計画 (一般)'!$A$1:$BF$1,0))*1,0),
_xlpm._法人検索,IFERROR(INDEX('在庫使用計画 (法人)'!$A$1:$BF$391,MATCH($C23,'在庫使用計画 (法人)'!$C$1:$C$391,0),MATCH(BF$1,'在庫使用計画 (法人)'!$A$1:$BF$1,0))*1,0),
_xlpm._合計,_xlpm._一般検索+_xlpm._法人検索,
IF(_xlpm._合計=0,"",_xlpm._合計)
)</f>
        <v/>
      </c>
      <c r="BG23" s="237" t="str">
        <f>_xlfn.LET(
_xlpm._一般検索,IFERROR(INDEX('在庫使用計画 (一般)'!$A$1:$BF$391,MATCH($C23,'在庫使用計画 (一般)'!$C$1:$C$391,0),MATCH(BG$1,'在庫使用計画 (一般)'!$A$1:$BF$1,0))*1,0),
_xlpm._法人検索,IFERROR(INDEX('在庫使用計画 (法人)'!$A$1:$BF$391,MATCH($C23,'在庫使用計画 (法人)'!$C$1:$C$391,0),MATCH(BG$1,'在庫使用計画 (法人)'!$A$1:$BF$1,0))*1,0),
_xlpm._合計,_xlpm._一般検索+_xlpm._法人検索,
IF(_xlpm._合計=0,"",_xlpm._合計)
)</f>
        <v/>
      </c>
      <c r="BH23" s="804" t="str">
        <f>_xlfn.LET(
_xlpm._一般検索,IFERROR(INDEX('在庫使用計画 (一般)'!$A$1:$BF$391,MATCH($C23,'在庫使用計画 (一般)'!$C$1:$C$391,0),MATCH(BH$1,'在庫使用計画 (一般)'!$A$1:$BF$1,0))*1,0),
_xlpm._法人検索,IFERROR(INDEX('在庫使用計画 (法人)'!$A$1:$BF$391,MATCH($C23,'在庫使用計画 (法人)'!$C$1:$C$391,0),MATCH(BH$1,'在庫使用計画 (法人)'!$A$1:$BF$1,0))*1,0),
_xlpm._合計,_xlpm._一般検索+_xlpm._法人検索,
IF(_xlpm._合計=0,"",_xlpm._合計)
)</f>
        <v/>
      </c>
      <c r="BI23" s="224" t="str">
        <f>_xlfn.LET(
_xlpm._一般検索,IFERROR(INDEX('在庫使用計画 (一般)'!$A$1:$BF$391,MATCH($C23,'在庫使用計画 (一般)'!$C$1:$C$391,0),MATCH(BI$1,'在庫使用計画 (一般)'!$A$1:$BF$1,0))*1,0),
_xlpm._法人検索,IFERROR(INDEX('在庫使用計画 (法人)'!$A$1:$BF$391,MATCH($C23,'在庫使用計画 (法人)'!$C$1:$C$391,0),MATCH(BI$1,'在庫使用計画 (法人)'!$A$1:$BF$1,0))*1,0),
_xlpm._合計,_xlpm._一般検索+_xlpm._法人検索,
IF(_xlpm._合計=0,"",_xlpm._合計)
)</f>
        <v/>
      </c>
      <c r="BJ23" s="224" t="str">
        <f>_xlfn.LET(
_xlpm._一般検索,IFERROR(INDEX('在庫使用計画 (一般)'!$A$1:$BF$391,MATCH($C23,'在庫使用計画 (一般)'!$C$1:$C$391,0),MATCH(BJ$1,'在庫使用計画 (一般)'!$A$1:$BF$1,0))*1,0),
_xlpm._法人検索,IFERROR(INDEX('在庫使用計画 (法人)'!$A$1:$BF$391,MATCH($C23,'在庫使用計画 (法人)'!$C$1:$C$391,0),MATCH(BJ$1,'在庫使用計画 (法人)'!$A$1:$BF$1,0))*1,0),
_xlpm._合計,_xlpm._一般検索+_xlpm._法人検索,
IF(_xlpm._合計=0,"",_xlpm._合計)
)</f>
        <v/>
      </c>
      <c r="BK23" s="224" t="str">
        <f>_xlfn.LET(
_xlpm._一般検索,IFERROR(INDEX('在庫使用計画 (一般)'!$A$1:$BF$391,MATCH($C23,'在庫使用計画 (一般)'!$C$1:$C$391,0),MATCH(BK$1,'在庫使用計画 (一般)'!$A$1:$BF$1,0))*1,0),
_xlpm._法人検索,IFERROR(INDEX('在庫使用計画 (法人)'!$A$1:$BF$391,MATCH($C23,'在庫使用計画 (法人)'!$C$1:$C$391,0),MATCH(BK$1,'在庫使用計画 (法人)'!$A$1:$BF$1,0))*1,0),
_xlpm._合計,_xlpm._一般検索+_xlpm._法人検索,
IF(_xlpm._合計=0,"",_xlpm._合計)
)</f>
        <v/>
      </c>
      <c r="BL23" s="224" t="str">
        <f>_xlfn.LET(
_xlpm._一般検索,IFERROR(INDEX('在庫使用計画 (一般)'!$A$1:$BF$391,MATCH($C23,'在庫使用計画 (一般)'!$C$1:$C$391,0),MATCH(BL$1,'在庫使用計画 (一般)'!$A$1:$BF$1,0))*1,0),
_xlpm._法人検索,IFERROR(INDEX('在庫使用計画 (法人)'!$A$1:$BF$391,MATCH($C23,'在庫使用計画 (法人)'!$C$1:$C$391,0),MATCH(BL$1,'在庫使用計画 (法人)'!$A$1:$BF$1,0))*1,0),
_xlpm._合計,_xlpm._一般検索+_xlpm._法人検索,
IF(_xlpm._合計=0,"",_xlpm._合計)
)</f>
        <v/>
      </c>
      <c r="BM23" s="224" t="str">
        <f>_xlfn.LET(
_xlpm._一般検索,IFERROR(INDEX('在庫使用計画 (一般)'!$A$1:$BF$391,MATCH($C23,'在庫使用計画 (一般)'!$C$1:$C$391,0),MATCH(BM$1,'在庫使用計画 (一般)'!$A$1:$BF$1,0))*1,0),
_xlpm._法人検索,IFERROR(INDEX('在庫使用計画 (法人)'!$A$1:$BF$391,MATCH($C23,'在庫使用計画 (法人)'!$C$1:$C$391,0),MATCH(BM$1,'在庫使用計画 (法人)'!$A$1:$BF$1,0))*1,0),
_xlpm._合計,_xlpm._一般検索+_xlpm._法人検索,
IF(_xlpm._合計=0,"",_xlpm._合計)
)</f>
        <v/>
      </c>
      <c r="BN23" s="224" t="str">
        <f>_xlfn.LET(
_xlpm._一般検索,IFERROR(INDEX('在庫使用計画 (一般)'!$A$1:$BF$391,MATCH($C23,'在庫使用計画 (一般)'!$C$1:$C$391,0),MATCH(BN$1,'在庫使用計画 (一般)'!$A$1:$BF$1,0))*1,0),
_xlpm._法人検索,IFERROR(INDEX('在庫使用計画 (法人)'!$A$1:$BF$391,MATCH($C23,'在庫使用計画 (法人)'!$C$1:$C$391,0),MATCH(BN$1,'在庫使用計画 (法人)'!$A$1:$BF$1,0))*1,0),
_xlpm._合計,_xlpm._一般検索+_xlpm._法人検索,
IF(_xlpm._合計=0,"",_xlpm._合計)
)</f>
        <v/>
      </c>
      <c r="BO23" s="224" t="str">
        <f>_xlfn.LET(
_xlpm._一般検索,IFERROR(INDEX('在庫使用計画 (一般)'!$A$1:$BF$391,MATCH($C23,'在庫使用計画 (一般)'!$C$1:$C$391,0),MATCH(BO$1,'在庫使用計画 (一般)'!$A$1:$BF$1,0))*1,0),
_xlpm._法人検索,IFERROR(INDEX('在庫使用計画 (法人)'!$A$1:$BF$391,MATCH($C23,'在庫使用計画 (法人)'!$C$1:$C$391,0),MATCH(BO$1,'在庫使用計画 (法人)'!$A$1:$BF$1,0))*1,0),
_xlpm._合計,_xlpm._一般検索+_xlpm._法人検索,
IF(_xlpm._合計=0,"",_xlpm._合計)
)</f>
        <v/>
      </c>
      <c r="BP23" s="224" t="str">
        <f>_xlfn.LET(
_xlpm._一般検索,IFERROR(INDEX('在庫使用計画 (一般)'!$A$1:$BF$391,MATCH($C23,'在庫使用計画 (一般)'!$C$1:$C$391,0),MATCH(BP$1,'在庫使用計画 (一般)'!$A$1:$BF$1,0))*1,0),
_xlpm._法人検索,IFERROR(INDEX('在庫使用計画 (法人)'!$A$1:$BF$391,MATCH($C23,'在庫使用計画 (法人)'!$C$1:$C$391,0),MATCH(BP$1,'在庫使用計画 (法人)'!$A$1:$BF$1,0))*1,0),
_xlpm._合計,_xlpm._一般検索+_xlpm._法人検索,
IF(_xlpm._合計=0,"",_xlpm._合計)
)</f>
        <v/>
      </c>
      <c r="BQ23" s="224" t="str">
        <f>_xlfn.LET(
_xlpm._一般検索,IFERROR(INDEX('在庫使用計画 (一般)'!$A$1:$BF$391,MATCH($C23,'在庫使用計画 (一般)'!$C$1:$C$391,0),MATCH(BQ$1,'在庫使用計画 (一般)'!$A$1:$BF$1,0))*1,0),
_xlpm._法人検索,IFERROR(INDEX('在庫使用計画 (法人)'!$A$1:$BF$391,MATCH($C23,'在庫使用計画 (法人)'!$C$1:$C$391,0),MATCH(BQ$1,'在庫使用計画 (法人)'!$A$1:$BF$1,0))*1,0),
_xlpm._合計,_xlpm._一般検索+_xlpm._法人検索,
IF(_xlpm._合計=0,"",_xlpm._合計)
)</f>
        <v/>
      </c>
      <c r="BR23" s="224" t="str">
        <f>_xlfn.LET(
_xlpm._一般検索,IFERROR(INDEX('在庫使用計画 (一般)'!$A$1:$BF$391,MATCH($C23,'在庫使用計画 (一般)'!$C$1:$C$391,0),MATCH(BR$1,'在庫使用計画 (一般)'!$A$1:$BF$1,0))*1,0),
_xlpm._法人検索,IFERROR(INDEX('在庫使用計画 (法人)'!$A$1:$BF$391,MATCH($C23,'在庫使用計画 (法人)'!$C$1:$C$391,0),MATCH(BR$1,'在庫使用計画 (法人)'!$A$1:$BF$1,0))*1,0),
_xlpm._合計,_xlpm._一般検索+_xlpm._法人検索,
IF(_xlpm._合計=0,"",_xlpm._合計)
)</f>
        <v/>
      </c>
      <c r="BS23" s="805" t="str">
        <f>_xlfn.LET(
_xlpm._一般検索,IFERROR(INDEX('在庫使用計画 (一般)'!$A$1:$BF$391,MATCH($C23,'在庫使用計画 (一般)'!$C$1:$C$391,0),MATCH(BS$1,'在庫使用計画 (一般)'!$A$1:$BF$1,0))*1,0),
_xlpm._法人検索,IFERROR(INDEX('在庫使用計画 (法人)'!$A$1:$BF$391,MATCH($C23,'在庫使用計画 (法人)'!$C$1:$C$391,0),MATCH(BS$1,'在庫使用計画 (法人)'!$A$1:$BF$1,0))*1,0),
_xlpm._合計,_xlpm._一般検索+_xlpm._法人検索,
IF(_xlpm._合計=0,"",_xlpm._合計)
)</f>
        <v/>
      </c>
      <c r="BT23" s="21"/>
    </row>
    <row r="24" spans="1:72" customFormat="1" ht="18.75" customHeight="1">
      <c r="A24" s="1060" t="s">
        <v>1727</v>
      </c>
      <c r="B24" s="26" t="str">
        <v>CLE-V540-155H-4050-L6</v>
      </c>
      <c r="C24" s="25" t="s">
        <v>355</v>
      </c>
      <c r="D24" s="2156">
        <v>2250</v>
      </c>
      <c r="E24" s="68" t="s">
        <v>35</v>
      </c>
      <c r="F24" s="68" t="s">
        <v>20</v>
      </c>
      <c r="G24" s="74">
        <v>290</v>
      </c>
      <c r="H24" s="38">
        <v>290</v>
      </c>
      <c r="I24" s="38" cm="1">
        <f t="array" ref="I24">IF($C24="","",
_xlfn.LET(
  _xlpm._見出し,$A$1:$BT$1,
  _xlpm._行,$A24:$BT24,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200</v>
      </c>
      <c r="J24" s="74" cm="1">
        <f t="array" ref="J24">_xlfn.LET(
  _xlpm._見出し,$A$1:$BS$1,
  _xlpm._行,$A24:$BS24,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IF($C24="","",_xlpm._四点五月計画合計)
)</f>
        <v>175</v>
      </c>
      <c r="K24" s="1458" t="str" cm="1">
        <f t="array" ref="K24">_xlfn.IFS(
  $C24="","",
  $G24="","発売前？",
  $G24=0,"在庫無し",
  TRUE,
  IFERROR(
    _xlfn.LET(
      _xlpm._在庫注残,     $G24,
      _xlpm._しきい値,     _xlpm._在庫注残 * 0.75,
      _xlpm._見出し元,     $L$1:$BU$1,
      _xlpm._計画,         $L24:$BU24,
      _xlpm._最新実績日,       基準データ!$C$5,
      _xlpm._今月1日,      EOMONTH(_xlpm._最新実績日, -1) + 1,
      _xlpm._月末日,       EOMONTH(_xlpm._最新実績日, 0),
      _xlpm._今月位置,     _xlfn.XMATCH(_xlpm._今月1日, _xlpm._見出し元),
      _xlpm._今月計画按分, N(INDEX(_xlpm._計画, 1, _xlpm._今月位置))
                      * (_xlpm._月末日 - _xlpm._最新実績日)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合計197、在庫+注残290のため不足</v>
      </c>
      <c r="L24" s="38" t="s">
        <v>21</v>
      </c>
      <c r="M24" s="38" t="s">
        <v>21</v>
      </c>
      <c r="N24" s="38" t="s">
        <v>21</v>
      </c>
      <c r="O24" s="38" t="s">
        <v>21</v>
      </c>
      <c r="P24" s="38" t="s">
        <v>21</v>
      </c>
      <c r="Q24" s="38">
        <v>152.21290951985975</v>
      </c>
      <c r="R24" s="38">
        <v>156.28368398563711</v>
      </c>
      <c r="S24" s="38">
        <v>131.98428134745922</v>
      </c>
      <c r="T24" s="219">
        <v>117.21542914217122</v>
      </c>
      <c r="U24" s="219">
        <v>104.79838995519226</v>
      </c>
      <c r="V24" s="219">
        <v>109.75053060496808</v>
      </c>
      <c r="W24" s="219">
        <v>111.84554121706744</v>
      </c>
      <c r="X24" s="224">
        <v>152.48874709179503</v>
      </c>
      <c r="Y24" s="224">
        <v>214</v>
      </c>
      <c r="Z24" s="224">
        <v>229</v>
      </c>
      <c r="AA24" s="237">
        <v>205</v>
      </c>
      <c r="AB24" s="224">
        <v>135</v>
      </c>
      <c r="AC24" s="471">
        <v>80</v>
      </c>
      <c r="AD24" s="224" t="s">
        <v>21</v>
      </c>
      <c r="AE24" s="224" t="s">
        <v>21</v>
      </c>
      <c r="AF24" s="224" t="s">
        <v>21</v>
      </c>
      <c r="AG24" s="224" t="s">
        <v>21</v>
      </c>
      <c r="AH24" s="224" t="s">
        <v>21</v>
      </c>
      <c r="AI24" s="237" t="s">
        <v>21</v>
      </c>
      <c r="AJ24" s="804" t="s">
        <v>21</v>
      </c>
      <c r="AK24" s="224">
        <v>232</v>
      </c>
      <c r="AL24" s="224">
        <v>325</v>
      </c>
      <c r="AM24" s="224">
        <v>26</v>
      </c>
      <c r="AN24" s="224">
        <f>_xlfn.LET(
_xlpm._一般検索,IFERROR(INDEX('在庫使用計画 (一般)'!$A$1:$BF$391,MATCH($C24,'在庫使用計画 (一般)'!$C$1:$C$391,0),MATCH(AN$1,'在庫使用計画 (一般)'!$A$1:$BF$1,0))*1,0),
_xlpm._法人検索,IFERROR(INDEX('在庫使用計画 (法人)'!$A$1:$BF$391,MATCH($C24,'在庫使用計画 (法人)'!$C$1:$C$391,0),MATCH(AN$1,'在庫使用計画 (法人)'!$A$1:$BF$1,0))*1,0),
_xlpm._合計,_xlpm._一般検索+_xlpm._法人検索,
IF(_xlpm._合計=0,"",_xlpm._合計)
)</f>
        <v>50</v>
      </c>
      <c r="AO24" s="224">
        <f>_xlfn.LET(
_xlpm._一般検索,IFERROR(INDEX('在庫使用計画 (一般)'!$A$1:$BF$391,MATCH($C24,'在庫使用計画 (一般)'!$C$1:$C$391,0),MATCH(AO$1,'在庫使用計画 (一般)'!$A$1:$BF$1,0))*1,0),
_xlpm._法人検索,IFERROR(INDEX('在庫使用計画 (法人)'!$A$1:$BF$391,MATCH($C24,'在庫使用計画 (法人)'!$C$1:$C$391,0),MATCH(AO$1,'在庫使用計画 (法人)'!$A$1:$BF$1,0))*1,0),
_xlpm._合計,_xlpm._一般検索+_xlpm._法人検索,
IF(_xlpm._合計=0,"",_xlpm._合計)
)</f>
        <v>50</v>
      </c>
      <c r="AP24" s="224">
        <f>_xlfn.LET(
_xlpm._一般検索,IFERROR(INDEX('在庫使用計画 (一般)'!$A$1:$BF$391,MATCH($C24,'在庫使用計画 (一般)'!$C$1:$C$391,0),MATCH(AP$1,'在庫使用計画 (一般)'!$A$1:$BF$1,0))*1,0),
_xlpm._法人検索,IFERROR(INDEX('在庫使用計画 (法人)'!$A$1:$BF$391,MATCH($C24,'在庫使用計画 (法人)'!$C$1:$C$391,0),MATCH(AP$1,'在庫使用計画 (法人)'!$A$1:$BF$1,0))*1,0),
_xlpm._合計,_xlpm._一般検索+_xlpm._法人検索,
IF(_xlpm._合計=0,"",_xlpm._合計)
)</f>
        <v>50</v>
      </c>
      <c r="AQ24" s="224">
        <f>_xlfn.LET(
_xlpm._一般検索,IFERROR(INDEX('在庫使用計画 (一般)'!$A$1:$BF$391,MATCH($C24,'在庫使用計画 (一般)'!$C$1:$C$391,0),MATCH(AQ$1,'在庫使用計画 (一般)'!$A$1:$BF$1,0))*1,0),
_xlpm._法人検索,IFERROR(INDEX('在庫使用計画 (法人)'!$A$1:$BF$391,MATCH($C24,'在庫使用計画 (法人)'!$C$1:$C$391,0),MATCH(AQ$1,'在庫使用計画 (法人)'!$A$1:$BF$1,0))*1,0),
_xlpm._合計,_xlpm._一般検索+_xlpm._法人検索,
IF(_xlpm._合計=0,"",_xlpm._合計)
)</f>
        <v>150</v>
      </c>
      <c r="AR24" s="224" t="str">
        <f>_xlfn.LET(
_xlpm._一般検索,IFERROR(INDEX('在庫使用計画 (一般)'!$A$1:$BF$391,MATCH($C24,'在庫使用計画 (一般)'!$C$1:$C$391,0),MATCH(AR$1,'在庫使用計画 (一般)'!$A$1:$BF$1,0))*1,0),
_xlpm._法人検索,IFERROR(INDEX('在庫使用計画 (法人)'!$A$1:$BF$391,MATCH($C24,'在庫使用計画 (法人)'!$C$1:$C$391,0),MATCH(AR$1,'在庫使用計画 (法人)'!$A$1:$BF$1,0))*1,0),
_xlpm._合計,_xlpm._一般検索+_xlpm._法人検索,
IF(_xlpm._合計=0,"",_xlpm._合計)
)</f>
        <v/>
      </c>
      <c r="AS24" s="224" t="str">
        <f>_xlfn.LET(
_xlpm._一般検索,IFERROR(INDEX('在庫使用計画 (一般)'!$A$1:$BF$391,MATCH($C24,'在庫使用計画 (一般)'!$C$1:$C$391,0),MATCH(AS$1,'在庫使用計画 (一般)'!$A$1:$BF$1,0))*1,0),
_xlpm._法人検索,IFERROR(INDEX('在庫使用計画 (法人)'!$A$1:$BF$391,MATCH($C24,'在庫使用計画 (法人)'!$C$1:$C$391,0),MATCH(AS$1,'在庫使用計画 (法人)'!$A$1:$BF$1,0))*1,0),
_xlpm._合計,_xlpm._一般検索+_xlpm._法人検索,
IF(_xlpm._合計=0,"",_xlpm._合計)
)</f>
        <v/>
      </c>
      <c r="AT24" s="224" t="str">
        <f>_xlfn.LET(
_xlpm._一般検索,IFERROR(INDEX('在庫使用計画 (一般)'!$A$1:$BF$391,MATCH($C24,'在庫使用計画 (一般)'!$C$1:$C$391,0),MATCH(AT$1,'在庫使用計画 (一般)'!$A$1:$BF$1,0))*1,0),
_xlpm._法人検索,IFERROR(INDEX('在庫使用計画 (法人)'!$A$1:$BF$391,MATCH($C24,'在庫使用計画 (法人)'!$C$1:$C$391,0),MATCH(AT$1,'在庫使用計画 (法人)'!$A$1:$BF$1,0))*1,0),
_xlpm._合計,_xlpm._一般検索+_xlpm._法人検索,
IF(_xlpm._合計=0,"",_xlpm._合計)
)</f>
        <v/>
      </c>
      <c r="AU24" s="805" t="str">
        <f>_xlfn.LET(
_xlpm._一般検索,IFERROR(INDEX('在庫使用計画 (一般)'!$A$1:$BF$391,MATCH($C24,'在庫使用計画 (一般)'!$C$1:$C$391,0),MATCH(AU$1,'在庫使用計画 (一般)'!$A$1:$BF$1,0))*1,0),
_xlpm._法人検索,IFERROR(INDEX('在庫使用計画 (法人)'!$A$1:$BF$391,MATCH($C24,'在庫使用計画 (法人)'!$C$1:$C$391,0),MATCH(AU$1,'在庫使用計画 (法人)'!$A$1:$BF$1,0))*1,0),
_xlpm._合計,_xlpm._一般検索+_xlpm._法人検索,
IF(_xlpm._合計=0,"",_xlpm._合計)
)</f>
        <v/>
      </c>
      <c r="AV24" s="244" t="str">
        <f>_xlfn.LET(
_xlpm._一般検索,IFERROR(INDEX('在庫使用計画 (一般)'!$A$1:$BF$391,MATCH($C24,'在庫使用計画 (一般)'!$C$1:$C$391,0),MATCH(AV$1,'在庫使用計画 (一般)'!$A$1:$BF$1,0))*1,0),
_xlpm._法人検索,IFERROR(INDEX('在庫使用計画 (法人)'!$A$1:$BF$391,MATCH($C24,'在庫使用計画 (法人)'!$C$1:$C$391,0),MATCH(AV$1,'在庫使用計画 (法人)'!$A$1:$BF$1,0))*1,0),
_xlpm._合計,_xlpm._一般検索+_xlpm._法人検索,
IF(_xlpm._合計=0,"",_xlpm._合計)
)</f>
        <v/>
      </c>
      <c r="AW24" s="224" t="str">
        <f>_xlfn.LET(
_xlpm._一般検索,IFERROR(INDEX('在庫使用計画 (一般)'!$A$1:$BF$391,MATCH($C24,'在庫使用計画 (一般)'!$C$1:$C$391,0),MATCH(AW$1,'在庫使用計画 (一般)'!$A$1:$BF$1,0))*1,0),
_xlpm._法人検索,IFERROR(INDEX('在庫使用計画 (法人)'!$A$1:$BF$391,MATCH($C24,'在庫使用計画 (法人)'!$C$1:$C$391,0),MATCH(AW$1,'在庫使用計画 (法人)'!$A$1:$BF$1,0))*1,0),
_xlpm._合計,_xlpm._一般検索+_xlpm._法人検索,
IF(_xlpm._合計=0,"",_xlpm._合計)
)</f>
        <v/>
      </c>
      <c r="AX24" s="224" t="str">
        <f>_xlfn.LET(
_xlpm._一般検索,IFERROR(INDEX('在庫使用計画 (一般)'!$A$1:$BF$391,MATCH($C24,'在庫使用計画 (一般)'!$C$1:$C$391,0),MATCH(AX$1,'在庫使用計画 (一般)'!$A$1:$BF$1,0))*1,0),
_xlpm._法人検索,IFERROR(INDEX('在庫使用計画 (法人)'!$A$1:$BF$391,MATCH($C24,'在庫使用計画 (法人)'!$C$1:$C$391,0),MATCH(AX$1,'在庫使用計画 (法人)'!$A$1:$BF$1,0))*1,0),
_xlpm._合計,_xlpm._一般検索+_xlpm._法人検索,
IF(_xlpm._合計=0,"",_xlpm._合計)
)</f>
        <v/>
      </c>
      <c r="AY24" s="224" t="str">
        <f>_xlfn.LET(
_xlpm._一般検索,IFERROR(INDEX('在庫使用計画 (一般)'!$A$1:$BF$391,MATCH($C24,'在庫使用計画 (一般)'!$C$1:$C$391,0),MATCH(AY$1,'在庫使用計画 (一般)'!$A$1:$BF$1,0))*1,0),
_xlpm._法人検索,IFERROR(INDEX('在庫使用計画 (法人)'!$A$1:$BF$391,MATCH($C24,'在庫使用計画 (法人)'!$C$1:$C$391,0),MATCH(AY$1,'在庫使用計画 (法人)'!$A$1:$BF$1,0))*1,0),
_xlpm._合計,_xlpm._一般検索+_xlpm._法人検索,
IF(_xlpm._合計=0,"",_xlpm._合計)
)</f>
        <v/>
      </c>
      <c r="AZ24" s="224" t="str">
        <f>_xlfn.LET(
_xlpm._一般検索,IFERROR(INDEX('在庫使用計画 (一般)'!$A$1:$BF$391,MATCH($C24,'在庫使用計画 (一般)'!$C$1:$C$391,0),MATCH(AZ$1,'在庫使用計画 (一般)'!$A$1:$BF$1,0))*1,0),
_xlpm._法人検索,IFERROR(INDEX('在庫使用計画 (法人)'!$A$1:$BF$391,MATCH($C24,'在庫使用計画 (法人)'!$C$1:$C$391,0),MATCH(AZ$1,'在庫使用計画 (法人)'!$A$1:$BF$1,0))*1,0),
_xlpm._合計,_xlpm._一般検索+_xlpm._法人検索,
IF(_xlpm._合計=0,"",_xlpm._合計)
)</f>
        <v/>
      </c>
      <c r="BA24" s="224" t="str">
        <f>_xlfn.LET(
_xlpm._一般検索,IFERROR(INDEX('在庫使用計画 (一般)'!$A$1:$BF$391,MATCH($C24,'在庫使用計画 (一般)'!$C$1:$C$391,0),MATCH(BA$1,'在庫使用計画 (一般)'!$A$1:$BF$1,0))*1,0),
_xlpm._法人検索,IFERROR(INDEX('在庫使用計画 (法人)'!$A$1:$BF$391,MATCH($C24,'在庫使用計画 (法人)'!$C$1:$C$391,0),MATCH(BA$1,'在庫使用計画 (法人)'!$A$1:$BF$1,0))*1,0),
_xlpm._合計,_xlpm._一般検索+_xlpm._法人検索,
IF(_xlpm._合計=0,"",_xlpm._合計)
)</f>
        <v/>
      </c>
      <c r="BB24" s="224" t="str">
        <f>_xlfn.LET(
_xlpm._一般検索,IFERROR(INDEX('在庫使用計画 (一般)'!$A$1:$BF$391,MATCH($C24,'在庫使用計画 (一般)'!$C$1:$C$391,0),MATCH(BB$1,'在庫使用計画 (一般)'!$A$1:$BF$1,0))*1,0),
_xlpm._法人検索,IFERROR(INDEX('在庫使用計画 (法人)'!$A$1:$BF$391,MATCH($C24,'在庫使用計画 (法人)'!$C$1:$C$391,0),MATCH(BB$1,'在庫使用計画 (法人)'!$A$1:$BF$1,0))*1,0),
_xlpm._合計,_xlpm._一般検索+_xlpm._法人検索,
IF(_xlpm._合計=0,"",_xlpm._合計)
)</f>
        <v/>
      </c>
      <c r="BC24" s="224" t="str">
        <f>_xlfn.LET(
_xlpm._一般検索,IFERROR(INDEX('在庫使用計画 (一般)'!$A$1:$BF$391,MATCH($C24,'在庫使用計画 (一般)'!$C$1:$C$391,0),MATCH(BC$1,'在庫使用計画 (一般)'!$A$1:$BF$1,0))*1,0),
_xlpm._法人検索,IFERROR(INDEX('在庫使用計画 (法人)'!$A$1:$BF$391,MATCH($C24,'在庫使用計画 (法人)'!$C$1:$C$391,0),MATCH(BC$1,'在庫使用計画 (法人)'!$A$1:$BF$1,0))*1,0),
_xlpm._合計,_xlpm._一般検索+_xlpm._法人検索,
IF(_xlpm._合計=0,"",_xlpm._合計)
)</f>
        <v/>
      </c>
      <c r="BD24" s="224" t="str">
        <f>_xlfn.LET(
_xlpm._一般検索,IFERROR(INDEX('在庫使用計画 (一般)'!$A$1:$BF$391,MATCH($C24,'在庫使用計画 (一般)'!$C$1:$C$391,0),MATCH(BD$1,'在庫使用計画 (一般)'!$A$1:$BF$1,0))*1,0),
_xlpm._法人検索,IFERROR(INDEX('在庫使用計画 (法人)'!$A$1:$BF$391,MATCH($C24,'在庫使用計画 (法人)'!$C$1:$C$391,0),MATCH(BD$1,'在庫使用計画 (法人)'!$A$1:$BF$1,0))*1,0),
_xlpm._合計,_xlpm._一般検索+_xlpm._法人検索,
IF(_xlpm._合計=0,"",_xlpm._合計)
)</f>
        <v/>
      </c>
      <c r="BE24" s="224" t="str">
        <f>_xlfn.LET(
_xlpm._一般検索,IFERROR(INDEX('在庫使用計画 (一般)'!$A$1:$BF$391,MATCH($C24,'在庫使用計画 (一般)'!$C$1:$C$391,0),MATCH(BE$1,'在庫使用計画 (一般)'!$A$1:$BF$1,0))*1,0),
_xlpm._法人検索,IFERROR(INDEX('在庫使用計画 (法人)'!$A$1:$BF$391,MATCH($C24,'在庫使用計画 (法人)'!$C$1:$C$391,0),MATCH(BE$1,'在庫使用計画 (法人)'!$A$1:$BF$1,0))*1,0),
_xlpm._合計,_xlpm._一般検索+_xlpm._法人検索,
IF(_xlpm._合計=0,"",_xlpm._合計)
)</f>
        <v/>
      </c>
      <c r="BF24" s="224" t="str">
        <f>_xlfn.LET(
_xlpm._一般検索,IFERROR(INDEX('在庫使用計画 (一般)'!$A$1:$BF$391,MATCH($C24,'在庫使用計画 (一般)'!$C$1:$C$391,0),MATCH(BF$1,'在庫使用計画 (一般)'!$A$1:$BF$1,0))*1,0),
_xlpm._法人検索,IFERROR(INDEX('在庫使用計画 (法人)'!$A$1:$BF$391,MATCH($C24,'在庫使用計画 (法人)'!$C$1:$C$391,0),MATCH(BF$1,'在庫使用計画 (法人)'!$A$1:$BF$1,0))*1,0),
_xlpm._合計,_xlpm._一般検索+_xlpm._法人検索,
IF(_xlpm._合計=0,"",_xlpm._合計)
)</f>
        <v/>
      </c>
      <c r="BG24" s="237" t="str">
        <f>_xlfn.LET(
_xlpm._一般検索,IFERROR(INDEX('在庫使用計画 (一般)'!$A$1:$BF$391,MATCH($C24,'在庫使用計画 (一般)'!$C$1:$C$391,0),MATCH(BG$1,'在庫使用計画 (一般)'!$A$1:$BF$1,0))*1,0),
_xlpm._法人検索,IFERROR(INDEX('在庫使用計画 (法人)'!$A$1:$BF$391,MATCH($C24,'在庫使用計画 (法人)'!$C$1:$C$391,0),MATCH(BG$1,'在庫使用計画 (法人)'!$A$1:$BF$1,0))*1,0),
_xlpm._合計,_xlpm._一般検索+_xlpm._法人検索,
IF(_xlpm._合計=0,"",_xlpm._合計)
)</f>
        <v/>
      </c>
      <c r="BH24" s="804" t="str">
        <f>_xlfn.LET(
_xlpm._一般検索,IFERROR(INDEX('在庫使用計画 (一般)'!$A$1:$BF$391,MATCH($C24,'在庫使用計画 (一般)'!$C$1:$C$391,0),MATCH(BH$1,'在庫使用計画 (一般)'!$A$1:$BF$1,0))*1,0),
_xlpm._法人検索,IFERROR(INDEX('在庫使用計画 (法人)'!$A$1:$BF$391,MATCH($C24,'在庫使用計画 (法人)'!$C$1:$C$391,0),MATCH(BH$1,'在庫使用計画 (法人)'!$A$1:$BF$1,0))*1,0),
_xlpm._合計,_xlpm._一般検索+_xlpm._法人検索,
IF(_xlpm._合計=0,"",_xlpm._合計)
)</f>
        <v/>
      </c>
      <c r="BI24" s="224" t="str">
        <f>_xlfn.LET(
_xlpm._一般検索,IFERROR(INDEX('在庫使用計画 (一般)'!$A$1:$BF$391,MATCH($C24,'在庫使用計画 (一般)'!$C$1:$C$391,0),MATCH(BI$1,'在庫使用計画 (一般)'!$A$1:$BF$1,0))*1,0),
_xlpm._法人検索,IFERROR(INDEX('在庫使用計画 (法人)'!$A$1:$BF$391,MATCH($C24,'在庫使用計画 (法人)'!$C$1:$C$391,0),MATCH(BI$1,'在庫使用計画 (法人)'!$A$1:$BF$1,0))*1,0),
_xlpm._合計,_xlpm._一般検索+_xlpm._法人検索,
IF(_xlpm._合計=0,"",_xlpm._合計)
)</f>
        <v/>
      </c>
      <c r="BJ24" s="224" t="str">
        <f>_xlfn.LET(
_xlpm._一般検索,IFERROR(INDEX('在庫使用計画 (一般)'!$A$1:$BF$391,MATCH($C24,'在庫使用計画 (一般)'!$C$1:$C$391,0),MATCH(BJ$1,'在庫使用計画 (一般)'!$A$1:$BF$1,0))*1,0),
_xlpm._法人検索,IFERROR(INDEX('在庫使用計画 (法人)'!$A$1:$BF$391,MATCH($C24,'在庫使用計画 (法人)'!$C$1:$C$391,0),MATCH(BJ$1,'在庫使用計画 (法人)'!$A$1:$BF$1,0))*1,0),
_xlpm._合計,_xlpm._一般検索+_xlpm._法人検索,
IF(_xlpm._合計=0,"",_xlpm._合計)
)</f>
        <v/>
      </c>
      <c r="BK24" s="224" t="str">
        <f>_xlfn.LET(
_xlpm._一般検索,IFERROR(INDEX('在庫使用計画 (一般)'!$A$1:$BF$391,MATCH($C24,'在庫使用計画 (一般)'!$C$1:$C$391,0),MATCH(BK$1,'在庫使用計画 (一般)'!$A$1:$BF$1,0))*1,0),
_xlpm._法人検索,IFERROR(INDEX('在庫使用計画 (法人)'!$A$1:$BF$391,MATCH($C24,'在庫使用計画 (法人)'!$C$1:$C$391,0),MATCH(BK$1,'在庫使用計画 (法人)'!$A$1:$BF$1,0))*1,0),
_xlpm._合計,_xlpm._一般検索+_xlpm._法人検索,
IF(_xlpm._合計=0,"",_xlpm._合計)
)</f>
        <v/>
      </c>
      <c r="BL24" s="224" t="str">
        <f>_xlfn.LET(
_xlpm._一般検索,IFERROR(INDEX('在庫使用計画 (一般)'!$A$1:$BF$391,MATCH($C24,'在庫使用計画 (一般)'!$C$1:$C$391,0),MATCH(BL$1,'在庫使用計画 (一般)'!$A$1:$BF$1,0))*1,0),
_xlpm._法人検索,IFERROR(INDEX('在庫使用計画 (法人)'!$A$1:$BF$391,MATCH($C24,'在庫使用計画 (法人)'!$C$1:$C$391,0),MATCH(BL$1,'在庫使用計画 (法人)'!$A$1:$BF$1,0))*1,0),
_xlpm._合計,_xlpm._一般検索+_xlpm._法人検索,
IF(_xlpm._合計=0,"",_xlpm._合計)
)</f>
        <v/>
      </c>
      <c r="BM24" s="224" t="str">
        <f>_xlfn.LET(
_xlpm._一般検索,IFERROR(INDEX('在庫使用計画 (一般)'!$A$1:$BF$391,MATCH($C24,'在庫使用計画 (一般)'!$C$1:$C$391,0),MATCH(BM$1,'在庫使用計画 (一般)'!$A$1:$BF$1,0))*1,0),
_xlpm._法人検索,IFERROR(INDEX('在庫使用計画 (法人)'!$A$1:$BF$391,MATCH($C24,'在庫使用計画 (法人)'!$C$1:$C$391,0),MATCH(BM$1,'在庫使用計画 (法人)'!$A$1:$BF$1,0))*1,0),
_xlpm._合計,_xlpm._一般検索+_xlpm._法人検索,
IF(_xlpm._合計=0,"",_xlpm._合計)
)</f>
        <v/>
      </c>
      <c r="BN24" s="224" t="str">
        <f>_xlfn.LET(
_xlpm._一般検索,IFERROR(INDEX('在庫使用計画 (一般)'!$A$1:$BF$391,MATCH($C24,'在庫使用計画 (一般)'!$C$1:$C$391,0),MATCH(BN$1,'在庫使用計画 (一般)'!$A$1:$BF$1,0))*1,0),
_xlpm._法人検索,IFERROR(INDEX('在庫使用計画 (法人)'!$A$1:$BF$391,MATCH($C24,'在庫使用計画 (法人)'!$C$1:$C$391,0),MATCH(BN$1,'在庫使用計画 (法人)'!$A$1:$BF$1,0))*1,0),
_xlpm._合計,_xlpm._一般検索+_xlpm._法人検索,
IF(_xlpm._合計=0,"",_xlpm._合計)
)</f>
        <v/>
      </c>
      <c r="BO24" s="224" t="str">
        <f>_xlfn.LET(
_xlpm._一般検索,IFERROR(INDEX('在庫使用計画 (一般)'!$A$1:$BF$391,MATCH($C24,'在庫使用計画 (一般)'!$C$1:$C$391,0),MATCH(BO$1,'在庫使用計画 (一般)'!$A$1:$BF$1,0))*1,0),
_xlpm._法人検索,IFERROR(INDEX('在庫使用計画 (法人)'!$A$1:$BF$391,MATCH($C24,'在庫使用計画 (法人)'!$C$1:$C$391,0),MATCH(BO$1,'在庫使用計画 (法人)'!$A$1:$BF$1,0))*1,0),
_xlpm._合計,_xlpm._一般検索+_xlpm._法人検索,
IF(_xlpm._合計=0,"",_xlpm._合計)
)</f>
        <v/>
      </c>
      <c r="BP24" s="224" t="str">
        <f>_xlfn.LET(
_xlpm._一般検索,IFERROR(INDEX('在庫使用計画 (一般)'!$A$1:$BF$391,MATCH($C24,'在庫使用計画 (一般)'!$C$1:$C$391,0),MATCH(BP$1,'在庫使用計画 (一般)'!$A$1:$BF$1,0))*1,0),
_xlpm._法人検索,IFERROR(INDEX('在庫使用計画 (法人)'!$A$1:$BF$391,MATCH($C24,'在庫使用計画 (法人)'!$C$1:$C$391,0),MATCH(BP$1,'在庫使用計画 (法人)'!$A$1:$BF$1,0))*1,0),
_xlpm._合計,_xlpm._一般検索+_xlpm._法人検索,
IF(_xlpm._合計=0,"",_xlpm._合計)
)</f>
        <v/>
      </c>
      <c r="BQ24" s="224" t="str">
        <f>_xlfn.LET(
_xlpm._一般検索,IFERROR(INDEX('在庫使用計画 (一般)'!$A$1:$BF$391,MATCH($C24,'在庫使用計画 (一般)'!$C$1:$C$391,0),MATCH(BQ$1,'在庫使用計画 (一般)'!$A$1:$BF$1,0))*1,0),
_xlpm._法人検索,IFERROR(INDEX('在庫使用計画 (法人)'!$A$1:$BF$391,MATCH($C24,'在庫使用計画 (法人)'!$C$1:$C$391,0),MATCH(BQ$1,'在庫使用計画 (法人)'!$A$1:$BF$1,0))*1,0),
_xlpm._合計,_xlpm._一般検索+_xlpm._法人検索,
IF(_xlpm._合計=0,"",_xlpm._合計)
)</f>
        <v/>
      </c>
      <c r="BR24" s="224" t="str">
        <f>_xlfn.LET(
_xlpm._一般検索,IFERROR(INDEX('在庫使用計画 (一般)'!$A$1:$BF$391,MATCH($C24,'在庫使用計画 (一般)'!$C$1:$C$391,0),MATCH(BR$1,'在庫使用計画 (一般)'!$A$1:$BF$1,0))*1,0),
_xlpm._法人検索,IFERROR(INDEX('在庫使用計画 (法人)'!$A$1:$BF$391,MATCH($C24,'在庫使用計画 (法人)'!$C$1:$C$391,0),MATCH(BR$1,'在庫使用計画 (法人)'!$A$1:$BF$1,0))*1,0),
_xlpm._合計,_xlpm._一般検索+_xlpm._法人検索,
IF(_xlpm._合計=0,"",_xlpm._合計)
)</f>
        <v/>
      </c>
      <c r="BS24" s="805" t="str">
        <f>_xlfn.LET(
_xlpm._一般検索,IFERROR(INDEX('在庫使用計画 (一般)'!$A$1:$BF$391,MATCH($C24,'在庫使用計画 (一般)'!$C$1:$C$391,0),MATCH(BS$1,'在庫使用計画 (一般)'!$A$1:$BF$1,0))*1,0),
_xlpm._法人検索,IFERROR(INDEX('在庫使用計画 (法人)'!$A$1:$BF$391,MATCH($C24,'在庫使用計画 (法人)'!$C$1:$C$391,0),MATCH(BS$1,'在庫使用計画 (法人)'!$A$1:$BF$1,0))*1,0),
_xlpm._合計,_xlpm._一般検索+_xlpm._法人検索,
IF(_xlpm._合計=0,"",_xlpm._合計)
)</f>
        <v/>
      </c>
      <c r="BT24" s="70"/>
    </row>
    <row r="25" spans="1:72" customFormat="1" ht="18.75" customHeight="1">
      <c r="A25" s="1059"/>
      <c r="B25" s="26" t="str">
        <v/>
      </c>
      <c r="C25" s="26"/>
      <c r="D25" s="2153" t="str">
        <v/>
      </c>
      <c r="E25" s="26"/>
      <c r="F25" s="26"/>
      <c r="G25" s="74" t="str">
        <v/>
      </c>
      <c r="H25" s="38" t="str">
        <v/>
      </c>
      <c r="I25" s="38" t="str" cm="1">
        <f t="array" ref="I25">IF($C25="","",
_xlfn.LET(
  _xlpm._見出し,$A$1:$BT$1,
  _xlpm._行,$A25:$BT25,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
      </c>
      <c r="J25" s="74" t="str" cm="1">
        <f t="array" ref="J25">_xlfn.LET(
  _xlpm._見出し,$A$1:$BS$1,
  _xlpm._行,$A25:$BS25,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IF($C25="","",_xlpm._四点五月計画合計)
)</f>
        <v/>
      </c>
      <c r="K25" s="1458" t="str" cm="1">
        <f t="array" ref="K25">_xlfn.IFS(
  $C25="","",
  $G25="","発売前？",
  $G25=0,"在庫無し",
  TRUE,
  IFERROR(
    _xlfn.LET(
      _xlpm._在庫注残,     $G25,
      _xlpm._しきい値,     _xlpm._在庫注残 * 0.75,
      _xlpm._見出し元,     $L$1:$BU$1,
      _xlpm._計画,         $L25:$BU25,
      _xlpm._最新実績日,       基準データ!$C$5,
      _xlpm._今月1日,      EOMONTH(_xlpm._最新実績日, -1) + 1,
      _xlpm._月末日,       EOMONTH(_xlpm._最新実績日, 0),
      _xlpm._今月位置,     _xlfn.XMATCH(_xlpm._今月1日, _xlpm._見出し元),
      _xlpm._今月計画按分, N(INDEX(_xlpm._計画, 1, _xlpm._今月位置))
                      * (_xlpm._月末日 - _xlpm._最新実績日)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
      </c>
      <c r="L25" s="38"/>
      <c r="M25" s="38"/>
      <c r="N25" s="38"/>
      <c r="O25" s="38"/>
      <c r="P25" s="38"/>
      <c r="Q25" s="38"/>
      <c r="R25" s="38"/>
      <c r="S25" s="38"/>
      <c r="T25" s="219"/>
      <c r="U25" s="219"/>
      <c r="V25" s="219"/>
      <c r="W25" s="219"/>
      <c r="X25" s="224"/>
      <c r="Y25" s="224"/>
      <c r="Z25" s="224"/>
      <c r="AA25" s="237"/>
      <c r="AB25" s="224"/>
      <c r="AC25" s="224" t="s">
        <v>21</v>
      </c>
      <c r="AD25" s="224" t="s">
        <v>21</v>
      </c>
      <c r="AE25" s="224" t="s">
        <v>21</v>
      </c>
      <c r="AF25" s="224" t="s">
        <v>21</v>
      </c>
      <c r="AG25" s="224" t="s">
        <v>21</v>
      </c>
      <c r="AH25" s="224" t="s">
        <v>21</v>
      </c>
      <c r="AI25" s="237" t="s">
        <v>21</v>
      </c>
      <c r="AJ25" s="804" t="s">
        <v>21</v>
      </c>
      <c r="AK25" s="224" t="s">
        <v>21</v>
      </c>
      <c r="AL25" s="224" t="s">
        <v>21</v>
      </c>
      <c r="AM25" s="224" t="s">
        <v>21</v>
      </c>
      <c r="AN25" s="224" t="str">
        <f>_xlfn.LET(
_xlpm._一般検索,IFERROR(INDEX('在庫使用計画 (一般)'!$A$1:$BF$391,MATCH($C25,'在庫使用計画 (一般)'!$C$1:$C$391,0),MATCH(AN$1,'在庫使用計画 (一般)'!$A$1:$BF$1,0))*1,0),
_xlpm._法人検索,IFERROR(INDEX('在庫使用計画 (法人)'!$A$1:$BF$391,MATCH($C25,'在庫使用計画 (法人)'!$C$1:$C$391,0),MATCH(AN$1,'在庫使用計画 (法人)'!$A$1:$BF$1,0))*1,0),
_xlpm._合計,_xlpm._一般検索+_xlpm._法人検索,
IF(_xlpm._合計=0,"",_xlpm._合計)
)</f>
        <v/>
      </c>
      <c r="AO25" s="224" t="str">
        <f>_xlfn.LET(
_xlpm._一般検索,IFERROR(INDEX('在庫使用計画 (一般)'!$A$1:$BF$391,MATCH($C25,'在庫使用計画 (一般)'!$C$1:$C$391,0),MATCH(AO$1,'在庫使用計画 (一般)'!$A$1:$BF$1,0))*1,0),
_xlpm._法人検索,IFERROR(INDEX('在庫使用計画 (法人)'!$A$1:$BF$391,MATCH($C25,'在庫使用計画 (法人)'!$C$1:$C$391,0),MATCH(AO$1,'在庫使用計画 (法人)'!$A$1:$BF$1,0))*1,0),
_xlpm._合計,_xlpm._一般検索+_xlpm._法人検索,
IF(_xlpm._合計=0,"",_xlpm._合計)
)</f>
        <v/>
      </c>
      <c r="AP25" s="224" t="str">
        <f>_xlfn.LET(
_xlpm._一般検索,IFERROR(INDEX('在庫使用計画 (一般)'!$A$1:$BF$391,MATCH($C25,'在庫使用計画 (一般)'!$C$1:$C$391,0),MATCH(AP$1,'在庫使用計画 (一般)'!$A$1:$BF$1,0))*1,0),
_xlpm._法人検索,IFERROR(INDEX('在庫使用計画 (法人)'!$A$1:$BF$391,MATCH($C25,'在庫使用計画 (法人)'!$C$1:$C$391,0),MATCH(AP$1,'在庫使用計画 (法人)'!$A$1:$BF$1,0))*1,0),
_xlpm._合計,_xlpm._一般検索+_xlpm._法人検索,
IF(_xlpm._合計=0,"",_xlpm._合計)
)</f>
        <v/>
      </c>
      <c r="AQ25" s="224" t="str">
        <f>_xlfn.LET(
_xlpm._一般検索,IFERROR(INDEX('在庫使用計画 (一般)'!$A$1:$BF$391,MATCH($C25,'在庫使用計画 (一般)'!$C$1:$C$391,0),MATCH(AQ$1,'在庫使用計画 (一般)'!$A$1:$BF$1,0))*1,0),
_xlpm._法人検索,IFERROR(INDEX('在庫使用計画 (法人)'!$A$1:$BF$391,MATCH($C25,'在庫使用計画 (法人)'!$C$1:$C$391,0),MATCH(AQ$1,'在庫使用計画 (法人)'!$A$1:$BF$1,0))*1,0),
_xlpm._合計,_xlpm._一般検索+_xlpm._法人検索,
IF(_xlpm._合計=0,"",_xlpm._合計)
)</f>
        <v/>
      </c>
      <c r="AR25" s="224" t="str">
        <f>_xlfn.LET(
_xlpm._一般検索,IFERROR(INDEX('在庫使用計画 (一般)'!$A$1:$BF$391,MATCH($C25,'在庫使用計画 (一般)'!$C$1:$C$391,0),MATCH(AR$1,'在庫使用計画 (一般)'!$A$1:$BF$1,0))*1,0),
_xlpm._法人検索,IFERROR(INDEX('在庫使用計画 (法人)'!$A$1:$BF$391,MATCH($C25,'在庫使用計画 (法人)'!$C$1:$C$391,0),MATCH(AR$1,'在庫使用計画 (法人)'!$A$1:$BF$1,0))*1,0),
_xlpm._合計,_xlpm._一般検索+_xlpm._法人検索,
IF(_xlpm._合計=0,"",_xlpm._合計)
)</f>
        <v/>
      </c>
      <c r="AS25" s="224" t="str">
        <f>_xlfn.LET(
_xlpm._一般検索,IFERROR(INDEX('在庫使用計画 (一般)'!$A$1:$BF$391,MATCH($C25,'在庫使用計画 (一般)'!$C$1:$C$391,0),MATCH(AS$1,'在庫使用計画 (一般)'!$A$1:$BF$1,0))*1,0),
_xlpm._法人検索,IFERROR(INDEX('在庫使用計画 (法人)'!$A$1:$BF$391,MATCH($C25,'在庫使用計画 (法人)'!$C$1:$C$391,0),MATCH(AS$1,'在庫使用計画 (法人)'!$A$1:$BF$1,0))*1,0),
_xlpm._合計,_xlpm._一般検索+_xlpm._法人検索,
IF(_xlpm._合計=0,"",_xlpm._合計)
)</f>
        <v/>
      </c>
      <c r="AT25" s="224" t="str">
        <f>_xlfn.LET(
_xlpm._一般検索,IFERROR(INDEX('在庫使用計画 (一般)'!$A$1:$BF$391,MATCH($C25,'在庫使用計画 (一般)'!$C$1:$C$391,0),MATCH(AT$1,'在庫使用計画 (一般)'!$A$1:$BF$1,0))*1,0),
_xlpm._法人検索,IFERROR(INDEX('在庫使用計画 (法人)'!$A$1:$BF$391,MATCH($C25,'在庫使用計画 (法人)'!$C$1:$C$391,0),MATCH(AT$1,'在庫使用計画 (法人)'!$A$1:$BF$1,0))*1,0),
_xlpm._合計,_xlpm._一般検索+_xlpm._法人検索,
IF(_xlpm._合計=0,"",_xlpm._合計)
)</f>
        <v/>
      </c>
      <c r="AU25" s="805" t="str">
        <f>_xlfn.LET(
_xlpm._一般検索,IFERROR(INDEX('在庫使用計画 (一般)'!$A$1:$BF$391,MATCH($C25,'在庫使用計画 (一般)'!$C$1:$C$391,0),MATCH(AU$1,'在庫使用計画 (一般)'!$A$1:$BF$1,0))*1,0),
_xlpm._法人検索,IFERROR(INDEX('在庫使用計画 (法人)'!$A$1:$BF$391,MATCH($C25,'在庫使用計画 (法人)'!$C$1:$C$391,0),MATCH(AU$1,'在庫使用計画 (法人)'!$A$1:$BF$1,0))*1,0),
_xlpm._合計,_xlpm._一般検索+_xlpm._法人検索,
IF(_xlpm._合計=0,"",_xlpm._合計)
)</f>
        <v/>
      </c>
      <c r="AV25" s="244" t="str">
        <f>_xlfn.LET(
_xlpm._一般検索,IFERROR(INDEX('在庫使用計画 (一般)'!$A$1:$BF$391,MATCH($C25,'在庫使用計画 (一般)'!$C$1:$C$391,0),MATCH(AV$1,'在庫使用計画 (一般)'!$A$1:$BF$1,0))*1,0),
_xlpm._法人検索,IFERROR(INDEX('在庫使用計画 (法人)'!$A$1:$BF$391,MATCH($C25,'在庫使用計画 (法人)'!$C$1:$C$391,0),MATCH(AV$1,'在庫使用計画 (法人)'!$A$1:$BF$1,0))*1,0),
_xlpm._合計,_xlpm._一般検索+_xlpm._法人検索,
IF(_xlpm._合計=0,"",_xlpm._合計)
)</f>
        <v/>
      </c>
      <c r="AW25" s="224" t="str">
        <f>_xlfn.LET(
_xlpm._一般検索,IFERROR(INDEX('在庫使用計画 (一般)'!$A$1:$BF$391,MATCH($C25,'在庫使用計画 (一般)'!$C$1:$C$391,0),MATCH(AW$1,'在庫使用計画 (一般)'!$A$1:$BF$1,0))*1,0),
_xlpm._法人検索,IFERROR(INDEX('在庫使用計画 (法人)'!$A$1:$BF$391,MATCH($C25,'在庫使用計画 (法人)'!$C$1:$C$391,0),MATCH(AW$1,'在庫使用計画 (法人)'!$A$1:$BF$1,0))*1,0),
_xlpm._合計,_xlpm._一般検索+_xlpm._法人検索,
IF(_xlpm._合計=0,"",_xlpm._合計)
)</f>
        <v/>
      </c>
      <c r="AX25" s="224" t="str">
        <f>_xlfn.LET(
_xlpm._一般検索,IFERROR(INDEX('在庫使用計画 (一般)'!$A$1:$BF$391,MATCH($C25,'在庫使用計画 (一般)'!$C$1:$C$391,0),MATCH(AX$1,'在庫使用計画 (一般)'!$A$1:$BF$1,0))*1,0),
_xlpm._法人検索,IFERROR(INDEX('在庫使用計画 (法人)'!$A$1:$BF$391,MATCH($C25,'在庫使用計画 (法人)'!$C$1:$C$391,0),MATCH(AX$1,'在庫使用計画 (法人)'!$A$1:$BF$1,0))*1,0),
_xlpm._合計,_xlpm._一般検索+_xlpm._法人検索,
IF(_xlpm._合計=0,"",_xlpm._合計)
)</f>
        <v/>
      </c>
      <c r="AY25" s="224" t="str">
        <f>_xlfn.LET(
_xlpm._一般検索,IFERROR(INDEX('在庫使用計画 (一般)'!$A$1:$BF$391,MATCH($C25,'在庫使用計画 (一般)'!$C$1:$C$391,0),MATCH(AY$1,'在庫使用計画 (一般)'!$A$1:$BF$1,0))*1,0),
_xlpm._法人検索,IFERROR(INDEX('在庫使用計画 (法人)'!$A$1:$BF$391,MATCH($C25,'在庫使用計画 (法人)'!$C$1:$C$391,0),MATCH(AY$1,'在庫使用計画 (法人)'!$A$1:$BF$1,0))*1,0),
_xlpm._合計,_xlpm._一般検索+_xlpm._法人検索,
IF(_xlpm._合計=0,"",_xlpm._合計)
)</f>
        <v/>
      </c>
      <c r="AZ25" s="224" t="str">
        <f>_xlfn.LET(
_xlpm._一般検索,IFERROR(INDEX('在庫使用計画 (一般)'!$A$1:$BF$391,MATCH($C25,'在庫使用計画 (一般)'!$C$1:$C$391,0),MATCH(AZ$1,'在庫使用計画 (一般)'!$A$1:$BF$1,0))*1,0),
_xlpm._法人検索,IFERROR(INDEX('在庫使用計画 (法人)'!$A$1:$BF$391,MATCH($C25,'在庫使用計画 (法人)'!$C$1:$C$391,0),MATCH(AZ$1,'在庫使用計画 (法人)'!$A$1:$BF$1,0))*1,0),
_xlpm._合計,_xlpm._一般検索+_xlpm._法人検索,
IF(_xlpm._合計=0,"",_xlpm._合計)
)</f>
        <v/>
      </c>
      <c r="BA25" s="224" t="str">
        <f>_xlfn.LET(
_xlpm._一般検索,IFERROR(INDEX('在庫使用計画 (一般)'!$A$1:$BF$391,MATCH($C25,'在庫使用計画 (一般)'!$C$1:$C$391,0),MATCH(BA$1,'在庫使用計画 (一般)'!$A$1:$BF$1,0))*1,0),
_xlpm._法人検索,IFERROR(INDEX('在庫使用計画 (法人)'!$A$1:$BF$391,MATCH($C25,'在庫使用計画 (法人)'!$C$1:$C$391,0),MATCH(BA$1,'在庫使用計画 (法人)'!$A$1:$BF$1,0))*1,0),
_xlpm._合計,_xlpm._一般検索+_xlpm._法人検索,
IF(_xlpm._合計=0,"",_xlpm._合計)
)</f>
        <v/>
      </c>
      <c r="BB25" s="224" t="str">
        <f>_xlfn.LET(
_xlpm._一般検索,IFERROR(INDEX('在庫使用計画 (一般)'!$A$1:$BF$391,MATCH($C25,'在庫使用計画 (一般)'!$C$1:$C$391,0),MATCH(BB$1,'在庫使用計画 (一般)'!$A$1:$BF$1,0))*1,0),
_xlpm._法人検索,IFERROR(INDEX('在庫使用計画 (法人)'!$A$1:$BF$391,MATCH($C25,'在庫使用計画 (法人)'!$C$1:$C$391,0),MATCH(BB$1,'在庫使用計画 (法人)'!$A$1:$BF$1,0))*1,0),
_xlpm._合計,_xlpm._一般検索+_xlpm._法人検索,
IF(_xlpm._合計=0,"",_xlpm._合計)
)</f>
        <v/>
      </c>
      <c r="BC25" s="224" t="str">
        <f>_xlfn.LET(
_xlpm._一般検索,IFERROR(INDEX('在庫使用計画 (一般)'!$A$1:$BF$391,MATCH($C25,'在庫使用計画 (一般)'!$C$1:$C$391,0),MATCH(BC$1,'在庫使用計画 (一般)'!$A$1:$BF$1,0))*1,0),
_xlpm._法人検索,IFERROR(INDEX('在庫使用計画 (法人)'!$A$1:$BF$391,MATCH($C25,'在庫使用計画 (法人)'!$C$1:$C$391,0),MATCH(BC$1,'在庫使用計画 (法人)'!$A$1:$BF$1,0))*1,0),
_xlpm._合計,_xlpm._一般検索+_xlpm._法人検索,
IF(_xlpm._合計=0,"",_xlpm._合計)
)</f>
        <v/>
      </c>
      <c r="BD25" s="224" t="str">
        <f>_xlfn.LET(
_xlpm._一般検索,IFERROR(INDEX('在庫使用計画 (一般)'!$A$1:$BF$391,MATCH($C25,'在庫使用計画 (一般)'!$C$1:$C$391,0),MATCH(BD$1,'在庫使用計画 (一般)'!$A$1:$BF$1,0))*1,0),
_xlpm._法人検索,IFERROR(INDEX('在庫使用計画 (法人)'!$A$1:$BF$391,MATCH($C25,'在庫使用計画 (法人)'!$C$1:$C$391,0),MATCH(BD$1,'在庫使用計画 (法人)'!$A$1:$BF$1,0))*1,0),
_xlpm._合計,_xlpm._一般検索+_xlpm._法人検索,
IF(_xlpm._合計=0,"",_xlpm._合計)
)</f>
        <v/>
      </c>
      <c r="BE25" s="224" t="str">
        <f>_xlfn.LET(
_xlpm._一般検索,IFERROR(INDEX('在庫使用計画 (一般)'!$A$1:$BF$391,MATCH($C25,'在庫使用計画 (一般)'!$C$1:$C$391,0),MATCH(BE$1,'在庫使用計画 (一般)'!$A$1:$BF$1,0))*1,0),
_xlpm._法人検索,IFERROR(INDEX('在庫使用計画 (法人)'!$A$1:$BF$391,MATCH($C25,'在庫使用計画 (法人)'!$C$1:$C$391,0),MATCH(BE$1,'在庫使用計画 (法人)'!$A$1:$BF$1,0))*1,0),
_xlpm._合計,_xlpm._一般検索+_xlpm._法人検索,
IF(_xlpm._合計=0,"",_xlpm._合計)
)</f>
        <v/>
      </c>
      <c r="BF25" s="224" t="str">
        <f>_xlfn.LET(
_xlpm._一般検索,IFERROR(INDEX('在庫使用計画 (一般)'!$A$1:$BF$391,MATCH($C25,'在庫使用計画 (一般)'!$C$1:$C$391,0),MATCH(BF$1,'在庫使用計画 (一般)'!$A$1:$BF$1,0))*1,0),
_xlpm._法人検索,IFERROR(INDEX('在庫使用計画 (法人)'!$A$1:$BF$391,MATCH($C25,'在庫使用計画 (法人)'!$C$1:$C$391,0),MATCH(BF$1,'在庫使用計画 (法人)'!$A$1:$BF$1,0))*1,0),
_xlpm._合計,_xlpm._一般検索+_xlpm._法人検索,
IF(_xlpm._合計=0,"",_xlpm._合計)
)</f>
        <v/>
      </c>
      <c r="BG25" s="237" t="str">
        <f>_xlfn.LET(
_xlpm._一般検索,IFERROR(INDEX('在庫使用計画 (一般)'!$A$1:$BF$391,MATCH($C25,'在庫使用計画 (一般)'!$C$1:$C$391,0),MATCH(BG$1,'在庫使用計画 (一般)'!$A$1:$BF$1,0))*1,0),
_xlpm._法人検索,IFERROR(INDEX('在庫使用計画 (法人)'!$A$1:$BF$391,MATCH($C25,'在庫使用計画 (法人)'!$C$1:$C$391,0),MATCH(BG$1,'在庫使用計画 (法人)'!$A$1:$BF$1,0))*1,0),
_xlpm._合計,_xlpm._一般検索+_xlpm._法人検索,
IF(_xlpm._合計=0,"",_xlpm._合計)
)</f>
        <v/>
      </c>
      <c r="BH25" s="804" t="str">
        <f>_xlfn.LET(
_xlpm._一般検索,IFERROR(INDEX('在庫使用計画 (一般)'!$A$1:$BF$391,MATCH($C25,'在庫使用計画 (一般)'!$C$1:$C$391,0),MATCH(BH$1,'在庫使用計画 (一般)'!$A$1:$BF$1,0))*1,0),
_xlpm._法人検索,IFERROR(INDEX('在庫使用計画 (法人)'!$A$1:$BF$391,MATCH($C25,'在庫使用計画 (法人)'!$C$1:$C$391,0),MATCH(BH$1,'在庫使用計画 (法人)'!$A$1:$BF$1,0))*1,0),
_xlpm._合計,_xlpm._一般検索+_xlpm._法人検索,
IF(_xlpm._合計=0,"",_xlpm._合計)
)</f>
        <v/>
      </c>
      <c r="BI25" s="224" t="str">
        <f>_xlfn.LET(
_xlpm._一般検索,IFERROR(INDEX('在庫使用計画 (一般)'!$A$1:$BF$391,MATCH($C25,'在庫使用計画 (一般)'!$C$1:$C$391,0),MATCH(BI$1,'在庫使用計画 (一般)'!$A$1:$BF$1,0))*1,0),
_xlpm._法人検索,IFERROR(INDEX('在庫使用計画 (法人)'!$A$1:$BF$391,MATCH($C25,'在庫使用計画 (法人)'!$C$1:$C$391,0),MATCH(BI$1,'在庫使用計画 (法人)'!$A$1:$BF$1,0))*1,0),
_xlpm._合計,_xlpm._一般検索+_xlpm._法人検索,
IF(_xlpm._合計=0,"",_xlpm._合計)
)</f>
        <v/>
      </c>
      <c r="BJ25" s="224" t="str">
        <f>_xlfn.LET(
_xlpm._一般検索,IFERROR(INDEX('在庫使用計画 (一般)'!$A$1:$BF$391,MATCH($C25,'在庫使用計画 (一般)'!$C$1:$C$391,0),MATCH(BJ$1,'在庫使用計画 (一般)'!$A$1:$BF$1,0))*1,0),
_xlpm._法人検索,IFERROR(INDEX('在庫使用計画 (法人)'!$A$1:$BF$391,MATCH($C25,'在庫使用計画 (法人)'!$C$1:$C$391,0),MATCH(BJ$1,'在庫使用計画 (法人)'!$A$1:$BF$1,0))*1,0),
_xlpm._合計,_xlpm._一般検索+_xlpm._法人検索,
IF(_xlpm._合計=0,"",_xlpm._合計)
)</f>
        <v/>
      </c>
      <c r="BK25" s="224" t="str">
        <f>_xlfn.LET(
_xlpm._一般検索,IFERROR(INDEX('在庫使用計画 (一般)'!$A$1:$BF$391,MATCH($C25,'在庫使用計画 (一般)'!$C$1:$C$391,0),MATCH(BK$1,'在庫使用計画 (一般)'!$A$1:$BF$1,0))*1,0),
_xlpm._法人検索,IFERROR(INDEX('在庫使用計画 (法人)'!$A$1:$BF$391,MATCH($C25,'在庫使用計画 (法人)'!$C$1:$C$391,0),MATCH(BK$1,'在庫使用計画 (法人)'!$A$1:$BF$1,0))*1,0),
_xlpm._合計,_xlpm._一般検索+_xlpm._法人検索,
IF(_xlpm._合計=0,"",_xlpm._合計)
)</f>
        <v/>
      </c>
      <c r="BL25" s="224" t="str">
        <f>_xlfn.LET(
_xlpm._一般検索,IFERROR(INDEX('在庫使用計画 (一般)'!$A$1:$BF$391,MATCH($C25,'在庫使用計画 (一般)'!$C$1:$C$391,0),MATCH(BL$1,'在庫使用計画 (一般)'!$A$1:$BF$1,0))*1,0),
_xlpm._法人検索,IFERROR(INDEX('在庫使用計画 (法人)'!$A$1:$BF$391,MATCH($C25,'在庫使用計画 (法人)'!$C$1:$C$391,0),MATCH(BL$1,'在庫使用計画 (法人)'!$A$1:$BF$1,0))*1,0),
_xlpm._合計,_xlpm._一般検索+_xlpm._法人検索,
IF(_xlpm._合計=0,"",_xlpm._合計)
)</f>
        <v/>
      </c>
      <c r="BM25" s="224" t="str">
        <f>_xlfn.LET(
_xlpm._一般検索,IFERROR(INDEX('在庫使用計画 (一般)'!$A$1:$BF$391,MATCH($C25,'在庫使用計画 (一般)'!$C$1:$C$391,0),MATCH(BM$1,'在庫使用計画 (一般)'!$A$1:$BF$1,0))*1,0),
_xlpm._法人検索,IFERROR(INDEX('在庫使用計画 (法人)'!$A$1:$BF$391,MATCH($C25,'在庫使用計画 (法人)'!$C$1:$C$391,0),MATCH(BM$1,'在庫使用計画 (法人)'!$A$1:$BF$1,0))*1,0),
_xlpm._合計,_xlpm._一般検索+_xlpm._法人検索,
IF(_xlpm._合計=0,"",_xlpm._合計)
)</f>
        <v/>
      </c>
      <c r="BN25" s="224" t="str">
        <f>_xlfn.LET(
_xlpm._一般検索,IFERROR(INDEX('在庫使用計画 (一般)'!$A$1:$BF$391,MATCH($C25,'在庫使用計画 (一般)'!$C$1:$C$391,0),MATCH(BN$1,'在庫使用計画 (一般)'!$A$1:$BF$1,0))*1,0),
_xlpm._法人検索,IFERROR(INDEX('在庫使用計画 (法人)'!$A$1:$BF$391,MATCH($C25,'在庫使用計画 (法人)'!$C$1:$C$391,0),MATCH(BN$1,'在庫使用計画 (法人)'!$A$1:$BF$1,0))*1,0),
_xlpm._合計,_xlpm._一般検索+_xlpm._法人検索,
IF(_xlpm._合計=0,"",_xlpm._合計)
)</f>
        <v/>
      </c>
      <c r="BO25" s="224" t="str">
        <f>_xlfn.LET(
_xlpm._一般検索,IFERROR(INDEX('在庫使用計画 (一般)'!$A$1:$BF$391,MATCH($C25,'在庫使用計画 (一般)'!$C$1:$C$391,0),MATCH(BO$1,'在庫使用計画 (一般)'!$A$1:$BF$1,0))*1,0),
_xlpm._法人検索,IFERROR(INDEX('在庫使用計画 (法人)'!$A$1:$BF$391,MATCH($C25,'在庫使用計画 (法人)'!$C$1:$C$391,0),MATCH(BO$1,'在庫使用計画 (法人)'!$A$1:$BF$1,0))*1,0),
_xlpm._合計,_xlpm._一般検索+_xlpm._法人検索,
IF(_xlpm._合計=0,"",_xlpm._合計)
)</f>
        <v/>
      </c>
      <c r="BP25" s="224" t="str">
        <f>_xlfn.LET(
_xlpm._一般検索,IFERROR(INDEX('在庫使用計画 (一般)'!$A$1:$BF$391,MATCH($C25,'在庫使用計画 (一般)'!$C$1:$C$391,0),MATCH(BP$1,'在庫使用計画 (一般)'!$A$1:$BF$1,0))*1,0),
_xlpm._法人検索,IFERROR(INDEX('在庫使用計画 (法人)'!$A$1:$BF$391,MATCH($C25,'在庫使用計画 (法人)'!$C$1:$C$391,0),MATCH(BP$1,'在庫使用計画 (法人)'!$A$1:$BF$1,0))*1,0),
_xlpm._合計,_xlpm._一般検索+_xlpm._法人検索,
IF(_xlpm._合計=0,"",_xlpm._合計)
)</f>
        <v/>
      </c>
      <c r="BQ25" s="224" t="str">
        <f>_xlfn.LET(
_xlpm._一般検索,IFERROR(INDEX('在庫使用計画 (一般)'!$A$1:$BF$391,MATCH($C25,'在庫使用計画 (一般)'!$C$1:$C$391,0),MATCH(BQ$1,'在庫使用計画 (一般)'!$A$1:$BF$1,0))*1,0),
_xlpm._法人検索,IFERROR(INDEX('在庫使用計画 (法人)'!$A$1:$BF$391,MATCH($C25,'在庫使用計画 (法人)'!$C$1:$C$391,0),MATCH(BQ$1,'在庫使用計画 (法人)'!$A$1:$BF$1,0))*1,0),
_xlpm._合計,_xlpm._一般検索+_xlpm._法人検索,
IF(_xlpm._合計=0,"",_xlpm._合計)
)</f>
        <v/>
      </c>
      <c r="BR25" s="224" t="str">
        <f>_xlfn.LET(
_xlpm._一般検索,IFERROR(INDEX('在庫使用計画 (一般)'!$A$1:$BF$391,MATCH($C25,'在庫使用計画 (一般)'!$C$1:$C$391,0),MATCH(BR$1,'在庫使用計画 (一般)'!$A$1:$BF$1,0))*1,0),
_xlpm._法人検索,IFERROR(INDEX('在庫使用計画 (法人)'!$A$1:$BF$391,MATCH($C25,'在庫使用計画 (法人)'!$C$1:$C$391,0),MATCH(BR$1,'在庫使用計画 (法人)'!$A$1:$BF$1,0))*1,0),
_xlpm._合計,_xlpm._一般検索+_xlpm._法人検索,
IF(_xlpm._合計=0,"",_xlpm._合計)
)</f>
        <v/>
      </c>
      <c r="BS25" s="805" t="str">
        <f>_xlfn.LET(
_xlpm._一般検索,IFERROR(INDEX('在庫使用計画 (一般)'!$A$1:$BF$391,MATCH($C25,'在庫使用計画 (一般)'!$C$1:$C$391,0),MATCH(BS$1,'在庫使用計画 (一般)'!$A$1:$BF$1,0))*1,0),
_xlpm._法人検索,IFERROR(INDEX('在庫使用計画 (法人)'!$A$1:$BF$391,MATCH($C25,'在庫使用計画 (法人)'!$C$1:$C$391,0),MATCH(BS$1,'在庫使用計画 (法人)'!$A$1:$BF$1,0))*1,0),
_xlpm._合計,_xlpm._一般検索+_xlpm._法人検索,
IF(_xlpm._合計=0,"",_xlpm._合計)
)</f>
        <v/>
      </c>
      <c r="BT25" s="21"/>
    </row>
    <row r="26" spans="1:72" s="1227" customFormat="1" ht="18.75" customHeight="1">
      <c r="A26" s="1231"/>
      <c r="B26" s="1228"/>
      <c r="C26" s="1228" t="s">
        <v>1810</v>
      </c>
      <c r="D26" s="2157"/>
      <c r="E26" s="1228"/>
      <c r="F26" s="1228"/>
      <c r="G26" s="1232"/>
      <c r="H26" s="1232"/>
      <c r="I26" s="1232"/>
      <c r="J26" s="1232"/>
      <c r="K26" s="1233"/>
      <c r="L26" s="1232"/>
      <c r="M26" s="1232"/>
      <c r="N26" s="1232"/>
      <c r="O26" s="1232"/>
      <c r="P26" s="1232"/>
      <c r="Q26" s="1232"/>
      <c r="R26" s="1232"/>
      <c r="S26" s="1232"/>
      <c r="T26" s="1232"/>
      <c r="U26" s="1232"/>
      <c r="V26" s="1232"/>
      <c r="W26" s="1232"/>
      <c r="X26" s="1233"/>
      <c r="Y26" s="1233"/>
      <c r="Z26" s="1233"/>
      <c r="AA26" s="1234"/>
      <c r="AB26" s="1233"/>
      <c r="AC26" s="1233"/>
      <c r="AD26" s="1233"/>
      <c r="AE26" s="1233">
        <v>0.81728600837659349</v>
      </c>
      <c r="AF26" s="1233">
        <v>0.80624460862238312</v>
      </c>
      <c r="AG26" s="1233">
        <v>0.8694347342678227</v>
      </c>
      <c r="AH26" s="1233">
        <v>1.1364776580948708</v>
      </c>
      <c r="AI26" s="1234">
        <v>1.5723283721286114</v>
      </c>
      <c r="AJ26" s="1235">
        <v>0.83619078895702703</v>
      </c>
      <c r="AK26" s="1233">
        <v>0.9001963070540846</v>
      </c>
      <c r="AL26" s="1233">
        <v>1.4387977658748987</v>
      </c>
      <c r="AM26" s="1233">
        <v>0.76975830708334225</v>
      </c>
      <c r="AN26" s="1233">
        <v>0.79831795873914724</v>
      </c>
      <c r="AO26" s="1233">
        <v>1.1571092817687738</v>
      </c>
      <c r="AP26" s="1233">
        <v>1.2684429837076243</v>
      </c>
      <c r="AQ26" s="1233">
        <v>0.81728600837659349</v>
      </c>
      <c r="AR26" s="1233">
        <v>0.80624460862238312</v>
      </c>
      <c r="AS26" s="1233">
        <v>0.8694347342678227</v>
      </c>
      <c r="AT26" s="1233">
        <v>1.1364776580948708</v>
      </c>
      <c r="AU26" s="1236">
        <v>1.5723283721286114</v>
      </c>
      <c r="AV26" s="1237">
        <v>0.83619078895702703</v>
      </c>
      <c r="AW26" s="1233">
        <v>0.9001963070540846</v>
      </c>
      <c r="AX26" s="1233">
        <v>1.4387977658748987</v>
      </c>
      <c r="AY26" s="1233">
        <v>0.76975830708334225</v>
      </c>
      <c r="AZ26" s="1233">
        <v>0.79831795873914724</v>
      </c>
      <c r="BA26" s="1233">
        <v>1.1571092817687738</v>
      </c>
      <c r="BB26" s="1233">
        <v>1.2684429837076243</v>
      </c>
      <c r="BC26" s="1233">
        <v>0.81728600837659349</v>
      </c>
      <c r="BD26" s="1233">
        <v>0.80624460862238312</v>
      </c>
      <c r="BE26" s="1233">
        <v>0.8694347342678227</v>
      </c>
      <c r="BF26" s="1233">
        <v>1.1364776580948708</v>
      </c>
      <c r="BG26" s="1234">
        <v>1.5723283721286114</v>
      </c>
      <c r="BH26" s="1235"/>
      <c r="BI26" s="1233"/>
      <c r="BJ26" s="1233"/>
      <c r="BK26" s="1233"/>
      <c r="BL26" s="1233"/>
      <c r="BM26" s="1233"/>
      <c r="BN26" s="1233"/>
      <c r="BO26" s="1233" t="str">
        <f>_xlfn.LET(
  _xlpm._一般,INDEX('在庫使用計画 (一般)'!$A$1:$BF$316,MATCH($C26,'在庫使用計画 (一般)'!$C$1:$C$316,0),MATCH(BO$1,'在庫使用計画 (一般)'!$A$1:$BF$1,0)),
  _xlpm._法人,INDEX('在庫使用計画 (法人)'!$A$1:$BF$327,MATCH($C26,'在庫使用計画 (法人)'!$C$1:$C$327,0),MATCH(BO$1,'在庫使用計画 (法人)'!$A$1:$BF$1,0)),
 IFERROR(
  IF(_xlpm._一般+_xlpm._法人=0,"",_xlpm._一般+_xlpm._法人
  ),
 "")
)</f>
        <v/>
      </c>
      <c r="BP26" s="1233" t="str">
        <f>_xlfn.LET(
  _xlpm._一般,INDEX('在庫使用計画 (一般)'!$A$1:$BF$316,MATCH($C26,'在庫使用計画 (一般)'!$C$1:$C$316,0),MATCH(BP$1,'在庫使用計画 (一般)'!$A$1:$BF$1,0)),
  _xlpm._法人,INDEX('在庫使用計画 (法人)'!$A$1:$BF$327,MATCH($C26,'在庫使用計画 (法人)'!$C$1:$C$327,0),MATCH(BP$1,'在庫使用計画 (法人)'!$A$1:$BF$1,0)),
 IFERROR(
  IF(_xlpm._一般+_xlpm._法人=0,"",_xlpm._一般+_xlpm._法人
  ),
 "")
)</f>
        <v/>
      </c>
      <c r="BQ26" s="1233" t="str">
        <f>_xlfn.LET(
  _xlpm._一般,INDEX('在庫使用計画 (一般)'!$A$1:$BF$316,MATCH($C26,'在庫使用計画 (一般)'!$C$1:$C$316,0),MATCH(BQ$1,'在庫使用計画 (一般)'!$A$1:$BF$1,0)),
  _xlpm._法人,INDEX('在庫使用計画 (法人)'!$A$1:$BF$327,MATCH($C26,'在庫使用計画 (法人)'!$C$1:$C$327,0),MATCH(BQ$1,'在庫使用計画 (法人)'!$A$1:$BF$1,0)),
 IFERROR(
  IF(_xlpm._一般+_xlpm._法人=0,"",_xlpm._一般+_xlpm._法人
  ),
 "")
)</f>
        <v/>
      </c>
      <c r="BR26" s="1233" t="str">
        <f>_xlfn.LET(
  _xlpm._一般,INDEX('在庫使用計画 (一般)'!$A$1:$BF$316,MATCH($C26,'在庫使用計画 (一般)'!$C$1:$C$316,0),MATCH(BR$1,'在庫使用計画 (一般)'!$A$1:$BF$1,0)),
  _xlpm._法人,INDEX('在庫使用計画 (法人)'!$A$1:$BF$327,MATCH($C26,'在庫使用計画 (法人)'!$C$1:$C$327,0),MATCH(BR$1,'在庫使用計画 (法人)'!$A$1:$BF$1,0)),
 IFERROR(
  IF(_xlpm._一般+_xlpm._法人=0,"",_xlpm._一般+_xlpm._法人
  ),
 "")
)</f>
        <v/>
      </c>
      <c r="BS26" s="1236" t="str">
        <f>_xlfn.LET(
  _xlpm._一般,INDEX('在庫使用計画 (一般)'!$A$1:$BF$316,MATCH($C26,'在庫使用計画 (一般)'!$C$1:$C$316,0),MATCH(BS$1,'在庫使用計画 (一般)'!$A$1:$BF$1,0)),
  _xlpm._法人,INDEX('在庫使用計画 (法人)'!$A$1:$BF$327,MATCH($C26,'在庫使用計画 (法人)'!$C$1:$C$327,0),MATCH(BS$1,'在庫使用計画 (法人)'!$A$1:$BF$1,0)),
 IFERROR(
  IF(_xlpm._一般+_xlpm._法人=0,"",_xlpm._一般+_xlpm._法人
  ),
 "")
)</f>
        <v/>
      </c>
      <c r="BT26" s="1229"/>
    </row>
    <row r="27" spans="1:72" customFormat="1" ht="18.75" customHeight="1">
      <c r="A27" s="1062"/>
      <c r="B27" s="152" t="s">
        <v>1376</v>
      </c>
      <c r="C27" s="152" t="s">
        <v>1377</v>
      </c>
      <c r="D27" s="2158"/>
      <c r="E27" s="152"/>
      <c r="F27" s="152"/>
      <c r="G27" s="356">
        <f>SUM(G2:G25)</f>
        <v>9143</v>
      </c>
      <c r="H27" s="356">
        <f t="shared" ref="H27:J27" si="0">SUM(H2:H25)</f>
        <v>5381</v>
      </c>
      <c r="I27" s="45">
        <f t="shared" si="0"/>
        <v>8366.2263743648691</v>
      </c>
      <c r="J27" s="45">
        <f t="shared" si="0"/>
        <v>8881.3496044046788</v>
      </c>
      <c r="K27" s="155"/>
      <c r="L27" s="45">
        <v>605</v>
      </c>
      <c r="M27" s="45">
        <v>410</v>
      </c>
      <c r="N27" s="45">
        <v>610</v>
      </c>
      <c r="O27" s="45">
        <v>75</v>
      </c>
      <c r="P27" s="45">
        <v>630.76743487795352</v>
      </c>
      <c r="Q27" s="45">
        <v>1080.8329485429899</v>
      </c>
      <c r="R27" s="45">
        <v>1127.2425246965872</v>
      </c>
      <c r="S27" s="45">
        <v>1123.6679633186577</v>
      </c>
      <c r="T27" s="45">
        <v>1171.1542914217121</v>
      </c>
      <c r="U27" s="45">
        <v>1268.946162228538</v>
      </c>
      <c r="V27" s="45">
        <v>1821.0945084771517</v>
      </c>
      <c r="W27" s="45">
        <v>2088.1220119704062</v>
      </c>
      <c r="X27" s="45">
        <v>2081.8851652791095</v>
      </c>
      <c r="Y27" s="45">
        <v>2027.5555555555557</v>
      </c>
      <c r="Z27" s="45">
        <v>2519.2556427377931</v>
      </c>
      <c r="AA27" s="45">
        <v>2368.653043848446</v>
      </c>
      <c r="AB27" s="45">
        <v>2772.8144269542386</v>
      </c>
      <c r="AC27" s="45">
        <v>3234.375</v>
      </c>
      <c r="AD27" s="45">
        <v>3845.0680871626046</v>
      </c>
      <c r="AE27" s="45">
        <v>2949.5363309463437</v>
      </c>
      <c r="AF27" s="45">
        <v>3403.6070219931398</v>
      </c>
      <c r="AG27" s="45">
        <v>3210.6383612239197</v>
      </c>
      <c r="AH27" s="45">
        <v>2760.8672594692298</v>
      </c>
      <c r="AI27" s="388">
        <v>2740.9444444444443</v>
      </c>
      <c r="AJ27" s="836">
        <v>1731.0192836145916</v>
      </c>
      <c r="AK27" s="225">
        <v>2322.5407951155194</v>
      </c>
      <c r="AL27" s="225">
        <v>3063.0267081485877</v>
      </c>
      <c r="AM27" s="225">
        <v>2249.2457427369072</v>
      </c>
      <c r="AN27" s="225">
        <f t="shared" ref="AN27:BS27" si="1">SUM(AN2:AN25)</f>
        <v>2241</v>
      </c>
      <c r="AO27" s="225">
        <f t="shared" si="1"/>
        <v>2372.5710928176877</v>
      </c>
      <c r="AP27" s="225">
        <f t="shared" si="1"/>
        <v>2440.6772714984254</v>
      </c>
      <c r="AQ27" s="225">
        <f t="shared" si="1"/>
        <v>2423.2948176205382</v>
      </c>
      <c r="AR27" s="225">
        <f t="shared" si="1"/>
        <v>1873.4081032791839</v>
      </c>
      <c r="AS27" s="225">
        <f t="shared" si="1"/>
        <v>1630.7494077731722</v>
      </c>
      <c r="AT27" s="225">
        <f t="shared" si="1"/>
        <v>1733.5586399825711</v>
      </c>
      <c r="AU27" s="807">
        <f t="shared" si="1"/>
        <v>2646.951737003345</v>
      </c>
      <c r="AV27" s="418">
        <f t="shared" si="1"/>
        <v>2083.7988226174189</v>
      </c>
      <c r="AW27" s="225">
        <f t="shared" si="1"/>
        <v>1908.6208785888989</v>
      </c>
      <c r="AX27" s="225">
        <f t="shared" si="1"/>
        <v>2438.3085868260459</v>
      </c>
      <c r="AY27" s="225">
        <f t="shared" si="1"/>
        <v>217.32751623400677</v>
      </c>
      <c r="AZ27" s="225">
        <f t="shared" si="1"/>
        <v>186</v>
      </c>
      <c r="BA27" s="225">
        <f t="shared" si="1"/>
        <v>0</v>
      </c>
      <c r="BB27" s="225">
        <f t="shared" si="1"/>
        <v>0</v>
      </c>
      <c r="BC27" s="225">
        <f t="shared" si="1"/>
        <v>0</v>
      </c>
      <c r="BD27" s="225">
        <f t="shared" si="1"/>
        <v>0</v>
      </c>
      <c r="BE27" s="225">
        <f t="shared" si="1"/>
        <v>0</v>
      </c>
      <c r="BF27" s="225">
        <f t="shared" si="1"/>
        <v>0</v>
      </c>
      <c r="BG27" s="798">
        <f t="shared" si="1"/>
        <v>0</v>
      </c>
      <c r="BH27" s="806">
        <f t="shared" si="1"/>
        <v>0</v>
      </c>
      <c r="BI27" s="225">
        <f t="shared" si="1"/>
        <v>0</v>
      </c>
      <c r="BJ27" s="225">
        <f t="shared" si="1"/>
        <v>0</v>
      </c>
      <c r="BK27" s="225">
        <f t="shared" si="1"/>
        <v>0</v>
      </c>
      <c r="BL27" s="225">
        <f t="shared" si="1"/>
        <v>0</v>
      </c>
      <c r="BM27" s="225">
        <f t="shared" si="1"/>
        <v>0</v>
      </c>
      <c r="BN27" s="225">
        <f t="shared" si="1"/>
        <v>0</v>
      </c>
      <c r="BO27" s="225">
        <f t="shared" si="1"/>
        <v>0</v>
      </c>
      <c r="BP27" s="225">
        <f t="shared" si="1"/>
        <v>0</v>
      </c>
      <c r="BQ27" s="225">
        <f t="shared" si="1"/>
        <v>0</v>
      </c>
      <c r="BR27" s="225">
        <f t="shared" si="1"/>
        <v>0</v>
      </c>
      <c r="BS27" s="807">
        <f t="shared" si="1"/>
        <v>0</v>
      </c>
      <c r="BT27" s="21"/>
    </row>
    <row r="28" spans="1:72" s="2091" customFormat="1" ht="18.75" customHeight="1">
      <c r="A28" s="1063"/>
      <c r="B28" s="2092" t="s">
        <v>1378</v>
      </c>
      <c r="C28" s="2093"/>
      <c r="D28" s="2159"/>
      <c r="E28" s="2093"/>
      <c r="F28" s="2092"/>
      <c r="G28" s="2079"/>
      <c r="H28" s="2079"/>
      <c r="I28" s="2079"/>
      <c r="J28" s="2079"/>
      <c r="K28" s="2106" t="str" cm="1">
        <f t="array" ref="K28">_xlfn.IFS(
  $C28="","",
  $G28="","発売前？",
  $G28=0,"在庫なし",
  TRUE,
  IFERROR(
    _xlfn.LET(
      _xlpm._在庫注残,     $G28,
      _xlpm._しきい値,     _xlpm._在庫注残 * 0.75,
      _xlpm._見出し元,     $L$1:$BU$1,
      _xlpm._計画,         $L28:$BU28,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
      </c>
      <c r="L28" s="2094"/>
      <c r="M28" s="2094"/>
      <c r="N28" s="2094"/>
      <c r="O28" s="2094"/>
      <c r="P28" s="2094"/>
      <c r="Q28" s="2094"/>
      <c r="R28" s="2094"/>
      <c r="S28" s="2094"/>
      <c r="T28" s="2082"/>
      <c r="U28" s="2082"/>
      <c r="V28" s="2082"/>
      <c r="W28" s="2095"/>
      <c r="X28" s="2096"/>
      <c r="Y28" s="2096"/>
      <c r="Z28" s="2097"/>
      <c r="AA28" s="2098"/>
      <c r="AB28" s="2083"/>
      <c r="AC28" s="2083"/>
      <c r="AD28" s="2083"/>
      <c r="AE28" s="2083">
        <f t="shared" ref="AE28:BS28" si="2">IF(AE$50="","",AE$50*0.67)</f>
        <v>2647.7085584595343</v>
      </c>
      <c r="AF28" s="2083">
        <f t="shared" si="2"/>
        <v>2598.4773251450974</v>
      </c>
      <c r="AG28" s="2083">
        <f t="shared" si="2"/>
        <v>2591.3679534397429</v>
      </c>
      <c r="AH28" s="2083">
        <f t="shared" si="2"/>
        <v>2872.9873812724463</v>
      </c>
      <c r="AI28" s="2095">
        <f t="shared" si="2"/>
        <v>4245.5175039459991</v>
      </c>
      <c r="AJ28" s="2087">
        <f t="shared" si="2"/>
        <v>4002.3268115657106</v>
      </c>
      <c r="AK28" s="2099">
        <f t="shared" si="2"/>
        <v>3256.1874950764477</v>
      </c>
      <c r="AL28" s="2099">
        <f t="shared" si="2"/>
        <v>4591.2259642167573</v>
      </c>
      <c r="AM28" s="2099">
        <f t="shared" si="2"/>
        <v>3363.6829523787287</v>
      </c>
      <c r="AN28" s="2099">
        <f t="shared" si="2"/>
        <v>2888.9366788378679</v>
      </c>
      <c r="AO28" s="2099">
        <f t="shared" si="2"/>
        <v>3055.29470277778</v>
      </c>
      <c r="AP28" s="2099">
        <f t="shared" si="2"/>
        <v>3467.6325946836791</v>
      </c>
      <c r="AQ28" s="2099" t="str">
        <f t="shared" si="2"/>
        <v/>
      </c>
      <c r="AR28" s="2099" t="str">
        <f t="shared" si="2"/>
        <v/>
      </c>
      <c r="AS28" s="2099" t="str">
        <f t="shared" si="2"/>
        <v/>
      </c>
      <c r="AT28" s="2099" t="str">
        <f t="shared" si="2"/>
        <v/>
      </c>
      <c r="AU28" s="2100" t="str">
        <f t="shared" si="2"/>
        <v/>
      </c>
      <c r="AV28" s="2101" t="str">
        <f t="shared" si="2"/>
        <v/>
      </c>
      <c r="AW28" s="2099" t="str">
        <f t="shared" si="2"/>
        <v/>
      </c>
      <c r="AX28" s="2099" t="str">
        <f t="shared" si="2"/>
        <v/>
      </c>
      <c r="AY28" s="2099" t="str">
        <f t="shared" si="2"/>
        <v/>
      </c>
      <c r="AZ28" s="2099" t="str">
        <f t="shared" si="2"/>
        <v/>
      </c>
      <c r="BA28" s="2099" t="str">
        <f t="shared" si="2"/>
        <v/>
      </c>
      <c r="BB28" s="2099" t="str">
        <f t="shared" si="2"/>
        <v/>
      </c>
      <c r="BC28" s="2099" t="str">
        <f t="shared" si="2"/>
        <v/>
      </c>
      <c r="BD28" s="2099" t="str">
        <f t="shared" si="2"/>
        <v/>
      </c>
      <c r="BE28" s="2099" t="str">
        <f t="shared" si="2"/>
        <v/>
      </c>
      <c r="BF28" s="2099" t="str">
        <f t="shared" si="2"/>
        <v/>
      </c>
      <c r="BG28" s="2102" t="str">
        <f t="shared" si="2"/>
        <v/>
      </c>
      <c r="BH28" s="2103" t="str">
        <f t="shared" si="2"/>
        <v/>
      </c>
      <c r="BI28" s="2099" t="str">
        <f t="shared" si="2"/>
        <v/>
      </c>
      <c r="BJ28" s="2099" t="str">
        <f t="shared" si="2"/>
        <v/>
      </c>
      <c r="BK28" s="2099" t="str">
        <f t="shared" si="2"/>
        <v/>
      </c>
      <c r="BL28" s="2099" t="str">
        <f t="shared" si="2"/>
        <v/>
      </c>
      <c r="BM28" s="2099" t="str">
        <f t="shared" si="2"/>
        <v/>
      </c>
      <c r="BN28" s="2099" t="str">
        <f t="shared" si="2"/>
        <v/>
      </c>
      <c r="BO28" s="2099" t="str">
        <f t="shared" si="2"/>
        <v/>
      </c>
      <c r="BP28" s="2099" t="str">
        <f t="shared" si="2"/>
        <v/>
      </c>
      <c r="BQ28" s="2099" t="str">
        <f t="shared" si="2"/>
        <v/>
      </c>
      <c r="BR28" s="2099" t="str">
        <f t="shared" si="2"/>
        <v/>
      </c>
      <c r="BS28" s="2100" t="str">
        <f t="shared" si="2"/>
        <v/>
      </c>
      <c r="BT28" s="1143"/>
    </row>
    <row r="29" spans="1:72" customFormat="1" ht="18.75" customHeight="1" thickBot="1">
      <c r="A29" s="1059"/>
      <c r="B29" s="934" t="str" cm="1">
        <f t="array" ref="B29:B45">IF($C29:$C45="","",_xlfn.XLOOKUP($C29:$C45,マスタ_EOLリスト[製品型番],マスタ_EOLリスト[綽名]))</f>
        <v/>
      </c>
      <c r="C29" s="373"/>
      <c r="D29" s="2153" t="str" cm="1">
        <f t="array" ref="D29:D45">IF(_xlfn.ANCHORARRAY(B29)="","",_xlfn.XLOOKUP(_xlfn.ANCHORARRAY(B29),購買計画one_note_貼り付け[綽名],購買計画one_note_貼り付け[累計発注数],,,-1))</f>
        <v/>
      </c>
      <c r="E29" s="26"/>
      <c r="F29" s="24"/>
      <c r="G29" s="74" t="str" cm="1">
        <f t="array" ref="G29:G45">IF($C29:$C45="","",SUMIF(マスタ_EOLリスト[[製品型番]:[製品型番]],$C29:$C45,マスタ_EOLリスト[[在庫+注残]:[在庫+注残]]))</f>
        <v/>
      </c>
      <c r="H29" s="74" t="str" cm="1">
        <f t="array" ref="H29:H45">IF($C29:$C45="","",SUMIF(マスタ_EOLリスト[[製品型番]:[製品型番]],$C29:$C45,マスタ_EOLリスト[[在庫]:[在庫]]))</f>
        <v/>
      </c>
      <c r="I29" s="38" t="str" cm="1">
        <f t="array" ref="I29">IF($C29="","",
_xlfn.LET(
  _xlpm._見出し,$A$1:$BT$1,
  _xlpm._行,$A29:$BT29,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
      </c>
      <c r="J29" s="74" t="str" cm="1">
        <f t="array" ref="J29">_xlfn.LET(
  _xlpm._見出し,$A$1:$BS$1,
  _xlpm._行,$A29:$BS29,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IF($C29="","",_xlpm._四点五月計画合計)
)</f>
        <v/>
      </c>
      <c r="K29" s="1458" t="str" cm="1">
        <f t="array" ref="K29">_xlfn.IFS(
  $C29="","",
  $G29="","発売前？",
  $G29=0,"在庫なし",
  TRUE,
  IFERROR(
    _xlfn.LET(
      _xlpm._在庫注残,     $G29,
      _xlpm._しきい値,     _xlpm._在庫注残 * 0.75,
      _xlpm._見出し元,     $L$1:$BU$1,
      _xlpm._計画,         $L29:$BU29,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
      </c>
      <c r="L29" s="38" t="s">
        <v>21</v>
      </c>
      <c r="M29" s="38" t="s">
        <v>21</v>
      </c>
      <c r="N29" s="38" t="s">
        <v>21</v>
      </c>
      <c r="O29" s="38" t="s">
        <v>21</v>
      </c>
      <c r="P29" s="38" t="s">
        <v>21</v>
      </c>
      <c r="Q29" s="38" t="s">
        <v>21</v>
      </c>
      <c r="R29" s="38" t="s">
        <v>21</v>
      </c>
      <c r="S29" s="38" t="s">
        <v>21</v>
      </c>
      <c r="T29" s="219" t="s">
        <v>21</v>
      </c>
      <c r="U29" s="219" t="s">
        <v>21</v>
      </c>
      <c r="V29" s="219" t="s">
        <v>21</v>
      </c>
      <c r="W29" s="219" t="s">
        <v>21</v>
      </c>
      <c r="X29" s="224" t="s">
        <v>21</v>
      </c>
      <c r="Y29" s="224" t="s">
        <v>21</v>
      </c>
      <c r="Z29" s="224" t="s">
        <v>21</v>
      </c>
      <c r="AA29" s="237" t="s">
        <v>21</v>
      </c>
      <c r="AB29" s="224" t="s">
        <v>21</v>
      </c>
      <c r="AC29" s="224" t="s">
        <v>21</v>
      </c>
      <c r="AD29" s="237" t="s">
        <v>21</v>
      </c>
      <c r="AE29" s="237" t="s">
        <v>21</v>
      </c>
      <c r="AF29" s="237" t="s">
        <v>21</v>
      </c>
      <c r="AG29" s="237"/>
      <c r="AH29" s="224" t="s">
        <v>21</v>
      </c>
      <c r="AI29" s="237" t="s">
        <v>21</v>
      </c>
      <c r="AJ29" s="804" t="s">
        <v>21</v>
      </c>
      <c r="AK29" s="224" t="s">
        <v>21</v>
      </c>
      <c r="AL29" s="224" t="s">
        <v>21</v>
      </c>
      <c r="AM29" s="224" t="s">
        <v>21</v>
      </c>
      <c r="AN29" s="224" t="str">
        <f>_xlfn.LET(
_xlpm._一般検索,IFERROR(INDEX('在庫使用計画 (一般)'!$A$1:$BF$391,MATCH($C29,'在庫使用計画 (一般)'!$C$1:$C$391,0),MATCH(AN$1,'在庫使用計画 (一般)'!$A$1:$BF$1,0))*1,0),
_xlpm._法人検索,IFERROR(INDEX('在庫使用計画 (法人)'!$A$1:$BF$391,MATCH($C29,'在庫使用計画 (法人)'!$C$1:$C$391,0),MATCH(AN$1,'在庫使用計画 (法人)'!$A$1:$BF$1,0))*1,0),
_xlpm._合計,_xlpm._一般検索+_xlpm._法人検索,
IF(_xlpm._合計=0,"",_xlpm._合計)
)</f>
        <v/>
      </c>
      <c r="AO29" s="224" t="str">
        <f>_xlfn.LET(
_xlpm._一般検索,IFERROR(INDEX('在庫使用計画 (一般)'!$A$1:$BF$391,MATCH($C29,'在庫使用計画 (一般)'!$C$1:$C$391,0),MATCH(AO$1,'在庫使用計画 (一般)'!$A$1:$BF$1,0))*1,0),
_xlpm._法人検索,IFERROR(INDEX('在庫使用計画 (法人)'!$A$1:$BF$391,MATCH($C29,'在庫使用計画 (法人)'!$C$1:$C$391,0),MATCH(AO$1,'在庫使用計画 (法人)'!$A$1:$BF$1,0))*1,0),
_xlpm._合計,_xlpm._一般検索+_xlpm._法人検索,
IF(_xlpm._合計=0,"",_xlpm._合計)
)</f>
        <v/>
      </c>
      <c r="AP29" s="224" t="str">
        <f>_xlfn.LET(
_xlpm._一般検索,IFERROR(INDEX('在庫使用計画 (一般)'!$A$1:$BF$391,MATCH($C29,'在庫使用計画 (一般)'!$C$1:$C$391,0),MATCH(AP$1,'在庫使用計画 (一般)'!$A$1:$BF$1,0))*1,0),
_xlpm._法人検索,IFERROR(INDEX('在庫使用計画 (法人)'!$A$1:$BF$391,MATCH($C29,'在庫使用計画 (法人)'!$C$1:$C$391,0),MATCH(AP$1,'在庫使用計画 (法人)'!$A$1:$BF$1,0))*1,0),
_xlpm._合計,_xlpm._一般検索+_xlpm._法人検索,
IF(_xlpm._合計=0,"",_xlpm._合計)
)</f>
        <v/>
      </c>
      <c r="AQ29" s="224" t="str">
        <f>_xlfn.LET(
_xlpm._一般検索,IFERROR(INDEX('在庫使用計画 (一般)'!$A$1:$BF$391,MATCH($C29,'在庫使用計画 (一般)'!$C$1:$C$391,0),MATCH(AQ$1,'在庫使用計画 (一般)'!$A$1:$BF$1,0))*1,0),
_xlpm._法人検索,IFERROR(INDEX('在庫使用計画 (法人)'!$A$1:$BF$391,MATCH($C29,'在庫使用計画 (法人)'!$C$1:$C$391,0),MATCH(AQ$1,'在庫使用計画 (法人)'!$A$1:$BF$1,0))*1,0),
_xlpm._合計,_xlpm._一般検索+_xlpm._法人検索,
IF(_xlpm._合計=0,"",_xlpm._合計)
)</f>
        <v/>
      </c>
      <c r="AR29" s="224" t="str">
        <f>_xlfn.LET(
_xlpm._一般検索,IFERROR(INDEX('在庫使用計画 (一般)'!$A$1:$BF$391,MATCH($C29,'在庫使用計画 (一般)'!$C$1:$C$391,0),MATCH(AR$1,'在庫使用計画 (一般)'!$A$1:$BF$1,0))*1,0),
_xlpm._法人検索,IFERROR(INDEX('在庫使用計画 (法人)'!$A$1:$BF$391,MATCH($C29,'在庫使用計画 (法人)'!$C$1:$C$391,0),MATCH(AR$1,'在庫使用計画 (法人)'!$A$1:$BF$1,0))*1,0),
_xlpm._合計,_xlpm._一般検索+_xlpm._法人検索,
IF(_xlpm._合計=0,"",_xlpm._合計)
)</f>
        <v/>
      </c>
      <c r="AS29" s="224" t="str">
        <f>_xlfn.LET(
_xlpm._一般検索,IFERROR(INDEX('在庫使用計画 (一般)'!$A$1:$BF$391,MATCH($C29,'在庫使用計画 (一般)'!$C$1:$C$391,0),MATCH(AS$1,'在庫使用計画 (一般)'!$A$1:$BF$1,0))*1,0),
_xlpm._法人検索,IFERROR(INDEX('在庫使用計画 (法人)'!$A$1:$BF$391,MATCH($C29,'在庫使用計画 (法人)'!$C$1:$C$391,0),MATCH(AS$1,'在庫使用計画 (法人)'!$A$1:$BF$1,0))*1,0),
_xlpm._合計,_xlpm._一般検索+_xlpm._法人検索,
IF(_xlpm._合計=0,"",_xlpm._合計)
)</f>
        <v/>
      </c>
      <c r="AT29" s="224" t="str">
        <f>_xlfn.LET(
_xlpm._一般検索,IFERROR(INDEX('在庫使用計画 (一般)'!$A$1:$BF$391,MATCH($C29,'在庫使用計画 (一般)'!$C$1:$C$391,0),MATCH(AT$1,'在庫使用計画 (一般)'!$A$1:$BF$1,0))*1,0),
_xlpm._法人検索,IFERROR(INDEX('在庫使用計画 (法人)'!$A$1:$BF$391,MATCH($C29,'在庫使用計画 (法人)'!$C$1:$C$391,0),MATCH(AT$1,'在庫使用計画 (法人)'!$A$1:$BF$1,0))*1,0),
_xlpm._合計,_xlpm._一般検索+_xlpm._法人検索,
IF(_xlpm._合計=0,"",_xlpm._合計)
)</f>
        <v/>
      </c>
      <c r="AU29" s="805" t="str">
        <f>_xlfn.LET(
_xlpm._一般検索,IFERROR(INDEX('在庫使用計画 (一般)'!$A$1:$BF$391,MATCH($C29,'在庫使用計画 (一般)'!$C$1:$C$391,0),MATCH(AU$1,'在庫使用計画 (一般)'!$A$1:$BF$1,0))*1,0),
_xlpm._法人検索,IFERROR(INDEX('在庫使用計画 (法人)'!$A$1:$BF$391,MATCH($C29,'在庫使用計画 (法人)'!$C$1:$C$391,0),MATCH(AU$1,'在庫使用計画 (法人)'!$A$1:$BF$1,0))*1,0),
_xlpm._合計,_xlpm._一般検索+_xlpm._法人検索,
IF(_xlpm._合計=0,"",_xlpm._合計)
)</f>
        <v/>
      </c>
      <c r="AV29" s="244" t="str">
        <f>_xlfn.LET(
_xlpm._一般検索,IFERROR(INDEX('在庫使用計画 (一般)'!$A$1:$BF$391,MATCH($C29,'在庫使用計画 (一般)'!$C$1:$C$391,0),MATCH(AV$1,'在庫使用計画 (一般)'!$A$1:$BF$1,0))*1,0),
_xlpm._法人検索,IFERROR(INDEX('在庫使用計画 (法人)'!$A$1:$BF$391,MATCH($C29,'在庫使用計画 (法人)'!$C$1:$C$391,0),MATCH(AV$1,'在庫使用計画 (法人)'!$A$1:$BF$1,0))*1,0),
_xlpm._合計,_xlpm._一般検索+_xlpm._法人検索,
IF(_xlpm._合計=0,"",_xlpm._合計)
)</f>
        <v/>
      </c>
      <c r="AW29" s="224" t="str">
        <f>_xlfn.LET(
_xlpm._一般検索,IFERROR(INDEX('在庫使用計画 (一般)'!$A$1:$BF$391,MATCH($C29,'在庫使用計画 (一般)'!$C$1:$C$391,0),MATCH(AW$1,'在庫使用計画 (一般)'!$A$1:$BF$1,0))*1,0),
_xlpm._法人検索,IFERROR(INDEX('在庫使用計画 (法人)'!$A$1:$BF$391,MATCH($C29,'在庫使用計画 (法人)'!$C$1:$C$391,0),MATCH(AW$1,'在庫使用計画 (法人)'!$A$1:$BF$1,0))*1,0),
_xlpm._合計,_xlpm._一般検索+_xlpm._法人検索,
IF(_xlpm._合計=0,"",_xlpm._合計)
)</f>
        <v/>
      </c>
      <c r="AX29" s="224" t="str">
        <f>_xlfn.LET(
_xlpm._一般検索,IFERROR(INDEX('在庫使用計画 (一般)'!$A$1:$BF$391,MATCH($C29,'在庫使用計画 (一般)'!$C$1:$C$391,0),MATCH(AX$1,'在庫使用計画 (一般)'!$A$1:$BF$1,0))*1,0),
_xlpm._法人検索,IFERROR(INDEX('在庫使用計画 (法人)'!$A$1:$BF$391,MATCH($C29,'在庫使用計画 (法人)'!$C$1:$C$391,0),MATCH(AX$1,'在庫使用計画 (法人)'!$A$1:$BF$1,0))*1,0),
_xlpm._合計,_xlpm._一般検索+_xlpm._法人検索,
IF(_xlpm._合計=0,"",_xlpm._合計)
)</f>
        <v/>
      </c>
      <c r="AY29" s="224" t="str">
        <f>_xlfn.LET(
_xlpm._一般検索,IFERROR(INDEX('在庫使用計画 (一般)'!$A$1:$BF$391,MATCH($C29,'在庫使用計画 (一般)'!$C$1:$C$391,0),MATCH(AY$1,'在庫使用計画 (一般)'!$A$1:$BF$1,0))*1,0),
_xlpm._法人検索,IFERROR(INDEX('在庫使用計画 (法人)'!$A$1:$BF$391,MATCH($C29,'在庫使用計画 (法人)'!$C$1:$C$391,0),MATCH(AY$1,'在庫使用計画 (法人)'!$A$1:$BF$1,0))*1,0),
_xlpm._合計,_xlpm._一般検索+_xlpm._法人検索,
IF(_xlpm._合計=0,"",_xlpm._合計)
)</f>
        <v/>
      </c>
      <c r="AZ29" s="224" t="str">
        <f>_xlfn.LET(
_xlpm._一般検索,IFERROR(INDEX('在庫使用計画 (一般)'!$A$1:$BF$391,MATCH($C29,'在庫使用計画 (一般)'!$C$1:$C$391,0),MATCH(AZ$1,'在庫使用計画 (一般)'!$A$1:$BF$1,0))*1,0),
_xlpm._法人検索,IFERROR(INDEX('在庫使用計画 (法人)'!$A$1:$BF$391,MATCH($C29,'在庫使用計画 (法人)'!$C$1:$C$391,0),MATCH(AZ$1,'在庫使用計画 (法人)'!$A$1:$BF$1,0))*1,0),
_xlpm._合計,_xlpm._一般検索+_xlpm._法人検索,
IF(_xlpm._合計=0,"",_xlpm._合計)
)</f>
        <v/>
      </c>
      <c r="BA29" s="224" t="str">
        <f>_xlfn.LET(
_xlpm._一般検索,IFERROR(INDEX('在庫使用計画 (一般)'!$A$1:$BF$391,MATCH($C29,'在庫使用計画 (一般)'!$C$1:$C$391,0),MATCH(BA$1,'在庫使用計画 (一般)'!$A$1:$BF$1,0))*1,0),
_xlpm._法人検索,IFERROR(INDEX('在庫使用計画 (法人)'!$A$1:$BF$391,MATCH($C29,'在庫使用計画 (法人)'!$C$1:$C$391,0),MATCH(BA$1,'在庫使用計画 (法人)'!$A$1:$BF$1,0))*1,0),
_xlpm._合計,_xlpm._一般検索+_xlpm._法人検索,
IF(_xlpm._合計=0,"",_xlpm._合計)
)</f>
        <v/>
      </c>
      <c r="BB29" s="224" t="str">
        <f>_xlfn.LET(
_xlpm._一般検索,IFERROR(INDEX('在庫使用計画 (一般)'!$A$1:$BF$391,MATCH($C29,'在庫使用計画 (一般)'!$C$1:$C$391,0),MATCH(BB$1,'在庫使用計画 (一般)'!$A$1:$BF$1,0))*1,0),
_xlpm._法人検索,IFERROR(INDEX('在庫使用計画 (法人)'!$A$1:$BF$391,MATCH($C29,'在庫使用計画 (法人)'!$C$1:$C$391,0),MATCH(BB$1,'在庫使用計画 (法人)'!$A$1:$BF$1,0))*1,0),
_xlpm._合計,_xlpm._一般検索+_xlpm._法人検索,
IF(_xlpm._合計=0,"",_xlpm._合計)
)</f>
        <v/>
      </c>
      <c r="BC29" s="224" t="str">
        <f>_xlfn.LET(
_xlpm._一般検索,IFERROR(INDEX('在庫使用計画 (一般)'!$A$1:$BF$391,MATCH($C29,'在庫使用計画 (一般)'!$C$1:$C$391,0),MATCH(BC$1,'在庫使用計画 (一般)'!$A$1:$BF$1,0))*1,0),
_xlpm._法人検索,IFERROR(INDEX('在庫使用計画 (法人)'!$A$1:$BF$391,MATCH($C29,'在庫使用計画 (法人)'!$C$1:$C$391,0),MATCH(BC$1,'在庫使用計画 (法人)'!$A$1:$BF$1,0))*1,0),
_xlpm._合計,_xlpm._一般検索+_xlpm._法人検索,
IF(_xlpm._合計=0,"",_xlpm._合計)
)</f>
        <v/>
      </c>
      <c r="BD29" s="224" t="str">
        <f>_xlfn.LET(
_xlpm._一般検索,IFERROR(INDEX('在庫使用計画 (一般)'!$A$1:$BF$391,MATCH($C29,'在庫使用計画 (一般)'!$C$1:$C$391,0),MATCH(BD$1,'在庫使用計画 (一般)'!$A$1:$BF$1,0))*1,0),
_xlpm._法人検索,IFERROR(INDEX('在庫使用計画 (法人)'!$A$1:$BF$391,MATCH($C29,'在庫使用計画 (法人)'!$C$1:$C$391,0),MATCH(BD$1,'在庫使用計画 (法人)'!$A$1:$BF$1,0))*1,0),
_xlpm._合計,_xlpm._一般検索+_xlpm._法人検索,
IF(_xlpm._合計=0,"",_xlpm._合計)
)</f>
        <v/>
      </c>
      <c r="BE29" s="224" t="str">
        <f>_xlfn.LET(
_xlpm._一般検索,IFERROR(INDEX('在庫使用計画 (一般)'!$A$1:$BF$391,MATCH($C29,'在庫使用計画 (一般)'!$C$1:$C$391,0),MATCH(BE$1,'在庫使用計画 (一般)'!$A$1:$BF$1,0))*1,0),
_xlpm._法人検索,IFERROR(INDEX('在庫使用計画 (法人)'!$A$1:$BF$391,MATCH($C29,'在庫使用計画 (法人)'!$C$1:$C$391,0),MATCH(BE$1,'在庫使用計画 (法人)'!$A$1:$BF$1,0))*1,0),
_xlpm._合計,_xlpm._一般検索+_xlpm._法人検索,
IF(_xlpm._合計=0,"",_xlpm._合計)
)</f>
        <v/>
      </c>
      <c r="BF29" s="224" t="str">
        <f>_xlfn.LET(
_xlpm._一般検索,IFERROR(INDEX('在庫使用計画 (一般)'!$A$1:$BF$391,MATCH($C29,'在庫使用計画 (一般)'!$C$1:$C$391,0),MATCH(BF$1,'在庫使用計画 (一般)'!$A$1:$BF$1,0))*1,0),
_xlpm._法人検索,IFERROR(INDEX('在庫使用計画 (法人)'!$A$1:$BF$391,MATCH($C29,'在庫使用計画 (法人)'!$C$1:$C$391,0),MATCH(BF$1,'在庫使用計画 (法人)'!$A$1:$BF$1,0))*1,0),
_xlpm._合計,_xlpm._一般検索+_xlpm._法人検索,
IF(_xlpm._合計=0,"",_xlpm._合計)
)</f>
        <v/>
      </c>
      <c r="BG29" s="237" t="str">
        <f>_xlfn.LET(
_xlpm._一般検索,IFERROR(INDEX('在庫使用計画 (一般)'!$A$1:$BF$391,MATCH($C29,'在庫使用計画 (一般)'!$C$1:$C$391,0),MATCH(BG$1,'在庫使用計画 (一般)'!$A$1:$BF$1,0))*1,0),
_xlpm._法人検索,IFERROR(INDEX('在庫使用計画 (法人)'!$A$1:$BF$391,MATCH($C29,'在庫使用計画 (法人)'!$C$1:$C$391,0),MATCH(BG$1,'在庫使用計画 (法人)'!$A$1:$BF$1,0))*1,0),
_xlpm._合計,_xlpm._一般検索+_xlpm._法人検索,
IF(_xlpm._合計=0,"",_xlpm._合計)
)</f>
        <v/>
      </c>
      <c r="BH29" s="804" t="str">
        <f>_xlfn.LET(
_xlpm._一般検索,IFERROR(INDEX('在庫使用計画 (一般)'!$A$1:$BF$391,MATCH($C29,'在庫使用計画 (一般)'!$C$1:$C$391,0),MATCH(BH$1,'在庫使用計画 (一般)'!$A$1:$BF$1,0))*1,0),
_xlpm._法人検索,IFERROR(INDEX('在庫使用計画 (法人)'!$A$1:$BF$391,MATCH($C29,'在庫使用計画 (法人)'!$C$1:$C$391,0),MATCH(BH$1,'在庫使用計画 (法人)'!$A$1:$BF$1,0))*1,0),
_xlpm._合計,_xlpm._一般検索+_xlpm._法人検索,
IF(_xlpm._合計=0,"",_xlpm._合計)
)</f>
        <v/>
      </c>
      <c r="BI29" s="224" t="str">
        <f>_xlfn.LET(
_xlpm._一般検索,IFERROR(INDEX('在庫使用計画 (一般)'!$A$1:$BF$391,MATCH($C29,'在庫使用計画 (一般)'!$C$1:$C$391,0),MATCH(BI$1,'在庫使用計画 (一般)'!$A$1:$BF$1,0))*1,0),
_xlpm._法人検索,IFERROR(INDEX('在庫使用計画 (法人)'!$A$1:$BF$391,MATCH($C29,'在庫使用計画 (法人)'!$C$1:$C$391,0),MATCH(BI$1,'在庫使用計画 (法人)'!$A$1:$BF$1,0))*1,0),
_xlpm._合計,_xlpm._一般検索+_xlpm._法人検索,
IF(_xlpm._合計=0,"",_xlpm._合計)
)</f>
        <v/>
      </c>
      <c r="BJ29" s="224" t="str">
        <f>_xlfn.LET(
_xlpm._一般検索,IFERROR(INDEX('在庫使用計画 (一般)'!$A$1:$BF$391,MATCH($C29,'在庫使用計画 (一般)'!$C$1:$C$391,0),MATCH(BJ$1,'在庫使用計画 (一般)'!$A$1:$BF$1,0))*1,0),
_xlpm._法人検索,IFERROR(INDEX('在庫使用計画 (法人)'!$A$1:$BF$391,MATCH($C29,'在庫使用計画 (法人)'!$C$1:$C$391,0),MATCH(BJ$1,'在庫使用計画 (法人)'!$A$1:$BF$1,0))*1,0),
_xlpm._合計,_xlpm._一般検索+_xlpm._法人検索,
IF(_xlpm._合計=0,"",_xlpm._合計)
)</f>
        <v/>
      </c>
      <c r="BK29" s="224" t="str">
        <f>_xlfn.LET(
_xlpm._一般検索,IFERROR(INDEX('在庫使用計画 (一般)'!$A$1:$BF$391,MATCH($C29,'在庫使用計画 (一般)'!$C$1:$C$391,0),MATCH(BK$1,'在庫使用計画 (一般)'!$A$1:$BF$1,0))*1,0),
_xlpm._法人検索,IFERROR(INDEX('在庫使用計画 (法人)'!$A$1:$BF$391,MATCH($C29,'在庫使用計画 (法人)'!$C$1:$C$391,0),MATCH(BK$1,'在庫使用計画 (法人)'!$A$1:$BF$1,0))*1,0),
_xlpm._合計,_xlpm._一般検索+_xlpm._法人検索,
IF(_xlpm._合計=0,"",_xlpm._合計)
)</f>
        <v/>
      </c>
      <c r="BL29" s="224" t="str">
        <f>_xlfn.LET(
_xlpm._一般検索,IFERROR(INDEX('在庫使用計画 (一般)'!$A$1:$BF$391,MATCH($C29,'在庫使用計画 (一般)'!$C$1:$C$391,0),MATCH(BL$1,'在庫使用計画 (一般)'!$A$1:$BF$1,0))*1,0),
_xlpm._法人検索,IFERROR(INDEX('在庫使用計画 (法人)'!$A$1:$BF$391,MATCH($C29,'在庫使用計画 (法人)'!$C$1:$C$391,0),MATCH(BL$1,'在庫使用計画 (法人)'!$A$1:$BF$1,0))*1,0),
_xlpm._合計,_xlpm._一般検索+_xlpm._法人検索,
IF(_xlpm._合計=0,"",_xlpm._合計)
)</f>
        <v/>
      </c>
      <c r="BM29" s="224" t="str">
        <f>_xlfn.LET(
_xlpm._一般検索,IFERROR(INDEX('在庫使用計画 (一般)'!$A$1:$BF$391,MATCH($C29,'在庫使用計画 (一般)'!$C$1:$C$391,0),MATCH(BM$1,'在庫使用計画 (一般)'!$A$1:$BF$1,0))*1,0),
_xlpm._法人検索,IFERROR(INDEX('在庫使用計画 (法人)'!$A$1:$BF$391,MATCH($C29,'在庫使用計画 (法人)'!$C$1:$C$391,0),MATCH(BM$1,'在庫使用計画 (法人)'!$A$1:$BF$1,0))*1,0),
_xlpm._合計,_xlpm._一般検索+_xlpm._法人検索,
IF(_xlpm._合計=0,"",_xlpm._合計)
)</f>
        <v/>
      </c>
      <c r="BN29" s="224" t="str">
        <f>_xlfn.LET(
_xlpm._一般検索,IFERROR(INDEX('在庫使用計画 (一般)'!$A$1:$BF$391,MATCH($C29,'在庫使用計画 (一般)'!$C$1:$C$391,0),MATCH(BN$1,'在庫使用計画 (一般)'!$A$1:$BF$1,0))*1,0),
_xlpm._法人検索,IFERROR(INDEX('在庫使用計画 (法人)'!$A$1:$BF$391,MATCH($C29,'在庫使用計画 (法人)'!$C$1:$C$391,0),MATCH(BN$1,'在庫使用計画 (法人)'!$A$1:$BF$1,0))*1,0),
_xlpm._合計,_xlpm._一般検索+_xlpm._法人検索,
IF(_xlpm._合計=0,"",_xlpm._合計)
)</f>
        <v/>
      </c>
      <c r="BO29" s="224" t="str">
        <f>_xlfn.LET(
_xlpm._一般検索,IFERROR(INDEX('在庫使用計画 (一般)'!$A$1:$BF$391,MATCH($C29,'在庫使用計画 (一般)'!$C$1:$C$391,0),MATCH(BO$1,'在庫使用計画 (一般)'!$A$1:$BF$1,0))*1,0),
_xlpm._法人検索,IFERROR(INDEX('在庫使用計画 (法人)'!$A$1:$BF$391,MATCH($C29,'在庫使用計画 (法人)'!$C$1:$C$391,0),MATCH(BO$1,'在庫使用計画 (法人)'!$A$1:$BF$1,0))*1,0),
_xlpm._合計,_xlpm._一般検索+_xlpm._法人検索,
IF(_xlpm._合計=0,"",_xlpm._合計)
)</f>
        <v/>
      </c>
      <c r="BP29" s="224" t="str">
        <f>_xlfn.LET(
_xlpm._一般検索,IFERROR(INDEX('在庫使用計画 (一般)'!$A$1:$BF$391,MATCH($C29,'在庫使用計画 (一般)'!$C$1:$C$391,0),MATCH(BP$1,'在庫使用計画 (一般)'!$A$1:$BF$1,0))*1,0),
_xlpm._法人検索,IFERROR(INDEX('在庫使用計画 (法人)'!$A$1:$BF$391,MATCH($C29,'在庫使用計画 (法人)'!$C$1:$C$391,0),MATCH(BP$1,'在庫使用計画 (法人)'!$A$1:$BF$1,0))*1,0),
_xlpm._合計,_xlpm._一般検索+_xlpm._法人検索,
IF(_xlpm._合計=0,"",_xlpm._合計)
)</f>
        <v/>
      </c>
      <c r="BQ29" s="224" t="str">
        <f>_xlfn.LET(
_xlpm._一般検索,IFERROR(INDEX('在庫使用計画 (一般)'!$A$1:$BF$391,MATCH($C29,'在庫使用計画 (一般)'!$C$1:$C$391,0),MATCH(BQ$1,'在庫使用計画 (一般)'!$A$1:$BF$1,0))*1,0),
_xlpm._法人検索,IFERROR(INDEX('在庫使用計画 (法人)'!$A$1:$BF$391,MATCH($C29,'在庫使用計画 (法人)'!$C$1:$C$391,0),MATCH(BQ$1,'在庫使用計画 (法人)'!$A$1:$BF$1,0))*1,0),
_xlpm._合計,_xlpm._一般検索+_xlpm._法人検索,
IF(_xlpm._合計=0,"",_xlpm._合計)
)</f>
        <v/>
      </c>
      <c r="BR29" s="224" t="str">
        <f>_xlfn.LET(
_xlpm._一般検索,IFERROR(INDEX('在庫使用計画 (一般)'!$A$1:$BF$391,MATCH($C29,'在庫使用計画 (一般)'!$C$1:$C$391,0),MATCH(BR$1,'在庫使用計画 (一般)'!$A$1:$BF$1,0))*1,0),
_xlpm._法人検索,IFERROR(INDEX('在庫使用計画 (法人)'!$A$1:$BF$391,MATCH($C29,'在庫使用計画 (法人)'!$C$1:$C$391,0),MATCH(BR$1,'在庫使用計画 (法人)'!$A$1:$BF$1,0))*1,0),
_xlpm._合計,_xlpm._一般検索+_xlpm._法人検索,
IF(_xlpm._合計=0,"",_xlpm._合計)
)</f>
        <v/>
      </c>
      <c r="BS29" s="805" t="str">
        <f>_xlfn.LET(
_xlpm._一般検索,IFERROR(INDEX('在庫使用計画 (一般)'!$A$1:$BF$391,MATCH($C29,'在庫使用計画 (一般)'!$C$1:$C$391,0),MATCH(BS$1,'在庫使用計画 (一般)'!$A$1:$BF$1,0))*1,0),
_xlpm._法人検索,IFERROR(INDEX('在庫使用計画 (法人)'!$A$1:$BF$391,MATCH($C29,'在庫使用計画 (法人)'!$C$1:$C$391,0),MATCH(BS$1,'在庫使用計画 (法人)'!$A$1:$BF$1,0))*1,0),
_xlpm._合計,_xlpm._一般検索+_xlpm._法人検索,
IF(_xlpm._合計=0,"",_xlpm._合計)
)</f>
        <v/>
      </c>
      <c r="BT29" s="21"/>
    </row>
    <row r="30" spans="1:72" customFormat="1" ht="18.75" customHeight="1" thickBot="1">
      <c r="A30" s="1061" t="s">
        <v>1637</v>
      </c>
      <c r="B30" s="26" t="str">
        <v>CLE-V37-14900HX-5070-L6 Creator</v>
      </c>
      <c r="C30" s="1435" t="s">
        <v>408</v>
      </c>
      <c r="D30" s="2160">
        <v>1016</v>
      </c>
      <c r="E30" s="1258" t="s">
        <v>1381</v>
      </c>
      <c r="F30" s="24" t="s">
        <v>20</v>
      </c>
      <c r="G30" s="74">
        <v>128</v>
      </c>
      <c r="H30" s="38">
        <v>38</v>
      </c>
      <c r="I30" s="38" cm="1">
        <f t="array" ref="I30">IF($C30="","",
_xlfn.LET(
  _xlpm._見出し,$A$1:$BT$1,
  _xlpm._行,$A30:$BT30,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91</v>
      </c>
      <c r="J30" s="74" cm="1">
        <f t="array" ref="J30">_xlfn.LET(
  _xlpm._見出し,$A$1:$BS$1,
  _xlpm._行,$A30:$BS30,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IF($C30="","",_xlpm._四点五月計画合計)
)</f>
        <v>127.94364468974018</v>
      </c>
      <c r="K30" s="1458" cm="1">
        <f t="array" ref="K30">_xlfn.IFS(
  $C30="","",
  $G30="","発売前？",
  $G30=0,"在庫なし",
  TRUE,
  IFERROR(
    _xlfn.LET(
      _xlpm._在庫注残,     $G30,
      _xlpm._しきい値,     _xlpm._在庫注残 * 0.75,
      _xlpm._見出し元,     $L$1:$BU$1,
      _xlpm._計画,         $L30:$BU30,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46327</v>
      </c>
      <c r="L30" s="38"/>
      <c r="M30" s="38"/>
      <c r="N30" s="38"/>
      <c r="O30" s="38"/>
      <c r="P30" s="38"/>
      <c r="Q30" s="38"/>
      <c r="R30" s="38"/>
      <c r="S30" s="38"/>
      <c r="T30" s="219"/>
      <c r="U30" s="219"/>
      <c r="V30" s="219"/>
      <c r="W30" s="298"/>
      <c r="X30" s="299"/>
      <c r="Y30" s="299"/>
      <c r="Z30" s="299"/>
      <c r="AA30" s="237" t="s">
        <v>21</v>
      </c>
      <c r="AB30" s="237" t="s">
        <v>21</v>
      </c>
      <c r="AC30" s="474" t="s">
        <v>21</v>
      </c>
      <c r="AD30" s="237">
        <v>68</v>
      </c>
      <c r="AE30" s="237">
        <v>100</v>
      </c>
      <c r="AF30" s="237">
        <v>89</v>
      </c>
      <c r="AG30" s="237">
        <v>93</v>
      </c>
      <c r="AH30" s="224">
        <v>52</v>
      </c>
      <c r="AI30" s="237">
        <v>53.944444444444443</v>
      </c>
      <c r="AJ30" s="804">
        <v>41</v>
      </c>
      <c r="AK30" s="224">
        <v>41.807350689127105</v>
      </c>
      <c r="AL30" s="224">
        <v>54.710362429811127</v>
      </c>
      <c r="AM30" s="224">
        <v>78</v>
      </c>
      <c r="AN30" s="224">
        <f>_xlfn.LET(
_xlpm._一般検索,IFERROR(INDEX('在庫使用計画 (一般)'!$A$1:$BF$391,MATCH($C30,'在庫使用計画 (一般)'!$C$1:$C$391,0),MATCH(AN$1,'在庫使用計画 (一般)'!$A$1:$BF$1,0))*1,0),
_xlpm._法人検索,IFERROR(INDEX('在庫使用計画 (法人)'!$A$1:$BF$391,MATCH($C30,'在庫使用計画 (法人)'!$C$1:$C$391,0),MATCH(AN$1,'在庫使用計画 (法人)'!$A$1:$BF$1,0))*1,0),
_xlpm._合計,_xlpm._一般検索+_xlpm._法人検索,
IF(_xlpm._合計=0,"",_xlpm._合計)
)</f>
        <v>69</v>
      </c>
      <c r="AO30" s="224">
        <f>_xlfn.LET(
_xlpm._一般検索,IFERROR(INDEX('在庫使用計画 (一般)'!$A$1:$BF$391,MATCH($C30,'在庫使用計画 (一般)'!$C$1:$C$391,0),MATCH(AO$1,'在庫使用計画 (一般)'!$A$1:$BF$1,0))*1,0),
_xlpm._法人検索,IFERROR(INDEX('在庫使用計画 (法人)'!$A$1:$BF$391,MATCH($C30,'在庫使用計画 (法人)'!$C$1:$C$391,0),MATCH(AO$1,'在庫使用計画 (法人)'!$A$1:$BF$1,0))*1,0),
_xlpm._合計,_xlpm._一般検索+_xlpm._法人検索,
IF(_xlpm._合計=0,"",_xlpm._合計)
)</f>
        <v>70</v>
      </c>
      <c r="AP30" s="224" t="str">
        <f>_xlfn.LET(
_xlpm._一般検索,IFERROR(INDEX('在庫使用計画 (一般)'!$A$1:$BF$391,MATCH($C30,'在庫使用計画 (一般)'!$C$1:$C$391,0),MATCH(AP$1,'在庫使用計画 (一般)'!$A$1:$BF$1,0))*1,0),
_xlpm._法人検索,IFERROR(INDEX('在庫使用計画 (法人)'!$A$1:$BF$391,MATCH($C30,'在庫使用計画 (法人)'!$C$1:$C$391,0),MATCH(AP$1,'在庫使用計画 (法人)'!$A$1:$BF$1,0))*1,0),
_xlpm._合計,_xlpm._一般検索+_xlpm._法人検索,
IF(_xlpm._合計=0,"",_xlpm._合計)
)</f>
        <v/>
      </c>
      <c r="AQ30" s="224">
        <f>_xlfn.LET(
_xlpm._一般検索,IFERROR(INDEX('在庫使用計画 (一般)'!$A$1:$BF$391,MATCH($C30,'在庫使用計画 (一般)'!$C$1:$C$391,0),MATCH(AQ$1,'在庫使用計画 (一般)'!$A$1:$BF$1,0))*1,0),
_xlpm._法人検索,IFERROR(INDEX('在庫使用計画 (法人)'!$A$1:$BF$391,MATCH($C30,'在庫使用計画 (法人)'!$C$1:$C$391,0),MATCH(AQ$1,'在庫使用計画 (法人)'!$A$1:$BF$1,0))*1,0),
_xlpm._合計,_xlpm._一般検索+_xlpm._法人検索,
IF(_xlpm._合計=0,"",_xlpm._合計)
)</f>
        <v>21</v>
      </c>
      <c r="AR30" s="224">
        <f>_xlfn.LET(
_xlpm._一般検索,IFERROR(INDEX('在庫使用計画 (一般)'!$A$1:$BF$391,MATCH($C30,'在庫使用計画 (一般)'!$C$1:$C$391,0),MATCH(AR$1,'在庫使用計画 (一般)'!$A$1:$BF$1,0))*1,0),
_xlpm._法人検索,IFERROR(INDEX('在庫使用計画 (法人)'!$A$1:$BF$391,MATCH($C30,'在庫使用計画 (法人)'!$C$1:$C$391,0),MATCH(AR$1,'在庫使用計画 (法人)'!$A$1:$BF$1,0))*1,0),
_xlpm._合計,_xlpm._一般検索+_xlpm._法人検索,
IF(_xlpm._合計=0,"",_xlpm._合計)
)</f>
        <v>34</v>
      </c>
      <c r="AS30" s="224">
        <f>_xlfn.LET(
_xlpm._一般検索,IFERROR(INDEX('在庫使用計画 (一般)'!$A$1:$BF$391,MATCH($C30,'在庫使用計画 (一般)'!$C$1:$C$391,0),MATCH(AS$1,'在庫使用計画 (一般)'!$A$1:$BF$1,0))*1,0),
_xlpm._法人検索,IFERROR(INDEX('在庫使用計画 (法人)'!$A$1:$BF$391,MATCH($C30,'在庫使用計画 (法人)'!$C$1:$C$391,0),MATCH(AS$1,'在庫使用計画 (法人)'!$A$1:$BF$1,0))*1,0),
_xlpm._合計,_xlpm._一般検索+_xlpm._法人検索,
IF(_xlpm._合計=0,"",_xlpm._合計)
)</f>
        <v>36</v>
      </c>
      <c r="AT30" s="224">
        <f>_xlfn.LET(
_xlpm._一般検索,IFERROR(INDEX('在庫使用計画 (一般)'!$A$1:$BF$391,MATCH($C30,'在庫使用計画 (一般)'!$C$1:$C$391,0),MATCH(AT$1,'在庫使用計画 (一般)'!$A$1:$BF$1,0))*1,0),
_xlpm._法人検索,IFERROR(INDEX('在庫使用計画 (法人)'!$A$1:$BF$391,MATCH($C30,'在庫使用計画 (法人)'!$C$1:$C$391,0),MATCH(AT$1,'在庫使用計画 (法人)'!$A$1:$BF$1,0))*1,0),
_xlpm._合計,_xlpm._一般検索+_xlpm._法人検索,
IF(_xlpm._合計=0,"",_xlpm._合計)
)</f>
        <v>36.943644689740182</v>
      </c>
      <c r="AU30" s="805">
        <f>_xlfn.LET(
_xlpm._一般検索,IFERROR(INDEX('在庫使用計画 (一般)'!$A$1:$BF$391,MATCH($C30,'在庫使用計画 (一般)'!$C$1:$C$391,0),MATCH(AU$1,'在庫使用計画 (一般)'!$A$1:$BF$1,0))*1,0),
_xlpm._法人検索,IFERROR(INDEX('在庫使用計画 (法人)'!$A$1:$BF$391,MATCH($C30,'在庫使用計画 (法人)'!$C$1:$C$391,0),MATCH(AU$1,'在庫使用計画 (法人)'!$A$1:$BF$1,0))*1,0),
_xlpm._合計,_xlpm._一般検索+_xlpm._法人検索,
IF(_xlpm._合計=0,"",_xlpm._合計)
)</f>
        <v>50.186925171367285</v>
      </c>
      <c r="AV30" s="244">
        <f>_xlfn.LET(
_xlpm._一般検索,IFERROR(INDEX('在庫使用計画 (一般)'!$A$1:$BF$391,MATCH($C30,'在庫使用計画 (一般)'!$C$1:$C$391,0),MATCH(AV$1,'在庫使用計画 (一般)'!$A$1:$BF$1,0))*1,0),
_xlpm._法人検索,IFERROR(INDEX('在庫使用計画 (法人)'!$A$1:$BF$391,MATCH($C30,'在庫使用計画 (法人)'!$C$1:$C$391,0),MATCH(AV$1,'在庫使用計画 (法人)'!$A$1:$BF$1,0))*1,0),
_xlpm._合計,_xlpm._一般検索+_xlpm._法人検索,
IF(_xlpm._合計=0,"",_xlpm._合計)
)</f>
        <v>44.543019363286746</v>
      </c>
      <c r="AW30" s="224">
        <f>_xlfn.LET(
_xlpm._一般検索,IFERROR(INDEX('在庫使用計画 (一般)'!$A$1:$BF$391,MATCH($C30,'在庫使用計画 (一般)'!$C$1:$C$391,0),MATCH(AW$1,'在庫使用計画 (一般)'!$A$1:$BF$1,0))*1,0),
_xlpm._法人検索,IFERROR(INDEX('在庫使用計画 (法人)'!$A$1:$BF$391,MATCH($C30,'在庫使用計画 (法人)'!$C$1:$C$391,0),MATCH(AW$1,'在庫使用計画 (法人)'!$A$1:$BF$1,0))*1,0),
_xlpm._合計,_xlpm._一般検索+_xlpm._法人検索,
IF(_xlpm._合計=0,"",_xlpm._合計)
)</f>
        <v>42.510405369915219</v>
      </c>
      <c r="AX30" s="224">
        <f>_xlfn.LET(
_xlpm._一般検索,IFERROR(INDEX('在庫使用計画 (一般)'!$A$1:$BF$391,MATCH($C30,'在庫使用計画 (一般)'!$C$1:$C$391,0),MATCH(AX$1,'在庫使用計画 (一般)'!$A$1:$BF$1,0))*1,0),
_xlpm._法人検索,IFERROR(INDEX('在庫使用計画 (法人)'!$A$1:$BF$391,MATCH($C30,'在庫使用計画 (法人)'!$C$1:$C$391,0),MATCH(AX$1,'在庫使用計画 (法人)'!$A$1:$BF$1,0))*1,0),
_xlpm._合計,_xlpm._一般検索+_xlpm._法人検索,
IF(_xlpm._合計=0,"",_xlpm._合計)
)</f>
        <v>58.522491736581777</v>
      </c>
      <c r="AY30" s="224">
        <f>_xlfn.LET(
_xlpm._一般検索,IFERROR(INDEX('在庫使用計画 (一般)'!$A$1:$BF$391,MATCH($C30,'在庫使用計画 (一般)'!$C$1:$C$391,0),MATCH(AY$1,'在庫使用計画 (一般)'!$A$1:$BF$1,0))*1,0),
_xlpm._法人検索,IFERROR(INDEX('在庫使用計画 (法人)'!$A$1:$BF$391,MATCH($C30,'在庫使用計画 (法人)'!$C$1:$C$391,0),MATCH(AY$1,'在庫使用計画 (法人)'!$A$1:$BF$1,0))*1,0),
_xlpm._合計,_xlpm._一般検索+_xlpm._法人検索,
IF(_xlpm._合計=0,"",_xlpm._合計)
)</f>
        <v>9</v>
      </c>
      <c r="AZ30" s="224">
        <f>_xlfn.LET(
_xlpm._一般検索,IFERROR(INDEX('在庫使用計画 (一般)'!$A$1:$BF$391,MATCH($C30,'在庫使用計画 (一般)'!$C$1:$C$391,0),MATCH(AZ$1,'在庫使用計画 (一般)'!$A$1:$BF$1,0))*1,0),
_xlpm._法人検索,IFERROR(INDEX('在庫使用計画 (法人)'!$A$1:$BF$391,MATCH($C30,'在庫使用計画 (法人)'!$C$1:$C$391,0),MATCH(AZ$1,'在庫使用計画 (法人)'!$A$1:$BF$1,0))*1,0),
_xlpm._合計,_xlpm._一般検索+_xlpm._法人検索,
IF(_xlpm._合計=0,"",_xlpm._合計)
)</f>
        <v>9</v>
      </c>
      <c r="BA30" s="224" t="str">
        <f>_xlfn.LET(
_xlpm._一般検索,IFERROR(INDEX('在庫使用計画 (一般)'!$A$1:$BF$391,MATCH($C30,'在庫使用計画 (一般)'!$C$1:$C$391,0),MATCH(BA$1,'在庫使用計画 (一般)'!$A$1:$BF$1,0))*1,0),
_xlpm._法人検索,IFERROR(INDEX('在庫使用計画 (法人)'!$A$1:$BF$391,MATCH($C30,'在庫使用計画 (法人)'!$C$1:$C$391,0),MATCH(BA$1,'在庫使用計画 (法人)'!$A$1:$BF$1,0))*1,0),
_xlpm._合計,_xlpm._一般検索+_xlpm._法人検索,
IF(_xlpm._合計=0,"",_xlpm._合計)
)</f>
        <v/>
      </c>
      <c r="BB30" s="224" t="str">
        <f>_xlfn.LET(
_xlpm._一般検索,IFERROR(INDEX('在庫使用計画 (一般)'!$A$1:$BF$391,MATCH($C30,'在庫使用計画 (一般)'!$C$1:$C$391,0),MATCH(BB$1,'在庫使用計画 (一般)'!$A$1:$BF$1,0))*1,0),
_xlpm._法人検索,IFERROR(INDEX('在庫使用計画 (法人)'!$A$1:$BF$391,MATCH($C30,'在庫使用計画 (法人)'!$C$1:$C$391,0),MATCH(BB$1,'在庫使用計画 (法人)'!$A$1:$BF$1,0))*1,0),
_xlpm._合計,_xlpm._一般検索+_xlpm._法人検索,
IF(_xlpm._合計=0,"",_xlpm._合計)
)</f>
        <v/>
      </c>
      <c r="BC30" s="224" t="str">
        <f>_xlfn.LET(
_xlpm._一般検索,IFERROR(INDEX('在庫使用計画 (一般)'!$A$1:$BF$391,MATCH($C30,'在庫使用計画 (一般)'!$C$1:$C$391,0),MATCH(BC$1,'在庫使用計画 (一般)'!$A$1:$BF$1,0))*1,0),
_xlpm._法人検索,IFERROR(INDEX('在庫使用計画 (法人)'!$A$1:$BF$391,MATCH($C30,'在庫使用計画 (法人)'!$C$1:$C$391,0),MATCH(BC$1,'在庫使用計画 (法人)'!$A$1:$BF$1,0))*1,0),
_xlpm._合計,_xlpm._一般検索+_xlpm._法人検索,
IF(_xlpm._合計=0,"",_xlpm._合計)
)</f>
        <v/>
      </c>
      <c r="BD30" s="224" t="str">
        <f>_xlfn.LET(
_xlpm._一般検索,IFERROR(INDEX('在庫使用計画 (一般)'!$A$1:$BF$391,MATCH($C30,'在庫使用計画 (一般)'!$C$1:$C$391,0),MATCH(BD$1,'在庫使用計画 (一般)'!$A$1:$BF$1,0))*1,0),
_xlpm._法人検索,IFERROR(INDEX('在庫使用計画 (法人)'!$A$1:$BF$391,MATCH($C30,'在庫使用計画 (法人)'!$C$1:$C$391,0),MATCH(BD$1,'在庫使用計画 (法人)'!$A$1:$BF$1,0))*1,0),
_xlpm._合計,_xlpm._一般検索+_xlpm._法人検索,
IF(_xlpm._合計=0,"",_xlpm._合計)
)</f>
        <v/>
      </c>
      <c r="BE30" s="224" t="str">
        <f>_xlfn.LET(
_xlpm._一般検索,IFERROR(INDEX('在庫使用計画 (一般)'!$A$1:$BF$391,MATCH($C30,'在庫使用計画 (一般)'!$C$1:$C$391,0),MATCH(BE$1,'在庫使用計画 (一般)'!$A$1:$BF$1,0))*1,0),
_xlpm._法人検索,IFERROR(INDEX('在庫使用計画 (法人)'!$A$1:$BF$391,MATCH($C30,'在庫使用計画 (法人)'!$C$1:$C$391,0),MATCH(BE$1,'在庫使用計画 (法人)'!$A$1:$BF$1,0))*1,0),
_xlpm._合計,_xlpm._一般検索+_xlpm._法人検索,
IF(_xlpm._合計=0,"",_xlpm._合計)
)</f>
        <v/>
      </c>
      <c r="BF30" s="224" t="str">
        <f>_xlfn.LET(
_xlpm._一般検索,IFERROR(INDEX('在庫使用計画 (一般)'!$A$1:$BF$391,MATCH($C30,'在庫使用計画 (一般)'!$C$1:$C$391,0),MATCH(BF$1,'在庫使用計画 (一般)'!$A$1:$BF$1,0))*1,0),
_xlpm._法人検索,IFERROR(INDEX('在庫使用計画 (法人)'!$A$1:$BF$391,MATCH($C30,'在庫使用計画 (法人)'!$C$1:$C$391,0),MATCH(BF$1,'在庫使用計画 (法人)'!$A$1:$BF$1,0))*1,0),
_xlpm._合計,_xlpm._一般検索+_xlpm._法人検索,
IF(_xlpm._合計=0,"",_xlpm._合計)
)</f>
        <v/>
      </c>
      <c r="BG30" s="237" t="str">
        <f>_xlfn.LET(
_xlpm._一般検索,IFERROR(INDEX('在庫使用計画 (一般)'!$A$1:$BF$391,MATCH($C30,'在庫使用計画 (一般)'!$C$1:$C$391,0),MATCH(BG$1,'在庫使用計画 (一般)'!$A$1:$BF$1,0))*1,0),
_xlpm._法人検索,IFERROR(INDEX('在庫使用計画 (法人)'!$A$1:$BF$391,MATCH($C30,'在庫使用計画 (法人)'!$C$1:$C$391,0),MATCH(BG$1,'在庫使用計画 (法人)'!$A$1:$BF$1,0))*1,0),
_xlpm._合計,_xlpm._一般検索+_xlpm._法人検索,
IF(_xlpm._合計=0,"",_xlpm._合計)
)</f>
        <v/>
      </c>
      <c r="BH30" s="804" t="str">
        <f>_xlfn.LET(
_xlpm._一般検索,IFERROR(INDEX('在庫使用計画 (一般)'!$A$1:$BF$391,MATCH($C30,'在庫使用計画 (一般)'!$C$1:$C$391,0),MATCH(BH$1,'在庫使用計画 (一般)'!$A$1:$BF$1,0))*1,0),
_xlpm._法人検索,IFERROR(INDEX('在庫使用計画 (法人)'!$A$1:$BF$391,MATCH($C30,'在庫使用計画 (法人)'!$C$1:$C$391,0),MATCH(BH$1,'在庫使用計画 (法人)'!$A$1:$BF$1,0))*1,0),
_xlpm._合計,_xlpm._一般検索+_xlpm._法人検索,
IF(_xlpm._合計=0,"",_xlpm._合計)
)</f>
        <v/>
      </c>
      <c r="BI30" s="224" t="str">
        <f>_xlfn.LET(
_xlpm._一般検索,IFERROR(INDEX('在庫使用計画 (一般)'!$A$1:$BF$391,MATCH($C30,'在庫使用計画 (一般)'!$C$1:$C$391,0),MATCH(BI$1,'在庫使用計画 (一般)'!$A$1:$BF$1,0))*1,0),
_xlpm._法人検索,IFERROR(INDEX('在庫使用計画 (法人)'!$A$1:$BF$391,MATCH($C30,'在庫使用計画 (法人)'!$C$1:$C$391,0),MATCH(BI$1,'在庫使用計画 (法人)'!$A$1:$BF$1,0))*1,0),
_xlpm._合計,_xlpm._一般検索+_xlpm._法人検索,
IF(_xlpm._合計=0,"",_xlpm._合計)
)</f>
        <v/>
      </c>
      <c r="BJ30" s="224" t="str">
        <f>_xlfn.LET(
_xlpm._一般検索,IFERROR(INDEX('在庫使用計画 (一般)'!$A$1:$BF$391,MATCH($C30,'在庫使用計画 (一般)'!$C$1:$C$391,0),MATCH(BJ$1,'在庫使用計画 (一般)'!$A$1:$BF$1,0))*1,0),
_xlpm._法人検索,IFERROR(INDEX('在庫使用計画 (法人)'!$A$1:$BF$391,MATCH($C30,'在庫使用計画 (法人)'!$C$1:$C$391,0),MATCH(BJ$1,'在庫使用計画 (法人)'!$A$1:$BF$1,0))*1,0),
_xlpm._合計,_xlpm._一般検索+_xlpm._法人検索,
IF(_xlpm._合計=0,"",_xlpm._合計)
)</f>
        <v/>
      </c>
      <c r="BK30" s="224" t="str">
        <f>_xlfn.LET(
_xlpm._一般検索,IFERROR(INDEX('在庫使用計画 (一般)'!$A$1:$BF$391,MATCH($C30,'在庫使用計画 (一般)'!$C$1:$C$391,0),MATCH(BK$1,'在庫使用計画 (一般)'!$A$1:$BF$1,0))*1,0),
_xlpm._法人検索,IFERROR(INDEX('在庫使用計画 (法人)'!$A$1:$BF$391,MATCH($C30,'在庫使用計画 (法人)'!$C$1:$C$391,0),MATCH(BK$1,'在庫使用計画 (法人)'!$A$1:$BF$1,0))*1,0),
_xlpm._合計,_xlpm._一般検索+_xlpm._法人検索,
IF(_xlpm._合計=0,"",_xlpm._合計)
)</f>
        <v/>
      </c>
      <c r="BL30" s="224" t="str">
        <f>_xlfn.LET(
_xlpm._一般検索,IFERROR(INDEX('在庫使用計画 (一般)'!$A$1:$BF$391,MATCH($C30,'在庫使用計画 (一般)'!$C$1:$C$391,0),MATCH(BL$1,'在庫使用計画 (一般)'!$A$1:$BF$1,0))*1,0),
_xlpm._法人検索,IFERROR(INDEX('在庫使用計画 (法人)'!$A$1:$BF$391,MATCH($C30,'在庫使用計画 (法人)'!$C$1:$C$391,0),MATCH(BL$1,'在庫使用計画 (法人)'!$A$1:$BF$1,0))*1,0),
_xlpm._合計,_xlpm._一般検索+_xlpm._法人検索,
IF(_xlpm._合計=0,"",_xlpm._合計)
)</f>
        <v/>
      </c>
      <c r="BM30" s="224" t="str">
        <f>_xlfn.LET(
_xlpm._一般検索,IFERROR(INDEX('在庫使用計画 (一般)'!$A$1:$BF$391,MATCH($C30,'在庫使用計画 (一般)'!$C$1:$C$391,0),MATCH(BM$1,'在庫使用計画 (一般)'!$A$1:$BF$1,0))*1,0),
_xlpm._法人検索,IFERROR(INDEX('在庫使用計画 (法人)'!$A$1:$BF$391,MATCH($C30,'在庫使用計画 (法人)'!$C$1:$C$391,0),MATCH(BM$1,'在庫使用計画 (法人)'!$A$1:$BF$1,0))*1,0),
_xlpm._合計,_xlpm._一般検索+_xlpm._法人検索,
IF(_xlpm._合計=0,"",_xlpm._合計)
)</f>
        <v/>
      </c>
      <c r="BN30" s="224" t="str">
        <f>_xlfn.LET(
_xlpm._一般検索,IFERROR(INDEX('在庫使用計画 (一般)'!$A$1:$BF$391,MATCH($C30,'在庫使用計画 (一般)'!$C$1:$C$391,0),MATCH(BN$1,'在庫使用計画 (一般)'!$A$1:$BF$1,0))*1,0),
_xlpm._法人検索,IFERROR(INDEX('在庫使用計画 (法人)'!$A$1:$BF$391,MATCH($C30,'在庫使用計画 (法人)'!$C$1:$C$391,0),MATCH(BN$1,'在庫使用計画 (法人)'!$A$1:$BF$1,0))*1,0),
_xlpm._合計,_xlpm._一般検索+_xlpm._法人検索,
IF(_xlpm._合計=0,"",_xlpm._合計)
)</f>
        <v/>
      </c>
      <c r="BO30" s="224" t="str">
        <f>_xlfn.LET(
_xlpm._一般検索,IFERROR(INDEX('在庫使用計画 (一般)'!$A$1:$BF$391,MATCH($C30,'在庫使用計画 (一般)'!$C$1:$C$391,0),MATCH(BO$1,'在庫使用計画 (一般)'!$A$1:$BF$1,0))*1,0),
_xlpm._法人検索,IFERROR(INDEX('在庫使用計画 (法人)'!$A$1:$BF$391,MATCH($C30,'在庫使用計画 (法人)'!$C$1:$C$391,0),MATCH(BO$1,'在庫使用計画 (法人)'!$A$1:$BF$1,0))*1,0),
_xlpm._合計,_xlpm._一般検索+_xlpm._法人検索,
IF(_xlpm._合計=0,"",_xlpm._合計)
)</f>
        <v/>
      </c>
      <c r="BP30" s="224" t="str">
        <f>_xlfn.LET(
_xlpm._一般検索,IFERROR(INDEX('在庫使用計画 (一般)'!$A$1:$BF$391,MATCH($C30,'在庫使用計画 (一般)'!$C$1:$C$391,0),MATCH(BP$1,'在庫使用計画 (一般)'!$A$1:$BF$1,0))*1,0),
_xlpm._法人検索,IFERROR(INDEX('在庫使用計画 (法人)'!$A$1:$BF$391,MATCH($C30,'在庫使用計画 (法人)'!$C$1:$C$391,0),MATCH(BP$1,'在庫使用計画 (法人)'!$A$1:$BF$1,0))*1,0),
_xlpm._合計,_xlpm._一般検索+_xlpm._法人検索,
IF(_xlpm._合計=0,"",_xlpm._合計)
)</f>
        <v/>
      </c>
      <c r="BQ30" s="224" t="str">
        <f>_xlfn.LET(
_xlpm._一般検索,IFERROR(INDEX('在庫使用計画 (一般)'!$A$1:$BF$391,MATCH($C30,'在庫使用計画 (一般)'!$C$1:$C$391,0),MATCH(BQ$1,'在庫使用計画 (一般)'!$A$1:$BF$1,0))*1,0),
_xlpm._法人検索,IFERROR(INDEX('在庫使用計画 (法人)'!$A$1:$BF$391,MATCH($C30,'在庫使用計画 (法人)'!$C$1:$C$391,0),MATCH(BQ$1,'在庫使用計画 (法人)'!$A$1:$BF$1,0))*1,0),
_xlpm._合計,_xlpm._一般検索+_xlpm._法人検索,
IF(_xlpm._合計=0,"",_xlpm._合計)
)</f>
        <v/>
      </c>
      <c r="BR30" s="224" t="str">
        <f>_xlfn.LET(
_xlpm._一般検索,IFERROR(INDEX('在庫使用計画 (一般)'!$A$1:$BF$391,MATCH($C30,'在庫使用計画 (一般)'!$C$1:$C$391,0),MATCH(BR$1,'在庫使用計画 (一般)'!$A$1:$BF$1,0))*1,0),
_xlpm._法人検索,IFERROR(INDEX('在庫使用計画 (法人)'!$A$1:$BF$391,MATCH($C30,'在庫使用計画 (法人)'!$C$1:$C$391,0),MATCH(BR$1,'在庫使用計画 (法人)'!$A$1:$BF$1,0))*1,0),
_xlpm._合計,_xlpm._一般検索+_xlpm._法人検索,
IF(_xlpm._合計=0,"",_xlpm._合計)
)</f>
        <v/>
      </c>
      <c r="BS30" s="805" t="str">
        <f>_xlfn.LET(
_xlpm._一般検索,IFERROR(INDEX('在庫使用計画 (一般)'!$A$1:$BF$391,MATCH($C30,'在庫使用計画 (一般)'!$C$1:$C$391,0),MATCH(BS$1,'在庫使用計画 (一般)'!$A$1:$BF$1,0))*1,0),
_xlpm._法人検索,IFERROR(INDEX('在庫使用計画 (法人)'!$A$1:$BF$391,MATCH($C30,'在庫使用計画 (法人)'!$C$1:$C$391,0),MATCH(BS$1,'在庫使用計画 (法人)'!$A$1:$BF$1,0))*1,0),
_xlpm._合計,_xlpm._一般検索+_xlpm._法人検索,
IF(_xlpm._合計=0,"",_xlpm._合計)
)</f>
        <v/>
      </c>
      <c r="BT30" s="70"/>
    </row>
    <row r="31" spans="1:72" customFormat="1" ht="18.75" customHeight="1" outlineLevel="1">
      <c r="A31" s="1059" t="s">
        <v>1639</v>
      </c>
      <c r="B31" s="494" t="e">
        <v>#N/A</v>
      </c>
      <c r="C31" s="1438" t="s">
        <v>1382</v>
      </c>
      <c r="D31" s="2154" t="e">
        <v>#N/A</v>
      </c>
      <c r="E31" s="26" t="s">
        <v>1811</v>
      </c>
      <c r="F31" s="24" t="s">
        <v>20</v>
      </c>
      <c r="G31" s="74">
        <v>0</v>
      </c>
      <c r="H31" s="38">
        <v>0</v>
      </c>
      <c r="I31" s="38" cm="1">
        <f t="array" ref="I31">IF($C31="","",
_xlfn.LET(
  _xlpm._見出し,$A$1:$BT$1,
  _xlpm._行,$A31:$BT31,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45</v>
      </c>
      <c r="J31" s="74" cm="1">
        <f t="array" ref="J31">_xlfn.LET(
  _xlpm._見出し,$A$1:$BS$1,
  _xlpm._行,$A31:$BS31,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IF($C31="","",_xlpm._四点五月計画合計)
)</f>
        <v>104</v>
      </c>
      <c r="K31" s="1458" t="str" cm="1">
        <f t="array" ref="K31">_xlfn.IFS(
  $C31="","",
  $G31="","発売前？",
  $G31=0,"在庫なし",
  TRUE,
  IFERROR(
    _xlfn.LET(
      _xlpm._在庫注残,     $G31,
      _xlpm._しきい値,     _xlpm._在庫注残 * 0.75,
      _xlpm._見出し元,     $L$1:$BU$1,
      _xlpm._計画,         $L31:$BU31,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在庫なし</v>
      </c>
      <c r="L31" s="38"/>
      <c r="M31" s="38"/>
      <c r="N31" s="38"/>
      <c r="O31" s="38"/>
      <c r="P31" s="38"/>
      <c r="Q31" s="38"/>
      <c r="R31" s="38"/>
      <c r="S31" s="38"/>
      <c r="T31" s="219"/>
      <c r="U31" s="219"/>
      <c r="V31" s="219"/>
      <c r="W31" s="219"/>
      <c r="X31" s="224"/>
      <c r="Y31" s="224"/>
      <c r="Z31" s="224"/>
      <c r="AA31" s="237"/>
      <c r="AB31" s="237"/>
      <c r="AC31" s="237"/>
      <c r="AD31" s="237"/>
      <c r="AE31" s="237"/>
      <c r="AF31" s="237"/>
      <c r="AG31" s="237"/>
      <c r="AH31" s="224"/>
      <c r="AI31" s="237"/>
      <c r="AJ31" s="804" t="s">
        <v>21</v>
      </c>
      <c r="AK31" s="224" t="s">
        <v>21</v>
      </c>
      <c r="AL31" s="224" t="s">
        <v>21</v>
      </c>
      <c r="AM31" s="224" t="s">
        <v>21</v>
      </c>
      <c r="AN31" s="224" t="str">
        <f>_xlfn.LET(
_xlpm._一般検索,IFERROR(INDEX('在庫使用計画 (一般)'!$A$1:$BF$391,MATCH($C31,'在庫使用計画 (一般)'!$C$1:$C$391,0),MATCH(AN$1,'在庫使用計画 (一般)'!$A$1:$BF$1,0))*1,0),
_xlpm._法人検索,IFERROR(INDEX('在庫使用計画 (法人)'!$A$1:$BF$391,MATCH($C31,'在庫使用計画 (法人)'!$C$1:$C$391,0),MATCH(AN$1,'在庫使用計画 (法人)'!$A$1:$BF$1,0))*1,0),
_xlpm._合計,_xlpm._一般検索+_xlpm._法人検索,
IF(_xlpm._合計=0,"",_xlpm._合計)
)</f>
        <v/>
      </c>
      <c r="AO31" s="224" t="str">
        <f>_xlfn.LET(
_xlpm._一般検索,IFERROR(INDEX('在庫使用計画 (一般)'!$A$1:$BF$391,MATCH($C31,'在庫使用計画 (一般)'!$C$1:$C$391,0),MATCH(AO$1,'在庫使用計画 (一般)'!$A$1:$BF$1,0))*1,0),
_xlpm._法人検索,IFERROR(INDEX('在庫使用計画 (法人)'!$A$1:$BF$391,MATCH($C31,'在庫使用計画 (法人)'!$C$1:$C$391,0),MATCH(AO$1,'在庫使用計画 (法人)'!$A$1:$BF$1,0))*1,0),
_xlpm._合計,_xlpm._一般検索+_xlpm._法人検索,
IF(_xlpm._合計=0,"",_xlpm._合計)
)</f>
        <v/>
      </c>
      <c r="AP31" s="224" t="str">
        <f>_xlfn.LET(
_xlpm._一般検索,IFERROR(INDEX('在庫使用計画 (一般)'!$A$1:$BF$391,MATCH($C31,'在庫使用計画 (一般)'!$C$1:$C$391,0),MATCH(AP$1,'在庫使用計画 (一般)'!$A$1:$BF$1,0))*1,0),
_xlpm._法人検索,IFERROR(INDEX('在庫使用計画 (法人)'!$A$1:$BF$391,MATCH($C31,'在庫使用計画 (法人)'!$C$1:$C$391,0),MATCH(AP$1,'在庫使用計画 (法人)'!$A$1:$BF$1,0))*1,0),
_xlpm._合計,_xlpm._一般検索+_xlpm._法人検索,
IF(_xlpm._合計=0,"",_xlpm._合計)
)</f>
        <v/>
      </c>
      <c r="AQ31" s="224" t="str">
        <f>_xlfn.LET(
_xlpm._一般検索,IFERROR(INDEX('在庫使用計画 (一般)'!$A$1:$BF$391,MATCH($C31,'在庫使用計画 (一般)'!$C$1:$C$391,0),MATCH(AQ$1,'在庫使用計画 (一般)'!$A$1:$BF$1,0))*1,0),
_xlpm._法人検索,IFERROR(INDEX('在庫使用計画 (法人)'!$A$1:$BF$391,MATCH($C31,'在庫使用計画 (法人)'!$C$1:$C$391,0),MATCH(AQ$1,'在庫使用計画 (法人)'!$A$1:$BF$1,0))*1,0),
_xlpm._合計,_xlpm._一般検索+_xlpm._法人検索,
IF(_xlpm._合計=0,"",_xlpm._合計)
)</f>
        <v/>
      </c>
      <c r="AR31" s="224" t="str">
        <f>_xlfn.LET(
_xlpm._一般検索,IFERROR(INDEX('在庫使用計画 (一般)'!$A$1:$BF$391,MATCH($C31,'在庫使用計画 (一般)'!$C$1:$C$391,0),MATCH(AR$1,'在庫使用計画 (一般)'!$A$1:$BF$1,0))*1,0),
_xlpm._法人検索,IFERROR(INDEX('在庫使用計画 (法人)'!$A$1:$BF$391,MATCH($C31,'在庫使用計画 (法人)'!$C$1:$C$391,0),MATCH(AR$1,'在庫使用計画 (法人)'!$A$1:$BF$1,0))*1,0),
_xlpm._合計,_xlpm._一般検索+_xlpm._法人検索,
IF(_xlpm._合計=0,"",_xlpm._合計)
)</f>
        <v/>
      </c>
      <c r="AS31" s="224">
        <f>_xlfn.LET(
_xlpm._一般検索,IFERROR(INDEX('在庫使用計画 (一般)'!$A$1:$BF$391,MATCH($C31,'在庫使用計画 (一般)'!$C$1:$C$391,0),MATCH(AS$1,'在庫使用計画 (一般)'!$A$1:$BF$1,0))*1,0),
_xlpm._法人検索,IFERROR(INDEX('在庫使用計画 (法人)'!$A$1:$BF$391,MATCH($C31,'在庫使用計画 (法人)'!$C$1:$C$391,0),MATCH(AS$1,'在庫使用計画 (法人)'!$A$1:$BF$1,0))*1,0),
_xlpm._合計,_xlpm._一般検索+_xlpm._法人検索,
IF(_xlpm._合計=0,"",_xlpm._合計)
)</f>
        <v>45</v>
      </c>
      <c r="AT31" s="224">
        <f>_xlfn.LET(
_xlpm._一般検索,IFERROR(INDEX('在庫使用計画 (一般)'!$A$1:$BF$391,MATCH($C31,'在庫使用計画 (一般)'!$C$1:$C$391,0),MATCH(AT$1,'在庫使用計画 (一般)'!$A$1:$BF$1,0))*1,0),
_xlpm._法人検索,IFERROR(INDEX('在庫使用計画 (法人)'!$A$1:$BF$391,MATCH($C31,'在庫使用計画 (法人)'!$C$1:$C$391,0),MATCH(AT$1,'在庫使用計画 (法人)'!$A$1:$BF$1,0))*1,0),
_xlpm._合計,_xlpm._一般検索+_xlpm._法人検索,
IF(_xlpm._合計=0,"",_xlpm._合計)
)</f>
        <v>59</v>
      </c>
      <c r="AU31" s="805">
        <f>_xlfn.LET(
_xlpm._一般検索,IFERROR(INDEX('在庫使用計画 (一般)'!$A$1:$BF$391,MATCH($C31,'在庫使用計画 (一般)'!$C$1:$C$391,0),MATCH(AU$1,'在庫使用計画 (一般)'!$A$1:$BF$1,0))*1,0),
_xlpm._法人検索,IFERROR(INDEX('在庫使用計画 (法人)'!$A$1:$BF$391,MATCH($C31,'在庫使用計画 (法人)'!$C$1:$C$391,0),MATCH(AU$1,'在庫使用計画 (法人)'!$A$1:$BF$1,0))*1,0),
_xlpm._合計,_xlpm._一般検索+_xlpm._法人検索,
IF(_xlpm._合計=0,"",_xlpm._合計)
)</f>
        <v>22</v>
      </c>
      <c r="AV31" s="244">
        <f>_xlfn.LET(
_xlpm._一般検索,IFERROR(INDEX('在庫使用計画 (一般)'!$A$1:$BF$391,MATCH($C31,'在庫使用計画 (一般)'!$C$1:$C$391,0),MATCH(AV$1,'在庫使用計画 (一般)'!$A$1:$BF$1,0))*1,0),
_xlpm._法人検索,IFERROR(INDEX('在庫使用計画 (法人)'!$A$1:$BF$391,MATCH($C31,'在庫使用計画 (法人)'!$C$1:$C$391,0),MATCH(AV$1,'在庫使用計画 (法人)'!$A$1:$BF$1,0))*1,0),
_xlpm._合計,_xlpm._一般検索+_xlpm._法人検索,
IF(_xlpm._合計=0,"",_xlpm._合計)
)</f>
        <v>22</v>
      </c>
      <c r="AW31" s="224">
        <f>_xlfn.LET(
_xlpm._一般検索,IFERROR(INDEX('在庫使用計画 (一般)'!$A$1:$BF$391,MATCH($C31,'在庫使用計画 (一般)'!$C$1:$C$391,0),MATCH(AW$1,'在庫使用計画 (一般)'!$A$1:$BF$1,0))*1,0),
_xlpm._法人検索,IFERROR(INDEX('在庫使用計画 (法人)'!$A$1:$BF$391,MATCH($C31,'在庫使用計画 (法人)'!$C$1:$C$391,0),MATCH(AW$1,'在庫使用計画 (法人)'!$A$1:$BF$1,0))*1,0),
_xlpm._合計,_xlpm._一般検索+_xlpm._法人検索,
IF(_xlpm._合計=0,"",_xlpm._合計)
)</f>
        <v>20</v>
      </c>
      <c r="AX31" s="224">
        <f>_xlfn.LET(
_xlpm._一般検索,IFERROR(INDEX('在庫使用計画 (一般)'!$A$1:$BF$391,MATCH($C31,'在庫使用計画 (一般)'!$C$1:$C$391,0),MATCH(AX$1,'在庫使用計画 (一般)'!$A$1:$BF$1,0))*1,0),
_xlpm._法人検索,IFERROR(INDEX('在庫使用計画 (法人)'!$A$1:$BF$391,MATCH($C31,'在庫使用計画 (法人)'!$C$1:$C$391,0),MATCH(AX$1,'在庫使用計画 (法人)'!$A$1:$BF$1,0))*1,0),
_xlpm._合計,_xlpm._一般検索+_xlpm._法人検索,
IF(_xlpm._合計=0,"",_xlpm._合計)
)</f>
        <v>22</v>
      </c>
      <c r="AY31" s="224">
        <f>_xlfn.LET(
_xlpm._一般検索,IFERROR(INDEX('在庫使用計画 (一般)'!$A$1:$BF$391,MATCH($C31,'在庫使用計画 (一般)'!$C$1:$C$391,0),MATCH(AY$1,'在庫使用計画 (一般)'!$A$1:$BF$1,0))*1,0),
_xlpm._法人検索,IFERROR(INDEX('在庫使用計画 (法人)'!$A$1:$BF$391,MATCH($C31,'在庫使用計画 (法人)'!$C$1:$C$391,0),MATCH(AY$1,'在庫使用計画 (法人)'!$A$1:$BF$1,0))*1,0),
_xlpm._合計,_xlpm._一般検索+_xlpm._法人検索,
IF(_xlpm._合計=0,"",_xlpm._合計)
)</f>
        <v>22</v>
      </c>
      <c r="AZ31" s="224">
        <f>_xlfn.LET(
_xlpm._一般検索,IFERROR(INDEX('在庫使用計画 (一般)'!$A$1:$BF$391,MATCH($C31,'在庫使用計画 (一般)'!$C$1:$C$391,0),MATCH(AZ$1,'在庫使用計画 (一般)'!$A$1:$BF$1,0))*1,0),
_xlpm._法人検索,IFERROR(INDEX('在庫使用計画 (法人)'!$A$1:$BF$391,MATCH($C31,'在庫使用計画 (法人)'!$C$1:$C$391,0),MATCH(AZ$1,'在庫使用計画 (法人)'!$A$1:$BF$1,0))*1,0),
_xlpm._合計,_xlpm._一般検索+_xlpm._法人検索,
IF(_xlpm._合計=0,"",_xlpm._合計)
)</f>
        <v>22</v>
      </c>
      <c r="BA31" s="224">
        <f>_xlfn.LET(
_xlpm._一般検索,IFERROR(INDEX('在庫使用計画 (一般)'!$A$1:$BF$391,MATCH($C31,'在庫使用計画 (一般)'!$C$1:$C$391,0),MATCH(BA$1,'在庫使用計画 (一般)'!$A$1:$BF$1,0))*1,0),
_xlpm._法人検索,IFERROR(INDEX('在庫使用計画 (法人)'!$A$1:$BF$391,MATCH($C31,'在庫使用計画 (法人)'!$C$1:$C$391,0),MATCH(BA$1,'在庫使用計画 (法人)'!$A$1:$BF$1,0))*1,0),
_xlpm._合計,_xlpm._一般検索+_xlpm._法人検索,
IF(_xlpm._合計=0,"",_xlpm._合計)
)</f>
        <v>22</v>
      </c>
      <c r="BB31" s="224">
        <f>_xlfn.LET(
_xlpm._一般検索,IFERROR(INDEX('在庫使用計画 (一般)'!$A$1:$BF$391,MATCH($C31,'在庫使用計画 (一般)'!$C$1:$C$391,0),MATCH(BB$1,'在庫使用計画 (一般)'!$A$1:$BF$1,0))*1,0),
_xlpm._法人検索,IFERROR(INDEX('在庫使用計画 (法人)'!$A$1:$BF$391,MATCH($C31,'在庫使用計画 (法人)'!$C$1:$C$391,0),MATCH(BB$1,'在庫使用計画 (法人)'!$A$1:$BF$1,0))*1,0),
_xlpm._合計,_xlpm._一般検索+_xlpm._法人検索,
IF(_xlpm._合計=0,"",_xlpm._合計)
)</f>
        <v>22</v>
      </c>
      <c r="BC31" s="224">
        <f>_xlfn.LET(
_xlpm._一般検索,IFERROR(INDEX('在庫使用計画 (一般)'!$A$1:$BF$391,MATCH($C31,'在庫使用計画 (一般)'!$C$1:$C$391,0),MATCH(BC$1,'在庫使用計画 (一般)'!$A$1:$BF$1,0))*1,0),
_xlpm._法人検索,IFERROR(INDEX('在庫使用計画 (法人)'!$A$1:$BF$391,MATCH($C31,'在庫使用計画 (法人)'!$C$1:$C$391,0),MATCH(BC$1,'在庫使用計画 (法人)'!$A$1:$BF$1,0))*1,0),
_xlpm._合計,_xlpm._一般検索+_xlpm._法人検索,
IF(_xlpm._合計=0,"",_xlpm._合計)
)</f>
        <v>22</v>
      </c>
      <c r="BD31" s="224" t="str">
        <f>_xlfn.LET(
_xlpm._一般検索,IFERROR(INDEX('在庫使用計画 (一般)'!$A$1:$BF$391,MATCH($C31,'在庫使用計画 (一般)'!$C$1:$C$391,0),MATCH(BD$1,'在庫使用計画 (一般)'!$A$1:$BF$1,0))*1,0),
_xlpm._法人検索,IFERROR(INDEX('在庫使用計画 (法人)'!$A$1:$BF$391,MATCH($C31,'在庫使用計画 (法人)'!$C$1:$C$391,0),MATCH(BD$1,'在庫使用計画 (法人)'!$A$1:$BF$1,0))*1,0),
_xlpm._合計,_xlpm._一般検索+_xlpm._法人検索,
IF(_xlpm._合計=0,"",_xlpm._合計)
)</f>
        <v/>
      </c>
      <c r="BE31" s="224" t="str">
        <f>_xlfn.LET(
_xlpm._一般検索,IFERROR(INDEX('在庫使用計画 (一般)'!$A$1:$BF$391,MATCH($C31,'在庫使用計画 (一般)'!$C$1:$C$391,0),MATCH(BE$1,'在庫使用計画 (一般)'!$A$1:$BF$1,0))*1,0),
_xlpm._法人検索,IFERROR(INDEX('在庫使用計画 (法人)'!$A$1:$BF$391,MATCH($C31,'在庫使用計画 (法人)'!$C$1:$C$391,0),MATCH(BE$1,'在庫使用計画 (法人)'!$A$1:$BF$1,0))*1,0),
_xlpm._合計,_xlpm._一般検索+_xlpm._法人検索,
IF(_xlpm._合計=0,"",_xlpm._合計)
)</f>
        <v/>
      </c>
      <c r="BF31" s="224" t="str">
        <f>_xlfn.LET(
_xlpm._一般検索,IFERROR(INDEX('在庫使用計画 (一般)'!$A$1:$BF$391,MATCH($C31,'在庫使用計画 (一般)'!$C$1:$C$391,0),MATCH(BF$1,'在庫使用計画 (一般)'!$A$1:$BF$1,0))*1,0),
_xlpm._法人検索,IFERROR(INDEX('在庫使用計画 (法人)'!$A$1:$BF$391,MATCH($C31,'在庫使用計画 (法人)'!$C$1:$C$391,0),MATCH(BF$1,'在庫使用計画 (法人)'!$A$1:$BF$1,0))*1,0),
_xlpm._合計,_xlpm._一般検索+_xlpm._法人検索,
IF(_xlpm._合計=0,"",_xlpm._合計)
)</f>
        <v/>
      </c>
      <c r="BG31" s="237" t="str">
        <f>_xlfn.LET(
_xlpm._一般検索,IFERROR(INDEX('在庫使用計画 (一般)'!$A$1:$BF$391,MATCH($C31,'在庫使用計画 (一般)'!$C$1:$C$391,0),MATCH(BG$1,'在庫使用計画 (一般)'!$A$1:$BF$1,0))*1,0),
_xlpm._法人検索,IFERROR(INDEX('在庫使用計画 (法人)'!$A$1:$BF$391,MATCH($C31,'在庫使用計画 (法人)'!$C$1:$C$391,0),MATCH(BG$1,'在庫使用計画 (法人)'!$A$1:$BF$1,0))*1,0),
_xlpm._合計,_xlpm._一般検索+_xlpm._法人検索,
IF(_xlpm._合計=0,"",_xlpm._合計)
)</f>
        <v/>
      </c>
      <c r="BH31" s="804" t="str">
        <f>_xlfn.LET(
_xlpm._一般検索,IFERROR(INDEX('在庫使用計画 (一般)'!$A$1:$BF$391,MATCH($C31,'在庫使用計画 (一般)'!$C$1:$C$391,0),MATCH(BH$1,'在庫使用計画 (一般)'!$A$1:$BF$1,0))*1,0),
_xlpm._法人検索,IFERROR(INDEX('在庫使用計画 (法人)'!$A$1:$BF$391,MATCH($C31,'在庫使用計画 (法人)'!$C$1:$C$391,0),MATCH(BH$1,'在庫使用計画 (法人)'!$A$1:$BF$1,0))*1,0),
_xlpm._合計,_xlpm._一般検索+_xlpm._法人検索,
IF(_xlpm._合計=0,"",_xlpm._合計)
)</f>
        <v/>
      </c>
      <c r="BI31" s="224" t="str">
        <f>_xlfn.LET(
_xlpm._一般検索,IFERROR(INDEX('在庫使用計画 (一般)'!$A$1:$BF$391,MATCH($C31,'在庫使用計画 (一般)'!$C$1:$C$391,0),MATCH(BI$1,'在庫使用計画 (一般)'!$A$1:$BF$1,0))*1,0),
_xlpm._法人検索,IFERROR(INDEX('在庫使用計画 (法人)'!$A$1:$BF$391,MATCH($C31,'在庫使用計画 (法人)'!$C$1:$C$391,0),MATCH(BI$1,'在庫使用計画 (法人)'!$A$1:$BF$1,0))*1,0),
_xlpm._合計,_xlpm._一般検索+_xlpm._法人検索,
IF(_xlpm._合計=0,"",_xlpm._合計)
)</f>
        <v/>
      </c>
      <c r="BJ31" s="224" t="str">
        <f>_xlfn.LET(
_xlpm._一般検索,IFERROR(INDEX('在庫使用計画 (一般)'!$A$1:$BF$391,MATCH($C31,'在庫使用計画 (一般)'!$C$1:$C$391,0),MATCH(BJ$1,'在庫使用計画 (一般)'!$A$1:$BF$1,0))*1,0),
_xlpm._法人検索,IFERROR(INDEX('在庫使用計画 (法人)'!$A$1:$BF$391,MATCH($C31,'在庫使用計画 (法人)'!$C$1:$C$391,0),MATCH(BJ$1,'在庫使用計画 (法人)'!$A$1:$BF$1,0))*1,0),
_xlpm._合計,_xlpm._一般検索+_xlpm._法人検索,
IF(_xlpm._合計=0,"",_xlpm._合計)
)</f>
        <v/>
      </c>
      <c r="BK31" s="224" t="str">
        <f>_xlfn.LET(
_xlpm._一般検索,IFERROR(INDEX('在庫使用計画 (一般)'!$A$1:$BF$391,MATCH($C31,'在庫使用計画 (一般)'!$C$1:$C$391,0),MATCH(BK$1,'在庫使用計画 (一般)'!$A$1:$BF$1,0))*1,0),
_xlpm._法人検索,IFERROR(INDEX('在庫使用計画 (法人)'!$A$1:$BF$391,MATCH($C31,'在庫使用計画 (法人)'!$C$1:$C$391,0),MATCH(BK$1,'在庫使用計画 (法人)'!$A$1:$BF$1,0))*1,0),
_xlpm._合計,_xlpm._一般検索+_xlpm._法人検索,
IF(_xlpm._合計=0,"",_xlpm._合計)
)</f>
        <v/>
      </c>
      <c r="BL31" s="224" t="str">
        <f>_xlfn.LET(
_xlpm._一般検索,IFERROR(INDEX('在庫使用計画 (一般)'!$A$1:$BF$391,MATCH($C31,'在庫使用計画 (一般)'!$C$1:$C$391,0),MATCH(BL$1,'在庫使用計画 (一般)'!$A$1:$BF$1,0))*1,0),
_xlpm._法人検索,IFERROR(INDEX('在庫使用計画 (法人)'!$A$1:$BF$391,MATCH($C31,'在庫使用計画 (法人)'!$C$1:$C$391,0),MATCH(BL$1,'在庫使用計画 (法人)'!$A$1:$BF$1,0))*1,0),
_xlpm._合計,_xlpm._一般検索+_xlpm._法人検索,
IF(_xlpm._合計=0,"",_xlpm._合計)
)</f>
        <v/>
      </c>
      <c r="BM31" s="224" t="str">
        <f>_xlfn.LET(
_xlpm._一般検索,IFERROR(INDEX('在庫使用計画 (一般)'!$A$1:$BF$391,MATCH($C31,'在庫使用計画 (一般)'!$C$1:$C$391,0),MATCH(BM$1,'在庫使用計画 (一般)'!$A$1:$BF$1,0))*1,0),
_xlpm._法人検索,IFERROR(INDEX('在庫使用計画 (法人)'!$A$1:$BF$391,MATCH($C31,'在庫使用計画 (法人)'!$C$1:$C$391,0),MATCH(BM$1,'在庫使用計画 (法人)'!$A$1:$BF$1,0))*1,0),
_xlpm._合計,_xlpm._一般検索+_xlpm._法人検索,
IF(_xlpm._合計=0,"",_xlpm._合計)
)</f>
        <v/>
      </c>
      <c r="BN31" s="224" t="str">
        <f>_xlfn.LET(
_xlpm._一般検索,IFERROR(INDEX('在庫使用計画 (一般)'!$A$1:$BF$391,MATCH($C31,'在庫使用計画 (一般)'!$C$1:$C$391,0),MATCH(BN$1,'在庫使用計画 (一般)'!$A$1:$BF$1,0))*1,0),
_xlpm._法人検索,IFERROR(INDEX('在庫使用計画 (法人)'!$A$1:$BF$391,MATCH($C31,'在庫使用計画 (法人)'!$C$1:$C$391,0),MATCH(BN$1,'在庫使用計画 (法人)'!$A$1:$BF$1,0))*1,0),
_xlpm._合計,_xlpm._一般検索+_xlpm._法人検索,
IF(_xlpm._合計=0,"",_xlpm._合計)
)</f>
        <v/>
      </c>
      <c r="BO31" s="224" t="str">
        <f>_xlfn.LET(
_xlpm._一般検索,IFERROR(INDEX('在庫使用計画 (一般)'!$A$1:$BF$391,MATCH($C31,'在庫使用計画 (一般)'!$C$1:$C$391,0),MATCH(BO$1,'在庫使用計画 (一般)'!$A$1:$BF$1,0))*1,0),
_xlpm._法人検索,IFERROR(INDEX('在庫使用計画 (法人)'!$A$1:$BF$391,MATCH($C31,'在庫使用計画 (法人)'!$C$1:$C$391,0),MATCH(BO$1,'在庫使用計画 (法人)'!$A$1:$BF$1,0))*1,0),
_xlpm._合計,_xlpm._一般検索+_xlpm._法人検索,
IF(_xlpm._合計=0,"",_xlpm._合計)
)</f>
        <v/>
      </c>
      <c r="BP31" s="224" t="str">
        <f>_xlfn.LET(
_xlpm._一般検索,IFERROR(INDEX('在庫使用計画 (一般)'!$A$1:$BF$391,MATCH($C31,'在庫使用計画 (一般)'!$C$1:$C$391,0),MATCH(BP$1,'在庫使用計画 (一般)'!$A$1:$BF$1,0))*1,0),
_xlpm._法人検索,IFERROR(INDEX('在庫使用計画 (法人)'!$A$1:$BF$391,MATCH($C31,'在庫使用計画 (法人)'!$C$1:$C$391,0),MATCH(BP$1,'在庫使用計画 (法人)'!$A$1:$BF$1,0))*1,0),
_xlpm._合計,_xlpm._一般検索+_xlpm._法人検索,
IF(_xlpm._合計=0,"",_xlpm._合計)
)</f>
        <v/>
      </c>
      <c r="BQ31" s="224" t="str">
        <f>_xlfn.LET(
_xlpm._一般検索,IFERROR(INDEX('在庫使用計画 (一般)'!$A$1:$BF$391,MATCH($C31,'在庫使用計画 (一般)'!$C$1:$C$391,0),MATCH(BQ$1,'在庫使用計画 (一般)'!$A$1:$BF$1,0))*1,0),
_xlpm._法人検索,IFERROR(INDEX('在庫使用計画 (法人)'!$A$1:$BF$391,MATCH($C31,'在庫使用計画 (法人)'!$C$1:$C$391,0),MATCH(BQ$1,'在庫使用計画 (法人)'!$A$1:$BF$1,0))*1,0),
_xlpm._合計,_xlpm._一般検索+_xlpm._法人検索,
IF(_xlpm._合計=0,"",_xlpm._合計)
)</f>
        <v/>
      </c>
      <c r="BR31" s="224" t="str">
        <f>_xlfn.LET(
_xlpm._一般検索,IFERROR(INDEX('在庫使用計画 (一般)'!$A$1:$BF$391,MATCH($C31,'在庫使用計画 (一般)'!$C$1:$C$391,0),MATCH(BR$1,'在庫使用計画 (一般)'!$A$1:$BF$1,0))*1,0),
_xlpm._法人検索,IFERROR(INDEX('在庫使用計画 (法人)'!$A$1:$BF$391,MATCH($C31,'在庫使用計画 (法人)'!$C$1:$C$391,0),MATCH(BR$1,'在庫使用計画 (法人)'!$A$1:$BF$1,0))*1,0),
_xlpm._合計,_xlpm._一般検索+_xlpm._法人検索,
IF(_xlpm._合計=0,"",_xlpm._合計)
)</f>
        <v/>
      </c>
      <c r="BS31" s="805" t="str">
        <f>_xlfn.LET(
_xlpm._一般検索,IFERROR(INDEX('在庫使用計画 (一般)'!$A$1:$BF$391,MATCH($C31,'在庫使用計画 (一般)'!$C$1:$C$391,0),MATCH(BS$1,'在庫使用計画 (一般)'!$A$1:$BF$1,0))*1,0),
_xlpm._法人検索,IFERROR(INDEX('在庫使用計画 (法人)'!$A$1:$BF$391,MATCH($C31,'在庫使用計画 (法人)'!$C$1:$C$391,0),MATCH(BS$1,'在庫使用計画 (法人)'!$A$1:$BF$1,0))*1,0),
_xlpm._合計,_xlpm._一般検索+_xlpm._法人検索,
IF(_xlpm._合計=0,"",_xlpm._合計)
)</f>
        <v/>
      </c>
      <c r="BT31" s="21"/>
    </row>
    <row r="32" spans="1:72" customFormat="1" ht="18.75" customHeight="1">
      <c r="A32" s="1059" t="s">
        <v>1639</v>
      </c>
      <c r="B32" s="26" t="str">
        <v>MSH-15F5-255H-5060-L6 Creator</v>
      </c>
      <c r="C32" s="25" t="s">
        <v>420</v>
      </c>
      <c r="D32" s="2154">
        <v>1000</v>
      </c>
      <c r="E32" s="26" t="s">
        <v>1384</v>
      </c>
      <c r="F32" s="24" t="s">
        <v>20</v>
      </c>
      <c r="G32" s="74">
        <v>20</v>
      </c>
      <c r="H32" s="38">
        <v>20</v>
      </c>
      <c r="I32" s="38" cm="1">
        <f t="array" ref="I32">IF($C32="","",
_xlfn.LET(
  _xlpm._見出し,$A$1:$BT$1,
  _xlpm._行,$A32:$BT32,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0</v>
      </c>
      <c r="J32" s="74" cm="1">
        <f t="array" ref="J32">_xlfn.LET(
  _xlpm._見出し,$A$1:$BS$1,
  _xlpm._行,$A32:$BS32,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IF($C32="","",_xlpm._四点五月計画合計)
)</f>
        <v>0</v>
      </c>
      <c r="K32" s="1458" t="str" cm="1">
        <f t="array" ref="K32">_xlfn.IFS(
  $C32="","",
  $G32="","発売前？",
  $G32=0,"在庫なし",
  TRUE,
  IFERROR(
    _xlfn.LET(
      _xlpm._在庫注残,     $G32,
      _xlpm._しきい値,     _xlpm._在庫注残 * 0.75,
      _xlpm._見出し元,     $L$1:$BU$1,
      _xlpm._計画,         $L32:$BU32,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計画なし</v>
      </c>
      <c r="L32" s="38"/>
      <c r="M32" s="38"/>
      <c r="N32" s="38"/>
      <c r="O32" s="38"/>
      <c r="P32" s="38"/>
      <c r="Q32" s="38"/>
      <c r="R32" s="38"/>
      <c r="S32" s="38"/>
      <c r="T32" s="219"/>
      <c r="U32" s="219"/>
      <c r="V32" s="219"/>
      <c r="W32" s="298"/>
      <c r="X32" s="299"/>
      <c r="Y32" s="299"/>
      <c r="Z32" s="299"/>
      <c r="AA32" s="299"/>
      <c r="AB32" s="224" t="s">
        <v>21</v>
      </c>
      <c r="AC32" s="224" t="s">
        <v>21</v>
      </c>
      <c r="AD32" s="237" t="s">
        <v>21</v>
      </c>
      <c r="AE32" s="237" t="s">
        <v>21</v>
      </c>
      <c r="AF32" s="237" t="s">
        <v>21</v>
      </c>
      <c r="AG32" s="237">
        <v>0</v>
      </c>
      <c r="AH32" s="224">
        <v>115</v>
      </c>
      <c r="AI32" s="237">
        <v>10.333333333333332</v>
      </c>
      <c r="AJ32" s="804">
        <v>14</v>
      </c>
      <c r="AK32" s="224">
        <v>34</v>
      </c>
      <c r="AL32" s="224">
        <v>35</v>
      </c>
      <c r="AM32" s="224">
        <v>226</v>
      </c>
      <c r="AN32" s="224">
        <f>_xlfn.LET(
_xlpm._一般検索,IFERROR(INDEX('在庫使用計画 (一般)'!$A$1:$BF$391,MATCH($C32,'在庫使用計画 (一般)'!$C$1:$C$391,0),MATCH(AN$1,'在庫使用計画 (一般)'!$A$1:$BF$1,0))*1,0),
_xlpm._法人検索,IFERROR(INDEX('在庫使用計画 (法人)'!$A$1:$BF$391,MATCH($C32,'在庫使用計画 (法人)'!$C$1:$C$391,0),MATCH(AN$1,'在庫使用計画 (法人)'!$A$1:$BF$1,0))*1,0),
_xlpm._合計,_xlpm._一般検索+_xlpm._法人検索,
IF(_xlpm._合計=0,"",_xlpm._合計)
)</f>
        <v>193</v>
      </c>
      <c r="AO32" s="224">
        <f>_xlfn.LET(
_xlpm._一般検索,IFERROR(INDEX('在庫使用計画 (一般)'!$A$1:$BF$391,MATCH($C32,'在庫使用計画 (一般)'!$C$1:$C$391,0),MATCH(AO$1,'在庫使用計画 (一般)'!$A$1:$BF$1,0))*1,0),
_xlpm._法人検索,IFERROR(INDEX('在庫使用計画 (法人)'!$A$1:$BF$391,MATCH($C32,'在庫使用計画 (法人)'!$C$1:$C$391,0),MATCH(AO$1,'在庫使用計画 (法人)'!$A$1:$BF$1,0))*1,0),
_xlpm._合計,_xlpm._一般検索+_xlpm._法人検索,
IF(_xlpm._合計=0,"",_xlpm._合計)
)</f>
        <v>66</v>
      </c>
      <c r="AP32" s="224" t="str">
        <f>_xlfn.LET(
_xlpm._一般検索,IFERROR(INDEX('在庫使用計画 (一般)'!$A$1:$BF$391,MATCH($C32,'在庫使用計画 (一般)'!$C$1:$C$391,0),MATCH(AP$1,'在庫使用計画 (一般)'!$A$1:$BF$1,0))*1,0),
_xlpm._法人検索,IFERROR(INDEX('在庫使用計画 (法人)'!$A$1:$BF$391,MATCH($C32,'在庫使用計画 (法人)'!$C$1:$C$391,0),MATCH(AP$1,'在庫使用計画 (法人)'!$A$1:$BF$1,0))*1,0),
_xlpm._合計,_xlpm._一般検索+_xlpm._法人検索,
IF(_xlpm._合計=0,"",_xlpm._合計)
)</f>
        <v/>
      </c>
      <c r="AQ32" s="224" t="str">
        <f>_xlfn.LET(
_xlpm._一般検索,IFERROR(INDEX('在庫使用計画 (一般)'!$A$1:$BF$391,MATCH($C32,'在庫使用計画 (一般)'!$C$1:$C$391,0),MATCH(AQ$1,'在庫使用計画 (一般)'!$A$1:$BF$1,0))*1,0),
_xlpm._法人検索,IFERROR(INDEX('在庫使用計画 (法人)'!$A$1:$BF$391,MATCH($C32,'在庫使用計画 (法人)'!$C$1:$C$391,0),MATCH(AQ$1,'在庫使用計画 (法人)'!$A$1:$BF$1,0))*1,0),
_xlpm._合計,_xlpm._一般検索+_xlpm._法人検索,
IF(_xlpm._合計=0,"",_xlpm._合計)
)</f>
        <v/>
      </c>
      <c r="AR32" s="224" t="str">
        <f>_xlfn.LET(
_xlpm._一般検索,IFERROR(INDEX('在庫使用計画 (一般)'!$A$1:$BF$391,MATCH($C32,'在庫使用計画 (一般)'!$C$1:$C$391,0),MATCH(AR$1,'在庫使用計画 (一般)'!$A$1:$BF$1,0))*1,0),
_xlpm._法人検索,IFERROR(INDEX('在庫使用計画 (法人)'!$A$1:$BF$391,MATCH($C32,'在庫使用計画 (法人)'!$C$1:$C$391,0),MATCH(AR$1,'在庫使用計画 (法人)'!$A$1:$BF$1,0))*1,0),
_xlpm._合計,_xlpm._一般検索+_xlpm._法人検索,
IF(_xlpm._合計=0,"",_xlpm._合計)
)</f>
        <v/>
      </c>
      <c r="AS32" s="224" t="str">
        <f>_xlfn.LET(
_xlpm._一般検索,IFERROR(INDEX('在庫使用計画 (一般)'!$A$1:$BF$391,MATCH($C32,'在庫使用計画 (一般)'!$C$1:$C$391,0),MATCH(AS$1,'在庫使用計画 (一般)'!$A$1:$BF$1,0))*1,0),
_xlpm._法人検索,IFERROR(INDEX('在庫使用計画 (法人)'!$A$1:$BF$391,MATCH($C32,'在庫使用計画 (法人)'!$C$1:$C$391,0),MATCH(AS$1,'在庫使用計画 (法人)'!$A$1:$BF$1,0))*1,0),
_xlpm._合計,_xlpm._一般検索+_xlpm._法人検索,
IF(_xlpm._合計=0,"",_xlpm._合計)
)</f>
        <v/>
      </c>
      <c r="AT32" s="224" t="str">
        <f>_xlfn.LET(
_xlpm._一般検索,IFERROR(INDEX('在庫使用計画 (一般)'!$A$1:$BF$391,MATCH($C32,'在庫使用計画 (一般)'!$C$1:$C$391,0),MATCH(AT$1,'在庫使用計画 (一般)'!$A$1:$BF$1,0))*1,0),
_xlpm._法人検索,IFERROR(INDEX('在庫使用計画 (法人)'!$A$1:$BF$391,MATCH($C32,'在庫使用計画 (法人)'!$C$1:$C$391,0),MATCH(AT$1,'在庫使用計画 (法人)'!$A$1:$BF$1,0))*1,0),
_xlpm._合計,_xlpm._一般検索+_xlpm._法人検索,
IF(_xlpm._合計=0,"",_xlpm._合計)
)</f>
        <v/>
      </c>
      <c r="AU32" s="805" t="str">
        <f>_xlfn.LET(
_xlpm._一般検索,IFERROR(INDEX('在庫使用計画 (一般)'!$A$1:$BF$391,MATCH($C32,'在庫使用計画 (一般)'!$C$1:$C$391,0),MATCH(AU$1,'在庫使用計画 (一般)'!$A$1:$BF$1,0))*1,0),
_xlpm._法人検索,IFERROR(INDEX('在庫使用計画 (法人)'!$A$1:$BF$391,MATCH($C32,'在庫使用計画 (法人)'!$C$1:$C$391,0),MATCH(AU$1,'在庫使用計画 (法人)'!$A$1:$BF$1,0))*1,0),
_xlpm._合計,_xlpm._一般検索+_xlpm._法人検索,
IF(_xlpm._合計=0,"",_xlpm._合計)
)</f>
        <v/>
      </c>
      <c r="AV32" s="244" t="str">
        <f>_xlfn.LET(
_xlpm._一般検索,IFERROR(INDEX('在庫使用計画 (一般)'!$A$1:$BF$391,MATCH($C32,'在庫使用計画 (一般)'!$C$1:$C$391,0),MATCH(AV$1,'在庫使用計画 (一般)'!$A$1:$BF$1,0))*1,0),
_xlpm._法人検索,IFERROR(INDEX('在庫使用計画 (法人)'!$A$1:$BF$391,MATCH($C32,'在庫使用計画 (法人)'!$C$1:$C$391,0),MATCH(AV$1,'在庫使用計画 (法人)'!$A$1:$BF$1,0))*1,0),
_xlpm._合計,_xlpm._一般検索+_xlpm._法人検索,
IF(_xlpm._合計=0,"",_xlpm._合計)
)</f>
        <v/>
      </c>
      <c r="AW32" s="224" t="str">
        <f>_xlfn.LET(
_xlpm._一般検索,IFERROR(INDEX('在庫使用計画 (一般)'!$A$1:$BF$391,MATCH($C32,'在庫使用計画 (一般)'!$C$1:$C$391,0),MATCH(AW$1,'在庫使用計画 (一般)'!$A$1:$BF$1,0))*1,0),
_xlpm._法人検索,IFERROR(INDEX('在庫使用計画 (法人)'!$A$1:$BF$391,MATCH($C32,'在庫使用計画 (法人)'!$C$1:$C$391,0),MATCH(AW$1,'在庫使用計画 (法人)'!$A$1:$BF$1,0))*1,0),
_xlpm._合計,_xlpm._一般検索+_xlpm._法人検索,
IF(_xlpm._合計=0,"",_xlpm._合計)
)</f>
        <v/>
      </c>
      <c r="AX32" s="224" t="str">
        <f>_xlfn.LET(
_xlpm._一般検索,IFERROR(INDEX('在庫使用計画 (一般)'!$A$1:$BF$391,MATCH($C32,'在庫使用計画 (一般)'!$C$1:$C$391,0),MATCH(AX$1,'在庫使用計画 (一般)'!$A$1:$BF$1,0))*1,0),
_xlpm._法人検索,IFERROR(INDEX('在庫使用計画 (法人)'!$A$1:$BF$391,MATCH($C32,'在庫使用計画 (法人)'!$C$1:$C$391,0),MATCH(AX$1,'在庫使用計画 (法人)'!$A$1:$BF$1,0))*1,0),
_xlpm._合計,_xlpm._一般検索+_xlpm._法人検索,
IF(_xlpm._合計=0,"",_xlpm._合計)
)</f>
        <v/>
      </c>
      <c r="AY32" s="224" t="str">
        <f>_xlfn.LET(
_xlpm._一般検索,IFERROR(INDEX('在庫使用計画 (一般)'!$A$1:$BF$391,MATCH($C32,'在庫使用計画 (一般)'!$C$1:$C$391,0),MATCH(AY$1,'在庫使用計画 (一般)'!$A$1:$BF$1,0))*1,0),
_xlpm._法人検索,IFERROR(INDEX('在庫使用計画 (法人)'!$A$1:$BF$391,MATCH($C32,'在庫使用計画 (法人)'!$C$1:$C$391,0),MATCH(AY$1,'在庫使用計画 (法人)'!$A$1:$BF$1,0))*1,0),
_xlpm._合計,_xlpm._一般検索+_xlpm._法人検索,
IF(_xlpm._合計=0,"",_xlpm._合計)
)</f>
        <v/>
      </c>
      <c r="AZ32" s="224" t="str">
        <f>_xlfn.LET(
_xlpm._一般検索,IFERROR(INDEX('在庫使用計画 (一般)'!$A$1:$BF$391,MATCH($C32,'在庫使用計画 (一般)'!$C$1:$C$391,0),MATCH(AZ$1,'在庫使用計画 (一般)'!$A$1:$BF$1,0))*1,0),
_xlpm._法人検索,IFERROR(INDEX('在庫使用計画 (法人)'!$A$1:$BF$391,MATCH($C32,'在庫使用計画 (法人)'!$C$1:$C$391,0),MATCH(AZ$1,'在庫使用計画 (法人)'!$A$1:$BF$1,0))*1,0),
_xlpm._合計,_xlpm._一般検索+_xlpm._法人検索,
IF(_xlpm._合計=0,"",_xlpm._合計)
)</f>
        <v/>
      </c>
      <c r="BA32" s="224" t="str">
        <f>_xlfn.LET(
_xlpm._一般検索,IFERROR(INDEX('在庫使用計画 (一般)'!$A$1:$BF$391,MATCH($C32,'在庫使用計画 (一般)'!$C$1:$C$391,0),MATCH(BA$1,'在庫使用計画 (一般)'!$A$1:$BF$1,0))*1,0),
_xlpm._法人検索,IFERROR(INDEX('在庫使用計画 (法人)'!$A$1:$BF$391,MATCH($C32,'在庫使用計画 (法人)'!$C$1:$C$391,0),MATCH(BA$1,'在庫使用計画 (法人)'!$A$1:$BF$1,0))*1,0),
_xlpm._合計,_xlpm._一般検索+_xlpm._法人検索,
IF(_xlpm._合計=0,"",_xlpm._合計)
)</f>
        <v/>
      </c>
      <c r="BB32" s="224" t="str">
        <f>_xlfn.LET(
_xlpm._一般検索,IFERROR(INDEX('在庫使用計画 (一般)'!$A$1:$BF$391,MATCH($C32,'在庫使用計画 (一般)'!$C$1:$C$391,0),MATCH(BB$1,'在庫使用計画 (一般)'!$A$1:$BF$1,0))*1,0),
_xlpm._法人検索,IFERROR(INDEX('在庫使用計画 (法人)'!$A$1:$BF$391,MATCH($C32,'在庫使用計画 (法人)'!$C$1:$C$391,0),MATCH(BB$1,'在庫使用計画 (法人)'!$A$1:$BF$1,0))*1,0),
_xlpm._合計,_xlpm._一般検索+_xlpm._法人検索,
IF(_xlpm._合計=0,"",_xlpm._合計)
)</f>
        <v/>
      </c>
      <c r="BC32" s="224" t="str">
        <f>_xlfn.LET(
_xlpm._一般検索,IFERROR(INDEX('在庫使用計画 (一般)'!$A$1:$BF$391,MATCH($C32,'在庫使用計画 (一般)'!$C$1:$C$391,0),MATCH(BC$1,'在庫使用計画 (一般)'!$A$1:$BF$1,0))*1,0),
_xlpm._法人検索,IFERROR(INDEX('在庫使用計画 (法人)'!$A$1:$BF$391,MATCH($C32,'在庫使用計画 (法人)'!$C$1:$C$391,0),MATCH(BC$1,'在庫使用計画 (法人)'!$A$1:$BF$1,0))*1,0),
_xlpm._合計,_xlpm._一般検索+_xlpm._法人検索,
IF(_xlpm._合計=0,"",_xlpm._合計)
)</f>
        <v/>
      </c>
      <c r="BD32" s="224" t="str">
        <f>_xlfn.LET(
_xlpm._一般検索,IFERROR(INDEX('在庫使用計画 (一般)'!$A$1:$BF$391,MATCH($C32,'在庫使用計画 (一般)'!$C$1:$C$391,0),MATCH(BD$1,'在庫使用計画 (一般)'!$A$1:$BF$1,0))*1,0),
_xlpm._法人検索,IFERROR(INDEX('在庫使用計画 (法人)'!$A$1:$BF$391,MATCH($C32,'在庫使用計画 (法人)'!$C$1:$C$391,0),MATCH(BD$1,'在庫使用計画 (法人)'!$A$1:$BF$1,0))*1,0),
_xlpm._合計,_xlpm._一般検索+_xlpm._法人検索,
IF(_xlpm._合計=0,"",_xlpm._合計)
)</f>
        <v/>
      </c>
      <c r="BE32" s="224" t="str">
        <f>_xlfn.LET(
_xlpm._一般検索,IFERROR(INDEX('在庫使用計画 (一般)'!$A$1:$BF$391,MATCH($C32,'在庫使用計画 (一般)'!$C$1:$C$391,0),MATCH(BE$1,'在庫使用計画 (一般)'!$A$1:$BF$1,0))*1,0),
_xlpm._法人検索,IFERROR(INDEX('在庫使用計画 (法人)'!$A$1:$BF$391,MATCH($C32,'在庫使用計画 (法人)'!$C$1:$C$391,0),MATCH(BE$1,'在庫使用計画 (法人)'!$A$1:$BF$1,0))*1,0),
_xlpm._合計,_xlpm._一般検索+_xlpm._法人検索,
IF(_xlpm._合計=0,"",_xlpm._合計)
)</f>
        <v/>
      </c>
      <c r="BF32" s="224" t="str">
        <f>_xlfn.LET(
_xlpm._一般検索,IFERROR(INDEX('在庫使用計画 (一般)'!$A$1:$BF$391,MATCH($C32,'在庫使用計画 (一般)'!$C$1:$C$391,0),MATCH(BF$1,'在庫使用計画 (一般)'!$A$1:$BF$1,0))*1,0),
_xlpm._法人検索,IFERROR(INDEX('在庫使用計画 (法人)'!$A$1:$BF$391,MATCH($C32,'在庫使用計画 (法人)'!$C$1:$C$391,0),MATCH(BF$1,'在庫使用計画 (法人)'!$A$1:$BF$1,0))*1,0),
_xlpm._合計,_xlpm._一般検索+_xlpm._法人検索,
IF(_xlpm._合計=0,"",_xlpm._合計)
)</f>
        <v/>
      </c>
      <c r="BG32" s="237" t="str">
        <f>_xlfn.LET(
_xlpm._一般検索,IFERROR(INDEX('在庫使用計画 (一般)'!$A$1:$BF$391,MATCH($C32,'在庫使用計画 (一般)'!$C$1:$C$391,0),MATCH(BG$1,'在庫使用計画 (一般)'!$A$1:$BF$1,0))*1,0),
_xlpm._法人検索,IFERROR(INDEX('在庫使用計画 (法人)'!$A$1:$BF$391,MATCH($C32,'在庫使用計画 (法人)'!$C$1:$C$391,0),MATCH(BG$1,'在庫使用計画 (法人)'!$A$1:$BF$1,0))*1,0),
_xlpm._合計,_xlpm._一般検索+_xlpm._法人検索,
IF(_xlpm._合計=0,"",_xlpm._合計)
)</f>
        <v/>
      </c>
      <c r="BH32" s="804" t="str">
        <f>_xlfn.LET(
_xlpm._一般検索,IFERROR(INDEX('在庫使用計画 (一般)'!$A$1:$BF$391,MATCH($C32,'在庫使用計画 (一般)'!$C$1:$C$391,0),MATCH(BH$1,'在庫使用計画 (一般)'!$A$1:$BF$1,0))*1,0),
_xlpm._法人検索,IFERROR(INDEX('在庫使用計画 (法人)'!$A$1:$BF$391,MATCH($C32,'在庫使用計画 (法人)'!$C$1:$C$391,0),MATCH(BH$1,'在庫使用計画 (法人)'!$A$1:$BF$1,0))*1,0),
_xlpm._合計,_xlpm._一般検索+_xlpm._法人検索,
IF(_xlpm._合計=0,"",_xlpm._合計)
)</f>
        <v/>
      </c>
      <c r="BI32" s="224" t="str">
        <f>_xlfn.LET(
_xlpm._一般検索,IFERROR(INDEX('在庫使用計画 (一般)'!$A$1:$BF$391,MATCH($C32,'在庫使用計画 (一般)'!$C$1:$C$391,0),MATCH(BI$1,'在庫使用計画 (一般)'!$A$1:$BF$1,0))*1,0),
_xlpm._法人検索,IFERROR(INDEX('在庫使用計画 (法人)'!$A$1:$BF$391,MATCH($C32,'在庫使用計画 (法人)'!$C$1:$C$391,0),MATCH(BI$1,'在庫使用計画 (法人)'!$A$1:$BF$1,0))*1,0),
_xlpm._合計,_xlpm._一般検索+_xlpm._法人検索,
IF(_xlpm._合計=0,"",_xlpm._合計)
)</f>
        <v/>
      </c>
      <c r="BJ32" s="224" t="str">
        <f>_xlfn.LET(
_xlpm._一般検索,IFERROR(INDEX('在庫使用計画 (一般)'!$A$1:$BF$391,MATCH($C32,'在庫使用計画 (一般)'!$C$1:$C$391,0),MATCH(BJ$1,'在庫使用計画 (一般)'!$A$1:$BF$1,0))*1,0),
_xlpm._法人検索,IFERROR(INDEX('在庫使用計画 (法人)'!$A$1:$BF$391,MATCH($C32,'在庫使用計画 (法人)'!$C$1:$C$391,0),MATCH(BJ$1,'在庫使用計画 (法人)'!$A$1:$BF$1,0))*1,0),
_xlpm._合計,_xlpm._一般検索+_xlpm._法人検索,
IF(_xlpm._合計=0,"",_xlpm._合計)
)</f>
        <v/>
      </c>
      <c r="BK32" s="224" t="str">
        <f>_xlfn.LET(
_xlpm._一般検索,IFERROR(INDEX('在庫使用計画 (一般)'!$A$1:$BF$391,MATCH($C32,'在庫使用計画 (一般)'!$C$1:$C$391,0),MATCH(BK$1,'在庫使用計画 (一般)'!$A$1:$BF$1,0))*1,0),
_xlpm._法人検索,IFERROR(INDEX('在庫使用計画 (法人)'!$A$1:$BF$391,MATCH($C32,'在庫使用計画 (法人)'!$C$1:$C$391,0),MATCH(BK$1,'在庫使用計画 (法人)'!$A$1:$BF$1,0))*1,0),
_xlpm._合計,_xlpm._一般検索+_xlpm._法人検索,
IF(_xlpm._合計=0,"",_xlpm._合計)
)</f>
        <v/>
      </c>
      <c r="BL32" s="224" t="str">
        <f>_xlfn.LET(
_xlpm._一般検索,IFERROR(INDEX('在庫使用計画 (一般)'!$A$1:$BF$391,MATCH($C32,'在庫使用計画 (一般)'!$C$1:$C$391,0),MATCH(BL$1,'在庫使用計画 (一般)'!$A$1:$BF$1,0))*1,0),
_xlpm._法人検索,IFERROR(INDEX('在庫使用計画 (法人)'!$A$1:$BF$391,MATCH($C32,'在庫使用計画 (法人)'!$C$1:$C$391,0),MATCH(BL$1,'在庫使用計画 (法人)'!$A$1:$BF$1,0))*1,0),
_xlpm._合計,_xlpm._一般検索+_xlpm._法人検索,
IF(_xlpm._合計=0,"",_xlpm._合計)
)</f>
        <v/>
      </c>
      <c r="BM32" s="224" t="str">
        <f>_xlfn.LET(
_xlpm._一般検索,IFERROR(INDEX('在庫使用計画 (一般)'!$A$1:$BF$391,MATCH($C32,'在庫使用計画 (一般)'!$C$1:$C$391,0),MATCH(BM$1,'在庫使用計画 (一般)'!$A$1:$BF$1,0))*1,0),
_xlpm._法人検索,IFERROR(INDEX('在庫使用計画 (法人)'!$A$1:$BF$391,MATCH($C32,'在庫使用計画 (法人)'!$C$1:$C$391,0),MATCH(BM$1,'在庫使用計画 (法人)'!$A$1:$BF$1,0))*1,0),
_xlpm._合計,_xlpm._一般検索+_xlpm._法人検索,
IF(_xlpm._合計=0,"",_xlpm._合計)
)</f>
        <v/>
      </c>
      <c r="BN32" s="224" t="str">
        <f>_xlfn.LET(
_xlpm._一般検索,IFERROR(INDEX('在庫使用計画 (一般)'!$A$1:$BF$391,MATCH($C32,'在庫使用計画 (一般)'!$C$1:$C$391,0),MATCH(BN$1,'在庫使用計画 (一般)'!$A$1:$BF$1,0))*1,0),
_xlpm._法人検索,IFERROR(INDEX('在庫使用計画 (法人)'!$A$1:$BF$391,MATCH($C32,'在庫使用計画 (法人)'!$C$1:$C$391,0),MATCH(BN$1,'在庫使用計画 (法人)'!$A$1:$BF$1,0))*1,0),
_xlpm._合計,_xlpm._一般検索+_xlpm._法人検索,
IF(_xlpm._合計=0,"",_xlpm._合計)
)</f>
        <v/>
      </c>
      <c r="BO32" s="224" t="str">
        <f>_xlfn.LET(
_xlpm._一般検索,IFERROR(INDEX('在庫使用計画 (一般)'!$A$1:$BF$391,MATCH($C32,'在庫使用計画 (一般)'!$C$1:$C$391,0),MATCH(BO$1,'在庫使用計画 (一般)'!$A$1:$BF$1,0))*1,0),
_xlpm._法人検索,IFERROR(INDEX('在庫使用計画 (法人)'!$A$1:$BF$391,MATCH($C32,'在庫使用計画 (法人)'!$C$1:$C$391,0),MATCH(BO$1,'在庫使用計画 (法人)'!$A$1:$BF$1,0))*1,0),
_xlpm._合計,_xlpm._一般検索+_xlpm._法人検索,
IF(_xlpm._合計=0,"",_xlpm._合計)
)</f>
        <v/>
      </c>
      <c r="BP32" s="224" t="str">
        <f>_xlfn.LET(
_xlpm._一般検索,IFERROR(INDEX('在庫使用計画 (一般)'!$A$1:$BF$391,MATCH($C32,'在庫使用計画 (一般)'!$C$1:$C$391,0),MATCH(BP$1,'在庫使用計画 (一般)'!$A$1:$BF$1,0))*1,0),
_xlpm._法人検索,IFERROR(INDEX('在庫使用計画 (法人)'!$A$1:$BF$391,MATCH($C32,'在庫使用計画 (法人)'!$C$1:$C$391,0),MATCH(BP$1,'在庫使用計画 (法人)'!$A$1:$BF$1,0))*1,0),
_xlpm._合計,_xlpm._一般検索+_xlpm._法人検索,
IF(_xlpm._合計=0,"",_xlpm._合計)
)</f>
        <v/>
      </c>
      <c r="BQ32" s="224" t="str">
        <f>_xlfn.LET(
_xlpm._一般検索,IFERROR(INDEX('在庫使用計画 (一般)'!$A$1:$BF$391,MATCH($C32,'在庫使用計画 (一般)'!$C$1:$C$391,0),MATCH(BQ$1,'在庫使用計画 (一般)'!$A$1:$BF$1,0))*1,0),
_xlpm._法人検索,IFERROR(INDEX('在庫使用計画 (法人)'!$A$1:$BF$391,MATCH($C32,'在庫使用計画 (法人)'!$C$1:$C$391,0),MATCH(BQ$1,'在庫使用計画 (法人)'!$A$1:$BF$1,0))*1,0),
_xlpm._合計,_xlpm._一般検索+_xlpm._法人検索,
IF(_xlpm._合計=0,"",_xlpm._合計)
)</f>
        <v/>
      </c>
      <c r="BR32" s="224" t="str">
        <f>_xlfn.LET(
_xlpm._一般検索,IFERROR(INDEX('在庫使用計画 (一般)'!$A$1:$BF$391,MATCH($C32,'在庫使用計画 (一般)'!$C$1:$C$391,0),MATCH(BR$1,'在庫使用計画 (一般)'!$A$1:$BF$1,0))*1,0),
_xlpm._法人検索,IFERROR(INDEX('在庫使用計画 (法人)'!$A$1:$BF$391,MATCH($C32,'在庫使用計画 (法人)'!$C$1:$C$391,0),MATCH(BR$1,'在庫使用計画 (法人)'!$A$1:$BF$1,0))*1,0),
_xlpm._合計,_xlpm._一般検索+_xlpm._法人検索,
IF(_xlpm._合計=0,"",_xlpm._合計)
)</f>
        <v/>
      </c>
      <c r="BS32" s="805" t="str">
        <f>_xlfn.LET(
_xlpm._一般検索,IFERROR(INDEX('在庫使用計画 (一般)'!$A$1:$BF$391,MATCH($C32,'在庫使用計画 (一般)'!$C$1:$C$391,0),MATCH(BS$1,'在庫使用計画 (一般)'!$A$1:$BF$1,0))*1,0),
_xlpm._法人検索,IFERROR(INDEX('在庫使用計画 (法人)'!$A$1:$BF$391,MATCH($C32,'在庫使用計画 (法人)'!$C$1:$C$391,0),MATCH(BS$1,'在庫使用計画 (法人)'!$A$1:$BF$1,0))*1,0),
_xlpm._合計,_xlpm._一般検索+_xlpm._法人検索,
IF(_xlpm._合計=0,"",_xlpm._合計)
)</f>
        <v/>
      </c>
      <c r="BT32" s="21"/>
    </row>
    <row r="33" spans="1:72" customFormat="1" ht="18.75" customHeight="1">
      <c r="A33" s="1059" t="s">
        <v>1639</v>
      </c>
      <c r="B33" s="494" t="str">
        <v>CLE-V56-AI9-470-5060-L6 Creator</v>
      </c>
      <c r="C33" s="1437" t="s">
        <v>427</v>
      </c>
      <c r="D33" s="2154">
        <v>400</v>
      </c>
      <c r="E33" s="26"/>
      <c r="F33" s="24"/>
      <c r="G33" s="74">
        <v>348</v>
      </c>
      <c r="H33" s="38">
        <v>348</v>
      </c>
      <c r="I33" s="38" cm="1">
        <f t="array" ref="I33">IF($C33="","",
_xlfn.LET(
  _xlpm._見出し,$A$1:$BT$1,
  _xlpm._行,$A33:$BT33,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176.49768179284789</v>
      </c>
      <c r="J33" s="74" cm="1">
        <f t="array" ref="J33">_xlfn.LET(
  _xlpm._見出し,$A$1:$BS$1,
  _xlpm._行,$A33:$BS33,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IF($C33="","",_xlpm._四点五月計画合計)
)</f>
        <v>210.71791539674345</v>
      </c>
      <c r="K33" s="1458" cm="1">
        <f t="array" ref="K33">_xlfn.IFS(
  $C33="","",
  $G33="","発売前？",
  $G33=0,"在庫なし",
  TRUE,
  IFERROR(
    _xlfn.LET(
      _xlpm._在庫注残,     $G33,
      _xlpm._しきい値,     _xlpm._在庫注残 * 0.75,
      _xlpm._見出し元,     $L$1:$BU$1,
      _xlpm._計画,         $L33:$BU33,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46357</v>
      </c>
      <c r="L33" s="38"/>
      <c r="M33" s="38"/>
      <c r="N33" s="38"/>
      <c r="O33" s="38"/>
      <c r="P33" s="38"/>
      <c r="Q33" s="38"/>
      <c r="R33" s="38"/>
      <c r="S33" s="38"/>
      <c r="T33" s="219"/>
      <c r="U33" s="219"/>
      <c r="V33" s="219"/>
      <c r="W33" s="222"/>
      <c r="X33" s="223"/>
      <c r="Y33" s="223"/>
      <c r="Z33" s="223"/>
      <c r="AA33" s="241"/>
      <c r="AB33" s="224"/>
      <c r="AC33" s="224"/>
      <c r="AD33" s="224"/>
      <c r="AE33" s="224"/>
      <c r="AF33" s="224"/>
      <c r="AG33" s="241"/>
      <c r="AH33" s="224" t="s">
        <v>21</v>
      </c>
      <c r="AI33" s="237" t="s">
        <v>21</v>
      </c>
      <c r="AJ33" s="804" t="s">
        <v>21</v>
      </c>
      <c r="AK33" s="224">
        <v>20</v>
      </c>
      <c r="AL33" s="224">
        <v>29</v>
      </c>
      <c r="AM33" s="224">
        <v>5</v>
      </c>
      <c r="AN33" s="224">
        <f>_xlfn.LET(
_xlpm._一般検索,IFERROR(INDEX('在庫使用計画 (一般)'!$A$1:$BF$391,MATCH($C33,'在庫使用計画 (一般)'!$C$1:$C$391,0),MATCH(AN$1,'在庫使用計画 (一般)'!$A$1:$BF$1,0))*1,0),
_xlpm._法人検索,IFERROR(INDEX('在庫使用計画 (法人)'!$A$1:$BF$391,MATCH($C33,'在庫使用計画 (法人)'!$C$1:$C$391,0),MATCH(AN$1,'在庫使用計画 (法人)'!$A$1:$BF$1,0))*1,0),
_xlpm._合計,_xlpm._一般検索+_xlpm._法人検索,
IF(_xlpm._合計=0,"",_xlpm._合計)
)</f>
        <v>5</v>
      </c>
      <c r="AO33" s="224">
        <f>_xlfn.LET(
_xlpm._一般検索,IFERROR(INDEX('在庫使用計画 (一般)'!$A$1:$BF$391,MATCH($C33,'在庫使用計画 (一般)'!$C$1:$C$391,0),MATCH(AO$1,'在庫使用計画 (一般)'!$A$1:$BF$1,0))*1,0),
_xlpm._法人検索,IFERROR(INDEX('在庫使用計画 (法人)'!$A$1:$BF$391,MATCH($C33,'在庫使用計画 (法人)'!$C$1:$C$391,0),MATCH(AO$1,'在庫使用計画 (法人)'!$A$1:$BF$1,0))*1,0),
_xlpm._合計,_xlpm._一般検索+_xlpm._法人検索,
IF(_xlpm._合計=0,"",_xlpm._合計)
)</f>
        <v>5</v>
      </c>
      <c r="AP33" s="224">
        <f>_xlfn.LET(
_xlpm._一般検索,IFERROR(INDEX('在庫使用計画 (一般)'!$A$1:$BF$391,MATCH($C33,'在庫使用計画 (一般)'!$C$1:$C$391,0),MATCH(AP$1,'在庫使用計画 (一般)'!$A$1:$BF$1,0))*1,0),
_xlpm._法人検索,IFERROR(INDEX('在庫使用計画 (法人)'!$A$1:$BF$391,MATCH($C33,'在庫使用計画 (法人)'!$C$1:$C$391,0),MATCH(AP$1,'在庫使用計画 (法人)'!$A$1:$BF$1,0))*1,0),
_xlpm._合計,_xlpm._一般検索+_xlpm._法人検索,
IF(_xlpm._合計=0,"",_xlpm._合計)
)</f>
        <v>30</v>
      </c>
      <c r="AQ33" s="224">
        <f>_xlfn.LET(
_xlpm._一般検索,IFERROR(INDEX('在庫使用計画 (一般)'!$A$1:$BF$391,MATCH($C33,'在庫使用計画 (一般)'!$C$1:$C$391,0),MATCH(AQ$1,'在庫使用計画 (一般)'!$A$1:$BF$1,0))*1,0),
_xlpm._法人検索,IFERROR(INDEX('在庫使用計画 (法人)'!$A$1:$BF$391,MATCH($C33,'在庫使用計画 (法人)'!$C$1:$C$391,0),MATCH(AQ$1,'在庫使用計画 (法人)'!$A$1:$BF$1,0))*1,0),
_xlpm._合計,_xlpm._一般検索+_xlpm._法人検索,
IF(_xlpm._合計=0,"",_xlpm._合計)
)</f>
        <v>50.592773241475811</v>
      </c>
      <c r="AR33" s="224">
        <f>_xlfn.LET(
_xlpm._一般検索,IFERROR(INDEX('在庫使用計画 (一般)'!$A$1:$BF$391,MATCH($C33,'在庫使用計画 (一般)'!$C$1:$C$391,0),MATCH(AR$1,'在庫使用計画 (一般)'!$A$1:$BF$1,0))*1,0),
_xlpm._法人検索,IFERROR(INDEX('在庫使用計画 (法人)'!$A$1:$BF$391,MATCH($C33,'在庫使用計画 (法人)'!$C$1:$C$391,0),MATCH(AR$1,'在庫使用計画 (法人)'!$A$1:$BF$1,0))*1,0),
_xlpm._合計,_xlpm._一般検索+_xlpm._法人検索,
IF(_xlpm._合計=0,"",_xlpm._合計)
)</f>
        <v>47.80650774274369</v>
      </c>
      <c r="AS33" s="224">
        <f>_xlfn.LET(
_xlpm._一般検索,IFERROR(INDEX('在庫使用計画 (一般)'!$A$1:$BF$391,MATCH($C33,'在庫使用計画 (一般)'!$C$1:$C$391,0),MATCH(AS$1,'在庫使用計画 (一般)'!$A$1:$BF$1,0))*1,0),
_xlpm._法人検索,IFERROR(INDEX('在庫使用計画 (法人)'!$A$1:$BF$391,MATCH($C33,'在庫使用計画 (法人)'!$C$1:$C$391,0),MATCH(AS$1,'在庫使用計画 (法人)'!$A$1:$BF$1,0))*1,0),
_xlpm._合計,_xlpm._一般検索+_xlpm._法人検索,
IF(_xlpm._合計=0,"",_xlpm._合計)
)</f>
        <v>48.098400808628384</v>
      </c>
      <c r="AT33" s="224">
        <f>_xlfn.LET(
_xlpm._一般検索,IFERROR(INDEX('在庫使用計画 (一般)'!$A$1:$BF$391,MATCH($C33,'在庫使用計画 (一般)'!$C$1:$C$391,0),MATCH(AT$1,'在庫使用計画 (一般)'!$A$1:$BF$1,0))*1,0),
_xlpm._法人検索,IFERROR(INDEX('在庫使用計画 (法人)'!$A$1:$BF$391,MATCH($C33,'在庫使用計画 (法人)'!$C$1:$C$391,0),MATCH(AT$1,'在庫使用計画 (法人)'!$A$1:$BF$1,0))*1,0),
_xlpm._合計,_xlpm._一般検索+_xlpm._法人検索,
IF(_xlpm._合計=0,"",_xlpm._合計)
)</f>
        <v>49.220233603895572</v>
      </c>
      <c r="AU33" s="805">
        <f>_xlfn.LET(
_xlpm._一般検索,IFERROR(INDEX('在庫使用計画 (一般)'!$A$1:$BF$391,MATCH($C33,'在庫使用計画 (一般)'!$C$1:$C$391,0),MATCH(AU$1,'在庫使用計画 (一般)'!$A$1:$BF$1,0))*1,0),
_xlpm._法人検索,IFERROR(INDEX('在庫使用計画 (法人)'!$A$1:$BF$391,MATCH($C33,'在庫使用計画 (法人)'!$C$1:$C$391,0),MATCH(AU$1,'在庫使用計画 (法人)'!$A$1:$BF$1,0))*1,0),
_xlpm._合計,_xlpm._一般検索+_xlpm._法人検索,
IF(_xlpm._合計=0,"",_xlpm._合計)
)</f>
        <v>64.964238230575276</v>
      </c>
      <c r="AV33" s="244">
        <f>_xlfn.LET(
_xlpm._一般検索,IFERROR(INDEX('在庫使用計画 (一般)'!$A$1:$BF$391,MATCH($C33,'在庫使用計画 (一般)'!$C$1:$C$391,0),MATCH(AV$1,'在庫使用計画 (一般)'!$A$1:$BF$1,0))*1,0),
_xlpm._法人検索,IFERROR(INDEX('在庫使用計画 (法人)'!$A$1:$BF$391,MATCH($C33,'在庫使用計画 (法人)'!$C$1:$C$391,0),MATCH(AV$1,'在庫使用計画 (法人)'!$A$1:$BF$1,0))*1,0),
_xlpm._合計,_xlpm._一般検索+_xlpm._法人検索,
IF(_xlpm._合計=0,"",_xlpm._合計)
)</f>
        <v>42.254595610059908</v>
      </c>
      <c r="AW33" s="224">
        <f>_xlfn.LET(
_xlpm._一般検索,IFERROR(INDEX('在庫使用計画 (一般)'!$A$1:$BF$391,MATCH($C33,'在庫使用計画 (一般)'!$C$1:$C$391,0),MATCH(AW$1,'在庫使用計画 (一般)'!$A$1:$BF$1,0))*1,0),
_xlpm._法人検索,IFERROR(INDEX('在庫使用計画 (法人)'!$A$1:$BF$391,MATCH($C33,'在庫使用計画 (法人)'!$C$1:$C$391,0),MATCH(AW$1,'在庫使用計画 (法人)'!$A$1:$BF$1,0))*1,0),
_xlpm._合計,_xlpm._一般検索+_xlpm._法人検索,
IF(_xlpm._合計=0,"",_xlpm._合計)
)</f>
        <v>39.838163808264873</v>
      </c>
      <c r="AX33" s="224">
        <f>_xlfn.LET(
_xlpm._一般検索,IFERROR(INDEX('在庫使用計画 (一般)'!$A$1:$BF$391,MATCH($C33,'在庫使用計画 (一般)'!$C$1:$C$391,0),MATCH(AX$1,'在庫使用計画 (一般)'!$A$1:$BF$1,0))*1,0),
_xlpm._法人検索,IFERROR(INDEX('在庫使用計画 (法人)'!$A$1:$BF$391,MATCH($C33,'在庫使用計画 (法人)'!$C$1:$C$391,0),MATCH(AX$1,'在庫使用計画 (法人)'!$A$1:$BF$1,0))*1,0),
_xlpm._合計,_xlpm._一般検索+_xlpm._法人検索,
IF(_xlpm._合計=0,"",_xlpm._合計)
)</f>
        <v>58.873806992695883</v>
      </c>
      <c r="AY33" s="224" t="str">
        <f>_xlfn.LET(
_xlpm._一般検索,IFERROR(INDEX('在庫使用計画 (一般)'!$A$1:$BF$391,MATCH($C33,'在庫使用計画 (一般)'!$C$1:$C$391,0),MATCH(AY$1,'在庫使用計画 (一般)'!$A$1:$BF$1,0))*1,0),
_xlpm._法人検索,IFERROR(INDEX('在庫使用計画 (法人)'!$A$1:$BF$391,MATCH($C33,'在庫使用計画 (法人)'!$C$1:$C$391,0),MATCH(AY$1,'在庫使用計画 (法人)'!$A$1:$BF$1,0))*1,0),
_xlpm._合計,_xlpm._一般検索+_xlpm._法人検索,
IF(_xlpm._合計=0,"",_xlpm._合計)
)</f>
        <v/>
      </c>
      <c r="AZ33" s="224" t="str">
        <f>_xlfn.LET(
_xlpm._一般検索,IFERROR(INDEX('在庫使用計画 (一般)'!$A$1:$BF$391,MATCH($C33,'在庫使用計画 (一般)'!$C$1:$C$391,0),MATCH(AZ$1,'在庫使用計画 (一般)'!$A$1:$BF$1,0))*1,0),
_xlpm._法人検索,IFERROR(INDEX('在庫使用計画 (法人)'!$A$1:$BF$391,MATCH($C33,'在庫使用計画 (法人)'!$C$1:$C$391,0),MATCH(AZ$1,'在庫使用計画 (法人)'!$A$1:$BF$1,0))*1,0),
_xlpm._合計,_xlpm._一般検索+_xlpm._法人検索,
IF(_xlpm._合計=0,"",_xlpm._合計)
)</f>
        <v/>
      </c>
      <c r="BA33" s="224" t="str">
        <f>_xlfn.LET(
_xlpm._一般検索,IFERROR(INDEX('在庫使用計画 (一般)'!$A$1:$BF$391,MATCH($C33,'在庫使用計画 (一般)'!$C$1:$C$391,0),MATCH(BA$1,'在庫使用計画 (一般)'!$A$1:$BF$1,0))*1,0),
_xlpm._法人検索,IFERROR(INDEX('在庫使用計画 (法人)'!$A$1:$BF$391,MATCH($C33,'在庫使用計画 (法人)'!$C$1:$C$391,0),MATCH(BA$1,'在庫使用計画 (法人)'!$A$1:$BF$1,0))*1,0),
_xlpm._合計,_xlpm._一般検索+_xlpm._法人検索,
IF(_xlpm._合計=0,"",_xlpm._合計)
)</f>
        <v/>
      </c>
      <c r="BB33" s="224" t="str">
        <f>_xlfn.LET(
_xlpm._一般検索,IFERROR(INDEX('在庫使用計画 (一般)'!$A$1:$BF$391,MATCH($C33,'在庫使用計画 (一般)'!$C$1:$C$391,0),MATCH(BB$1,'在庫使用計画 (一般)'!$A$1:$BF$1,0))*1,0),
_xlpm._法人検索,IFERROR(INDEX('在庫使用計画 (法人)'!$A$1:$BF$391,MATCH($C33,'在庫使用計画 (法人)'!$C$1:$C$391,0),MATCH(BB$1,'在庫使用計画 (法人)'!$A$1:$BF$1,0))*1,0),
_xlpm._合計,_xlpm._一般検索+_xlpm._法人検索,
IF(_xlpm._合計=0,"",_xlpm._合計)
)</f>
        <v/>
      </c>
      <c r="BC33" s="224" t="str">
        <f>_xlfn.LET(
_xlpm._一般検索,IFERROR(INDEX('在庫使用計画 (一般)'!$A$1:$BF$391,MATCH($C33,'在庫使用計画 (一般)'!$C$1:$C$391,0),MATCH(BC$1,'在庫使用計画 (一般)'!$A$1:$BF$1,0))*1,0),
_xlpm._法人検索,IFERROR(INDEX('在庫使用計画 (法人)'!$A$1:$BF$391,MATCH($C33,'在庫使用計画 (法人)'!$C$1:$C$391,0),MATCH(BC$1,'在庫使用計画 (法人)'!$A$1:$BF$1,0))*1,0),
_xlpm._合計,_xlpm._一般検索+_xlpm._法人検索,
IF(_xlpm._合計=0,"",_xlpm._合計)
)</f>
        <v/>
      </c>
      <c r="BD33" s="224" t="str">
        <f>_xlfn.LET(
_xlpm._一般検索,IFERROR(INDEX('在庫使用計画 (一般)'!$A$1:$BF$391,MATCH($C33,'在庫使用計画 (一般)'!$C$1:$C$391,0),MATCH(BD$1,'在庫使用計画 (一般)'!$A$1:$BF$1,0))*1,0),
_xlpm._法人検索,IFERROR(INDEX('在庫使用計画 (法人)'!$A$1:$BF$391,MATCH($C33,'在庫使用計画 (法人)'!$C$1:$C$391,0),MATCH(BD$1,'在庫使用計画 (法人)'!$A$1:$BF$1,0))*1,0),
_xlpm._合計,_xlpm._一般検索+_xlpm._法人検索,
IF(_xlpm._合計=0,"",_xlpm._合計)
)</f>
        <v/>
      </c>
      <c r="BE33" s="224" t="str">
        <f>_xlfn.LET(
_xlpm._一般検索,IFERROR(INDEX('在庫使用計画 (一般)'!$A$1:$BF$391,MATCH($C33,'在庫使用計画 (一般)'!$C$1:$C$391,0),MATCH(BE$1,'在庫使用計画 (一般)'!$A$1:$BF$1,0))*1,0),
_xlpm._法人検索,IFERROR(INDEX('在庫使用計画 (法人)'!$A$1:$BF$391,MATCH($C33,'在庫使用計画 (法人)'!$C$1:$C$391,0),MATCH(BE$1,'在庫使用計画 (法人)'!$A$1:$BF$1,0))*1,0),
_xlpm._合計,_xlpm._一般検索+_xlpm._法人検索,
IF(_xlpm._合計=0,"",_xlpm._合計)
)</f>
        <v/>
      </c>
      <c r="BF33" s="224" t="str">
        <f>_xlfn.LET(
_xlpm._一般検索,IFERROR(INDEX('在庫使用計画 (一般)'!$A$1:$BF$391,MATCH($C33,'在庫使用計画 (一般)'!$C$1:$C$391,0),MATCH(BF$1,'在庫使用計画 (一般)'!$A$1:$BF$1,0))*1,0),
_xlpm._法人検索,IFERROR(INDEX('在庫使用計画 (法人)'!$A$1:$BF$391,MATCH($C33,'在庫使用計画 (法人)'!$C$1:$C$391,0),MATCH(BF$1,'在庫使用計画 (法人)'!$A$1:$BF$1,0))*1,0),
_xlpm._合計,_xlpm._一般検索+_xlpm._法人検索,
IF(_xlpm._合計=0,"",_xlpm._合計)
)</f>
        <v/>
      </c>
      <c r="BG33" s="237" t="str">
        <f>_xlfn.LET(
_xlpm._一般検索,IFERROR(INDEX('在庫使用計画 (一般)'!$A$1:$BF$391,MATCH($C33,'在庫使用計画 (一般)'!$C$1:$C$391,0),MATCH(BG$1,'在庫使用計画 (一般)'!$A$1:$BF$1,0))*1,0),
_xlpm._法人検索,IFERROR(INDEX('在庫使用計画 (法人)'!$A$1:$BF$391,MATCH($C33,'在庫使用計画 (法人)'!$C$1:$C$391,0),MATCH(BG$1,'在庫使用計画 (法人)'!$A$1:$BF$1,0))*1,0),
_xlpm._合計,_xlpm._一般検索+_xlpm._法人検索,
IF(_xlpm._合計=0,"",_xlpm._合計)
)</f>
        <v/>
      </c>
      <c r="BH33" s="804" t="str">
        <f>_xlfn.LET(
_xlpm._一般検索,IFERROR(INDEX('在庫使用計画 (一般)'!$A$1:$BF$391,MATCH($C33,'在庫使用計画 (一般)'!$C$1:$C$391,0),MATCH(BH$1,'在庫使用計画 (一般)'!$A$1:$BF$1,0))*1,0),
_xlpm._法人検索,IFERROR(INDEX('在庫使用計画 (法人)'!$A$1:$BF$391,MATCH($C33,'在庫使用計画 (法人)'!$C$1:$C$391,0),MATCH(BH$1,'在庫使用計画 (法人)'!$A$1:$BF$1,0))*1,0),
_xlpm._合計,_xlpm._一般検索+_xlpm._法人検索,
IF(_xlpm._合計=0,"",_xlpm._合計)
)</f>
        <v/>
      </c>
      <c r="BI33" s="224" t="str">
        <f>_xlfn.LET(
_xlpm._一般検索,IFERROR(INDEX('在庫使用計画 (一般)'!$A$1:$BF$391,MATCH($C33,'在庫使用計画 (一般)'!$C$1:$C$391,0),MATCH(BI$1,'在庫使用計画 (一般)'!$A$1:$BF$1,0))*1,0),
_xlpm._法人検索,IFERROR(INDEX('在庫使用計画 (法人)'!$A$1:$BF$391,MATCH($C33,'在庫使用計画 (法人)'!$C$1:$C$391,0),MATCH(BI$1,'在庫使用計画 (法人)'!$A$1:$BF$1,0))*1,0),
_xlpm._合計,_xlpm._一般検索+_xlpm._法人検索,
IF(_xlpm._合計=0,"",_xlpm._合計)
)</f>
        <v/>
      </c>
      <c r="BJ33" s="224" t="str">
        <f>_xlfn.LET(
_xlpm._一般検索,IFERROR(INDEX('在庫使用計画 (一般)'!$A$1:$BF$391,MATCH($C33,'在庫使用計画 (一般)'!$C$1:$C$391,0),MATCH(BJ$1,'在庫使用計画 (一般)'!$A$1:$BF$1,0))*1,0),
_xlpm._法人検索,IFERROR(INDEX('在庫使用計画 (法人)'!$A$1:$BF$391,MATCH($C33,'在庫使用計画 (法人)'!$C$1:$C$391,0),MATCH(BJ$1,'在庫使用計画 (法人)'!$A$1:$BF$1,0))*1,0),
_xlpm._合計,_xlpm._一般検索+_xlpm._法人検索,
IF(_xlpm._合計=0,"",_xlpm._合計)
)</f>
        <v/>
      </c>
      <c r="BK33" s="224" t="str">
        <f>_xlfn.LET(
_xlpm._一般検索,IFERROR(INDEX('在庫使用計画 (一般)'!$A$1:$BF$391,MATCH($C33,'在庫使用計画 (一般)'!$C$1:$C$391,0),MATCH(BK$1,'在庫使用計画 (一般)'!$A$1:$BF$1,0))*1,0),
_xlpm._法人検索,IFERROR(INDEX('在庫使用計画 (法人)'!$A$1:$BF$391,MATCH($C33,'在庫使用計画 (法人)'!$C$1:$C$391,0),MATCH(BK$1,'在庫使用計画 (法人)'!$A$1:$BF$1,0))*1,0),
_xlpm._合計,_xlpm._一般検索+_xlpm._法人検索,
IF(_xlpm._合計=0,"",_xlpm._合計)
)</f>
        <v/>
      </c>
      <c r="BL33" s="224" t="str">
        <f>_xlfn.LET(
_xlpm._一般検索,IFERROR(INDEX('在庫使用計画 (一般)'!$A$1:$BF$391,MATCH($C33,'在庫使用計画 (一般)'!$C$1:$C$391,0),MATCH(BL$1,'在庫使用計画 (一般)'!$A$1:$BF$1,0))*1,0),
_xlpm._法人検索,IFERROR(INDEX('在庫使用計画 (法人)'!$A$1:$BF$391,MATCH($C33,'在庫使用計画 (法人)'!$C$1:$C$391,0),MATCH(BL$1,'在庫使用計画 (法人)'!$A$1:$BF$1,0))*1,0),
_xlpm._合計,_xlpm._一般検索+_xlpm._法人検索,
IF(_xlpm._合計=0,"",_xlpm._合計)
)</f>
        <v/>
      </c>
      <c r="BM33" s="224" t="str">
        <f>_xlfn.LET(
_xlpm._一般検索,IFERROR(INDEX('在庫使用計画 (一般)'!$A$1:$BF$391,MATCH($C33,'在庫使用計画 (一般)'!$C$1:$C$391,0),MATCH(BM$1,'在庫使用計画 (一般)'!$A$1:$BF$1,0))*1,0),
_xlpm._法人検索,IFERROR(INDEX('在庫使用計画 (法人)'!$A$1:$BF$391,MATCH($C33,'在庫使用計画 (法人)'!$C$1:$C$391,0),MATCH(BM$1,'在庫使用計画 (法人)'!$A$1:$BF$1,0))*1,0),
_xlpm._合計,_xlpm._一般検索+_xlpm._法人検索,
IF(_xlpm._合計=0,"",_xlpm._合計)
)</f>
        <v/>
      </c>
      <c r="BN33" s="224" t="str">
        <f>_xlfn.LET(
_xlpm._一般検索,IFERROR(INDEX('在庫使用計画 (一般)'!$A$1:$BF$391,MATCH($C33,'在庫使用計画 (一般)'!$C$1:$C$391,0),MATCH(BN$1,'在庫使用計画 (一般)'!$A$1:$BF$1,0))*1,0),
_xlpm._法人検索,IFERROR(INDEX('在庫使用計画 (法人)'!$A$1:$BF$391,MATCH($C33,'在庫使用計画 (法人)'!$C$1:$C$391,0),MATCH(BN$1,'在庫使用計画 (法人)'!$A$1:$BF$1,0))*1,0),
_xlpm._合計,_xlpm._一般検索+_xlpm._法人検索,
IF(_xlpm._合計=0,"",_xlpm._合計)
)</f>
        <v/>
      </c>
      <c r="BO33" s="224" t="str">
        <f>_xlfn.LET(
_xlpm._一般検索,IFERROR(INDEX('在庫使用計画 (一般)'!$A$1:$BF$391,MATCH($C33,'在庫使用計画 (一般)'!$C$1:$C$391,0),MATCH(BO$1,'在庫使用計画 (一般)'!$A$1:$BF$1,0))*1,0),
_xlpm._法人検索,IFERROR(INDEX('在庫使用計画 (法人)'!$A$1:$BF$391,MATCH($C33,'在庫使用計画 (法人)'!$C$1:$C$391,0),MATCH(BO$1,'在庫使用計画 (法人)'!$A$1:$BF$1,0))*1,0),
_xlpm._合計,_xlpm._一般検索+_xlpm._法人検索,
IF(_xlpm._合計=0,"",_xlpm._合計)
)</f>
        <v/>
      </c>
      <c r="BP33" s="224" t="str">
        <f>_xlfn.LET(
_xlpm._一般検索,IFERROR(INDEX('在庫使用計画 (一般)'!$A$1:$BF$391,MATCH($C33,'在庫使用計画 (一般)'!$C$1:$C$391,0),MATCH(BP$1,'在庫使用計画 (一般)'!$A$1:$BF$1,0))*1,0),
_xlpm._法人検索,IFERROR(INDEX('在庫使用計画 (法人)'!$A$1:$BF$391,MATCH($C33,'在庫使用計画 (法人)'!$C$1:$C$391,0),MATCH(BP$1,'在庫使用計画 (法人)'!$A$1:$BF$1,0))*1,0),
_xlpm._合計,_xlpm._一般検索+_xlpm._法人検索,
IF(_xlpm._合計=0,"",_xlpm._合計)
)</f>
        <v/>
      </c>
      <c r="BQ33" s="224" t="str">
        <f>_xlfn.LET(
_xlpm._一般検索,IFERROR(INDEX('在庫使用計画 (一般)'!$A$1:$BF$391,MATCH($C33,'在庫使用計画 (一般)'!$C$1:$C$391,0),MATCH(BQ$1,'在庫使用計画 (一般)'!$A$1:$BF$1,0))*1,0),
_xlpm._法人検索,IFERROR(INDEX('在庫使用計画 (法人)'!$A$1:$BF$391,MATCH($C33,'在庫使用計画 (法人)'!$C$1:$C$391,0),MATCH(BQ$1,'在庫使用計画 (法人)'!$A$1:$BF$1,0))*1,0),
_xlpm._合計,_xlpm._一般検索+_xlpm._法人検索,
IF(_xlpm._合計=0,"",_xlpm._合計)
)</f>
        <v/>
      </c>
      <c r="BR33" s="224" t="str">
        <f>_xlfn.LET(
_xlpm._一般検索,IFERROR(INDEX('在庫使用計画 (一般)'!$A$1:$BF$391,MATCH($C33,'在庫使用計画 (一般)'!$C$1:$C$391,0),MATCH(BR$1,'在庫使用計画 (一般)'!$A$1:$BF$1,0))*1,0),
_xlpm._法人検索,IFERROR(INDEX('在庫使用計画 (法人)'!$A$1:$BF$391,MATCH($C33,'在庫使用計画 (法人)'!$C$1:$C$391,0),MATCH(BR$1,'在庫使用計画 (法人)'!$A$1:$BF$1,0))*1,0),
_xlpm._合計,_xlpm._一般検索+_xlpm._法人検索,
IF(_xlpm._合計=0,"",_xlpm._合計)
)</f>
        <v/>
      </c>
      <c r="BS33" s="805" t="str">
        <f>_xlfn.LET(
_xlpm._一般検索,IFERROR(INDEX('在庫使用計画 (一般)'!$A$1:$BF$391,MATCH($C33,'在庫使用計画 (一般)'!$C$1:$C$391,0),MATCH(BS$1,'在庫使用計画 (一般)'!$A$1:$BF$1,0))*1,0),
_xlpm._法人検索,IFERROR(INDEX('在庫使用計画 (法人)'!$A$1:$BF$391,MATCH($C33,'在庫使用計画 (法人)'!$C$1:$C$391,0),MATCH(BS$1,'在庫使用計画 (法人)'!$A$1:$BF$1,0))*1,0),
_xlpm._合計,_xlpm._一般検索+_xlpm._法人検索,
IF(_xlpm._合計=0,"",_xlpm._合計)
)</f>
        <v/>
      </c>
      <c r="BT33" s="21"/>
    </row>
    <row r="34" spans="1:72" customFormat="1" ht="18.75" customHeight="1" thickBot="1">
      <c r="A34" s="2064" t="s">
        <v>1639</v>
      </c>
      <c r="B34" s="1160" t="str">
        <v>CLE-V54-HX370-UMA-L6 Creator</v>
      </c>
      <c r="C34" s="373" t="s">
        <v>486</v>
      </c>
      <c r="D34" s="2156">
        <v>2440</v>
      </c>
      <c r="E34" s="1267" t="s">
        <v>1782</v>
      </c>
      <c r="F34" s="112" t="s">
        <v>20</v>
      </c>
      <c r="G34" s="74">
        <v>26</v>
      </c>
      <c r="H34" s="38">
        <v>26</v>
      </c>
      <c r="I34" s="38" cm="1">
        <f t="array" ref="I34">IF($C34="","",
_xlfn.LET(
  _xlpm._見出し,$A$1:$BT$1,
  _xlpm._行,$A34:$BT34,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20</v>
      </c>
      <c r="J34" s="74" cm="1">
        <f t="array" ref="J34">_xlfn.LET(
  _xlpm._見出し,$A$1:$BS$1,
  _xlpm._行,$A34:$BS34,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IF($C34="","",_xlpm._四点五月計画合計)
)</f>
        <v>10</v>
      </c>
      <c r="K34" s="1458" t="str" cm="1">
        <f t="array" ref="K34">_xlfn.IFS(
  $C34="","",
  $G34="","発売前？",
  $G34=0,"在庫なし",
  TRUE,
  IFERROR(
    _xlfn.LET(
      _xlpm._在庫注残,     $G34,
      _xlpm._しきい値,     _xlpm._在庫注残 * 0.75,
      _xlpm._見出し元,     $L$1:$BU$1,
      _xlpm._計画,         $L34:$BU34,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合計19、在庫+注残26のため不足</v>
      </c>
      <c r="L34" s="74"/>
      <c r="M34" s="74"/>
      <c r="N34" s="74"/>
      <c r="O34" s="118"/>
      <c r="P34" s="121"/>
      <c r="Q34" s="121"/>
      <c r="R34" s="121"/>
      <c r="S34" s="121"/>
      <c r="T34" s="219" t="s">
        <v>21</v>
      </c>
      <c r="U34" s="224" t="s">
        <v>21</v>
      </c>
      <c r="V34" s="224" t="s">
        <v>21</v>
      </c>
      <c r="W34" s="224" t="s">
        <v>21</v>
      </c>
      <c r="X34" s="224" t="s">
        <v>21</v>
      </c>
      <c r="Y34" s="224">
        <v>45</v>
      </c>
      <c r="Z34" s="224">
        <v>255</v>
      </c>
      <c r="AA34" s="224">
        <v>155</v>
      </c>
      <c r="AB34" s="224">
        <v>175</v>
      </c>
      <c r="AC34" s="224">
        <v>185</v>
      </c>
      <c r="AD34" s="237">
        <v>195</v>
      </c>
      <c r="AE34" s="237">
        <v>125</v>
      </c>
      <c r="AF34" s="237">
        <v>176</v>
      </c>
      <c r="AG34" s="237">
        <v>231</v>
      </c>
      <c r="AH34" s="224">
        <v>170</v>
      </c>
      <c r="AI34" s="237">
        <v>175.38888888888889</v>
      </c>
      <c r="AJ34" s="804">
        <v>125</v>
      </c>
      <c r="AK34" s="224">
        <v>107.760796324655</v>
      </c>
      <c r="AL34" s="224">
        <v>146.88917815211843</v>
      </c>
      <c r="AM34" s="224">
        <v>226</v>
      </c>
      <c r="AN34" s="224">
        <f>_xlfn.LET(
_xlpm._一般検索,IFERROR(INDEX('在庫使用計画 (一般)'!$A$1:$BF$391,MATCH($C34,'在庫使用計画 (一般)'!$C$1:$C$391,0),MATCH(AN$1,'在庫使用計画 (一般)'!$A$1:$BF$1,0))*1,0),
_xlpm._法人検索,IFERROR(INDEX('在庫使用計画 (法人)'!$A$1:$BF$391,MATCH($C34,'在庫使用計画 (法人)'!$C$1:$C$391,0),MATCH(AN$1,'在庫使用計画 (法人)'!$A$1:$BF$1,0))*1,0),
_xlpm._合計,_xlpm._一般検索+_xlpm._法人検索,
IF(_xlpm._合計=0,"",_xlpm._合計)
)</f>
        <v>193</v>
      </c>
      <c r="AO34" s="224">
        <f>_xlfn.LET(
_xlpm._一般検索,IFERROR(INDEX('在庫使用計画 (一般)'!$A$1:$BF$391,MATCH($C34,'在庫使用計画 (一般)'!$C$1:$C$391,0),MATCH(AO$1,'在庫使用計画 (一般)'!$A$1:$BF$1,0))*1,0),
_xlpm._法人検索,IFERROR(INDEX('在庫使用計画 (法人)'!$A$1:$BF$391,MATCH($C34,'在庫使用計画 (法人)'!$C$1:$C$391,0),MATCH(AO$1,'在庫使用計画 (法人)'!$A$1:$BF$1,0))*1,0),
_xlpm._合計,_xlpm._一般検索+_xlpm._法人検索,
IF(_xlpm._合計=0,"",_xlpm._合計)
)</f>
        <v>165</v>
      </c>
      <c r="AP34" s="224">
        <f>_xlfn.LET(
_xlpm._一般検索,IFERROR(INDEX('在庫使用計画 (一般)'!$A$1:$BF$391,MATCH($C34,'在庫使用計画 (一般)'!$C$1:$C$391,0),MATCH(AP$1,'在庫使用計画 (一般)'!$A$1:$BF$1,0))*1,0),
_xlpm._法人検索,IFERROR(INDEX('在庫使用計画 (法人)'!$A$1:$BF$391,MATCH($C34,'在庫使用計画 (法人)'!$C$1:$C$391,0),MATCH(AP$1,'在庫使用計画 (法人)'!$A$1:$BF$1,0))*1,0),
_xlpm._合計,_xlpm._一般検索+_xlpm._法人検索,
IF(_xlpm._合計=0,"",_xlpm._合計)
)</f>
        <v>20</v>
      </c>
      <c r="AQ34" s="224" t="str">
        <f>_xlfn.LET(
_xlpm._一般検索,IFERROR(INDEX('在庫使用計画 (一般)'!$A$1:$BF$391,MATCH($C34,'在庫使用計画 (一般)'!$C$1:$C$391,0),MATCH(AQ$1,'在庫使用計画 (一般)'!$A$1:$BF$1,0))*1,0),
_xlpm._法人検索,IFERROR(INDEX('在庫使用計画 (法人)'!$A$1:$BF$391,MATCH($C34,'在庫使用計画 (法人)'!$C$1:$C$391,0),MATCH(AQ$1,'在庫使用計画 (法人)'!$A$1:$BF$1,0))*1,0),
_xlpm._合計,_xlpm._一般検索+_xlpm._法人検索,
IF(_xlpm._合計=0,"",_xlpm._合計)
)</f>
        <v/>
      </c>
      <c r="AR34" s="224" t="str">
        <f>_xlfn.LET(
_xlpm._一般検索,IFERROR(INDEX('在庫使用計画 (一般)'!$A$1:$BF$391,MATCH($C34,'在庫使用計画 (一般)'!$C$1:$C$391,0),MATCH(AR$1,'在庫使用計画 (一般)'!$A$1:$BF$1,0))*1,0),
_xlpm._法人検索,IFERROR(INDEX('在庫使用計画 (法人)'!$A$1:$BF$391,MATCH($C34,'在庫使用計画 (法人)'!$C$1:$C$391,0),MATCH(AR$1,'在庫使用計画 (法人)'!$A$1:$BF$1,0))*1,0),
_xlpm._合計,_xlpm._一般検索+_xlpm._法人検索,
IF(_xlpm._合計=0,"",_xlpm._合計)
)</f>
        <v/>
      </c>
      <c r="AS34" s="224" t="str">
        <f>_xlfn.LET(
_xlpm._一般検索,IFERROR(INDEX('在庫使用計画 (一般)'!$A$1:$BF$391,MATCH($C34,'在庫使用計画 (一般)'!$C$1:$C$391,0),MATCH(AS$1,'在庫使用計画 (一般)'!$A$1:$BF$1,0))*1,0),
_xlpm._法人検索,IFERROR(INDEX('在庫使用計画 (法人)'!$A$1:$BF$391,MATCH($C34,'在庫使用計画 (法人)'!$C$1:$C$391,0),MATCH(AS$1,'在庫使用計画 (法人)'!$A$1:$BF$1,0))*1,0),
_xlpm._合計,_xlpm._一般検索+_xlpm._法人検索,
IF(_xlpm._合計=0,"",_xlpm._合計)
)</f>
        <v/>
      </c>
      <c r="AT34" s="224" t="str">
        <f>_xlfn.LET(
_xlpm._一般検索,IFERROR(INDEX('在庫使用計画 (一般)'!$A$1:$BF$391,MATCH($C34,'在庫使用計画 (一般)'!$C$1:$C$391,0),MATCH(AT$1,'在庫使用計画 (一般)'!$A$1:$BF$1,0))*1,0),
_xlpm._法人検索,IFERROR(INDEX('在庫使用計画 (法人)'!$A$1:$BF$391,MATCH($C34,'在庫使用計画 (法人)'!$C$1:$C$391,0),MATCH(AT$1,'在庫使用計画 (法人)'!$A$1:$BF$1,0))*1,0),
_xlpm._合計,_xlpm._一般検索+_xlpm._法人検索,
IF(_xlpm._合計=0,"",_xlpm._合計)
)</f>
        <v/>
      </c>
      <c r="AU34" s="805" t="str">
        <f>_xlfn.LET(
_xlpm._一般検索,IFERROR(INDEX('在庫使用計画 (一般)'!$A$1:$BF$391,MATCH($C34,'在庫使用計画 (一般)'!$C$1:$C$391,0),MATCH(AU$1,'在庫使用計画 (一般)'!$A$1:$BF$1,0))*1,0),
_xlpm._法人検索,IFERROR(INDEX('在庫使用計画 (法人)'!$A$1:$BF$391,MATCH($C34,'在庫使用計画 (法人)'!$C$1:$C$391,0),MATCH(AU$1,'在庫使用計画 (法人)'!$A$1:$BF$1,0))*1,0),
_xlpm._合計,_xlpm._一般検索+_xlpm._法人検索,
IF(_xlpm._合計=0,"",_xlpm._合計)
)</f>
        <v/>
      </c>
      <c r="AV34" s="244" t="str">
        <f>_xlfn.LET(
_xlpm._一般検索,IFERROR(INDEX('在庫使用計画 (一般)'!$A$1:$BF$391,MATCH($C34,'在庫使用計画 (一般)'!$C$1:$C$391,0),MATCH(AV$1,'在庫使用計画 (一般)'!$A$1:$BF$1,0))*1,0),
_xlpm._法人検索,IFERROR(INDEX('在庫使用計画 (法人)'!$A$1:$BF$391,MATCH($C34,'在庫使用計画 (法人)'!$C$1:$C$391,0),MATCH(AV$1,'在庫使用計画 (法人)'!$A$1:$BF$1,0))*1,0),
_xlpm._合計,_xlpm._一般検索+_xlpm._法人検索,
IF(_xlpm._合計=0,"",_xlpm._合計)
)</f>
        <v/>
      </c>
      <c r="AW34" s="224" t="str">
        <f>_xlfn.LET(
_xlpm._一般検索,IFERROR(INDEX('在庫使用計画 (一般)'!$A$1:$BF$391,MATCH($C34,'在庫使用計画 (一般)'!$C$1:$C$391,0),MATCH(AW$1,'在庫使用計画 (一般)'!$A$1:$BF$1,0))*1,0),
_xlpm._法人検索,IFERROR(INDEX('在庫使用計画 (法人)'!$A$1:$BF$391,MATCH($C34,'在庫使用計画 (法人)'!$C$1:$C$391,0),MATCH(AW$1,'在庫使用計画 (法人)'!$A$1:$BF$1,0))*1,0),
_xlpm._合計,_xlpm._一般検索+_xlpm._法人検索,
IF(_xlpm._合計=0,"",_xlpm._合計)
)</f>
        <v/>
      </c>
      <c r="AX34" s="224" t="str">
        <f>_xlfn.LET(
_xlpm._一般検索,IFERROR(INDEX('在庫使用計画 (一般)'!$A$1:$BF$391,MATCH($C34,'在庫使用計画 (一般)'!$C$1:$C$391,0),MATCH(AX$1,'在庫使用計画 (一般)'!$A$1:$BF$1,0))*1,0),
_xlpm._法人検索,IFERROR(INDEX('在庫使用計画 (法人)'!$A$1:$BF$391,MATCH($C34,'在庫使用計画 (法人)'!$C$1:$C$391,0),MATCH(AX$1,'在庫使用計画 (法人)'!$A$1:$BF$1,0))*1,0),
_xlpm._合計,_xlpm._一般検索+_xlpm._法人検索,
IF(_xlpm._合計=0,"",_xlpm._合計)
)</f>
        <v/>
      </c>
      <c r="AY34" s="224" t="str">
        <f>_xlfn.LET(
_xlpm._一般検索,IFERROR(INDEX('在庫使用計画 (一般)'!$A$1:$BF$391,MATCH($C34,'在庫使用計画 (一般)'!$C$1:$C$391,0),MATCH(AY$1,'在庫使用計画 (一般)'!$A$1:$BF$1,0))*1,0),
_xlpm._法人検索,IFERROR(INDEX('在庫使用計画 (法人)'!$A$1:$BF$391,MATCH($C34,'在庫使用計画 (法人)'!$C$1:$C$391,0),MATCH(AY$1,'在庫使用計画 (法人)'!$A$1:$BF$1,0))*1,0),
_xlpm._合計,_xlpm._一般検索+_xlpm._法人検索,
IF(_xlpm._合計=0,"",_xlpm._合計)
)</f>
        <v/>
      </c>
      <c r="AZ34" s="224" t="str">
        <f>_xlfn.LET(
_xlpm._一般検索,IFERROR(INDEX('在庫使用計画 (一般)'!$A$1:$BF$391,MATCH($C34,'在庫使用計画 (一般)'!$C$1:$C$391,0),MATCH(AZ$1,'在庫使用計画 (一般)'!$A$1:$BF$1,0))*1,0),
_xlpm._法人検索,IFERROR(INDEX('在庫使用計画 (法人)'!$A$1:$BF$391,MATCH($C34,'在庫使用計画 (法人)'!$C$1:$C$391,0),MATCH(AZ$1,'在庫使用計画 (法人)'!$A$1:$BF$1,0))*1,0),
_xlpm._合計,_xlpm._一般検索+_xlpm._法人検索,
IF(_xlpm._合計=0,"",_xlpm._合計)
)</f>
        <v/>
      </c>
      <c r="BA34" s="224" t="str">
        <f>_xlfn.LET(
_xlpm._一般検索,IFERROR(INDEX('在庫使用計画 (一般)'!$A$1:$BF$391,MATCH($C34,'在庫使用計画 (一般)'!$C$1:$C$391,0),MATCH(BA$1,'在庫使用計画 (一般)'!$A$1:$BF$1,0))*1,0),
_xlpm._法人検索,IFERROR(INDEX('在庫使用計画 (法人)'!$A$1:$BF$391,MATCH($C34,'在庫使用計画 (法人)'!$C$1:$C$391,0),MATCH(BA$1,'在庫使用計画 (法人)'!$A$1:$BF$1,0))*1,0),
_xlpm._合計,_xlpm._一般検索+_xlpm._法人検索,
IF(_xlpm._合計=0,"",_xlpm._合計)
)</f>
        <v/>
      </c>
      <c r="BB34" s="224" t="str">
        <f>_xlfn.LET(
_xlpm._一般検索,IFERROR(INDEX('在庫使用計画 (一般)'!$A$1:$BF$391,MATCH($C34,'在庫使用計画 (一般)'!$C$1:$C$391,0),MATCH(BB$1,'在庫使用計画 (一般)'!$A$1:$BF$1,0))*1,0),
_xlpm._法人検索,IFERROR(INDEX('在庫使用計画 (法人)'!$A$1:$BF$391,MATCH($C34,'在庫使用計画 (法人)'!$C$1:$C$391,0),MATCH(BB$1,'在庫使用計画 (法人)'!$A$1:$BF$1,0))*1,0),
_xlpm._合計,_xlpm._一般検索+_xlpm._法人検索,
IF(_xlpm._合計=0,"",_xlpm._合計)
)</f>
        <v/>
      </c>
      <c r="BC34" s="224" t="str">
        <f>_xlfn.LET(
_xlpm._一般検索,IFERROR(INDEX('在庫使用計画 (一般)'!$A$1:$BF$391,MATCH($C34,'在庫使用計画 (一般)'!$C$1:$C$391,0),MATCH(BC$1,'在庫使用計画 (一般)'!$A$1:$BF$1,0))*1,0),
_xlpm._法人検索,IFERROR(INDEX('在庫使用計画 (法人)'!$A$1:$BF$391,MATCH($C34,'在庫使用計画 (法人)'!$C$1:$C$391,0),MATCH(BC$1,'在庫使用計画 (法人)'!$A$1:$BF$1,0))*1,0),
_xlpm._合計,_xlpm._一般検索+_xlpm._法人検索,
IF(_xlpm._合計=0,"",_xlpm._合計)
)</f>
        <v/>
      </c>
      <c r="BD34" s="224" t="str">
        <f>_xlfn.LET(
_xlpm._一般検索,IFERROR(INDEX('在庫使用計画 (一般)'!$A$1:$BF$391,MATCH($C34,'在庫使用計画 (一般)'!$C$1:$C$391,0),MATCH(BD$1,'在庫使用計画 (一般)'!$A$1:$BF$1,0))*1,0),
_xlpm._法人検索,IFERROR(INDEX('在庫使用計画 (法人)'!$A$1:$BF$391,MATCH($C34,'在庫使用計画 (法人)'!$C$1:$C$391,0),MATCH(BD$1,'在庫使用計画 (法人)'!$A$1:$BF$1,0))*1,0),
_xlpm._合計,_xlpm._一般検索+_xlpm._法人検索,
IF(_xlpm._合計=0,"",_xlpm._合計)
)</f>
        <v/>
      </c>
      <c r="BE34" s="224" t="str">
        <f>_xlfn.LET(
_xlpm._一般検索,IFERROR(INDEX('在庫使用計画 (一般)'!$A$1:$BF$391,MATCH($C34,'在庫使用計画 (一般)'!$C$1:$C$391,0),MATCH(BE$1,'在庫使用計画 (一般)'!$A$1:$BF$1,0))*1,0),
_xlpm._法人検索,IFERROR(INDEX('在庫使用計画 (法人)'!$A$1:$BF$391,MATCH($C34,'在庫使用計画 (法人)'!$C$1:$C$391,0),MATCH(BE$1,'在庫使用計画 (法人)'!$A$1:$BF$1,0))*1,0),
_xlpm._合計,_xlpm._一般検索+_xlpm._法人検索,
IF(_xlpm._合計=0,"",_xlpm._合計)
)</f>
        <v/>
      </c>
      <c r="BF34" s="224" t="str">
        <f>_xlfn.LET(
_xlpm._一般検索,IFERROR(INDEX('在庫使用計画 (一般)'!$A$1:$BF$391,MATCH($C34,'在庫使用計画 (一般)'!$C$1:$C$391,0),MATCH(BF$1,'在庫使用計画 (一般)'!$A$1:$BF$1,0))*1,0),
_xlpm._法人検索,IFERROR(INDEX('在庫使用計画 (法人)'!$A$1:$BF$391,MATCH($C34,'在庫使用計画 (法人)'!$C$1:$C$391,0),MATCH(BF$1,'在庫使用計画 (法人)'!$A$1:$BF$1,0))*1,0),
_xlpm._合計,_xlpm._一般検索+_xlpm._法人検索,
IF(_xlpm._合計=0,"",_xlpm._合計)
)</f>
        <v/>
      </c>
      <c r="BG34" s="237" t="str">
        <f>_xlfn.LET(
_xlpm._一般検索,IFERROR(INDEX('在庫使用計画 (一般)'!$A$1:$BF$391,MATCH($C34,'在庫使用計画 (一般)'!$C$1:$C$391,0),MATCH(BG$1,'在庫使用計画 (一般)'!$A$1:$BF$1,0))*1,0),
_xlpm._法人検索,IFERROR(INDEX('在庫使用計画 (法人)'!$A$1:$BF$391,MATCH($C34,'在庫使用計画 (法人)'!$C$1:$C$391,0),MATCH(BG$1,'在庫使用計画 (法人)'!$A$1:$BF$1,0))*1,0),
_xlpm._合計,_xlpm._一般検索+_xlpm._法人検索,
IF(_xlpm._合計=0,"",_xlpm._合計)
)</f>
        <v/>
      </c>
      <c r="BH34" s="804" t="str">
        <f>_xlfn.LET(
_xlpm._一般検索,IFERROR(INDEX('在庫使用計画 (一般)'!$A$1:$BF$391,MATCH($C34,'在庫使用計画 (一般)'!$C$1:$C$391,0),MATCH(BH$1,'在庫使用計画 (一般)'!$A$1:$BF$1,0))*1,0),
_xlpm._法人検索,IFERROR(INDEX('在庫使用計画 (法人)'!$A$1:$BF$391,MATCH($C34,'在庫使用計画 (法人)'!$C$1:$C$391,0),MATCH(BH$1,'在庫使用計画 (法人)'!$A$1:$BF$1,0))*1,0),
_xlpm._合計,_xlpm._一般検索+_xlpm._法人検索,
IF(_xlpm._合計=0,"",_xlpm._合計)
)</f>
        <v/>
      </c>
      <c r="BI34" s="224" t="str">
        <f>_xlfn.LET(
_xlpm._一般検索,IFERROR(INDEX('在庫使用計画 (一般)'!$A$1:$BF$391,MATCH($C34,'在庫使用計画 (一般)'!$C$1:$C$391,0),MATCH(BI$1,'在庫使用計画 (一般)'!$A$1:$BF$1,0))*1,0),
_xlpm._法人検索,IFERROR(INDEX('在庫使用計画 (法人)'!$A$1:$BF$391,MATCH($C34,'在庫使用計画 (法人)'!$C$1:$C$391,0),MATCH(BI$1,'在庫使用計画 (法人)'!$A$1:$BF$1,0))*1,0),
_xlpm._合計,_xlpm._一般検索+_xlpm._法人検索,
IF(_xlpm._合計=0,"",_xlpm._合計)
)</f>
        <v/>
      </c>
      <c r="BJ34" s="224" t="str">
        <f>_xlfn.LET(
_xlpm._一般検索,IFERROR(INDEX('在庫使用計画 (一般)'!$A$1:$BF$391,MATCH($C34,'在庫使用計画 (一般)'!$C$1:$C$391,0),MATCH(BJ$1,'在庫使用計画 (一般)'!$A$1:$BF$1,0))*1,0),
_xlpm._法人検索,IFERROR(INDEX('在庫使用計画 (法人)'!$A$1:$BF$391,MATCH($C34,'在庫使用計画 (法人)'!$C$1:$C$391,0),MATCH(BJ$1,'在庫使用計画 (法人)'!$A$1:$BF$1,0))*1,0),
_xlpm._合計,_xlpm._一般検索+_xlpm._法人検索,
IF(_xlpm._合計=0,"",_xlpm._合計)
)</f>
        <v/>
      </c>
      <c r="BK34" s="224" t="str">
        <f>_xlfn.LET(
_xlpm._一般検索,IFERROR(INDEX('在庫使用計画 (一般)'!$A$1:$BF$391,MATCH($C34,'在庫使用計画 (一般)'!$C$1:$C$391,0),MATCH(BK$1,'在庫使用計画 (一般)'!$A$1:$BF$1,0))*1,0),
_xlpm._法人検索,IFERROR(INDEX('在庫使用計画 (法人)'!$A$1:$BF$391,MATCH($C34,'在庫使用計画 (法人)'!$C$1:$C$391,0),MATCH(BK$1,'在庫使用計画 (法人)'!$A$1:$BF$1,0))*1,0),
_xlpm._合計,_xlpm._一般検索+_xlpm._法人検索,
IF(_xlpm._合計=0,"",_xlpm._合計)
)</f>
        <v/>
      </c>
      <c r="BL34" s="224" t="str">
        <f>_xlfn.LET(
_xlpm._一般検索,IFERROR(INDEX('在庫使用計画 (一般)'!$A$1:$BF$391,MATCH($C34,'在庫使用計画 (一般)'!$C$1:$C$391,0),MATCH(BL$1,'在庫使用計画 (一般)'!$A$1:$BF$1,0))*1,0),
_xlpm._法人検索,IFERROR(INDEX('在庫使用計画 (法人)'!$A$1:$BF$391,MATCH($C34,'在庫使用計画 (法人)'!$C$1:$C$391,0),MATCH(BL$1,'在庫使用計画 (法人)'!$A$1:$BF$1,0))*1,0),
_xlpm._合計,_xlpm._一般検索+_xlpm._法人検索,
IF(_xlpm._合計=0,"",_xlpm._合計)
)</f>
        <v/>
      </c>
      <c r="BM34" s="224" t="str">
        <f>_xlfn.LET(
_xlpm._一般検索,IFERROR(INDEX('在庫使用計画 (一般)'!$A$1:$BF$391,MATCH($C34,'在庫使用計画 (一般)'!$C$1:$C$391,0),MATCH(BM$1,'在庫使用計画 (一般)'!$A$1:$BF$1,0))*1,0),
_xlpm._法人検索,IFERROR(INDEX('在庫使用計画 (法人)'!$A$1:$BF$391,MATCH($C34,'在庫使用計画 (法人)'!$C$1:$C$391,0),MATCH(BM$1,'在庫使用計画 (法人)'!$A$1:$BF$1,0))*1,0),
_xlpm._合計,_xlpm._一般検索+_xlpm._法人検索,
IF(_xlpm._合計=0,"",_xlpm._合計)
)</f>
        <v/>
      </c>
      <c r="BN34" s="224" t="str">
        <f>_xlfn.LET(
_xlpm._一般検索,IFERROR(INDEX('在庫使用計画 (一般)'!$A$1:$BF$391,MATCH($C34,'在庫使用計画 (一般)'!$C$1:$C$391,0),MATCH(BN$1,'在庫使用計画 (一般)'!$A$1:$BF$1,0))*1,0),
_xlpm._法人検索,IFERROR(INDEX('在庫使用計画 (法人)'!$A$1:$BF$391,MATCH($C34,'在庫使用計画 (法人)'!$C$1:$C$391,0),MATCH(BN$1,'在庫使用計画 (法人)'!$A$1:$BF$1,0))*1,0),
_xlpm._合計,_xlpm._一般検索+_xlpm._法人検索,
IF(_xlpm._合計=0,"",_xlpm._合計)
)</f>
        <v/>
      </c>
      <c r="BO34" s="224" t="str">
        <f>_xlfn.LET(
_xlpm._一般検索,IFERROR(INDEX('在庫使用計画 (一般)'!$A$1:$BF$391,MATCH($C34,'在庫使用計画 (一般)'!$C$1:$C$391,0),MATCH(BO$1,'在庫使用計画 (一般)'!$A$1:$BF$1,0))*1,0),
_xlpm._法人検索,IFERROR(INDEX('在庫使用計画 (法人)'!$A$1:$BF$391,MATCH($C34,'在庫使用計画 (法人)'!$C$1:$C$391,0),MATCH(BO$1,'在庫使用計画 (法人)'!$A$1:$BF$1,0))*1,0),
_xlpm._合計,_xlpm._一般検索+_xlpm._法人検索,
IF(_xlpm._合計=0,"",_xlpm._合計)
)</f>
        <v/>
      </c>
      <c r="BP34" s="224" t="str">
        <f>_xlfn.LET(
_xlpm._一般検索,IFERROR(INDEX('在庫使用計画 (一般)'!$A$1:$BF$391,MATCH($C34,'在庫使用計画 (一般)'!$C$1:$C$391,0),MATCH(BP$1,'在庫使用計画 (一般)'!$A$1:$BF$1,0))*1,0),
_xlpm._法人検索,IFERROR(INDEX('在庫使用計画 (法人)'!$A$1:$BF$391,MATCH($C34,'在庫使用計画 (法人)'!$C$1:$C$391,0),MATCH(BP$1,'在庫使用計画 (法人)'!$A$1:$BF$1,0))*1,0),
_xlpm._合計,_xlpm._一般検索+_xlpm._法人検索,
IF(_xlpm._合計=0,"",_xlpm._合計)
)</f>
        <v/>
      </c>
      <c r="BQ34" s="224" t="str">
        <f>_xlfn.LET(
_xlpm._一般検索,IFERROR(INDEX('在庫使用計画 (一般)'!$A$1:$BF$391,MATCH($C34,'在庫使用計画 (一般)'!$C$1:$C$391,0),MATCH(BQ$1,'在庫使用計画 (一般)'!$A$1:$BF$1,0))*1,0),
_xlpm._法人検索,IFERROR(INDEX('在庫使用計画 (法人)'!$A$1:$BF$391,MATCH($C34,'在庫使用計画 (法人)'!$C$1:$C$391,0),MATCH(BQ$1,'在庫使用計画 (法人)'!$A$1:$BF$1,0))*1,0),
_xlpm._合計,_xlpm._一般検索+_xlpm._法人検索,
IF(_xlpm._合計=0,"",_xlpm._合計)
)</f>
        <v/>
      </c>
      <c r="BR34" s="224" t="str">
        <f>_xlfn.LET(
_xlpm._一般検索,IFERROR(INDEX('在庫使用計画 (一般)'!$A$1:$BF$391,MATCH($C34,'在庫使用計画 (一般)'!$C$1:$C$391,0),MATCH(BR$1,'在庫使用計画 (一般)'!$A$1:$BF$1,0))*1,0),
_xlpm._法人検索,IFERROR(INDEX('在庫使用計画 (法人)'!$A$1:$BF$391,MATCH($C34,'在庫使用計画 (法人)'!$C$1:$C$391,0),MATCH(BR$1,'在庫使用計画 (法人)'!$A$1:$BF$1,0))*1,0),
_xlpm._合計,_xlpm._一般検索+_xlpm._法人検索,
IF(_xlpm._合計=0,"",_xlpm._合計)
)</f>
        <v/>
      </c>
      <c r="BS34" s="805" t="str">
        <f>_xlfn.LET(
_xlpm._一般検索,IFERROR(INDEX('在庫使用計画 (一般)'!$A$1:$BF$391,MATCH($C34,'在庫使用計画 (一般)'!$C$1:$C$391,0),MATCH(BS$1,'在庫使用計画 (一般)'!$A$1:$BF$1,0))*1,0),
_xlpm._法人検索,IFERROR(INDEX('在庫使用計画 (法人)'!$A$1:$BF$391,MATCH($C34,'在庫使用計画 (法人)'!$C$1:$C$391,0),MATCH(BS$1,'在庫使用計画 (法人)'!$A$1:$BF$1,0))*1,0),
_xlpm._合計,_xlpm._一般検索+_xlpm._法人検索,
IF(_xlpm._合計=0,"",_xlpm._合計)
)</f>
        <v/>
      </c>
      <c r="BT34" s="70"/>
    </row>
    <row r="35" spans="1:72" customFormat="1" ht="18.75" customHeight="1" thickBot="1">
      <c r="A35" s="1061" t="s">
        <v>1641</v>
      </c>
      <c r="B35" s="2110" t="str">
        <v>CLE-V54-AI9-470-UMA-L6 Creator</v>
      </c>
      <c r="C35" s="1440" t="s">
        <v>435</v>
      </c>
      <c r="D35" s="2156">
        <v>450</v>
      </c>
      <c r="E35" s="1267" t="s">
        <v>1812</v>
      </c>
      <c r="F35" s="68"/>
      <c r="G35" s="74">
        <v>420</v>
      </c>
      <c r="H35" s="38">
        <v>420</v>
      </c>
      <c r="I35" s="38" cm="1">
        <f t="array" ref="I35">IF($C35="","",
_xlfn.LET(
  _xlpm._見出し,$A$1:$BT$1,
  _xlpm._行,$A35:$BT35,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414.40373973593449</v>
      </c>
      <c r="J35" s="74" cm="1">
        <f t="array" ref="J35">_xlfn.LET(
  _xlpm._見出し,$A$1:$BS$1,
  _xlpm._行,$A35:$BS35,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IF($C35="","",_xlpm._四点五月計画合計)
)</f>
        <v>468.90373973593449</v>
      </c>
      <c r="K35" s="1458" cm="1">
        <f t="array" ref="K35">_xlfn.IFS(
  $C35="","",
  $G35="","発売前？",
  $G35=0,"在庫なし",
  TRUE,
  IFERROR(
    _xlfn.LET(
      _xlpm._在庫注残,     $G35,
      _xlpm._しきい値,     _xlpm._在庫注残 * 0.75,
      _xlpm._見出し元,     $L$1:$BU$1,
      _xlpm._計画,         $L35:$BU35,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46296</v>
      </c>
      <c r="L35" s="38" t="s">
        <v>21</v>
      </c>
      <c r="M35" s="38" t="s">
        <v>21</v>
      </c>
      <c r="N35" s="38" t="s">
        <v>21</v>
      </c>
      <c r="O35" s="38" t="s">
        <v>21</v>
      </c>
      <c r="P35" s="38" t="s">
        <v>21</v>
      </c>
      <c r="Q35" s="38" t="s">
        <v>21</v>
      </c>
      <c r="R35" s="38" t="s">
        <v>21</v>
      </c>
      <c r="S35" s="38" t="s">
        <v>21</v>
      </c>
      <c r="T35" s="219" t="s">
        <v>21</v>
      </c>
      <c r="U35" s="224" t="s">
        <v>21</v>
      </c>
      <c r="V35" s="224" t="s">
        <v>21</v>
      </c>
      <c r="W35" s="224" t="s">
        <v>21</v>
      </c>
      <c r="X35" s="224" t="s">
        <v>21</v>
      </c>
      <c r="Y35" s="224" t="s">
        <v>21</v>
      </c>
      <c r="Z35" s="224" t="s">
        <v>21</v>
      </c>
      <c r="AA35" s="224" t="s">
        <v>21</v>
      </c>
      <c r="AB35" s="224" t="s">
        <v>21</v>
      </c>
      <c r="AC35" s="224" t="s">
        <v>21</v>
      </c>
      <c r="AD35" s="237" t="s">
        <v>21</v>
      </c>
      <c r="AE35" s="237" t="s">
        <v>21</v>
      </c>
      <c r="AF35" s="237" t="s">
        <v>21</v>
      </c>
      <c r="AG35" s="237" t="s">
        <v>21</v>
      </c>
      <c r="AH35" s="224" t="s">
        <v>21</v>
      </c>
      <c r="AI35" s="237" t="s">
        <v>21</v>
      </c>
      <c r="AJ35" s="804" t="s">
        <v>21</v>
      </c>
      <c r="AK35" s="224">
        <v>20</v>
      </c>
      <c r="AL35" s="224">
        <v>20</v>
      </c>
      <c r="AM35" s="224">
        <v>6</v>
      </c>
      <c r="AN35" s="224">
        <f>_xlfn.LET(
_xlpm._一般検索,IFERROR(INDEX('在庫使用計画 (一般)'!$A$1:$BF$391,MATCH($C35,'在庫使用計画 (一般)'!$C$1:$C$391,0),MATCH(AN$1,'在庫使用計画 (一般)'!$A$1:$BF$1,0))*1,0),
_xlpm._法人検索,IFERROR(INDEX('在庫使用計画 (法人)'!$A$1:$BF$391,MATCH($C35,'在庫使用計画 (法人)'!$C$1:$C$391,0),MATCH(AN$1,'在庫使用計画 (法人)'!$A$1:$BF$1,0))*1,0),
_xlpm._合計,_xlpm._一般検索+_xlpm._法人検索,
IF(_xlpm._合計=0,"",_xlpm._合計)
)</f>
        <v>5</v>
      </c>
      <c r="AO35" s="224">
        <f>_xlfn.LET(
_xlpm._一般検索,IFERROR(INDEX('在庫使用計画 (一般)'!$A$1:$BF$391,MATCH($C35,'在庫使用計画 (一般)'!$C$1:$C$391,0),MATCH(AO$1,'在庫使用計画 (一般)'!$A$1:$BF$1,0))*1,0),
_xlpm._法人検索,IFERROR(INDEX('在庫使用計画 (法人)'!$A$1:$BF$391,MATCH($C35,'在庫使用計画 (法人)'!$C$1:$C$391,0),MATCH(AO$1,'在庫使用計画 (法人)'!$A$1:$BF$1,0))*1,0),
_xlpm._合計,_xlpm._一般検索+_xlpm._法人検索,
IF(_xlpm._合計=0,"",_xlpm._合計)
)</f>
        <v>5</v>
      </c>
      <c r="AP35" s="224">
        <f>_xlfn.LET(
_xlpm._一般検索,IFERROR(INDEX('在庫使用計画 (一般)'!$A$1:$BF$391,MATCH($C35,'在庫使用計画 (一般)'!$C$1:$C$391,0),MATCH(AP$1,'在庫使用計画 (一般)'!$A$1:$BF$1,0))*1,0),
_xlpm._法人検索,IFERROR(INDEX('在庫使用計画 (法人)'!$A$1:$BF$391,MATCH($C35,'在庫使用計画 (法人)'!$C$1:$C$391,0),MATCH(AP$1,'在庫使用計画 (法人)'!$A$1:$BF$1,0))*1,0),
_xlpm._合計,_xlpm._一般検索+_xlpm._法人検索,
IF(_xlpm._合計=0,"",_xlpm._合計)
)</f>
        <v>89</v>
      </c>
      <c r="AQ35" s="224">
        <f>_xlfn.LET(
_xlpm._一般検索,IFERROR(INDEX('在庫使用計画 (一般)'!$A$1:$BF$391,MATCH($C35,'在庫使用計画 (一般)'!$C$1:$C$391,0),MATCH(AQ$1,'在庫使用計画 (一般)'!$A$1:$BF$1,0))*1,0),
_xlpm._法人検索,IFERROR(INDEX('在庫使用計画 (法人)'!$A$1:$BF$391,MATCH($C35,'在庫使用計画 (法人)'!$C$1:$C$391,0),MATCH(AQ$1,'在庫使用計画 (法人)'!$A$1:$BF$1,0))*1,0),
_xlpm._合計,_xlpm._一般検索+_xlpm._法人検索,
IF(_xlpm._合計=0,"",_xlpm._合計)
)</f>
        <v>101</v>
      </c>
      <c r="AR35" s="224">
        <f>_xlfn.LET(
_xlpm._一般検索,IFERROR(INDEX('在庫使用計画 (一般)'!$A$1:$BF$391,MATCH($C35,'在庫使用計画 (一般)'!$C$1:$C$391,0),MATCH(AR$1,'在庫使用計画 (一般)'!$A$1:$BF$1,0))*1,0),
_xlpm._法人検索,IFERROR(INDEX('在庫使用計画 (法人)'!$A$1:$BF$391,MATCH($C35,'在庫使用計画 (法人)'!$C$1:$C$391,0),MATCH(AR$1,'在庫使用計画 (法人)'!$A$1:$BF$1,0))*1,0),
_xlpm._合計,_xlpm._一般検索+_xlpm._法人検索,
IF(_xlpm._合計=0,"",_xlpm._合計)
)</f>
        <v>108.38104765093021</v>
      </c>
      <c r="AS35" s="224">
        <f>_xlfn.LET(
_xlpm._一般検索,IFERROR(INDEX('在庫使用計画 (一般)'!$A$1:$BF$391,MATCH($C35,'在庫使用計画 (一般)'!$C$1:$C$391,0),MATCH(AS$1,'在庫使用計画 (一般)'!$A$1:$BF$1,0))*1,0),
_xlpm._法人検索,IFERROR(INDEX('在庫使用計画 (法人)'!$A$1:$BF$391,MATCH($C35,'在庫使用計画 (法人)'!$C$1:$C$391,0),MATCH(AS$1,'在庫使用計画 (法人)'!$A$1:$BF$1,0))*1,0),
_xlpm._合計,_xlpm._一般検索+_xlpm._法人検索,
IF(_xlpm._合計=0,"",_xlpm._合計)
)</f>
        <v>116.02269208500429</v>
      </c>
      <c r="AT35" s="224">
        <f>_xlfn.LET(
_xlpm._一般検索,IFERROR(INDEX('在庫使用計画 (一般)'!$A$1:$BF$391,MATCH($C35,'在庫使用計画 (一般)'!$C$1:$C$391,0),MATCH(AT$1,'在庫使用計画 (一般)'!$A$1:$BF$1,0))*1,0),
_xlpm._法人検索,IFERROR(INDEX('在庫使用計画 (法人)'!$A$1:$BF$391,MATCH($C35,'在庫使用計画 (法人)'!$C$1:$C$391,0),MATCH(AT$1,'在庫使用計画 (法人)'!$A$1:$BF$1,0))*1,0),
_xlpm._合計,_xlpm._一般検索+_xlpm._法人検索,
IF(_xlpm._合計=0,"",_xlpm._合計)
)</f>
        <v>99</v>
      </c>
      <c r="AU35" s="805">
        <f>_xlfn.LET(
_xlpm._一般検索,IFERROR(INDEX('在庫使用計画 (一般)'!$A$1:$BF$391,MATCH($C35,'在庫使用計画 (一般)'!$C$1:$C$391,0),MATCH(AU$1,'在庫使用計画 (一般)'!$A$1:$BF$1,0))*1,0),
_xlpm._法人検索,IFERROR(INDEX('在庫使用計画 (法人)'!$A$1:$BF$391,MATCH($C35,'在庫使用計画 (法人)'!$C$1:$C$391,0),MATCH(AU$1,'在庫使用計画 (法人)'!$A$1:$BF$1,0))*1,0),
_xlpm._合計,_xlpm._一般検索+_xlpm._法人検索,
IF(_xlpm._合計=0,"",_xlpm._合計)
)</f>
        <v>141.65353559208609</v>
      </c>
      <c r="AV35" s="244">
        <f>_xlfn.LET(
_xlpm._一般検索,IFERROR(INDEX('在庫使用計画 (一般)'!$A$1:$BF$391,MATCH($C35,'在庫使用計画 (一般)'!$C$1:$C$391,0),MATCH(AV$1,'在庫使用計画 (一般)'!$A$1:$BF$1,0))*1,0),
_xlpm._法人検索,IFERROR(INDEX('在庫使用計画 (法人)'!$A$1:$BF$391,MATCH($C35,'在庫使用計画 (法人)'!$C$1:$C$391,0),MATCH(AV$1,'在庫使用計画 (法人)'!$A$1:$BF$1,0))*1,0),
_xlpm._合計,_xlpm._一般検索+_xlpm._法人検索,
IF(_xlpm._合計=0,"",_xlpm._合計)
)</f>
        <v>114.47582368774925</v>
      </c>
      <c r="AW35" s="224">
        <f>_xlfn.LET(
_xlpm._一般検索,IFERROR(INDEX('在庫使用計画 (一般)'!$A$1:$BF$391,MATCH($C35,'在庫使用計画 (一般)'!$C$1:$C$391,0),MATCH(AW$1,'在庫使用計画 (一般)'!$A$1:$BF$1,0))*1,0),
_xlpm._法人検索,IFERROR(INDEX('在庫使用計画 (法人)'!$A$1:$BF$391,MATCH($C35,'在庫使用計画 (法人)'!$C$1:$C$391,0),MATCH(AW$1,'在庫使用計画 (法人)'!$A$1:$BF$1,0))*1,0),
_xlpm._合計,_xlpm._一般検索+_xlpm._法人検索,
IF(_xlpm._合計=0,"",_xlpm._合計)
)</f>
        <v>107.92924533569183</v>
      </c>
      <c r="AX35" s="224">
        <f>_xlfn.LET(
_xlpm._一般検索,IFERROR(INDEX('在庫使用計画 (一般)'!$A$1:$BF$391,MATCH($C35,'在庫使用計画 (一般)'!$C$1:$C$391,0),MATCH(AX$1,'在庫使用計画 (一般)'!$A$1:$BF$1,0))*1,0),
_xlpm._法人検索,IFERROR(INDEX('在庫使用計画 (法人)'!$A$1:$BF$391,MATCH($C35,'在庫使用計画 (法人)'!$C$1:$C$391,0),MATCH(AX$1,'在庫使用計画 (法人)'!$A$1:$BF$1,0))*1,0),
_xlpm._合計,_xlpm._一般検索+_xlpm._法人検索,
IF(_xlpm._合計=0,"",_xlpm._合計)
)</f>
        <v>159.50046265542471</v>
      </c>
      <c r="AY35" s="224" t="str">
        <f>_xlfn.LET(
_xlpm._一般検索,IFERROR(INDEX('在庫使用計画 (一般)'!$A$1:$BF$391,MATCH($C35,'在庫使用計画 (一般)'!$C$1:$C$391,0),MATCH(AY$1,'在庫使用計画 (一般)'!$A$1:$BF$1,0))*1,0),
_xlpm._法人検索,IFERROR(INDEX('在庫使用計画 (法人)'!$A$1:$BF$391,MATCH($C35,'在庫使用計画 (法人)'!$C$1:$C$391,0),MATCH(AY$1,'在庫使用計画 (法人)'!$A$1:$BF$1,0))*1,0),
_xlpm._合計,_xlpm._一般検索+_xlpm._法人検索,
IF(_xlpm._合計=0,"",_xlpm._合計)
)</f>
        <v/>
      </c>
      <c r="AZ35" s="224" t="str">
        <f>_xlfn.LET(
_xlpm._一般検索,IFERROR(INDEX('在庫使用計画 (一般)'!$A$1:$BF$391,MATCH($C35,'在庫使用計画 (一般)'!$C$1:$C$391,0),MATCH(AZ$1,'在庫使用計画 (一般)'!$A$1:$BF$1,0))*1,0),
_xlpm._法人検索,IFERROR(INDEX('在庫使用計画 (法人)'!$A$1:$BF$391,MATCH($C35,'在庫使用計画 (法人)'!$C$1:$C$391,0),MATCH(AZ$1,'在庫使用計画 (法人)'!$A$1:$BF$1,0))*1,0),
_xlpm._合計,_xlpm._一般検索+_xlpm._法人検索,
IF(_xlpm._合計=0,"",_xlpm._合計)
)</f>
        <v/>
      </c>
      <c r="BA35" s="224" t="str">
        <f>_xlfn.LET(
_xlpm._一般検索,IFERROR(INDEX('在庫使用計画 (一般)'!$A$1:$BF$391,MATCH($C35,'在庫使用計画 (一般)'!$C$1:$C$391,0),MATCH(BA$1,'在庫使用計画 (一般)'!$A$1:$BF$1,0))*1,0),
_xlpm._法人検索,IFERROR(INDEX('在庫使用計画 (法人)'!$A$1:$BF$391,MATCH($C35,'在庫使用計画 (法人)'!$C$1:$C$391,0),MATCH(BA$1,'在庫使用計画 (法人)'!$A$1:$BF$1,0))*1,0),
_xlpm._合計,_xlpm._一般検索+_xlpm._法人検索,
IF(_xlpm._合計=0,"",_xlpm._合計)
)</f>
        <v/>
      </c>
      <c r="BB35" s="224" t="str">
        <f>_xlfn.LET(
_xlpm._一般検索,IFERROR(INDEX('在庫使用計画 (一般)'!$A$1:$BF$391,MATCH($C35,'在庫使用計画 (一般)'!$C$1:$C$391,0),MATCH(BB$1,'在庫使用計画 (一般)'!$A$1:$BF$1,0))*1,0),
_xlpm._法人検索,IFERROR(INDEX('在庫使用計画 (法人)'!$A$1:$BF$391,MATCH($C35,'在庫使用計画 (法人)'!$C$1:$C$391,0),MATCH(BB$1,'在庫使用計画 (法人)'!$A$1:$BF$1,0))*1,0),
_xlpm._合計,_xlpm._一般検索+_xlpm._法人検索,
IF(_xlpm._合計=0,"",_xlpm._合計)
)</f>
        <v/>
      </c>
      <c r="BC35" s="224" t="str">
        <f>_xlfn.LET(
_xlpm._一般検索,IFERROR(INDEX('在庫使用計画 (一般)'!$A$1:$BF$391,MATCH($C35,'在庫使用計画 (一般)'!$C$1:$C$391,0),MATCH(BC$1,'在庫使用計画 (一般)'!$A$1:$BF$1,0))*1,0),
_xlpm._法人検索,IFERROR(INDEX('在庫使用計画 (法人)'!$A$1:$BF$391,MATCH($C35,'在庫使用計画 (法人)'!$C$1:$C$391,0),MATCH(BC$1,'在庫使用計画 (法人)'!$A$1:$BF$1,0))*1,0),
_xlpm._合計,_xlpm._一般検索+_xlpm._法人検索,
IF(_xlpm._合計=0,"",_xlpm._合計)
)</f>
        <v/>
      </c>
      <c r="BD35" s="224" t="str">
        <f>_xlfn.LET(
_xlpm._一般検索,IFERROR(INDEX('在庫使用計画 (一般)'!$A$1:$BF$391,MATCH($C35,'在庫使用計画 (一般)'!$C$1:$C$391,0),MATCH(BD$1,'在庫使用計画 (一般)'!$A$1:$BF$1,0))*1,0),
_xlpm._法人検索,IFERROR(INDEX('在庫使用計画 (法人)'!$A$1:$BF$391,MATCH($C35,'在庫使用計画 (法人)'!$C$1:$C$391,0),MATCH(BD$1,'在庫使用計画 (法人)'!$A$1:$BF$1,0))*1,0),
_xlpm._合計,_xlpm._一般検索+_xlpm._法人検索,
IF(_xlpm._合計=0,"",_xlpm._合計)
)</f>
        <v/>
      </c>
      <c r="BE35" s="224" t="str">
        <f>_xlfn.LET(
_xlpm._一般検索,IFERROR(INDEX('在庫使用計画 (一般)'!$A$1:$BF$391,MATCH($C35,'在庫使用計画 (一般)'!$C$1:$C$391,0),MATCH(BE$1,'在庫使用計画 (一般)'!$A$1:$BF$1,0))*1,0),
_xlpm._法人検索,IFERROR(INDEX('在庫使用計画 (法人)'!$A$1:$BF$391,MATCH($C35,'在庫使用計画 (法人)'!$C$1:$C$391,0),MATCH(BE$1,'在庫使用計画 (法人)'!$A$1:$BF$1,0))*1,0),
_xlpm._合計,_xlpm._一般検索+_xlpm._法人検索,
IF(_xlpm._合計=0,"",_xlpm._合計)
)</f>
        <v/>
      </c>
      <c r="BF35" s="224" t="str">
        <f>_xlfn.LET(
_xlpm._一般検索,IFERROR(INDEX('在庫使用計画 (一般)'!$A$1:$BF$391,MATCH($C35,'在庫使用計画 (一般)'!$C$1:$C$391,0),MATCH(BF$1,'在庫使用計画 (一般)'!$A$1:$BF$1,0))*1,0),
_xlpm._法人検索,IFERROR(INDEX('在庫使用計画 (法人)'!$A$1:$BF$391,MATCH($C35,'在庫使用計画 (法人)'!$C$1:$C$391,0),MATCH(BF$1,'在庫使用計画 (法人)'!$A$1:$BF$1,0))*1,0),
_xlpm._合計,_xlpm._一般検索+_xlpm._法人検索,
IF(_xlpm._合計=0,"",_xlpm._合計)
)</f>
        <v/>
      </c>
      <c r="BG35" s="237" t="str">
        <f>_xlfn.LET(
_xlpm._一般検索,IFERROR(INDEX('在庫使用計画 (一般)'!$A$1:$BF$391,MATCH($C35,'在庫使用計画 (一般)'!$C$1:$C$391,0),MATCH(BG$1,'在庫使用計画 (一般)'!$A$1:$BF$1,0))*1,0),
_xlpm._法人検索,IFERROR(INDEX('在庫使用計画 (法人)'!$A$1:$BF$391,MATCH($C35,'在庫使用計画 (法人)'!$C$1:$C$391,0),MATCH(BG$1,'在庫使用計画 (法人)'!$A$1:$BF$1,0))*1,0),
_xlpm._合計,_xlpm._一般検索+_xlpm._法人検索,
IF(_xlpm._合計=0,"",_xlpm._合計)
)</f>
        <v/>
      </c>
      <c r="BH35" s="804" t="str">
        <f>_xlfn.LET(
_xlpm._一般検索,IFERROR(INDEX('在庫使用計画 (一般)'!$A$1:$BF$391,MATCH($C35,'在庫使用計画 (一般)'!$C$1:$C$391,0),MATCH(BH$1,'在庫使用計画 (一般)'!$A$1:$BF$1,0))*1,0),
_xlpm._法人検索,IFERROR(INDEX('在庫使用計画 (法人)'!$A$1:$BF$391,MATCH($C35,'在庫使用計画 (法人)'!$C$1:$C$391,0),MATCH(BH$1,'在庫使用計画 (法人)'!$A$1:$BF$1,0))*1,0),
_xlpm._合計,_xlpm._一般検索+_xlpm._法人検索,
IF(_xlpm._合計=0,"",_xlpm._合計)
)</f>
        <v/>
      </c>
      <c r="BI35" s="224" t="str">
        <f>_xlfn.LET(
_xlpm._一般検索,IFERROR(INDEX('在庫使用計画 (一般)'!$A$1:$BF$391,MATCH($C35,'在庫使用計画 (一般)'!$C$1:$C$391,0),MATCH(BI$1,'在庫使用計画 (一般)'!$A$1:$BF$1,0))*1,0),
_xlpm._法人検索,IFERROR(INDEX('在庫使用計画 (法人)'!$A$1:$BF$391,MATCH($C35,'在庫使用計画 (法人)'!$C$1:$C$391,0),MATCH(BI$1,'在庫使用計画 (法人)'!$A$1:$BF$1,0))*1,0),
_xlpm._合計,_xlpm._一般検索+_xlpm._法人検索,
IF(_xlpm._合計=0,"",_xlpm._合計)
)</f>
        <v/>
      </c>
      <c r="BJ35" s="224" t="str">
        <f>_xlfn.LET(
_xlpm._一般検索,IFERROR(INDEX('在庫使用計画 (一般)'!$A$1:$BF$391,MATCH($C35,'在庫使用計画 (一般)'!$C$1:$C$391,0),MATCH(BJ$1,'在庫使用計画 (一般)'!$A$1:$BF$1,0))*1,0),
_xlpm._法人検索,IFERROR(INDEX('在庫使用計画 (法人)'!$A$1:$BF$391,MATCH($C35,'在庫使用計画 (法人)'!$C$1:$C$391,0),MATCH(BJ$1,'在庫使用計画 (法人)'!$A$1:$BF$1,0))*1,0),
_xlpm._合計,_xlpm._一般検索+_xlpm._法人検索,
IF(_xlpm._合計=0,"",_xlpm._合計)
)</f>
        <v/>
      </c>
      <c r="BK35" s="224" t="str">
        <f>_xlfn.LET(
_xlpm._一般検索,IFERROR(INDEX('在庫使用計画 (一般)'!$A$1:$BF$391,MATCH($C35,'在庫使用計画 (一般)'!$C$1:$C$391,0),MATCH(BK$1,'在庫使用計画 (一般)'!$A$1:$BF$1,0))*1,0),
_xlpm._法人検索,IFERROR(INDEX('在庫使用計画 (法人)'!$A$1:$BF$391,MATCH($C35,'在庫使用計画 (法人)'!$C$1:$C$391,0),MATCH(BK$1,'在庫使用計画 (法人)'!$A$1:$BF$1,0))*1,0),
_xlpm._合計,_xlpm._一般検索+_xlpm._法人検索,
IF(_xlpm._合計=0,"",_xlpm._合計)
)</f>
        <v/>
      </c>
      <c r="BL35" s="224" t="str">
        <f>_xlfn.LET(
_xlpm._一般検索,IFERROR(INDEX('在庫使用計画 (一般)'!$A$1:$BF$391,MATCH($C35,'在庫使用計画 (一般)'!$C$1:$C$391,0),MATCH(BL$1,'在庫使用計画 (一般)'!$A$1:$BF$1,0))*1,0),
_xlpm._法人検索,IFERROR(INDEX('在庫使用計画 (法人)'!$A$1:$BF$391,MATCH($C35,'在庫使用計画 (法人)'!$C$1:$C$391,0),MATCH(BL$1,'在庫使用計画 (法人)'!$A$1:$BF$1,0))*1,0),
_xlpm._合計,_xlpm._一般検索+_xlpm._法人検索,
IF(_xlpm._合計=0,"",_xlpm._合計)
)</f>
        <v/>
      </c>
      <c r="BM35" s="224" t="str">
        <f>_xlfn.LET(
_xlpm._一般検索,IFERROR(INDEX('在庫使用計画 (一般)'!$A$1:$BF$391,MATCH($C35,'在庫使用計画 (一般)'!$C$1:$C$391,0),MATCH(BM$1,'在庫使用計画 (一般)'!$A$1:$BF$1,0))*1,0),
_xlpm._法人検索,IFERROR(INDEX('在庫使用計画 (法人)'!$A$1:$BF$391,MATCH($C35,'在庫使用計画 (法人)'!$C$1:$C$391,0),MATCH(BM$1,'在庫使用計画 (法人)'!$A$1:$BF$1,0))*1,0),
_xlpm._合計,_xlpm._一般検索+_xlpm._法人検索,
IF(_xlpm._合計=0,"",_xlpm._合計)
)</f>
        <v/>
      </c>
      <c r="BN35" s="224" t="str">
        <f>_xlfn.LET(
_xlpm._一般検索,IFERROR(INDEX('在庫使用計画 (一般)'!$A$1:$BF$391,MATCH($C35,'在庫使用計画 (一般)'!$C$1:$C$391,0),MATCH(BN$1,'在庫使用計画 (一般)'!$A$1:$BF$1,0))*1,0),
_xlpm._法人検索,IFERROR(INDEX('在庫使用計画 (法人)'!$A$1:$BF$391,MATCH($C35,'在庫使用計画 (法人)'!$C$1:$C$391,0),MATCH(BN$1,'在庫使用計画 (法人)'!$A$1:$BF$1,0))*1,0),
_xlpm._合計,_xlpm._一般検索+_xlpm._法人検索,
IF(_xlpm._合計=0,"",_xlpm._合計)
)</f>
        <v/>
      </c>
      <c r="BO35" s="224" t="str">
        <f>_xlfn.LET(
_xlpm._一般検索,IFERROR(INDEX('在庫使用計画 (一般)'!$A$1:$BF$391,MATCH($C35,'在庫使用計画 (一般)'!$C$1:$C$391,0),MATCH(BO$1,'在庫使用計画 (一般)'!$A$1:$BF$1,0))*1,0),
_xlpm._法人検索,IFERROR(INDEX('在庫使用計画 (法人)'!$A$1:$BF$391,MATCH($C35,'在庫使用計画 (法人)'!$C$1:$C$391,0),MATCH(BO$1,'在庫使用計画 (法人)'!$A$1:$BF$1,0))*1,0),
_xlpm._合計,_xlpm._一般検索+_xlpm._法人検索,
IF(_xlpm._合計=0,"",_xlpm._合計)
)</f>
        <v/>
      </c>
      <c r="BP35" s="224" t="str">
        <f>_xlfn.LET(
_xlpm._一般検索,IFERROR(INDEX('在庫使用計画 (一般)'!$A$1:$BF$391,MATCH($C35,'在庫使用計画 (一般)'!$C$1:$C$391,0),MATCH(BP$1,'在庫使用計画 (一般)'!$A$1:$BF$1,0))*1,0),
_xlpm._法人検索,IFERROR(INDEX('在庫使用計画 (法人)'!$A$1:$BF$391,MATCH($C35,'在庫使用計画 (法人)'!$C$1:$C$391,0),MATCH(BP$1,'在庫使用計画 (法人)'!$A$1:$BF$1,0))*1,0),
_xlpm._合計,_xlpm._一般検索+_xlpm._法人検索,
IF(_xlpm._合計=0,"",_xlpm._合計)
)</f>
        <v/>
      </c>
      <c r="BQ35" s="224" t="str">
        <f>_xlfn.LET(
_xlpm._一般検索,IFERROR(INDEX('在庫使用計画 (一般)'!$A$1:$BF$391,MATCH($C35,'在庫使用計画 (一般)'!$C$1:$C$391,0),MATCH(BQ$1,'在庫使用計画 (一般)'!$A$1:$BF$1,0))*1,0),
_xlpm._法人検索,IFERROR(INDEX('在庫使用計画 (法人)'!$A$1:$BF$391,MATCH($C35,'在庫使用計画 (法人)'!$C$1:$C$391,0),MATCH(BQ$1,'在庫使用計画 (法人)'!$A$1:$BF$1,0))*1,0),
_xlpm._合計,_xlpm._一般検索+_xlpm._法人検索,
IF(_xlpm._合計=0,"",_xlpm._合計)
)</f>
        <v/>
      </c>
      <c r="BR35" s="224" t="str">
        <f>_xlfn.LET(
_xlpm._一般検索,IFERROR(INDEX('在庫使用計画 (一般)'!$A$1:$BF$391,MATCH($C35,'在庫使用計画 (一般)'!$C$1:$C$391,0),MATCH(BR$1,'在庫使用計画 (一般)'!$A$1:$BF$1,0))*1,0),
_xlpm._法人検索,IFERROR(INDEX('在庫使用計画 (法人)'!$A$1:$BF$391,MATCH($C35,'在庫使用計画 (法人)'!$C$1:$C$391,0),MATCH(BR$1,'在庫使用計画 (法人)'!$A$1:$BF$1,0))*1,0),
_xlpm._合計,_xlpm._一般検索+_xlpm._法人検索,
IF(_xlpm._合計=0,"",_xlpm._合計)
)</f>
        <v/>
      </c>
      <c r="BS35" s="805" t="str">
        <f>_xlfn.LET(
_xlpm._一般検索,IFERROR(INDEX('在庫使用計画 (一般)'!$A$1:$BF$391,MATCH($C35,'在庫使用計画 (一般)'!$C$1:$C$391,0),MATCH(BS$1,'在庫使用計画 (一般)'!$A$1:$BF$1,0))*1,0),
_xlpm._法人検索,IFERROR(INDEX('在庫使用計画 (法人)'!$A$1:$BF$391,MATCH($C35,'在庫使用計画 (法人)'!$C$1:$C$391,0),MATCH(BS$1,'在庫使用計画 (法人)'!$A$1:$BF$1,0))*1,0),
_xlpm._合計,_xlpm._一般検索+_xlpm._法人検索,
IF(_xlpm._合計=0,"",_xlpm._合計)
)</f>
        <v/>
      </c>
      <c r="BT35" s="70"/>
    </row>
    <row r="36" spans="1:72" customFormat="1" ht="18.75" customHeight="1">
      <c r="A36" s="1061"/>
      <c r="B36" s="26" t="str">
        <v/>
      </c>
      <c r="C36" s="531"/>
      <c r="D36" s="2160" t="str">
        <v/>
      </c>
      <c r="E36" s="26"/>
      <c r="F36" s="24"/>
      <c r="G36" s="74" t="str">
        <v/>
      </c>
      <c r="H36" s="38" t="str">
        <v/>
      </c>
      <c r="I36" s="38" t="str" cm="1">
        <f t="array" ref="I36">IF($C36="","",
_xlfn.LET(
  _xlpm._見出し,$A$1:$BT$1,
  _xlpm._行,$A36:$BT36,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
      </c>
      <c r="J36" s="74" t="str" cm="1">
        <f t="array" ref="J36">_xlfn.LET(
  _xlpm._見出し,$A$1:$BS$1,
  _xlpm._行,$A36:$BS36,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IF($C36="","",_xlpm._四点五月計画合計)
)</f>
        <v/>
      </c>
      <c r="K36" s="1458" t="str" cm="1">
        <f t="array" ref="K36">_xlfn.IFS(
  $C36="","",
  $G36="","発売前？",
  $G36=0,"在庫なし",
  TRUE,
  IFERROR(
    _xlfn.LET(
      _xlpm._在庫注残,     $G36,
      _xlpm._しきい値,     _xlpm._在庫注残 * 0.75,
      _xlpm._見出し元,     $L$1:$BU$1,
      _xlpm._計画,         $L36:$BU36,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
      </c>
      <c r="L36" s="38"/>
      <c r="M36" s="38"/>
      <c r="N36" s="38"/>
      <c r="O36" s="38"/>
      <c r="P36" s="38"/>
      <c r="Q36" s="38"/>
      <c r="R36" s="38"/>
      <c r="S36" s="38"/>
      <c r="T36" s="219"/>
      <c r="U36" s="219"/>
      <c r="V36" s="219"/>
      <c r="W36" s="219"/>
      <c r="X36" s="224"/>
      <c r="Y36" s="224"/>
      <c r="Z36" s="224"/>
      <c r="AA36" s="237"/>
      <c r="AB36" s="224"/>
      <c r="AC36" s="224" t="s">
        <v>21</v>
      </c>
      <c r="AD36" s="237" t="s">
        <v>21</v>
      </c>
      <c r="AE36" s="237" t="s">
        <v>21</v>
      </c>
      <c r="AF36" s="237" t="s">
        <v>21</v>
      </c>
      <c r="AG36" s="237"/>
      <c r="AH36" s="224" t="s">
        <v>21</v>
      </c>
      <c r="AI36" s="237" t="s">
        <v>21</v>
      </c>
      <c r="AJ36" s="804" t="s">
        <v>21</v>
      </c>
      <c r="AK36" s="224" t="s">
        <v>21</v>
      </c>
      <c r="AL36" s="224" t="s">
        <v>21</v>
      </c>
      <c r="AM36" s="224" t="s">
        <v>21</v>
      </c>
      <c r="AN36" s="224" t="str">
        <f>_xlfn.LET(
_xlpm._一般検索,IFERROR(INDEX('在庫使用計画 (一般)'!$A$1:$BF$391,MATCH($C36,'在庫使用計画 (一般)'!$C$1:$C$391,0),MATCH(AN$1,'在庫使用計画 (一般)'!$A$1:$BF$1,0))*1,0),
_xlpm._法人検索,IFERROR(INDEX('在庫使用計画 (法人)'!$A$1:$BF$391,MATCH($C36,'在庫使用計画 (法人)'!$C$1:$C$391,0),MATCH(AN$1,'在庫使用計画 (法人)'!$A$1:$BF$1,0))*1,0),
_xlpm._合計,_xlpm._一般検索+_xlpm._法人検索,
IF(_xlpm._合計=0,"",_xlpm._合計)
)</f>
        <v/>
      </c>
      <c r="AO36" s="224" t="str">
        <f>_xlfn.LET(
_xlpm._一般検索,IFERROR(INDEX('在庫使用計画 (一般)'!$A$1:$BF$391,MATCH($C36,'在庫使用計画 (一般)'!$C$1:$C$391,0),MATCH(AO$1,'在庫使用計画 (一般)'!$A$1:$BF$1,0))*1,0),
_xlpm._法人検索,IFERROR(INDEX('在庫使用計画 (法人)'!$A$1:$BF$391,MATCH($C36,'在庫使用計画 (法人)'!$C$1:$C$391,0),MATCH(AO$1,'在庫使用計画 (法人)'!$A$1:$BF$1,0))*1,0),
_xlpm._合計,_xlpm._一般検索+_xlpm._法人検索,
IF(_xlpm._合計=0,"",_xlpm._合計)
)</f>
        <v/>
      </c>
      <c r="AP36" s="224" t="str">
        <f>_xlfn.LET(
_xlpm._一般検索,IFERROR(INDEX('在庫使用計画 (一般)'!$A$1:$BF$391,MATCH($C36,'在庫使用計画 (一般)'!$C$1:$C$391,0),MATCH(AP$1,'在庫使用計画 (一般)'!$A$1:$BF$1,0))*1,0),
_xlpm._法人検索,IFERROR(INDEX('在庫使用計画 (法人)'!$A$1:$BF$391,MATCH($C36,'在庫使用計画 (法人)'!$C$1:$C$391,0),MATCH(AP$1,'在庫使用計画 (法人)'!$A$1:$BF$1,0))*1,0),
_xlpm._合計,_xlpm._一般検索+_xlpm._法人検索,
IF(_xlpm._合計=0,"",_xlpm._合計)
)</f>
        <v/>
      </c>
      <c r="AQ36" s="224" t="str">
        <f>_xlfn.LET(
_xlpm._一般検索,IFERROR(INDEX('在庫使用計画 (一般)'!$A$1:$BF$391,MATCH($C36,'在庫使用計画 (一般)'!$C$1:$C$391,0),MATCH(AQ$1,'在庫使用計画 (一般)'!$A$1:$BF$1,0))*1,0),
_xlpm._法人検索,IFERROR(INDEX('在庫使用計画 (法人)'!$A$1:$BF$391,MATCH($C36,'在庫使用計画 (法人)'!$C$1:$C$391,0),MATCH(AQ$1,'在庫使用計画 (法人)'!$A$1:$BF$1,0))*1,0),
_xlpm._合計,_xlpm._一般検索+_xlpm._法人検索,
IF(_xlpm._合計=0,"",_xlpm._合計)
)</f>
        <v/>
      </c>
      <c r="AR36" s="224" t="str">
        <f>_xlfn.LET(
_xlpm._一般検索,IFERROR(INDEX('在庫使用計画 (一般)'!$A$1:$BF$391,MATCH($C36,'在庫使用計画 (一般)'!$C$1:$C$391,0),MATCH(AR$1,'在庫使用計画 (一般)'!$A$1:$BF$1,0))*1,0),
_xlpm._法人検索,IFERROR(INDEX('在庫使用計画 (法人)'!$A$1:$BF$391,MATCH($C36,'在庫使用計画 (法人)'!$C$1:$C$391,0),MATCH(AR$1,'在庫使用計画 (法人)'!$A$1:$BF$1,0))*1,0),
_xlpm._合計,_xlpm._一般検索+_xlpm._法人検索,
IF(_xlpm._合計=0,"",_xlpm._合計)
)</f>
        <v/>
      </c>
      <c r="AS36" s="224" t="str">
        <f>_xlfn.LET(
_xlpm._一般検索,IFERROR(INDEX('在庫使用計画 (一般)'!$A$1:$BF$391,MATCH($C36,'在庫使用計画 (一般)'!$C$1:$C$391,0),MATCH(AS$1,'在庫使用計画 (一般)'!$A$1:$BF$1,0))*1,0),
_xlpm._法人検索,IFERROR(INDEX('在庫使用計画 (法人)'!$A$1:$BF$391,MATCH($C36,'在庫使用計画 (法人)'!$C$1:$C$391,0),MATCH(AS$1,'在庫使用計画 (法人)'!$A$1:$BF$1,0))*1,0),
_xlpm._合計,_xlpm._一般検索+_xlpm._法人検索,
IF(_xlpm._合計=0,"",_xlpm._合計)
)</f>
        <v/>
      </c>
      <c r="AT36" s="224" t="str">
        <f>_xlfn.LET(
_xlpm._一般検索,IFERROR(INDEX('在庫使用計画 (一般)'!$A$1:$BF$391,MATCH($C36,'在庫使用計画 (一般)'!$C$1:$C$391,0),MATCH(AT$1,'在庫使用計画 (一般)'!$A$1:$BF$1,0))*1,0),
_xlpm._法人検索,IFERROR(INDEX('在庫使用計画 (法人)'!$A$1:$BF$391,MATCH($C36,'在庫使用計画 (法人)'!$C$1:$C$391,0),MATCH(AT$1,'在庫使用計画 (法人)'!$A$1:$BF$1,0))*1,0),
_xlpm._合計,_xlpm._一般検索+_xlpm._法人検索,
IF(_xlpm._合計=0,"",_xlpm._合計)
)</f>
        <v/>
      </c>
      <c r="AU36" s="805" t="str">
        <f>_xlfn.LET(
_xlpm._一般検索,IFERROR(INDEX('在庫使用計画 (一般)'!$A$1:$BF$391,MATCH($C36,'在庫使用計画 (一般)'!$C$1:$C$391,0),MATCH(AU$1,'在庫使用計画 (一般)'!$A$1:$BF$1,0))*1,0),
_xlpm._法人検索,IFERROR(INDEX('在庫使用計画 (法人)'!$A$1:$BF$391,MATCH($C36,'在庫使用計画 (法人)'!$C$1:$C$391,0),MATCH(AU$1,'在庫使用計画 (法人)'!$A$1:$BF$1,0))*1,0),
_xlpm._合計,_xlpm._一般検索+_xlpm._法人検索,
IF(_xlpm._合計=0,"",_xlpm._合計)
)</f>
        <v/>
      </c>
      <c r="AV36" s="244" t="str">
        <f>_xlfn.LET(
_xlpm._一般検索,IFERROR(INDEX('在庫使用計画 (一般)'!$A$1:$BF$391,MATCH($C36,'在庫使用計画 (一般)'!$C$1:$C$391,0),MATCH(AV$1,'在庫使用計画 (一般)'!$A$1:$BF$1,0))*1,0),
_xlpm._法人検索,IFERROR(INDEX('在庫使用計画 (法人)'!$A$1:$BF$391,MATCH($C36,'在庫使用計画 (法人)'!$C$1:$C$391,0),MATCH(AV$1,'在庫使用計画 (法人)'!$A$1:$BF$1,0))*1,0),
_xlpm._合計,_xlpm._一般検索+_xlpm._法人検索,
IF(_xlpm._合計=0,"",_xlpm._合計)
)</f>
        <v/>
      </c>
      <c r="AW36" s="224" t="str">
        <f>_xlfn.LET(
_xlpm._一般検索,IFERROR(INDEX('在庫使用計画 (一般)'!$A$1:$BF$391,MATCH($C36,'在庫使用計画 (一般)'!$C$1:$C$391,0),MATCH(AW$1,'在庫使用計画 (一般)'!$A$1:$BF$1,0))*1,0),
_xlpm._法人検索,IFERROR(INDEX('在庫使用計画 (法人)'!$A$1:$BF$391,MATCH($C36,'在庫使用計画 (法人)'!$C$1:$C$391,0),MATCH(AW$1,'在庫使用計画 (法人)'!$A$1:$BF$1,0))*1,0),
_xlpm._合計,_xlpm._一般検索+_xlpm._法人検索,
IF(_xlpm._合計=0,"",_xlpm._合計)
)</f>
        <v/>
      </c>
      <c r="AX36" s="224" t="str">
        <f>_xlfn.LET(
_xlpm._一般検索,IFERROR(INDEX('在庫使用計画 (一般)'!$A$1:$BF$391,MATCH($C36,'在庫使用計画 (一般)'!$C$1:$C$391,0),MATCH(AX$1,'在庫使用計画 (一般)'!$A$1:$BF$1,0))*1,0),
_xlpm._法人検索,IFERROR(INDEX('在庫使用計画 (法人)'!$A$1:$BF$391,MATCH($C36,'在庫使用計画 (法人)'!$C$1:$C$391,0),MATCH(AX$1,'在庫使用計画 (法人)'!$A$1:$BF$1,0))*1,0),
_xlpm._合計,_xlpm._一般検索+_xlpm._法人検索,
IF(_xlpm._合計=0,"",_xlpm._合計)
)</f>
        <v/>
      </c>
      <c r="AY36" s="224" t="str">
        <f>_xlfn.LET(
_xlpm._一般検索,IFERROR(INDEX('在庫使用計画 (一般)'!$A$1:$BF$391,MATCH($C36,'在庫使用計画 (一般)'!$C$1:$C$391,0),MATCH(AY$1,'在庫使用計画 (一般)'!$A$1:$BF$1,0))*1,0),
_xlpm._法人検索,IFERROR(INDEX('在庫使用計画 (法人)'!$A$1:$BF$391,MATCH($C36,'在庫使用計画 (法人)'!$C$1:$C$391,0),MATCH(AY$1,'在庫使用計画 (法人)'!$A$1:$BF$1,0))*1,0),
_xlpm._合計,_xlpm._一般検索+_xlpm._法人検索,
IF(_xlpm._合計=0,"",_xlpm._合計)
)</f>
        <v/>
      </c>
      <c r="AZ36" s="224" t="str">
        <f>_xlfn.LET(
_xlpm._一般検索,IFERROR(INDEX('在庫使用計画 (一般)'!$A$1:$BF$391,MATCH($C36,'在庫使用計画 (一般)'!$C$1:$C$391,0),MATCH(AZ$1,'在庫使用計画 (一般)'!$A$1:$BF$1,0))*1,0),
_xlpm._法人検索,IFERROR(INDEX('在庫使用計画 (法人)'!$A$1:$BF$391,MATCH($C36,'在庫使用計画 (法人)'!$C$1:$C$391,0),MATCH(AZ$1,'在庫使用計画 (法人)'!$A$1:$BF$1,0))*1,0),
_xlpm._合計,_xlpm._一般検索+_xlpm._法人検索,
IF(_xlpm._合計=0,"",_xlpm._合計)
)</f>
        <v/>
      </c>
      <c r="BA36" s="224" t="str">
        <f>_xlfn.LET(
_xlpm._一般検索,IFERROR(INDEX('在庫使用計画 (一般)'!$A$1:$BF$391,MATCH($C36,'在庫使用計画 (一般)'!$C$1:$C$391,0),MATCH(BA$1,'在庫使用計画 (一般)'!$A$1:$BF$1,0))*1,0),
_xlpm._法人検索,IFERROR(INDEX('在庫使用計画 (法人)'!$A$1:$BF$391,MATCH($C36,'在庫使用計画 (法人)'!$C$1:$C$391,0),MATCH(BA$1,'在庫使用計画 (法人)'!$A$1:$BF$1,0))*1,0),
_xlpm._合計,_xlpm._一般検索+_xlpm._法人検索,
IF(_xlpm._合計=0,"",_xlpm._合計)
)</f>
        <v/>
      </c>
      <c r="BB36" s="224" t="str">
        <f>_xlfn.LET(
_xlpm._一般検索,IFERROR(INDEX('在庫使用計画 (一般)'!$A$1:$BF$391,MATCH($C36,'在庫使用計画 (一般)'!$C$1:$C$391,0),MATCH(BB$1,'在庫使用計画 (一般)'!$A$1:$BF$1,0))*1,0),
_xlpm._法人検索,IFERROR(INDEX('在庫使用計画 (法人)'!$A$1:$BF$391,MATCH($C36,'在庫使用計画 (法人)'!$C$1:$C$391,0),MATCH(BB$1,'在庫使用計画 (法人)'!$A$1:$BF$1,0))*1,0),
_xlpm._合計,_xlpm._一般検索+_xlpm._法人検索,
IF(_xlpm._合計=0,"",_xlpm._合計)
)</f>
        <v/>
      </c>
      <c r="BC36" s="224" t="str">
        <f>_xlfn.LET(
_xlpm._一般検索,IFERROR(INDEX('在庫使用計画 (一般)'!$A$1:$BF$391,MATCH($C36,'在庫使用計画 (一般)'!$C$1:$C$391,0),MATCH(BC$1,'在庫使用計画 (一般)'!$A$1:$BF$1,0))*1,0),
_xlpm._法人検索,IFERROR(INDEX('在庫使用計画 (法人)'!$A$1:$BF$391,MATCH($C36,'在庫使用計画 (法人)'!$C$1:$C$391,0),MATCH(BC$1,'在庫使用計画 (法人)'!$A$1:$BF$1,0))*1,0),
_xlpm._合計,_xlpm._一般検索+_xlpm._法人検索,
IF(_xlpm._合計=0,"",_xlpm._合計)
)</f>
        <v/>
      </c>
      <c r="BD36" s="224" t="str">
        <f>_xlfn.LET(
_xlpm._一般検索,IFERROR(INDEX('在庫使用計画 (一般)'!$A$1:$BF$391,MATCH($C36,'在庫使用計画 (一般)'!$C$1:$C$391,0),MATCH(BD$1,'在庫使用計画 (一般)'!$A$1:$BF$1,0))*1,0),
_xlpm._法人検索,IFERROR(INDEX('在庫使用計画 (法人)'!$A$1:$BF$391,MATCH($C36,'在庫使用計画 (法人)'!$C$1:$C$391,0),MATCH(BD$1,'在庫使用計画 (法人)'!$A$1:$BF$1,0))*1,0),
_xlpm._合計,_xlpm._一般検索+_xlpm._法人検索,
IF(_xlpm._合計=0,"",_xlpm._合計)
)</f>
        <v/>
      </c>
      <c r="BE36" s="224" t="str">
        <f>_xlfn.LET(
_xlpm._一般検索,IFERROR(INDEX('在庫使用計画 (一般)'!$A$1:$BF$391,MATCH($C36,'在庫使用計画 (一般)'!$C$1:$C$391,0),MATCH(BE$1,'在庫使用計画 (一般)'!$A$1:$BF$1,0))*1,0),
_xlpm._法人検索,IFERROR(INDEX('在庫使用計画 (法人)'!$A$1:$BF$391,MATCH($C36,'在庫使用計画 (法人)'!$C$1:$C$391,0),MATCH(BE$1,'在庫使用計画 (法人)'!$A$1:$BF$1,0))*1,0),
_xlpm._合計,_xlpm._一般検索+_xlpm._法人検索,
IF(_xlpm._合計=0,"",_xlpm._合計)
)</f>
        <v/>
      </c>
      <c r="BF36" s="224" t="str">
        <f>_xlfn.LET(
_xlpm._一般検索,IFERROR(INDEX('在庫使用計画 (一般)'!$A$1:$BF$391,MATCH($C36,'在庫使用計画 (一般)'!$C$1:$C$391,0),MATCH(BF$1,'在庫使用計画 (一般)'!$A$1:$BF$1,0))*1,0),
_xlpm._法人検索,IFERROR(INDEX('在庫使用計画 (法人)'!$A$1:$BF$391,MATCH($C36,'在庫使用計画 (法人)'!$C$1:$C$391,0),MATCH(BF$1,'在庫使用計画 (法人)'!$A$1:$BF$1,0))*1,0),
_xlpm._合計,_xlpm._一般検索+_xlpm._法人検索,
IF(_xlpm._合計=0,"",_xlpm._合計)
)</f>
        <v/>
      </c>
      <c r="BG36" s="237" t="str">
        <f>_xlfn.LET(
_xlpm._一般検索,IFERROR(INDEX('在庫使用計画 (一般)'!$A$1:$BF$391,MATCH($C36,'在庫使用計画 (一般)'!$C$1:$C$391,0),MATCH(BG$1,'在庫使用計画 (一般)'!$A$1:$BF$1,0))*1,0),
_xlpm._法人検索,IFERROR(INDEX('在庫使用計画 (法人)'!$A$1:$BF$391,MATCH($C36,'在庫使用計画 (法人)'!$C$1:$C$391,0),MATCH(BG$1,'在庫使用計画 (法人)'!$A$1:$BF$1,0))*1,0),
_xlpm._合計,_xlpm._一般検索+_xlpm._法人検索,
IF(_xlpm._合計=0,"",_xlpm._合計)
)</f>
        <v/>
      </c>
      <c r="BH36" s="804" t="str">
        <f>_xlfn.LET(
_xlpm._一般検索,IFERROR(INDEX('在庫使用計画 (一般)'!$A$1:$BF$391,MATCH($C36,'在庫使用計画 (一般)'!$C$1:$C$391,0),MATCH(BH$1,'在庫使用計画 (一般)'!$A$1:$BF$1,0))*1,0),
_xlpm._法人検索,IFERROR(INDEX('在庫使用計画 (法人)'!$A$1:$BF$391,MATCH($C36,'在庫使用計画 (法人)'!$C$1:$C$391,0),MATCH(BH$1,'在庫使用計画 (法人)'!$A$1:$BF$1,0))*1,0),
_xlpm._合計,_xlpm._一般検索+_xlpm._法人検索,
IF(_xlpm._合計=0,"",_xlpm._合計)
)</f>
        <v/>
      </c>
      <c r="BI36" s="224" t="str">
        <f>_xlfn.LET(
_xlpm._一般検索,IFERROR(INDEX('在庫使用計画 (一般)'!$A$1:$BF$391,MATCH($C36,'在庫使用計画 (一般)'!$C$1:$C$391,0),MATCH(BI$1,'在庫使用計画 (一般)'!$A$1:$BF$1,0))*1,0),
_xlpm._法人検索,IFERROR(INDEX('在庫使用計画 (法人)'!$A$1:$BF$391,MATCH($C36,'在庫使用計画 (法人)'!$C$1:$C$391,0),MATCH(BI$1,'在庫使用計画 (法人)'!$A$1:$BF$1,0))*1,0),
_xlpm._合計,_xlpm._一般検索+_xlpm._法人検索,
IF(_xlpm._合計=0,"",_xlpm._合計)
)</f>
        <v/>
      </c>
      <c r="BJ36" s="224" t="str">
        <f>_xlfn.LET(
_xlpm._一般検索,IFERROR(INDEX('在庫使用計画 (一般)'!$A$1:$BF$391,MATCH($C36,'在庫使用計画 (一般)'!$C$1:$C$391,0),MATCH(BJ$1,'在庫使用計画 (一般)'!$A$1:$BF$1,0))*1,0),
_xlpm._法人検索,IFERROR(INDEX('在庫使用計画 (法人)'!$A$1:$BF$391,MATCH($C36,'在庫使用計画 (法人)'!$C$1:$C$391,0),MATCH(BJ$1,'在庫使用計画 (法人)'!$A$1:$BF$1,0))*1,0),
_xlpm._合計,_xlpm._一般検索+_xlpm._法人検索,
IF(_xlpm._合計=0,"",_xlpm._合計)
)</f>
        <v/>
      </c>
      <c r="BK36" s="224" t="str">
        <f>_xlfn.LET(
_xlpm._一般検索,IFERROR(INDEX('在庫使用計画 (一般)'!$A$1:$BF$391,MATCH($C36,'在庫使用計画 (一般)'!$C$1:$C$391,0),MATCH(BK$1,'在庫使用計画 (一般)'!$A$1:$BF$1,0))*1,0),
_xlpm._法人検索,IFERROR(INDEX('在庫使用計画 (法人)'!$A$1:$BF$391,MATCH($C36,'在庫使用計画 (法人)'!$C$1:$C$391,0),MATCH(BK$1,'在庫使用計画 (法人)'!$A$1:$BF$1,0))*1,0),
_xlpm._合計,_xlpm._一般検索+_xlpm._法人検索,
IF(_xlpm._合計=0,"",_xlpm._合計)
)</f>
        <v/>
      </c>
      <c r="BL36" s="224" t="str">
        <f>_xlfn.LET(
_xlpm._一般検索,IFERROR(INDEX('在庫使用計画 (一般)'!$A$1:$BF$391,MATCH($C36,'在庫使用計画 (一般)'!$C$1:$C$391,0),MATCH(BL$1,'在庫使用計画 (一般)'!$A$1:$BF$1,0))*1,0),
_xlpm._法人検索,IFERROR(INDEX('在庫使用計画 (法人)'!$A$1:$BF$391,MATCH($C36,'在庫使用計画 (法人)'!$C$1:$C$391,0),MATCH(BL$1,'在庫使用計画 (法人)'!$A$1:$BF$1,0))*1,0),
_xlpm._合計,_xlpm._一般検索+_xlpm._法人検索,
IF(_xlpm._合計=0,"",_xlpm._合計)
)</f>
        <v/>
      </c>
      <c r="BM36" s="224" t="str">
        <f>_xlfn.LET(
_xlpm._一般検索,IFERROR(INDEX('在庫使用計画 (一般)'!$A$1:$BF$391,MATCH($C36,'在庫使用計画 (一般)'!$C$1:$C$391,0),MATCH(BM$1,'在庫使用計画 (一般)'!$A$1:$BF$1,0))*1,0),
_xlpm._法人検索,IFERROR(INDEX('在庫使用計画 (法人)'!$A$1:$BF$391,MATCH($C36,'在庫使用計画 (法人)'!$C$1:$C$391,0),MATCH(BM$1,'在庫使用計画 (法人)'!$A$1:$BF$1,0))*1,0),
_xlpm._合計,_xlpm._一般検索+_xlpm._法人検索,
IF(_xlpm._合計=0,"",_xlpm._合計)
)</f>
        <v/>
      </c>
      <c r="BN36" s="224" t="str">
        <f>_xlfn.LET(
_xlpm._一般検索,IFERROR(INDEX('在庫使用計画 (一般)'!$A$1:$BF$391,MATCH($C36,'在庫使用計画 (一般)'!$C$1:$C$391,0),MATCH(BN$1,'在庫使用計画 (一般)'!$A$1:$BF$1,0))*1,0),
_xlpm._法人検索,IFERROR(INDEX('在庫使用計画 (法人)'!$A$1:$BF$391,MATCH($C36,'在庫使用計画 (法人)'!$C$1:$C$391,0),MATCH(BN$1,'在庫使用計画 (法人)'!$A$1:$BF$1,0))*1,0),
_xlpm._合計,_xlpm._一般検索+_xlpm._法人検索,
IF(_xlpm._合計=0,"",_xlpm._合計)
)</f>
        <v/>
      </c>
      <c r="BO36" s="224" t="str">
        <f>_xlfn.LET(
_xlpm._一般検索,IFERROR(INDEX('在庫使用計画 (一般)'!$A$1:$BF$391,MATCH($C36,'在庫使用計画 (一般)'!$C$1:$C$391,0),MATCH(BO$1,'在庫使用計画 (一般)'!$A$1:$BF$1,0))*1,0),
_xlpm._法人検索,IFERROR(INDEX('在庫使用計画 (法人)'!$A$1:$BF$391,MATCH($C36,'在庫使用計画 (法人)'!$C$1:$C$391,0),MATCH(BO$1,'在庫使用計画 (法人)'!$A$1:$BF$1,0))*1,0),
_xlpm._合計,_xlpm._一般検索+_xlpm._法人検索,
IF(_xlpm._合計=0,"",_xlpm._合計)
)</f>
        <v/>
      </c>
      <c r="BP36" s="224" t="str">
        <f>_xlfn.LET(
_xlpm._一般検索,IFERROR(INDEX('在庫使用計画 (一般)'!$A$1:$BF$391,MATCH($C36,'在庫使用計画 (一般)'!$C$1:$C$391,0),MATCH(BP$1,'在庫使用計画 (一般)'!$A$1:$BF$1,0))*1,0),
_xlpm._法人検索,IFERROR(INDEX('在庫使用計画 (法人)'!$A$1:$BF$391,MATCH($C36,'在庫使用計画 (法人)'!$C$1:$C$391,0),MATCH(BP$1,'在庫使用計画 (法人)'!$A$1:$BF$1,0))*1,0),
_xlpm._合計,_xlpm._一般検索+_xlpm._法人検索,
IF(_xlpm._合計=0,"",_xlpm._合計)
)</f>
        <v/>
      </c>
      <c r="BQ36" s="224" t="str">
        <f>_xlfn.LET(
_xlpm._一般検索,IFERROR(INDEX('在庫使用計画 (一般)'!$A$1:$BF$391,MATCH($C36,'在庫使用計画 (一般)'!$C$1:$C$391,0),MATCH(BQ$1,'在庫使用計画 (一般)'!$A$1:$BF$1,0))*1,0),
_xlpm._法人検索,IFERROR(INDEX('在庫使用計画 (法人)'!$A$1:$BF$391,MATCH($C36,'在庫使用計画 (法人)'!$C$1:$C$391,0),MATCH(BQ$1,'在庫使用計画 (法人)'!$A$1:$BF$1,0))*1,0),
_xlpm._合計,_xlpm._一般検索+_xlpm._法人検索,
IF(_xlpm._合計=0,"",_xlpm._合計)
)</f>
        <v/>
      </c>
      <c r="BR36" s="224" t="str">
        <f>_xlfn.LET(
_xlpm._一般検索,IFERROR(INDEX('在庫使用計画 (一般)'!$A$1:$BF$391,MATCH($C36,'在庫使用計画 (一般)'!$C$1:$C$391,0),MATCH(BR$1,'在庫使用計画 (一般)'!$A$1:$BF$1,0))*1,0),
_xlpm._法人検索,IFERROR(INDEX('在庫使用計画 (法人)'!$A$1:$BF$391,MATCH($C36,'在庫使用計画 (法人)'!$C$1:$C$391,0),MATCH(BR$1,'在庫使用計画 (法人)'!$A$1:$BF$1,0))*1,0),
_xlpm._合計,_xlpm._一般検索+_xlpm._法人検索,
IF(_xlpm._合計=0,"",_xlpm._合計)
)</f>
        <v/>
      </c>
      <c r="BS36" s="805" t="str">
        <f>_xlfn.LET(
_xlpm._一般検索,IFERROR(INDEX('在庫使用計画 (一般)'!$A$1:$BF$391,MATCH($C36,'在庫使用計画 (一般)'!$C$1:$C$391,0),MATCH(BS$1,'在庫使用計画 (一般)'!$A$1:$BF$1,0))*1,0),
_xlpm._法人検索,IFERROR(INDEX('在庫使用計画 (法人)'!$A$1:$BF$391,MATCH($C36,'在庫使用計画 (法人)'!$C$1:$C$391,0),MATCH(BS$1,'在庫使用計画 (法人)'!$A$1:$BF$1,0))*1,0),
_xlpm._合計,_xlpm._一般検索+_xlpm._法人検索,
IF(_xlpm._合計=0,"",_xlpm._合計)
)</f>
        <v/>
      </c>
      <c r="BT36" s="70"/>
    </row>
    <row r="37" spans="1:72" customFormat="1" ht="18.75" customHeight="1" thickBot="1">
      <c r="A37" s="1061" t="s">
        <v>1642</v>
      </c>
      <c r="B37" s="87" t="str">
        <v>CLE-V35-14650HX-5060-L6 Creator</v>
      </c>
      <c r="C37" s="1135" t="s">
        <v>444</v>
      </c>
      <c r="D37" s="2156">
        <v>2552</v>
      </c>
      <c r="E37" s="68" t="s">
        <v>1387</v>
      </c>
      <c r="F37" s="68"/>
      <c r="G37" s="74">
        <v>536</v>
      </c>
      <c r="H37" s="38">
        <v>536</v>
      </c>
      <c r="I37" s="38" cm="1">
        <f t="array" ref="I37">IF($C37="","",
_xlfn.LET(
  _xlpm._見出し,$A$1:$BT$1,
  _xlpm._行,$A37:$BT37,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470.24424598020568</v>
      </c>
      <c r="J37" s="74" cm="1">
        <f t="array" ref="J37">_xlfn.LET(
  _xlpm._見出し,$A$1:$BS$1,
  _xlpm._行,$A37:$BS37,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IF($C37="","",_xlpm._四点五月計画合計)
)</f>
        <v>371.24424598020568</v>
      </c>
      <c r="K37" s="1458" cm="1">
        <f t="array" ref="K37">_xlfn.IFS(
  $C37="","",
  $G37="","発売前？",
  $G37=0,"在庫なし",
  TRUE,
  IFERROR(
    _xlfn.LET(
      _xlpm._在庫注残,     $G37,
      _xlpm._しきい値,     _xlpm._在庫注残 * 0.75,
      _xlpm._見出し元,     $L$1:$BU$1,
      _xlpm._計画,         $L37:$BU37,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46266</v>
      </c>
      <c r="L37" s="38"/>
      <c r="M37" s="38"/>
      <c r="N37" s="38"/>
      <c r="O37" s="38"/>
      <c r="P37" s="38"/>
      <c r="Q37" s="38"/>
      <c r="R37" s="38"/>
      <c r="S37" s="38"/>
      <c r="T37" s="219"/>
      <c r="U37" s="219"/>
      <c r="V37" s="219"/>
      <c r="W37" s="219"/>
      <c r="X37" s="224" t="s">
        <v>21</v>
      </c>
      <c r="Y37" s="224" t="s">
        <v>21</v>
      </c>
      <c r="Z37" s="224" t="s">
        <v>21</v>
      </c>
      <c r="AA37" s="224" t="s">
        <v>21</v>
      </c>
      <c r="AB37" s="224" t="s">
        <v>21</v>
      </c>
      <c r="AC37" s="471" t="s">
        <v>21</v>
      </c>
      <c r="AD37" s="237">
        <v>235</v>
      </c>
      <c r="AE37" s="237">
        <v>120</v>
      </c>
      <c r="AF37" s="237">
        <v>310</v>
      </c>
      <c r="AG37" s="237">
        <v>189</v>
      </c>
      <c r="AH37" s="224">
        <v>200</v>
      </c>
      <c r="AI37" s="237">
        <v>222.5</v>
      </c>
      <c r="AJ37" s="804">
        <v>157</v>
      </c>
      <c r="AK37" s="224">
        <v>163.74456355283309</v>
      </c>
      <c r="AL37" s="224">
        <v>176.61490556406329</v>
      </c>
      <c r="AM37" s="224">
        <v>100</v>
      </c>
      <c r="AN37" s="224">
        <f>_xlfn.LET(
_xlpm._一般検索,IFERROR(INDEX('在庫使用計画 (一般)'!$A$1:$BF$391,MATCH($C37,'在庫使用計画 (一般)'!$C$1:$C$391,0),MATCH(AN$1,'在庫使用計画 (一般)'!$A$1:$BF$1,0))*1,0),
_xlpm._法人検索,IFERROR(INDEX('在庫使用計画 (法人)'!$A$1:$BF$391,MATCH($C37,'在庫使用計画 (法人)'!$C$1:$C$391,0),MATCH(AN$1,'在庫使用計画 (法人)'!$A$1:$BF$1,0))*1,0),
_xlpm._合計,_xlpm._一般検索+_xlpm._法人検索,
IF(_xlpm._合計=0,"",_xlpm._合計)
)</f>
        <v>115</v>
      </c>
      <c r="AO37" s="224">
        <f>_xlfn.LET(
_xlpm._一般検索,IFERROR(INDEX('在庫使用計画 (一般)'!$A$1:$BF$391,MATCH($C37,'在庫使用計画 (一般)'!$C$1:$C$391,0),MATCH(AO$1,'在庫使用計画 (一般)'!$A$1:$BF$1,0))*1,0),
_xlpm._法人検索,IFERROR(INDEX('在庫使用計画 (法人)'!$A$1:$BF$391,MATCH($C37,'在庫使用計画 (法人)'!$C$1:$C$391,0),MATCH(AO$1,'在庫使用計画 (法人)'!$A$1:$BF$1,0))*1,0),
_xlpm._合計,_xlpm._一般検索+_xlpm._法人検索,
IF(_xlpm._合計=0,"",_xlpm._合計)
)</f>
        <v>128</v>
      </c>
      <c r="AP37" s="224">
        <f>_xlfn.LET(
_xlpm._一般検索,IFERROR(INDEX('在庫使用計画 (一般)'!$A$1:$BF$391,MATCH($C37,'在庫使用計画 (一般)'!$C$1:$C$391,0),MATCH(AP$1,'在庫使用計画 (一般)'!$A$1:$BF$1,0))*1,0),
_xlpm._法人検索,IFERROR(INDEX('在庫使用計画 (法人)'!$A$1:$BF$391,MATCH($C37,'在庫使用計画 (法人)'!$C$1:$C$391,0),MATCH(AP$1,'在庫使用計画 (法人)'!$A$1:$BF$1,0))*1,0),
_xlpm._合計,_xlpm._一般検索+_xlpm._法人検索,
IF(_xlpm._合計=0,"",_xlpm._合計)
)</f>
        <v>198</v>
      </c>
      <c r="AQ37" s="224">
        <f>_xlfn.LET(
_xlpm._一般検索,IFERROR(INDEX('在庫使用計画 (一般)'!$A$1:$BF$391,MATCH($C37,'在庫使用計画 (一般)'!$C$1:$C$391,0),MATCH(AQ$1,'在庫使用計画 (一般)'!$A$1:$BF$1,0))*1,0),
_xlpm._法人検索,IFERROR(INDEX('在庫使用計画 (法人)'!$A$1:$BF$391,MATCH($C37,'在庫使用計画 (法人)'!$C$1:$C$391,0),MATCH(AQ$1,'在庫使用計画 (法人)'!$A$1:$BF$1,0))*1,0),
_xlpm._合計,_xlpm._一般検索+_xlpm._法人検索,
IF(_xlpm._合計=0,"",_xlpm._合計)
)</f>
        <v>134.89566991296857</v>
      </c>
      <c r="AR37" s="224">
        <f>_xlfn.LET(
_xlpm._一般検索,IFERROR(INDEX('在庫使用計画 (一般)'!$A$1:$BF$391,MATCH($C37,'在庫使用計画 (一般)'!$C$1:$C$391,0),MATCH(AR$1,'在庫使用計画 (一般)'!$A$1:$BF$1,0))*1,0),
_xlpm._法人検索,IFERROR(INDEX('在庫使用計画 (法人)'!$A$1:$BF$391,MATCH($C37,'在庫使用計画 (法人)'!$C$1:$C$391,0),MATCH(AR$1,'在庫使用計画 (法人)'!$A$1:$BF$1,0))*1,0),
_xlpm._合計,_xlpm._一般検索+_xlpm._法人検索,
IF(_xlpm._合計=0,"",_xlpm._合計)
)</f>
        <v>137.3485760672371</v>
      </c>
      <c r="AS37" s="224" t="str">
        <f>_xlfn.LET(
_xlpm._一般検索,IFERROR(INDEX('在庫使用計画 (一般)'!$A$1:$BF$391,MATCH($C37,'在庫使用計画 (一般)'!$C$1:$C$391,0),MATCH(AS$1,'在庫使用計画 (一般)'!$A$1:$BF$1,0))*1,0),
_xlpm._法人検索,IFERROR(INDEX('在庫使用計画 (法人)'!$A$1:$BF$391,MATCH($C37,'在庫使用計画 (法人)'!$C$1:$C$391,0),MATCH(AS$1,'在庫使用計画 (法人)'!$A$1:$BF$1,0))*1,0),
_xlpm._合計,_xlpm._一般検索+_xlpm._法人検索,
IF(_xlpm._合計=0,"",_xlpm._合計)
)</f>
        <v/>
      </c>
      <c r="AT37" s="224" t="str">
        <f>_xlfn.LET(
_xlpm._一般検索,IFERROR(INDEX('在庫使用計画 (一般)'!$A$1:$BF$391,MATCH($C37,'在庫使用計画 (一般)'!$C$1:$C$391,0),MATCH(AT$1,'在庫使用計画 (一般)'!$A$1:$BF$1,0))*1,0),
_xlpm._法人検索,IFERROR(INDEX('在庫使用計画 (法人)'!$A$1:$BF$391,MATCH($C37,'在庫使用計画 (法人)'!$C$1:$C$391,0),MATCH(AT$1,'在庫使用計画 (法人)'!$A$1:$BF$1,0))*1,0),
_xlpm._合計,_xlpm._一般検索+_xlpm._法人検索,
IF(_xlpm._合計=0,"",_xlpm._合計)
)</f>
        <v/>
      </c>
      <c r="AU37" s="805" t="str">
        <f>_xlfn.LET(
_xlpm._一般検索,IFERROR(INDEX('在庫使用計画 (一般)'!$A$1:$BF$391,MATCH($C37,'在庫使用計画 (一般)'!$C$1:$C$391,0),MATCH(AU$1,'在庫使用計画 (一般)'!$A$1:$BF$1,0))*1,0),
_xlpm._法人検索,IFERROR(INDEX('在庫使用計画 (法人)'!$A$1:$BF$391,MATCH($C37,'在庫使用計画 (法人)'!$C$1:$C$391,0),MATCH(AU$1,'在庫使用計画 (法人)'!$A$1:$BF$1,0))*1,0),
_xlpm._合計,_xlpm._一般検索+_xlpm._法人検索,
IF(_xlpm._合計=0,"",_xlpm._合計)
)</f>
        <v/>
      </c>
      <c r="AV37" s="244" t="str">
        <f>_xlfn.LET(
_xlpm._一般検索,IFERROR(INDEX('在庫使用計画 (一般)'!$A$1:$BF$391,MATCH($C37,'在庫使用計画 (一般)'!$C$1:$C$391,0),MATCH(AV$1,'在庫使用計画 (一般)'!$A$1:$BF$1,0))*1,0),
_xlpm._法人検索,IFERROR(INDEX('在庫使用計画 (法人)'!$A$1:$BF$391,MATCH($C37,'在庫使用計画 (法人)'!$C$1:$C$391,0),MATCH(AV$1,'在庫使用計画 (法人)'!$A$1:$BF$1,0))*1,0),
_xlpm._合計,_xlpm._一般検索+_xlpm._法人検索,
IF(_xlpm._合計=0,"",_xlpm._合計)
)</f>
        <v/>
      </c>
      <c r="AW37" s="224" t="str">
        <f>_xlfn.LET(
_xlpm._一般検索,IFERROR(INDEX('在庫使用計画 (一般)'!$A$1:$BF$391,MATCH($C37,'在庫使用計画 (一般)'!$C$1:$C$391,0),MATCH(AW$1,'在庫使用計画 (一般)'!$A$1:$BF$1,0))*1,0),
_xlpm._法人検索,IFERROR(INDEX('在庫使用計画 (法人)'!$A$1:$BF$391,MATCH($C37,'在庫使用計画 (法人)'!$C$1:$C$391,0),MATCH(AW$1,'在庫使用計画 (法人)'!$A$1:$BF$1,0))*1,0),
_xlpm._合計,_xlpm._一般検索+_xlpm._法人検索,
IF(_xlpm._合計=0,"",_xlpm._合計)
)</f>
        <v/>
      </c>
      <c r="AX37" s="224" t="str">
        <f>_xlfn.LET(
_xlpm._一般検索,IFERROR(INDEX('在庫使用計画 (一般)'!$A$1:$BF$391,MATCH($C37,'在庫使用計画 (一般)'!$C$1:$C$391,0),MATCH(AX$1,'在庫使用計画 (一般)'!$A$1:$BF$1,0))*1,0),
_xlpm._法人検索,IFERROR(INDEX('在庫使用計画 (法人)'!$A$1:$BF$391,MATCH($C37,'在庫使用計画 (法人)'!$C$1:$C$391,0),MATCH(AX$1,'在庫使用計画 (法人)'!$A$1:$BF$1,0))*1,0),
_xlpm._合計,_xlpm._一般検索+_xlpm._法人検索,
IF(_xlpm._合計=0,"",_xlpm._合計)
)</f>
        <v/>
      </c>
      <c r="AY37" s="224" t="str">
        <f>_xlfn.LET(
_xlpm._一般検索,IFERROR(INDEX('在庫使用計画 (一般)'!$A$1:$BF$391,MATCH($C37,'在庫使用計画 (一般)'!$C$1:$C$391,0),MATCH(AY$1,'在庫使用計画 (一般)'!$A$1:$BF$1,0))*1,0),
_xlpm._法人検索,IFERROR(INDEX('在庫使用計画 (法人)'!$A$1:$BF$391,MATCH($C37,'在庫使用計画 (法人)'!$C$1:$C$391,0),MATCH(AY$1,'在庫使用計画 (法人)'!$A$1:$BF$1,0))*1,0),
_xlpm._合計,_xlpm._一般検索+_xlpm._法人検索,
IF(_xlpm._合計=0,"",_xlpm._合計)
)</f>
        <v/>
      </c>
      <c r="AZ37" s="224" t="str">
        <f>_xlfn.LET(
_xlpm._一般検索,IFERROR(INDEX('在庫使用計画 (一般)'!$A$1:$BF$391,MATCH($C37,'在庫使用計画 (一般)'!$C$1:$C$391,0),MATCH(AZ$1,'在庫使用計画 (一般)'!$A$1:$BF$1,0))*1,0),
_xlpm._法人検索,IFERROR(INDEX('在庫使用計画 (法人)'!$A$1:$BF$391,MATCH($C37,'在庫使用計画 (法人)'!$C$1:$C$391,0),MATCH(AZ$1,'在庫使用計画 (法人)'!$A$1:$BF$1,0))*1,0),
_xlpm._合計,_xlpm._一般検索+_xlpm._法人検索,
IF(_xlpm._合計=0,"",_xlpm._合計)
)</f>
        <v/>
      </c>
      <c r="BA37" s="224" t="str">
        <f>_xlfn.LET(
_xlpm._一般検索,IFERROR(INDEX('在庫使用計画 (一般)'!$A$1:$BF$391,MATCH($C37,'在庫使用計画 (一般)'!$C$1:$C$391,0),MATCH(BA$1,'在庫使用計画 (一般)'!$A$1:$BF$1,0))*1,0),
_xlpm._法人検索,IFERROR(INDEX('在庫使用計画 (法人)'!$A$1:$BF$391,MATCH($C37,'在庫使用計画 (法人)'!$C$1:$C$391,0),MATCH(BA$1,'在庫使用計画 (法人)'!$A$1:$BF$1,0))*1,0),
_xlpm._合計,_xlpm._一般検索+_xlpm._法人検索,
IF(_xlpm._合計=0,"",_xlpm._合計)
)</f>
        <v/>
      </c>
      <c r="BB37" s="224" t="str">
        <f>_xlfn.LET(
_xlpm._一般検索,IFERROR(INDEX('在庫使用計画 (一般)'!$A$1:$BF$391,MATCH($C37,'在庫使用計画 (一般)'!$C$1:$C$391,0),MATCH(BB$1,'在庫使用計画 (一般)'!$A$1:$BF$1,0))*1,0),
_xlpm._法人検索,IFERROR(INDEX('在庫使用計画 (法人)'!$A$1:$BF$391,MATCH($C37,'在庫使用計画 (法人)'!$C$1:$C$391,0),MATCH(BB$1,'在庫使用計画 (法人)'!$A$1:$BF$1,0))*1,0),
_xlpm._合計,_xlpm._一般検索+_xlpm._法人検索,
IF(_xlpm._合計=0,"",_xlpm._合計)
)</f>
        <v/>
      </c>
      <c r="BC37" s="224" t="str">
        <f>_xlfn.LET(
_xlpm._一般検索,IFERROR(INDEX('在庫使用計画 (一般)'!$A$1:$BF$391,MATCH($C37,'在庫使用計画 (一般)'!$C$1:$C$391,0),MATCH(BC$1,'在庫使用計画 (一般)'!$A$1:$BF$1,0))*1,0),
_xlpm._法人検索,IFERROR(INDEX('在庫使用計画 (法人)'!$A$1:$BF$391,MATCH($C37,'在庫使用計画 (法人)'!$C$1:$C$391,0),MATCH(BC$1,'在庫使用計画 (法人)'!$A$1:$BF$1,0))*1,0),
_xlpm._合計,_xlpm._一般検索+_xlpm._法人検索,
IF(_xlpm._合計=0,"",_xlpm._合計)
)</f>
        <v/>
      </c>
      <c r="BD37" s="224" t="str">
        <f>_xlfn.LET(
_xlpm._一般検索,IFERROR(INDEX('在庫使用計画 (一般)'!$A$1:$BF$391,MATCH($C37,'在庫使用計画 (一般)'!$C$1:$C$391,0),MATCH(BD$1,'在庫使用計画 (一般)'!$A$1:$BF$1,0))*1,0),
_xlpm._法人検索,IFERROR(INDEX('在庫使用計画 (法人)'!$A$1:$BF$391,MATCH($C37,'在庫使用計画 (法人)'!$C$1:$C$391,0),MATCH(BD$1,'在庫使用計画 (法人)'!$A$1:$BF$1,0))*1,0),
_xlpm._合計,_xlpm._一般検索+_xlpm._法人検索,
IF(_xlpm._合計=0,"",_xlpm._合計)
)</f>
        <v/>
      </c>
      <c r="BE37" s="224" t="str">
        <f>_xlfn.LET(
_xlpm._一般検索,IFERROR(INDEX('在庫使用計画 (一般)'!$A$1:$BF$391,MATCH($C37,'在庫使用計画 (一般)'!$C$1:$C$391,0),MATCH(BE$1,'在庫使用計画 (一般)'!$A$1:$BF$1,0))*1,0),
_xlpm._法人検索,IFERROR(INDEX('在庫使用計画 (法人)'!$A$1:$BF$391,MATCH($C37,'在庫使用計画 (法人)'!$C$1:$C$391,0),MATCH(BE$1,'在庫使用計画 (法人)'!$A$1:$BF$1,0))*1,0),
_xlpm._合計,_xlpm._一般検索+_xlpm._法人検索,
IF(_xlpm._合計=0,"",_xlpm._合計)
)</f>
        <v/>
      </c>
      <c r="BF37" s="224" t="str">
        <f>_xlfn.LET(
_xlpm._一般検索,IFERROR(INDEX('在庫使用計画 (一般)'!$A$1:$BF$391,MATCH($C37,'在庫使用計画 (一般)'!$C$1:$C$391,0),MATCH(BF$1,'在庫使用計画 (一般)'!$A$1:$BF$1,0))*1,0),
_xlpm._法人検索,IFERROR(INDEX('在庫使用計画 (法人)'!$A$1:$BF$391,MATCH($C37,'在庫使用計画 (法人)'!$C$1:$C$391,0),MATCH(BF$1,'在庫使用計画 (法人)'!$A$1:$BF$1,0))*1,0),
_xlpm._合計,_xlpm._一般検索+_xlpm._法人検索,
IF(_xlpm._合計=0,"",_xlpm._合計)
)</f>
        <v/>
      </c>
      <c r="BG37" s="237" t="str">
        <f>_xlfn.LET(
_xlpm._一般検索,IFERROR(INDEX('在庫使用計画 (一般)'!$A$1:$BF$391,MATCH($C37,'在庫使用計画 (一般)'!$C$1:$C$391,0),MATCH(BG$1,'在庫使用計画 (一般)'!$A$1:$BF$1,0))*1,0),
_xlpm._法人検索,IFERROR(INDEX('在庫使用計画 (法人)'!$A$1:$BF$391,MATCH($C37,'在庫使用計画 (法人)'!$C$1:$C$391,0),MATCH(BG$1,'在庫使用計画 (法人)'!$A$1:$BF$1,0))*1,0),
_xlpm._合計,_xlpm._一般検索+_xlpm._法人検索,
IF(_xlpm._合計=0,"",_xlpm._合計)
)</f>
        <v/>
      </c>
      <c r="BH37" s="804" t="str">
        <f>_xlfn.LET(
_xlpm._一般検索,IFERROR(INDEX('在庫使用計画 (一般)'!$A$1:$BF$391,MATCH($C37,'在庫使用計画 (一般)'!$C$1:$C$391,0),MATCH(BH$1,'在庫使用計画 (一般)'!$A$1:$BF$1,0))*1,0),
_xlpm._法人検索,IFERROR(INDEX('在庫使用計画 (法人)'!$A$1:$BF$391,MATCH($C37,'在庫使用計画 (法人)'!$C$1:$C$391,0),MATCH(BH$1,'在庫使用計画 (法人)'!$A$1:$BF$1,0))*1,0),
_xlpm._合計,_xlpm._一般検索+_xlpm._法人検索,
IF(_xlpm._合計=0,"",_xlpm._合計)
)</f>
        <v/>
      </c>
      <c r="BI37" s="224" t="str">
        <f>_xlfn.LET(
_xlpm._一般検索,IFERROR(INDEX('在庫使用計画 (一般)'!$A$1:$BF$391,MATCH($C37,'在庫使用計画 (一般)'!$C$1:$C$391,0),MATCH(BI$1,'在庫使用計画 (一般)'!$A$1:$BF$1,0))*1,0),
_xlpm._法人検索,IFERROR(INDEX('在庫使用計画 (法人)'!$A$1:$BF$391,MATCH($C37,'在庫使用計画 (法人)'!$C$1:$C$391,0),MATCH(BI$1,'在庫使用計画 (法人)'!$A$1:$BF$1,0))*1,0),
_xlpm._合計,_xlpm._一般検索+_xlpm._法人検索,
IF(_xlpm._合計=0,"",_xlpm._合計)
)</f>
        <v/>
      </c>
      <c r="BJ37" s="224" t="str">
        <f>_xlfn.LET(
_xlpm._一般検索,IFERROR(INDEX('在庫使用計画 (一般)'!$A$1:$BF$391,MATCH($C37,'在庫使用計画 (一般)'!$C$1:$C$391,0),MATCH(BJ$1,'在庫使用計画 (一般)'!$A$1:$BF$1,0))*1,0),
_xlpm._法人検索,IFERROR(INDEX('在庫使用計画 (法人)'!$A$1:$BF$391,MATCH($C37,'在庫使用計画 (法人)'!$C$1:$C$391,0),MATCH(BJ$1,'在庫使用計画 (法人)'!$A$1:$BF$1,0))*1,0),
_xlpm._合計,_xlpm._一般検索+_xlpm._法人検索,
IF(_xlpm._合計=0,"",_xlpm._合計)
)</f>
        <v/>
      </c>
      <c r="BK37" s="224" t="str">
        <f>_xlfn.LET(
_xlpm._一般検索,IFERROR(INDEX('在庫使用計画 (一般)'!$A$1:$BF$391,MATCH($C37,'在庫使用計画 (一般)'!$C$1:$C$391,0),MATCH(BK$1,'在庫使用計画 (一般)'!$A$1:$BF$1,0))*1,0),
_xlpm._法人検索,IFERROR(INDEX('在庫使用計画 (法人)'!$A$1:$BF$391,MATCH($C37,'在庫使用計画 (法人)'!$C$1:$C$391,0),MATCH(BK$1,'在庫使用計画 (法人)'!$A$1:$BF$1,0))*1,0),
_xlpm._合計,_xlpm._一般検索+_xlpm._法人検索,
IF(_xlpm._合計=0,"",_xlpm._合計)
)</f>
        <v/>
      </c>
      <c r="BL37" s="224" t="str">
        <f>_xlfn.LET(
_xlpm._一般検索,IFERROR(INDEX('在庫使用計画 (一般)'!$A$1:$BF$391,MATCH($C37,'在庫使用計画 (一般)'!$C$1:$C$391,0),MATCH(BL$1,'在庫使用計画 (一般)'!$A$1:$BF$1,0))*1,0),
_xlpm._法人検索,IFERROR(INDEX('在庫使用計画 (法人)'!$A$1:$BF$391,MATCH($C37,'在庫使用計画 (法人)'!$C$1:$C$391,0),MATCH(BL$1,'在庫使用計画 (法人)'!$A$1:$BF$1,0))*1,0),
_xlpm._合計,_xlpm._一般検索+_xlpm._法人検索,
IF(_xlpm._合計=0,"",_xlpm._合計)
)</f>
        <v/>
      </c>
      <c r="BM37" s="224" t="str">
        <f>_xlfn.LET(
_xlpm._一般検索,IFERROR(INDEX('在庫使用計画 (一般)'!$A$1:$BF$391,MATCH($C37,'在庫使用計画 (一般)'!$C$1:$C$391,0),MATCH(BM$1,'在庫使用計画 (一般)'!$A$1:$BF$1,0))*1,0),
_xlpm._法人検索,IFERROR(INDEX('在庫使用計画 (法人)'!$A$1:$BF$391,MATCH($C37,'在庫使用計画 (法人)'!$C$1:$C$391,0),MATCH(BM$1,'在庫使用計画 (法人)'!$A$1:$BF$1,0))*1,0),
_xlpm._合計,_xlpm._一般検索+_xlpm._法人検索,
IF(_xlpm._合計=0,"",_xlpm._合計)
)</f>
        <v/>
      </c>
      <c r="BN37" s="224" t="str">
        <f>_xlfn.LET(
_xlpm._一般検索,IFERROR(INDEX('在庫使用計画 (一般)'!$A$1:$BF$391,MATCH($C37,'在庫使用計画 (一般)'!$C$1:$C$391,0),MATCH(BN$1,'在庫使用計画 (一般)'!$A$1:$BF$1,0))*1,0),
_xlpm._法人検索,IFERROR(INDEX('在庫使用計画 (法人)'!$A$1:$BF$391,MATCH($C37,'在庫使用計画 (法人)'!$C$1:$C$391,0),MATCH(BN$1,'在庫使用計画 (法人)'!$A$1:$BF$1,0))*1,0),
_xlpm._合計,_xlpm._一般検索+_xlpm._法人検索,
IF(_xlpm._合計=0,"",_xlpm._合計)
)</f>
        <v/>
      </c>
      <c r="BO37" s="224" t="str">
        <f>_xlfn.LET(
_xlpm._一般検索,IFERROR(INDEX('在庫使用計画 (一般)'!$A$1:$BF$391,MATCH($C37,'在庫使用計画 (一般)'!$C$1:$C$391,0),MATCH(BO$1,'在庫使用計画 (一般)'!$A$1:$BF$1,0))*1,0),
_xlpm._法人検索,IFERROR(INDEX('在庫使用計画 (法人)'!$A$1:$BF$391,MATCH($C37,'在庫使用計画 (法人)'!$C$1:$C$391,0),MATCH(BO$1,'在庫使用計画 (法人)'!$A$1:$BF$1,0))*1,0),
_xlpm._合計,_xlpm._一般検索+_xlpm._法人検索,
IF(_xlpm._合計=0,"",_xlpm._合計)
)</f>
        <v/>
      </c>
      <c r="BP37" s="224" t="str">
        <f>_xlfn.LET(
_xlpm._一般検索,IFERROR(INDEX('在庫使用計画 (一般)'!$A$1:$BF$391,MATCH($C37,'在庫使用計画 (一般)'!$C$1:$C$391,0),MATCH(BP$1,'在庫使用計画 (一般)'!$A$1:$BF$1,0))*1,0),
_xlpm._法人検索,IFERROR(INDEX('在庫使用計画 (法人)'!$A$1:$BF$391,MATCH($C37,'在庫使用計画 (法人)'!$C$1:$C$391,0),MATCH(BP$1,'在庫使用計画 (法人)'!$A$1:$BF$1,0))*1,0),
_xlpm._合計,_xlpm._一般検索+_xlpm._法人検索,
IF(_xlpm._合計=0,"",_xlpm._合計)
)</f>
        <v/>
      </c>
      <c r="BQ37" s="224" t="str">
        <f>_xlfn.LET(
_xlpm._一般検索,IFERROR(INDEX('在庫使用計画 (一般)'!$A$1:$BF$391,MATCH($C37,'在庫使用計画 (一般)'!$C$1:$C$391,0),MATCH(BQ$1,'在庫使用計画 (一般)'!$A$1:$BF$1,0))*1,0),
_xlpm._法人検索,IFERROR(INDEX('在庫使用計画 (法人)'!$A$1:$BF$391,MATCH($C37,'在庫使用計画 (法人)'!$C$1:$C$391,0),MATCH(BQ$1,'在庫使用計画 (法人)'!$A$1:$BF$1,0))*1,0),
_xlpm._合計,_xlpm._一般検索+_xlpm._法人検索,
IF(_xlpm._合計=0,"",_xlpm._合計)
)</f>
        <v/>
      </c>
      <c r="BR37" s="224" t="str">
        <f>_xlfn.LET(
_xlpm._一般検索,IFERROR(INDEX('在庫使用計画 (一般)'!$A$1:$BF$391,MATCH($C37,'在庫使用計画 (一般)'!$C$1:$C$391,0),MATCH(BR$1,'在庫使用計画 (一般)'!$A$1:$BF$1,0))*1,0),
_xlpm._法人検索,IFERROR(INDEX('在庫使用計画 (法人)'!$A$1:$BF$391,MATCH($C37,'在庫使用計画 (法人)'!$C$1:$C$391,0),MATCH(BR$1,'在庫使用計画 (法人)'!$A$1:$BF$1,0))*1,0),
_xlpm._合計,_xlpm._一般検索+_xlpm._法人検索,
IF(_xlpm._合計=0,"",_xlpm._合計)
)</f>
        <v/>
      </c>
      <c r="BS37" s="805" t="str">
        <f>_xlfn.LET(
_xlpm._一般検索,IFERROR(INDEX('在庫使用計画 (一般)'!$A$1:$BF$391,MATCH($C37,'在庫使用計画 (一般)'!$C$1:$C$391,0),MATCH(BS$1,'在庫使用計画 (一般)'!$A$1:$BF$1,0))*1,0),
_xlpm._法人検索,IFERROR(INDEX('在庫使用計画 (法人)'!$A$1:$BF$391,MATCH($C37,'在庫使用計画 (法人)'!$C$1:$C$391,0),MATCH(BS$1,'在庫使用計画 (法人)'!$A$1:$BF$1,0))*1,0),
_xlpm._合計,_xlpm._一般検索+_xlpm._法人検索,
IF(_xlpm._合計=0,"",_xlpm._合計)
)</f>
        <v/>
      </c>
      <c r="BT37" s="70"/>
    </row>
    <row r="38" spans="1:72" customFormat="1" ht="18.75" customHeight="1" thickBot="1">
      <c r="A38" s="1059" t="s">
        <v>1643</v>
      </c>
      <c r="B38" s="26" t="str">
        <v>QNT-NLT-240H-5060-L6-GC</v>
      </c>
      <c r="C38" s="1435" t="s">
        <v>448</v>
      </c>
      <c r="D38" s="2154">
        <v>1100</v>
      </c>
      <c r="E38" s="1258" t="s">
        <v>1813</v>
      </c>
      <c r="F38" s="24" t="s">
        <v>20</v>
      </c>
      <c r="G38" s="74">
        <v>1100</v>
      </c>
      <c r="H38" s="38">
        <v>0</v>
      </c>
      <c r="I38" s="38" cm="1">
        <f t="array" ref="I38">IF($C38="","",
_xlfn.LET(
  _xlpm._見出し,$A$1:$BT$1,
  _xlpm._行,$A38:$BT38,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438</v>
      </c>
      <c r="J38" s="74" cm="1">
        <f t="array" ref="J38">_xlfn.LET(
  _xlpm._見出し,$A$1:$BS$1,
  _xlpm._行,$A38:$BS38,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IF($C38="","",_xlpm._四点五月計画合計)
)</f>
        <v>724</v>
      </c>
      <c r="K38" s="1458" cm="1">
        <f t="array" ref="K38">_xlfn.IFS(
  $C38="","",
  $G38="","発売前？",
  $G38=0,"在庫なし",
  TRUE,
  IFERROR(
    _xlfn.LET(
      _xlpm._在庫注残,     $G38,
      _xlpm._しきい値,     _xlpm._在庫注残 * 0.75,
      _xlpm._見出し元,     $L$1:$BU$1,
      _xlpm._計画,         $L38:$BU38,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46357</v>
      </c>
      <c r="L38" s="38"/>
      <c r="M38" s="38"/>
      <c r="N38" s="38"/>
      <c r="O38" s="38"/>
      <c r="P38" s="38"/>
      <c r="Q38" s="38"/>
      <c r="R38" s="38"/>
      <c r="S38" s="38"/>
      <c r="T38" s="219"/>
      <c r="U38" s="219"/>
      <c r="V38" s="219"/>
      <c r="W38" s="219"/>
      <c r="X38" s="224"/>
      <c r="Y38" s="224"/>
      <c r="Z38" s="224"/>
      <c r="AA38" s="237"/>
      <c r="AB38" s="224"/>
      <c r="AC38" s="224"/>
      <c r="AD38" s="237" t="s">
        <v>21</v>
      </c>
      <c r="AE38" s="237" t="s">
        <v>21</v>
      </c>
      <c r="AF38" s="237" t="s">
        <v>21</v>
      </c>
      <c r="AG38" s="237"/>
      <c r="AH38" s="224" t="s">
        <v>21</v>
      </c>
      <c r="AI38" s="237" t="s">
        <v>21</v>
      </c>
      <c r="AJ38" s="804" t="s">
        <v>21</v>
      </c>
      <c r="AK38" s="224" t="s">
        <v>21</v>
      </c>
      <c r="AL38" s="224" t="s">
        <v>21</v>
      </c>
      <c r="AM38" s="224" t="s">
        <v>21</v>
      </c>
      <c r="AN38" s="224" t="str">
        <f>_xlfn.LET(
_xlpm._一般検索,IFERROR(INDEX('在庫使用計画 (一般)'!$A$1:$BF$391,MATCH($C38,'在庫使用計画 (一般)'!$C$1:$C$391,0),MATCH(AN$1,'在庫使用計画 (一般)'!$A$1:$BF$1,0))*1,0),
_xlpm._法人検索,IFERROR(INDEX('在庫使用計画 (法人)'!$A$1:$BF$391,MATCH($C38,'在庫使用計画 (法人)'!$C$1:$C$391,0),MATCH(AN$1,'在庫使用計画 (法人)'!$A$1:$BF$1,0))*1,0),
_xlpm._合計,_xlpm._一般検索+_xlpm._法人検索,
IF(_xlpm._合計=0,"",_xlpm._合計)
)</f>
        <v/>
      </c>
      <c r="AO38" s="224" t="str">
        <f>_xlfn.LET(
_xlpm._一般検索,IFERROR(INDEX('在庫使用計画 (一般)'!$A$1:$BF$391,MATCH($C38,'在庫使用計画 (一般)'!$C$1:$C$391,0),MATCH(AO$1,'在庫使用計画 (一般)'!$A$1:$BF$1,0))*1,0),
_xlpm._法人検索,IFERROR(INDEX('在庫使用計画 (法人)'!$A$1:$BF$391,MATCH($C38,'在庫使用計画 (法人)'!$C$1:$C$391,0),MATCH(AO$1,'在庫使用計画 (法人)'!$A$1:$BF$1,0))*1,0),
_xlpm._合計,_xlpm._一般検索+_xlpm._法人検索,
IF(_xlpm._合計=0,"",_xlpm._合計)
)</f>
        <v/>
      </c>
      <c r="AP38" s="224" t="str">
        <f>_xlfn.LET(
_xlpm._一般検索,IFERROR(INDEX('在庫使用計画 (一般)'!$A$1:$BF$391,MATCH($C38,'在庫使用計画 (一般)'!$C$1:$C$391,0),MATCH(AP$1,'在庫使用計画 (一般)'!$A$1:$BF$1,0))*1,0),
_xlpm._法人検索,IFERROR(INDEX('在庫使用計画 (法人)'!$A$1:$BF$391,MATCH($C38,'在庫使用計画 (法人)'!$C$1:$C$391,0),MATCH(AP$1,'在庫使用計画 (法人)'!$A$1:$BF$1,0))*1,0),
_xlpm._合計,_xlpm._一般検索+_xlpm._法人検索,
IF(_xlpm._合計=0,"",_xlpm._合計)
)</f>
        <v/>
      </c>
      <c r="AQ38" s="224">
        <f>_xlfn.LET(
_xlpm._一般検索,IFERROR(INDEX('在庫使用計画 (一般)'!$A$1:$BF$391,MATCH($C38,'在庫使用計画 (一般)'!$C$1:$C$391,0),MATCH(AQ$1,'在庫使用計画 (一般)'!$A$1:$BF$1,0))*1,0),
_xlpm._法人検索,IFERROR(INDEX('在庫使用計画 (法人)'!$A$1:$BF$391,MATCH($C38,'在庫使用計画 (法人)'!$C$1:$C$391,0),MATCH(AQ$1,'在庫使用計画 (法人)'!$A$1:$BF$1,0))*1,0),
_xlpm._合計,_xlpm._一般検索+_xlpm._法人検索,
IF(_xlpm._合計=0,"",_xlpm._合計)
)</f>
        <v>6</v>
      </c>
      <c r="AR38" s="224">
        <f>_xlfn.LET(
_xlpm._一般検索,IFERROR(INDEX('在庫使用計画 (一般)'!$A$1:$BF$391,MATCH($C38,'在庫使用計画 (一般)'!$C$1:$C$391,0),MATCH(AR$1,'在庫使用計画 (一般)'!$A$1:$BF$1,0))*1,0),
_xlpm._法人検索,IFERROR(INDEX('在庫使用計画 (法人)'!$A$1:$BF$391,MATCH($C38,'在庫使用計画 (法人)'!$C$1:$C$391,0),MATCH(AR$1,'在庫使用計画 (法人)'!$A$1:$BF$1,0))*1,0),
_xlpm._合計,_xlpm._一般検索+_xlpm._法人検索,
IF(_xlpm._合計=0,"",_xlpm._合計)
)</f>
        <v>156</v>
      </c>
      <c r="AS38" s="224">
        <f>_xlfn.LET(
_xlpm._一般検索,IFERROR(INDEX('在庫使用計画 (一般)'!$A$1:$BF$391,MATCH($C38,'在庫使用計画 (一般)'!$C$1:$C$391,0),MATCH(AS$1,'在庫使用計画 (一般)'!$A$1:$BF$1,0))*1,0),
_xlpm._法人検索,IFERROR(INDEX('在庫使用計画 (法人)'!$A$1:$BF$391,MATCH($C38,'在庫使用計画 (法人)'!$C$1:$C$391,0),MATCH(AS$1,'在庫使用計画 (法人)'!$A$1:$BF$1,0))*1,0),
_xlpm._合計,_xlpm._一般検索+_xlpm._法人検索,
IF(_xlpm._合計=0,"",_xlpm._合計)
)</f>
        <v>276</v>
      </c>
      <c r="AT38" s="224">
        <f>_xlfn.LET(
_xlpm._一般検索,IFERROR(INDEX('在庫使用計画 (一般)'!$A$1:$BF$391,MATCH($C38,'在庫使用計画 (一般)'!$C$1:$C$391,0),MATCH(AT$1,'在庫使用計画 (一般)'!$A$1:$BF$1,0))*1,0),
_xlpm._法人検索,IFERROR(INDEX('在庫使用計画 (法人)'!$A$1:$BF$391,MATCH($C38,'在庫使用計画 (法人)'!$C$1:$C$391,0),MATCH(AT$1,'在庫使用計画 (法人)'!$A$1:$BF$1,0))*1,0),
_xlpm._合計,_xlpm._一般検索+_xlpm._法人検索,
IF(_xlpm._合計=0,"",_xlpm._合計)
)</f>
        <v>286</v>
      </c>
      <c r="AU38" s="805">
        <f>_xlfn.LET(
_xlpm._一般検索,IFERROR(INDEX('在庫使用計画 (一般)'!$A$1:$BF$391,MATCH($C38,'在庫使用計画 (一般)'!$C$1:$C$391,0),MATCH(AU$1,'在庫使用計画 (一般)'!$A$1:$BF$1,0))*1,0),
_xlpm._法人検索,IFERROR(INDEX('在庫使用計画 (法人)'!$A$1:$BF$391,MATCH($C38,'在庫使用計画 (法人)'!$C$1:$C$391,0),MATCH(AU$1,'在庫使用計画 (法人)'!$A$1:$BF$1,0))*1,0),
_xlpm._合計,_xlpm._一般検索+_xlpm._法人検索,
IF(_xlpm._合計=0,"",_xlpm._合計)
)</f>
        <v>486</v>
      </c>
      <c r="AV38" s="244">
        <f>_xlfn.LET(
_xlpm._一般検索,IFERROR(INDEX('在庫使用計画 (一般)'!$A$1:$BF$391,MATCH($C38,'在庫使用計画 (一般)'!$C$1:$C$391,0),MATCH(AV$1,'在庫使用計画 (一般)'!$A$1:$BF$1,0))*1,0),
_xlpm._法人検索,IFERROR(INDEX('在庫使用計画 (法人)'!$A$1:$BF$391,MATCH($C38,'在庫使用計画 (法人)'!$C$1:$C$391,0),MATCH(AV$1,'在庫使用計画 (法人)'!$A$1:$BF$1,0))*1,0),
_xlpm._合計,_xlpm._一般検索+_xlpm._法人検索,
IF(_xlpm._合計=0,"",_xlpm._合計)
)</f>
        <v>420.22488382886178</v>
      </c>
      <c r="AW38" s="224">
        <f>_xlfn.LET(
_xlpm._一般検索,IFERROR(INDEX('在庫使用計画 (一般)'!$A$1:$BF$391,MATCH($C38,'在庫使用計画 (一般)'!$C$1:$C$391,0),MATCH(AW$1,'在庫使用計画 (一般)'!$A$1:$BF$1,0))*1,0),
_xlpm._法人検索,IFERROR(INDEX('在庫使用計画 (法人)'!$A$1:$BF$391,MATCH($C38,'在庫使用計画 (法人)'!$C$1:$C$391,0),MATCH(AW$1,'在庫使用計画 (法人)'!$A$1:$BF$1,0))*1,0),
_xlpm._合計,_xlpm._一般検索+_xlpm._法人検索,
IF(_xlpm._合計=0,"",_xlpm._合計)
)</f>
        <v>396.53642656338479</v>
      </c>
      <c r="AX38" s="224">
        <f>_xlfn.LET(
_xlpm._一般検索,IFERROR(INDEX('在庫使用計画 (一般)'!$A$1:$BF$391,MATCH($C38,'在庫使用計画 (一般)'!$C$1:$C$391,0),MATCH(AX$1,'在庫使用計画 (一般)'!$A$1:$BF$1,0))*1,0),
_xlpm._法人検索,IFERROR(INDEX('在庫使用計画 (法人)'!$A$1:$BF$391,MATCH($C38,'在庫使用計画 (法人)'!$C$1:$C$391,0),MATCH(AX$1,'在庫使用計画 (法人)'!$A$1:$BF$1,0))*1,0),
_xlpm._合計,_xlpm._一般検索+_xlpm._法人検索,
IF(_xlpm._合計=0,"",_xlpm._合計)
)</f>
        <v>583.14422561663957</v>
      </c>
      <c r="AY38" s="224">
        <f>_xlfn.LET(
_xlpm._一般検索,IFERROR(INDEX('在庫使用計画 (一般)'!$A$1:$BF$391,MATCH($C38,'在庫使用計画 (一般)'!$C$1:$C$391,0),MATCH(AY$1,'在庫使用計画 (一般)'!$A$1:$BF$1,0))*1,0),
_xlpm._法人検索,IFERROR(INDEX('在庫使用計画 (法人)'!$A$1:$BF$391,MATCH($C38,'在庫使用計画 (法人)'!$C$1:$C$391,0),MATCH(AY$1,'在庫使用計画 (法人)'!$A$1:$BF$1,0))*1,0),
_xlpm._合計,_xlpm._一般検索+_xlpm._法人検索,
IF(_xlpm._合計=0,"",_xlpm._合計)
)</f>
        <v>6</v>
      </c>
      <c r="AZ38" s="224">
        <f>_xlfn.LET(
_xlpm._一般検索,IFERROR(INDEX('在庫使用計画 (一般)'!$A$1:$BF$391,MATCH($C38,'在庫使用計画 (一般)'!$C$1:$C$391,0),MATCH(AZ$1,'在庫使用計画 (一般)'!$A$1:$BF$1,0))*1,0),
_xlpm._法人検索,IFERROR(INDEX('在庫使用計画 (法人)'!$A$1:$BF$391,MATCH($C38,'在庫使用計画 (法人)'!$C$1:$C$391,0),MATCH(AZ$1,'在庫使用計画 (法人)'!$A$1:$BF$1,0))*1,0),
_xlpm._合計,_xlpm._一般検索+_xlpm._法人検索,
IF(_xlpm._合計=0,"",_xlpm._合計)
)</f>
        <v>6</v>
      </c>
      <c r="BA38" s="224" t="str">
        <f>_xlfn.LET(
_xlpm._一般検索,IFERROR(INDEX('在庫使用計画 (一般)'!$A$1:$BF$391,MATCH($C38,'在庫使用計画 (一般)'!$C$1:$C$391,0),MATCH(BA$1,'在庫使用計画 (一般)'!$A$1:$BF$1,0))*1,0),
_xlpm._法人検索,IFERROR(INDEX('在庫使用計画 (法人)'!$A$1:$BF$391,MATCH($C38,'在庫使用計画 (法人)'!$C$1:$C$391,0),MATCH(BA$1,'在庫使用計画 (法人)'!$A$1:$BF$1,0))*1,0),
_xlpm._合計,_xlpm._一般検索+_xlpm._法人検索,
IF(_xlpm._合計=0,"",_xlpm._合計)
)</f>
        <v/>
      </c>
      <c r="BB38" s="224" t="str">
        <f>_xlfn.LET(
_xlpm._一般検索,IFERROR(INDEX('在庫使用計画 (一般)'!$A$1:$BF$391,MATCH($C38,'在庫使用計画 (一般)'!$C$1:$C$391,0),MATCH(BB$1,'在庫使用計画 (一般)'!$A$1:$BF$1,0))*1,0),
_xlpm._法人検索,IFERROR(INDEX('在庫使用計画 (法人)'!$A$1:$BF$391,MATCH($C38,'在庫使用計画 (法人)'!$C$1:$C$391,0),MATCH(BB$1,'在庫使用計画 (法人)'!$A$1:$BF$1,0))*1,0),
_xlpm._合計,_xlpm._一般検索+_xlpm._法人検索,
IF(_xlpm._合計=0,"",_xlpm._合計)
)</f>
        <v/>
      </c>
      <c r="BC38" s="224" t="str">
        <f>_xlfn.LET(
_xlpm._一般検索,IFERROR(INDEX('在庫使用計画 (一般)'!$A$1:$BF$391,MATCH($C38,'在庫使用計画 (一般)'!$C$1:$C$391,0),MATCH(BC$1,'在庫使用計画 (一般)'!$A$1:$BF$1,0))*1,0),
_xlpm._法人検索,IFERROR(INDEX('在庫使用計画 (法人)'!$A$1:$BF$391,MATCH($C38,'在庫使用計画 (法人)'!$C$1:$C$391,0),MATCH(BC$1,'在庫使用計画 (法人)'!$A$1:$BF$1,0))*1,0),
_xlpm._合計,_xlpm._一般検索+_xlpm._法人検索,
IF(_xlpm._合計=0,"",_xlpm._合計)
)</f>
        <v/>
      </c>
      <c r="BD38" s="224" t="str">
        <f>_xlfn.LET(
_xlpm._一般検索,IFERROR(INDEX('在庫使用計画 (一般)'!$A$1:$BF$391,MATCH($C38,'在庫使用計画 (一般)'!$C$1:$C$391,0),MATCH(BD$1,'在庫使用計画 (一般)'!$A$1:$BF$1,0))*1,0),
_xlpm._法人検索,IFERROR(INDEX('在庫使用計画 (法人)'!$A$1:$BF$391,MATCH($C38,'在庫使用計画 (法人)'!$C$1:$C$391,0),MATCH(BD$1,'在庫使用計画 (法人)'!$A$1:$BF$1,0))*1,0),
_xlpm._合計,_xlpm._一般検索+_xlpm._法人検索,
IF(_xlpm._合計=0,"",_xlpm._合計)
)</f>
        <v/>
      </c>
      <c r="BE38" s="224" t="str">
        <f>_xlfn.LET(
_xlpm._一般検索,IFERROR(INDEX('在庫使用計画 (一般)'!$A$1:$BF$391,MATCH($C38,'在庫使用計画 (一般)'!$C$1:$C$391,0),MATCH(BE$1,'在庫使用計画 (一般)'!$A$1:$BF$1,0))*1,0),
_xlpm._法人検索,IFERROR(INDEX('在庫使用計画 (法人)'!$A$1:$BF$391,MATCH($C38,'在庫使用計画 (法人)'!$C$1:$C$391,0),MATCH(BE$1,'在庫使用計画 (法人)'!$A$1:$BF$1,0))*1,0),
_xlpm._合計,_xlpm._一般検索+_xlpm._法人検索,
IF(_xlpm._合計=0,"",_xlpm._合計)
)</f>
        <v/>
      </c>
      <c r="BF38" s="224" t="str">
        <f>_xlfn.LET(
_xlpm._一般検索,IFERROR(INDEX('在庫使用計画 (一般)'!$A$1:$BF$391,MATCH($C38,'在庫使用計画 (一般)'!$C$1:$C$391,0),MATCH(BF$1,'在庫使用計画 (一般)'!$A$1:$BF$1,0))*1,0),
_xlpm._法人検索,IFERROR(INDEX('在庫使用計画 (法人)'!$A$1:$BF$391,MATCH($C38,'在庫使用計画 (法人)'!$C$1:$C$391,0),MATCH(BF$1,'在庫使用計画 (法人)'!$A$1:$BF$1,0))*1,0),
_xlpm._合計,_xlpm._一般検索+_xlpm._法人検索,
IF(_xlpm._合計=0,"",_xlpm._合計)
)</f>
        <v/>
      </c>
      <c r="BG38" s="237" t="str">
        <f>_xlfn.LET(
_xlpm._一般検索,IFERROR(INDEX('在庫使用計画 (一般)'!$A$1:$BF$391,MATCH($C38,'在庫使用計画 (一般)'!$C$1:$C$391,0),MATCH(BG$1,'在庫使用計画 (一般)'!$A$1:$BF$1,0))*1,0),
_xlpm._法人検索,IFERROR(INDEX('在庫使用計画 (法人)'!$A$1:$BF$391,MATCH($C38,'在庫使用計画 (法人)'!$C$1:$C$391,0),MATCH(BG$1,'在庫使用計画 (法人)'!$A$1:$BF$1,0))*1,0),
_xlpm._合計,_xlpm._一般検索+_xlpm._法人検索,
IF(_xlpm._合計=0,"",_xlpm._合計)
)</f>
        <v/>
      </c>
      <c r="BH38" s="804" t="str">
        <f>_xlfn.LET(
_xlpm._一般検索,IFERROR(INDEX('在庫使用計画 (一般)'!$A$1:$BF$391,MATCH($C38,'在庫使用計画 (一般)'!$C$1:$C$391,0),MATCH(BH$1,'在庫使用計画 (一般)'!$A$1:$BF$1,0))*1,0),
_xlpm._法人検索,IFERROR(INDEX('在庫使用計画 (法人)'!$A$1:$BF$391,MATCH($C38,'在庫使用計画 (法人)'!$C$1:$C$391,0),MATCH(BH$1,'在庫使用計画 (法人)'!$A$1:$BF$1,0))*1,0),
_xlpm._合計,_xlpm._一般検索+_xlpm._法人検索,
IF(_xlpm._合計=0,"",_xlpm._合計)
)</f>
        <v/>
      </c>
      <c r="BI38" s="224" t="str">
        <f>_xlfn.LET(
_xlpm._一般検索,IFERROR(INDEX('在庫使用計画 (一般)'!$A$1:$BF$391,MATCH($C38,'在庫使用計画 (一般)'!$C$1:$C$391,0),MATCH(BI$1,'在庫使用計画 (一般)'!$A$1:$BF$1,0))*1,0),
_xlpm._法人検索,IFERROR(INDEX('在庫使用計画 (法人)'!$A$1:$BF$391,MATCH($C38,'在庫使用計画 (法人)'!$C$1:$C$391,0),MATCH(BI$1,'在庫使用計画 (法人)'!$A$1:$BF$1,0))*1,0),
_xlpm._合計,_xlpm._一般検索+_xlpm._法人検索,
IF(_xlpm._合計=0,"",_xlpm._合計)
)</f>
        <v/>
      </c>
      <c r="BJ38" s="224" t="str">
        <f>_xlfn.LET(
_xlpm._一般検索,IFERROR(INDEX('在庫使用計画 (一般)'!$A$1:$BF$391,MATCH($C38,'在庫使用計画 (一般)'!$C$1:$C$391,0),MATCH(BJ$1,'在庫使用計画 (一般)'!$A$1:$BF$1,0))*1,0),
_xlpm._法人検索,IFERROR(INDEX('在庫使用計画 (法人)'!$A$1:$BF$391,MATCH($C38,'在庫使用計画 (法人)'!$C$1:$C$391,0),MATCH(BJ$1,'在庫使用計画 (法人)'!$A$1:$BF$1,0))*1,0),
_xlpm._合計,_xlpm._一般検索+_xlpm._法人検索,
IF(_xlpm._合計=0,"",_xlpm._合計)
)</f>
        <v/>
      </c>
      <c r="BK38" s="224" t="str">
        <f>_xlfn.LET(
_xlpm._一般検索,IFERROR(INDEX('在庫使用計画 (一般)'!$A$1:$BF$391,MATCH($C38,'在庫使用計画 (一般)'!$C$1:$C$391,0),MATCH(BK$1,'在庫使用計画 (一般)'!$A$1:$BF$1,0))*1,0),
_xlpm._法人検索,IFERROR(INDEX('在庫使用計画 (法人)'!$A$1:$BF$391,MATCH($C38,'在庫使用計画 (法人)'!$C$1:$C$391,0),MATCH(BK$1,'在庫使用計画 (法人)'!$A$1:$BF$1,0))*1,0),
_xlpm._合計,_xlpm._一般検索+_xlpm._法人検索,
IF(_xlpm._合計=0,"",_xlpm._合計)
)</f>
        <v/>
      </c>
      <c r="BL38" s="224" t="str">
        <f>_xlfn.LET(
_xlpm._一般検索,IFERROR(INDEX('在庫使用計画 (一般)'!$A$1:$BF$391,MATCH($C38,'在庫使用計画 (一般)'!$C$1:$C$391,0),MATCH(BL$1,'在庫使用計画 (一般)'!$A$1:$BF$1,0))*1,0),
_xlpm._法人検索,IFERROR(INDEX('在庫使用計画 (法人)'!$A$1:$BF$391,MATCH($C38,'在庫使用計画 (法人)'!$C$1:$C$391,0),MATCH(BL$1,'在庫使用計画 (法人)'!$A$1:$BF$1,0))*1,0),
_xlpm._合計,_xlpm._一般検索+_xlpm._法人検索,
IF(_xlpm._合計=0,"",_xlpm._合計)
)</f>
        <v/>
      </c>
      <c r="BM38" s="224" t="str">
        <f>_xlfn.LET(
_xlpm._一般検索,IFERROR(INDEX('在庫使用計画 (一般)'!$A$1:$BF$391,MATCH($C38,'在庫使用計画 (一般)'!$C$1:$C$391,0),MATCH(BM$1,'在庫使用計画 (一般)'!$A$1:$BF$1,0))*1,0),
_xlpm._法人検索,IFERROR(INDEX('在庫使用計画 (法人)'!$A$1:$BF$391,MATCH($C38,'在庫使用計画 (法人)'!$C$1:$C$391,0),MATCH(BM$1,'在庫使用計画 (法人)'!$A$1:$BF$1,0))*1,0),
_xlpm._合計,_xlpm._一般検索+_xlpm._法人検索,
IF(_xlpm._合計=0,"",_xlpm._合計)
)</f>
        <v/>
      </c>
      <c r="BN38" s="224" t="str">
        <f>_xlfn.LET(
_xlpm._一般検索,IFERROR(INDEX('在庫使用計画 (一般)'!$A$1:$BF$391,MATCH($C38,'在庫使用計画 (一般)'!$C$1:$C$391,0),MATCH(BN$1,'在庫使用計画 (一般)'!$A$1:$BF$1,0))*1,0),
_xlpm._法人検索,IFERROR(INDEX('在庫使用計画 (法人)'!$A$1:$BF$391,MATCH($C38,'在庫使用計画 (法人)'!$C$1:$C$391,0),MATCH(BN$1,'在庫使用計画 (法人)'!$A$1:$BF$1,0))*1,0),
_xlpm._合計,_xlpm._一般検索+_xlpm._法人検索,
IF(_xlpm._合計=0,"",_xlpm._合計)
)</f>
        <v/>
      </c>
      <c r="BO38" s="224" t="str">
        <f>_xlfn.LET(
_xlpm._一般検索,IFERROR(INDEX('在庫使用計画 (一般)'!$A$1:$BF$391,MATCH($C38,'在庫使用計画 (一般)'!$C$1:$C$391,0),MATCH(BO$1,'在庫使用計画 (一般)'!$A$1:$BF$1,0))*1,0),
_xlpm._法人検索,IFERROR(INDEX('在庫使用計画 (法人)'!$A$1:$BF$391,MATCH($C38,'在庫使用計画 (法人)'!$C$1:$C$391,0),MATCH(BO$1,'在庫使用計画 (法人)'!$A$1:$BF$1,0))*1,0),
_xlpm._合計,_xlpm._一般検索+_xlpm._法人検索,
IF(_xlpm._合計=0,"",_xlpm._合計)
)</f>
        <v/>
      </c>
      <c r="BP38" s="224" t="str">
        <f>_xlfn.LET(
_xlpm._一般検索,IFERROR(INDEX('在庫使用計画 (一般)'!$A$1:$BF$391,MATCH($C38,'在庫使用計画 (一般)'!$C$1:$C$391,0),MATCH(BP$1,'在庫使用計画 (一般)'!$A$1:$BF$1,0))*1,0),
_xlpm._法人検索,IFERROR(INDEX('在庫使用計画 (法人)'!$A$1:$BF$391,MATCH($C38,'在庫使用計画 (法人)'!$C$1:$C$391,0),MATCH(BP$1,'在庫使用計画 (法人)'!$A$1:$BF$1,0))*1,0),
_xlpm._合計,_xlpm._一般検索+_xlpm._法人検索,
IF(_xlpm._合計=0,"",_xlpm._合計)
)</f>
        <v/>
      </c>
      <c r="BQ38" s="224" t="str">
        <f>_xlfn.LET(
_xlpm._一般検索,IFERROR(INDEX('在庫使用計画 (一般)'!$A$1:$BF$391,MATCH($C38,'在庫使用計画 (一般)'!$C$1:$C$391,0),MATCH(BQ$1,'在庫使用計画 (一般)'!$A$1:$BF$1,0))*1,0),
_xlpm._法人検索,IFERROR(INDEX('在庫使用計画 (法人)'!$A$1:$BF$391,MATCH($C38,'在庫使用計画 (法人)'!$C$1:$C$391,0),MATCH(BQ$1,'在庫使用計画 (法人)'!$A$1:$BF$1,0))*1,0),
_xlpm._合計,_xlpm._一般検索+_xlpm._法人検索,
IF(_xlpm._合計=0,"",_xlpm._合計)
)</f>
        <v/>
      </c>
      <c r="BR38" s="224" t="str">
        <f>_xlfn.LET(
_xlpm._一般検索,IFERROR(INDEX('在庫使用計画 (一般)'!$A$1:$BF$391,MATCH($C38,'在庫使用計画 (一般)'!$C$1:$C$391,0),MATCH(BR$1,'在庫使用計画 (一般)'!$A$1:$BF$1,0))*1,0),
_xlpm._法人検索,IFERROR(INDEX('在庫使用計画 (法人)'!$A$1:$BF$391,MATCH($C38,'在庫使用計画 (法人)'!$C$1:$C$391,0),MATCH(BR$1,'在庫使用計画 (法人)'!$A$1:$BF$1,0))*1,0),
_xlpm._合計,_xlpm._一般検索+_xlpm._法人検索,
IF(_xlpm._合計=0,"",_xlpm._合計)
)</f>
        <v/>
      </c>
      <c r="BS38" s="805" t="str">
        <f>_xlfn.LET(
_xlpm._一般検索,IFERROR(INDEX('在庫使用計画 (一般)'!$A$1:$BF$391,MATCH($C38,'在庫使用計画 (一般)'!$C$1:$C$391,0),MATCH(BS$1,'在庫使用計画 (一般)'!$A$1:$BF$1,0))*1,0),
_xlpm._法人検索,IFERROR(INDEX('在庫使用計画 (法人)'!$A$1:$BF$391,MATCH($C38,'在庫使用計画 (法人)'!$C$1:$C$391,0),MATCH(BS$1,'在庫使用計画 (法人)'!$A$1:$BF$1,0))*1,0),
_xlpm._合計,_xlpm._一般検索+_xlpm._法人検索,
IF(_xlpm._合計=0,"",_xlpm._合計)
)</f>
        <v/>
      </c>
      <c r="BT38" s="21"/>
    </row>
    <row r="39" spans="1:72" customFormat="1" ht="18.75" customHeight="1" thickBot="1">
      <c r="A39" s="1061" t="s">
        <v>1642</v>
      </c>
      <c r="B39" s="87" t="str">
        <v>CLE-V35-14650HX-5050-L6 Creator</v>
      </c>
      <c r="C39" s="1135" t="s">
        <v>449</v>
      </c>
      <c r="D39" s="2156">
        <v>1540</v>
      </c>
      <c r="E39" s="68" t="s">
        <v>1387</v>
      </c>
      <c r="F39" s="68"/>
      <c r="G39" s="74">
        <v>42</v>
      </c>
      <c r="H39" s="38">
        <v>42</v>
      </c>
      <c r="I39" s="38" cm="1">
        <f t="array" ref="I39">IF($C39="","",
_xlfn.LET(
  _xlpm._見出し,$A$1:$BT$1,
  _xlpm._行,$A39:$BT39,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78.120554374283486</v>
      </c>
      <c r="J39" s="74" cm="1">
        <f t="array" ref="J39">_xlfn.LET(
  _xlpm._見出し,$A$1:$BS$1,
  _xlpm._行,$A39:$BS39,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IF($C39="","",_xlpm._四点五月計画合計)
)</f>
        <v>39.060277187141743</v>
      </c>
      <c r="K39" s="1458" cm="1">
        <f t="array" ref="K39">_xlfn.IFS(
  $C39="","",
  $G39="","発売前？",
  $G39=0,"在庫なし",
  TRUE,
  IFERROR(
    _xlfn.LET(
      _xlpm._在庫注残,     $G39,
      _xlpm._しきい値,     _xlpm._在庫注残 * 0.75,
      _xlpm._見出し元,     $L$1:$BU$1,
      _xlpm._計画,         $L39:$BU39,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46204</v>
      </c>
      <c r="L39" s="38"/>
      <c r="M39" s="38"/>
      <c r="N39" s="38"/>
      <c r="O39" s="38"/>
      <c r="P39" s="38"/>
      <c r="Q39" s="38"/>
      <c r="R39" s="38"/>
      <c r="S39" s="38"/>
      <c r="T39" s="219"/>
      <c r="U39" s="219"/>
      <c r="V39" s="219"/>
      <c r="W39" s="219"/>
      <c r="X39" s="224" t="s">
        <v>21</v>
      </c>
      <c r="Y39" s="224" t="s">
        <v>21</v>
      </c>
      <c r="Z39" s="224" t="s">
        <v>21</v>
      </c>
      <c r="AA39" s="224" t="s">
        <v>21</v>
      </c>
      <c r="AB39" s="224" t="s">
        <v>21</v>
      </c>
      <c r="AC39" s="471">
        <v>5</v>
      </c>
      <c r="AD39" s="237">
        <v>213</v>
      </c>
      <c r="AE39" s="237">
        <v>113</v>
      </c>
      <c r="AF39" s="237">
        <v>148</v>
      </c>
      <c r="AG39" s="237">
        <v>189</v>
      </c>
      <c r="AH39" s="224">
        <v>155</v>
      </c>
      <c r="AI39" s="237">
        <v>121.38888888888889</v>
      </c>
      <c r="AJ39" s="804">
        <v>105</v>
      </c>
      <c r="AK39" s="224">
        <v>108.30842266462481</v>
      </c>
      <c r="AL39" s="224">
        <v>142.21117917304747</v>
      </c>
      <c r="AM39" s="224">
        <v>104.75160796324657</v>
      </c>
      <c r="AN39" s="224">
        <f>_xlfn.LET(
_xlpm._一般検索,IFERROR(INDEX('在庫使用計画 (一般)'!$A$1:$BF$391,MATCH($C39,'在庫使用計画 (一般)'!$C$1:$C$391,0),MATCH(AN$1,'在庫使用計画 (一般)'!$A$1:$BF$1,0))*1,0),
_xlpm._法人検索,IFERROR(INDEX('在庫使用計画 (法人)'!$A$1:$BF$391,MATCH($C39,'在庫使用計画 (法人)'!$C$1:$C$391,0),MATCH(AN$1,'在庫使用計画 (法人)'!$A$1:$BF$1,0))*1,0),
_xlpm._合計,_xlpm._一般検索+_xlpm._法人検索,
IF(_xlpm._合計=0,"",_xlpm._合計)
)</f>
        <v>59.531393568147024</v>
      </c>
      <c r="AO39" s="224">
        <f>_xlfn.LET(
_xlpm._一般検索,IFERROR(INDEX('在庫使用計画 (一般)'!$A$1:$BF$391,MATCH($C39,'在庫使用計画 (一般)'!$C$1:$C$391,0),MATCH(AO$1,'在庫使用計画 (一般)'!$A$1:$BF$1,0))*1,0),
_xlpm._法人検索,IFERROR(INDEX('在庫使用計画 (法人)'!$A$1:$BF$391,MATCH($C39,'在庫使用計画 (法人)'!$C$1:$C$391,0),MATCH(AO$1,'在庫使用計画 (法人)'!$A$1:$BF$1,0))*1,0),
_xlpm._合計,_xlpm._一般検索+_xlpm._法人検索,
IF(_xlpm._合計=0,"",_xlpm._合計)
)</f>
        <v>72.073966525012679</v>
      </c>
      <c r="AP39" s="224">
        <f>_xlfn.LET(
_xlpm._一般検索,IFERROR(INDEX('在庫使用計画 (一般)'!$A$1:$BF$391,MATCH($C39,'在庫使用計画 (一般)'!$C$1:$C$391,0),MATCH(AP$1,'在庫使用計画 (一般)'!$A$1:$BF$1,0))*1,0),
_xlpm._法人検索,IFERROR(INDEX('在庫使用計画 (法人)'!$A$1:$BF$391,MATCH($C39,'在庫使用計画 (法人)'!$C$1:$C$391,0),MATCH(AP$1,'在庫使用計画 (法人)'!$A$1:$BF$1,0))*1,0),
_xlpm._合計,_xlpm._一般検索+_xlpm._法人検索,
IF(_xlpm._合計=0,"",_xlpm._合計)
)</f>
        <v>78.120554374283486</v>
      </c>
      <c r="AQ39" s="224" t="str">
        <f>_xlfn.LET(
_xlpm._一般検索,IFERROR(INDEX('在庫使用計画 (一般)'!$A$1:$BF$391,MATCH($C39,'在庫使用計画 (一般)'!$C$1:$C$391,0),MATCH(AQ$1,'在庫使用計画 (一般)'!$A$1:$BF$1,0))*1,0),
_xlpm._法人検索,IFERROR(INDEX('在庫使用計画 (法人)'!$A$1:$BF$391,MATCH($C39,'在庫使用計画 (法人)'!$C$1:$C$391,0),MATCH(AQ$1,'在庫使用計画 (法人)'!$A$1:$BF$1,0))*1,0),
_xlpm._合計,_xlpm._一般検索+_xlpm._法人検索,
IF(_xlpm._合計=0,"",_xlpm._合計)
)</f>
        <v/>
      </c>
      <c r="AR39" s="224" t="str">
        <f>_xlfn.LET(
_xlpm._一般検索,IFERROR(INDEX('在庫使用計画 (一般)'!$A$1:$BF$391,MATCH($C39,'在庫使用計画 (一般)'!$C$1:$C$391,0),MATCH(AR$1,'在庫使用計画 (一般)'!$A$1:$BF$1,0))*1,0),
_xlpm._法人検索,IFERROR(INDEX('在庫使用計画 (法人)'!$A$1:$BF$391,MATCH($C39,'在庫使用計画 (法人)'!$C$1:$C$391,0),MATCH(AR$1,'在庫使用計画 (法人)'!$A$1:$BF$1,0))*1,0),
_xlpm._合計,_xlpm._一般検索+_xlpm._法人検索,
IF(_xlpm._合計=0,"",_xlpm._合計)
)</f>
        <v/>
      </c>
      <c r="AS39" s="224" t="str">
        <f>_xlfn.LET(
_xlpm._一般検索,IFERROR(INDEX('在庫使用計画 (一般)'!$A$1:$BF$391,MATCH($C39,'在庫使用計画 (一般)'!$C$1:$C$391,0),MATCH(AS$1,'在庫使用計画 (一般)'!$A$1:$BF$1,0))*1,0),
_xlpm._法人検索,IFERROR(INDEX('在庫使用計画 (法人)'!$A$1:$BF$391,MATCH($C39,'在庫使用計画 (法人)'!$C$1:$C$391,0),MATCH(AS$1,'在庫使用計画 (法人)'!$A$1:$BF$1,0))*1,0),
_xlpm._合計,_xlpm._一般検索+_xlpm._法人検索,
IF(_xlpm._合計=0,"",_xlpm._合計)
)</f>
        <v/>
      </c>
      <c r="AT39" s="224" t="str">
        <f>_xlfn.LET(
_xlpm._一般検索,IFERROR(INDEX('在庫使用計画 (一般)'!$A$1:$BF$391,MATCH($C39,'在庫使用計画 (一般)'!$C$1:$C$391,0),MATCH(AT$1,'在庫使用計画 (一般)'!$A$1:$BF$1,0))*1,0),
_xlpm._法人検索,IFERROR(INDEX('在庫使用計画 (法人)'!$A$1:$BF$391,MATCH($C39,'在庫使用計画 (法人)'!$C$1:$C$391,0),MATCH(AT$1,'在庫使用計画 (法人)'!$A$1:$BF$1,0))*1,0),
_xlpm._合計,_xlpm._一般検索+_xlpm._法人検索,
IF(_xlpm._合計=0,"",_xlpm._合計)
)</f>
        <v/>
      </c>
      <c r="AU39" s="805" t="str">
        <f>_xlfn.LET(
_xlpm._一般検索,IFERROR(INDEX('在庫使用計画 (一般)'!$A$1:$BF$391,MATCH($C39,'在庫使用計画 (一般)'!$C$1:$C$391,0),MATCH(AU$1,'在庫使用計画 (一般)'!$A$1:$BF$1,0))*1,0),
_xlpm._法人検索,IFERROR(INDEX('在庫使用計画 (法人)'!$A$1:$BF$391,MATCH($C39,'在庫使用計画 (法人)'!$C$1:$C$391,0),MATCH(AU$1,'在庫使用計画 (法人)'!$A$1:$BF$1,0))*1,0),
_xlpm._合計,_xlpm._一般検索+_xlpm._法人検索,
IF(_xlpm._合計=0,"",_xlpm._合計)
)</f>
        <v/>
      </c>
      <c r="AV39" s="244" t="str">
        <f>_xlfn.LET(
_xlpm._一般検索,IFERROR(INDEX('在庫使用計画 (一般)'!$A$1:$BF$391,MATCH($C39,'在庫使用計画 (一般)'!$C$1:$C$391,0),MATCH(AV$1,'在庫使用計画 (一般)'!$A$1:$BF$1,0))*1,0),
_xlpm._法人検索,IFERROR(INDEX('在庫使用計画 (法人)'!$A$1:$BF$391,MATCH($C39,'在庫使用計画 (法人)'!$C$1:$C$391,0),MATCH(AV$1,'在庫使用計画 (法人)'!$A$1:$BF$1,0))*1,0),
_xlpm._合計,_xlpm._一般検索+_xlpm._法人検索,
IF(_xlpm._合計=0,"",_xlpm._合計)
)</f>
        <v/>
      </c>
      <c r="AW39" s="224" t="str">
        <f>_xlfn.LET(
_xlpm._一般検索,IFERROR(INDEX('在庫使用計画 (一般)'!$A$1:$BF$391,MATCH($C39,'在庫使用計画 (一般)'!$C$1:$C$391,0),MATCH(AW$1,'在庫使用計画 (一般)'!$A$1:$BF$1,0))*1,0),
_xlpm._法人検索,IFERROR(INDEX('在庫使用計画 (法人)'!$A$1:$BF$391,MATCH($C39,'在庫使用計画 (法人)'!$C$1:$C$391,0),MATCH(AW$1,'在庫使用計画 (法人)'!$A$1:$BF$1,0))*1,0),
_xlpm._合計,_xlpm._一般検索+_xlpm._法人検索,
IF(_xlpm._合計=0,"",_xlpm._合計)
)</f>
        <v/>
      </c>
      <c r="AX39" s="224" t="str">
        <f>_xlfn.LET(
_xlpm._一般検索,IFERROR(INDEX('在庫使用計画 (一般)'!$A$1:$BF$391,MATCH($C39,'在庫使用計画 (一般)'!$C$1:$C$391,0),MATCH(AX$1,'在庫使用計画 (一般)'!$A$1:$BF$1,0))*1,0),
_xlpm._法人検索,IFERROR(INDEX('在庫使用計画 (法人)'!$A$1:$BF$391,MATCH($C39,'在庫使用計画 (法人)'!$C$1:$C$391,0),MATCH(AX$1,'在庫使用計画 (法人)'!$A$1:$BF$1,0))*1,0),
_xlpm._合計,_xlpm._一般検索+_xlpm._法人検索,
IF(_xlpm._合計=0,"",_xlpm._合計)
)</f>
        <v/>
      </c>
      <c r="AY39" s="224" t="str">
        <f>_xlfn.LET(
_xlpm._一般検索,IFERROR(INDEX('在庫使用計画 (一般)'!$A$1:$BF$391,MATCH($C39,'在庫使用計画 (一般)'!$C$1:$C$391,0),MATCH(AY$1,'在庫使用計画 (一般)'!$A$1:$BF$1,0))*1,0),
_xlpm._法人検索,IFERROR(INDEX('在庫使用計画 (法人)'!$A$1:$BF$391,MATCH($C39,'在庫使用計画 (法人)'!$C$1:$C$391,0),MATCH(AY$1,'在庫使用計画 (法人)'!$A$1:$BF$1,0))*1,0),
_xlpm._合計,_xlpm._一般検索+_xlpm._法人検索,
IF(_xlpm._合計=0,"",_xlpm._合計)
)</f>
        <v/>
      </c>
      <c r="AZ39" s="224" t="str">
        <f>_xlfn.LET(
_xlpm._一般検索,IFERROR(INDEX('在庫使用計画 (一般)'!$A$1:$BF$391,MATCH($C39,'在庫使用計画 (一般)'!$C$1:$C$391,0),MATCH(AZ$1,'在庫使用計画 (一般)'!$A$1:$BF$1,0))*1,0),
_xlpm._法人検索,IFERROR(INDEX('在庫使用計画 (法人)'!$A$1:$BF$391,MATCH($C39,'在庫使用計画 (法人)'!$C$1:$C$391,0),MATCH(AZ$1,'在庫使用計画 (法人)'!$A$1:$BF$1,0))*1,0),
_xlpm._合計,_xlpm._一般検索+_xlpm._法人検索,
IF(_xlpm._合計=0,"",_xlpm._合計)
)</f>
        <v/>
      </c>
      <c r="BA39" s="224" t="str">
        <f>_xlfn.LET(
_xlpm._一般検索,IFERROR(INDEX('在庫使用計画 (一般)'!$A$1:$BF$391,MATCH($C39,'在庫使用計画 (一般)'!$C$1:$C$391,0),MATCH(BA$1,'在庫使用計画 (一般)'!$A$1:$BF$1,0))*1,0),
_xlpm._法人検索,IFERROR(INDEX('在庫使用計画 (法人)'!$A$1:$BF$391,MATCH($C39,'在庫使用計画 (法人)'!$C$1:$C$391,0),MATCH(BA$1,'在庫使用計画 (法人)'!$A$1:$BF$1,0))*1,0),
_xlpm._合計,_xlpm._一般検索+_xlpm._法人検索,
IF(_xlpm._合計=0,"",_xlpm._合計)
)</f>
        <v/>
      </c>
      <c r="BB39" s="224" t="str">
        <f>_xlfn.LET(
_xlpm._一般検索,IFERROR(INDEX('在庫使用計画 (一般)'!$A$1:$BF$391,MATCH($C39,'在庫使用計画 (一般)'!$C$1:$C$391,0),MATCH(BB$1,'在庫使用計画 (一般)'!$A$1:$BF$1,0))*1,0),
_xlpm._法人検索,IFERROR(INDEX('在庫使用計画 (法人)'!$A$1:$BF$391,MATCH($C39,'在庫使用計画 (法人)'!$C$1:$C$391,0),MATCH(BB$1,'在庫使用計画 (法人)'!$A$1:$BF$1,0))*1,0),
_xlpm._合計,_xlpm._一般検索+_xlpm._法人検索,
IF(_xlpm._合計=0,"",_xlpm._合計)
)</f>
        <v/>
      </c>
      <c r="BC39" s="224" t="str">
        <f>_xlfn.LET(
_xlpm._一般検索,IFERROR(INDEX('在庫使用計画 (一般)'!$A$1:$BF$391,MATCH($C39,'在庫使用計画 (一般)'!$C$1:$C$391,0),MATCH(BC$1,'在庫使用計画 (一般)'!$A$1:$BF$1,0))*1,0),
_xlpm._法人検索,IFERROR(INDEX('在庫使用計画 (法人)'!$A$1:$BF$391,MATCH($C39,'在庫使用計画 (法人)'!$C$1:$C$391,0),MATCH(BC$1,'在庫使用計画 (法人)'!$A$1:$BF$1,0))*1,0),
_xlpm._合計,_xlpm._一般検索+_xlpm._法人検索,
IF(_xlpm._合計=0,"",_xlpm._合計)
)</f>
        <v/>
      </c>
      <c r="BD39" s="224" t="str">
        <f>_xlfn.LET(
_xlpm._一般検索,IFERROR(INDEX('在庫使用計画 (一般)'!$A$1:$BF$391,MATCH($C39,'在庫使用計画 (一般)'!$C$1:$C$391,0),MATCH(BD$1,'在庫使用計画 (一般)'!$A$1:$BF$1,0))*1,0),
_xlpm._法人検索,IFERROR(INDEX('在庫使用計画 (法人)'!$A$1:$BF$391,MATCH($C39,'在庫使用計画 (法人)'!$C$1:$C$391,0),MATCH(BD$1,'在庫使用計画 (法人)'!$A$1:$BF$1,0))*1,0),
_xlpm._合計,_xlpm._一般検索+_xlpm._法人検索,
IF(_xlpm._合計=0,"",_xlpm._合計)
)</f>
        <v/>
      </c>
      <c r="BE39" s="224" t="str">
        <f>_xlfn.LET(
_xlpm._一般検索,IFERROR(INDEX('在庫使用計画 (一般)'!$A$1:$BF$391,MATCH($C39,'在庫使用計画 (一般)'!$C$1:$C$391,0),MATCH(BE$1,'在庫使用計画 (一般)'!$A$1:$BF$1,0))*1,0),
_xlpm._法人検索,IFERROR(INDEX('在庫使用計画 (法人)'!$A$1:$BF$391,MATCH($C39,'在庫使用計画 (法人)'!$C$1:$C$391,0),MATCH(BE$1,'在庫使用計画 (法人)'!$A$1:$BF$1,0))*1,0),
_xlpm._合計,_xlpm._一般検索+_xlpm._法人検索,
IF(_xlpm._合計=0,"",_xlpm._合計)
)</f>
        <v/>
      </c>
      <c r="BF39" s="224" t="str">
        <f>_xlfn.LET(
_xlpm._一般検索,IFERROR(INDEX('在庫使用計画 (一般)'!$A$1:$BF$391,MATCH($C39,'在庫使用計画 (一般)'!$C$1:$C$391,0),MATCH(BF$1,'在庫使用計画 (一般)'!$A$1:$BF$1,0))*1,0),
_xlpm._法人検索,IFERROR(INDEX('在庫使用計画 (法人)'!$A$1:$BF$391,MATCH($C39,'在庫使用計画 (法人)'!$C$1:$C$391,0),MATCH(BF$1,'在庫使用計画 (法人)'!$A$1:$BF$1,0))*1,0),
_xlpm._合計,_xlpm._一般検索+_xlpm._法人検索,
IF(_xlpm._合計=0,"",_xlpm._合計)
)</f>
        <v/>
      </c>
      <c r="BG39" s="237" t="str">
        <f>_xlfn.LET(
_xlpm._一般検索,IFERROR(INDEX('在庫使用計画 (一般)'!$A$1:$BF$391,MATCH($C39,'在庫使用計画 (一般)'!$C$1:$C$391,0),MATCH(BG$1,'在庫使用計画 (一般)'!$A$1:$BF$1,0))*1,0),
_xlpm._法人検索,IFERROR(INDEX('在庫使用計画 (法人)'!$A$1:$BF$391,MATCH($C39,'在庫使用計画 (法人)'!$C$1:$C$391,0),MATCH(BG$1,'在庫使用計画 (法人)'!$A$1:$BF$1,0))*1,0),
_xlpm._合計,_xlpm._一般検索+_xlpm._法人検索,
IF(_xlpm._合計=0,"",_xlpm._合計)
)</f>
        <v/>
      </c>
      <c r="BH39" s="804" t="str">
        <f>_xlfn.LET(
_xlpm._一般検索,IFERROR(INDEX('在庫使用計画 (一般)'!$A$1:$BF$391,MATCH($C39,'在庫使用計画 (一般)'!$C$1:$C$391,0),MATCH(BH$1,'在庫使用計画 (一般)'!$A$1:$BF$1,0))*1,0),
_xlpm._法人検索,IFERROR(INDEX('在庫使用計画 (法人)'!$A$1:$BF$391,MATCH($C39,'在庫使用計画 (法人)'!$C$1:$C$391,0),MATCH(BH$1,'在庫使用計画 (法人)'!$A$1:$BF$1,0))*1,0),
_xlpm._合計,_xlpm._一般検索+_xlpm._法人検索,
IF(_xlpm._合計=0,"",_xlpm._合計)
)</f>
        <v/>
      </c>
      <c r="BI39" s="224" t="str">
        <f>_xlfn.LET(
_xlpm._一般検索,IFERROR(INDEX('在庫使用計画 (一般)'!$A$1:$BF$391,MATCH($C39,'在庫使用計画 (一般)'!$C$1:$C$391,0),MATCH(BI$1,'在庫使用計画 (一般)'!$A$1:$BF$1,0))*1,0),
_xlpm._法人検索,IFERROR(INDEX('在庫使用計画 (法人)'!$A$1:$BF$391,MATCH($C39,'在庫使用計画 (法人)'!$C$1:$C$391,0),MATCH(BI$1,'在庫使用計画 (法人)'!$A$1:$BF$1,0))*1,0),
_xlpm._合計,_xlpm._一般検索+_xlpm._法人検索,
IF(_xlpm._合計=0,"",_xlpm._合計)
)</f>
        <v/>
      </c>
      <c r="BJ39" s="224" t="str">
        <f>_xlfn.LET(
_xlpm._一般検索,IFERROR(INDEX('在庫使用計画 (一般)'!$A$1:$BF$391,MATCH($C39,'在庫使用計画 (一般)'!$C$1:$C$391,0),MATCH(BJ$1,'在庫使用計画 (一般)'!$A$1:$BF$1,0))*1,0),
_xlpm._法人検索,IFERROR(INDEX('在庫使用計画 (法人)'!$A$1:$BF$391,MATCH($C39,'在庫使用計画 (法人)'!$C$1:$C$391,0),MATCH(BJ$1,'在庫使用計画 (法人)'!$A$1:$BF$1,0))*1,0),
_xlpm._合計,_xlpm._一般検索+_xlpm._法人検索,
IF(_xlpm._合計=0,"",_xlpm._合計)
)</f>
        <v/>
      </c>
      <c r="BK39" s="224" t="str">
        <f>_xlfn.LET(
_xlpm._一般検索,IFERROR(INDEX('在庫使用計画 (一般)'!$A$1:$BF$391,MATCH($C39,'在庫使用計画 (一般)'!$C$1:$C$391,0),MATCH(BK$1,'在庫使用計画 (一般)'!$A$1:$BF$1,0))*1,0),
_xlpm._法人検索,IFERROR(INDEX('在庫使用計画 (法人)'!$A$1:$BF$391,MATCH($C39,'在庫使用計画 (法人)'!$C$1:$C$391,0),MATCH(BK$1,'在庫使用計画 (法人)'!$A$1:$BF$1,0))*1,0),
_xlpm._合計,_xlpm._一般検索+_xlpm._法人検索,
IF(_xlpm._合計=0,"",_xlpm._合計)
)</f>
        <v/>
      </c>
      <c r="BL39" s="224" t="str">
        <f>_xlfn.LET(
_xlpm._一般検索,IFERROR(INDEX('在庫使用計画 (一般)'!$A$1:$BF$391,MATCH($C39,'在庫使用計画 (一般)'!$C$1:$C$391,0),MATCH(BL$1,'在庫使用計画 (一般)'!$A$1:$BF$1,0))*1,0),
_xlpm._法人検索,IFERROR(INDEX('在庫使用計画 (法人)'!$A$1:$BF$391,MATCH($C39,'在庫使用計画 (法人)'!$C$1:$C$391,0),MATCH(BL$1,'在庫使用計画 (法人)'!$A$1:$BF$1,0))*1,0),
_xlpm._合計,_xlpm._一般検索+_xlpm._法人検索,
IF(_xlpm._合計=0,"",_xlpm._合計)
)</f>
        <v/>
      </c>
      <c r="BM39" s="224" t="str">
        <f>_xlfn.LET(
_xlpm._一般検索,IFERROR(INDEX('在庫使用計画 (一般)'!$A$1:$BF$391,MATCH($C39,'在庫使用計画 (一般)'!$C$1:$C$391,0),MATCH(BM$1,'在庫使用計画 (一般)'!$A$1:$BF$1,0))*1,0),
_xlpm._法人検索,IFERROR(INDEX('在庫使用計画 (法人)'!$A$1:$BF$391,MATCH($C39,'在庫使用計画 (法人)'!$C$1:$C$391,0),MATCH(BM$1,'在庫使用計画 (法人)'!$A$1:$BF$1,0))*1,0),
_xlpm._合計,_xlpm._一般検索+_xlpm._法人検索,
IF(_xlpm._合計=0,"",_xlpm._合計)
)</f>
        <v/>
      </c>
      <c r="BN39" s="224" t="str">
        <f>_xlfn.LET(
_xlpm._一般検索,IFERROR(INDEX('在庫使用計画 (一般)'!$A$1:$BF$391,MATCH($C39,'在庫使用計画 (一般)'!$C$1:$C$391,0),MATCH(BN$1,'在庫使用計画 (一般)'!$A$1:$BF$1,0))*1,0),
_xlpm._法人検索,IFERROR(INDEX('在庫使用計画 (法人)'!$A$1:$BF$391,MATCH($C39,'在庫使用計画 (法人)'!$C$1:$C$391,0),MATCH(BN$1,'在庫使用計画 (法人)'!$A$1:$BF$1,0))*1,0),
_xlpm._合計,_xlpm._一般検索+_xlpm._法人検索,
IF(_xlpm._合計=0,"",_xlpm._合計)
)</f>
        <v/>
      </c>
      <c r="BO39" s="224" t="str">
        <f>_xlfn.LET(
_xlpm._一般検索,IFERROR(INDEX('在庫使用計画 (一般)'!$A$1:$BF$391,MATCH($C39,'在庫使用計画 (一般)'!$C$1:$C$391,0),MATCH(BO$1,'在庫使用計画 (一般)'!$A$1:$BF$1,0))*1,0),
_xlpm._法人検索,IFERROR(INDEX('在庫使用計画 (法人)'!$A$1:$BF$391,MATCH($C39,'在庫使用計画 (法人)'!$C$1:$C$391,0),MATCH(BO$1,'在庫使用計画 (法人)'!$A$1:$BF$1,0))*1,0),
_xlpm._合計,_xlpm._一般検索+_xlpm._法人検索,
IF(_xlpm._合計=0,"",_xlpm._合計)
)</f>
        <v/>
      </c>
      <c r="BP39" s="224" t="str">
        <f>_xlfn.LET(
_xlpm._一般検索,IFERROR(INDEX('在庫使用計画 (一般)'!$A$1:$BF$391,MATCH($C39,'在庫使用計画 (一般)'!$C$1:$C$391,0),MATCH(BP$1,'在庫使用計画 (一般)'!$A$1:$BF$1,0))*1,0),
_xlpm._法人検索,IFERROR(INDEX('在庫使用計画 (法人)'!$A$1:$BF$391,MATCH($C39,'在庫使用計画 (法人)'!$C$1:$C$391,0),MATCH(BP$1,'在庫使用計画 (法人)'!$A$1:$BF$1,0))*1,0),
_xlpm._合計,_xlpm._一般検索+_xlpm._法人検索,
IF(_xlpm._合計=0,"",_xlpm._合計)
)</f>
        <v/>
      </c>
      <c r="BQ39" s="224" t="str">
        <f>_xlfn.LET(
_xlpm._一般検索,IFERROR(INDEX('在庫使用計画 (一般)'!$A$1:$BF$391,MATCH($C39,'在庫使用計画 (一般)'!$C$1:$C$391,0),MATCH(BQ$1,'在庫使用計画 (一般)'!$A$1:$BF$1,0))*1,0),
_xlpm._法人検索,IFERROR(INDEX('在庫使用計画 (法人)'!$A$1:$BF$391,MATCH($C39,'在庫使用計画 (法人)'!$C$1:$C$391,0),MATCH(BQ$1,'在庫使用計画 (法人)'!$A$1:$BF$1,0))*1,0),
_xlpm._合計,_xlpm._一般検索+_xlpm._法人検索,
IF(_xlpm._合計=0,"",_xlpm._合計)
)</f>
        <v/>
      </c>
      <c r="BR39" s="224" t="str">
        <f>_xlfn.LET(
_xlpm._一般検索,IFERROR(INDEX('在庫使用計画 (一般)'!$A$1:$BF$391,MATCH($C39,'在庫使用計画 (一般)'!$C$1:$C$391,0),MATCH(BR$1,'在庫使用計画 (一般)'!$A$1:$BF$1,0))*1,0),
_xlpm._法人検索,IFERROR(INDEX('在庫使用計画 (法人)'!$A$1:$BF$391,MATCH($C39,'在庫使用計画 (法人)'!$C$1:$C$391,0),MATCH(BR$1,'在庫使用計画 (法人)'!$A$1:$BF$1,0))*1,0),
_xlpm._合計,_xlpm._一般検索+_xlpm._法人検索,
IF(_xlpm._合計=0,"",_xlpm._合計)
)</f>
        <v/>
      </c>
      <c r="BS39" s="805" t="str">
        <f>_xlfn.LET(
_xlpm._一般検索,IFERROR(INDEX('在庫使用計画 (一般)'!$A$1:$BF$391,MATCH($C39,'在庫使用計画 (一般)'!$C$1:$C$391,0),MATCH(BS$1,'在庫使用計画 (一般)'!$A$1:$BF$1,0))*1,0),
_xlpm._法人検索,IFERROR(INDEX('在庫使用計画 (法人)'!$A$1:$BF$391,MATCH($C39,'在庫使用計画 (法人)'!$C$1:$C$391,0),MATCH(BS$1,'在庫使用計画 (法人)'!$A$1:$BF$1,0))*1,0),
_xlpm._合計,_xlpm._一般検索+_xlpm._法人検索,
IF(_xlpm._合計=0,"",_xlpm._合計)
)</f>
        <v/>
      </c>
      <c r="BT39" s="70"/>
    </row>
    <row r="40" spans="1:72" customFormat="1" ht="18.75" customHeight="1" thickBot="1">
      <c r="A40" s="1059" t="s">
        <v>1643</v>
      </c>
      <c r="B40" s="26" t="str">
        <v>QNT-NLT-240H-5050-L6-GC</v>
      </c>
      <c r="C40" s="1435" t="s">
        <v>453</v>
      </c>
      <c r="D40" s="2154">
        <v>730</v>
      </c>
      <c r="E40" s="1258" t="s">
        <v>1813</v>
      </c>
      <c r="F40" s="24" t="s">
        <v>20</v>
      </c>
      <c r="G40" s="74">
        <v>730</v>
      </c>
      <c r="H40" s="38">
        <v>0</v>
      </c>
      <c r="I40" s="38" cm="1">
        <f t="array" ref="I40">IF($C40="","",
_xlfn.LET(
  _xlpm._見出し,$A$1:$BT$1,
  _xlpm._行,$A40:$BT40,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274</v>
      </c>
      <c r="J40" s="74" cm="1">
        <f t="array" ref="J40">_xlfn.LET(
  _xlpm._見出し,$A$1:$BS$1,
  _xlpm._行,$A40:$BS40,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IF($C40="","",_xlpm._四点五月計画合計)
)</f>
        <v>421.50852462875866</v>
      </c>
      <c r="K40" s="1458" cm="1">
        <f t="array" ref="K40">_xlfn.IFS(
  $C40="","",
  $G40="","発売前？",
  $G40=0,"在庫なし",
  TRUE,
  IFERROR(
    _xlfn.LET(
      _xlpm._在庫注残,     $G40,
      _xlpm._しきい値,     _xlpm._在庫注残 * 0.75,
      _xlpm._見出し元,     $L$1:$BU$1,
      _xlpm._計画,         $L40:$BU40,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46357</v>
      </c>
      <c r="L40" s="38"/>
      <c r="M40" s="38"/>
      <c r="N40" s="38"/>
      <c r="O40" s="38"/>
      <c r="P40" s="38"/>
      <c r="Q40" s="38"/>
      <c r="R40" s="38"/>
      <c r="S40" s="38"/>
      <c r="T40" s="219"/>
      <c r="U40" s="219"/>
      <c r="V40" s="219"/>
      <c r="W40" s="219"/>
      <c r="X40" s="224"/>
      <c r="Y40" s="224"/>
      <c r="Z40" s="224"/>
      <c r="AA40" s="237"/>
      <c r="AB40" s="224"/>
      <c r="AC40" s="224"/>
      <c r="AD40" s="237" t="s">
        <v>21</v>
      </c>
      <c r="AE40" s="237" t="s">
        <v>21</v>
      </c>
      <c r="AF40" s="237" t="s">
        <v>21</v>
      </c>
      <c r="AG40" s="237"/>
      <c r="AH40" s="224" t="s">
        <v>21</v>
      </c>
      <c r="AI40" s="237" t="s">
        <v>21</v>
      </c>
      <c r="AJ40" s="804" t="s">
        <v>21</v>
      </c>
      <c r="AK40" s="224" t="s">
        <v>21</v>
      </c>
      <c r="AL40" s="224" t="s">
        <v>21</v>
      </c>
      <c r="AM40" s="224" t="s">
        <v>21</v>
      </c>
      <c r="AN40" s="224" t="str">
        <f>_xlfn.LET(
_xlpm._一般検索,IFERROR(INDEX('在庫使用計画 (一般)'!$A$1:$BF$391,MATCH($C40,'在庫使用計画 (一般)'!$C$1:$C$391,0),MATCH(AN$1,'在庫使用計画 (一般)'!$A$1:$BF$1,0))*1,0),
_xlpm._法人検索,IFERROR(INDEX('在庫使用計画 (法人)'!$A$1:$BF$391,MATCH($C40,'在庫使用計画 (法人)'!$C$1:$C$391,0),MATCH(AN$1,'在庫使用計画 (法人)'!$A$1:$BF$1,0))*1,0),
_xlpm._合計,_xlpm._一般検索+_xlpm._法人検索,
IF(_xlpm._合計=0,"",_xlpm._合計)
)</f>
        <v/>
      </c>
      <c r="AO40" s="224" t="str">
        <f>_xlfn.LET(
_xlpm._一般検索,IFERROR(INDEX('在庫使用計画 (一般)'!$A$1:$BF$391,MATCH($C40,'在庫使用計画 (一般)'!$C$1:$C$391,0),MATCH(AO$1,'在庫使用計画 (一般)'!$A$1:$BF$1,0))*1,0),
_xlpm._法人検索,IFERROR(INDEX('在庫使用計画 (法人)'!$A$1:$BF$391,MATCH($C40,'在庫使用計画 (法人)'!$C$1:$C$391,0),MATCH(AO$1,'在庫使用計画 (法人)'!$A$1:$BF$1,0))*1,0),
_xlpm._合計,_xlpm._一般検索+_xlpm._法人検索,
IF(_xlpm._合計=0,"",_xlpm._合計)
)</f>
        <v/>
      </c>
      <c r="AP40" s="224" t="str">
        <f>_xlfn.LET(
_xlpm._一般検索,IFERROR(INDEX('在庫使用計画 (一般)'!$A$1:$BF$391,MATCH($C40,'在庫使用計画 (一般)'!$C$1:$C$391,0),MATCH(AP$1,'在庫使用計画 (一般)'!$A$1:$BF$1,0))*1,0),
_xlpm._法人検索,IFERROR(INDEX('在庫使用計画 (法人)'!$A$1:$BF$391,MATCH($C40,'在庫使用計画 (法人)'!$C$1:$C$391,0),MATCH(AP$1,'在庫使用計画 (法人)'!$A$1:$BF$1,0))*1,0),
_xlpm._合計,_xlpm._一般検索+_xlpm._法人検索,
IF(_xlpm._合計=0,"",_xlpm._合計)
)</f>
        <v/>
      </c>
      <c r="AQ40" s="224">
        <f>_xlfn.LET(
_xlpm._一般検索,IFERROR(INDEX('在庫使用計画 (一般)'!$A$1:$BF$391,MATCH($C40,'在庫使用計画 (一般)'!$C$1:$C$391,0),MATCH(AQ$1,'在庫使用計画 (一般)'!$A$1:$BF$1,0))*1,0),
_xlpm._法人検索,IFERROR(INDEX('在庫使用計画 (法人)'!$A$1:$BF$391,MATCH($C40,'在庫使用計画 (法人)'!$C$1:$C$391,0),MATCH(AQ$1,'在庫使用計画 (法人)'!$A$1:$BF$1,0))*1,0),
_xlpm._合計,_xlpm._一般検索+_xlpm._法人検索,
IF(_xlpm._合計=0,"",_xlpm._合計)
)</f>
        <v>12</v>
      </c>
      <c r="AR40" s="224">
        <f>_xlfn.LET(
_xlpm._一般検索,IFERROR(INDEX('在庫使用計画 (一般)'!$A$1:$BF$391,MATCH($C40,'在庫使用計画 (一般)'!$C$1:$C$391,0),MATCH(AR$1,'在庫使用計画 (一般)'!$A$1:$BF$1,0))*1,0),
_xlpm._法人検索,IFERROR(INDEX('在庫使用計画 (法人)'!$A$1:$BF$391,MATCH($C40,'在庫使用計画 (法人)'!$C$1:$C$391,0),MATCH(AR$1,'在庫使用計画 (法人)'!$A$1:$BF$1,0))*1,0),
_xlpm._合計,_xlpm._一般検索+_xlpm._法人検索,
IF(_xlpm._合計=0,"",_xlpm._合計)
)</f>
        <v>114</v>
      </c>
      <c r="AS40" s="224">
        <f>_xlfn.LET(
_xlpm._一般検索,IFERROR(INDEX('在庫使用計画 (一般)'!$A$1:$BF$391,MATCH($C40,'在庫使用計画 (一般)'!$C$1:$C$391,0),MATCH(AS$1,'在庫使用計画 (一般)'!$A$1:$BF$1,0))*1,0),
_xlpm._法人検索,IFERROR(INDEX('在庫使用計画 (法人)'!$A$1:$BF$391,MATCH($C40,'在庫使用計画 (法人)'!$C$1:$C$391,0),MATCH(AS$1,'在庫使用計画 (法人)'!$A$1:$BF$1,0))*1,0),
_xlpm._合計,_xlpm._一般検索+_xlpm._法人検索,
IF(_xlpm._合計=0,"",_xlpm._合計)
)</f>
        <v>148</v>
      </c>
      <c r="AT40" s="224">
        <f>_xlfn.LET(
_xlpm._一般検索,IFERROR(INDEX('在庫使用計画 (一般)'!$A$1:$BF$391,MATCH($C40,'在庫使用計画 (一般)'!$C$1:$C$391,0),MATCH(AT$1,'在庫使用計画 (一般)'!$A$1:$BF$1,0))*1,0),
_xlpm._法人検索,IFERROR(INDEX('在庫使用計画 (法人)'!$A$1:$BF$391,MATCH($C40,'在庫使用計画 (法人)'!$C$1:$C$391,0),MATCH(AT$1,'在庫使用計画 (法人)'!$A$1:$BF$1,0))*1,0),
_xlpm._合計,_xlpm._一般検索+_xlpm._法人検索,
IF(_xlpm._合計=0,"",_xlpm._合計)
)</f>
        <v>147.50852462875864</v>
      </c>
      <c r="AU40" s="805">
        <f>_xlfn.LET(
_xlpm._一般検索,IFERROR(INDEX('在庫使用計画 (一般)'!$A$1:$BF$391,MATCH($C40,'在庫使用計画 (一般)'!$C$1:$C$391,0),MATCH(AU$1,'在庫使用計画 (一般)'!$A$1:$BF$1,0))*1,0),
_xlpm._法人検索,IFERROR(INDEX('在庫使用計画 (法人)'!$A$1:$BF$391,MATCH($C40,'在庫使用計画 (法人)'!$C$1:$C$391,0),MATCH(AU$1,'在庫使用計画 (法人)'!$A$1:$BF$1,0))*1,0),
_xlpm._合計,_xlpm._一般検索+_xlpm._法人検索,
IF(_xlpm._合計=0,"",_xlpm._合計)
)</f>
        <v>211.78197581875483</v>
      </c>
      <c r="AV40" s="244">
        <f>_xlfn.LET(
_xlpm._一般検索,IFERROR(INDEX('在庫使用計画 (一般)'!$A$1:$BF$391,MATCH($C40,'在庫使用計画 (一般)'!$C$1:$C$391,0),MATCH(AV$1,'在庫使用計画 (一般)'!$A$1:$BF$1,0))*1,0),
_xlpm._法人検索,IFERROR(INDEX('在庫使用計画 (法人)'!$A$1:$BF$391,MATCH($C40,'在庫使用計画 (法人)'!$C$1:$C$391,0),MATCH(AV$1,'在庫使用計画 (法人)'!$A$1:$BF$1,0))*1,0),
_xlpm._合計,_xlpm._一般検索+_xlpm._法人検索,
IF(_xlpm._合計=0,"",_xlpm._合計)
)</f>
        <v>176.81664806903669</v>
      </c>
      <c r="AW40" s="224">
        <f>_xlfn.LET(
_xlpm._一般検索,IFERROR(INDEX('在庫使用計画 (一般)'!$A$1:$BF$391,MATCH($C40,'在庫使用計画 (一般)'!$C$1:$C$391,0),MATCH(AW$1,'在庫使用計画 (一般)'!$A$1:$BF$1,0))*1,0),
_xlpm._法人検索,IFERROR(INDEX('在庫使用計画 (法人)'!$A$1:$BF$391,MATCH($C40,'在庫使用計画 (法人)'!$C$1:$C$391,0),MATCH(AW$1,'在庫使用計画 (法人)'!$A$1:$BF$1,0))*1,0),
_xlpm._合計,_xlpm._一般検索+_xlpm._法人検索,
IF(_xlpm._合計=0,"",_xlpm._合計)
)</f>
        <v>167.10527010070606</v>
      </c>
      <c r="AX40" s="224">
        <f>_xlfn.LET(
_xlpm._一般検索,IFERROR(INDEX('在庫使用計画 (一般)'!$A$1:$BF$391,MATCH($C40,'在庫使用計画 (一般)'!$C$1:$C$391,0),MATCH(AX$1,'在庫使用計画 (一般)'!$A$1:$BF$1,0))*1,0),
_xlpm._法人検索,IFERROR(INDEX('在庫使用計画 (法人)'!$A$1:$BF$391,MATCH($C40,'在庫使用計画 (法人)'!$C$1:$C$391,0),MATCH(AX$1,'在庫使用計画 (法人)'!$A$1:$BF$1,0))*1,0),
_xlpm._合計,_xlpm._一般検索+_xlpm._法人検索,
IF(_xlpm._合計=0,"",_xlpm._合計)
)</f>
        <v>243.60746051922408</v>
      </c>
      <c r="AY40" s="224">
        <f>_xlfn.LET(
_xlpm._一般検索,IFERROR(INDEX('在庫使用計画 (一般)'!$A$1:$BF$391,MATCH($C40,'在庫使用計画 (一般)'!$C$1:$C$391,0),MATCH(AY$1,'在庫使用計画 (一般)'!$A$1:$BF$1,0))*1,0),
_xlpm._法人検索,IFERROR(INDEX('在庫使用計画 (法人)'!$A$1:$BF$391,MATCH($C40,'在庫使用計画 (法人)'!$C$1:$C$391,0),MATCH(AY$1,'在庫使用計画 (法人)'!$A$1:$BF$1,0))*1,0),
_xlpm._合計,_xlpm._一般検索+_xlpm._法人検索,
IF(_xlpm._合計=0,"",_xlpm._合計)
)</f>
        <v>4</v>
      </c>
      <c r="AZ40" s="224">
        <f>_xlfn.LET(
_xlpm._一般検索,IFERROR(INDEX('在庫使用計画 (一般)'!$A$1:$BF$391,MATCH($C40,'在庫使用計画 (一般)'!$C$1:$C$391,0),MATCH(AZ$1,'在庫使用計画 (一般)'!$A$1:$BF$1,0))*1,0),
_xlpm._法人検索,IFERROR(INDEX('在庫使用計画 (法人)'!$A$1:$BF$391,MATCH($C40,'在庫使用計画 (法人)'!$C$1:$C$391,0),MATCH(AZ$1,'在庫使用計画 (法人)'!$A$1:$BF$1,0))*1,0),
_xlpm._合計,_xlpm._一般検索+_xlpm._法人検索,
IF(_xlpm._合計=0,"",_xlpm._合計)
)</f>
        <v>4</v>
      </c>
      <c r="BA40" s="224" t="str">
        <f>_xlfn.LET(
_xlpm._一般検索,IFERROR(INDEX('在庫使用計画 (一般)'!$A$1:$BF$391,MATCH($C40,'在庫使用計画 (一般)'!$C$1:$C$391,0),MATCH(BA$1,'在庫使用計画 (一般)'!$A$1:$BF$1,0))*1,0),
_xlpm._法人検索,IFERROR(INDEX('在庫使用計画 (法人)'!$A$1:$BF$391,MATCH($C40,'在庫使用計画 (法人)'!$C$1:$C$391,0),MATCH(BA$1,'在庫使用計画 (法人)'!$A$1:$BF$1,0))*1,0),
_xlpm._合計,_xlpm._一般検索+_xlpm._法人検索,
IF(_xlpm._合計=0,"",_xlpm._合計)
)</f>
        <v/>
      </c>
      <c r="BB40" s="224" t="str">
        <f>_xlfn.LET(
_xlpm._一般検索,IFERROR(INDEX('在庫使用計画 (一般)'!$A$1:$BF$391,MATCH($C40,'在庫使用計画 (一般)'!$C$1:$C$391,0),MATCH(BB$1,'在庫使用計画 (一般)'!$A$1:$BF$1,0))*1,0),
_xlpm._法人検索,IFERROR(INDEX('在庫使用計画 (法人)'!$A$1:$BF$391,MATCH($C40,'在庫使用計画 (法人)'!$C$1:$C$391,0),MATCH(BB$1,'在庫使用計画 (法人)'!$A$1:$BF$1,0))*1,0),
_xlpm._合計,_xlpm._一般検索+_xlpm._法人検索,
IF(_xlpm._合計=0,"",_xlpm._合計)
)</f>
        <v/>
      </c>
      <c r="BC40" s="224" t="str">
        <f>_xlfn.LET(
_xlpm._一般検索,IFERROR(INDEX('在庫使用計画 (一般)'!$A$1:$BF$391,MATCH($C40,'在庫使用計画 (一般)'!$C$1:$C$391,0),MATCH(BC$1,'在庫使用計画 (一般)'!$A$1:$BF$1,0))*1,0),
_xlpm._法人検索,IFERROR(INDEX('在庫使用計画 (法人)'!$A$1:$BF$391,MATCH($C40,'在庫使用計画 (法人)'!$C$1:$C$391,0),MATCH(BC$1,'在庫使用計画 (法人)'!$A$1:$BF$1,0))*1,0),
_xlpm._合計,_xlpm._一般検索+_xlpm._法人検索,
IF(_xlpm._合計=0,"",_xlpm._合計)
)</f>
        <v/>
      </c>
      <c r="BD40" s="224" t="str">
        <f>_xlfn.LET(
_xlpm._一般検索,IFERROR(INDEX('在庫使用計画 (一般)'!$A$1:$BF$391,MATCH($C40,'在庫使用計画 (一般)'!$C$1:$C$391,0),MATCH(BD$1,'在庫使用計画 (一般)'!$A$1:$BF$1,0))*1,0),
_xlpm._法人検索,IFERROR(INDEX('在庫使用計画 (法人)'!$A$1:$BF$391,MATCH($C40,'在庫使用計画 (法人)'!$C$1:$C$391,0),MATCH(BD$1,'在庫使用計画 (法人)'!$A$1:$BF$1,0))*1,0),
_xlpm._合計,_xlpm._一般検索+_xlpm._法人検索,
IF(_xlpm._合計=0,"",_xlpm._合計)
)</f>
        <v/>
      </c>
      <c r="BE40" s="224" t="str">
        <f>_xlfn.LET(
_xlpm._一般検索,IFERROR(INDEX('在庫使用計画 (一般)'!$A$1:$BF$391,MATCH($C40,'在庫使用計画 (一般)'!$C$1:$C$391,0),MATCH(BE$1,'在庫使用計画 (一般)'!$A$1:$BF$1,0))*1,0),
_xlpm._法人検索,IFERROR(INDEX('在庫使用計画 (法人)'!$A$1:$BF$391,MATCH($C40,'在庫使用計画 (法人)'!$C$1:$C$391,0),MATCH(BE$1,'在庫使用計画 (法人)'!$A$1:$BF$1,0))*1,0),
_xlpm._合計,_xlpm._一般検索+_xlpm._法人検索,
IF(_xlpm._合計=0,"",_xlpm._合計)
)</f>
        <v/>
      </c>
      <c r="BF40" s="224" t="str">
        <f>_xlfn.LET(
_xlpm._一般検索,IFERROR(INDEX('在庫使用計画 (一般)'!$A$1:$BF$391,MATCH($C40,'在庫使用計画 (一般)'!$C$1:$C$391,0),MATCH(BF$1,'在庫使用計画 (一般)'!$A$1:$BF$1,0))*1,0),
_xlpm._法人検索,IFERROR(INDEX('在庫使用計画 (法人)'!$A$1:$BF$391,MATCH($C40,'在庫使用計画 (法人)'!$C$1:$C$391,0),MATCH(BF$1,'在庫使用計画 (法人)'!$A$1:$BF$1,0))*1,0),
_xlpm._合計,_xlpm._一般検索+_xlpm._法人検索,
IF(_xlpm._合計=0,"",_xlpm._合計)
)</f>
        <v/>
      </c>
      <c r="BG40" s="237" t="str">
        <f>_xlfn.LET(
_xlpm._一般検索,IFERROR(INDEX('在庫使用計画 (一般)'!$A$1:$BF$391,MATCH($C40,'在庫使用計画 (一般)'!$C$1:$C$391,0),MATCH(BG$1,'在庫使用計画 (一般)'!$A$1:$BF$1,0))*1,0),
_xlpm._法人検索,IFERROR(INDEX('在庫使用計画 (法人)'!$A$1:$BF$391,MATCH($C40,'在庫使用計画 (法人)'!$C$1:$C$391,0),MATCH(BG$1,'在庫使用計画 (法人)'!$A$1:$BF$1,0))*1,0),
_xlpm._合計,_xlpm._一般検索+_xlpm._法人検索,
IF(_xlpm._合計=0,"",_xlpm._合計)
)</f>
        <v/>
      </c>
      <c r="BH40" s="804" t="str">
        <f>_xlfn.LET(
_xlpm._一般検索,IFERROR(INDEX('在庫使用計画 (一般)'!$A$1:$BF$391,MATCH($C40,'在庫使用計画 (一般)'!$C$1:$C$391,0),MATCH(BH$1,'在庫使用計画 (一般)'!$A$1:$BF$1,0))*1,0),
_xlpm._法人検索,IFERROR(INDEX('在庫使用計画 (法人)'!$A$1:$BF$391,MATCH($C40,'在庫使用計画 (法人)'!$C$1:$C$391,0),MATCH(BH$1,'在庫使用計画 (法人)'!$A$1:$BF$1,0))*1,0),
_xlpm._合計,_xlpm._一般検索+_xlpm._法人検索,
IF(_xlpm._合計=0,"",_xlpm._合計)
)</f>
        <v/>
      </c>
      <c r="BI40" s="224" t="str">
        <f>_xlfn.LET(
_xlpm._一般検索,IFERROR(INDEX('在庫使用計画 (一般)'!$A$1:$BF$391,MATCH($C40,'在庫使用計画 (一般)'!$C$1:$C$391,0),MATCH(BI$1,'在庫使用計画 (一般)'!$A$1:$BF$1,0))*1,0),
_xlpm._法人検索,IFERROR(INDEX('在庫使用計画 (法人)'!$A$1:$BF$391,MATCH($C40,'在庫使用計画 (法人)'!$C$1:$C$391,0),MATCH(BI$1,'在庫使用計画 (法人)'!$A$1:$BF$1,0))*1,0),
_xlpm._合計,_xlpm._一般検索+_xlpm._法人検索,
IF(_xlpm._合計=0,"",_xlpm._合計)
)</f>
        <v/>
      </c>
      <c r="BJ40" s="224" t="str">
        <f>_xlfn.LET(
_xlpm._一般検索,IFERROR(INDEX('在庫使用計画 (一般)'!$A$1:$BF$391,MATCH($C40,'在庫使用計画 (一般)'!$C$1:$C$391,0),MATCH(BJ$1,'在庫使用計画 (一般)'!$A$1:$BF$1,0))*1,0),
_xlpm._法人検索,IFERROR(INDEX('在庫使用計画 (法人)'!$A$1:$BF$391,MATCH($C40,'在庫使用計画 (法人)'!$C$1:$C$391,0),MATCH(BJ$1,'在庫使用計画 (法人)'!$A$1:$BF$1,0))*1,0),
_xlpm._合計,_xlpm._一般検索+_xlpm._法人検索,
IF(_xlpm._合計=0,"",_xlpm._合計)
)</f>
        <v/>
      </c>
      <c r="BK40" s="224" t="str">
        <f>_xlfn.LET(
_xlpm._一般検索,IFERROR(INDEX('在庫使用計画 (一般)'!$A$1:$BF$391,MATCH($C40,'在庫使用計画 (一般)'!$C$1:$C$391,0),MATCH(BK$1,'在庫使用計画 (一般)'!$A$1:$BF$1,0))*1,0),
_xlpm._法人検索,IFERROR(INDEX('在庫使用計画 (法人)'!$A$1:$BF$391,MATCH($C40,'在庫使用計画 (法人)'!$C$1:$C$391,0),MATCH(BK$1,'在庫使用計画 (法人)'!$A$1:$BF$1,0))*1,0),
_xlpm._合計,_xlpm._一般検索+_xlpm._法人検索,
IF(_xlpm._合計=0,"",_xlpm._合計)
)</f>
        <v/>
      </c>
      <c r="BL40" s="224" t="str">
        <f>_xlfn.LET(
_xlpm._一般検索,IFERROR(INDEX('在庫使用計画 (一般)'!$A$1:$BF$391,MATCH($C40,'在庫使用計画 (一般)'!$C$1:$C$391,0),MATCH(BL$1,'在庫使用計画 (一般)'!$A$1:$BF$1,0))*1,0),
_xlpm._法人検索,IFERROR(INDEX('在庫使用計画 (法人)'!$A$1:$BF$391,MATCH($C40,'在庫使用計画 (法人)'!$C$1:$C$391,0),MATCH(BL$1,'在庫使用計画 (法人)'!$A$1:$BF$1,0))*1,0),
_xlpm._合計,_xlpm._一般検索+_xlpm._法人検索,
IF(_xlpm._合計=0,"",_xlpm._合計)
)</f>
        <v/>
      </c>
      <c r="BM40" s="224" t="str">
        <f>_xlfn.LET(
_xlpm._一般検索,IFERROR(INDEX('在庫使用計画 (一般)'!$A$1:$BF$391,MATCH($C40,'在庫使用計画 (一般)'!$C$1:$C$391,0),MATCH(BM$1,'在庫使用計画 (一般)'!$A$1:$BF$1,0))*1,0),
_xlpm._法人検索,IFERROR(INDEX('在庫使用計画 (法人)'!$A$1:$BF$391,MATCH($C40,'在庫使用計画 (法人)'!$C$1:$C$391,0),MATCH(BM$1,'在庫使用計画 (法人)'!$A$1:$BF$1,0))*1,0),
_xlpm._合計,_xlpm._一般検索+_xlpm._法人検索,
IF(_xlpm._合計=0,"",_xlpm._合計)
)</f>
        <v/>
      </c>
      <c r="BN40" s="224" t="str">
        <f>_xlfn.LET(
_xlpm._一般検索,IFERROR(INDEX('在庫使用計画 (一般)'!$A$1:$BF$391,MATCH($C40,'在庫使用計画 (一般)'!$C$1:$C$391,0),MATCH(BN$1,'在庫使用計画 (一般)'!$A$1:$BF$1,0))*1,0),
_xlpm._法人検索,IFERROR(INDEX('在庫使用計画 (法人)'!$A$1:$BF$391,MATCH($C40,'在庫使用計画 (法人)'!$C$1:$C$391,0),MATCH(BN$1,'在庫使用計画 (法人)'!$A$1:$BF$1,0))*1,0),
_xlpm._合計,_xlpm._一般検索+_xlpm._法人検索,
IF(_xlpm._合計=0,"",_xlpm._合計)
)</f>
        <v/>
      </c>
      <c r="BO40" s="224" t="str">
        <f>_xlfn.LET(
_xlpm._一般検索,IFERROR(INDEX('在庫使用計画 (一般)'!$A$1:$BF$391,MATCH($C40,'在庫使用計画 (一般)'!$C$1:$C$391,0),MATCH(BO$1,'在庫使用計画 (一般)'!$A$1:$BF$1,0))*1,0),
_xlpm._法人検索,IFERROR(INDEX('在庫使用計画 (法人)'!$A$1:$BF$391,MATCH($C40,'在庫使用計画 (法人)'!$C$1:$C$391,0),MATCH(BO$1,'在庫使用計画 (法人)'!$A$1:$BF$1,0))*1,0),
_xlpm._合計,_xlpm._一般検索+_xlpm._法人検索,
IF(_xlpm._合計=0,"",_xlpm._合計)
)</f>
        <v/>
      </c>
      <c r="BP40" s="224" t="str">
        <f>_xlfn.LET(
_xlpm._一般検索,IFERROR(INDEX('在庫使用計画 (一般)'!$A$1:$BF$391,MATCH($C40,'在庫使用計画 (一般)'!$C$1:$C$391,0),MATCH(BP$1,'在庫使用計画 (一般)'!$A$1:$BF$1,0))*1,0),
_xlpm._法人検索,IFERROR(INDEX('在庫使用計画 (法人)'!$A$1:$BF$391,MATCH($C40,'在庫使用計画 (法人)'!$C$1:$C$391,0),MATCH(BP$1,'在庫使用計画 (法人)'!$A$1:$BF$1,0))*1,0),
_xlpm._合計,_xlpm._一般検索+_xlpm._法人検索,
IF(_xlpm._合計=0,"",_xlpm._合計)
)</f>
        <v/>
      </c>
      <c r="BQ40" s="224" t="str">
        <f>_xlfn.LET(
_xlpm._一般検索,IFERROR(INDEX('在庫使用計画 (一般)'!$A$1:$BF$391,MATCH($C40,'在庫使用計画 (一般)'!$C$1:$C$391,0),MATCH(BQ$1,'在庫使用計画 (一般)'!$A$1:$BF$1,0))*1,0),
_xlpm._法人検索,IFERROR(INDEX('在庫使用計画 (法人)'!$A$1:$BF$391,MATCH($C40,'在庫使用計画 (法人)'!$C$1:$C$391,0),MATCH(BQ$1,'在庫使用計画 (法人)'!$A$1:$BF$1,0))*1,0),
_xlpm._合計,_xlpm._一般検索+_xlpm._法人検索,
IF(_xlpm._合計=0,"",_xlpm._合計)
)</f>
        <v/>
      </c>
      <c r="BR40" s="224" t="str">
        <f>_xlfn.LET(
_xlpm._一般検索,IFERROR(INDEX('在庫使用計画 (一般)'!$A$1:$BF$391,MATCH($C40,'在庫使用計画 (一般)'!$C$1:$C$391,0),MATCH(BR$1,'在庫使用計画 (一般)'!$A$1:$BF$1,0))*1,0),
_xlpm._法人検索,IFERROR(INDEX('在庫使用計画 (法人)'!$A$1:$BF$391,MATCH($C40,'在庫使用計画 (法人)'!$C$1:$C$391,0),MATCH(BR$1,'在庫使用計画 (法人)'!$A$1:$BF$1,0))*1,0),
_xlpm._合計,_xlpm._一般検索+_xlpm._法人検索,
IF(_xlpm._合計=0,"",_xlpm._合計)
)</f>
        <v/>
      </c>
      <c r="BS40" s="805" t="str">
        <f>_xlfn.LET(
_xlpm._一般検索,IFERROR(INDEX('在庫使用計画 (一般)'!$A$1:$BF$391,MATCH($C40,'在庫使用計画 (一般)'!$C$1:$C$391,0),MATCH(BS$1,'在庫使用計画 (一般)'!$A$1:$BF$1,0))*1,0),
_xlpm._法人検索,IFERROR(INDEX('在庫使用計画 (法人)'!$A$1:$BF$391,MATCH($C40,'在庫使用計画 (法人)'!$C$1:$C$391,0),MATCH(BS$1,'在庫使用計画 (法人)'!$A$1:$BF$1,0))*1,0),
_xlpm._合計,_xlpm._一般検索+_xlpm._法人検索,
IF(_xlpm._合計=0,"",_xlpm._合計)
)</f>
        <v/>
      </c>
      <c r="BT40" s="21"/>
    </row>
    <row r="41" spans="1:72" customFormat="1" ht="18.75" customHeight="1">
      <c r="A41" s="1061" t="s">
        <v>1642</v>
      </c>
      <c r="B41" s="1408" t="str">
        <v>UNW-E-13620H-4050-L6 Creator</v>
      </c>
      <c r="C41" s="1445" t="s">
        <v>458</v>
      </c>
      <c r="D41" s="2156">
        <v>3670</v>
      </c>
      <c r="E41" s="68" t="s">
        <v>1365</v>
      </c>
      <c r="F41" s="68" t="s">
        <v>20</v>
      </c>
      <c r="G41" s="74">
        <v>555</v>
      </c>
      <c r="H41" s="38">
        <v>555</v>
      </c>
      <c r="I41" s="38" cm="1">
        <f t="array" ref="I41">IF($C41="","",
_xlfn.LET(
  _xlpm._見出し,$A$1:$BT$1,
  _xlpm._行,$A41:$BT41,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516.93977701229846</v>
      </c>
      <c r="J41" s="74" cm="1">
        <f t="array" ref="J41">_xlfn.LET(
  _xlpm._見出し,$A$1:$BS$1,
  _xlpm._行,$A41:$BS41,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IF($C41="","",_xlpm._四点五月計画合計)
)</f>
        <v>378.93977701229841</v>
      </c>
      <c r="K41" s="1458" cm="1">
        <f t="array" ref="K41">_xlfn.IFS(
  $C41="","",
  $G41="","発売前？",
  $G41=0,"在庫なし",
  TRUE,
  IFERROR(
    _xlfn.LET(
      _xlpm._在庫注残,     $G41,
      _xlpm._しきい値,     _xlpm._在庫注残 * 0.75,
      _xlpm._見出し元,     $L$1:$BU$1,
      _xlpm._計画,         $L41:$BU41,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46235</v>
      </c>
      <c r="L41" s="38" t="s">
        <v>21</v>
      </c>
      <c r="M41" s="38" t="s">
        <v>21</v>
      </c>
      <c r="N41" s="38" t="s">
        <v>21</v>
      </c>
      <c r="O41" s="38" t="s">
        <v>21</v>
      </c>
      <c r="P41" s="38">
        <v>284.92643189249378</v>
      </c>
      <c r="Q41" s="38">
        <v>298.72647030090781</v>
      </c>
      <c r="R41" s="38">
        <v>306.84868063642557</v>
      </c>
      <c r="S41" s="38">
        <v>205</v>
      </c>
      <c r="T41" s="219">
        <v>186</v>
      </c>
      <c r="U41" s="224">
        <v>245</v>
      </c>
      <c r="V41" s="224">
        <v>255</v>
      </c>
      <c r="W41" s="219">
        <v>305</v>
      </c>
      <c r="X41" s="224">
        <v>150</v>
      </c>
      <c r="Y41" s="224">
        <v>185</v>
      </c>
      <c r="Z41" s="224">
        <v>295</v>
      </c>
      <c r="AA41" s="224">
        <v>155</v>
      </c>
      <c r="AB41" s="224">
        <v>135</v>
      </c>
      <c r="AC41" s="224">
        <v>145</v>
      </c>
      <c r="AD41" s="237">
        <v>265</v>
      </c>
      <c r="AE41" s="237">
        <v>185</v>
      </c>
      <c r="AF41" s="237">
        <v>202</v>
      </c>
      <c r="AG41" s="237">
        <v>218</v>
      </c>
      <c r="AH41" s="224">
        <v>175</v>
      </c>
      <c r="AI41" s="237">
        <v>125.11111111111111</v>
      </c>
      <c r="AJ41" s="804">
        <v>87</v>
      </c>
      <c r="AK41" s="224">
        <v>90.663399693721288</v>
      </c>
      <c r="AL41" s="224">
        <v>121.24354262378766</v>
      </c>
      <c r="AM41" s="224">
        <v>68.850976504137847</v>
      </c>
      <c r="AN41" s="224">
        <f>_xlfn.LET(
_xlpm._一般検索,IFERROR(INDEX('在庫使用計画 (一般)'!$A$1:$BF$391,MATCH($C41,'在庫使用計画 (一般)'!$C$1:$C$391,0),MATCH(AN$1,'在庫使用計画 (一般)'!$A$1:$BF$1,0))*1,0),
_xlpm._法人検索,IFERROR(INDEX('在庫使用計画 (法人)'!$A$1:$BF$391,MATCH($C41,'在庫使用計画 (法人)'!$C$1:$C$391,0),MATCH(AN$1,'在庫使用計画 (法人)'!$A$1:$BF$1,0))*1,0),
_xlpm._合計,_xlpm._一般検索+_xlpm._法人検索,
IF(_xlpm._合計=0,"",_xlpm._合計)
)</f>
        <v>221</v>
      </c>
      <c r="AO41" s="224">
        <f>_xlfn.LET(
_xlpm._一般検索,IFERROR(INDEX('在庫使用計画 (一般)'!$A$1:$BF$391,MATCH($C41,'在庫使用計画 (一般)'!$C$1:$C$391,0),MATCH(AO$1,'在庫使用計画 (一般)'!$A$1:$BF$1,0))*1,0),
_xlpm._法人検索,IFERROR(INDEX('在庫使用計画 (法人)'!$A$1:$BF$391,MATCH($C41,'在庫使用計画 (法人)'!$C$1:$C$391,0),MATCH(AO$1,'在庫使用計画 (法人)'!$A$1:$BF$1,0))*1,0),
_xlpm._合計,_xlpm._一般検索+_xlpm._法人検索,
IF(_xlpm._合計=0,"",_xlpm._合計)
)</f>
        <v>229</v>
      </c>
      <c r="AP41" s="224">
        <f>_xlfn.LET(
_xlpm._一般検索,IFERROR(INDEX('在庫使用計画 (一般)'!$A$1:$BF$391,MATCH($C41,'在庫使用計画 (一般)'!$C$1:$C$391,0),MATCH(AP$1,'在庫使用計画 (一般)'!$A$1:$BF$1,0))*1,0),
_xlpm._法人検索,IFERROR(INDEX('在庫使用計画 (法人)'!$A$1:$BF$391,MATCH($C41,'在庫使用計画 (法人)'!$C$1:$C$391,0),MATCH(AP$1,'在庫使用計画 (法人)'!$A$1:$BF$1,0))*1,0),
_xlpm._合計,_xlpm._一般検索+_xlpm._法人検索,
IF(_xlpm._合計=0,"",_xlpm._合計)
)</f>
        <v>276</v>
      </c>
      <c r="AQ41" s="224">
        <f>_xlfn.LET(
_xlpm._一般検索,IFERROR(INDEX('在庫使用計画 (一般)'!$A$1:$BF$391,MATCH($C41,'在庫使用計画 (一般)'!$C$1:$C$391,0),MATCH(AQ$1,'在庫使用計画 (一般)'!$A$1:$BF$1,0))*1,0),
_xlpm._法人検索,IFERROR(INDEX('在庫使用計画 (法人)'!$A$1:$BF$391,MATCH($C41,'在庫使用計画 (法人)'!$C$1:$C$391,0),MATCH(AQ$1,'在庫使用計画 (法人)'!$A$1:$BF$1,0))*1,0),
_xlpm._合計,_xlpm._一般検索+_xlpm._法人検索,
IF(_xlpm._合計=0,"",_xlpm._合計)
)</f>
        <v>240.93977701229841</v>
      </c>
      <c r="AR41" s="224" t="str">
        <f>_xlfn.LET(
_xlpm._一般検索,IFERROR(INDEX('在庫使用計画 (一般)'!$A$1:$BF$391,MATCH($C41,'在庫使用計画 (一般)'!$C$1:$C$391,0),MATCH(AR$1,'在庫使用計画 (一般)'!$A$1:$BF$1,0))*1,0),
_xlpm._法人検索,IFERROR(INDEX('在庫使用計画 (法人)'!$A$1:$BF$391,MATCH($C41,'在庫使用計画 (法人)'!$C$1:$C$391,0),MATCH(AR$1,'在庫使用計画 (法人)'!$A$1:$BF$1,0))*1,0),
_xlpm._合計,_xlpm._一般検索+_xlpm._法人検索,
IF(_xlpm._合計=0,"",_xlpm._合計)
)</f>
        <v/>
      </c>
      <c r="AS41" s="224" t="str">
        <f>_xlfn.LET(
_xlpm._一般検索,IFERROR(INDEX('在庫使用計画 (一般)'!$A$1:$BF$391,MATCH($C41,'在庫使用計画 (一般)'!$C$1:$C$391,0),MATCH(AS$1,'在庫使用計画 (一般)'!$A$1:$BF$1,0))*1,0),
_xlpm._法人検索,IFERROR(INDEX('在庫使用計画 (法人)'!$A$1:$BF$391,MATCH($C41,'在庫使用計画 (法人)'!$C$1:$C$391,0),MATCH(AS$1,'在庫使用計画 (法人)'!$A$1:$BF$1,0))*1,0),
_xlpm._合計,_xlpm._一般検索+_xlpm._法人検索,
IF(_xlpm._合計=0,"",_xlpm._合計)
)</f>
        <v/>
      </c>
      <c r="AT41" s="224" t="str">
        <f>_xlfn.LET(
_xlpm._一般検索,IFERROR(INDEX('在庫使用計画 (一般)'!$A$1:$BF$391,MATCH($C41,'在庫使用計画 (一般)'!$C$1:$C$391,0),MATCH(AT$1,'在庫使用計画 (一般)'!$A$1:$BF$1,0))*1,0),
_xlpm._法人検索,IFERROR(INDEX('在庫使用計画 (法人)'!$A$1:$BF$391,MATCH($C41,'在庫使用計画 (法人)'!$C$1:$C$391,0),MATCH(AT$1,'在庫使用計画 (法人)'!$A$1:$BF$1,0))*1,0),
_xlpm._合計,_xlpm._一般検索+_xlpm._法人検索,
IF(_xlpm._合計=0,"",_xlpm._合計)
)</f>
        <v/>
      </c>
      <c r="AU41" s="805" t="str">
        <f>_xlfn.LET(
_xlpm._一般検索,IFERROR(INDEX('在庫使用計画 (一般)'!$A$1:$BF$391,MATCH($C41,'在庫使用計画 (一般)'!$C$1:$C$391,0),MATCH(AU$1,'在庫使用計画 (一般)'!$A$1:$BF$1,0))*1,0),
_xlpm._法人検索,IFERROR(INDEX('在庫使用計画 (法人)'!$A$1:$BF$391,MATCH($C41,'在庫使用計画 (法人)'!$C$1:$C$391,0),MATCH(AU$1,'在庫使用計画 (法人)'!$A$1:$BF$1,0))*1,0),
_xlpm._合計,_xlpm._一般検索+_xlpm._法人検索,
IF(_xlpm._合計=0,"",_xlpm._合計)
)</f>
        <v/>
      </c>
      <c r="AV41" s="244" t="str">
        <f>_xlfn.LET(
_xlpm._一般検索,IFERROR(INDEX('在庫使用計画 (一般)'!$A$1:$BF$391,MATCH($C41,'在庫使用計画 (一般)'!$C$1:$C$391,0),MATCH(AV$1,'在庫使用計画 (一般)'!$A$1:$BF$1,0))*1,0),
_xlpm._法人検索,IFERROR(INDEX('在庫使用計画 (法人)'!$A$1:$BF$391,MATCH($C41,'在庫使用計画 (法人)'!$C$1:$C$391,0),MATCH(AV$1,'在庫使用計画 (法人)'!$A$1:$BF$1,0))*1,0),
_xlpm._合計,_xlpm._一般検索+_xlpm._法人検索,
IF(_xlpm._合計=0,"",_xlpm._合計)
)</f>
        <v/>
      </c>
      <c r="AW41" s="224" t="str">
        <f>_xlfn.LET(
_xlpm._一般検索,IFERROR(INDEX('在庫使用計画 (一般)'!$A$1:$BF$391,MATCH($C41,'在庫使用計画 (一般)'!$C$1:$C$391,0),MATCH(AW$1,'在庫使用計画 (一般)'!$A$1:$BF$1,0))*1,0),
_xlpm._法人検索,IFERROR(INDEX('在庫使用計画 (法人)'!$A$1:$BF$391,MATCH($C41,'在庫使用計画 (法人)'!$C$1:$C$391,0),MATCH(AW$1,'在庫使用計画 (法人)'!$A$1:$BF$1,0))*1,0),
_xlpm._合計,_xlpm._一般検索+_xlpm._法人検索,
IF(_xlpm._合計=0,"",_xlpm._合計)
)</f>
        <v/>
      </c>
      <c r="AX41" s="224" t="str">
        <f>_xlfn.LET(
_xlpm._一般検索,IFERROR(INDEX('在庫使用計画 (一般)'!$A$1:$BF$391,MATCH($C41,'在庫使用計画 (一般)'!$C$1:$C$391,0),MATCH(AX$1,'在庫使用計画 (一般)'!$A$1:$BF$1,0))*1,0),
_xlpm._法人検索,IFERROR(INDEX('在庫使用計画 (法人)'!$A$1:$BF$391,MATCH($C41,'在庫使用計画 (法人)'!$C$1:$C$391,0),MATCH(AX$1,'在庫使用計画 (法人)'!$A$1:$BF$1,0))*1,0),
_xlpm._合計,_xlpm._一般検索+_xlpm._法人検索,
IF(_xlpm._合計=0,"",_xlpm._合計)
)</f>
        <v/>
      </c>
      <c r="AY41" s="224" t="str">
        <f>_xlfn.LET(
_xlpm._一般検索,IFERROR(INDEX('在庫使用計画 (一般)'!$A$1:$BF$391,MATCH($C41,'在庫使用計画 (一般)'!$C$1:$C$391,0),MATCH(AY$1,'在庫使用計画 (一般)'!$A$1:$BF$1,0))*1,0),
_xlpm._法人検索,IFERROR(INDEX('在庫使用計画 (法人)'!$A$1:$BF$391,MATCH($C41,'在庫使用計画 (法人)'!$C$1:$C$391,0),MATCH(AY$1,'在庫使用計画 (法人)'!$A$1:$BF$1,0))*1,0),
_xlpm._合計,_xlpm._一般検索+_xlpm._法人検索,
IF(_xlpm._合計=0,"",_xlpm._合計)
)</f>
        <v/>
      </c>
      <c r="AZ41" s="224" t="str">
        <f>_xlfn.LET(
_xlpm._一般検索,IFERROR(INDEX('在庫使用計画 (一般)'!$A$1:$BF$391,MATCH($C41,'在庫使用計画 (一般)'!$C$1:$C$391,0),MATCH(AZ$1,'在庫使用計画 (一般)'!$A$1:$BF$1,0))*1,0),
_xlpm._法人検索,IFERROR(INDEX('在庫使用計画 (法人)'!$A$1:$BF$391,MATCH($C41,'在庫使用計画 (法人)'!$C$1:$C$391,0),MATCH(AZ$1,'在庫使用計画 (法人)'!$A$1:$BF$1,0))*1,0),
_xlpm._合計,_xlpm._一般検索+_xlpm._法人検索,
IF(_xlpm._合計=0,"",_xlpm._合計)
)</f>
        <v/>
      </c>
      <c r="BA41" s="224" t="str">
        <f>_xlfn.LET(
_xlpm._一般検索,IFERROR(INDEX('在庫使用計画 (一般)'!$A$1:$BF$391,MATCH($C41,'在庫使用計画 (一般)'!$C$1:$C$391,0),MATCH(BA$1,'在庫使用計画 (一般)'!$A$1:$BF$1,0))*1,0),
_xlpm._法人検索,IFERROR(INDEX('在庫使用計画 (法人)'!$A$1:$BF$391,MATCH($C41,'在庫使用計画 (法人)'!$C$1:$C$391,0),MATCH(BA$1,'在庫使用計画 (法人)'!$A$1:$BF$1,0))*1,0),
_xlpm._合計,_xlpm._一般検索+_xlpm._法人検索,
IF(_xlpm._合計=0,"",_xlpm._合計)
)</f>
        <v/>
      </c>
      <c r="BB41" s="224" t="str">
        <f>_xlfn.LET(
_xlpm._一般検索,IFERROR(INDEX('在庫使用計画 (一般)'!$A$1:$BF$391,MATCH($C41,'在庫使用計画 (一般)'!$C$1:$C$391,0),MATCH(BB$1,'在庫使用計画 (一般)'!$A$1:$BF$1,0))*1,0),
_xlpm._法人検索,IFERROR(INDEX('在庫使用計画 (法人)'!$A$1:$BF$391,MATCH($C41,'在庫使用計画 (法人)'!$C$1:$C$391,0),MATCH(BB$1,'在庫使用計画 (法人)'!$A$1:$BF$1,0))*1,0),
_xlpm._合計,_xlpm._一般検索+_xlpm._法人検索,
IF(_xlpm._合計=0,"",_xlpm._合計)
)</f>
        <v/>
      </c>
      <c r="BC41" s="224" t="str">
        <f>_xlfn.LET(
_xlpm._一般検索,IFERROR(INDEX('在庫使用計画 (一般)'!$A$1:$BF$391,MATCH($C41,'在庫使用計画 (一般)'!$C$1:$C$391,0),MATCH(BC$1,'在庫使用計画 (一般)'!$A$1:$BF$1,0))*1,0),
_xlpm._法人検索,IFERROR(INDEX('在庫使用計画 (法人)'!$A$1:$BF$391,MATCH($C41,'在庫使用計画 (法人)'!$C$1:$C$391,0),MATCH(BC$1,'在庫使用計画 (法人)'!$A$1:$BF$1,0))*1,0),
_xlpm._合計,_xlpm._一般検索+_xlpm._法人検索,
IF(_xlpm._合計=0,"",_xlpm._合計)
)</f>
        <v/>
      </c>
      <c r="BD41" s="224" t="str">
        <f>_xlfn.LET(
_xlpm._一般検索,IFERROR(INDEX('在庫使用計画 (一般)'!$A$1:$BF$391,MATCH($C41,'在庫使用計画 (一般)'!$C$1:$C$391,0),MATCH(BD$1,'在庫使用計画 (一般)'!$A$1:$BF$1,0))*1,0),
_xlpm._法人検索,IFERROR(INDEX('在庫使用計画 (法人)'!$A$1:$BF$391,MATCH($C41,'在庫使用計画 (法人)'!$C$1:$C$391,0),MATCH(BD$1,'在庫使用計画 (法人)'!$A$1:$BF$1,0))*1,0),
_xlpm._合計,_xlpm._一般検索+_xlpm._法人検索,
IF(_xlpm._合計=0,"",_xlpm._合計)
)</f>
        <v/>
      </c>
      <c r="BE41" s="224" t="str">
        <f>_xlfn.LET(
_xlpm._一般検索,IFERROR(INDEX('在庫使用計画 (一般)'!$A$1:$BF$391,MATCH($C41,'在庫使用計画 (一般)'!$C$1:$C$391,0),MATCH(BE$1,'在庫使用計画 (一般)'!$A$1:$BF$1,0))*1,0),
_xlpm._法人検索,IFERROR(INDEX('在庫使用計画 (法人)'!$A$1:$BF$391,MATCH($C41,'在庫使用計画 (法人)'!$C$1:$C$391,0),MATCH(BE$1,'在庫使用計画 (法人)'!$A$1:$BF$1,0))*1,0),
_xlpm._合計,_xlpm._一般検索+_xlpm._法人検索,
IF(_xlpm._合計=0,"",_xlpm._合計)
)</f>
        <v/>
      </c>
      <c r="BF41" s="224" t="str">
        <f>_xlfn.LET(
_xlpm._一般検索,IFERROR(INDEX('在庫使用計画 (一般)'!$A$1:$BF$391,MATCH($C41,'在庫使用計画 (一般)'!$C$1:$C$391,0),MATCH(BF$1,'在庫使用計画 (一般)'!$A$1:$BF$1,0))*1,0),
_xlpm._法人検索,IFERROR(INDEX('在庫使用計画 (法人)'!$A$1:$BF$391,MATCH($C41,'在庫使用計画 (法人)'!$C$1:$C$391,0),MATCH(BF$1,'在庫使用計画 (法人)'!$A$1:$BF$1,0))*1,0),
_xlpm._合計,_xlpm._一般検索+_xlpm._法人検索,
IF(_xlpm._合計=0,"",_xlpm._合計)
)</f>
        <v/>
      </c>
      <c r="BG41" s="237" t="str">
        <f>_xlfn.LET(
_xlpm._一般検索,IFERROR(INDEX('在庫使用計画 (一般)'!$A$1:$BF$391,MATCH($C41,'在庫使用計画 (一般)'!$C$1:$C$391,0),MATCH(BG$1,'在庫使用計画 (一般)'!$A$1:$BF$1,0))*1,0),
_xlpm._法人検索,IFERROR(INDEX('在庫使用計画 (法人)'!$A$1:$BF$391,MATCH($C41,'在庫使用計画 (法人)'!$C$1:$C$391,0),MATCH(BG$1,'在庫使用計画 (法人)'!$A$1:$BF$1,0))*1,0),
_xlpm._合計,_xlpm._一般検索+_xlpm._法人検索,
IF(_xlpm._合計=0,"",_xlpm._合計)
)</f>
        <v/>
      </c>
      <c r="BH41" s="804" t="str">
        <f>_xlfn.LET(
_xlpm._一般検索,IFERROR(INDEX('在庫使用計画 (一般)'!$A$1:$BF$391,MATCH($C41,'在庫使用計画 (一般)'!$C$1:$C$391,0),MATCH(BH$1,'在庫使用計画 (一般)'!$A$1:$BF$1,0))*1,0),
_xlpm._法人検索,IFERROR(INDEX('在庫使用計画 (法人)'!$A$1:$BF$391,MATCH($C41,'在庫使用計画 (法人)'!$C$1:$C$391,0),MATCH(BH$1,'在庫使用計画 (法人)'!$A$1:$BF$1,0))*1,0),
_xlpm._合計,_xlpm._一般検索+_xlpm._法人検索,
IF(_xlpm._合計=0,"",_xlpm._合計)
)</f>
        <v/>
      </c>
      <c r="BI41" s="224" t="str">
        <f>_xlfn.LET(
_xlpm._一般検索,IFERROR(INDEX('在庫使用計画 (一般)'!$A$1:$BF$391,MATCH($C41,'在庫使用計画 (一般)'!$C$1:$C$391,0),MATCH(BI$1,'在庫使用計画 (一般)'!$A$1:$BF$1,0))*1,0),
_xlpm._法人検索,IFERROR(INDEX('在庫使用計画 (法人)'!$A$1:$BF$391,MATCH($C41,'在庫使用計画 (法人)'!$C$1:$C$391,0),MATCH(BI$1,'在庫使用計画 (法人)'!$A$1:$BF$1,0))*1,0),
_xlpm._合計,_xlpm._一般検索+_xlpm._法人検索,
IF(_xlpm._合計=0,"",_xlpm._合計)
)</f>
        <v/>
      </c>
      <c r="BJ41" s="224" t="str">
        <f>_xlfn.LET(
_xlpm._一般検索,IFERROR(INDEX('在庫使用計画 (一般)'!$A$1:$BF$391,MATCH($C41,'在庫使用計画 (一般)'!$C$1:$C$391,0),MATCH(BJ$1,'在庫使用計画 (一般)'!$A$1:$BF$1,0))*1,0),
_xlpm._法人検索,IFERROR(INDEX('在庫使用計画 (法人)'!$A$1:$BF$391,MATCH($C41,'在庫使用計画 (法人)'!$C$1:$C$391,0),MATCH(BJ$1,'在庫使用計画 (法人)'!$A$1:$BF$1,0))*1,0),
_xlpm._合計,_xlpm._一般検索+_xlpm._法人検索,
IF(_xlpm._合計=0,"",_xlpm._合計)
)</f>
        <v/>
      </c>
      <c r="BK41" s="224" t="str">
        <f>_xlfn.LET(
_xlpm._一般検索,IFERROR(INDEX('在庫使用計画 (一般)'!$A$1:$BF$391,MATCH($C41,'在庫使用計画 (一般)'!$C$1:$C$391,0),MATCH(BK$1,'在庫使用計画 (一般)'!$A$1:$BF$1,0))*1,0),
_xlpm._法人検索,IFERROR(INDEX('在庫使用計画 (法人)'!$A$1:$BF$391,MATCH($C41,'在庫使用計画 (法人)'!$C$1:$C$391,0),MATCH(BK$1,'在庫使用計画 (法人)'!$A$1:$BF$1,0))*1,0),
_xlpm._合計,_xlpm._一般検索+_xlpm._法人検索,
IF(_xlpm._合計=0,"",_xlpm._合計)
)</f>
        <v/>
      </c>
      <c r="BL41" s="224" t="str">
        <f>_xlfn.LET(
_xlpm._一般検索,IFERROR(INDEX('在庫使用計画 (一般)'!$A$1:$BF$391,MATCH($C41,'在庫使用計画 (一般)'!$C$1:$C$391,0),MATCH(BL$1,'在庫使用計画 (一般)'!$A$1:$BF$1,0))*1,0),
_xlpm._法人検索,IFERROR(INDEX('在庫使用計画 (法人)'!$A$1:$BF$391,MATCH($C41,'在庫使用計画 (法人)'!$C$1:$C$391,0),MATCH(BL$1,'在庫使用計画 (法人)'!$A$1:$BF$1,0))*1,0),
_xlpm._合計,_xlpm._一般検索+_xlpm._法人検索,
IF(_xlpm._合計=0,"",_xlpm._合計)
)</f>
        <v/>
      </c>
      <c r="BM41" s="224" t="str">
        <f>_xlfn.LET(
_xlpm._一般検索,IFERROR(INDEX('在庫使用計画 (一般)'!$A$1:$BF$391,MATCH($C41,'在庫使用計画 (一般)'!$C$1:$C$391,0),MATCH(BM$1,'在庫使用計画 (一般)'!$A$1:$BF$1,0))*1,0),
_xlpm._法人検索,IFERROR(INDEX('在庫使用計画 (法人)'!$A$1:$BF$391,MATCH($C41,'在庫使用計画 (法人)'!$C$1:$C$391,0),MATCH(BM$1,'在庫使用計画 (法人)'!$A$1:$BF$1,0))*1,0),
_xlpm._合計,_xlpm._一般検索+_xlpm._法人検索,
IF(_xlpm._合計=0,"",_xlpm._合計)
)</f>
        <v/>
      </c>
      <c r="BN41" s="224" t="str">
        <f>_xlfn.LET(
_xlpm._一般検索,IFERROR(INDEX('在庫使用計画 (一般)'!$A$1:$BF$391,MATCH($C41,'在庫使用計画 (一般)'!$C$1:$C$391,0),MATCH(BN$1,'在庫使用計画 (一般)'!$A$1:$BF$1,0))*1,0),
_xlpm._法人検索,IFERROR(INDEX('在庫使用計画 (法人)'!$A$1:$BF$391,MATCH($C41,'在庫使用計画 (法人)'!$C$1:$C$391,0),MATCH(BN$1,'在庫使用計画 (法人)'!$A$1:$BF$1,0))*1,0),
_xlpm._合計,_xlpm._一般検索+_xlpm._法人検索,
IF(_xlpm._合計=0,"",_xlpm._合計)
)</f>
        <v/>
      </c>
      <c r="BO41" s="224" t="str">
        <f>_xlfn.LET(
_xlpm._一般検索,IFERROR(INDEX('在庫使用計画 (一般)'!$A$1:$BF$391,MATCH($C41,'在庫使用計画 (一般)'!$C$1:$C$391,0),MATCH(BO$1,'在庫使用計画 (一般)'!$A$1:$BF$1,0))*1,0),
_xlpm._法人検索,IFERROR(INDEX('在庫使用計画 (法人)'!$A$1:$BF$391,MATCH($C41,'在庫使用計画 (法人)'!$C$1:$C$391,0),MATCH(BO$1,'在庫使用計画 (法人)'!$A$1:$BF$1,0))*1,0),
_xlpm._合計,_xlpm._一般検索+_xlpm._法人検索,
IF(_xlpm._合計=0,"",_xlpm._合計)
)</f>
        <v/>
      </c>
      <c r="BP41" s="224" t="str">
        <f>_xlfn.LET(
_xlpm._一般検索,IFERROR(INDEX('在庫使用計画 (一般)'!$A$1:$BF$391,MATCH($C41,'在庫使用計画 (一般)'!$C$1:$C$391,0),MATCH(BP$1,'在庫使用計画 (一般)'!$A$1:$BF$1,0))*1,0),
_xlpm._法人検索,IFERROR(INDEX('在庫使用計画 (法人)'!$A$1:$BF$391,MATCH($C41,'在庫使用計画 (法人)'!$C$1:$C$391,0),MATCH(BP$1,'在庫使用計画 (法人)'!$A$1:$BF$1,0))*1,0),
_xlpm._合計,_xlpm._一般検索+_xlpm._法人検索,
IF(_xlpm._合計=0,"",_xlpm._合計)
)</f>
        <v/>
      </c>
      <c r="BQ41" s="224" t="str">
        <f>_xlfn.LET(
_xlpm._一般検索,IFERROR(INDEX('在庫使用計画 (一般)'!$A$1:$BF$391,MATCH($C41,'在庫使用計画 (一般)'!$C$1:$C$391,0),MATCH(BQ$1,'在庫使用計画 (一般)'!$A$1:$BF$1,0))*1,0),
_xlpm._法人検索,IFERROR(INDEX('在庫使用計画 (法人)'!$A$1:$BF$391,MATCH($C41,'在庫使用計画 (法人)'!$C$1:$C$391,0),MATCH(BQ$1,'在庫使用計画 (法人)'!$A$1:$BF$1,0))*1,0),
_xlpm._合計,_xlpm._一般検索+_xlpm._法人検索,
IF(_xlpm._合計=0,"",_xlpm._合計)
)</f>
        <v/>
      </c>
      <c r="BR41" s="224" t="str">
        <f>_xlfn.LET(
_xlpm._一般検索,IFERROR(INDEX('在庫使用計画 (一般)'!$A$1:$BF$391,MATCH($C41,'在庫使用計画 (一般)'!$C$1:$C$391,0),MATCH(BR$1,'在庫使用計画 (一般)'!$A$1:$BF$1,0))*1,0),
_xlpm._法人検索,IFERROR(INDEX('在庫使用計画 (法人)'!$A$1:$BF$391,MATCH($C41,'在庫使用計画 (法人)'!$C$1:$C$391,0),MATCH(BR$1,'在庫使用計画 (法人)'!$A$1:$BF$1,0))*1,0),
_xlpm._合計,_xlpm._一般検索+_xlpm._法人検索,
IF(_xlpm._合計=0,"",_xlpm._合計)
)</f>
        <v/>
      </c>
      <c r="BS41" s="805" t="str">
        <f>_xlfn.LET(
_xlpm._一般検索,IFERROR(INDEX('在庫使用計画 (一般)'!$A$1:$BF$391,MATCH($C41,'在庫使用計画 (一般)'!$C$1:$C$391,0),MATCH(BS$1,'在庫使用計画 (一般)'!$A$1:$BF$1,0))*1,0),
_xlpm._法人検索,IFERROR(INDEX('在庫使用計画 (法人)'!$A$1:$BF$391,MATCH($C41,'在庫使用計画 (法人)'!$C$1:$C$391,0),MATCH(BS$1,'在庫使用計画 (法人)'!$A$1:$BF$1,0))*1,0),
_xlpm._合計,_xlpm._一般検索+_xlpm._法人検索,
IF(_xlpm._合計=0,"",_xlpm._合計)
)</f>
        <v/>
      </c>
      <c r="BT41" s="70"/>
    </row>
    <row r="42" spans="1:72" customFormat="1" ht="18.75" customHeight="1" thickBot="1">
      <c r="A42" s="1061" t="s">
        <v>1642</v>
      </c>
      <c r="B42" s="26" t="str">
        <v>UNW-E-13620H-3050-L6 Creator</v>
      </c>
      <c r="C42" s="373" t="s">
        <v>463</v>
      </c>
      <c r="D42" s="2156">
        <v>5230</v>
      </c>
      <c r="E42" s="68" t="s">
        <v>1365</v>
      </c>
      <c r="F42" s="68" t="s">
        <v>20</v>
      </c>
      <c r="G42" s="74">
        <v>11</v>
      </c>
      <c r="H42" s="38">
        <v>11</v>
      </c>
      <c r="I42" s="38" cm="1">
        <f t="array" ref="I42">IF($C42="","",
_xlfn.LET(
  _xlpm._見出し,$A$1:$BT$1,
  _xlpm._行,$A42:$BT42,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10</v>
      </c>
      <c r="J42" s="74" cm="1">
        <f t="array" ref="J42">_xlfn.LET(
  _xlpm._見出し,$A$1:$BS$1,
  _xlpm._行,$A42:$BS42,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IF($C42="","",_xlpm._四点五月計画合計)
)</f>
        <v>5</v>
      </c>
      <c r="K42" s="1458" cm="1">
        <f t="array" ref="K42">_xlfn.IFS(
  $C42="","",
  $G42="","発売前？",
  $G42=0,"在庫なし",
  TRUE,
  IFERROR(
    _xlfn.LET(
      _xlpm._在庫注残,     $G42,
      _xlpm._しきい値,     _xlpm._在庫注残 * 0.75,
      _xlpm._見出し元,     $L$1:$BU$1,
      _xlpm._計画,         $L42:$BU42,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46204</v>
      </c>
      <c r="L42" s="38" t="s">
        <v>21</v>
      </c>
      <c r="M42" s="38" t="s">
        <v>21</v>
      </c>
      <c r="N42" s="38" t="s">
        <v>21</v>
      </c>
      <c r="O42" s="38" t="s">
        <v>21</v>
      </c>
      <c r="P42" s="38">
        <v>355.40803986561724</v>
      </c>
      <c r="Q42" s="38">
        <v>369.15808787613474</v>
      </c>
      <c r="R42" s="38">
        <v>417.31085079553196</v>
      </c>
      <c r="S42" s="38">
        <v>318.70663994021902</v>
      </c>
      <c r="T42" s="219">
        <v>280.37814869187599</v>
      </c>
      <c r="U42" s="224">
        <v>302</v>
      </c>
      <c r="V42" s="224">
        <v>322</v>
      </c>
      <c r="W42" s="219">
        <v>505</v>
      </c>
      <c r="X42" s="224">
        <v>485</v>
      </c>
      <c r="Y42" s="224">
        <v>355</v>
      </c>
      <c r="Z42" s="224">
        <v>505</v>
      </c>
      <c r="AA42" s="224">
        <v>225</v>
      </c>
      <c r="AB42" s="224">
        <v>205</v>
      </c>
      <c r="AC42" s="224">
        <v>335</v>
      </c>
      <c r="AD42" s="237">
        <v>245</v>
      </c>
      <c r="AE42" s="237">
        <v>320</v>
      </c>
      <c r="AF42" s="237">
        <v>395</v>
      </c>
      <c r="AG42" s="237">
        <v>280</v>
      </c>
      <c r="AH42" s="224">
        <v>320</v>
      </c>
      <c r="AI42" s="237">
        <v>251.72222222222223</v>
      </c>
      <c r="AJ42" s="804">
        <v>182</v>
      </c>
      <c r="AK42" s="224">
        <v>175.97182235834609</v>
      </c>
      <c r="AL42" s="224">
        <v>224.45472179683512</v>
      </c>
      <c r="AM42" s="224">
        <v>93</v>
      </c>
      <c r="AN42" s="224">
        <f>_xlfn.LET(
_xlpm._一般検索,IFERROR(INDEX('在庫使用計画 (一般)'!$A$1:$BF$391,MATCH($C42,'在庫使用計画 (一般)'!$C$1:$C$391,0),MATCH(AN$1,'在庫使用計画 (一般)'!$A$1:$BF$1,0))*1,0),
_xlpm._法人検索,IFERROR(INDEX('在庫使用計画 (法人)'!$A$1:$BF$391,MATCH($C42,'在庫使用計画 (法人)'!$C$1:$C$391,0),MATCH(AN$1,'在庫使用計画 (法人)'!$A$1:$BF$1,0))*1,0),
_xlpm._合計,_xlpm._一般検索+_xlpm._法人検索,
IF(_xlpm._合計=0,"",_xlpm._合計)
)</f>
        <v>120</v>
      </c>
      <c r="AO42" s="224">
        <f>_xlfn.LET(
_xlpm._一般検索,IFERROR(INDEX('在庫使用計画 (一般)'!$A$1:$BF$391,MATCH($C42,'在庫使用計画 (一般)'!$C$1:$C$391,0),MATCH(AO$1,'在庫使用計画 (一般)'!$A$1:$BF$1,0))*1,0),
_xlpm._法人検索,IFERROR(INDEX('在庫使用計画 (法人)'!$A$1:$BF$391,MATCH($C42,'在庫使用計画 (法人)'!$C$1:$C$391,0),MATCH(AO$1,'在庫使用計画 (法人)'!$A$1:$BF$1,0))*1,0),
_xlpm._合計,_xlpm._一般検索+_xlpm._法人検索,
IF(_xlpm._合計=0,"",_xlpm._合計)
)</f>
        <v>10</v>
      </c>
      <c r="AP42" s="224">
        <f>_xlfn.LET(
_xlpm._一般検索,IFERROR(INDEX('在庫使用計画 (一般)'!$A$1:$BF$391,MATCH($C42,'在庫使用計画 (一般)'!$C$1:$C$391,0),MATCH(AP$1,'在庫使用計画 (一般)'!$A$1:$BF$1,0))*1,0),
_xlpm._法人検索,IFERROR(INDEX('在庫使用計画 (法人)'!$A$1:$BF$391,MATCH($C42,'在庫使用計画 (法人)'!$C$1:$C$391,0),MATCH(AP$1,'在庫使用計画 (法人)'!$A$1:$BF$1,0))*1,0),
_xlpm._合計,_xlpm._一般検索+_xlpm._法人検索,
IF(_xlpm._合計=0,"",_xlpm._合計)
)</f>
        <v>10</v>
      </c>
      <c r="AQ42" s="224" t="str">
        <f>_xlfn.LET(
_xlpm._一般検索,IFERROR(INDEX('在庫使用計画 (一般)'!$A$1:$BF$391,MATCH($C42,'在庫使用計画 (一般)'!$C$1:$C$391,0),MATCH(AQ$1,'在庫使用計画 (一般)'!$A$1:$BF$1,0))*1,0),
_xlpm._法人検索,IFERROR(INDEX('在庫使用計画 (法人)'!$A$1:$BF$391,MATCH($C42,'在庫使用計画 (法人)'!$C$1:$C$391,0),MATCH(AQ$1,'在庫使用計画 (法人)'!$A$1:$BF$1,0))*1,0),
_xlpm._合計,_xlpm._一般検索+_xlpm._法人検索,
IF(_xlpm._合計=0,"",_xlpm._合計)
)</f>
        <v/>
      </c>
      <c r="AR42" s="224" t="str">
        <f>_xlfn.LET(
_xlpm._一般検索,IFERROR(INDEX('在庫使用計画 (一般)'!$A$1:$BF$391,MATCH($C42,'在庫使用計画 (一般)'!$C$1:$C$391,0),MATCH(AR$1,'在庫使用計画 (一般)'!$A$1:$BF$1,0))*1,0),
_xlpm._法人検索,IFERROR(INDEX('在庫使用計画 (法人)'!$A$1:$BF$391,MATCH($C42,'在庫使用計画 (法人)'!$C$1:$C$391,0),MATCH(AR$1,'在庫使用計画 (法人)'!$A$1:$BF$1,0))*1,0),
_xlpm._合計,_xlpm._一般検索+_xlpm._法人検索,
IF(_xlpm._合計=0,"",_xlpm._合計)
)</f>
        <v/>
      </c>
      <c r="AS42" s="224" t="str">
        <f>_xlfn.LET(
_xlpm._一般検索,IFERROR(INDEX('在庫使用計画 (一般)'!$A$1:$BF$391,MATCH($C42,'在庫使用計画 (一般)'!$C$1:$C$391,0),MATCH(AS$1,'在庫使用計画 (一般)'!$A$1:$BF$1,0))*1,0),
_xlpm._法人検索,IFERROR(INDEX('在庫使用計画 (法人)'!$A$1:$BF$391,MATCH($C42,'在庫使用計画 (法人)'!$C$1:$C$391,0),MATCH(AS$1,'在庫使用計画 (法人)'!$A$1:$BF$1,0))*1,0),
_xlpm._合計,_xlpm._一般検索+_xlpm._法人検索,
IF(_xlpm._合計=0,"",_xlpm._合計)
)</f>
        <v/>
      </c>
      <c r="AT42" s="224" t="str">
        <f>_xlfn.LET(
_xlpm._一般検索,IFERROR(INDEX('在庫使用計画 (一般)'!$A$1:$BF$391,MATCH($C42,'在庫使用計画 (一般)'!$C$1:$C$391,0),MATCH(AT$1,'在庫使用計画 (一般)'!$A$1:$BF$1,0))*1,0),
_xlpm._法人検索,IFERROR(INDEX('在庫使用計画 (法人)'!$A$1:$BF$391,MATCH($C42,'在庫使用計画 (法人)'!$C$1:$C$391,0),MATCH(AT$1,'在庫使用計画 (法人)'!$A$1:$BF$1,0))*1,0),
_xlpm._合計,_xlpm._一般検索+_xlpm._法人検索,
IF(_xlpm._合計=0,"",_xlpm._合計)
)</f>
        <v/>
      </c>
      <c r="AU42" s="805" t="str">
        <f>_xlfn.LET(
_xlpm._一般検索,IFERROR(INDEX('在庫使用計画 (一般)'!$A$1:$BF$391,MATCH($C42,'在庫使用計画 (一般)'!$C$1:$C$391,0),MATCH(AU$1,'在庫使用計画 (一般)'!$A$1:$BF$1,0))*1,0),
_xlpm._法人検索,IFERROR(INDEX('在庫使用計画 (法人)'!$A$1:$BF$391,MATCH($C42,'在庫使用計画 (法人)'!$C$1:$C$391,0),MATCH(AU$1,'在庫使用計画 (法人)'!$A$1:$BF$1,0))*1,0),
_xlpm._合計,_xlpm._一般検索+_xlpm._法人検索,
IF(_xlpm._合計=0,"",_xlpm._合計)
)</f>
        <v/>
      </c>
      <c r="AV42" s="244" t="str">
        <f>_xlfn.LET(
_xlpm._一般検索,IFERROR(INDEX('在庫使用計画 (一般)'!$A$1:$BF$391,MATCH($C42,'在庫使用計画 (一般)'!$C$1:$C$391,0),MATCH(AV$1,'在庫使用計画 (一般)'!$A$1:$BF$1,0))*1,0),
_xlpm._法人検索,IFERROR(INDEX('在庫使用計画 (法人)'!$A$1:$BF$391,MATCH($C42,'在庫使用計画 (法人)'!$C$1:$C$391,0),MATCH(AV$1,'在庫使用計画 (法人)'!$A$1:$BF$1,0))*1,0),
_xlpm._合計,_xlpm._一般検索+_xlpm._法人検索,
IF(_xlpm._合計=0,"",_xlpm._合計)
)</f>
        <v/>
      </c>
      <c r="AW42" s="224" t="str">
        <f>_xlfn.LET(
_xlpm._一般検索,IFERROR(INDEX('在庫使用計画 (一般)'!$A$1:$BF$391,MATCH($C42,'在庫使用計画 (一般)'!$C$1:$C$391,0),MATCH(AW$1,'在庫使用計画 (一般)'!$A$1:$BF$1,0))*1,0),
_xlpm._法人検索,IFERROR(INDEX('在庫使用計画 (法人)'!$A$1:$BF$391,MATCH($C42,'在庫使用計画 (法人)'!$C$1:$C$391,0),MATCH(AW$1,'在庫使用計画 (法人)'!$A$1:$BF$1,0))*1,0),
_xlpm._合計,_xlpm._一般検索+_xlpm._法人検索,
IF(_xlpm._合計=0,"",_xlpm._合計)
)</f>
        <v/>
      </c>
      <c r="AX42" s="224" t="str">
        <f>_xlfn.LET(
_xlpm._一般検索,IFERROR(INDEX('在庫使用計画 (一般)'!$A$1:$BF$391,MATCH($C42,'在庫使用計画 (一般)'!$C$1:$C$391,0),MATCH(AX$1,'在庫使用計画 (一般)'!$A$1:$BF$1,0))*1,0),
_xlpm._法人検索,IFERROR(INDEX('在庫使用計画 (法人)'!$A$1:$BF$391,MATCH($C42,'在庫使用計画 (法人)'!$C$1:$C$391,0),MATCH(AX$1,'在庫使用計画 (法人)'!$A$1:$BF$1,0))*1,0),
_xlpm._合計,_xlpm._一般検索+_xlpm._法人検索,
IF(_xlpm._合計=0,"",_xlpm._合計)
)</f>
        <v/>
      </c>
      <c r="AY42" s="224" t="str">
        <f>_xlfn.LET(
_xlpm._一般検索,IFERROR(INDEX('在庫使用計画 (一般)'!$A$1:$BF$391,MATCH($C42,'在庫使用計画 (一般)'!$C$1:$C$391,0),MATCH(AY$1,'在庫使用計画 (一般)'!$A$1:$BF$1,0))*1,0),
_xlpm._法人検索,IFERROR(INDEX('在庫使用計画 (法人)'!$A$1:$BF$391,MATCH($C42,'在庫使用計画 (法人)'!$C$1:$C$391,0),MATCH(AY$1,'在庫使用計画 (法人)'!$A$1:$BF$1,0))*1,0),
_xlpm._合計,_xlpm._一般検索+_xlpm._法人検索,
IF(_xlpm._合計=0,"",_xlpm._合計)
)</f>
        <v/>
      </c>
      <c r="AZ42" s="224" t="str">
        <f>_xlfn.LET(
_xlpm._一般検索,IFERROR(INDEX('在庫使用計画 (一般)'!$A$1:$BF$391,MATCH($C42,'在庫使用計画 (一般)'!$C$1:$C$391,0),MATCH(AZ$1,'在庫使用計画 (一般)'!$A$1:$BF$1,0))*1,0),
_xlpm._法人検索,IFERROR(INDEX('在庫使用計画 (法人)'!$A$1:$BF$391,MATCH($C42,'在庫使用計画 (法人)'!$C$1:$C$391,0),MATCH(AZ$1,'在庫使用計画 (法人)'!$A$1:$BF$1,0))*1,0),
_xlpm._合計,_xlpm._一般検索+_xlpm._法人検索,
IF(_xlpm._合計=0,"",_xlpm._合計)
)</f>
        <v/>
      </c>
      <c r="BA42" s="224" t="str">
        <f>_xlfn.LET(
_xlpm._一般検索,IFERROR(INDEX('在庫使用計画 (一般)'!$A$1:$BF$391,MATCH($C42,'在庫使用計画 (一般)'!$C$1:$C$391,0),MATCH(BA$1,'在庫使用計画 (一般)'!$A$1:$BF$1,0))*1,0),
_xlpm._法人検索,IFERROR(INDEX('在庫使用計画 (法人)'!$A$1:$BF$391,MATCH($C42,'在庫使用計画 (法人)'!$C$1:$C$391,0),MATCH(BA$1,'在庫使用計画 (法人)'!$A$1:$BF$1,0))*1,0),
_xlpm._合計,_xlpm._一般検索+_xlpm._法人検索,
IF(_xlpm._合計=0,"",_xlpm._合計)
)</f>
        <v/>
      </c>
      <c r="BB42" s="224" t="str">
        <f>_xlfn.LET(
_xlpm._一般検索,IFERROR(INDEX('在庫使用計画 (一般)'!$A$1:$BF$391,MATCH($C42,'在庫使用計画 (一般)'!$C$1:$C$391,0),MATCH(BB$1,'在庫使用計画 (一般)'!$A$1:$BF$1,0))*1,0),
_xlpm._法人検索,IFERROR(INDEX('在庫使用計画 (法人)'!$A$1:$BF$391,MATCH($C42,'在庫使用計画 (法人)'!$C$1:$C$391,0),MATCH(BB$1,'在庫使用計画 (法人)'!$A$1:$BF$1,0))*1,0),
_xlpm._合計,_xlpm._一般検索+_xlpm._法人検索,
IF(_xlpm._合計=0,"",_xlpm._合計)
)</f>
        <v/>
      </c>
      <c r="BC42" s="224" t="str">
        <f>_xlfn.LET(
_xlpm._一般検索,IFERROR(INDEX('在庫使用計画 (一般)'!$A$1:$BF$391,MATCH($C42,'在庫使用計画 (一般)'!$C$1:$C$391,0),MATCH(BC$1,'在庫使用計画 (一般)'!$A$1:$BF$1,0))*1,0),
_xlpm._法人検索,IFERROR(INDEX('在庫使用計画 (法人)'!$A$1:$BF$391,MATCH($C42,'在庫使用計画 (法人)'!$C$1:$C$391,0),MATCH(BC$1,'在庫使用計画 (法人)'!$A$1:$BF$1,0))*1,0),
_xlpm._合計,_xlpm._一般検索+_xlpm._法人検索,
IF(_xlpm._合計=0,"",_xlpm._合計)
)</f>
        <v/>
      </c>
      <c r="BD42" s="224" t="str">
        <f>_xlfn.LET(
_xlpm._一般検索,IFERROR(INDEX('在庫使用計画 (一般)'!$A$1:$BF$391,MATCH($C42,'在庫使用計画 (一般)'!$C$1:$C$391,0),MATCH(BD$1,'在庫使用計画 (一般)'!$A$1:$BF$1,0))*1,0),
_xlpm._法人検索,IFERROR(INDEX('在庫使用計画 (法人)'!$A$1:$BF$391,MATCH($C42,'在庫使用計画 (法人)'!$C$1:$C$391,0),MATCH(BD$1,'在庫使用計画 (法人)'!$A$1:$BF$1,0))*1,0),
_xlpm._合計,_xlpm._一般検索+_xlpm._法人検索,
IF(_xlpm._合計=0,"",_xlpm._合計)
)</f>
        <v/>
      </c>
      <c r="BE42" s="224" t="str">
        <f>_xlfn.LET(
_xlpm._一般検索,IFERROR(INDEX('在庫使用計画 (一般)'!$A$1:$BF$391,MATCH($C42,'在庫使用計画 (一般)'!$C$1:$C$391,0),MATCH(BE$1,'在庫使用計画 (一般)'!$A$1:$BF$1,0))*1,0),
_xlpm._法人検索,IFERROR(INDEX('在庫使用計画 (法人)'!$A$1:$BF$391,MATCH($C42,'在庫使用計画 (法人)'!$C$1:$C$391,0),MATCH(BE$1,'在庫使用計画 (法人)'!$A$1:$BF$1,0))*1,0),
_xlpm._合計,_xlpm._一般検索+_xlpm._法人検索,
IF(_xlpm._合計=0,"",_xlpm._合計)
)</f>
        <v/>
      </c>
      <c r="BF42" s="224" t="str">
        <f>_xlfn.LET(
_xlpm._一般検索,IFERROR(INDEX('在庫使用計画 (一般)'!$A$1:$BF$391,MATCH($C42,'在庫使用計画 (一般)'!$C$1:$C$391,0),MATCH(BF$1,'在庫使用計画 (一般)'!$A$1:$BF$1,0))*1,0),
_xlpm._法人検索,IFERROR(INDEX('在庫使用計画 (法人)'!$A$1:$BF$391,MATCH($C42,'在庫使用計画 (法人)'!$C$1:$C$391,0),MATCH(BF$1,'在庫使用計画 (法人)'!$A$1:$BF$1,0))*1,0),
_xlpm._合計,_xlpm._一般検索+_xlpm._法人検索,
IF(_xlpm._合計=0,"",_xlpm._合計)
)</f>
        <v/>
      </c>
      <c r="BG42" s="237" t="str">
        <f>_xlfn.LET(
_xlpm._一般検索,IFERROR(INDEX('在庫使用計画 (一般)'!$A$1:$BF$391,MATCH($C42,'在庫使用計画 (一般)'!$C$1:$C$391,0),MATCH(BG$1,'在庫使用計画 (一般)'!$A$1:$BF$1,0))*1,0),
_xlpm._法人検索,IFERROR(INDEX('在庫使用計画 (法人)'!$A$1:$BF$391,MATCH($C42,'在庫使用計画 (法人)'!$C$1:$C$391,0),MATCH(BG$1,'在庫使用計画 (法人)'!$A$1:$BF$1,0))*1,0),
_xlpm._合計,_xlpm._一般検索+_xlpm._法人検索,
IF(_xlpm._合計=0,"",_xlpm._合計)
)</f>
        <v/>
      </c>
      <c r="BH42" s="804" t="str">
        <f>_xlfn.LET(
_xlpm._一般検索,IFERROR(INDEX('在庫使用計画 (一般)'!$A$1:$BF$391,MATCH($C42,'在庫使用計画 (一般)'!$C$1:$C$391,0),MATCH(BH$1,'在庫使用計画 (一般)'!$A$1:$BF$1,0))*1,0),
_xlpm._法人検索,IFERROR(INDEX('在庫使用計画 (法人)'!$A$1:$BF$391,MATCH($C42,'在庫使用計画 (法人)'!$C$1:$C$391,0),MATCH(BH$1,'在庫使用計画 (法人)'!$A$1:$BF$1,0))*1,0),
_xlpm._合計,_xlpm._一般検索+_xlpm._法人検索,
IF(_xlpm._合計=0,"",_xlpm._合計)
)</f>
        <v/>
      </c>
      <c r="BI42" s="224" t="str">
        <f>_xlfn.LET(
_xlpm._一般検索,IFERROR(INDEX('在庫使用計画 (一般)'!$A$1:$BF$391,MATCH($C42,'在庫使用計画 (一般)'!$C$1:$C$391,0),MATCH(BI$1,'在庫使用計画 (一般)'!$A$1:$BF$1,0))*1,0),
_xlpm._法人検索,IFERROR(INDEX('在庫使用計画 (法人)'!$A$1:$BF$391,MATCH($C42,'在庫使用計画 (法人)'!$C$1:$C$391,0),MATCH(BI$1,'在庫使用計画 (法人)'!$A$1:$BF$1,0))*1,0),
_xlpm._合計,_xlpm._一般検索+_xlpm._法人検索,
IF(_xlpm._合計=0,"",_xlpm._合計)
)</f>
        <v/>
      </c>
      <c r="BJ42" s="224" t="str">
        <f>_xlfn.LET(
_xlpm._一般検索,IFERROR(INDEX('在庫使用計画 (一般)'!$A$1:$BF$391,MATCH($C42,'在庫使用計画 (一般)'!$C$1:$C$391,0),MATCH(BJ$1,'在庫使用計画 (一般)'!$A$1:$BF$1,0))*1,0),
_xlpm._法人検索,IFERROR(INDEX('在庫使用計画 (法人)'!$A$1:$BF$391,MATCH($C42,'在庫使用計画 (法人)'!$C$1:$C$391,0),MATCH(BJ$1,'在庫使用計画 (法人)'!$A$1:$BF$1,0))*1,0),
_xlpm._合計,_xlpm._一般検索+_xlpm._法人検索,
IF(_xlpm._合計=0,"",_xlpm._合計)
)</f>
        <v/>
      </c>
      <c r="BK42" s="224" t="str">
        <f>_xlfn.LET(
_xlpm._一般検索,IFERROR(INDEX('在庫使用計画 (一般)'!$A$1:$BF$391,MATCH($C42,'在庫使用計画 (一般)'!$C$1:$C$391,0),MATCH(BK$1,'在庫使用計画 (一般)'!$A$1:$BF$1,0))*1,0),
_xlpm._法人検索,IFERROR(INDEX('在庫使用計画 (法人)'!$A$1:$BF$391,MATCH($C42,'在庫使用計画 (法人)'!$C$1:$C$391,0),MATCH(BK$1,'在庫使用計画 (法人)'!$A$1:$BF$1,0))*1,0),
_xlpm._合計,_xlpm._一般検索+_xlpm._法人検索,
IF(_xlpm._合計=0,"",_xlpm._合計)
)</f>
        <v/>
      </c>
      <c r="BL42" s="224" t="str">
        <f>_xlfn.LET(
_xlpm._一般検索,IFERROR(INDEX('在庫使用計画 (一般)'!$A$1:$BF$391,MATCH($C42,'在庫使用計画 (一般)'!$C$1:$C$391,0),MATCH(BL$1,'在庫使用計画 (一般)'!$A$1:$BF$1,0))*1,0),
_xlpm._法人検索,IFERROR(INDEX('在庫使用計画 (法人)'!$A$1:$BF$391,MATCH($C42,'在庫使用計画 (法人)'!$C$1:$C$391,0),MATCH(BL$1,'在庫使用計画 (法人)'!$A$1:$BF$1,0))*1,0),
_xlpm._合計,_xlpm._一般検索+_xlpm._法人検索,
IF(_xlpm._合計=0,"",_xlpm._合計)
)</f>
        <v/>
      </c>
      <c r="BM42" s="224" t="str">
        <f>_xlfn.LET(
_xlpm._一般検索,IFERROR(INDEX('在庫使用計画 (一般)'!$A$1:$BF$391,MATCH($C42,'在庫使用計画 (一般)'!$C$1:$C$391,0),MATCH(BM$1,'在庫使用計画 (一般)'!$A$1:$BF$1,0))*1,0),
_xlpm._法人検索,IFERROR(INDEX('在庫使用計画 (法人)'!$A$1:$BF$391,MATCH($C42,'在庫使用計画 (法人)'!$C$1:$C$391,0),MATCH(BM$1,'在庫使用計画 (法人)'!$A$1:$BF$1,0))*1,0),
_xlpm._合計,_xlpm._一般検索+_xlpm._法人検索,
IF(_xlpm._合計=0,"",_xlpm._合計)
)</f>
        <v/>
      </c>
      <c r="BN42" s="224" t="str">
        <f>_xlfn.LET(
_xlpm._一般検索,IFERROR(INDEX('在庫使用計画 (一般)'!$A$1:$BF$391,MATCH($C42,'在庫使用計画 (一般)'!$C$1:$C$391,0),MATCH(BN$1,'在庫使用計画 (一般)'!$A$1:$BF$1,0))*1,0),
_xlpm._法人検索,IFERROR(INDEX('在庫使用計画 (法人)'!$A$1:$BF$391,MATCH($C42,'在庫使用計画 (法人)'!$C$1:$C$391,0),MATCH(BN$1,'在庫使用計画 (法人)'!$A$1:$BF$1,0))*1,0),
_xlpm._合計,_xlpm._一般検索+_xlpm._法人検索,
IF(_xlpm._合計=0,"",_xlpm._合計)
)</f>
        <v/>
      </c>
      <c r="BO42" s="224" t="str">
        <f>_xlfn.LET(
_xlpm._一般検索,IFERROR(INDEX('在庫使用計画 (一般)'!$A$1:$BF$391,MATCH($C42,'在庫使用計画 (一般)'!$C$1:$C$391,0),MATCH(BO$1,'在庫使用計画 (一般)'!$A$1:$BF$1,0))*1,0),
_xlpm._法人検索,IFERROR(INDEX('在庫使用計画 (法人)'!$A$1:$BF$391,MATCH($C42,'在庫使用計画 (法人)'!$C$1:$C$391,0),MATCH(BO$1,'在庫使用計画 (法人)'!$A$1:$BF$1,0))*1,0),
_xlpm._合計,_xlpm._一般検索+_xlpm._法人検索,
IF(_xlpm._合計=0,"",_xlpm._合計)
)</f>
        <v/>
      </c>
      <c r="BP42" s="224" t="str">
        <f>_xlfn.LET(
_xlpm._一般検索,IFERROR(INDEX('在庫使用計画 (一般)'!$A$1:$BF$391,MATCH($C42,'在庫使用計画 (一般)'!$C$1:$C$391,0),MATCH(BP$1,'在庫使用計画 (一般)'!$A$1:$BF$1,0))*1,0),
_xlpm._法人検索,IFERROR(INDEX('在庫使用計画 (法人)'!$A$1:$BF$391,MATCH($C42,'在庫使用計画 (法人)'!$C$1:$C$391,0),MATCH(BP$1,'在庫使用計画 (法人)'!$A$1:$BF$1,0))*1,0),
_xlpm._合計,_xlpm._一般検索+_xlpm._法人検索,
IF(_xlpm._合計=0,"",_xlpm._合計)
)</f>
        <v/>
      </c>
      <c r="BQ42" s="224" t="str">
        <f>_xlfn.LET(
_xlpm._一般検索,IFERROR(INDEX('在庫使用計画 (一般)'!$A$1:$BF$391,MATCH($C42,'在庫使用計画 (一般)'!$C$1:$C$391,0),MATCH(BQ$1,'在庫使用計画 (一般)'!$A$1:$BF$1,0))*1,0),
_xlpm._法人検索,IFERROR(INDEX('在庫使用計画 (法人)'!$A$1:$BF$391,MATCH($C42,'在庫使用計画 (法人)'!$C$1:$C$391,0),MATCH(BQ$1,'在庫使用計画 (法人)'!$A$1:$BF$1,0))*1,0),
_xlpm._合計,_xlpm._一般検索+_xlpm._法人検索,
IF(_xlpm._合計=0,"",_xlpm._合計)
)</f>
        <v/>
      </c>
      <c r="BR42" s="224" t="str">
        <f>_xlfn.LET(
_xlpm._一般検索,IFERROR(INDEX('在庫使用計画 (一般)'!$A$1:$BF$391,MATCH($C42,'在庫使用計画 (一般)'!$C$1:$C$391,0),MATCH(BR$1,'在庫使用計画 (一般)'!$A$1:$BF$1,0))*1,0),
_xlpm._法人検索,IFERROR(INDEX('在庫使用計画 (法人)'!$A$1:$BF$391,MATCH($C42,'在庫使用計画 (法人)'!$C$1:$C$391,0),MATCH(BR$1,'在庫使用計画 (法人)'!$A$1:$BF$1,0))*1,0),
_xlpm._合計,_xlpm._一般検索+_xlpm._法人検索,
IF(_xlpm._合計=0,"",_xlpm._合計)
)</f>
        <v/>
      </c>
      <c r="BS42" s="805" t="str">
        <f>_xlfn.LET(
_xlpm._一般検索,IFERROR(INDEX('在庫使用計画 (一般)'!$A$1:$BF$391,MATCH($C42,'在庫使用計画 (一般)'!$C$1:$C$391,0),MATCH(BS$1,'在庫使用計画 (一般)'!$A$1:$BF$1,0))*1,0),
_xlpm._法人検索,IFERROR(INDEX('在庫使用計画 (法人)'!$A$1:$BF$391,MATCH($C42,'在庫使用計画 (法人)'!$C$1:$C$391,0),MATCH(BS$1,'在庫使用計画 (法人)'!$A$1:$BF$1,0))*1,0),
_xlpm._合計,_xlpm._一般検索+_xlpm._法人検索,
IF(_xlpm._合計=0,"",_xlpm._合計)
)</f>
        <v/>
      </c>
      <c r="BT42" s="70"/>
    </row>
    <row r="43" spans="1:72" customFormat="1" ht="18.75" customHeight="1" thickBot="1">
      <c r="A43" s="1061" t="s">
        <v>1644</v>
      </c>
      <c r="B43" s="494" t="str">
        <v>WZN-A14JG-125U-UMA-16G-L7-GC</v>
      </c>
      <c r="C43" s="2070" t="s">
        <v>1645</v>
      </c>
      <c r="D43" s="2156">
        <v>555</v>
      </c>
      <c r="E43" s="1267" t="s">
        <v>1814</v>
      </c>
      <c r="F43" s="24"/>
      <c r="G43" s="74">
        <v>555</v>
      </c>
      <c r="H43" s="38">
        <v>0</v>
      </c>
      <c r="I43" s="38" cm="1">
        <f t="array" ref="I43">IF($C43="","",
_xlfn.LET(
  _xlpm._見出し,$A$1:$BT$1,
  _xlpm._行,$A43:$BT43,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164</v>
      </c>
      <c r="J43" s="74" cm="1">
        <f t="array" ref="J43">_xlfn.LET(
  _xlpm._見出し,$A$1:$BS$1,
  _xlpm._行,$A43:$BS43,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IF($C43="","",_xlpm._四点五月計画合計)
)</f>
        <v>269</v>
      </c>
      <c r="K43" s="1458" cm="1">
        <f t="array" ref="K43">_xlfn.IFS(
  $C43="","",
  $G43="","発売前？",
  $G43=0,"在庫なし",
  TRUE,
  IFERROR(
    _xlfn.LET(
      _xlpm._在庫注残,     $G43,
      _xlpm._しきい値,     _xlpm._在庫注残 * 0.75,
      _xlpm._見出し元,     $L$1:$BU$1,
      _xlpm._計画,         $L43:$BU43,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46357</v>
      </c>
      <c r="L43" s="38"/>
      <c r="M43" s="38"/>
      <c r="N43" s="38"/>
      <c r="O43" s="38"/>
      <c r="P43" s="38"/>
      <c r="Q43" s="38"/>
      <c r="R43" s="38"/>
      <c r="S43" s="38"/>
      <c r="T43" s="219"/>
      <c r="U43" s="219"/>
      <c r="V43" s="219"/>
      <c r="W43" s="298"/>
      <c r="X43" s="299"/>
      <c r="Y43" s="299"/>
      <c r="Z43" s="299"/>
      <c r="AA43" s="343"/>
      <c r="AB43" s="224"/>
      <c r="AC43" s="224"/>
      <c r="AD43" s="237" t="s">
        <v>21</v>
      </c>
      <c r="AE43" s="237" t="s">
        <v>21</v>
      </c>
      <c r="AF43" s="237" t="s">
        <v>21</v>
      </c>
      <c r="AG43" s="237"/>
      <c r="AH43" s="224" t="s">
        <v>21</v>
      </c>
      <c r="AI43" s="237" t="s">
        <v>21</v>
      </c>
      <c r="AJ43" s="804" t="s">
        <v>21</v>
      </c>
      <c r="AK43" s="224" t="s">
        <v>21</v>
      </c>
      <c r="AL43" s="224" t="s">
        <v>21</v>
      </c>
      <c r="AM43" s="224" t="s">
        <v>21</v>
      </c>
      <c r="AN43" s="224" t="str">
        <f>_xlfn.LET(
_xlpm._一般検索,IFERROR(INDEX('在庫使用計画 (一般)'!$A$1:$BF$391,MATCH($C43,'在庫使用計画 (一般)'!$C$1:$C$391,0),MATCH(AN$1,'在庫使用計画 (一般)'!$A$1:$BF$1,0))*1,0),
_xlpm._法人検索,IFERROR(INDEX('在庫使用計画 (法人)'!$A$1:$BF$391,MATCH($C43,'在庫使用計画 (法人)'!$C$1:$C$391,0),MATCH(AN$1,'在庫使用計画 (法人)'!$A$1:$BF$1,0))*1,0),
_xlpm._合計,_xlpm._一般検索+_xlpm._法人検索,
IF(_xlpm._合計=0,"",_xlpm._合計)
)</f>
        <v/>
      </c>
      <c r="AO43" s="224" t="str">
        <f>_xlfn.LET(
_xlpm._一般検索,IFERROR(INDEX('在庫使用計画 (一般)'!$A$1:$BF$391,MATCH($C43,'在庫使用計画 (一般)'!$C$1:$C$391,0),MATCH(AO$1,'在庫使用計画 (一般)'!$A$1:$BF$1,0))*1,0),
_xlpm._法人検索,IFERROR(INDEX('在庫使用計画 (法人)'!$A$1:$BF$391,MATCH($C43,'在庫使用計画 (法人)'!$C$1:$C$391,0),MATCH(AO$1,'在庫使用計画 (法人)'!$A$1:$BF$1,0))*1,0),
_xlpm._合計,_xlpm._一般検索+_xlpm._法人検索,
IF(_xlpm._合計=0,"",_xlpm._合計)
)</f>
        <v/>
      </c>
      <c r="AP43" s="224" t="str">
        <f>_xlfn.LET(
_xlpm._一般検索,IFERROR(INDEX('在庫使用計画 (一般)'!$A$1:$BF$391,MATCH($C43,'在庫使用計画 (一般)'!$C$1:$C$391,0),MATCH(AP$1,'在庫使用計画 (一般)'!$A$1:$BF$1,0))*1,0),
_xlpm._法人検索,IFERROR(INDEX('在庫使用計画 (法人)'!$A$1:$BF$391,MATCH($C43,'在庫使用計画 (法人)'!$C$1:$C$391,0),MATCH(AP$1,'在庫使用計画 (法人)'!$A$1:$BF$1,0))*1,0),
_xlpm._合計,_xlpm._一般検索+_xlpm._法人検索,
IF(_xlpm._合計=0,"",_xlpm._合計)
)</f>
        <v/>
      </c>
      <c r="AQ43" s="224" t="str">
        <f>_xlfn.LET(
_xlpm._一般検索,IFERROR(INDEX('在庫使用計画 (一般)'!$A$1:$BF$391,MATCH($C43,'在庫使用計画 (一般)'!$C$1:$C$391,0),MATCH(AQ$1,'在庫使用計画 (一般)'!$A$1:$BF$1,0))*1,0),
_xlpm._法人検索,IFERROR(INDEX('在庫使用計画 (法人)'!$A$1:$BF$391,MATCH($C43,'在庫使用計画 (法人)'!$C$1:$C$391,0),MATCH(AQ$1,'在庫使用計画 (法人)'!$A$1:$BF$1,0))*1,0),
_xlpm._合計,_xlpm._一般検索+_xlpm._法人検索,
IF(_xlpm._合計=0,"",_xlpm._合計)
)</f>
        <v/>
      </c>
      <c r="AR43" s="224">
        <f>_xlfn.LET(
_xlpm._一般検索,IFERROR(INDEX('在庫使用計画 (一般)'!$A$1:$BF$391,MATCH($C43,'在庫使用計画 (一般)'!$C$1:$C$391,0),MATCH(AR$1,'在庫使用計画 (一般)'!$A$1:$BF$1,0))*1,0),
_xlpm._法人検索,IFERROR(INDEX('在庫使用計画 (法人)'!$A$1:$BF$391,MATCH($C43,'在庫使用計画 (法人)'!$C$1:$C$391,0),MATCH(AR$1,'在庫使用計画 (法人)'!$A$1:$BF$1,0))*1,0),
_xlpm._合計,_xlpm._一般検索+_xlpm._法人検索,
IF(_xlpm._合計=0,"",_xlpm._合計)
)</f>
        <v>51</v>
      </c>
      <c r="AS43" s="224">
        <f>_xlfn.LET(
_xlpm._一般検索,IFERROR(INDEX('在庫使用計画 (一般)'!$A$1:$BF$391,MATCH($C43,'在庫使用計画 (一般)'!$C$1:$C$391,0),MATCH(AS$1,'在庫使用計画 (一般)'!$A$1:$BF$1,0))*1,0),
_xlpm._法人検索,IFERROR(INDEX('在庫使用計画 (法人)'!$A$1:$BF$391,MATCH($C43,'在庫使用計画 (法人)'!$C$1:$C$391,0),MATCH(AS$1,'在庫使用計画 (法人)'!$A$1:$BF$1,0))*1,0),
_xlpm._合計,_xlpm._一般検索+_xlpm._法人検索,
IF(_xlpm._合計=0,"",_xlpm._合計)
)</f>
        <v>113</v>
      </c>
      <c r="AT43" s="224">
        <f>_xlfn.LET(
_xlpm._一般検索,IFERROR(INDEX('在庫使用計画 (一般)'!$A$1:$BF$391,MATCH($C43,'在庫使用計画 (一般)'!$C$1:$C$391,0),MATCH(AT$1,'在庫使用計画 (一般)'!$A$1:$BF$1,0))*1,0),
_xlpm._法人検索,IFERROR(INDEX('在庫使用計画 (法人)'!$A$1:$BF$391,MATCH($C43,'在庫使用計画 (法人)'!$C$1:$C$391,0),MATCH(AT$1,'在庫使用計画 (法人)'!$A$1:$BF$1,0))*1,0),
_xlpm._合計,_xlpm._一般検索+_xlpm._法人検索,
IF(_xlpm._合計=0,"",_xlpm._合計)
)</f>
        <v>105</v>
      </c>
      <c r="AU43" s="805">
        <f>_xlfn.LET(
_xlpm._一般検索,IFERROR(INDEX('在庫使用計画 (一般)'!$A$1:$BF$391,MATCH($C43,'在庫使用計画 (一般)'!$C$1:$C$391,0),MATCH(AU$1,'在庫使用計画 (一般)'!$A$1:$BF$1,0))*1,0),
_xlpm._法人検索,IFERROR(INDEX('在庫使用計画 (法人)'!$A$1:$BF$391,MATCH($C43,'在庫使用計画 (法人)'!$C$1:$C$391,0),MATCH(AU$1,'在庫使用計画 (法人)'!$A$1:$BF$1,0))*1,0),
_xlpm._合計,_xlpm._一般検索+_xlpm._法人検索,
IF(_xlpm._合計=0,"",_xlpm._合計)
)</f>
        <v>165</v>
      </c>
      <c r="AV43" s="244">
        <f>_xlfn.LET(
_xlpm._一般検索,IFERROR(INDEX('在庫使用計画 (一般)'!$A$1:$BF$391,MATCH($C43,'在庫使用計画 (一般)'!$C$1:$C$391,0),MATCH(AV$1,'在庫使用計画 (一般)'!$A$1:$BF$1,0))*1,0),
_xlpm._法人検索,IFERROR(INDEX('在庫使用計画 (法人)'!$A$1:$BF$391,MATCH($C43,'在庫使用計画 (法人)'!$C$1:$C$391,0),MATCH(AV$1,'在庫使用計画 (法人)'!$A$1:$BF$1,0))*1,0),
_xlpm._合計,_xlpm._一般検索+_xlpm._法人検索,
IF(_xlpm._合計=0,"",_xlpm._合計)
)</f>
        <v>155</v>
      </c>
      <c r="AW43" s="224">
        <f>_xlfn.LET(
_xlpm._一般検索,IFERROR(INDEX('在庫使用計画 (一般)'!$A$1:$BF$391,MATCH($C43,'在庫使用計画 (一般)'!$C$1:$C$391,0),MATCH(AW$1,'在庫使用計画 (一般)'!$A$1:$BF$1,0))*1,0),
_xlpm._法人検索,IFERROR(INDEX('在庫使用計画 (法人)'!$A$1:$BF$391,MATCH($C43,'在庫使用計画 (法人)'!$C$1:$C$391,0),MATCH(AW$1,'在庫使用計画 (法人)'!$A$1:$BF$1,0))*1,0),
_xlpm._合計,_xlpm._一般検索+_xlpm._法人検索,
IF(_xlpm._合計=0,"",_xlpm._合計)
)</f>
        <v>105</v>
      </c>
      <c r="AX43" s="224">
        <f>_xlfn.LET(
_xlpm._一般検索,IFERROR(INDEX('在庫使用計画 (一般)'!$A$1:$BF$391,MATCH($C43,'在庫使用計画 (一般)'!$C$1:$C$391,0),MATCH(AX$1,'在庫使用計画 (一般)'!$A$1:$BF$1,0))*1,0),
_xlpm._法人検索,IFERROR(INDEX('在庫使用計画 (法人)'!$A$1:$BF$391,MATCH($C43,'在庫使用計画 (法人)'!$C$1:$C$391,0),MATCH(AX$1,'在庫使用計画 (法人)'!$A$1:$BF$1,0))*1,0),
_xlpm._合計,_xlpm._一般検索+_xlpm._法人検索,
IF(_xlpm._合計=0,"",_xlpm._合計)
)</f>
        <v>165</v>
      </c>
      <c r="AY43" s="224">
        <f>_xlfn.LET(
_xlpm._一般検索,IFERROR(INDEX('在庫使用計画 (一般)'!$A$1:$BF$391,MATCH($C43,'在庫使用計画 (一般)'!$C$1:$C$391,0),MATCH(AY$1,'在庫使用計画 (一般)'!$A$1:$BF$1,0))*1,0),
_xlpm._法人検索,IFERROR(INDEX('在庫使用計画 (法人)'!$A$1:$BF$391,MATCH($C43,'在庫使用計画 (法人)'!$C$1:$C$391,0),MATCH(AY$1,'在庫使用計画 (法人)'!$A$1:$BF$1,0))*1,0),
_xlpm._合計,_xlpm._一般検索+_xlpm._法人検索,
IF(_xlpm._合計=0,"",_xlpm._合計)
)</f>
        <v>105</v>
      </c>
      <c r="AZ43" s="224">
        <f>_xlfn.LET(
_xlpm._一般検索,IFERROR(INDEX('在庫使用計画 (一般)'!$A$1:$BF$391,MATCH($C43,'在庫使用計画 (一般)'!$C$1:$C$391,0),MATCH(AZ$1,'在庫使用計画 (一般)'!$A$1:$BF$1,0))*1,0),
_xlpm._法人検索,IFERROR(INDEX('在庫使用計画 (法人)'!$A$1:$BF$391,MATCH($C43,'在庫使用計画 (法人)'!$C$1:$C$391,0),MATCH(AZ$1,'在庫使用計画 (法人)'!$A$1:$BF$1,0))*1,0),
_xlpm._合計,_xlpm._一般検索+_xlpm._法人検索,
IF(_xlpm._合計=0,"",_xlpm._合計)
)</f>
        <v>85</v>
      </c>
      <c r="BA43" s="224">
        <f>_xlfn.LET(
_xlpm._一般検索,IFERROR(INDEX('在庫使用計画 (一般)'!$A$1:$BF$391,MATCH($C43,'在庫使用計画 (一般)'!$C$1:$C$391,0),MATCH(BA$1,'在庫使用計画 (一般)'!$A$1:$BF$1,0))*1,0),
_xlpm._法人検索,IFERROR(INDEX('在庫使用計画 (法人)'!$A$1:$BF$391,MATCH($C43,'在庫使用計画 (法人)'!$C$1:$C$391,0),MATCH(BA$1,'在庫使用計画 (法人)'!$A$1:$BF$1,0))*1,0),
_xlpm._合計,_xlpm._一般検索+_xlpm._法人検索,
IF(_xlpm._合計=0,"",_xlpm._合計)
)</f>
        <v>85</v>
      </c>
      <c r="BB43" s="224">
        <f>_xlfn.LET(
_xlpm._一般検索,IFERROR(INDEX('在庫使用計画 (一般)'!$A$1:$BF$391,MATCH($C43,'在庫使用計画 (一般)'!$C$1:$C$391,0),MATCH(BB$1,'在庫使用計画 (一般)'!$A$1:$BF$1,0))*1,0),
_xlpm._法人検索,IFERROR(INDEX('在庫使用計画 (法人)'!$A$1:$BF$391,MATCH($C43,'在庫使用計画 (法人)'!$C$1:$C$391,0),MATCH(BB$1,'在庫使用計画 (法人)'!$A$1:$BF$1,0))*1,0),
_xlpm._合計,_xlpm._一般検索+_xlpm._法人検索,
IF(_xlpm._合計=0,"",_xlpm._合計)
)</f>
        <v>85</v>
      </c>
      <c r="BC43" s="224">
        <f>_xlfn.LET(
_xlpm._一般検索,IFERROR(INDEX('在庫使用計画 (一般)'!$A$1:$BF$391,MATCH($C43,'在庫使用計画 (一般)'!$C$1:$C$391,0),MATCH(BC$1,'在庫使用計画 (一般)'!$A$1:$BF$1,0))*1,0),
_xlpm._法人検索,IFERROR(INDEX('在庫使用計画 (法人)'!$A$1:$BF$391,MATCH($C43,'在庫使用計画 (法人)'!$C$1:$C$391,0),MATCH(BC$1,'在庫使用計画 (法人)'!$A$1:$BF$1,0))*1,0),
_xlpm._合計,_xlpm._一般検索+_xlpm._法人検索,
IF(_xlpm._合計=0,"",_xlpm._合計)
)</f>
        <v>135</v>
      </c>
      <c r="BD43" s="224" t="str">
        <f>_xlfn.LET(
_xlpm._一般検索,IFERROR(INDEX('在庫使用計画 (一般)'!$A$1:$BF$391,MATCH($C43,'在庫使用計画 (一般)'!$C$1:$C$391,0),MATCH(BD$1,'在庫使用計画 (一般)'!$A$1:$BF$1,0))*1,0),
_xlpm._法人検索,IFERROR(INDEX('在庫使用計画 (法人)'!$A$1:$BF$391,MATCH($C43,'在庫使用計画 (法人)'!$C$1:$C$391,0),MATCH(BD$1,'在庫使用計画 (法人)'!$A$1:$BF$1,0))*1,0),
_xlpm._合計,_xlpm._一般検索+_xlpm._法人検索,
IF(_xlpm._合計=0,"",_xlpm._合計)
)</f>
        <v/>
      </c>
      <c r="BE43" s="224" t="str">
        <f>_xlfn.LET(
_xlpm._一般検索,IFERROR(INDEX('在庫使用計画 (一般)'!$A$1:$BF$391,MATCH($C43,'在庫使用計画 (一般)'!$C$1:$C$391,0),MATCH(BE$1,'在庫使用計画 (一般)'!$A$1:$BF$1,0))*1,0),
_xlpm._法人検索,IFERROR(INDEX('在庫使用計画 (法人)'!$A$1:$BF$391,MATCH($C43,'在庫使用計画 (法人)'!$C$1:$C$391,0),MATCH(BE$1,'在庫使用計画 (法人)'!$A$1:$BF$1,0))*1,0),
_xlpm._合計,_xlpm._一般検索+_xlpm._法人検索,
IF(_xlpm._合計=0,"",_xlpm._合計)
)</f>
        <v/>
      </c>
      <c r="BF43" s="224" t="str">
        <f>_xlfn.LET(
_xlpm._一般検索,IFERROR(INDEX('在庫使用計画 (一般)'!$A$1:$BF$391,MATCH($C43,'在庫使用計画 (一般)'!$C$1:$C$391,0),MATCH(BF$1,'在庫使用計画 (一般)'!$A$1:$BF$1,0))*1,0),
_xlpm._法人検索,IFERROR(INDEX('在庫使用計画 (法人)'!$A$1:$BF$391,MATCH($C43,'在庫使用計画 (法人)'!$C$1:$C$391,0),MATCH(BF$1,'在庫使用計画 (法人)'!$A$1:$BF$1,0))*1,0),
_xlpm._合計,_xlpm._一般検索+_xlpm._法人検索,
IF(_xlpm._合計=0,"",_xlpm._合計)
)</f>
        <v/>
      </c>
      <c r="BG43" s="237" t="str">
        <f>_xlfn.LET(
_xlpm._一般検索,IFERROR(INDEX('在庫使用計画 (一般)'!$A$1:$BF$391,MATCH($C43,'在庫使用計画 (一般)'!$C$1:$C$391,0),MATCH(BG$1,'在庫使用計画 (一般)'!$A$1:$BF$1,0))*1,0),
_xlpm._法人検索,IFERROR(INDEX('在庫使用計画 (法人)'!$A$1:$BF$391,MATCH($C43,'在庫使用計画 (法人)'!$C$1:$C$391,0),MATCH(BG$1,'在庫使用計画 (法人)'!$A$1:$BF$1,0))*1,0),
_xlpm._合計,_xlpm._一般検索+_xlpm._法人検索,
IF(_xlpm._合計=0,"",_xlpm._合計)
)</f>
        <v/>
      </c>
      <c r="BH43" s="804" t="str">
        <f>_xlfn.LET(
_xlpm._一般検索,IFERROR(INDEX('在庫使用計画 (一般)'!$A$1:$BF$391,MATCH($C43,'在庫使用計画 (一般)'!$C$1:$C$391,0),MATCH(BH$1,'在庫使用計画 (一般)'!$A$1:$BF$1,0))*1,0),
_xlpm._法人検索,IFERROR(INDEX('在庫使用計画 (法人)'!$A$1:$BF$391,MATCH($C43,'在庫使用計画 (法人)'!$C$1:$C$391,0),MATCH(BH$1,'在庫使用計画 (法人)'!$A$1:$BF$1,0))*1,0),
_xlpm._合計,_xlpm._一般検索+_xlpm._法人検索,
IF(_xlpm._合計=0,"",_xlpm._合計)
)</f>
        <v/>
      </c>
      <c r="BI43" s="224" t="str">
        <f>_xlfn.LET(
_xlpm._一般検索,IFERROR(INDEX('在庫使用計画 (一般)'!$A$1:$BF$391,MATCH($C43,'在庫使用計画 (一般)'!$C$1:$C$391,0),MATCH(BI$1,'在庫使用計画 (一般)'!$A$1:$BF$1,0))*1,0),
_xlpm._法人検索,IFERROR(INDEX('在庫使用計画 (法人)'!$A$1:$BF$391,MATCH($C43,'在庫使用計画 (法人)'!$C$1:$C$391,0),MATCH(BI$1,'在庫使用計画 (法人)'!$A$1:$BF$1,0))*1,0),
_xlpm._合計,_xlpm._一般検索+_xlpm._法人検索,
IF(_xlpm._合計=0,"",_xlpm._合計)
)</f>
        <v/>
      </c>
      <c r="BJ43" s="224" t="str">
        <f>_xlfn.LET(
_xlpm._一般検索,IFERROR(INDEX('在庫使用計画 (一般)'!$A$1:$BF$391,MATCH($C43,'在庫使用計画 (一般)'!$C$1:$C$391,0),MATCH(BJ$1,'在庫使用計画 (一般)'!$A$1:$BF$1,0))*1,0),
_xlpm._法人検索,IFERROR(INDEX('在庫使用計画 (法人)'!$A$1:$BF$391,MATCH($C43,'在庫使用計画 (法人)'!$C$1:$C$391,0),MATCH(BJ$1,'在庫使用計画 (法人)'!$A$1:$BF$1,0))*1,0),
_xlpm._合計,_xlpm._一般検索+_xlpm._法人検索,
IF(_xlpm._合計=0,"",_xlpm._合計)
)</f>
        <v/>
      </c>
      <c r="BK43" s="224" t="str">
        <f>_xlfn.LET(
_xlpm._一般検索,IFERROR(INDEX('在庫使用計画 (一般)'!$A$1:$BF$391,MATCH($C43,'在庫使用計画 (一般)'!$C$1:$C$391,0),MATCH(BK$1,'在庫使用計画 (一般)'!$A$1:$BF$1,0))*1,0),
_xlpm._法人検索,IFERROR(INDEX('在庫使用計画 (法人)'!$A$1:$BF$391,MATCH($C43,'在庫使用計画 (法人)'!$C$1:$C$391,0),MATCH(BK$1,'在庫使用計画 (法人)'!$A$1:$BF$1,0))*1,0),
_xlpm._合計,_xlpm._一般検索+_xlpm._法人検索,
IF(_xlpm._合計=0,"",_xlpm._合計)
)</f>
        <v/>
      </c>
      <c r="BL43" s="224" t="str">
        <f>_xlfn.LET(
_xlpm._一般検索,IFERROR(INDEX('在庫使用計画 (一般)'!$A$1:$BF$391,MATCH($C43,'在庫使用計画 (一般)'!$C$1:$C$391,0),MATCH(BL$1,'在庫使用計画 (一般)'!$A$1:$BF$1,0))*1,0),
_xlpm._法人検索,IFERROR(INDEX('在庫使用計画 (法人)'!$A$1:$BF$391,MATCH($C43,'在庫使用計画 (法人)'!$C$1:$C$391,0),MATCH(BL$1,'在庫使用計画 (法人)'!$A$1:$BF$1,0))*1,0),
_xlpm._合計,_xlpm._一般検索+_xlpm._法人検索,
IF(_xlpm._合計=0,"",_xlpm._合計)
)</f>
        <v/>
      </c>
      <c r="BM43" s="224" t="str">
        <f>_xlfn.LET(
_xlpm._一般検索,IFERROR(INDEX('在庫使用計画 (一般)'!$A$1:$BF$391,MATCH($C43,'在庫使用計画 (一般)'!$C$1:$C$391,0),MATCH(BM$1,'在庫使用計画 (一般)'!$A$1:$BF$1,0))*1,0),
_xlpm._法人検索,IFERROR(INDEX('在庫使用計画 (法人)'!$A$1:$BF$391,MATCH($C43,'在庫使用計画 (法人)'!$C$1:$C$391,0),MATCH(BM$1,'在庫使用計画 (法人)'!$A$1:$BF$1,0))*1,0),
_xlpm._合計,_xlpm._一般検索+_xlpm._法人検索,
IF(_xlpm._合計=0,"",_xlpm._合計)
)</f>
        <v/>
      </c>
      <c r="BN43" s="224" t="str">
        <f>_xlfn.LET(
_xlpm._一般検索,IFERROR(INDEX('在庫使用計画 (一般)'!$A$1:$BF$391,MATCH($C43,'在庫使用計画 (一般)'!$C$1:$C$391,0),MATCH(BN$1,'在庫使用計画 (一般)'!$A$1:$BF$1,0))*1,0),
_xlpm._法人検索,IFERROR(INDEX('在庫使用計画 (法人)'!$A$1:$BF$391,MATCH($C43,'在庫使用計画 (法人)'!$C$1:$C$391,0),MATCH(BN$1,'在庫使用計画 (法人)'!$A$1:$BF$1,0))*1,0),
_xlpm._合計,_xlpm._一般検索+_xlpm._法人検索,
IF(_xlpm._合計=0,"",_xlpm._合計)
)</f>
        <v/>
      </c>
      <c r="BO43" s="224" t="str">
        <f>_xlfn.LET(
_xlpm._一般検索,IFERROR(INDEX('在庫使用計画 (一般)'!$A$1:$BF$391,MATCH($C43,'在庫使用計画 (一般)'!$C$1:$C$391,0),MATCH(BO$1,'在庫使用計画 (一般)'!$A$1:$BF$1,0))*1,0),
_xlpm._法人検索,IFERROR(INDEX('在庫使用計画 (法人)'!$A$1:$BF$391,MATCH($C43,'在庫使用計画 (法人)'!$C$1:$C$391,0),MATCH(BO$1,'在庫使用計画 (法人)'!$A$1:$BF$1,0))*1,0),
_xlpm._合計,_xlpm._一般検索+_xlpm._法人検索,
IF(_xlpm._合計=0,"",_xlpm._合計)
)</f>
        <v/>
      </c>
      <c r="BP43" s="224" t="str">
        <f>_xlfn.LET(
_xlpm._一般検索,IFERROR(INDEX('在庫使用計画 (一般)'!$A$1:$BF$391,MATCH($C43,'在庫使用計画 (一般)'!$C$1:$C$391,0),MATCH(BP$1,'在庫使用計画 (一般)'!$A$1:$BF$1,0))*1,0),
_xlpm._法人検索,IFERROR(INDEX('在庫使用計画 (法人)'!$A$1:$BF$391,MATCH($C43,'在庫使用計画 (法人)'!$C$1:$C$391,0),MATCH(BP$1,'在庫使用計画 (法人)'!$A$1:$BF$1,0))*1,0),
_xlpm._合計,_xlpm._一般検索+_xlpm._法人検索,
IF(_xlpm._合計=0,"",_xlpm._合計)
)</f>
        <v/>
      </c>
      <c r="BQ43" s="224" t="str">
        <f>_xlfn.LET(
_xlpm._一般検索,IFERROR(INDEX('在庫使用計画 (一般)'!$A$1:$BF$391,MATCH($C43,'在庫使用計画 (一般)'!$C$1:$C$391,0),MATCH(BQ$1,'在庫使用計画 (一般)'!$A$1:$BF$1,0))*1,0),
_xlpm._法人検索,IFERROR(INDEX('在庫使用計画 (法人)'!$A$1:$BF$391,MATCH($C43,'在庫使用計画 (法人)'!$C$1:$C$391,0),MATCH(BQ$1,'在庫使用計画 (法人)'!$A$1:$BF$1,0))*1,0),
_xlpm._合計,_xlpm._一般検索+_xlpm._法人検索,
IF(_xlpm._合計=0,"",_xlpm._合計)
)</f>
        <v/>
      </c>
      <c r="BR43" s="224" t="str">
        <f>_xlfn.LET(
_xlpm._一般検索,IFERROR(INDEX('在庫使用計画 (一般)'!$A$1:$BF$391,MATCH($C43,'在庫使用計画 (一般)'!$C$1:$C$391,0),MATCH(BR$1,'在庫使用計画 (一般)'!$A$1:$BF$1,0))*1,0),
_xlpm._法人検索,IFERROR(INDEX('在庫使用計画 (法人)'!$A$1:$BF$391,MATCH($C43,'在庫使用計画 (法人)'!$C$1:$C$391,0),MATCH(BR$1,'在庫使用計画 (法人)'!$A$1:$BF$1,0))*1,0),
_xlpm._合計,_xlpm._一般検索+_xlpm._法人検索,
IF(_xlpm._合計=0,"",_xlpm._合計)
)</f>
        <v/>
      </c>
      <c r="BS43" s="805" t="str">
        <f>_xlfn.LET(
_xlpm._一般検索,IFERROR(INDEX('在庫使用計画 (一般)'!$A$1:$BF$391,MATCH($C43,'在庫使用計画 (一般)'!$C$1:$C$391,0),MATCH(BS$1,'在庫使用計画 (一般)'!$A$1:$BF$1,0))*1,0),
_xlpm._法人検索,IFERROR(INDEX('在庫使用計画 (法人)'!$A$1:$BF$391,MATCH($C43,'在庫使用計画 (法人)'!$C$1:$C$391,0),MATCH(BS$1,'在庫使用計画 (法人)'!$A$1:$BF$1,0))*1,0),
_xlpm._合計,_xlpm._一般検索+_xlpm._法人検索,
IF(_xlpm._合計=0,"",_xlpm._合計)
)</f>
        <v/>
      </c>
      <c r="BT43" s="21"/>
    </row>
    <row r="44" spans="1:72" customFormat="1" ht="18.75" customHeight="1" thickBot="1">
      <c r="A44" s="1061" t="s">
        <v>1644</v>
      </c>
      <c r="B44" s="494" t="str">
        <v>WZN-A14JG-125U-UMA-32G-L7-GC</v>
      </c>
      <c r="C44" s="2070" t="s">
        <v>1646</v>
      </c>
      <c r="D44" s="2156">
        <v>505</v>
      </c>
      <c r="E44" s="1267" t="s">
        <v>1814</v>
      </c>
      <c r="F44" s="24"/>
      <c r="G44" s="74">
        <v>505</v>
      </c>
      <c r="H44" s="38">
        <v>0</v>
      </c>
      <c r="I44" s="38" cm="1">
        <f t="array" ref="I44">IF($C44="","",
_xlfn.LET(
  _xlpm._見出し,$A$1:$BT$1,
  _xlpm._行,$A44:$BT44,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134</v>
      </c>
      <c r="J44" s="74" cm="1">
        <f t="array" ref="J44">_xlfn.LET(
  _xlpm._見出し,$A$1:$BS$1,
  _xlpm._行,$A44:$BS44,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IF($C44="","",_xlpm._四点五月計画合計)
)</f>
        <v>219</v>
      </c>
      <c r="K44" s="1458" cm="1">
        <f t="array" ref="K44">_xlfn.IFS(
  $C44="","",
  $G44="","発売前？",
  $G44=0,"在庫なし",
  TRUE,
  IFERROR(
    _xlfn.LET(
      _xlpm._在庫注残,     $G44,
      _xlpm._しきい値,     _xlpm._在庫注残 * 0.75,
      _xlpm._見出し元,     $L$1:$BU$1,
      _xlpm._計画,         $L44:$BU44,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46357</v>
      </c>
      <c r="L44" s="38"/>
      <c r="M44" s="38"/>
      <c r="N44" s="38"/>
      <c r="O44" s="38"/>
      <c r="P44" s="38"/>
      <c r="Q44" s="38"/>
      <c r="R44" s="38"/>
      <c r="S44" s="38"/>
      <c r="T44" s="219"/>
      <c r="U44" s="219"/>
      <c r="V44" s="219"/>
      <c r="W44" s="298"/>
      <c r="X44" s="299"/>
      <c r="Y44" s="299"/>
      <c r="Z44" s="299"/>
      <c r="AA44" s="343"/>
      <c r="AB44" s="224"/>
      <c r="AC44" s="224"/>
      <c r="AD44" s="237" t="s">
        <v>21</v>
      </c>
      <c r="AE44" s="237" t="s">
        <v>21</v>
      </c>
      <c r="AF44" s="237" t="s">
        <v>21</v>
      </c>
      <c r="AG44" s="237"/>
      <c r="AH44" s="224" t="s">
        <v>21</v>
      </c>
      <c r="AI44" s="237" t="s">
        <v>21</v>
      </c>
      <c r="AJ44" s="804" t="s">
        <v>21</v>
      </c>
      <c r="AK44" s="224" t="s">
        <v>21</v>
      </c>
      <c r="AL44" s="224" t="s">
        <v>21</v>
      </c>
      <c r="AM44" s="224" t="s">
        <v>21</v>
      </c>
      <c r="AN44" s="224" t="str">
        <f>_xlfn.LET(
_xlpm._一般検索,IFERROR(INDEX('在庫使用計画 (一般)'!$A$1:$BF$391,MATCH($C44,'在庫使用計画 (一般)'!$C$1:$C$391,0),MATCH(AN$1,'在庫使用計画 (一般)'!$A$1:$BF$1,0))*1,0),
_xlpm._法人検索,IFERROR(INDEX('在庫使用計画 (法人)'!$A$1:$BF$391,MATCH($C44,'在庫使用計画 (法人)'!$C$1:$C$391,0),MATCH(AN$1,'在庫使用計画 (法人)'!$A$1:$BF$1,0))*1,0),
_xlpm._合計,_xlpm._一般検索+_xlpm._法人検索,
IF(_xlpm._合計=0,"",_xlpm._合計)
)</f>
        <v/>
      </c>
      <c r="AO44" s="224" t="str">
        <f>_xlfn.LET(
_xlpm._一般検索,IFERROR(INDEX('在庫使用計画 (一般)'!$A$1:$BF$391,MATCH($C44,'在庫使用計画 (一般)'!$C$1:$C$391,0),MATCH(AO$1,'在庫使用計画 (一般)'!$A$1:$BF$1,0))*1,0),
_xlpm._法人検索,IFERROR(INDEX('在庫使用計画 (法人)'!$A$1:$BF$391,MATCH($C44,'在庫使用計画 (法人)'!$C$1:$C$391,0),MATCH(AO$1,'在庫使用計画 (法人)'!$A$1:$BF$1,0))*1,0),
_xlpm._合計,_xlpm._一般検索+_xlpm._法人検索,
IF(_xlpm._合計=0,"",_xlpm._合計)
)</f>
        <v/>
      </c>
      <c r="AP44" s="224" t="str">
        <f>_xlfn.LET(
_xlpm._一般検索,IFERROR(INDEX('在庫使用計画 (一般)'!$A$1:$BF$391,MATCH($C44,'在庫使用計画 (一般)'!$C$1:$C$391,0),MATCH(AP$1,'在庫使用計画 (一般)'!$A$1:$BF$1,0))*1,0),
_xlpm._法人検索,IFERROR(INDEX('在庫使用計画 (法人)'!$A$1:$BF$391,MATCH($C44,'在庫使用計画 (法人)'!$C$1:$C$391,0),MATCH(AP$1,'在庫使用計画 (法人)'!$A$1:$BF$1,0))*1,0),
_xlpm._合計,_xlpm._一般検索+_xlpm._法人検索,
IF(_xlpm._合計=0,"",_xlpm._合計)
)</f>
        <v/>
      </c>
      <c r="AQ44" s="224" t="str">
        <f>_xlfn.LET(
_xlpm._一般検索,IFERROR(INDEX('在庫使用計画 (一般)'!$A$1:$BF$391,MATCH($C44,'在庫使用計画 (一般)'!$C$1:$C$391,0),MATCH(AQ$1,'在庫使用計画 (一般)'!$A$1:$BF$1,0))*1,0),
_xlpm._法人検索,IFERROR(INDEX('在庫使用計画 (法人)'!$A$1:$BF$391,MATCH($C44,'在庫使用計画 (法人)'!$C$1:$C$391,0),MATCH(AQ$1,'在庫使用計画 (法人)'!$A$1:$BF$1,0))*1,0),
_xlpm._合計,_xlpm._一般検索+_xlpm._法人検索,
IF(_xlpm._合計=0,"",_xlpm._合計)
)</f>
        <v/>
      </c>
      <c r="AR44" s="224">
        <f>_xlfn.LET(
_xlpm._一般検索,IFERROR(INDEX('在庫使用計画 (一般)'!$A$1:$BF$391,MATCH($C44,'在庫使用計画 (一般)'!$C$1:$C$391,0),MATCH(AR$1,'在庫使用計画 (一般)'!$A$1:$BF$1,0))*1,0),
_xlpm._法人検索,IFERROR(INDEX('在庫使用計画 (法人)'!$A$1:$BF$391,MATCH($C44,'在庫使用計画 (法人)'!$C$1:$C$391,0),MATCH(AR$1,'在庫使用計画 (法人)'!$A$1:$BF$1,0))*1,0),
_xlpm._合計,_xlpm._一般検索+_xlpm._法人検索,
IF(_xlpm._合計=0,"",_xlpm._合計)
)</f>
        <v>41</v>
      </c>
      <c r="AS44" s="224">
        <f>_xlfn.LET(
_xlpm._一般検索,IFERROR(INDEX('在庫使用計画 (一般)'!$A$1:$BF$391,MATCH($C44,'在庫使用計画 (一般)'!$C$1:$C$391,0),MATCH(AS$1,'在庫使用計画 (一般)'!$A$1:$BF$1,0))*1,0),
_xlpm._法人検索,IFERROR(INDEX('在庫使用計画 (法人)'!$A$1:$BF$391,MATCH($C44,'在庫使用計画 (法人)'!$C$1:$C$391,0),MATCH(AS$1,'在庫使用計画 (法人)'!$A$1:$BF$1,0))*1,0),
_xlpm._合計,_xlpm._一般検索+_xlpm._法人検索,
IF(_xlpm._合計=0,"",_xlpm._合計)
)</f>
        <v>93</v>
      </c>
      <c r="AT44" s="224">
        <f>_xlfn.LET(
_xlpm._一般検索,IFERROR(INDEX('在庫使用計画 (一般)'!$A$1:$BF$391,MATCH($C44,'在庫使用計画 (一般)'!$C$1:$C$391,0),MATCH(AT$1,'在庫使用計画 (一般)'!$A$1:$BF$1,0))*1,0),
_xlpm._法人検索,IFERROR(INDEX('在庫使用計画 (法人)'!$A$1:$BF$391,MATCH($C44,'在庫使用計画 (法人)'!$C$1:$C$391,0),MATCH(AT$1,'在庫使用計画 (法人)'!$A$1:$BF$1,0))*1,0),
_xlpm._合計,_xlpm._一般検索+_xlpm._法人検索,
IF(_xlpm._合計=0,"",_xlpm._合計)
)</f>
        <v>85</v>
      </c>
      <c r="AU44" s="805">
        <f>_xlfn.LET(
_xlpm._一般検索,IFERROR(INDEX('在庫使用計画 (一般)'!$A$1:$BF$391,MATCH($C44,'在庫使用計画 (一般)'!$C$1:$C$391,0),MATCH(AU$1,'在庫使用計画 (一般)'!$A$1:$BF$1,0))*1,0),
_xlpm._法人検索,IFERROR(INDEX('在庫使用計画 (法人)'!$A$1:$BF$391,MATCH($C44,'在庫使用計画 (法人)'!$C$1:$C$391,0),MATCH(AU$1,'在庫使用計画 (法人)'!$A$1:$BF$1,0))*1,0),
_xlpm._合計,_xlpm._一般検索+_xlpm._法人検索,
IF(_xlpm._合計=0,"",_xlpm._合計)
)</f>
        <v>165</v>
      </c>
      <c r="AV44" s="244">
        <f>_xlfn.LET(
_xlpm._一般検索,IFERROR(INDEX('在庫使用計画 (一般)'!$A$1:$BF$391,MATCH($C44,'在庫使用計画 (一般)'!$C$1:$C$391,0),MATCH(AV$1,'在庫使用計画 (一般)'!$A$1:$BF$1,0))*1,0),
_xlpm._法人検索,IFERROR(INDEX('在庫使用計画 (法人)'!$A$1:$BF$391,MATCH($C44,'在庫使用計画 (法人)'!$C$1:$C$391,0),MATCH(AV$1,'在庫使用計画 (法人)'!$A$1:$BF$1,0))*1,0),
_xlpm._合計,_xlpm._一般検索+_xlpm._法人検索,
IF(_xlpm._合計=0,"",_xlpm._合計)
)</f>
        <v>155</v>
      </c>
      <c r="AW44" s="224">
        <f>_xlfn.LET(
_xlpm._一般検索,IFERROR(INDEX('在庫使用計画 (一般)'!$A$1:$BF$391,MATCH($C44,'在庫使用計画 (一般)'!$C$1:$C$391,0),MATCH(AW$1,'在庫使用計画 (一般)'!$A$1:$BF$1,0))*1,0),
_xlpm._法人検索,IFERROR(INDEX('在庫使用計画 (法人)'!$A$1:$BF$391,MATCH($C44,'在庫使用計画 (法人)'!$C$1:$C$391,0),MATCH(AW$1,'在庫使用計画 (法人)'!$A$1:$BF$1,0))*1,0),
_xlpm._合計,_xlpm._一般検索+_xlpm._法人検索,
IF(_xlpm._合計=0,"",_xlpm._合計)
)</f>
        <v>105</v>
      </c>
      <c r="AX44" s="224">
        <f>_xlfn.LET(
_xlpm._一般検索,IFERROR(INDEX('在庫使用計画 (一般)'!$A$1:$BF$391,MATCH($C44,'在庫使用計画 (一般)'!$C$1:$C$391,0),MATCH(AX$1,'在庫使用計画 (一般)'!$A$1:$BF$1,0))*1,0),
_xlpm._法人検索,IFERROR(INDEX('在庫使用計画 (法人)'!$A$1:$BF$391,MATCH($C44,'在庫使用計画 (法人)'!$C$1:$C$391,0),MATCH(AX$1,'在庫使用計画 (法人)'!$A$1:$BF$1,0))*1,0),
_xlpm._合計,_xlpm._一般検索+_xlpm._法人検索,
IF(_xlpm._合計=0,"",_xlpm._合計)
)</f>
        <v>165</v>
      </c>
      <c r="AY44" s="224">
        <f>_xlfn.LET(
_xlpm._一般検索,IFERROR(INDEX('在庫使用計画 (一般)'!$A$1:$BF$391,MATCH($C44,'在庫使用計画 (一般)'!$C$1:$C$391,0),MATCH(AY$1,'在庫使用計画 (一般)'!$A$1:$BF$1,0))*1,0),
_xlpm._法人検索,IFERROR(INDEX('在庫使用計画 (法人)'!$A$1:$BF$391,MATCH($C44,'在庫使用計画 (法人)'!$C$1:$C$391,0),MATCH(AY$1,'在庫使用計画 (法人)'!$A$1:$BF$1,0))*1,0),
_xlpm._合計,_xlpm._一般検索+_xlpm._法人検索,
IF(_xlpm._合計=0,"",_xlpm._合計)
)</f>
        <v>95</v>
      </c>
      <c r="AZ44" s="224">
        <f>_xlfn.LET(
_xlpm._一般検索,IFERROR(INDEX('在庫使用計画 (一般)'!$A$1:$BF$391,MATCH($C44,'在庫使用計画 (一般)'!$C$1:$C$391,0),MATCH(AZ$1,'在庫使用計画 (一般)'!$A$1:$BF$1,0))*1,0),
_xlpm._法人検索,IFERROR(INDEX('在庫使用計画 (法人)'!$A$1:$BF$391,MATCH($C44,'在庫使用計画 (法人)'!$C$1:$C$391,0),MATCH(AZ$1,'在庫使用計画 (法人)'!$A$1:$BF$1,0))*1,0),
_xlpm._合計,_xlpm._一般検索+_xlpm._法人検索,
IF(_xlpm._合計=0,"",_xlpm._合計)
)</f>
        <v>75</v>
      </c>
      <c r="BA44" s="224">
        <f>_xlfn.LET(
_xlpm._一般検索,IFERROR(INDEX('在庫使用計画 (一般)'!$A$1:$BF$391,MATCH($C44,'在庫使用計画 (一般)'!$C$1:$C$391,0),MATCH(BA$1,'在庫使用計画 (一般)'!$A$1:$BF$1,0))*1,0),
_xlpm._法人検索,IFERROR(INDEX('在庫使用計画 (法人)'!$A$1:$BF$391,MATCH($C44,'在庫使用計画 (法人)'!$C$1:$C$391,0),MATCH(BA$1,'在庫使用計画 (法人)'!$A$1:$BF$1,0))*1,0),
_xlpm._合計,_xlpm._一般検索+_xlpm._法人検索,
IF(_xlpm._合計=0,"",_xlpm._合計)
)</f>
        <v>75</v>
      </c>
      <c r="BB44" s="224">
        <f>_xlfn.LET(
_xlpm._一般検索,IFERROR(INDEX('在庫使用計画 (一般)'!$A$1:$BF$391,MATCH($C44,'在庫使用計画 (一般)'!$C$1:$C$391,0),MATCH(BB$1,'在庫使用計画 (一般)'!$A$1:$BF$1,0))*1,0),
_xlpm._法人検索,IFERROR(INDEX('在庫使用計画 (法人)'!$A$1:$BF$391,MATCH($C44,'在庫使用計画 (法人)'!$C$1:$C$391,0),MATCH(BB$1,'在庫使用計画 (法人)'!$A$1:$BF$1,0))*1,0),
_xlpm._合計,_xlpm._一般検索+_xlpm._法人検索,
IF(_xlpm._合計=0,"",_xlpm._合計)
)</f>
        <v>75</v>
      </c>
      <c r="BC44" s="224">
        <f>_xlfn.LET(
_xlpm._一般検索,IFERROR(INDEX('在庫使用計画 (一般)'!$A$1:$BF$391,MATCH($C44,'在庫使用計画 (一般)'!$C$1:$C$391,0),MATCH(BC$1,'在庫使用計画 (一般)'!$A$1:$BF$1,0))*1,0),
_xlpm._法人検索,IFERROR(INDEX('在庫使用計画 (法人)'!$A$1:$BF$391,MATCH($C44,'在庫使用計画 (法人)'!$C$1:$C$391,0),MATCH(BC$1,'在庫使用計画 (法人)'!$A$1:$BF$1,0))*1,0),
_xlpm._合計,_xlpm._一般検索+_xlpm._法人検索,
IF(_xlpm._合計=0,"",_xlpm._合計)
)</f>
        <v>125</v>
      </c>
      <c r="BD44" s="224" t="str">
        <f>_xlfn.LET(
_xlpm._一般検索,IFERROR(INDEX('在庫使用計画 (一般)'!$A$1:$BF$391,MATCH($C44,'在庫使用計画 (一般)'!$C$1:$C$391,0),MATCH(BD$1,'在庫使用計画 (一般)'!$A$1:$BF$1,0))*1,0),
_xlpm._法人検索,IFERROR(INDEX('在庫使用計画 (法人)'!$A$1:$BF$391,MATCH($C44,'在庫使用計画 (法人)'!$C$1:$C$391,0),MATCH(BD$1,'在庫使用計画 (法人)'!$A$1:$BF$1,0))*1,0),
_xlpm._合計,_xlpm._一般検索+_xlpm._法人検索,
IF(_xlpm._合計=0,"",_xlpm._合計)
)</f>
        <v/>
      </c>
      <c r="BE44" s="224" t="str">
        <f>_xlfn.LET(
_xlpm._一般検索,IFERROR(INDEX('在庫使用計画 (一般)'!$A$1:$BF$391,MATCH($C44,'在庫使用計画 (一般)'!$C$1:$C$391,0),MATCH(BE$1,'在庫使用計画 (一般)'!$A$1:$BF$1,0))*1,0),
_xlpm._法人検索,IFERROR(INDEX('在庫使用計画 (法人)'!$A$1:$BF$391,MATCH($C44,'在庫使用計画 (法人)'!$C$1:$C$391,0),MATCH(BE$1,'在庫使用計画 (法人)'!$A$1:$BF$1,0))*1,0),
_xlpm._合計,_xlpm._一般検索+_xlpm._法人検索,
IF(_xlpm._合計=0,"",_xlpm._合計)
)</f>
        <v/>
      </c>
      <c r="BF44" s="224" t="str">
        <f>_xlfn.LET(
_xlpm._一般検索,IFERROR(INDEX('在庫使用計画 (一般)'!$A$1:$BF$391,MATCH($C44,'在庫使用計画 (一般)'!$C$1:$C$391,0),MATCH(BF$1,'在庫使用計画 (一般)'!$A$1:$BF$1,0))*1,0),
_xlpm._法人検索,IFERROR(INDEX('在庫使用計画 (法人)'!$A$1:$BF$391,MATCH($C44,'在庫使用計画 (法人)'!$C$1:$C$391,0),MATCH(BF$1,'在庫使用計画 (法人)'!$A$1:$BF$1,0))*1,0),
_xlpm._合計,_xlpm._一般検索+_xlpm._法人検索,
IF(_xlpm._合計=0,"",_xlpm._合計)
)</f>
        <v/>
      </c>
      <c r="BG44" s="237" t="str">
        <f>_xlfn.LET(
_xlpm._一般検索,IFERROR(INDEX('在庫使用計画 (一般)'!$A$1:$BF$391,MATCH($C44,'在庫使用計画 (一般)'!$C$1:$C$391,0),MATCH(BG$1,'在庫使用計画 (一般)'!$A$1:$BF$1,0))*1,0),
_xlpm._法人検索,IFERROR(INDEX('在庫使用計画 (法人)'!$A$1:$BF$391,MATCH($C44,'在庫使用計画 (法人)'!$C$1:$C$391,0),MATCH(BG$1,'在庫使用計画 (法人)'!$A$1:$BF$1,0))*1,0),
_xlpm._合計,_xlpm._一般検索+_xlpm._法人検索,
IF(_xlpm._合計=0,"",_xlpm._合計)
)</f>
        <v/>
      </c>
      <c r="BH44" s="804" t="str">
        <f>_xlfn.LET(
_xlpm._一般検索,IFERROR(INDEX('在庫使用計画 (一般)'!$A$1:$BF$391,MATCH($C44,'在庫使用計画 (一般)'!$C$1:$C$391,0),MATCH(BH$1,'在庫使用計画 (一般)'!$A$1:$BF$1,0))*1,0),
_xlpm._法人検索,IFERROR(INDEX('在庫使用計画 (法人)'!$A$1:$BF$391,MATCH($C44,'在庫使用計画 (法人)'!$C$1:$C$391,0),MATCH(BH$1,'在庫使用計画 (法人)'!$A$1:$BF$1,0))*1,0),
_xlpm._合計,_xlpm._一般検索+_xlpm._法人検索,
IF(_xlpm._合計=0,"",_xlpm._合計)
)</f>
        <v/>
      </c>
      <c r="BI44" s="224" t="str">
        <f>_xlfn.LET(
_xlpm._一般検索,IFERROR(INDEX('在庫使用計画 (一般)'!$A$1:$BF$391,MATCH($C44,'在庫使用計画 (一般)'!$C$1:$C$391,0),MATCH(BI$1,'在庫使用計画 (一般)'!$A$1:$BF$1,0))*1,0),
_xlpm._法人検索,IFERROR(INDEX('在庫使用計画 (法人)'!$A$1:$BF$391,MATCH($C44,'在庫使用計画 (法人)'!$C$1:$C$391,0),MATCH(BI$1,'在庫使用計画 (法人)'!$A$1:$BF$1,0))*1,0),
_xlpm._合計,_xlpm._一般検索+_xlpm._法人検索,
IF(_xlpm._合計=0,"",_xlpm._合計)
)</f>
        <v/>
      </c>
      <c r="BJ44" s="224" t="str">
        <f>_xlfn.LET(
_xlpm._一般検索,IFERROR(INDEX('在庫使用計画 (一般)'!$A$1:$BF$391,MATCH($C44,'在庫使用計画 (一般)'!$C$1:$C$391,0),MATCH(BJ$1,'在庫使用計画 (一般)'!$A$1:$BF$1,0))*1,0),
_xlpm._法人検索,IFERROR(INDEX('在庫使用計画 (法人)'!$A$1:$BF$391,MATCH($C44,'在庫使用計画 (法人)'!$C$1:$C$391,0),MATCH(BJ$1,'在庫使用計画 (法人)'!$A$1:$BF$1,0))*1,0),
_xlpm._合計,_xlpm._一般検索+_xlpm._法人検索,
IF(_xlpm._合計=0,"",_xlpm._合計)
)</f>
        <v/>
      </c>
      <c r="BK44" s="224" t="str">
        <f>_xlfn.LET(
_xlpm._一般検索,IFERROR(INDEX('在庫使用計画 (一般)'!$A$1:$BF$391,MATCH($C44,'在庫使用計画 (一般)'!$C$1:$C$391,0),MATCH(BK$1,'在庫使用計画 (一般)'!$A$1:$BF$1,0))*1,0),
_xlpm._法人検索,IFERROR(INDEX('在庫使用計画 (法人)'!$A$1:$BF$391,MATCH($C44,'在庫使用計画 (法人)'!$C$1:$C$391,0),MATCH(BK$1,'在庫使用計画 (法人)'!$A$1:$BF$1,0))*1,0),
_xlpm._合計,_xlpm._一般検索+_xlpm._法人検索,
IF(_xlpm._合計=0,"",_xlpm._合計)
)</f>
        <v/>
      </c>
      <c r="BL44" s="224" t="str">
        <f>_xlfn.LET(
_xlpm._一般検索,IFERROR(INDEX('在庫使用計画 (一般)'!$A$1:$BF$391,MATCH($C44,'在庫使用計画 (一般)'!$C$1:$C$391,0),MATCH(BL$1,'在庫使用計画 (一般)'!$A$1:$BF$1,0))*1,0),
_xlpm._法人検索,IFERROR(INDEX('在庫使用計画 (法人)'!$A$1:$BF$391,MATCH($C44,'在庫使用計画 (法人)'!$C$1:$C$391,0),MATCH(BL$1,'在庫使用計画 (法人)'!$A$1:$BF$1,0))*1,0),
_xlpm._合計,_xlpm._一般検索+_xlpm._法人検索,
IF(_xlpm._合計=0,"",_xlpm._合計)
)</f>
        <v/>
      </c>
      <c r="BM44" s="224" t="str">
        <f>_xlfn.LET(
_xlpm._一般検索,IFERROR(INDEX('在庫使用計画 (一般)'!$A$1:$BF$391,MATCH($C44,'在庫使用計画 (一般)'!$C$1:$C$391,0),MATCH(BM$1,'在庫使用計画 (一般)'!$A$1:$BF$1,0))*1,0),
_xlpm._法人検索,IFERROR(INDEX('在庫使用計画 (法人)'!$A$1:$BF$391,MATCH($C44,'在庫使用計画 (法人)'!$C$1:$C$391,0),MATCH(BM$1,'在庫使用計画 (法人)'!$A$1:$BF$1,0))*1,0),
_xlpm._合計,_xlpm._一般検索+_xlpm._法人検索,
IF(_xlpm._合計=0,"",_xlpm._合計)
)</f>
        <v/>
      </c>
      <c r="BN44" s="224" t="str">
        <f>_xlfn.LET(
_xlpm._一般検索,IFERROR(INDEX('在庫使用計画 (一般)'!$A$1:$BF$391,MATCH($C44,'在庫使用計画 (一般)'!$C$1:$C$391,0),MATCH(BN$1,'在庫使用計画 (一般)'!$A$1:$BF$1,0))*1,0),
_xlpm._法人検索,IFERROR(INDEX('在庫使用計画 (法人)'!$A$1:$BF$391,MATCH($C44,'在庫使用計画 (法人)'!$C$1:$C$391,0),MATCH(BN$1,'在庫使用計画 (法人)'!$A$1:$BF$1,0))*1,0),
_xlpm._合計,_xlpm._一般検索+_xlpm._法人検索,
IF(_xlpm._合計=0,"",_xlpm._合計)
)</f>
        <v/>
      </c>
      <c r="BO44" s="224" t="str">
        <f>_xlfn.LET(
_xlpm._一般検索,IFERROR(INDEX('在庫使用計画 (一般)'!$A$1:$BF$391,MATCH($C44,'在庫使用計画 (一般)'!$C$1:$C$391,0),MATCH(BO$1,'在庫使用計画 (一般)'!$A$1:$BF$1,0))*1,0),
_xlpm._法人検索,IFERROR(INDEX('在庫使用計画 (法人)'!$A$1:$BF$391,MATCH($C44,'在庫使用計画 (法人)'!$C$1:$C$391,0),MATCH(BO$1,'在庫使用計画 (法人)'!$A$1:$BF$1,0))*1,0),
_xlpm._合計,_xlpm._一般検索+_xlpm._法人検索,
IF(_xlpm._合計=0,"",_xlpm._合計)
)</f>
        <v/>
      </c>
      <c r="BP44" s="224" t="str">
        <f>_xlfn.LET(
_xlpm._一般検索,IFERROR(INDEX('在庫使用計画 (一般)'!$A$1:$BF$391,MATCH($C44,'在庫使用計画 (一般)'!$C$1:$C$391,0),MATCH(BP$1,'在庫使用計画 (一般)'!$A$1:$BF$1,0))*1,0),
_xlpm._法人検索,IFERROR(INDEX('在庫使用計画 (法人)'!$A$1:$BF$391,MATCH($C44,'在庫使用計画 (法人)'!$C$1:$C$391,0),MATCH(BP$1,'在庫使用計画 (法人)'!$A$1:$BF$1,0))*1,0),
_xlpm._合計,_xlpm._一般検索+_xlpm._法人検索,
IF(_xlpm._合計=0,"",_xlpm._合計)
)</f>
        <v/>
      </c>
      <c r="BQ44" s="224" t="str">
        <f>_xlfn.LET(
_xlpm._一般検索,IFERROR(INDEX('在庫使用計画 (一般)'!$A$1:$BF$391,MATCH($C44,'在庫使用計画 (一般)'!$C$1:$C$391,0),MATCH(BQ$1,'在庫使用計画 (一般)'!$A$1:$BF$1,0))*1,0),
_xlpm._法人検索,IFERROR(INDEX('在庫使用計画 (法人)'!$A$1:$BF$391,MATCH($C44,'在庫使用計画 (法人)'!$C$1:$C$391,0),MATCH(BQ$1,'在庫使用計画 (法人)'!$A$1:$BF$1,0))*1,0),
_xlpm._合計,_xlpm._一般検索+_xlpm._法人検索,
IF(_xlpm._合計=0,"",_xlpm._合計)
)</f>
        <v/>
      </c>
      <c r="BR44" s="224" t="str">
        <f>_xlfn.LET(
_xlpm._一般検索,IFERROR(INDEX('在庫使用計画 (一般)'!$A$1:$BF$391,MATCH($C44,'在庫使用計画 (一般)'!$C$1:$C$391,0),MATCH(BR$1,'在庫使用計画 (一般)'!$A$1:$BF$1,0))*1,0),
_xlpm._法人検索,IFERROR(INDEX('在庫使用計画 (法人)'!$A$1:$BF$391,MATCH($C44,'在庫使用計画 (法人)'!$C$1:$C$391,0),MATCH(BR$1,'在庫使用計画 (法人)'!$A$1:$BF$1,0))*1,0),
_xlpm._合計,_xlpm._一般検索+_xlpm._法人検索,
IF(_xlpm._合計=0,"",_xlpm._合計)
)</f>
        <v/>
      </c>
      <c r="BS44" s="805" t="str">
        <f>_xlfn.LET(
_xlpm._一般検索,IFERROR(INDEX('在庫使用計画 (一般)'!$A$1:$BF$391,MATCH($C44,'在庫使用計画 (一般)'!$C$1:$C$391,0),MATCH(BS$1,'在庫使用計画 (一般)'!$A$1:$BF$1,0))*1,0),
_xlpm._法人検索,IFERROR(INDEX('在庫使用計画 (法人)'!$A$1:$BF$391,MATCH($C44,'在庫使用計画 (法人)'!$C$1:$C$391,0),MATCH(BS$1,'在庫使用計画 (法人)'!$A$1:$BF$1,0))*1,0),
_xlpm._合計,_xlpm._一般検索+_xlpm._法人検索,
IF(_xlpm._合計=0,"",_xlpm._合計)
)</f>
        <v/>
      </c>
      <c r="BT44" s="21"/>
    </row>
    <row r="45" spans="1:72" customFormat="1" ht="18.75" customHeight="1">
      <c r="A45" s="1061"/>
      <c r="B45" s="26" t="str">
        <v/>
      </c>
      <c r="C45" s="57"/>
      <c r="D45" s="2156" t="str">
        <v/>
      </c>
      <c r="E45" s="68"/>
      <c r="F45" s="68"/>
      <c r="G45" s="74" t="str">
        <v/>
      </c>
      <c r="H45" s="38" t="str">
        <v/>
      </c>
      <c r="I45" s="38" t="str" cm="1">
        <f t="array" ref="I45">IF($C45="","",
_xlfn.LET(
  _xlpm._見出し,$A$1:$BT$1,
  _xlpm._行,$A45:$BT45,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
      </c>
      <c r="J45" s="74" t="str" cm="1">
        <f t="array" ref="J45">_xlfn.LET(
  _xlpm._見出し,$A$1:$BS$1,
  _xlpm._行,$A45:$BS45,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IF($C45="","",_xlpm._四点五月計画合計)
)</f>
        <v/>
      </c>
      <c r="K45" s="1458" t="str" cm="1">
        <f t="array" ref="K45">_xlfn.IFS(
  $C45="","",
  $G45="","発売前？",
  $G45=0,"在庫なし",
  TRUE,
  IFERROR(
    _xlfn.LET(
      _xlpm._在庫注残,     $G45,
      _xlpm._しきい値,     _xlpm._在庫注残 * 0.75,
      _xlpm._見出し元,     $L$1:$BU$1,
      _xlpm._計画,         $L45:$BU45,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
      </c>
      <c r="L45" s="38"/>
      <c r="M45" s="38"/>
      <c r="N45" s="38"/>
      <c r="O45" s="38"/>
      <c r="P45" s="38"/>
      <c r="Q45" s="38"/>
      <c r="R45" s="38"/>
      <c r="S45" s="38"/>
      <c r="T45" s="219"/>
      <c r="U45" s="219"/>
      <c r="V45" s="219"/>
      <c r="W45" s="219"/>
      <c r="X45" s="224"/>
      <c r="Y45" s="224"/>
      <c r="Z45" s="224"/>
      <c r="AA45" s="237"/>
      <c r="AB45" s="224"/>
      <c r="AC45" s="224" t="s">
        <v>21</v>
      </c>
      <c r="AD45" s="237" t="s">
        <v>21</v>
      </c>
      <c r="AE45" s="237" t="s">
        <v>21</v>
      </c>
      <c r="AF45" s="237" t="s">
        <v>21</v>
      </c>
      <c r="AG45" s="237"/>
      <c r="AH45" s="224" t="s">
        <v>21</v>
      </c>
      <c r="AI45" s="237" t="s">
        <v>21</v>
      </c>
      <c r="AJ45" s="804" t="s">
        <v>21</v>
      </c>
      <c r="AK45" s="224" t="s">
        <v>21</v>
      </c>
      <c r="AL45" s="224" t="s">
        <v>21</v>
      </c>
      <c r="AM45" s="224" t="s">
        <v>21</v>
      </c>
      <c r="AN45" s="224" t="str">
        <f>_xlfn.LET(
_xlpm._一般検索,IFERROR(INDEX('在庫使用計画 (一般)'!$A$1:$BF$391,MATCH($C45,'在庫使用計画 (一般)'!$C$1:$C$391,0),MATCH(AN$1,'在庫使用計画 (一般)'!$A$1:$BF$1,0))*1,0),
_xlpm._法人検索,IFERROR(INDEX('在庫使用計画 (法人)'!$A$1:$BF$391,MATCH($C45,'在庫使用計画 (法人)'!$C$1:$C$391,0),MATCH(AN$1,'在庫使用計画 (法人)'!$A$1:$BF$1,0))*1,0),
_xlpm._合計,_xlpm._一般検索+_xlpm._法人検索,
IF(_xlpm._合計=0,"",_xlpm._合計)
)</f>
        <v/>
      </c>
      <c r="AO45" s="224" t="str">
        <f>_xlfn.LET(
_xlpm._一般検索,IFERROR(INDEX('在庫使用計画 (一般)'!$A$1:$BF$391,MATCH($C45,'在庫使用計画 (一般)'!$C$1:$C$391,0),MATCH(AO$1,'在庫使用計画 (一般)'!$A$1:$BF$1,0))*1,0),
_xlpm._法人検索,IFERROR(INDEX('在庫使用計画 (法人)'!$A$1:$BF$391,MATCH($C45,'在庫使用計画 (法人)'!$C$1:$C$391,0),MATCH(AO$1,'在庫使用計画 (法人)'!$A$1:$BF$1,0))*1,0),
_xlpm._合計,_xlpm._一般検索+_xlpm._法人検索,
IF(_xlpm._合計=0,"",_xlpm._合計)
)</f>
        <v/>
      </c>
      <c r="AP45" s="224" t="str">
        <f>_xlfn.LET(
_xlpm._一般検索,IFERROR(INDEX('在庫使用計画 (一般)'!$A$1:$BF$391,MATCH($C45,'在庫使用計画 (一般)'!$C$1:$C$391,0),MATCH(AP$1,'在庫使用計画 (一般)'!$A$1:$BF$1,0))*1,0),
_xlpm._法人検索,IFERROR(INDEX('在庫使用計画 (法人)'!$A$1:$BF$391,MATCH($C45,'在庫使用計画 (法人)'!$C$1:$C$391,0),MATCH(AP$1,'在庫使用計画 (法人)'!$A$1:$BF$1,0))*1,0),
_xlpm._合計,_xlpm._一般検索+_xlpm._法人検索,
IF(_xlpm._合計=0,"",_xlpm._合計)
)</f>
        <v/>
      </c>
      <c r="AQ45" s="224" t="str">
        <f>_xlfn.LET(
_xlpm._一般検索,IFERROR(INDEX('在庫使用計画 (一般)'!$A$1:$BF$391,MATCH($C45,'在庫使用計画 (一般)'!$C$1:$C$391,0),MATCH(AQ$1,'在庫使用計画 (一般)'!$A$1:$BF$1,0))*1,0),
_xlpm._法人検索,IFERROR(INDEX('在庫使用計画 (法人)'!$A$1:$BF$391,MATCH($C45,'在庫使用計画 (法人)'!$C$1:$C$391,0),MATCH(AQ$1,'在庫使用計画 (法人)'!$A$1:$BF$1,0))*1,0),
_xlpm._合計,_xlpm._一般検索+_xlpm._法人検索,
IF(_xlpm._合計=0,"",_xlpm._合計)
)</f>
        <v/>
      </c>
      <c r="AR45" s="224" t="str">
        <f>_xlfn.LET(
_xlpm._一般検索,IFERROR(INDEX('在庫使用計画 (一般)'!$A$1:$BF$391,MATCH($C45,'在庫使用計画 (一般)'!$C$1:$C$391,0),MATCH(AR$1,'在庫使用計画 (一般)'!$A$1:$BF$1,0))*1,0),
_xlpm._法人検索,IFERROR(INDEX('在庫使用計画 (法人)'!$A$1:$BF$391,MATCH($C45,'在庫使用計画 (法人)'!$C$1:$C$391,0),MATCH(AR$1,'在庫使用計画 (法人)'!$A$1:$BF$1,0))*1,0),
_xlpm._合計,_xlpm._一般検索+_xlpm._法人検索,
IF(_xlpm._合計=0,"",_xlpm._合計)
)</f>
        <v/>
      </c>
      <c r="AS45" s="224" t="str">
        <f>_xlfn.LET(
_xlpm._一般検索,IFERROR(INDEX('在庫使用計画 (一般)'!$A$1:$BF$391,MATCH($C45,'在庫使用計画 (一般)'!$C$1:$C$391,0),MATCH(AS$1,'在庫使用計画 (一般)'!$A$1:$BF$1,0))*1,0),
_xlpm._法人検索,IFERROR(INDEX('在庫使用計画 (法人)'!$A$1:$BF$391,MATCH($C45,'在庫使用計画 (法人)'!$C$1:$C$391,0),MATCH(AS$1,'在庫使用計画 (法人)'!$A$1:$BF$1,0))*1,0),
_xlpm._合計,_xlpm._一般検索+_xlpm._法人検索,
IF(_xlpm._合計=0,"",_xlpm._合計)
)</f>
        <v/>
      </c>
      <c r="AT45" s="224" t="str">
        <f>_xlfn.LET(
_xlpm._一般検索,IFERROR(INDEX('在庫使用計画 (一般)'!$A$1:$BF$391,MATCH($C45,'在庫使用計画 (一般)'!$C$1:$C$391,0),MATCH(AT$1,'在庫使用計画 (一般)'!$A$1:$BF$1,0))*1,0),
_xlpm._法人検索,IFERROR(INDEX('在庫使用計画 (法人)'!$A$1:$BF$391,MATCH($C45,'在庫使用計画 (法人)'!$C$1:$C$391,0),MATCH(AT$1,'在庫使用計画 (法人)'!$A$1:$BF$1,0))*1,0),
_xlpm._合計,_xlpm._一般検索+_xlpm._法人検索,
IF(_xlpm._合計=0,"",_xlpm._合計)
)</f>
        <v/>
      </c>
      <c r="AU45" s="805" t="str">
        <f>_xlfn.LET(
_xlpm._一般検索,IFERROR(INDEX('在庫使用計画 (一般)'!$A$1:$BF$391,MATCH($C45,'在庫使用計画 (一般)'!$C$1:$C$391,0),MATCH(AU$1,'在庫使用計画 (一般)'!$A$1:$BF$1,0))*1,0),
_xlpm._法人検索,IFERROR(INDEX('在庫使用計画 (法人)'!$A$1:$BF$391,MATCH($C45,'在庫使用計画 (法人)'!$C$1:$C$391,0),MATCH(AU$1,'在庫使用計画 (法人)'!$A$1:$BF$1,0))*1,0),
_xlpm._合計,_xlpm._一般検索+_xlpm._法人検索,
IF(_xlpm._合計=0,"",_xlpm._合計)
)</f>
        <v/>
      </c>
      <c r="AV45" s="244" t="str">
        <f>_xlfn.LET(
_xlpm._一般検索,IFERROR(INDEX('在庫使用計画 (一般)'!$A$1:$BF$391,MATCH($C45,'在庫使用計画 (一般)'!$C$1:$C$391,0),MATCH(AV$1,'在庫使用計画 (一般)'!$A$1:$BF$1,0))*1,0),
_xlpm._法人検索,IFERROR(INDEX('在庫使用計画 (法人)'!$A$1:$BF$391,MATCH($C45,'在庫使用計画 (法人)'!$C$1:$C$391,0),MATCH(AV$1,'在庫使用計画 (法人)'!$A$1:$BF$1,0))*1,0),
_xlpm._合計,_xlpm._一般検索+_xlpm._法人検索,
IF(_xlpm._合計=0,"",_xlpm._合計)
)</f>
        <v/>
      </c>
      <c r="AW45" s="224" t="str">
        <f>_xlfn.LET(
_xlpm._一般検索,IFERROR(INDEX('在庫使用計画 (一般)'!$A$1:$BF$391,MATCH($C45,'在庫使用計画 (一般)'!$C$1:$C$391,0),MATCH(AW$1,'在庫使用計画 (一般)'!$A$1:$BF$1,0))*1,0),
_xlpm._法人検索,IFERROR(INDEX('在庫使用計画 (法人)'!$A$1:$BF$391,MATCH($C45,'在庫使用計画 (法人)'!$C$1:$C$391,0),MATCH(AW$1,'在庫使用計画 (法人)'!$A$1:$BF$1,0))*1,0),
_xlpm._合計,_xlpm._一般検索+_xlpm._法人検索,
IF(_xlpm._合計=0,"",_xlpm._合計)
)</f>
        <v/>
      </c>
      <c r="AX45" s="224" t="str">
        <f>_xlfn.LET(
_xlpm._一般検索,IFERROR(INDEX('在庫使用計画 (一般)'!$A$1:$BF$391,MATCH($C45,'在庫使用計画 (一般)'!$C$1:$C$391,0),MATCH(AX$1,'在庫使用計画 (一般)'!$A$1:$BF$1,0))*1,0),
_xlpm._法人検索,IFERROR(INDEX('在庫使用計画 (法人)'!$A$1:$BF$391,MATCH($C45,'在庫使用計画 (法人)'!$C$1:$C$391,0),MATCH(AX$1,'在庫使用計画 (法人)'!$A$1:$BF$1,0))*1,0),
_xlpm._合計,_xlpm._一般検索+_xlpm._法人検索,
IF(_xlpm._合計=0,"",_xlpm._合計)
)</f>
        <v/>
      </c>
      <c r="AY45" s="224" t="str">
        <f>_xlfn.LET(
_xlpm._一般検索,IFERROR(INDEX('在庫使用計画 (一般)'!$A$1:$BF$391,MATCH($C45,'在庫使用計画 (一般)'!$C$1:$C$391,0),MATCH(AY$1,'在庫使用計画 (一般)'!$A$1:$BF$1,0))*1,0),
_xlpm._法人検索,IFERROR(INDEX('在庫使用計画 (法人)'!$A$1:$BF$391,MATCH($C45,'在庫使用計画 (法人)'!$C$1:$C$391,0),MATCH(AY$1,'在庫使用計画 (法人)'!$A$1:$BF$1,0))*1,0),
_xlpm._合計,_xlpm._一般検索+_xlpm._法人検索,
IF(_xlpm._合計=0,"",_xlpm._合計)
)</f>
        <v/>
      </c>
      <c r="AZ45" s="224" t="str">
        <f>_xlfn.LET(
_xlpm._一般検索,IFERROR(INDEX('在庫使用計画 (一般)'!$A$1:$BF$391,MATCH($C45,'在庫使用計画 (一般)'!$C$1:$C$391,0),MATCH(AZ$1,'在庫使用計画 (一般)'!$A$1:$BF$1,0))*1,0),
_xlpm._法人検索,IFERROR(INDEX('在庫使用計画 (法人)'!$A$1:$BF$391,MATCH($C45,'在庫使用計画 (法人)'!$C$1:$C$391,0),MATCH(AZ$1,'在庫使用計画 (法人)'!$A$1:$BF$1,0))*1,0),
_xlpm._合計,_xlpm._一般検索+_xlpm._法人検索,
IF(_xlpm._合計=0,"",_xlpm._合計)
)</f>
        <v/>
      </c>
      <c r="BA45" s="224" t="str">
        <f>_xlfn.LET(
_xlpm._一般検索,IFERROR(INDEX('在庫使用計画 (一般)'!$A$1:$BF$391,MATCH($C45,'在庫使用計画 (一般)'!$C$1:$C$391,0),MATCH(BA$1,'在庫使用計画 (一般)'!$A$1:$BF$1,0))*1,0),
_xlpm._法人検索,IFERROR(INDEX('在庫使用計画 (法人)'!$A$1:$BF$391,MATCH($C45,'在庫使用計画 (法人)'!$C$1:$C$391,0),MATCH(BA$1,'在庫使用計画 (法人)'!$A$1:$BF$1,0))*1,0),
_xlpm._合計,_xlpm._一般検索+_xlpm._法人検索,
IF(_xlpm._合計=0,"",_xlpm._合計)
)</f>
        <v/>
      </c>
      <c r="BB45" s="224" t="str">
        <f>_xlfn.LET(
_xlpm._一般検索,IFERROR(INDEX('在庫使用計画 (一般)'!$A$1:$BF$391,MATCH($C45,'在庫使用計画 (一般)'!$C$1:$C$391,0),MATCH(BB$1,'在庫使用計画 (一般)'!$A$1:$BF$1,0))*1,0),
_xlpm._法人検索,IFERROR(INDEX('在庫使用計画 (法人)'!$A$1:$BF$391,MATCH($C45,'在庫使用計画 (法人)'!$C$1:$C$391,0),MATCH(BB$1,'在庫使用計画 (法人)'!$A$1:$BF$1,0))*1,0),
_xlpm._合計,_xlpm._一般検索+_xlpm._法人検索,
IF(_xlpm._合計=0,"",_xlpm._合計)
)</f>
        <v/>
      </c>
      <c r="BC45" s="224" t="str">
        <f>_xlfn.LET(
_xlpm._一般検索,IFERROR(INDEX('在庫使用計画 (一般)'!$A$1:$BF$391,MATCH($C45,'在庫使用計画 (一般)'!$C$1:$C$391,0),MATCH(BC$1,'在庫使用計画 (一般)'!$A$1:$BF$1,0))*1,0),
_xlpm._法人検索,IFERROR(INDEX('在庫使用計画 (法人)'!$A$1:$BF$391,MATCH($C45,'在庫使用計画 (法人)'!$C$1:$C$391,0),MATCH(BC$1,'在庫使用計画 (法人)'!$A$1:$BF$1,0))*1,0),
_xlpm._合計,_xlpm._一般検索+_xlpm._法人検索,
IF(_xlpm._合計=0,"",_xlpm._合計)
)</f>
        <v/>
      </c>
      <c r="BD45" s="224" t="str">
        <f>_xlfn.LET(
_xlpm._一般検索,IFERROR(INDEX('在庫使用計画 (一般)'!$A$1:$BF$391,MATCH($C45,'在庫使用計画 (一般)'!$C$1:$C$391,0),MATCH(BD$1,'在庫使用計画 (一般)'!$A$1:$BF$1,0))*1,0),
_xlpm._法人検索,IFERROR(INDEX('在庫使用計画 (法人)'!$A$1:$BF$391,MATCH($C45,'在庫使用計画 (法人)'!$C$1:$C$391,0),MATCH(BD$1,'在庫使用計画 (法人)'!$A$1:$BF$1,0))*1,0),
_xlpm._合計,_xlpm._一般検索+_xlpm._法人検索,
IF(_xlpm._合計=0,"",_xlpm._合計)
)</f>
        <v/>
      </c>
      <c r="BE45" s="224" t="str">
        <f>_xlfn.LET(
_xlpm._一般検索,IFERROR(INDEX('在庫使用計画 (一般)'!$A$1:$BF$391,MATCH($C45,'在庫使用計画 (一般)'!$C$1:$C$391,0),MATCH(BE$1,'在庫使用計画 (一般)'!$A$1:$BF$1,0))*1,0),
_xlpm._法人検索,IFERROR(INDEX('在庫使用計画 (法人)'!$A$1:$BF$391,MATCH($C45,'在庫使用計画 (法人)'!$C$1:$C$391,0),MATCH(BE$1,'在庫使用計画 (法人)'!$A$1:$BF$1,0))*1,0),
_xlpm._合計,_xlpm._一般検索+_xlpm._法人検索,
IF(_xlpm._合計=0,"",_xlpm._合計)
)</f>
        <v/>
      </c>
      <c r="BF45" s="224" t="str">
        <f>_xlfn.LET(
_xlpm._一般検索,IFERROR(INDEX('在庫使用計画 (一般)'!$A$1:$BF$391,MATCH($C45,'在庫使用計画 (一般)'!$C$1:$C$391,0),MATCH(BF$1,'在庫使用計画 (一般)'!$A$1:$BF$1,0))*1,0),
_xlpm._法人検索,IFERROR(INDEX('在庫使用計画 (法人)'!$A$1:$BF$391,MATCH($C45,'在庫使用計画 (法人)'!$C$1:$C$391,0),MATCH(BF$1,'在庫使用計画 (法人)'!$A$1:$BF$1,0))*1,0),
_xlpm._合計,_xlpm._一般検索+_xlpm._法人検索,
IF(_xlpm._合計=0,"",_xlpm._合計)
)</f>
        <v/>
      </c>
      <c r="BG45" s="237" t="str">
        <f>_xlfn.LET(
_xlpm._一般検索,IFERROR(INDEX('在庫使用計画 (一般)'!$A$1:$BF$391,MATCH($C45,'在庫使用計画 (一般)'!$C$1:$C$391,0),MATCH(BG$1,'在庫使用計画 (一般)'!$A$1:$BF$1,0))*1,0),
_xlpm._法人検索,IFERROR(INDEX('在庫使用計画 (法人)'!$A$1:$BF$391,MATCH($C45,'在庫使用計画 (法人)'!$C$1:$C$391,0),MATCH(BG$1,'在庫使用計画 (法人)'!$A$1:$BF$1,0))*1,0),
_xlpm._合計,_xlpm._一般検索+_xlpm._法人検索,
IF(_xlpm._合計=0,"",_xlpm._合計)
)</f>
        <v/>
      </c>
      <c r="BH45" s="804" t="str">
        <f>_xlfn.LET(
_xlpm._一般検索,IFERROR(INDEX('在庫使用計画 (一般)'!$A$1:$BF$391,MATCH($C45,'在庫使用計画 (一般)'!$C$1:$C$391,0),MATCH(BH$1,'在庫使用計画 (一般)'!$A$1:$BF$1,0))*1,0),
_xlpm._法人検索,IFERROR(INDEX('在庫使用計画 (法人)'!$A$1:$BF$391,MATCH($C45,'在庫使用計画 (法人)'!$C$1:$C$391,0),MATCH(BH$1,'在庫使用計画 (法人)'!$A$1:$BF$1,0))*1,0),
_xlpm._合計,_xlpm._一般検索+_xlpm._法人検索,
IF(_xlpm._合計=0,"",_xlpm._合計)
)</f>
        <v/>
      </c>
      <c r="BI45" s="224" t="str">
        <f>_xlfn.LET(
_xlpm._一般検索,IFERROR(INDEX('在庫使用計画 (一般)'!$A$1:$BF$391,MATCH($C45,'在庫使用計画 (一般)'!$C$1:$C$391,0),MATCH(BI$1,'在庫使用計画 (一般)'!$A$1:$BF$1,0))*1,0),
_xlpm._法人検索,IFERROR(INDEX('在庫使用計画 (法人)'!$A$1:$BF$391,MATCH($C45,'在庫使用計画 (法人)'!$C$1:$C$391,0),MATCH(BI$1,'在庫使用計画 (法人)'!$A$1:$BF$1,0))*1,0),
_xlpm._合計,_xlpm._一般検索+_xlpm._法人検索,
IF(_xlpm._合計=0,"",_xlpm._合計)
)</f>
        <v/>
      </c>
      <c r="BJ45" s="224" t="str">
        <f>_xlfn.LET(
_xlpm._一般検索,IFERROR(INDEX('在庫使用計画 (一般)'!$A$1:$BF$391,MATCH($C45,'在庫使用計画 (一般)'!$C$1:$C$391,0),MATCH(BJ$1,'在庫使用計画 (一般)'!$A$1:$BF$1,0))*1,0),
_xlpm._法人検索,IFERROR(INDEX('在庫使用計画 (法人)'!$A$1:$BF$391,MATCH($C45,'在庫使用計画 (法人)'!$C$1:$C$391,0),MATCH(BJ$1,'在庫使用計画 (法人)'!$A$1:$BF$1,0))*1,0),
_xlpm._合計,_xlpm._一般検索+_xlpm._法人検索,
IF(_xlpm._合計=0,"",_xlpm._合計)
)</f>
        <v/>
      </c>
      <c r="BK45" s="224" t="str">
        <f>_xlfn.LET(
_xlpm._一般検索,IFERROR(INDEX('在庫使用計画 (一般)'!$A$1:$BF$391,MATCH($C45,'在庫使用計画 (一般)'!$C$1:$C$391,0),MATCH(BK$1,'在庫使用計画 (一般)'!$A$1:$BF$1,0))*1,0),
_xlpm._法人検索,IFERROR(INDEX('在庫使用計画 (法人)'!$A$1:$BF$391,MATCH($C45,'在庫使用計画 (法人)'!$C$1:$C$391,0),MATCH(BK$1,'在庫使用計画 (法人)'!$A$1:$BF$1,0))*1,0),
_xlpm._合計,_xlpm._一般検索+_xlpm._法人検索,
IF(_xlpm._合計=0,"",_xlpm._合計)
)</f>
        <v/>
      </c>
      <c r="BL45" s="224" t="str">
        <f>_xlfn.LET(
_xlpm._一般検索,IFERROR(INDEX('在庫使用計画 (一般)'!$A$1:$BF$391,MATCH($C45,'在庫使用計画 (一般)'!$C$1:$C$391,0),MATCH(BL$1,'在庫使用計画 (一般)'!$A$1:$BF$1,0))*1,0),
_xlpm._法人検索,IFERROR(INDEX('在庫使用計画 (法人)'!$A$1:$BF$391,MATCH($C45,'在庫使用計画 (法人)'!$C$1:$C$391,0),MATCH(BL$1,'在庫使用計画 (法人)'!$A$1:$BF$1,0))*1,0),
_xlpm._合計,_xlpm._一般検索+_xlpm._法人検索,
IF(_xlpm._合計=0,"",_xlpm._合計)
)</f>
        <v/>
      </c>
      <c r="BM45" s="224" t="str">
        <f>_xlfn.LET(
_xlpm._一般検索,IFERROR(INDEX('在庫使用計画 (一般)'!$A$1:$BF$391,MATCH($C45,'在庫使用計画 (一般)'!$C$1:$C$391,0),MATCH(BM$1,'在庫使用計画 (一般)'!$A$1:$BF$1,0))*1,0),
_xlpm._法人検索,IFERROR(INDEX('在庫使用計画 (法人)'!$A$1:$BF$391,MATCH($C45,'在庫使用計画 (法人)'!$C$1:$C$391,0),MATCH(BM$1,'在庫使用計画 (法人)'!$A$1:$BF$1,0))*1,0),
_xlpm._合計,_xlpm._一般検索+_xlpm._法人検索,
IF(_xlpm._合計=0,"",_xlpm._合計)
)</f>
        <v/>
      </c>
      <c r="BN45" s="224" t="str">
        <f>_xlfn.LET(
_xlpm._一般検索,IFERROR(INDEX('在庫使用計画 (一般)'!$A$1:$BF$391,MATCH($C45,'在庫使用計画 (一般)'!$C$1:$C$391,0),MATCH(BN$1,'在庫使用計画 (一般)'!$A$1:$BF$1,0))*1,0),
_xlpm._法人検索,IFERROR(INDEX('在庫使用計画 (法人)'!$A$1:$BF$391,MATCH($C45,'在庫使用計画 (法人)'!$C$1:$C$391,0),MATCH(BN$1,'在庫使用計画 (法人)'!$A$1:$BF$1,0))*1,0),
_xlpm._合計,_xlpm._一般検索+_xlpm._法人検索,
IF(_xlpm._合計=0,"",_xlpm._合計)
)</f>
        <v/>
      </c>
      <c r="BO45" s="224" t="str">
        <f>_xlfn.LET(
_xlpm._一般検索,IFERROR(INDEX('在庫使用計画 (一般)'!$A$1:$BF$391,MATCH($C45,'在庫使用計画 (一般)'!$C$1:$C$391,0),MATCH(BO$1,'在庫使用計画 (一般)'!$A$1:$BF$1,0))*1,0),
_xlpm._法人検索,IFERROR(INDEX('在庫使用計画 (法人)'!$A$1:$BF$391,MATCH($C45,'在庫使用計画 (法人)'!$C$1:$C$391,0),MATCH(BO$1,'在庫使用計画 (法人)'!$A$1:$BF$1,0))*1,0),
_xlpm._合計,_xlpm._一般検索+_xlpm._法人検索,
IF(_xlpm._合計=0,"",_xlpm._合計)
)</f>
        <v/>
      </c>
      <c r="BP45" s="224" t="str">
        <f>_xlfn.LET(
_xlpm._一般検索,IFERROR(INDEX('在庫使用計画 (一般)'!$A$1:$BF$391,MATCH($C45,'在庫使用計画 (一般)'!$C$1:$C$391,0),MATCH(BP$1,'在庫使用計画 (一般)'!$A$1:$BF$1,0))*1,0),
_xlpm._法人検索,IFERROR(INDEX('在庫使用計画 (法人)'!$A$1:$BF$391,MATCH($C45,'在庫使用計画 (法人)'!$C$1:$C$391,0),MATCH(BP$1,'在庫使用計画 (法人)'!$A$1:$BF$1,0))*1,0),
_xlpm._合計,_xlpm._一般検索+_xlpm._法人検索,
IF(_xlpm._合計=0,"",_xlpm._合計)
)</f>
        <v/>
      </c>
      <c r="BQ45" s="224" t="str">
        <f>_xlfn.LET(
_xlpm._一般検索,IFERROR(INDEX('在庫使用計画 (一般)'!$A$1:$BF$391,MATCH($C45,'在庫使用計画 (一般)'!$C$1:$C$391,0),MATCH(BQ$1,'在庫使用計画 (一般)'!$A$1:$BF$1,0))*1,0),
_xlpm._法人検索,IFERROR(INDEX('在庫使用計画 (法人)'!$A$1:$BF$391,MATCH($C45,'在庫使用計画 (法人)'!$C$1:$C$391,0),MATCH(BQ$1,'在庫使用計画 (法人)'!$A$1:$BF$1,0))*1,0),
_xlpm._合計,_xlpm._一般検索+_xlpm._法人検索,
IF(_xlpm._合計=0,"",_xlpm._合計)
)</f>
        <v/>
      </c>
      <c r="BR45" s="224" t="str">
        <f>_xlfn.LET(
_xlpm._一般検索,IFERROR(INDEX('在庫使用計画 (一般)'!$A$1:$BF$391,MATCH($C45,'在庫使用計画 (一般)'!$C$1:$C$391,0),MATCH(BR$1,'在庫使用計画 (一般)'!$A$1:$BF$1,0))*1,0),
_xlpm._法人検索,IFERROR(INDEX('在庫使用計画 (法人)'!$A$1:$BF$391,MATCH($C45,'在庫使用計画 (法人)'!$C$1:$C$391,0),MATCH(BR$1,'在庫使用計画 (法人)'!$A$1:$BF$1,0))*1,0),
_xlpm._合計,_xlpm._一般検索+_xlpm._法人検索,
IF(_xlpm._合計=0,"",_xlpm._合計)
)</f>
        <v/>
      </c>
      <c r="BS45" s="805" t="str">
        <f>_xlfn.LET(
_xlpm._一般検索,IFERROR(INDEX('在庫使用計画 (一般)'!$A$1:$BF$391,MATCH($C45,'在庫使用計画 (一般)'!$C$1:$C$391,0),MATCH(BS$1,'在庫使用計画 (一般)'!$A$1:$BF$1,0))*1,0),
_xlpm._法人検索,IFERROR(INDEX('在庫使用計画 (法人)'!$A$1:$BF$391,MATCH($C45,'在庫使用計画 (法人)'!$C$1:$C$391,0),MATCH(BS$1,'在庫使用計画 (法人)'!$A$1:$BF$1,0))*1,0),
_xlpm._合計,_xlpm._一般検索+_xlpm._法人検索,
IF(_xlpm._合計=0,"",_xlpm._合計)
)</f>
        <v/>
      </c>
      <c r="BT45" s="70"/>
    </row>
    <row r="46" spans="1:72" s="1227" customFormat="1" ht="18.75" customHeight="1">
      <c r="A46" s="1238"/>
      <c r="B46" s="1239"/>
      <c r="C46" s="1240" t="s">
        <v>1810</v>
      </c>
      <c r="D46" s="2161"/>
      <c r="E46" s="1241"/>
      <c r="F46" s="1241"/>
      <c r="G46" s="1232"/>
      <c r="H46" s="1232"/>
      <c r="I46" s="1232"/>
      <c r="J46" s="1232"/>
      <c r="K46" s="1232"/>
      <c r="L46" s="1232"/>
      <c r="M46" s="1232"/>
      <c r="N46" s="1232"/>
      <c r="O46" s="1232"/>
      <c r="P46" s="1232"/>
      <c r="Q46" s="1232"/>
      <c r="R46" s="1232"/>
      <c r="S46" s="1232"/>
      <c r="T46" s="1232"/>
      <c r="U46" s="1232"/>
      <c r="V46" s="1232"/>
      <c r="W46" s="1232"/>
      <c r="X46" s="1233"/>
      <c r="Y46" s="1233"/>
      <c r="Z46" s="1233"/>
      <c r="AA46" s="1234"/>
      <c r="AB46" s="1233"/>
      <c r="AC46" s="1233"/>
      <c r="AD46" s="1234"/>
      <c r="AE46" s="1234">
        <v>1.0577115090195033</v>
      </c>
      <c r="AF46" s="1234">
        <v>1.0807635829662263</v>
      </c>
      <c r="AG46" s="1234">
        <v>1.0098394598217773</v>
      </c>
      <c r="AH46" s="1233">
        <v>1.0093530788993301</v>
      </c>
      <c r="AI46" s="1234">
        <v>1.5717089063151117</v>
      </c>
      <c r="AJ46" s="1235">
        <v>0.84580268219550514</v>
      </c>
      <c r="AK46" s="1233">
        <v>0.66115955658145964</v>
      </c>
      <c r="AL46" s="1233">
        <v>1.496470588235294</v>
      </c>
      <c r="AM46" s="1233">
        <v>0.74740040525350004</v>
      </c>
      <c r="AN46" s="1233">
        <v>0.84569859375943024</v>
      </c>
      <c r="AO46" s="1233">
        <v>1.0509026794524492</v>
      </c>
      <c r="AP46" s="1233">
        <v>0.98233483332213944</v>
      </c>
      <c r="AQ46" s="1234">
        <v>1.0577115090195033</v>
      </c>
      <c r="AR46" s="1234">
        <v>1.0807635829662263</v>
      </c>
      <c r="AS46" s="1234">
        <v>1.0098394598217773</v>
      </c>
      <c r="AT46" s="1233">
        <v>1.0093530788993301</v>
      </c>
      <c r="AU46" s="1234">
        <v>1.5717089063151117</v>
      </c>
      <c r="AV46" s="1235">
        <v>0.84580268219550514</v>
      </c>
      <c r="AW46" s="1233">
        <v>0.66115955658145964</v>
      </c>
      <c r="AX46" s="1233">
        <v>1.496470588235294</v>
      </c>
      <c r="AY46" s="1233">
        <v>0.74740040525350004</v>
      </c>
      <c r="AZ46" s="1233">
        <v>0.84569859375943024</v>
      </c>
      <c r="BA46" s="1233">
        <v>1.0509026794524492</v>
      </c>
      <c r="BB46" s="1233">
        <v>0.98233483332213944</v>
      </c>
      <c r="BC46" s="1234">
        <v>1.0577115090195033</v>
      </c>
      <c r="BD46" s="1234">
        <v>1.0807635829662263</v>
      </c>
      <c r="BE46" s="1234">
        <v>1.0098394598217773</v>
      </c>
      <c r="BF46" s="1233">
        <v>1.0093530788993301</v>
      </c>
      <c r="BG46" s="1234">
        <v>1.5717089063151117</v>
      </c>
      <c r="BH46" s="1235"/>
      <c r="BI46" s="1233"/>
      <c r="BJ46" s="1233"/>
      <c r="BK46" s="1233"/>
      <c r="BL46" s="1233"/>
      <c r="BM46" s="1233"/>
      <c r="BN46" s="1233"/>
      <c r="BO46" s="1233" t="str">
        <f>_xlfn.LET(
  _xlpm._一般,INDEX('在庫使用計画 (一般)'!$A$1:$BF$316,MATCH($C46,'在庫使用計画 (一般)'!$C$1:$C$316,0),MATCH(BO$1,'在庫使用計画 (一般)'!$A$1:$BF$1,0)),
  _xlpm._法人,INDEX('在庫使用計画 (法人)'!$A$1:$BF$327,MATCH($C46,'在庫使用計画 (法人)'!$C$1:$C$327,0),MATCH(BO$1,'在庫使用計画 (法人)'!$A$1:$BF$1,0)),
 IFERROR(
  IF(_xlpm._一般+_xlpm._法人=0,"",_xlpm._一般+_xlpm._法人
  ),
 "")
)</f>
        <v/>
      </c>
      <c r="BP46" s="1233" t="str">
        <f>_xlfn.LET(
  _xlpm._一般,INDEX('在庫使用計画 (一般)'!$A$1:$BF$316,MATCH($C46,'在庫使用計画 (一般)'!$C$1:$C$316,0),MATCH(BP$1,'在庫使用計画 (一般)'!$A$1:$BF$1,0)),
  _xlpm._法人,INDEX('在庫使用計画 (法人)'!$A$1:$BF$327,MATCH($C46,'在庫使用計画 (法人)'!$C$1:$C$327,0),MATCH(BP$1,'在庫使用計画 (法人)'!$A$1:$BF$1,0)),
 IFERROR(
  IF(_xlpm._一般+_xlpm._法人=0,"",_xlpm._一般+_xlpm._法人
  ),
 "")
)</f>
        <v/>
      </c>
      <c r="BQ46" s="1233" t="str">
        <f>_xlfn.LET(
  _xlpm._一般,INDEX('在庫使用計画 (一般)'!$A$1:$BF$316,MATCH($C46,'在庫使用計画 (一般)'!$C$1:$C$316,0),MATCH(BQ$1,'在庫使用計画 (一般)'!$A$1:$BF$1,0)),
  _xlpm._法人,INDEX('在庫使用計画 (法人)'!$A$1:$BF$327,MATCH($C46,'在庫使用計画 (法人)'!$C$1:$C$327,0),MATCH(BQ$1,'在庫使用計画 (法人)'!$A$1:$BF$1,0)),
 IFERROR(
  IF(_xlpm._一般+_xlpm._法人=0,"",_xlpm._一般+_xlpm._法人
  ),
 "")
)</f>
        <v/>
      </c>
      <c r="BR46" s="1233" t="str">
        <f>_xlfn.LET(
  _xlpm._一般,INDEX('在庫使用計画 (一般)'!$A$1:$BF$316,MATCH($C46,'在庫使用計画 (一般)'!$C$1:$C$316,0),MATCH(BR$1,'在庫使用計画 (一般)'!$A$1:$BF$1,0)),
  _xlpm._法人,INDEX('在庫使用計画 (法人)'!$A$1:$BF$327,MATCH($C46,'在庫使用計画 (法人)'!$C$1:$C$327,0),MATCH(BR$1,'在庫使用計画 (法人)'!$A$1:$BF$1,0)),
 IFERROR(
  IF(_xlpm._一般+_xlpm._法人=0,"",_xlpm._一般+_xlpm._法人
  ),
 "")
)</f>
        <v/>
      </c>
      <c r="BS46" s="1236" t="str">
        <f>_xlfn.LET(
  _xlpm._一般,INDEX('在庫使用計画 (一般)'!$A$1:$BF$316,MATCH($C46,'在庫使用計画 (一般)'!$C$1:$C$316,0),MATCH(BS$1,'在庫使用計画 (一般)'!$A$1:$BF$1,0)),
  _xlpm._法人,INDEX('在庫使用計画 (法人)'!$A$1:$BF$327,MATCH($C46,'在庫使用計画 (法人)'!$C$1:$C$327,0),MATCH(BS$1,'在庫使用計画 (法人)'!$A$1:$BF$1,0)),
 IFERROR(
  IF(_xlpm._一般+_xlpm._法人=0,"",_xlpm._一般+_xlpm._法人
  ),
 "")
)</f>
        <v/>
      </c>
      <c r="BT46" s="1242"/>
    </row>
    <row r="47" spans="1:72" customFormat="1" ht="18.75" customHeight="1">
      <c r="A47" s="1062"/>
      <c r="B47" s="364" t="s">
        <v>1390</v>
      </c>
      <c r="C47" s="152" t="s">
        <v>1815</v>
      </c>
      <c r="D47" s="2158"/>
      <c r="E47" s="152"/>
      <c r="F47" s="152"/>
      <c r="G47" s="45">
        <f>SUM(G30:G45)</f>
        <v>4976</v>
      </c>
      <c r="H47" s="45">
        <f t="shared" ref="H47:J47" si="3">SUM(H30:H45)</f>
        <v>1996</v>
      </c>
      <c r="I47" s="45">
        <f t="shared" si="3"/>
        <v>2832.2059988955698</v>
      </c>
      <c r="J47" s="45">
        <f t="shared" si="3"/>
        <v>3349.3181246308222</v>
      </c>
      <c r="K47" s="45"/>
      <c r="L47" s="45">
        <f t="shared" ref="L47:AQ47" si="4">SUM(L29:L45)</f>
        <v>0</v>
      </c>
      <c r="M47" s="45">
        <f t="shared" si="4"/>
        <v>0</v>
      </c>
      <c r="N47" s="45">
        <f t="shared" si="4"/>
        <v>0</v>
      </c>
      <c r="O47" s="45">
        <f t="shared" si="4"/>
        <v>0</v>
      </c>
      <c r="P47" s="45">
        <f t="shared" si="4"/>
        <v>640.33447175811102</v>
      </c>
      <c r="Q47" s="45">
        <f t="shared" si="4"/>
        <v>667.88455817704255</v>
      </c>
      <c r="R47" s="45">
        <f t="shared" si="4"/>
        <v>724.15953143195748</v>
      </c>
      <c r="S47" s="45">
        <f t="shared" si="4"/>
        <v>523.70663994021902</v>
      </c>
      <c r="T47" s="45">
        <f t="shared" si="4"/>
        <v>466.37814869187599</v>
      </c>
      <c r="U47" s="45">
        <f t="shared" si="4"/>
        <v>547</v>
      </c>
      <c r="V47" s="45">
        <f t="shared" si="4"/>
        <v>577</v>
      </c>
      <c r="W47" s="45">
        <f t="shared" si="4"/>
        <v>810</v>
      </c>
      <c r="X47" s="45">
        <f t="shared" si="4"/>
        <v>635</v>
      </c>
      <c r="Y47" s="45">
        <f t="shared" si="4"/>
        <v>585</v>
      </c>
      <c r="Z47" s="45">
        <f t="shared" si="4"/>
        <v>1055</v>
      </c>
      <c r="AA47" s="45">
        <f t="shared" si="4"/>
        <v>535</v>
      </c>
      <c r="AB47" s="45">
        <f t="shared" si="4"/>
        <v>515</v>
      </c>
      <c r="AC47" s="45">
        <f t="shared" si="4"/>
        <v>670</v>
      </c>
      <c r="AD47" s="45">
        <f t="shared" si="4"/>
        <v>1221</v>
      </c>
      <c r="AE47" s="45">
        <f t="shared" si="4"/>
        <v>963</v>
      </c>
      <c r="AF47" s="45">
        <v>1320</v>
      </c>
      <c r="AG47" s="45">
        <v>1200</v>
      </c>
      <c r="AH47" s="45">
        <v>1187</v>
      </c>
      <c r="AI47" s="388">
        <v>960.38888888888891</v>
      </c>
      <c r="AJ47" s="836">
        <v>711</v>
      </c>
      <c r="AK47" s="45">
        <v>762.25635528330736</v>
      </c>
      <c r="AL47" s="45">
        <v>950.12388973966313</v>
      </c>
      <c r="AM47" s="45">
        <v>907.60258446738442</v>
      </c>
      <c r="AN47" s="45">
        <f t="shared" si="4"/>
        <v>980.531393568147</v>
      </c>
      <c r="AO47" s="45">
        <f t="shared" si="4"/>
        <v>750.07396652501268</v>
      </c>
      <c r="AP47" s="45">
        <f t="shared" si="4"/>
        <v>701.12055437428353</v>
      </c>
      <c r="AQ47" s="45">
        <f t="shared" si="4"/>
        <v>566.42822016674279</v>
      </c>
      <c r="AR47" s="45">
        <f t="shared" ref="AR47:BS47" si="5">SUM(AR29:AR45)</f>
        <v>689.53613146091107</v>
      </c>
      <c r="AS47" s="45">
        <f t="shared" si="5"/>
        <v>875.12109289363275</v>
      </c>
      <c r="AT47" s="45">
        <f t="shared" si="5"/>
        <v>867.67240292239444</v>
      </c>
      <c r="AU47" s="839">
        <f t="shared" si="5"/>
        <v>1306.5866748127835</v>
      </c>
      <c r="AV47" s="632">
        <f t="shared" si="5"/>
        <v>1130.3149705589944</v>
      </c>
      <c r="AW47" s="155">
        <f t="shared" si="5"/>
        <v>983.91951117796282</v>
      </c>
      <c r="AX47" s="155">
        <f t="shared" si="5"/>
        <v>1455.6484475205659</v>
      </c>
      <c r="AY47" s="155">
        <f t="shared" si="5"/>
        <v>241</v>
      </c>
      <c r="AZ47" s="155">
        <f t="shared" si="5"/>
        <v>201</v>
      </c>
      <c r="BA47" s="155">
        <f t="shared" si="5"/>
        <v>182</v>
      </c>
      <c r="BB47" s="155">
        <f t="shared" si="5"/>
        <v>182</v>
      </c>
      <c r="BC47" s="155">
        <f t="shared" si="5"/>
        <v>282</v>
      </c>
      <c r="BD47" s="155">
        <f t="shared" si="5"/>
        <v>0</v>
      </c>
      <c r="BE47" s="155">
        <f t="shared" si="5"/>
        <v>0</v>
      </c>
      <c r="BF47" s="155">
        <f t="shared" si="5"/>
        <v>0</v>
      </c>
      <c r="BG47" s="274">
        <f t="shared" si="5"/>
        <v>0</v>
      </c>
      <c r="BH47" s="808">
        <f t="shared" si="5"/>
        <v>0</v>
      </c>
      <c r="BI47" s="155">
        <f t="shared" si="5"/>
        <v>0</v>
      </c>
      <c r="BJ47" s="155">
        <f t="shared" si="5"/>
        <v>0</v>
      </c>
      <c r="BK47" s="155">
        <f t="shared" si="5"/>
        <v>0</v>
      </c>
      <c r="BL47" s="155">
        <f t="shared" si="5"/>
        <v>0</v>
      </c>
      <c r="BM47" s="155">
        <f t="shared" si="5"/>
        <v>0</v>
      </c>
      <c r="BN47" s="155">
        <f t="shared" si="5"/>
        <v>0</v>
      </c>
      <c r="BO47" s="155">
        <f t="shared" si="5"/>
        <v>0</v>
      </c>
      <c r="BP47" s="155">
        <f t="shared" si="5"/>
        <v>0</v>
      </c>
      <c r="BQ47" s="155">
        <f t="shared" si="5"/>
        <v>0</v>
      </c>
      <c r="BR47" s="155">
        <f t="shared" si="5"/>
        <v>0</v>
      </c>
      <c r="BS47" s="809">
        <f t="shared" si="5"/>
        <v>0</v>
      </c>
      <c r="BT47" s="21"/>
    </row>
    <row r="48" spans="1:72" s="2091" customFormat="1" ht="18.75" customHeight="1">
      <c r="A48" s="1064"/>
      <c r="B48" s="2077" t="s">
        <v>1392</v>
      </c>
      <c r="C48" s="2078"/>
      <c r="D48" s="2162"/>
      <c r="E48" s="2078"/>
      <c r="F48" s="2077"/>
      <c r="G48" s="2079"/>
      <c r="H48" s="2079"/>
      <c r="I48" s="2079">
        <v>0</v>
      </c>
      <c r="J48" s="2079"/>
      <c r="K48" s="2079"/>
      <c r="L48" s="2080"/>
      <c r="M48" s="2080"/>
      <c r="N48" s="2080"/>
      <c r="O48" s="2080"/>
      <c r="P48" s="2080"/>
      <c r="Q48" s="2080"/>
      <c r="R48" s="2080"/>
      <c r="S48" s="2080"/>
      <c r="T48" s="2081"/>
      <c r="U48" s="2081"/>
      <c r="V48" s="2081"/>
      <c r="W48" s="2081"/>
      <c r="X48" s="2082"/>
      <c r="Y48" s="2082"/>
      <c r="Z48" s="2083"/>
      <c r="AA48" s="2084"/>
      <c r="AB48" s="2083"/>
      <c r="AC48" s="2085"/>
      <c r="AD48" s="2085"/>
      <c r="AE48" s="2085">
        <f t="shared" ref="AE48:BS48" si="6">IF(AE$50="","",AE$50*0.33)</f>
        <v>1304.0952601367856</v>
      </c>
      <c r="AF48" s="2085">
        <f t="shared" si="6"/>
        <v>1279.8470407431078</v>
      </c>
      <c r="AG48" s="2085">
        <f t="shared" si="6"/>
        <v>1276.3454099031569</v>
      </c>
      <c r="AH48" s="2085">
        <f t="shared" si="6"/>
        <v>1415.0534862983691</v>
      </c>
      <c r="AI48" s="2086">
        <f t="shared" si="6"/>
        <v>2091.0757855256415</v>
      </c>
      <c r="AJ48" s="2087">
        <f t="shared" si="6"/>
        <v>1971.2952952487828</v>
      </c>
      <c r="AK48" s="2085">
        <f t="shared" si="6"/>
        <v>1603.7938408585489</v>
      </c>
      <c r="AL48" s="2085">
        <f t="shared" si="6"/>
        <v>2261.3501017784029</v>
      </c>
      <c r="AM48" s="2085">
        <f t="shared" si="6"/>
        <v>1656.7393646044484</v>
      </c>
      <c r="AN48" s="2085">
        <f t="shared" si="6"/>
        <v>1422.9091104723827</v>
      </c>
      <c r="AO48" s="2085">
        <f t="shared" si="6"/>
        <v>1504.8466446517425</v>
      </c>
      <c r="AP48" s="2085">
        <f t="shared" si="6"/>
        <v>1707.9384421576331</v>
      </c>
      <c r="AQ48" s="2085" t="str">
        <f t="shared" si="6"/>
        <v/>
      </c>
      <c r="AR48" s="2085" t="str">
        <f t="shared" si="6"/>
        <v/>
      </c>
      <c r="AS48" s="2085" t="str">
        <f t="shared" si="6"/>
        <v/>
      </c>
      <c r="AT48" s="2085" t="str">
        <f t="shared" si="6"/>
        <v/>
      </c>
      <c r="AU48" s="2088" t="str">
        <f t="shared" si="6"/>
        <v/>
      </c>
      <c r="AV48" s="2089" t="str">
        <f t="shared" si="6"/>
        <v/>
      </c>
      <c r="AW48" s="2090" t="str">
        <f t="shared" si="6"/>
        <v/>
      </c>
      <c r="AX48" s="2090" t="str">
        <f t="shared" si="6"/>
        <v/>
      </c>
      <c r="AY48" s="2090" t="str">
        <f t="shared" si="6"/>
        <v/>
      </c>
      <c r="AZ48" s="2090" t="str">
        <f t="shared" si="6"/>
        <v/>
      </c>
      <c r="BA48" s="2090" t="str">
        <f t="shared" si="6"/>
        <v/>
      </c>
      <c r="BB48" s="2090" t="str">
        <f t="shared" si="6"/>
        <v/>
      </c>
      <c r="BC48" s="2090" t="str">
        <f t="shared" si="6"/>
        <v/>
      </c>
      <c r="BD48" s="2090" t="str">
        <f t="shared" si="6"/>
        <v/>
      </c>
      <c r="BE48" s="2090" t="str">
        <f t="shared" si="6"/>
        <v/>
      </c>
      <c r="BF48" s="2090" t="str">
        <f t="shared" si="6"/>
        <v/>
      </c>
      <c r="BG48" s="2086" t="str">
        <f t="shared" si="6"/>
        <v/>
      </c>
      <c r="BH48" s="2087" t="str">
        <f t="shared" si="6"/>
        <v/>
      </c>
      <c r="BI48" s="2090" t="str">
        <f t="shared" si="6"/>
        <v/>
      </c>
      <c r="BJ48" s="2090" t="str">
        <f t="shared" si="6"/>
        <v/>
      </c>
      <c r="BK48" s="2090" t="str">
        <f t="shared" si="6"/>
        <v/>
      </c>
      <c r="BL48" s="2090" t="str">
        <f t="shared" si="6"/>
        <v/>
      </c>
      <c r="BM48" s="2090" t="str">
        <f t="shared" si="6"/>
        <v/>
      </c>
      <c r="BN48" s="2090" t="str">
        <f t="shared" si="6"/>
        <v/>
      </c>
      <c r="BO48" s="2090" t="str">
        <f t="shared" si="6"/>
        <v/>
      </c>
      <c r="BP48" s="2090" t="str">
        <f t="shared" si="6"/>
        <v/>
      </c>
      <c r="BQ48" s="2090" t="str">
        <f t="shared" si="6"/>
        <v/>
      </c>
      <c r="BR48" s="2090" t="str">
        <f t="shared" si="6"/>
        <v/>
      </c>
      <c r="BS48" s="2088" t="str">
        <f t="shared" si="6"/>
        <v/>
      </c>
      <c r="BT48" s="1143"/>
    </row>
    <row r="49" spans="1:72" customFormat="1" ht="18.75" customHeight="1">
      <c r="A49" s="1062"/>
      <c r="B49" s="152" t="s">
        <v>1393</v>
      </c>
      <c r="C49" s="152"/>
      <c r="D49" s="2158"/>
      <c r="E49" s="152"/>
      <c r="F49" s="152"/>
      <c r="G49" s="356">
        <v>0</v>
      </c>
      <c r="H49" s="356"/>
      <c r="I49" s="45">
        <f>I47+I27</f>
        <v>11198.432373260439</v>
      </c>
      <c r="J49" s="45"/>
      <c r="K49" s="45"/>
      <c r="L49" s="45">
        <v>605</v>
      </c>
      <c r="M49" s="45">
        <v>410</v>
      </c>
      <c r="N49" s="45">
        <v>610</v>
      </c>
      <c r="O49" s="45">
        <v>75</v>
      </c>
      <c r="P49" s="45">
        <v>1676.85395219677</v>
      </c>
      <c r="Q49" s="45">
        <v>2282.4267500070437</v>
      </c>
      <c r="R49" s="45">
        <v>2654.6144570377242</v>
      </c>
      <c r="S49" s="45">
        <v>2173.3250489048414</v>
      </c>
      <c r="T49" s="45">
        <v>2119.5360386185894</v>
      </c>
      <c r="U49" s="45">
        <v>2305.946162228538</v>
      </c>
      <c r="V49" s="45">
        <v>3058.094508477152</v>
      </c>
      <c r="W49" s="365">
        <v>4008.1220119704062</v>
      </c>
      <c r="X49" s="45">
        <v>3456.8851652791095</v>
      </c>
      <c r="Y49" s="45">
        <v>3122.5555555555557</v>
      </c>
      <c r="Z49" s="45">
        <v>4484.2556427377931</v>
      </c>
      <c r="AA49" s="45">
        <v>3256.653043848446</v>
      </c>
      <c r="AB49" s="45">
        <v>3500.8144269542386</v>
      </c>
      <c r="AC49" s="45">
        <v>4174.375</v>
      </c>
      <c r="AD49" s="45">
        <v>5286.0680871626046</v>
      </c>
      <c r="AE49" s="45">
        <v>3912.5363309463437</v>
      </c>
      <c r="AF49" s="45">
        <v>4723.6070219931398</v>
      </c>
      <c r="AG49" s="45">
        <v>4410.6383612239197</v>
      </c>
      <c r="AH49" s="45">
        <v>3947.8672594692298</v>
      </c>
      <c r="AI49" s="388">
        <v>3701.333333333333</v>
      </c>
      <c r="AJ49" s="836">
        <v>2442.0192836145916</v>
      </c>
      <c r="AK49" s="45">
        <v>3084.7971503988265</v>
      </c>
      <c r="AL49" s="45">
        <v>4013.1505978882506</v>
      </c>
      <c r="AM49" s="45">
        <v>3156.8483272042918</v>
      </c>
      <c r="AN49" s="45">
        <f t="shared" ref="AN49:BS49" si="7">AN27+AN47</f>
        <v>3221.531393568147</v>
      </c>
      <c r="AO49" s="45">
        <f t="shared" si="7"/>
        <v>3122.6450593427003</v>
      </c>
      <c r="AP49" s="45">
        <f t="shared" si="7"/>
        <v>3141.7978258727089</v>
      </c>
      <c r="AQ49" s="45">
        <f t="shared" si="7"/>
        <v>2989.7230377872811</v>
      </c>
      <c r="AR49" s="45">
        <f t="shared" si="7"/>
        <v>2562.944234740095</v>
      </c>
      <c r="AS49" s="45">
        <f t="shared" si="7"/>
        <v>2505.8705006668051</v>
      </c>
      <c r="AT49" s="45">
        <f t="shared" si="7"/>
        <v>2601.2310429049658</v>
      </c>
      <c r="AU49" s="839">
        <f t="shared" si="7"/>
        <v>3953.5384118161282</v>
      </c>
      <c r="AV49" s="632">
        <f t="shared" si="7"/>
        <v>3214.1137931764133</v>
      </c>
      <c r="AW49" s="155">
        <f t="shared" si="7"/>
        <v>2892.5403897668616</v>
      </c>
      <c r="AX49" s="155">
        <f t="shared" si="7"/>
        <v>3893.9570343466121</v>
      </c>
      <c r="AY49" s="155">
        <f t="shared" si="7"/>
        <v>458.32751623400679</v>
      </c>
      <c r="AZ49" s="155">
        <f t="shared" si="7"/>
        <v>387</v>
      </c>
      <c r="BA49" s="155">
        <f t="shared" si="7"/>
        <v>182</v>
      </c>
      <c r="BB49" s="155">
        <f t="shared" si="7"/>
        <v>182</v>
      </c>
      <c r="BC49" s="155">
        <f t="shared" si="7"/>
        <v>282</v>
      </c>
      <c r="BD49" s="155">
        <f t="shared" si="7"/>
        <v>0</v>
      </c>
      <c r="BE49" s="155">
        <f t="shared" si="7"/>
        <v>0</v>
      </c>
      <c r="BF49" s="155">
        <f t="shared" si="7"/>
        <v>0</v>
      </c>
      <c r="BG49" s="274">
        <f t="shared" si="7"/>
        <v>0</v>
      </c>
      <c r="BH49" s="808">
        <f t="shared" si="7"/>
        <v>0</v>
      </c>
      <c r="BI49" s="155">
        <f t="shared" si="7"/>
        <v>0</v>
      </c>
      <c r="BJ49" s="155">
        <f t="shared" si="7"/>
        <v>0</v>
      </c>
      <c r="BK49" s="155">
        <f t="shared" si="7"/>
        <v>0</v>
      </c>
      <c r="BL49" s="155">
        <f t="shared" si="7"/>
        <v>0</v>
      </c>
      <c r="BM49" s="155">
        <f t="shared" si="7"/>
        <v>0</v>
      </c>
      <c r="BN49" s="155">
        <f t="shared" si="7"/>
        <v>0</v>
      </c>
      <c r="BO49" s="155">
        <f t="shared" si="7"/>
        <v>0</v>
      </c>
      <c r="BP49" s="155">
        <f t="shared" si="7"/>
        <v>0</v>
      </c>
      <c r="BQ49" s="155">
        <f t="shared" si="7"/>
        <v>0</v>
      </c>
      <c r="BR49" s="155">
        <f t="shared" si="7"/>
        <v>0</v>
      </c>
      <c r="BS49" s="809">
        <f t="shared" si="7"/>
        <v>0</v>
      </c>
      <c r="BT49" s="21"/>
    </row>
    <row r="50" spans="1:72" customFormat="1" ht="18.75" customHeight="1" thickBot="1">
      <c r="A50" s="1065"/>
      <c r="B50" s="187" t="s">
        <v>1394</v>
      </c>
      <c r="C50" s="188"/>
      <c r="D50" s="2163"/>
      <c r="E50" s="188"/>
      <c r="F50" s="189"/>
      <c r="G50" s="202"/>
      <c r="H50" s="699"/>
      <c r="I50" s="359"/>
      <c r="J50" s="325"/>
      <c r="K50" s="325"/>
      <c r="L50" s="190">
        <v>4019</v>
      </c>
      <c r="M50" s="285">
        <v>3770</v>
      </c>
      <c r="N50" s="285">
        <v>5757</v>
      </c>
      <c r="O50" s="285">
        <v>4872</v>
      </c>
      <c r="P50" s="285">
        <v>3770</v>
      </c>
      <c r="Q50" s="285">
        <v>4129</v>
      </c>
      <c r="R50" s="285">
        <v>3824</v>
      </c>
      <c r="S50" s="197">
        <v>2919.1792034122345</v>
      </c>
      <c r="T50" s="197">
        <v>2806.02065373818</v>
      </c>
      <c r="U50" s="197">
        <v>2719.4458762311187</v>
      </c>
      <c r="V50" s="198">
        <v>2912.4680768635094</v>
      </c>
      <c r="W50" s="339">
        <v>4805.0358755231455</v>
      </c>
      <c r="X50" s="337">
        <v>4440.263414625133</v>
      </c>
      <c r="Y50" s="339">
        <v>3200.305112035187</v>
      </c>
      <c r="Z50" s="340">
        <v>5548.5262228830134</v>
      </c>
      <c r="AA50" s="341">
        <v>4669.2410360134509</v>
      </c>
      <c r="AB50" s="316">
        <v>4226.8807137193162</v>
      </c>
      <c r="AC50" s="330">
        <v>4462.318009570301</v>
      </c>
      <c r="AD50" s="330">
        <v>5010.43818071644</v>
      </c>
      <c r="AE50" s="635">
        <v>3951.8038185963196</v>
      </c>
      <c r="AF50" s="635">
        <v>3878.3243658882052</v>
      </c>
      <c r="AG50" s="635">
        <v>3867.7133633428994</v>
      </c>
      <c r="AH50" s="635">
        <v>4288.040867570815</v>
      </c>
      <c r="AI50" s="635">
        <v>6336.5932894716407</v>
      </c>
      <c r="AJ50" s="841">
        <v>5973.6221068144932</v>
      </c>
      <c r="AK50" s="635">
        <v>4859.9813359349964</v>
      </c>
      <c r="AL50" s="635">
        <v>6852.5760659951602</v>
      </c>
      <c r="AM50" s="635">
        <v>5020.4223169831766</v>
      </c>
      <c r="AN50" s="635">
        <v>4311.8457893102504</v>
      </c>
      <c r="AO50" s="635">
        <v>4560.1413474295223</v>
      </c>
      <c r="AP50" s="635">
        <v>5175.571036841312</v>
      </c>
      <c r="AQ50" s="635" t="str">
        <f>IFERROR(IF(SUM(INDEX('在庫使用計画 (一般)'!$A$1:$BF$557,MATCH($C50,'在庫使用計画 (一般)'!$C$1:$C$557,0),MATCH(AQ$1,'在庫使用計画 (一般)'!$A$1:$BF$1,0)),INDEX('在庫使用計画 (法人)'!$A$1:$AT$578,MATCH($C50,'在庫使用計画 (法人)'!$C$1:$C$578,0),MATCH(AQ$1,'在庫使用計画 (法人)'!$A$1:$AT$1,0)))=0,"",SUM(INDEX('在庫使用計画 (一般)'!$A$1:$BF$557,MATCH($C50,'在庫使用計画 (一般)'!$C$1:$C$557,0),MATCH(AQ$1,'在庫使用計画 (一般)'!$A$1:$BF$1,0)),INDEX('在庫使用計画 (法人)'!$A$1:$AT$578,MATCH($C50,'在庫使用計画 (法人)'!$C$1:$C$578,0),MATCH(AQ$1,'在庫使用計画 (法人)'!$A$1:$AT$1,0)))),"")</f>
        <v/>
      </c>
      <c r="AR50" s="635" t="str">
        <f>IFERROR(IF(SUM(INDEX('在庫使用計画 (一般)'!$A$1:$BF$557,MATCH($C50,'在庫使用計画 (一般)'!$C$1:$C$557,0),MATCH(AR$1,'在庫使用計画 (一般)'!$A$1:$BF$1,0)),INDEX('在庫使用計画 (法人)'!$A$1:$AT$578,MATCH($C50,'在庫使用計画 (法人)'!$C$1:$C$578,0),MATCH(AR$1,'在庫使用計画 (法人)'!$A$1:$AT$1,0)))=0,"",SUM(INDEX('在庫使用計画 (一般)'!$A$1:$BF$557,MATCH($C50,'在庫使用計画 (一般)'!$C$1:$C$557,0),MATCH(AR$1,'在庫使用計画 (一般)'!$A$1:$BF$1,0)),INDEX('在庫使用計画 (法人)'!$A$1:$AT$578,MATCH($C50,'在庫使用計画 (法人)'!$C$1:$C$578,0),MATCH(AR$1,'在庫使用計画 (法人)'!$A$1:$AT$1,0)))),"")</f>
        <v/>
      </c>
      <c r="AS50" s="635" t="str">
        <f>IFERROR(IF(SUM(INDEX('在庫使用計画 (一般)'!$A$1:$BF$557,MATCH($C50,'在庫使用計画 (一般)'!$C$1:$C$557,0),MATCH(AS$1,'在庫使用計画 (一般)'!$A$1:$BF$1,0)),INDEX('在庫使用計画 (法人)'!$A$1:$AT$578,MATCH($C50,'在庫使用計画 (法人)'!$C$1:$C$578,0),MATCH(AS$1,'在庫使用計画 (法人)'!$A$1:$AT$1,0)))=0,"",SUM(INDEX('在庫使用計画 (一般)'!$A$1:$BF$557,MATCH($C50,'在庫使用計画 (一般)'!$C$1:$C$557,0),MATCH(AS$1,'在庫使用計画 (一般)'!$A$1:$BF$1,0)),INDEX('在庫使用計画 (法人)'!$A$1:$AT$578,MATCH($C50,'在庫使用計画 (法人)'!$C$1:$C$578,0),MATCH(AS$1,'在庫使用計画 (法人)'!$A$1:$AT$1,0)))),"")</f>
        <v/>
      </c>
      <c r="AT50" s="635" t="str">
        <f>IFERROR(IF(SUM(INDEX('在庫使用計画 (一般)'!$A$1:$BF$557,MATCH($C50,'在庫使用計画 (一般)'!$C$1:$C$557,0),MATCH(AT$1,'在庫使用計画 (一般)'!$A$1:$BF$1,0)),INDEX('在庫使用計画 (法人)'!$A$1:$AT$578,MATCH($C50,'在庫使用計画 (法人)'!$C$1:$C$578,0),MATCH(AT$1,'在庫使用計画 (法人)'!$A$1:$AT$1,0)))=0,"",SUM(INDEX('在庫使用計画 (一般)'!$A$1:$BF$557,MATCH($C50,'在庫使用計画 (一般)'!$C$1:$C$557,0),MATCH(AT$1,'在庫使用計画 (一般)'!$A$1:$BF$1,0)),INDEX('在庫使用計画 (法人)'!$A$1:$AT$578,MATCH($C50,'在庫使用計画 (法人)'!$C$1:$C$578,0),MATCH(AT$1,'在庫使用計画 (法人)'!$A$1:$AT$1,0)))),"")</f>
        <v/>
      </c>
      <c r="AU50" s="842" t="str">
        <f>IFERROR(IF(SUM(INDEX('在庫使用計画 (一般)'!$A$1:$BF$557,MATCH($C50,'在庫使用計画 (一般)'!$C$1:$C$557,0),MATCH(AU$1,'在庫使用計画 (一般)'!$A$1:$BF$1,0)),INDEX('在庫使用計画 (法人)'!$A$1:$AT$578,MATCH($C50,'在庫使用計画 (法人)'!$C$1:$C$578,0),MATCH(AU$1,'在庫使用計画 (法人)'!$A$1:$AT$1,0)))=0,"",SUM(INDEX('在庫使用計画 (一般)'!$A$1:$BF$557,MATCH($C50,'在庫使用計画 (一般)'!$C$1:$C$557,0),MATCH(AU$1,'在庫使用計画 (一般)'!$A$1:$BF$1,0)),INDEX('在庫使用計画 (法人)'!$A$1:$AT$578,MATCH($C50,'在庫使用計画 (法人)'!$C$1:$C$578,0),MATCH(AU$1,'在庫使用計画 (法人)'!$A$1:$AT$1,0)))),"")</f>
        <v/>
      </c>
      <c r="AV50" s="829" t="str">
        <f>IFERROR(IF(SUM(INDEX('在庫使用計画 (一般)'!$A$1:$BF$557,MATCH($C50,'在庫使用計画 (一般)'!$C$1:$C$557,0),MATCH(AV$1,'在庫使用計画 (一般)'!$A$1:$BF$1,0)),INDEX('在庫使用計画 (法人)'!$A$1:$AT$578,MATCH($C50,'在庫使用計画 (法人)'!$C$1:$C$578,0),MATCH(AV$1,'在庫使用計画 (法人)'!$A$1:$AT$1,0)))=0,"",SUM(INDEX('在庫使用計画 (一般)'!$A$1:$BF$557,MATCH($C50,'在庫使用計画 (一般)'!$C$1:$C$557,0),MATCH(AV$1,'在庫使用計画 (一般)'!$A$1:$BF$1,0)),INDEX('在庫使用計画 (法人)'!$A$1:$AT$578,MATCH($C50,'在庫使用計画 (法人)'!$C$1:$C$578,0),MATCH(AV$1,'在庫使用計画 (法人)'!$A$1:$AT$1,0)))),"")</f>
        <v/>
      </c>
      <c r="AW50" s="638" t="str">
        <f>IFERROR(IF(SUM(INDEX('在庫使用計画 (一般)'!$A$1:$BF$557,MATCH($C50,'在庫使用計画 (一般)'!$C$1:$C$557,0),MATCH(AW$1,'在庫使用計画 (一般)'!$A$1:$BF$1,0)),INDEX('在庫使用計画 (法人)'!$A$1:$AT$578,MATCH($C50,'在庫使用計画 (法人)'!$C$1:$C$578,0),MATCH(AW$1,'在庫使用計画 (法人)'!$A$1:$AT$1,0)))=0,"",SUM(INDEX('在庫使用計画 (一般)'!$A$1:$BF$557,MATCH($C50,'在庫使用計画 (一般)'!$C$1:$C$557,0),MATCH(AW$1,'在庫使用計画 (一般)'!$A$1:$BF$1,0)),INDEX('在庫使用計画 (法人)'!$A$1:$AT$578,MATCH($C50,'在庫使用計画 (法人)'!$C$1:$C$578,0),MATCH(AW$1,'在庫使用計画 (法人)'!$A$1:$AT$1,0)))),"")</f>
        <v/>
      </c>
      <c r="AX50" s="638" t="str">
        <f>IFERROR(IF(SUM(INDEX('在庫使用計画 (一般)'!$A$1:$BF$557,MATCH($C50,'在庫使用計画 (一般)'!$C$1:$C$557,0),MATCH(AX$1,'在庫使用計画 (一般)'!$A$1:$BF$1,0)),INDEX('在庫使用計画 (法人)'!$A$1:$AT$578,MATCH($C50,'在庫使用計画 (法人)'!$C$1:$C$578,0),MATCH(AX$1,'在庫使用計画 (法人)'!$A$1:$AT$1,0)))=0,"",SUM(INDEX('在庫使用計画 (一般)'!$A$1:$BF$557,MATCH($C50,'在庫使用計画 (一般)'!$C$1:$C$557,0),MATCH(AX$1,'在庫使用計画 (一般)'!$A$1:$BF$1,0)),INDEX('在庫使用計画 (法人)'!$A$1:$AT$578,MATCH($C50,'在庫使用計画 (法人)'!$C$1:$C$578,0),MATCH(AX$1,'在庫使用計画 (法人)'!$A$1:$AT$1,0)))),"")</f>
        <v/>
      </c>
      <c r="AY50" s="638" t="str">
        <f>IFERROR(IF(SUM(INDEX('在庫使用計画 (一般)'!$A$1:$BF$557,MATCH($C50,'在庫使用計画 (一般)'!$C$1:$C$557,0),MATCH(AY$1,'在庫使用計画 (一般)'!$A$1:$BF$1,0)),INDEX('在庫使用計画 (法人)'!$A$1:$AT$578,MATCH($C50,'在庫使用計画 (法人)'!$C$1:$C$578,0),MATCH(AY$1,'在庫使用計画 (法人)'!$A$1:$AT$1,0)))=0,"",SUM(INDEX('在庫使用計画 (一般)'!$A$1:$BF$557,MATCH($C50,'在庫使用計画 (一般)'!$C$1:$C$557,0),MATCH(AY$1,'在庫使用計画 (一般)'!$A$1:$BF$1,0)),INDEX('在庫使用計画 (法人)'!$A$1:$AT$578,MATCH($C50,'在庫使用計画 (法人)'!$C$1:$C$578,0),MATCH(AY$1,'在庫使用計画 (法人)'!$A$1:$AT$1,0)))),"")</f>
        <v/>
      </c>
      <c r="AZ50" s="638" t="str">
        <f>IFERROR(IF(SUM(INDEX('在庫使用計画 (一般)'!$A$1:$BF$557,MATCH($C50,'在庫使用計画 (一般)'!$C$1:$C$557,0),MATCH(AZ$1,'在庫使用計画 (一般)'!$A$1:$BF$1,0)),INDEX('在庫使用計画 (法人)'!$A$1:$AT$578,MATCH($C50,'在庫使用計画 (法人)'!$C$1:$C$578,0),MATCH(AZ$1,'在庫使用計画 (法人)'!$A$1:$AT$1,0)))=0,"",SUM(INDEX('在庫使用計画 (一般)'!$A$1:$BF$557,MATCH($C50,'在庫使用計画 (一般)'!$C$1:$C$557,0),MATCH(AZ$1,'在庫使用計画 (一般)'!$A$1:$BF$1,0)),INDEX('在庫使用計画 (法人)'!$A$1:$AT$578,MATCH($C50,'在庫使用計画 (法人)'!$C$1:$C$578,0),MATCH(AZ$1,'在庫使用計画 (法人)'!$A$1:$AT$1,0)))),"")</f>
        <v/>
      </c>
      <c r="BA50" s="638" t="str">
        <f>IFERROR(IF(SUM(INDEX('在庫使用計画 (一般)'!$A$1:$BF$557,MATCH($C50,'在庫使用計画 (一般)'!$C$1:$C$557,0),MATCH(BA$1,'在庫使用計画 (一般)'!$A$1:$BF$1,0)),INDEX('在庫使用計画 (法人)'!$A$1:$AT$578,MATCH($C50,'在庫使用計画 (法人)'!$C$1:$C$578,0),MATCH(BA$1,'在庫使用計画 (法人)'!$A$1:$AT$1,0)))=0,"",SUM(INDEX('在庫使用計画 (一般)'!$A$1:$BF$557,MATCH($C50,'在庫使用計画 (一般)'!$C$1:$C$557,0),MATCH(BA$1,'在庫使用計画 (一般)'!$A$1:$BF$1,0)),INDEX('在庫使用計画 (法人)'!$A$1:$AT$578,MATCH($C50,'在庫使用計画 (法人)'!$C$1:$C$578,0),MATCH(BA$1,'在庫使用計画 (法人)'!$A$1:$AT$1,0)))),"")</f>
        <v/>
      </c>
      <c r="BB50" s="638" t="str">
        <f>IFERROR(IF(SUM(INDEX('在庫使用計画 (一般)'!$A$1:$BF$557,MATCH($C50,'在庫使用計画 (一般)'!$C$1:$C$557,0),MATCH(BB$1,'在庫使用計画 (一般)'!$A$1:$BF$1,0)),INDEX('在庫使用計画 (法人)'!$A$1:$AT$578,MATCH($C50,'在庫使用計画 (法人)'!$C$1:$C$578,0),MATCH(BB$1,'在庫使用計画 (法人)'!$A$1:$AT$1,0)))=0,"",SUM(INDEX('在庫使用計画 (一般)'!$A$1:$BF$557,MATCH($C50,'在庫使用計画 (一般)'!$C$1:$C$557,0),MATCH(BB$1,'在庫使用計画 (一般)'!$A$1:$BF$1,0)),INDEX('在庫使用計画 (法人)'!$A$1:$AT$578,MATCH($C50,'在庫使用計画 (法人)'!$C$1:$C$578,0),MATCH(BB$1,'在庫使用計画 (法人)'!$A$1:$AT$1,0)))),"")</f>
        <v/>
      </c>
      <c r="BC50" s="638" t="str">
        <f>IFERROR(IF(SUM(INDEX('在庫使用計画 (一般)'!$A$1:$BF$557,MATCH($C50,'在庫使用計画 (一般)'!$C$1:$C$557,0),MATCH(BC$1,'在庫使用計画 (一般)'!$A$1:$BF$1,0)),INDEX('在庫使用計画 (法人)'!$A$1:$AT$578,MATCH($C50,'在庫使用計画 (法人)'!$C$1:$C$578,0),MATCH(BC$1,'在庫使用計画 (法人)'!$A$1:$AT$1,0)))=0,"",SUM(INDEX('在庫使用計画 (一般)'!$A$1:$BF$557,MATCH($C50,'在庫使用計画 (一般)'!$C$1:$C$557,0),MATCH(BC$1,'在庫使用計画 (一般)'!$A$1:$BF$1,0)),INDEX('在庫使用計画 (法人)'!$A$1:$AT$578,MATCH($C50,'在庫使用計画 (法人)'!$C$1:$C$578,0),MATCH(BC$1,'在庫使用計画 (法人)'!$A$1:$AT$1,0)))),"")</f>
        <v/>
      </c>
      <c r="BD50" s="638" t="str">
        <f>IFERROR(IF(SUM(INDEX('在庫使用計画 (一般)'!$A$1:$BF$557,MATCH($C50,'在庫使用計画 (一般)'!$C$1:$C$557,0),MATCH(BD$1,'在庫使用計画 (一般)'!$A$1:$BF$1,0)),INDEX('在庫使用計画 (法人)'!$A$1:$AT$578,MATCH($C50,'在庫使用計画 (法人)'!$C$1:$C$578,0),MATCH(BD$1,'在庫使用計画 (法人)'!$A$1:$AT$1,0)))=0,"",SUM(INDEX('在庫使用計画 (一般)'!$A$1:$BF$557,MATCH($C50,'在庫使用計画 (一般)'!$C$1:$C$557,0),MATCH(BD$1,'在庫使用計画 (一般)'!$A$1:$BF$1,0)),INDEX('在庫使用計画 (法人)'!$A$1:$AT$578,MATCH($C50,'在庫使用計画 (法人)'!$C$1:$C$578,0),MATCH(BD$1,'在庫使用計画 (法人)'!$A$1:$AT$1,0)))),"")</f>
        <v/>
      </c>
      <c r="BE50" s="638" t="str">
        <f>IFERROR(IF(SUM(INDEX('在庫使用計画 (一般)'!$A$1:$BF$557,MATCH($C50,'在庫使用計画 (一般)'!$C$1:$C$557,0),MATCH(BE$1,'在庫使用計画 (一般)'!$A$1:$BF$1,0)),INDEX('在庫使用計画 (法人)'!$A$1:$AT$578,MATCH($C50,'在庫使用計画 (法人)'!$C$1:$C$578,0),MATCH(BE$1,'在庫使用計画 (法人)'!$A$1:$AT$1,0)))=0,"",SUM(INDEX('在庫使用計画 (一般)'!$A$1:$BF$557,MATCH($C50,'在庫使用計画 (一般)'!$C$1:$C$557,0),MATCH(BE$1,'在庫使用計画 (一般)'!$A$1:$BF$1,0)),INDEX('在庫使用計画 (法人)'!$A$1:$AT$578,MATCH($C50,'在庫使用計画 (法人)'!$C$1:$C$578,0),MATCH(BE$1,'在庫使用計画 (法人)'!$A$1:$AT$1,0)))),"")</f>
        <v/>
      </c>
      <c r="BF50" s="638" t="str">
        <f>IFERROR(IF(SUM(INDEX('在庫使用計画 (一般)'!$A$1:$BF$557,MATCH($C50,'在庫使用計画 (一般)'!$C$1:$C$557,0),MATCH(BF$1,'在庫使用計画 (一般)'!$A$1:$BF$1,0)),INDEX('在庫使用計画 (法人)'!$A$1:$AT$578,MATCH($C50,'在庫使用計画 (法人)'!$C$1:$C$578,0),MATCH(BF$1,'在庫使用計画 (法人)'!$A$1:$AT$1,0)))=0,"",SUM(INDEX('在庫使用計画 (一般)'!$A$1:$BF$557,MATCH($C50,'在庫使用計画 (一般)'!$C$1:$C$557,0),MATCH(BF$1,'在庫使用計画 (一般)'!$A$1:$BF$1,0)),INDEX('在庫使用計画 (法人)'!$A$1:$AT$578,MATCH($C50,'在庫使用計画 (法人)'!$C$1:$C$578,0),MATCH(BF$1,'在庫使用計画 (法人)'!$A$1:$AT$1,0)))),"")</f>
        <v/>
      </c>
      <c r="BG50" s="638" t="str">
        <f>IFERROR(IF(SUM(INDEX('在庫使用計画 (一般)'!$A$1:$BF$557,MATCH($C50,'在庫使用計画 (一般)'!$C$1:$C$557,0),MATCH(BG$1,'在庫使用計画 (一般)'!$A$1:$BF$1,0)),INDEX('在庫使用計画 (法人)'!$A$1:$AT$578,MATCH($C50,'在庫使用計画 (法人)'!$C$1:$C$578,0),MATCH(BG$1,'在庫使用計画 (法人)'!$A$1:$AT$1,0)))=0,"",SUM(INDEX('在庫使用計画 (一般)'!$A$1:$BF$557,MATCH($C50,'在庫使用計画 (一般)'!$C$1:$C$557,0),MATCH(BG$1,'在庫使用計画 (一般)'!$A$1:$BF$1,0)),INDEX('在庫使用計画 (法人)'!$A$1:$AT$578,MATCH($C50,'在庫使用計画 (法人)'!$C$1:$C$578,0),MATCH(BG$1,'在庫使用計画 (法人)'!$A$1:$AT$1,0)))),"")</f>
        <v/>
      </c>
      <c r="BH50" s="810" t="str">
        <f>IFERROR(IF(SUM(INDEX('在庫使用計画 (一般)'!$A$1:$BF$557,MATCH($C50,'在庫使用計画 (一般)'!$C$1:$C$557,0),MATCH(BH$1,'在庫使用計画 (一般)'!$A$1:$BF$1,0)),INDEX('在庫使用計画 (法人)'!$A$1:$AT$578,MATCH($C50,'在庫使用計画 (法人)'!$C$1:$C$578,0),MATCH(BH$1,'在庫使用計画 (法人)'!$A$1:$AT$1,0)))=0,"",SUM(INDEX('在庫使用計画 (一般)'!$A$1:$BF$557,MATCH($C50,'在庫使用計画 (一般)'!$C$1:$C$557,0),MATCH(BH$1,'在庫使用計画 (一般)'!$A$1:$BF$1,0)),INDEX('在庫使用計画 (法人)'!$A$1:$AT$578,MATCH($C50,'在庫使用計画 (法人)'!$C$1:$C$578,0),MATCH(BH$1,'在庫使用計画 (法人)'!$A$1:$AT$1,0)))),"")</f>
        <v/>
      </c>
      <c r="BI50" s="638" t="str">
        <f>IFERROR(IF(SUM(INDEX('在庫使用計画 (一般)'!$A$1:$BF$557,MATCH($C50,'在庫使用計画 (一般)'!$C$1:$C$557,0),MATCH(BI$1,'在庫使用計画 (一般)'!$A$1:$BF$1,0)),INDEX('在庫使用計画 (法人)'!$A$1:$AT$578,MATCH($C50,'在庫使用計画 (法人)'!$C$1:$C$578,0),MATCH(BI$1,'在庫使用計画 (法人)'!$A$1:$AT$1,0)))=0,"",SUM(INDEX('在庫使用計画 (一般)'!$A$1:$BF$557,MATCH($C50,'在庫使用計画 (一般)'!$C$1:$C$557,0),MATCH(BI$1,'在庫使用計画 (一般)'!$A$1:$BF$1,0)),INDEX('在庫使用計画 (法人)'!$A$1:$AT$578,MATCH($C50,'在庫使用計画 (法人)'!$C$1:$C$578,0),MATCH(BI$1,'在庫使用計画 (法人)'!$A$1:$AT$1,0)))),"")</f>
        <v/>
      </c>
      <c r="BJ50" s="638" t="str">
        <f>IFERROR(IF(SUM(INDEX('在庫使用計画 (一般)'!$A$1:$BF$557,MATCH($C50,'在庫使用計画 (一般)'!$C$1:$C$557,0),MATCH(BJ$1,'在庫使用計画 (一般)'!$A$1:$BF$1,0)),INDEX('在庫使用計画 (法人)'!$A$1:$AT$578,MATCH($C50,'在庫使用計画 (法人)'!$C$1:$C$578,0),MATCH(BJ$1,'在庫使用計画 (法人)'!$A$1:$AT$1,0)))=0,"",SUM(INDEX('在庫使用計画 (一般)'!$A$1:$BF$557,MATCH($C50,'在庫使用計画 (一般)'!$C$1:$C$557,0),MATCH(BJ$1,'在庫使用計画 (一般)'!$A$1:$BF$1,0)),INDEX('在庫使用計画 (法人)'!$A$1:$AT$578,MATCH($C50,'在庫使用計画 (法人)'!$C$1:$C$578,0),MATCH(BJ$1,'在庫使用計画 (法人)'!$A$1:$AT$1,0)))),"")</f>
        <v/>
      </c>
      <c r="BK50" s="638" t="str">
        <f>IFERROR(IF(SUM(INDEX('在庫使用計画 (一般)'!$A$1:$BF$557,MATCH($C50,'在庫使用計画 (一般)'!$C$1:$C$557,0),MATCH(BK$1,'在庫使用計画 (一般)'!$A$1:$BF$1,0)),INDEX('在庫使用計画 (法人)'!$A$1:$AT$578,MATCH($C50,'在庫使用計画 (法人)'!$C$1:$C$578,0),MATCH(BK$1,'在庫使用計画 (法人)'!$A$1:$AT$1,0)))=0,"",SUM(INDEX('在庫使用計画 (一般)'!$A$1:$BF$557,MATCH($C50,'在庫使用計画 (一般)'!$C$1:$C$557,0),MATCH(BK$1,'在庫使用計画 (一般)'!$A$1:$BF$1,0)),INDEX('在庫使用計画 (法人)'!$A$1:$AT$578,MATCH($C50,'在庫使用計画 (法人)'!$C$1:$C$578,0),MATCH(BK$1,'在庫使用計画 (法人)'!$A$1:$AT$1,0)))),"")</f>
        <v/>
      </c>
      <c r="BL50" s="638" t="str">
        <f>IFERROR(IF(SUM(INDEX('在庫使用計画 (一般)'!$A$1:$BF$557,MATCH($C50,'在庫使用計画 (一般)'!$C$1:$C$557,0),MATCH(BL$1,'在庫使用計画 (一般)'!$A$1:$BF$1,0)),INDEX('在庫使用計画 (法人)'!$A$1:$AT$578,MATCH($C50,'在庫使用計画 (法人)'!$C$1:$C$578,0),MATCH(BL$1,'在庫使用計画 (法人)'!$A$1:$AT$1,0)))=0,"",SUM(INDEX('在庫使用計画 (一般)'!$A$1:$BF$557,MATCH($C50,'在庫使用計画 (一般)'!$C$1:$C$557,0),MATCH(BL$1,'在庫使用計画 (一般)'!$A$1:$BF$1,0)),INDEX('在庫使用計画 (法人)'!$A$1:$AT$578,MATCH($C50,'在庫使用計画 (法人)'!$C$1:$C$578,0),MATCH(BL$1,'在庫使用計画 (法人)'!$A$1:$AT$1,0)))),"")</f>
        <v/>
      </c>
      <c r="BM50" s="638" t="str">
        <f>IFERROR(IF(SUM(INDEX('在庫使用計画 (一般)'!$A$1:$BF$557,MATCH($C50,'在庫使用計画 (一般)'!$C$1:$C$557,0),MATCH(BM$1,'在庫使用計画 (一般)'!$A$1:$BF$1,0)),INDEX('在庫使用計画 (法人)'!$A$1:$AT$578,MATCH($C50,'在庫使用計画 (法人)'!$C$1:$C$578,0),MATCH(BM$1,'在庫使用計画 (法人)'!$A$1:$AT$1,0)))=0,"",SUM(INDEX('在庫使用計画 (一般)'!$A$1:$BF$557,MATCH($C50,'在庫使用計画 (一般)'!$C$1:$C$557,0),MATCH(BM$1,'在庫使用計画 (一般)'!$A$1:$BF$1,0)),INDEX('在庫使用計画 (法人)'!$A$1:$AT$578,MATCH($C50,'在庫使用計画 (法人)'!$C$1:$C$578,0),MATCH(BM$1,'在庫使用計画 (法人)'!$A$1:$AT$1,0)))),"")</f>
        <v/>
      </c>
      <c r="BN50" s="638" t="str">
        <f>IFERROR(IF(SUM(INDEX('在庫使用計画 (一般)'!$A$1:$BF$557,MATCH($C50,'在庫使用計画 (一般)'!$C$1:$C$557,0),MATCH(BN$1,'在庫使用計画 (一般)'!$A$1:$BF$1,0)),INDEX('在庫使用計画 (法人)'!$A$1:$AT$578,MATCH($C50,'在庫使用計画 (法人)'!$C$1:$C$578,0),MATCH(BN$1,'在庫使用計画 (法人)'!$A$1:$AT$1,0)))=0,"",SUM(INDEX('在庫使用計画 (一般)'!$A$1:$BF$557,MATCH($C50,'在庫使用計画 (一般)'!$C$1:$C$557,0),MATCH(BN$1,'在庫使用計画 (一般)'!$A$1:$BF$1,0)),INDEX('在庫使用計画 (法人)'!$A$1:$AT$578,MATCH($C50,'在庫使用計画 (法人)'!$C$1:$C$578,0),MATCH(BN$1,'在庫使用計画 (法人)'!$A$1:$AT$1,0)))),"")</f>
        <v/>
      </c>
      <c r="BO50" s="638" t="str">
        <f>IFERROR(IF(SUM(INDEX('在庫使用計画 (一般)'!$A$1:$BF$557,MATCH($C50,'在庫使用計画 (一般)'!$C$1:$C$557,0),MATCH(BO$1,'在庫使用計画 (一般)'!$A$1:$BF$1,0)),INDEX('在庫使用計画 (法人)'!$A$1:$AT$578,MATCH($C50,'在庫使用計画 (法人)'!$C$1:$C$578,0),MATCH(BO$1,'在庫使用計画 (法人)'!$A$1:$AT$1,0)))=0,"",SUM(INDEX('在庫使用計画 (一般)'!$A$1:$BF$557,MATCH($C50,'在庫使用計画 (一般)'!$C$1:$C$557,0),MATCH(BO$1,'在庫使用計画 (一般)'!$A$1:$BF$1,0)),INDEX('在庫使用計画 (法人)'!$A$1:$AT$578,MATCH($C50,'在庫使用計画 (法人)'!$C$1:$C$578,0),MATCH(BO$1,'在庫使用計画 (法人)'!$A$1:$AT$1,0)))),"")</f>
        <v/>
      </c>
      <c r="BP50" s="638" t="str">
        <f>IFERROR(IF(SUM(INDEX('在庫使用計画 (一般)'!$A$1:$BF$557,MATCH($C50,'在庫使用計画 (一般)'!$C$1:$C$557,0),MATCH(BP$1,'在庫使用計画 (一般)'!$A$1:$BF$1,0)),INDEX('在庫使用計画 (法人)'!$A$1:$AT$578,MATCH($C50,'在庫使用計画 (法人)'!$C$1:$C$578,0),MATCH(BP$1,'在庫使用計画 (法人)'!$A$1:$AT$1,0)))=0,"",SUM(INDEX('在庫使用計画 (一般)'!$A$1:$BF$557,MATCH($C50,'在庫使用計画 (一般)'!$C$1:$C$557,0),MATCH(BP$1,'在庫使用計画 (一般)'!$A$1:$BF$1,0)),INDEX('在庫使用計画 (法人)'!$A$1:$AT$578,MATCH($C50,'在庫使用計画 (法人)'!$C$1:$C$578,0),MATCH(BP$1,'在庫使用計画 (法人)'!$A$1:$AT$1,0)))),"")</f>
        <v/>
      </c>
      <c r="BQ50" s="638" t="str">
        <f>IFERROR(IF(SUM(INDEX('在庫使用計画 (一般)'!$A$1:$BF$557,MATCH($C50,'在庫使用計画 (一般)'!$C$1:$C$557,0),MATCH(BQ$1,'在庫使用計画 (一般)'!$A$1:$BF$1,0)),INDEX('在庫使用計画 (法人)'!$A$1:$AT$578,MATCH($C50,'在庫使用計画 (法人)'!$C$1:$C$578,0),MATCH(BQ$1,'在庫使用計画 (法人)'!$A$1:$AT$1,0)))=0,"",SUM(INDEX('在庫使用計画 (一般)'!$A$1:$BF$557,MATCH($C50,'在庫使用計画 (一般)'!$C$1:$C$557,0),MATCH(BQ$1,'在庫使用計画 (一般)'!$A$1:$BF$1,0)),INDEX('在庫使用計画 (法人)'!$A$1:$AT$578,MATCH($C50,'在庫使用計画 (法人)'!$C$1:$C$578,0),MATCH(BQ$1,'在庫使用計画 (法人)'!$A$1:$AT$1,0)))),"")</f>
        <v/>
      </c>
      <c r="BR50" s="638" t="str">
        <f>IFERROR(IF(SUM(INDEX('在庫使用計画 (一般)'!$A$1:$BF$557,MATCH($C50,'在庫使用計画 (一般)'!$C$1:$C$557,0),MATCH(BR$1,'在庫使用計画 (一般)'!$A$1:$BF$1,0)),INDEX('在庫使用計画 (法人)'!$A$1:$AT$578,MATCH($C50,'在庫使用計画 (法人)'!$C$1:$C$578,0),MATCH(BR$1,'在庫使用計画 (法人)'!$A$1:$AT$1,0)))=0,"",SUM(INDEX('在庫使用計画 (一般)'!$A$1:$BF$557,MATCH($C50,'在庫使用計画 (一般)'!$C$1:$C$557,0),MATCH(BR$1,'在庫使用計画 (一般)'!$A$1:$BF$1,0)),INDEX('在庫使用計画 (法人)'!$A$1:$AT$578,MATCH($C50,'在庫使用計画 (法人)'!$C$1:$C$578,0),MATCH(BR$1,'在庫使用計画 (法人)'!$A$1:$AT$1,0)))),"")</f>
        <v/>
      </c>
      <c r="BS50" s="811" t="str">
        <f>IFERROR(IF(SUM(INDEX('在庫使用計画 (一般)'!$A$1:$BF$557,MATCH($C50,'在庫使用計画 (一般)'!$C$1:$C$557,0),MATCH(BS$1,'在庫使用計画 (一般)'!$A$1:$BF$1,0)),INDEX('在庫使用計画 (法人)'!$A$1:$AT$578,MATCH($C50,'在庫使用計画 (法人)'!$C$1:$C$578,0),MATCH(BS$1,'在庫使用計画 (法人)'!$A$1:$AT$1,0)))=0,"",SUM(INDEX('在庫使用計画 (一般)'!$A$1:$BF$557,MATCH($C50,'在庫使用計画 (一般)'!$C$1:$C$557,0),MATCH(BS$1,'在庫使用計画 (一般)'!$A$1:$BF$1,0)),INDEX('在庫使用計画 (法人)'!$A$1:$AT$578,MATCH($C50,'在庫使用計画 (法人)'!$C$1:$C$578,0),MATCH(BS$1,'在庫使用計画 (法人)'!$A$1:$AT$1,0)))),"")</f>
        <v/>
      </c>
      <c r="BT50" s="70"/>
    </row>
    <row r="51" spans="1:72" customFormat="1" ht="18.75" customHeight="1">
      <c r="A51" s="1066" t="s">
        <v>1728</v>
      </c>
      <c r="B51" s="30" t="s">
        <v>1757</v>
      </c>
      <c r="C51" s="30"/>
      <c r="D51" s="2152"/>
      <c r="E51" s="30" t="s">
        <v>11</v>
      </c>
      <c r="F51" s="30"/>
      <c r="G51" s="40"/>
      <c r="H51" s="40"/>
      <c r="I51" s="311">
        <v>0</v>
      </c>
      <c r="J51" s="311"/>
      <c r="K51" s="319"/>
      <c r="L51" s="41"/>
      <c r="M51" s="41"/>
      <c r="N51" s="41"/>
      <c r="O51" s="41"/>
      <c r="P51" s="41"/>
      <c r="Q51" s="41"/>
      <c r="R51" s="41"/>
      <c r="S51" s="41"/>
      <c r="T51" s="231"/>
      <c r="U51" s="231"/>
      <c r="V51" s="231"/>
      <c r="W51" s="135"/>
      <c r="X51" s="22"/>
      <c r="Y51" s="135"/>
      <c r="Z51" s="135"/>
      <c r="AA51" s="135"/>
      <c r="AB51" s="135"/>
      <c r="AC51" s="135"/>
      <c r="AD51" s="135"/>
      <c r="AE51" s="135"/>
      <c r="AF51" s="135"/>
      <c r="AG51" s="135"/>
      <c r="AH51" s="135"/>
      <c r="AI51" s="822"/>
      <c r="AJ51" s="843"/>
      <c r="AK51" s="135"/>
      <c r="AL51" s="135"/>
      <c r="AM51" s="135"/>
      <c r="AN51" s="135"/>
      <c r="AO51" s="135"/>
      <c r="AP51" s="135"/>
      <c r="AQ51" s="135"/>
      <c r="AR51" s="135"/>
      <c r="AS51" s="135"/>
      <c r="AT51" s="135"/>
      <c r="AU51" s="844"/>
      <c r="AV51" s="830"/>
      <c r="AW51" s="338"/>
      <c r="AX51" s="338"/>
      <c r="AY51" s="338"/>
      <c r="AZ51" s="338"/>
      <c r="BA51" s="338"/>
      <c r="BB51" s="338"/>
      <c r="BC51" s="338"/>
      <c r="BD51" s="338"/>
      <c r="BE51" s="338"/>
      <c r="BF51" s="338"/>
      <c r="BG51" s="799"/>
      <c r="BH51" s="812"/>
      <c r="BI51" s="338"/>
      <c r="BJ51" s="338"/>
      <c r="BK51" s="338"/>
      <c r="BL51" s="338"/>
      <c r="BM51" s="338"/>
      <c r="BN51" s="338"/>
      <c r="BO51" s="338"/>
      <c r="BP51" s="338"/>
      <c r="BQ51" s="338"/>
      <c r="BR51" s="338"/>
      <c r="BS51" s="813"/>
      <c r="BT51" s="21"/>
    </row>
    <row r="52" spans="1:72" customFormat="1" ht="18.75" customHeight="1">
      <c r="A52" s="2066" t="s">
        <v>1649</v>
      </c>
      <c r="B52" s="934" t="str" cm="1">
        <f t="array" ref="B52:B104">IF($C52:$C104="","",_xlfn.XLOOKUP($C52:$C104,マスタ_EOLリスト[製品型番],マスタ_EOLリスト[綽名]))</f>
        <v>MSH-15F3-185H-5000-L6 Thirdwave</v>
      </c>
      <c r="C52" s="100" t="s">
        <v>847</v>
      </c>
      <c r="D52" s="2153" cm="1">
        <f t="array" ref="D52:D104">IF(_xlfn.ANCHORARRAY(B52)="","",_xlfn.XLOOKUP(_xlfn.ANCHORARRAY(B52),購買計画one_note_貼り付け[綽名],購買計画one_note_貼り付け[累計発注数],,,-1))</f>
        <v>200</v>
      </c>
      <c r="E52" s="68" t="s">
        <v>1816</v>
      </c>
      <c r="F52" s="87"/>
      <c r="G52" s="74" cm="1">
        <f t="array" ref="G52:G104">IF($C52:$C104="","",SUMIF(マスタ_EOLリスト[[製品型番]:[製品型番]],$C52:$C104,マスタ_EOLリスト[[在庫+注残]:[在庫+注残]]))</f>
        <v>177</v>
      </c>
      <c r="H52" s="38" cm="1">
        <f t="array" ref="H52:H104">IF($C52:$C104="","",SUMIF(マスタ_EOLリスト[[製品型番]:[製品型番]],$C52:$C104,マスタ_EOLリスト[[在庫]:[在庫]]))</f>
        <v>177</v>
      </c>
      <c r="I52" s="38" cm="1">
        <f t="array" ref="I52">IF($C52="","",
_xlfn.LET(
  _xlpm._見出し,$A$1:$BT$1,
  _xlpm._行,$A52:$BT52,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96</v>
      </c>
      <c r="J52" s="74" cm="1">
        <f t="array" ref="J52">_xlfn.LET(
  _xlpm._見出し,$A$1:$BS$1,
  _xlpm._行,$A52:$BS52,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IF($C52="","",_xlpm._四点五月計画合計)
)</f>
        <v>110.5</v>
      </c>
      <c r="K52" s="1458" t="str" cm="1">
        <f t="array" ref="K52">_xlfn.IFS(
  $C52="","",
  $G52="","発売前？",
  $G52=0,"在庫なし",
  TRUE,
  IFERROR(
    _xlfn.LET(
      _xlpm._在庫注残,     $G52,
      _xlpm._しきい値,     _xlpm._在庫注残 * 0.75,
      _xlpm._見出し元,     $L$1:$BU$1,
      _xlpm._計画,         $L52:$BU52,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合計128、在庫+注残177のため不足</v>
      </c>
      <c r="L52" s="65"/>
      <c r="M52" s="65"/>
      <c r="N52" s="65"/>
      <c r="O52" s="65"/>
      <c r="P52" s="65"/>
      <c r="Q52" s="65"/>
      <c r="R52" s="65"/>
      <c r="S52" s="65"/>
      <c r="T52" s="65"/>
      <c r="U52" s="65"/>
      <c r="V52" s="65"/>
      <c r="W52" s="371"/>
      <c r="X52" s="192"/>
      <c r="Y52" s="192"/>
      <c r="Z52" s="192"/>
      <c r="AA52" s="192"/>
      <c r="AB52" s="354"/>
      <c r="AC52" s="192"/>
      <c r="AD52" s="333" t="s">
        <v>21</v>
      </c>
      <c r="AE52" s="333">
        <v>3</v>
      </c>
      <c r="AF52" s="333">
        <v>4</v>
      </c>
      <c r="AG52" s="333">
        <v>0</v>
      </c>
      <c r="AH52" s="224">
        <v>11</v>
      </c>
      <c r="AI52" s="823">
        <v>1</v>
      </c>
      <c r="AJ52" s="804" t="s">
        <v>21</v>
      </c>
      <c r="AK52" s="224">
        <v>1</v>
      </c>
      <c r="AL52" s="224">
        <v>1</v>
      </c>
      <c r="AM52" s="224">
        <v>26</v>
      </c>
      <c r="AN52" s="224">
        <f>_xlfn.LET(
_xlpm._一般検索,IFERROR(INDEX('在庫使用計画 (一般)'!$A$1:$BF$391,MATCH($C52,'在庫使用計画 (一般)'!$C$1:$C$391,0),MATCH(AN$1,'在庫使用計画 (一般)'!$A$1:$BF$1,0))*1,0),
_xlpm._法人検索,IFERROR(INDEX('在庫使用計画 (法人)'!$A$1:$BF$391,MATCH($C52,'在庫使用計画 (法人)'!$C$1:$C$391,0),MATCH(AN$1,'在庫使用計画 (法人)'!$A$1:$BF$1,0))*1,0),
_xlpm._合計,_xlpm._一般検索+_xlpm._法人検索,
IF(_xlpm._合計=0,"",_xlpm._合計)
)</f>
        <v>13</v>
      </c>
      <c r="AO52" s="224">
        <f>_xlfn.LET(
_xlpm._一般検索,IFERROR(INDEX('在庫使用計画 (一般)'!$A$1:$BF$391,MATCH($C52,'在庫使用計画 (一般)'!$C$1:$C$391,0),MATCH(AO$1,'在庫使用計画 (一般)'!$A$1:$BF$1,0))*1,0),
_xlpm._法人検索,IFERROR(INDEX('在庫使用計画 (法人)'!$A$1:$BF$391,MATCH($C52,'在庫使用計画 (法人)'!$C$1:$C$391,0),MATCH(AO$1,'在庫使用計画 (法人)'!$A$1:$BF$1,0))*1,0),
_xlpm._合計,_xlpm._一般検索+_xlpm._法人検索,
IF(_xlpm._合計=0,"",_xlpm._合計)
)</f>
        <v>12</v>
      </c>
      <c r="AP52" s="224">
        <f>_xlfn.LET(
_xlpm._一般検索,IFERROR(INDEX('在庫使用計画 (一般)'!$A$1:$BF$391,MATCH($C52,'在庫使用計画 (一般)'!$C$1:$C$391,0),MATCH(AP$1,'在庫使用計画 (一般)'!$A$1:$BF$1,0))*1,0),
_xlpm._法人検索,IFERROR(INDEX('在庫使用計画 (法人)'!$A$1:$BF$391,MATCH($C52,'在庫使用計画 (法人)'!$C$1:$C$391,0),MATCH(AP$1,'在庫使用計画 (法人)'!$A$1:$BF$1,0))*1,0),
_xlpm._合計,_xlpm._一般検索+_xlpm._法人検索,
IF(_xlpm._合計=0,"",_xlpm._合計)
)</f>
        <v>13</v>
      </c>
      <c r="AQ52" s="224">
        <f>_xlfn.LET(
_xlpm._一般検索,IFERROR(INDEX('在庫使用計画 (一般)'!$A$1:$BF$391,MATCH($C52,'在庫使用計画 (一般)'!$C$1:$C$391,0),MATCH(AQ$1,'在庫使用計画 (一般)'!$A$1:$BF$1,0))*1,0),
_xlpm._法人検索,IFERROR(INDEX('在庫使用計画 (法人)'!$A$1:$BF$391,MATCH($C52,'在庫使用計画 (法人)'!$C$1:$C$391,0),MATCH(AQ$1,'在庫使用計画 (法人)'!$A$1:$BF$1,0))*1,0),
_xlpm._合計,_xlpm._一般検索+_xlpm._法人検索,
IF(_xlpm._合計=0,"",_xlpm._合計)
)</f>
        <v>36</v>
      </c>
      <c r="AR52" s="224">
        <f>_xlfn.LET(
_xlpm._一般検索,IFERROR(INDEX('在庫使用計画 (一般)'!$A$1:$BF$391,MATCH($C52,'在庫使用計画 (一般)'!$C$1:$C$391,0),MATCH(AR$1,'在庫使用計画 (一般)'!$A$1:$BF$1,0))*1,0),
_xlpm._法人検索,IFERROR(INDEX('在庫使用計画 (法人)'!$A$1:$BF$391,MATCH($C52,'在庫使用計画 (法人)'!$C$1:$C$391,0),MATCH(AR$1,'在庫使用計画 (法人)'!$A$1:$BF$1,0))*1,0),
_xlpm._合計,_xlpm._一般検索+_xlpm._法人検索,
IF(_xlpm._合計=0,"",_xlpm._合計)
)</f>
        <v>26</v>
      </c>
      <c r="AS52" s="224">
        <f>_xlfn.LET(
_xlpm._一般検索,IFERROR(INDEX('在庫使用計画 (一般)'!$A$1:$BF$391,MATCH($C52,'在庫使用計画 (一般)'!$C$1:$C$391,0),MATCH(AS$1,'在庫使用計画 (一般)'!$A$1:$BF$1,0))*1,0),
_xlpm._法人検索,IFERROR(INDEX('在庫使用計画 (法人)'!$A$1:$BF$391,MATCH($C52,'在庫使用計画 (法人)'!$C$1:$C$391,0),MATCH(AS$1,'在庫使用計画 (法人)'!$A$1:$BF$1,0))*1,0),
_xlpm._合計,_xlpm._一般検索+_xlpm._法人検索,
IF(_xlpm._合計=0,"",_xlpm._合計)
)</f>
        <v>21</v>
      </c>
      <c r="AT52" s="224">
        <f>_xlfn.LET(
_xlpm._一般検索,IFERROR(INDEX('在庫使用計画 (一般)'!$A$1:$BF$391,MATCH($C52,'在庫使用計画 (一般)'!$C$1:$C$391,0),MATCH(AT$1,'在庫使用計画 (一般)'!$A$1:$BF$1,0))*1,0),
_xlpm._法人検索,IFERROR(INDEX('在庫使用計画 (法人)'!$A$1:$BF$391,MATCH($C52,'在庫使用計画 (法人)'!$C$1:$C$391,0),MATCH(AT$1,'在庫使用計画 (法人)'!$A$1:$BF$1,0))*1,0),
_xlpm._合計,_xlpm._一般検索+_xlpm._法人検索,
IF(_xlpm._合計=0,"",_xlpm._合計)
)</f>
        <v>21</v>
      </c>
      <c r="AU52" s="805">
        <f>_xlfn.LET(
_xlpm._一般検索,IFERROR(INDEX('在庫使用計画 (一般)'!$A$1:$BF$391,MATCH($C52,'在庫使用計画 (一般)'!$C$1:$C$391,0),MATCH(AU$1,'在庫使用計画 (一般)'!$A$1:$BF$1,0))*1,0),
_xlpm._法人検索,IFERROR(INDEX('在庫使用計画 (法人)'!$A$1:$BF$391,MATCH($C52,'在庫使用計画 (法人)'!$C$1:$C$391,0),MATCH(AU$1,'在庫使用計画 (法人)'!$A$1:$BF$1,0))*1,0),
_xlpm._合計,_xlpm._一般検索+_xlpm._法人検索,
IF(_xlpm._合計=0,"",_xlpm._合計)
)</f>
        <v>11</v>
      </c>
      <c r="AV52" s="244" t="str">
        <f>_xlfn.LET(
_xlpm._一般検索,IFERROR(INDEX('在庫使用計画 (一般)'!$A$1:$BF$391,MATCH($C52,'在庫使用計画 (一般)'!$C$1:$C$391,0),MATCH(AV$1,'在庫使用計画 (一般)'!$A$1:$BF$1,0))*1,0),
_xlpm._法人検索,IFERROR(INDEX('在庫使用計画 (法人)'!$A$1:$BF$391,MATCH($C52,'在庫使用計画 (法人)'!$C$1:$C$391,0),MATCH(AV$1,'在庫使用計画 (法人)'!$A$1:$BF$1,0))*1,0),
_xlpm._合計,_xlpm._一般検索+_xlpm._法人検索,
IF(_xlpm._合計=0,"",_xlpm._合計)
)</f>
        <v/>
      </c>
      <c r="AW52" s="224" t="str">
        <f>_xlfn.LET(
_xlpm._一般検索,IFERROR(INDEX('在庫使用計画 (一般)'!$A$1:$BF$391,MATCH($C52,'在庫使用計画 (一般)'!$C$1:$C$391,0),MATCH(AW$1,'在庫使用計画 (一般)'!$A$1:$BF$1,0))*1,0),
_xlpm._法人検索,IFERROR(INDEX('在庫使用計画 (法人)'!$A$1:$BF$391,MATCH($C52,'在庫使用計画 (法人)'!$C$1:$C$391,0),MATCH(AW$1,'在庫使用計画 (法人)'!$A$1:$BF$1,0))*1,0),
_xlpm._合計,_xlpm._一般検索+_xlpm._法人検索,
IF(_xlpm._合計=0,"",_xlpm._合計)
)</f>
        <v/>
      </c>
      <c r="AX52" s="224" t="str">
        <f>_xlfn.LET(
_xlpm._一般検索,IFERROR(INDEX('在庫使用計画 (一般)'!$A$1:$BF$391,MATCH($C52,'在庫使用計画 (一般)'!$C$1:$C$391,0),MATCH(AX$1,'在庫使用計画 (一般)'!$A$1:$BF$1,0))*1,0),
_xlpm._法人検索,IFERROR(INDEX('在庫使用計画 (法人)'!$A$1:$BF$391,MATCH($C52,'在庫使用計画 (法人)'!$C$1:$C$391,0),MATCH(AX$1,'在庫使用計画 (法人)'!$A$1:$BF$1,0))*1,0),
_xlpm._合計,_xlpm._一般検索+_xlpm._法人検索,
IF(_xlpm._合計=0,"",_xlpm._合計)
)</f>
        <v/>
      </c>
      <c r="AY52" s="224" t="str">
        <f>_xlfn.LET(
_xlpm._一般検索,IFERROR(INDEX('在庫使用計画 (一般)'!$A$1:$BF$391,MATCH($C52,'在庫使用計画 (一般)'!$C$1:$C$391,0),MATCH(AY$1,'在庫使用計画 (一般)'!$A$1:$BF$1,0))*1,0),
_xlpm._法人検索,IFERROR(INDEX('在庫使用計画 (法人)'!$A$1:$BF$391,MATCH($C52,'在庫使用計画 (法人)'!$C$1:$C$391,0),MATCH(AY$1,'在庫使用計画 (法人)'!$A$1:$BF$1,0))*1,0),
_xlpm._合計,_xlpm._一般検索+_xlpm._法人検索,
IF(_xlpm._合計=0,"",_xlpm._合計)
)</f>
        <v/>
      </c>
      <c r="AZ52" s="224" t="str">
        <f>_xlfn.LET(
_xlpm._一般検索,IFERROR(INDEX('在庫使用計画 (一般)'!$A$1:$BF$391,MATCH($C52,'在庫使用計画 (一般)'!$C$1:$C$391,0),MATCH(AZ$1,'在庫使用計画 (一般)'!$A$1:$BF$1,0))*1,0),
_xlpm._法人検索,IFERROR(INDEX('在庫使用計画 (法人)'!$A$1:$BF$391,MATCH($C52,'在庫使用計画 (法人)'!$C$1:$C$391,0),MATCH(AZ$1,'在庫使用計画 (法人)'!$A$1:$BF$1,0))*1,0),
_xlpm._合計,_xlpm._一般検索+_xlpm._法人検索,
IF(_xlpm._合計=0,"",_xlpm._合計)
)</f>
        <v/>
      </c>
      <c r="BA52" s="224" t="str">
        <f>_xlfn.LET(
_xlpm._一般検索,IFERROR(INDEX('在庫使用計画 (一般)'!$A$1:$BF$391,MATCH($C52,'在庫使用計画 (一般)'!$C$1:$C$391,0),MATCH(BA$1,'在庫使用計画 (一般)'!$A$1:$BF$1,0))*1,0),
_xlpm._法人検索,IFERROR(INDEX('在庫使用計画 (法人)'!$A$1:$BF$391,MATCH($C52,'在庫使用計画 (法人)'!$C$1:$C$391,0),MATCH(BA$1,'在庫使用計画 (法人)'!$A$1:$BF$1,0))*1,0),
_xlpm._合計,_xlpm._一般検索+_xlpm._法人検索,
IF(_xlpm._合計=0,"",_xlpm._合計)
)</f>
        <v/>
      </c>
      <c r="BB52" s="224" t="str">
        <f>_xlfn.LET(
_xlpm._一般検索,IFERROR(INDEX('在庫使用計画 (一般)'!$A$1:$BF$391,MATCH($C52,'在庫使用計画 (一般)'!$C$1:$C$391,0),MATCH(BB$1,'在庫使用計画 (一般)'!$A$1:$BF$1,0))*1,0),
_xlpm._法人検索,IFERROR(INDEX('在庫使用計画 (法人)'!$A$1:$BF$391,MATCH($C52,'在庫使用計画 (法人)'!$C$1:$C$391,0),MATCH(BB$1,'在庫使用計画 (法人)'!$A$1:$BF$1,0))*1,0),
_xlpm._合計,_xlpm._一般検索+_xlpm._法人検索,
IF(_xlpm._合計=0,"",_xlpm._合計)
)</f>
        <v/>
      </c>
      <c r="BC52" s="224" t="str">
        <f>_xlfn.LET(
_xlpm._一般検索,IFERROR(INDEX('在庫使用計画 (一般)'!$A$1:$BF$391,MATCH($C52,'在庫使用計画 (一般)'!$C$1:$C$391,0),MATCH(BC$1,'在庫使用計画 (一般)'!$A$1:$BF$1,0))*1,0),
_xlpm._法人検索,IFERROR(INDEX('在庫使用計画 (法人)'!$A$1:$BF$391,MATCH($C52,'在庫使用計画 (法人)'!$C$1:$C$391,0),MATCH(BC$1,'在庫使用計画 (法人)'!$A$1:$BF$1,0))*1,0),
_xlpm._合計,_xlpm._一般検索+_xlpm._法人検索,
IF(_xlpm._合計=0,"",_xlpm._合計)
)</f>
        <v/>
      </c>
      <c r="BD52" s="224" t="str">
        <f>_xlfn.LET(
_xlpm._一般検索,IFERROR(INDEX('在庫使用計画 (一般)'!$A$1:$BF$391,MATCH($C52,'在庫使用計画 (一般)'!$C$1:$C$391,0),MATCH(BD$1,'在庫使用計画 (一般)'!$A$1:$BF$1,0))*1,0),
_xlpm._法人検索,IFERROR(INDEX('在庫使用計画 (法人)'!$A$1:$BF$391,MATCH($C52,'在庫使用計画 (法人)'!$C$1:$C$391,0),MATCH(BD$1,'在庫使用計画 (法人)'!$A$1:$BF$1,0))*1,0),
_xlpm._合計,_xlpm._一般検索+_xlpm._法人検索,
IF(_xlpm._合計=0,"",_xlpm._合計)
)</f>
        <v/>
      </c>
      <c r="BE52" s="224" t="str">
        <f>_xlfn.LET(
_xlpm._一般検索,IFERROR(INDEX('在庫使用計画 (一般)'!$A$1:$BF$391,MATCH($C52,'在庫使用計画 (一般)'!$C$1:$C$391,0),MATCH(BE$1,'在庫使用計画 (一般)'!$A$1:$BF$1,0))*1,0),
_xlpm._法人検索,IFERROR(INDEX('在庫使用計画 (法人)'!$A$1:$BF$391,MATCH($C52,'在庫使用計画 (法人)'!$C$1:$C$391,0),MATCH(BE$1,'在庫使用計画 (法人)'!$A$1:$BF$1,0))*1,0),
_xlpm._合計,_xlpm._一般検索+_xlpm._法人検索,
IF(_xlpm._合計=0,"",_xlpm._合計)
)</f>
        <v/>
      </c>
      <c r="BF52" s="224" t="str">
        <f>_xlfn.LET(
_xlpm._一般検索,IFERROR(INDEX('在庫使用計画 (一般)'!$A$1:$BF$391,MATCH($C52,'在庫使用計画 (一般)'!$C$1:$C$391,0),MATCH(BF$1,'在庫使用計画 (一般)'!$A$1:$BF$1,0))*1,0),
_xlpm._法人検索,IFERROR(INDEX('在庫使用計画 (法人)'!$A$1:$BF$391,MATCH($C52,'在庫使用計画 (法人)'!$C$1:$C$391,0),MATCH(BF$1,'在庫使用計画 (法人)'!$A$1:$BF$1,0))*1,0),
_xlpm._合計,_xlpm._一般検索+_xlpm._法人検索,
IF(_xlpm._合計=0,"",_xlpm._合計)
)</f>
        <v/>
      </c>
      <c r="BG52" s="237" t="str">
        <f>_xlfn.LET(
_xlpm._一般検索,IFERROR(INDEX('在庫使用計画 (一般)'!$A$1:$BF$391,MATCH($C52,'在庫使用計画 (一般)'!$C$1:$C$391,0),MATCH(BG$1,'在庫使用計画 (一般)'!$A$1:$BF$1,0))*1,0),
_xlpm._法人検索,IFERROR(INDEX('在庫使用計画 (法人)'!$A$1:$BF$391,MATCH($C52,'在庫使用計画 (法人)'!$C$1:$C$391,0),MATCH(BG$1,'在庫使用計画 (法人)'!$A$1:$BF$1,0))*1,0),
_xlpm._合計,_xlpm._一般検索+_xlpm._法人検索,
IF(_xlpm._合計=0,"",_xlpm._合計)
)</f>
        <v/>
      </c>
      <c r="BH52" s="804" t="str">
        <f>_xlfn.LET(
_xlpm._一般検索,IFERROR(INDEX('在庫使用計画 (一般)'!$A$1:$BF$391,MATCH($C52,'在庫使用計画 (一般)'!$C$1:$C$391,0),MATCH(BH$1,'在庫使用計画 (一般)'!$A$1:$BF$1,0))*1,0),
_xlpm._法人検索,IFERROR(INDEX('在庫使用計画 (法人)'!$A$1:$BF$391,MATCH($C52,'在庫使用計画 (法人)'!$C$1:$C$391,0),MATCH(BH$1,'在庫使用計画 (法人)'!$A$1:$BF$1,0))*1,0),
_xlpm._合計,_xlpm._一般検索+_xlpm._法人検索,
IF(_xlpm._合計=0,"",_xlpm._合計)
)</f>
        <v/>
      </c>
      <c r="BI52" s="224" t="str">
        <f>_xlfn.LET(
_xlpm._一般検索,IFERROR(INDEX('在庫使用計画 (一般)'!$A$1:$BF$391,MATCH($C52,'在庫使用計画 (一般)'!$C$1:$C$391,0),MATCH(BI$1,'在庫使用計画 (一般)'!$A$1:$BF$1,0))*1,0),
_xlpm._法人検索,IFERROR(INDEX('在庫使用計画 (法人)'!$A$1:$BF$391,MATCH($C52,'在庫使用計画 (法人)'!$C$1:$C$391,0),MATCH(BI$1,'在庫使用計画 (法人)'!$A$1:$BF$1,0))*1,0),
_xlpm._合計,_xlpm._一般検索+_xlpm._法人検索,
IF(_xlpm._合計=0,"",_xlpm._合計)
)</f>
        <v/>
      </c>
      <c r="BJ52" s="224" t="str">
        <f>_xlfn.LET(
_xlpm._一般検索,IFERROR(INDEX('在庫使用計画 (一般)'!$A$1:$BF$391,MATCH($C52,'在庫使用計画 (一般)'!$C$1:$C$391,0),MATCH(BJ$1,'在庫使用計画 (一般)'!$A$1:$BF$1,0))*1,0),
_xlpm._法人検索,IFERROR(INDEX('在庫使用計画 (法人)'!$A$1:$BF$391,MATCH($C52,'在庫使用計画 (法人)'!$C$1:$C$391,0),MATCH(BJ$1,'在庫使用計画 (法人)'!$A$1:$BF$1,0))*1,0),
_xlpm._合計,_xlpm._一般検索+_xlpm._法人検索,
IF(_xlpm._合計=0,"",_xlpm._合計)
)</f>
        <v/>
      </c>
      <c r="BK52" s="224" t="str">
        <f>_xlfn.LET(
_xlpm._一般検索,IFERROR(INDEX('在庫使用計画 (一般)'!$A$1:$BF$391,MATCH($C52,'在庫使用計画 (一般)'!$C$1:$C$391,0),MATCH(BK$1,'在庫使用計画 (一般)'!$A$1:$BF$1,0))*1,0),
_xlpm._法人検索,IFERROR(INDEX('在庫使用計画 (法人)'!$A$1:$BF$391,MATCH($C52,'在庫使用計画 (法人)'!$C$1:$C$391,0),MATCH(BK$1,'在庫使用計画 (法人)'!$A$1:$BF$1,0))*1,0),
_xlpm._合計,_xlpm._一般検索+_xlpm._法人検索,
IF(_xlpm._合計=0,"",_xlpm._合計)
)</f>
        <v/>
      </c>
      <c r="BL52" s="224" t="str">
        <f>_xlfn.LET(
_xlpm._一般検索,IFERROR(INDEX('在庫使用計画 (一般)'!$A$1:$BF$391,MATCH($C52,'在庫使用計画 (一般)'!$C$1:$C$391,0),MATCH(BL$1,'在庫使用計画 (一般)'!$A$1:$BF$1,0))*1,0),
_xlpm._法人検索,IFERROR(INDEX('在庫使用計画 (法人)'!$A$1:$BF$391,MATCH($C52,'在庫使用計画 (法人)'!$C$1:$C$391,0),MATCH(BL$1,'在庫使用計画 (法人)'!$A$1:$BF$1,0))*1,0),
_xlpm._合計,_xlpm._一般検索+_xlpm._法人検索,
IF(_xlpm._合計=0,"",_xlpm._合計)
)</f>
        <v/>
      </c>
      <c r="BM52" s="224" t="str">
        <f>_xlfn.LET(
_xlpm._一般検索,IFERROR(INDEX('在庫使用計画 (一般)'!$A$1:$BF$391,MATCH($C52,'在庫使用計画 (一般)'!$C$1:$C$391,0),MATCH(BM$1,'在庫使用計画 (一般)'!$A$1:$BF$1,0))*1,0),
_xlpm._法人検索,IFERROR(INDEX('在庫使用計画 (法人)'!$A$1:$BF$391,MATCH($C52,'在庫使用計画 (法人)'!$C$1:$C$391,0),MATCH(BM$1,'在庫使用計画 (法人)'!$A$1:$BF$1,0))*1,0),
_xlpm._合計,_xlpm._一般検索+_xlpm._法人検索,
IF(_xlpm._合計=0,"",_xlpm._合計)
)</f>
        <v/>
      </c>
      <c r="BN52" s="224" t="str">
        <f>_xlfn.LET(
_xlpm._一般検索,IFERROR(INDEX('在庫使用計画 (一般)'!$A$1:$BF$391,MATCH($C52,'在庫使用計画 (一般)'!$C$1:$C$391,0),MATCH(BN$1,'在庫使用計画 (一般)'!$A$1:$BF$1,0))*1,0),
_xlpm._法人検索,IFERROR(INDEX('在庫使用計画 (法人)'!$A$1:$BF$391,MATCH($C52,'在庫使用計画 (法人)'!$C$1:$C$391,0),MATCH(BN$1,'在庫使用計画 (法人)'!$A$1:$BF$1,0))*1,0),
_xlpm._合計,_xlpm._一般検索+_xlpm._法人検索,
IF(_xlpm._合計=0,"",_xlpm._合計)
)</f>
        <v/>
      </c>
      <c r="BO52" s="224" t="str">
        <f>_xlfn.LET(
_xlpm._一般検索,IFERROR(INDEX('在庫使用計画 (一般)'!$A$1:$BF$391,MATCH($C52,'在庫使用計画 (一般)'!$C$1:$C$391,0),MATCH(BO$1,'在庫使用計画 (一般)'!$A$1:$BF$1,0))*1,0),
_xlpm._法人検索,IFERROR(INDEX('在庫使用計画 (法人)'!$A$1:$BF$391,MATCH($C52,'在庫使用計画 (法人)'!$C$1:$C$391,0),MATCH(BO$1,'在庫使用計画 (法人)'!$A$1:$BF$1,0))*1,0),
_xlpm._合計,_xlpm._一般検索+_xlpm._法人検索,
IF(_xlpm._合計=0,"",_xlpm._合計)
)</f>
        <v/>
      </c>
      <c r="BP52" s="224" t="str">
        <f>_xlfn.LET(
_xlpm._一般検索,IFERROR(INDEX('在庫使用計画 (一般)'!$A$1:$BF$391,MATCH($C52,'在庫使用計画 (一般)'!$C$1:$C$391,0),MATCH(BP$1,'在庫使用計画 (一般)'!$A$1:$BF$1,0))*1,0),
_xlpm._法人検索,IFERROR(INDEX('在庫使用計画 (法人)'!$A$1:$BF$391,MATCH($C52,'在庫使用計画 (法人)'!$C$1:$C$391,0),MATCH(BP$1,'在庫使用計画 (法人)'!$A$1:$BF$1,0))*1,0),
_xlpm._合計,_xlpm._一般検索+_xlpm._法人検索,
IF(_xlpm._合計=0,"",_xlpm._合計)
)</f>
        <v/>
      </c>
      <c r="BQ52" s="224" t="str">
        <f>_xlfn.LET(
_xlpm._一般検索,IFERROR(INDEX('在庫使用計画 (一般)'!$A$1:$BF$391,MATCH($C52,'在庫使用計画 (一般)'!$C$1:$C$391,0),MATCH(BQ$1,'在庫使用計画 (一般)'!$A$1:$BF$1,0))*1,0),
_xlpm._法人検索,IFERROR(INDEX('在庫使用計画 (法人)'!$A$1:$BF$391,MATCH($C52,'在庫使用計画 (法人)'!$C$1:$C$391,0),MATCH(BQ$1,'在庫使用計画 (法人)'!$A$1:$BF$1,0))*1,0),
_xlpm._合計,_xlpm._一般検索+_xlpm._法人検索,
IF(_xlpm._合計=0,"",_xlpm._合計)
)</f>
        <v/>
      </c>
      <c r="BR52" s="224" t="str">
        <f>_xlfn.LET(
_xlpm._一般検索,IFERROR(INDEX('在庫使用計画 (一般)'!$A$1:$BF$391,MATCH($C52,'在庫使用計画 (一般)'!$C$1:$C$391,0),MATCH(BR$1,'在庫使用計画 (一般)'!$A$1:$BF$1,0))*1,0),
_xlpm._法人検索,IFERROR(INDEX('在庫使用計画 (法人)'!$A$1:$BF$391,MATCH($C52,'在庫使用計画 (法人)'!$C$1:$C$391,0),MATCH(BR$1,'在庫使用計画 (法人)'!$A$1:$BF$1,0))*1,0),
_xlpm._合計,_xlpm._一般検索+_xlpm._法人検索,
IF(_xlpm._合計=0,"",_xlpm._合計)
)</f>
        <v/>
      </c>
      <c r="BS52" s="805" t="str">
        <f>_xlfn.LET(
_xlpm._一般検索,IFERROR(INDEX('在庫使用計画 (一般)'!$A$1:$BF$391,MATCH($C52,'在庫使用計画 (一般)'!$C$1:$C$391,0),MATCH(BS$1,'在庫使用計画 (一般)'!$A$1:$BF$1,0))*1,0),
_xlpm._法人検索,IFERROR(INDEX('在庫使用計画 (法人)'!$A$1:$BF$391,MATCH($C52,'在庫使用計画 (法人)'!$C$1:$C$391,0),MATCH(BS$1,'在庫使用計画 (法人)'!$A$1:$BF$1,0))*1,0),
_xlpm._合計,_xlpm._一般検索+_xlpm._法人検索,
IF(_xlpm._合計=0,"",_xlpm._合計)
)</f>
        <v/>
      </c>
      <c r="BT52" s="77"/>
    </row>
    <row r="53" spans="1:72" customFormat="1" ht="18.75" customHeight="1">
      <c r="A53" s="2066" t="s">
        <v>1649</v>
      </c>
      <c r="B53" s="100" t="str">
        <v>MSH-15F4-185H-2000-L6 Thirdwave</v>
      </c>
      <c r="C53" s="100" t="s">
        <v>854</v>
      </c>
      <c r="D53" s="2164">
        <v>100</v>
      </c>
      <c r="E53" s="68" t="s">
        <v>1816</v>
      </c>
      <c r="F53" s="87"/>
      <c r="G53" s="74">
        <v>36</v>
      </c>
      <c r="H53" s="38">
        <v>36</v>
      </c>
      <c r="I53" s="38" cm="1">
        <f t="array" ref="I53">IF($C53="","",
_xlfn.LET(
  _xlpm._見出し,$A$1:$BT$1,
  _xlpm._行,$A53:$BT53,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6</v>
      </c>
      <c r="J53" s="74" cm="1">
        <f t="array" ref="J53">_xlfn.LET(
  _xlpm._見出し,$A$1:$BS$1,
  _xlpm._行,$A53:$BS53,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IF($C53="","",_xlpm._四点五月計画合計)
)</f>
        <v>3</v>
      </c>
      <c r="K53" s="1458" t="str" cm="1">
        <f t="array" ref="K53">_xlfn.IFS(
  $C53="","",
  $G53="","発売前？",
  $G53=0,"在庫なし",
  TRUE,
  IFERROR(
    _xlfn.LET(
      _xlpm._在庫注残,     $G53,
      _xlpm._しきい値,     _xlpm._在庫注残 * 0.75,
      _xlpm._見出し元,     $L$1:$BU$1,
      _xlpm._計画,         $L53:$BU53,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合計6、在庫+注残36のため不足</v>
      </c>
      <c r="L53" s="65"/>
      <c r="M53" s="65"/>
      <c r="N53" s="65"/>
      <c r="O53" s="65"/>
      <c r="P53" s="65"/>
      <c r="Q53" s="65"/>
      <c r="R53" s="65"/>
      <c r="S53" s="65"/>
      <c r="T53" s="65"/>
      <c r="U53" s="65"/>
      <c r="V53" s="65"/>
      <c r="W53" s="371"/>
      <c r="X53" s="192"/>
      <c r="Y53" s="192"/>
      <c r="Z53" s="192"/>
      <c r="AA53" s="192"/>
      <c r="AB53" s="354"/>
      <c r="AC53" s="192"/>
      <c r="AD53" s="333" t="s">
        <v>21</v>
      </c>
      <c r="AE53" s="333">
        <v>2</v>
      </c>
      <c r="AF53" s="333">
        <v>2</v>
      </c>
      <c r="AG53" s="333">
        <v>0</v>
      </c>
      <c r="AH53" s="224">
        <v>3</v>
      </c>
      <c r="AI53" s="823">
        <v>1</v>
      </c>
      <c r="AJ53" s="804">
        <v>1</v>
      </c>
      <c r="AK53" s="224">
        <v>12</v>
      </c>
      <c r="AL53" s="224">
        <v>9</v>
      </c>
      <c r="AM53" s="224">
        <v>13</v>
      </c>
      <c r="AN53" s="224">
        <f>_xlfn.LET(
_xlpm._一般検索,IFERROR(INDEX('在庫使用計画 (一般)'!$A$1:$BF$391,MATCH($C53,'在庫使用計画 (一般)'!$C$1:$C$391,0),MATCH(AN$1,'在庫使用計画 (一般)'!$A$1:$BF$1,0))*1,0),
_xlpm._法人検索,IFERROR(INDEX('在庫使用計画 (法人)'!$A$1:$BF$391,MATCH($C53,'在庫使用計画 (法人)'!$C$1:$C$391,0),MATCH(AN$1,'在庫使用計画 (法人)'!$A$1:$BF$1,0))*1,0),
_xlpm._合計,_xlpm._一般検索+_xlpm._法人検索,
IF(_xlpm._合計=0,"",_xlpm._合計)
)</f>
        <v>28</v>
      </c>
      <c r="AO53" s="224">
        <f>_xlfn.LET(
_xlpm._一般検索,IFERROR(INDEX('在庫使用計画 (一般)'!$A$1:$BF$391,MATCH($C53,'在庫使用計画 (一般)'!$C$1:$C$391,0),MATCH(AO$1,'在庫使用計画 (一般)'!$A$1:$BF$1,0))*1,0),
_xlpm._法人検索,IFERROR(INDEX('在庫使用計画 (法人)'!$A$1:$BF$391,MATCH($C53,'在庫使用計画 (法人)'!$C$1:$C$391,0),MATCH(AO$1,'在庫使用計画 (法人)'!$A$1:$BF$1,0))*1,0),
_xlpm._合計,_xlpm._一般検索+_xlpm._法人検索,
IF(_xlpm._合計=0,"",_xlpm._合計)
)</f>
        <v>16</v>
      </c>
      <c r="AP53" s="224">
        <f>_xlfn.LET(
_xlpm._一般検索,IFERROR(INDEX('在庫使用計画 (一般)'!$A$1:$BF$391,MATCH($C53,'在庫使用計画 (一般)'!$C$1:$C$391,0),MATCH(AP$1,'在庫使用計画 (一般)'!$A$1:$BF$1,0))*1,0),
_xlpm._法人検索,IFERROR(INDEX('在庫使用計画 (法人)'!$A$1:$BF$391,MATCH($C53,'在庫使用計画 (法人)'!$C$1:$C$391,0),MATCH(AP$1,'在庫使用計画 (法人)'!$A$1:$BF$1,0))*1,0),
_xlpm._合計,_xlpm._一般検索+_xlpm._法人検索,
IF(_xlpm._合計=0,"",_xlpm._合計)
)</f>
        <v>6</v>
      </c>
      <c r="AQ53" s="224" t="str">
        <f>_xlfn.LET(
_xlpm._一般検索,IFERROR(INDEX('在庫使用計画 (一般)'!$A$1:$BF$391,MATCH($C53,'在庫使用計画 (一般)'!$C$1:$C$391,0),MATCH(AQ$1,'在庫使用計画 (一般)'!$A$1:$BF$1,0))*1,0),
_xlpm._法人検索,IFERROR(INDEX('在庫使用計画 (法人)'!$A$1:$BF$391,MATCH($C53,'在庫使用計画 (法人)'!$C$1:$C$391,0),MATCH(AQ$1,'在庫使用計画 (法人)'!$A$1:$BF$1,0))*1,0),
_xlpm._合計,_xlpm._一般検索+_xlpm._法人検索,
IF(_xlpm._合計=0,"",_xlpm._合計)
)</f>
        <v/>
      </c>
      <c r="AR53" s="224" t="str">
        <f>_xlfn.LET(
_xlpm._一般検索,IFERROR(INDEX('在庫使用計画 (一般)'!$A$1:$BF$391,MATCH($C53,'在庫使用計画 (一般)'!$C$1:$C$391,0),MATCH(AR$1,'在庫使用計画 (一般)'!$A$1:$BF$1,0))*1,0),
_xlpm._法人検索,IFERROR(INDEX('在庫使用計画 (法人)'!$A$1:$BF$391,MATCH($C53,'在庫使用計画 (法人)'!$C$1:$C$391,0),MATCH(AR$1,'在庫使用計画 (法人)'!$A$1:$BF$1,0))*1,0),
_xlpm._合計,_xlpm._一般検索+_xlpm._法人検索,
IF(_xlpm._合計=0,"",_xlpm._合計)
)</f>
        <v/>
      </c>
      <c r="AS53" s="224" t="str">
        <f>_xlfn.LET(
_xlpm._一般検索,IFERROR(INDEX('在庫使用計画 (一般)'!$A$1:$BF$391,MATCH($C53,'在庫使用計画 (一般)'!$C$1:$C$391,0),MATCH(AS$1,'在庫使用計画 (一般)'!$A$1:$BF$1,0))*1,0),
_xlpm._法人検索,IFERROR(INDEX('在庫使用計画 (法人)'!$A$1:$BF$391,MATCH($C53,'在庫使用計画 (法人)'!$C$1:$C$391,0),MATCH(AS$1,'在庫使用計画 (法人)'!$A$1:$BF$1,0))*1,0),
_xlpm._合計,_xlpm._一般検索+_xlpm._法人検索,
IF(_xlpm._合計=0,"",_xlpm._合計)
)</f>
        <v/>
      </c>
      <c r="AT53" s="224" t="str">
        <f>_xlfn.LET(
_xlpm._一般検索,IFERROR(INDEX('在庫使用計画 (一般)'!$A$1:$BF$391,MATCH($C53,'在庫使用計画 (一般)'!$C$1:$C$391,0),MATCH(AT$1,'在庫使用計画 (一般)'!$A$1:$BF$1,0))*1,0),
_xlpm._法人検索,IFERROR(INDEX('在庫使用計画 (法人)'!$A$1:$BF$391,MATCH($C53,'在庫使用計画 (法人)'!$C$1:$C$391,0),MATCH(AT$1,'在庫使用計画 (法人)'!$A$1:$BF$1,0))*1,0),
_xlpm._合計,_xlpm._一般検索+_xlpm._法人検索,
IF(_xlpm._合計=0,"",_xlpm._合計)
)</f>
        <v/>
      </c>
      <c r="AU53" s="805" t="str">
        <f>_xlfn.LET(
_xlpm._一般検索,IFERROR(INDEX('在庫使用計画 (一般)'!$A$1:$BF$391,MATCH($C53,'在庫使用計画 (一般)'!$C$1:$C$391,0),MATCH(AU$1,'在庫使用計画 (一般)'!$A$1:$BF$1,0))*1,0),
_xlpm._法人検索,IFERROR(INDEX('在庫使用計画 (法人)'!$A$1:$BF$391,MATCH($C53,'在庫使用計画 (法人)'!$C$1:$C$391,0),MATCH(AU$1,'在庫使用計画 (法人)'!$A$1:$BF$1,0))*1,0),
_xlpm._合計,_xlpm._一般検索+_xlpm._法人検索,
IF(_xlpm._合計=0,"",_xlpm._合計)
)</f>
        <v/>
      </c>
      <c r="AV53" s="244" t="str">
        <f>_xlfn.LET(
_xlpm._一般検索,IFERROR(INDEX('在庫使用計画 (一般)'!$A$1:$BF$391,MATCH($C53,'在庫使用計画 (一般)'!$C$1:$C$391,0),MATCH(AV$1,'在庫使用計画 (一般)'!$A$1:$BF$1,0))*1,0),
_xlpm._法人検索,IFERROR(INDEX('在庫使用計画 (法人)'!$A$1:$BF$391,MATCH($C53,'在庫使用計画 (法人)'!$C$1:$C$391,0),MATCH(AV$1,'在庫使用計画 (法人)'!$A$1:$BF$1,0))*1,0),
_xlpm._合計,_xlpm._一般検索+_xlpm._法人検索,
IF(_xlpm._合計=0,"",_xlpm._合計)
)</f>
        <v/>
      </c>
      <c r="AW53" s="224" t="str">
        <f>_xlfn.LET(
_xlpm._一般検索,IFERROR(INDEX('在庫使用計画 (一般)'!$A$1:$BF$391,MATCH($C53,'在庫使用計画 (一般)'!$C$1:$C$391,0),MATCH(AW$1,'在庫使用計画 (一般)'!$A$1:$BF$1,0))*1,0),
_xlpm._法人検索,IFERROR(INDEX('在庫使用計画 (法人)'!$A$1:$BF$391,MATCH($C53,'在庫使用計画 (法人)'!$C$1:$C$391,0),MATCH(AW$1,'在庫使用計画 (法人)'!$A$1:$BF$1,0))*1,0),
_xlpm._合計,_xlpm._一般検索+_xlpm._法人検索,
IF(_xlpm._合計=0,"",_xlpm._合計)
)</f>
        <v/>
      </c>
      <c r="AX53" s="224" t="str">
        <f>_xlfn.LET(
_xlpm._一般検索,IFERROR(INDEX('在庫使用計画 (一般)'!$A$1:$BF$391,MATCH($C53,'在庫使用計画 (一般)'!$C$1:$C$391,0),MATCH(AX$1,'在庫使用計画 (一般)'!$A$1:$BF$1,0))*1,0),
_xlpm._法人検索,IFERROR(INDEX('在庫使用計画 (法人)'!$A$1:$BF$391,MATCH($C53,'在庫使用計画 (法人)'!$C$1:$C$391,0),MATCH(AX$1,'在庫使用計画 (法人)'!$A$1:$BF$1,0))*1,0),
_xlpm._合計,_xlpm._一般検索+_xlpm._法人検索,
IF(_xlpm._合計=0,"",_xlpm._合計)
)</f>
        <v/>
      </c>
      <c r="AY53" s="224" t="str">
        <f>_xlfn.LET(
_xlpm._一般検索,IFERROR(INDEX('在庫使用計画 (一般)'!$A$1:$BF$391,MATCH($C53,'在庫使用計画 (一般)'!$C$1:$C$391,0),MATCH(AY$1,'在庫使用計画 (一般)'!$A$1:$BF$1,0))*1,0),
_xlpm._法人検索,IFERROR(INDEX('在庫使用計画 (法人)'!$A$1:$BF$391,MATCH($C53,'在庫使用計画 (法人)'!$C$1:$C$391,0),MATCH(AY$1,'在庫使用計画 (法人)'!$A$1:$BF$1,0))*1,0),
_xlpm._合計,_xlpm._一般検索+_xlpm._法人検索,
IF(_xlpm._合計=0,"",_xlpm._合計)
)</f>
        <v/>
      </c>
      <c r="AZ53" s="224" t="str">
        <f>_xlfn.LET(
_xlpm._一般検索,IFERROR(INDEX('在庫使用計画 (一般)'!$A$1:$BF$391,MATCH($C53,'在庫使用計画 (一般)'!$C$1:$C$391,0),MATCH(AZ$1,'在庫使用計画 (一般)'!$A$1:$BF$1,0))*1,0),
_xlpm._法人検索,IFERROR(INDEX('在庫使用計画 (法人)'!$A$1:$BF$391,MATCH($C53,'在庫使用計画 (法人)'!$C$1:$C$391,0),MATCH(AZ$1,'在庫使用計画 (法人)'!$A$1:$BF$1,0))*1,0),
_xlpm._合計,_xlpm._一般検索+_xlpm._法人検索,
IF(_xlpm._合計=0,"",_xlpm._合計)
)</f>
        <v/>
      </c>
      <c r="BA53" s="224" t="str">
        <f>_xlfn.LET(
_xlpm._一般検索,IFERROR(INDEX('在庫使用計画 (一般)'!$A$1:$BF$391,MATCH($C53,'在庫使用計画 (一般)'!$C$1:$C$391,0),MATCH(BA$1,'在庫使用計画 (一般)'!$A$1:$BF$1,0))*1,0),
_xlpm._法人検索,IFERROR(INDEX('在庫使用計画 (法人)'!$A$1:$BF$391,MATCH($C53,'在庫使用計画 (法人)'!$C$1:$C$391,0),MATCH(BA$1,'在庫使用計画 (法人)'!$A$1:$BF$1,0))*1,0),
_xlpm._合計,_xlpm._一般検索+_xlpm._法人検索,
IF(_xlpm._合計=0,"",_xlpm._合計)
)</f>
        <v/>
      </c>
      <c r="BB53" s="224" t="str">
        <f>_xlfn.LET(
_xlpm._一般検索,IFERROR(INDEX('在庫使用計画 (一般)'!$A$1:$BF$391,MATCH($C53,'在庫使用計画 (一般)'!$C$1:$C$391,0),MATCH(BB$1,'在庫使用計画 (一般)'!$A$1:$BF$1,0))*1,0),
_xlpm._法人検索,IFERROR(INDEX('在庫使用計画 (法人)'!$A$1:$BF$391,MATCH($C53,'在庫使用計画 (法人)'!$C$1:$C$391,0),MATCH(BB$1,'在庫使用計画 (法人)'!$A$1:$BF$1,0))*1,0),
_xlpm._合計,_xlpm._一般検索+_xlpm._法人検索,
IF(_xlpm._合計=0,"",_xlpm._合計)
)</f>
        <v/>
      </c>
      <c r="BC53" s="224" t="str">
        <f>_xlfn.LET(
_xlpm._一般検索,IFERROR(INDEX('在庫使用計画 (一般)'!$A$1:$BF$391,MATCH($C53,'在庫使用計画 (一般)'!$C$1:$C$391,0),MATCH(BC$1,'在庫使用計画 (一般)'!$A$1:$BF$1,0))*1,0),
_xlpm._法人検索,IFERROR(INDEX('在庫使用計画 (法人)'!$A$1:$BF$391,MATCH($C53,'在庫使用計画 (法人)'!$C$1:$C$391,0),MATCH(BC$1,'在庫使用計画 (法人)'!$A$1:$BF$1,0))*1,0),
_xlpm._合計,_xlpm._一般検索+_xlpm._法人検索,
IF(_xlpm._合計=0,"",_xlpm._合計)
)</f>
        <v/>
      </c>
      <c r="BD53" s="224" t="str">
        <f>_xlfn.LET(
_xlpm._一般検索,IFERROR(INDEX('在庫使用計画 (一般)'!$A$1:$BF$391,MATCH($C53,'在庫使用計画 (一般)'!$C$1:$C$391,0),MATCH(BD$1,'在庫使用計画 (一般)'!$A$1:$BF$1,0))*1,0),
_xlpm._法人検索,IFERROR(INDEX('在庫使用計画 (法人)'!$A$1:$BF$391,MATCH($C53,'在庫使用計画 (法人)'!$C$1:$C$391,0),MATCH(BD$1,'在庫使用計画 (法人)'!$A$1:$BF$1,0))*1,0),
_xlpm._合計,_xlpm._一般検索+_xlpm._法人検索,
IF(_xlpm._合計=0,"",_xlpm._合計)
)</f>
        <v/>
      </c>
      <c r="BE53" s="224" t="str">
        <f>_xlfn.LET(
_xlpm._一般検索,IFERROR(INDEX('在庫使用計画 (一般)'!$A$1:$BF$391,MATCH($C53,'在庫使用計画 (一般)'!$C$1:$C$391,0),MATCH(BE$1,'在庫使用計画 (一般)'!$A$1:$BF$1,0))*1,0),
_xlpm._法人検索,IFERROR(INDEX('在庫使用計画 (法人)'!$A$1:$BF$391,MATCH($C53,'在庫使用計画 (法人)'!$C$1:$C$391,0),MATCH(BE$1,'在庫使用計画 (法人)'!$A$1:$BF$1,0))*1,0),
_xlpm._合計,_xlpm._一般検索+_xlpm._法人検索,
IF(_xlpm._合計=0,"",_xlpm._合計)
)</f>
        <v/>
      </c>
      <c r="BF53" s="224" t="str">
        <f>_xlfn.LET(
_xlpm._一般検索,IFERROR(INDEX('在庫使用計画 (一般)'!$A$1:$BF$391,MATCH($C53,'在庫使用計画 (一般)'!$C$1:$C$391,0),MATCH(BF$1,'在庫使用計画 (一般)'!$A$1:$BF$1,0))*1,0),
_xlpm._法人検索,IFERROR(INDEX('在庫使用計画 (法人)'!$A$1:$BF$391,MATCH($C53,'在庫使用計画 (法人)'!$C$1:$C$391,0),MATCH(BF$1,'在庫使用計画 (法人)'!$A$1:$BF$1,0))*1,0),
_xlpm._合計,_xlpm._一般検索+_xlpm._法人検索,
IF(_xlpm._合計=0,"",_xlpm._合計)
)</f>
        <v/>
      </c>
      <c r="BG53" s="237" t="str">
        <f>_xlfn.LET(
_xlpm._一般検索,IFERROR(INDEX('在庫使用計画 (一般)'!$A$1:$BF$391,MATCH($C53,'在庫使用計画 (一般)'!$C$1:$C$391,0),MATCH(BG$1,'在庫使用計画 (一般)'!$A$1:$BF$1,0))*1,0),
_xlpm._法人検索,IFERROR(INDEX('在庫使用計画 (法人)'!$A$1:$BF$391,MATCH($C53,'在庫使用計画 (法人)'!$C$1:$C$391,0),MATCH(BG$1,'在庫使用計画 (法人)'!$A$1:$BF$1,0))*1,0),
_xlpm._合計,_xlpm._一般検索+_xlpm._法人検索,
IF(_xlpm._合計=0,"",_xlpm._合計)
)</f>
        <v/>
      </c>
      <c r="BH53" s="804" t="str">
        <f>_xlfn.LET(
_xlpm._一般検索,IFERROR(INDEX('在庫使用計画 (一般)'!$A$1:$BF$391,MATCH($C53,'在庫使用計画 (一般)'!$C$1:$C$391,0),MATCH(BH$1,'在庫使用計画 (一般)'!$A$1:$BF$1,0))*1,0),
_xlpm._法人検索,IFERROR(INDEX('在庫使用計画 (法人)'!$A$1:$BF$391,MATCH($C53,'在庫使用計画 (法人)'!$C$1:$C$391,0),MATCH(BH$1,'在庫使用計画 (法人)'!$A$1:$BF$1,0))*1,0),
_xlpm._合計,_xlpm._一般検索+_xlpm._法人検索,
IF(_xlpm._合計=0,"",_xlpm._合計)
)</f>
        <v/>
      </c>
      <c r="BI53" s="224" t="str">
        <f>_xlfn.LET(
_xlpm._一般検索,IFERROR(INDEX('在庫使用計画 (一般)'!$A$1:$BF$391,MATCH($C53,'在庫使用計画 (一般)'!$C$1:$C$391,0),MATCH(BI$1,'在庫使用計画 (一般)'!$A$1:$BF$1,0))*1,0),
_xlpm._法人検索,IFERROR(INDEX('在庫使用計画 (法人)'!$A$1:$BF$391,MATCH($C53,'在庫使用計画 (法人)'!$C$1:$C$391,0),MATCH(BI$1,'在庫使用計画 (法人)'!$A$1:$BF$1,0))*1,0),
_xlpm._合計,_xlpm._一般検索+_xlpm._法人検索,
IF(_xlpm._合計=0,"",_xlpm._合計)
)</f>
        <v/>
      </c>
      <c r="BJ53" s="224" t="str">
        <f>_xlfn.LET(
_xlpm._一般検索,IFERROR(INDEX('在庫使用計画 (一般)'!$A$1:$BF$391,MATCH($C53,'在庫使用計画 (一般)'!$C$1:$C$391,0),MATCH(BJ$1,'在庫使用計画 (一般)'!$A$1:$BF$1,0))*1,0),
_xlpm._法人検索,IFERROR(INDEX('在庫使用計画 (法人)'!$A$1:$BF$391,MATCH($C53,'在庫使用計画 (法人)'!$C$1:$C$391,0),MATCH(BJ$1,'在庫使用計画 (法人)'!$A$1:$BF$1,0))*1,0),
_xlpm._合計,_xlpm._一般検索+_xlpm._法人検索,
IF(_xlpm._合計=0,"",_xlpm._合計)
)</f>
        <v/>
      </c>
      <c r="BK53" s="224" t="str">
        <f>_xlfn.LET(
_xlpm._一般検索,IFERROR(INDEX('在庫使用計画 (一般)'!$A$1:$BF$391,MATCH($C53,'在庫使用計画 (一般)'!$C$1:$C$391,0),MATCH(BK$1,'在庫使用計画 (一般)'!$A$1:$BF$1,0))*1,0),
_xlpm._法人検索,IFERROR(INDEX('在庫使用計画 (法人)'!$A$1:$BF$391,MATCH($C53,'在庫使用計画 (法人)'!$C$1:$C$391,0),MATCH(BK$1,'在庫使用計画 (法人)'!$A$1:$BF$1,0))*1,0),
_xlpm._合計,_xlpm._一般検索+_xlpm._法人検索,
IF(_xlpm._合計=0,"",_xlpm._合計)
)</f>
        <v/>
      </c>
      <c r="BL53" s="224" t="str">
        <f>_xlfn.LET(
_xlpm._一般検索,IFERROR(INDEX('在庫使用計画 (一般)'!$A$1:$BF$391,MATCH($C53,'在庫使用計画 (一般)'!$C$1:$C$391,0),MATCH(BL$1,'在庫使用計画 (一般)'!$A$1:$BF$1,0))*1,0),
_xlpm._法人検索,IFERROR(INDEX('在庫使用計画 (法人)'!$A$1:$BF$391,MATCH($C53,'在庫使用計画 (法人)'!$C$1:$C$391,0),MATCH(BL$1,'在庫使用計画 (法人)'!$A$1:$BF$1,0))*1,0),
_xlpm._合計,_xlpm._一般検索+_xlpm._法人検索,
IF(_xlpm._合計=0,"",_xlpm._合計)
)</f>
        <v/>
      </c>
      <c r="BM53" s="224" t="str">
        <f>_xlfn.LET(
_xlpm._一般検索,IFERROR(INDEX('在庫使用計画 (一般)'!$A$1:$BF$391,MATCH($C53,'在庫使用計画 (一般)'!$C$1:$C$391,0),MATCH(BM$1,'在庫使用計画 (一般)'!$A$1:$BF$1,0))*1,0),
_xlpm._法人検索,IFERROR(INDEX('在庫使用計画 (法人)'!$A$1:$BF$391,MATCH($C53,'在庫使用計画 (法人)'!$C$1:$C$391,0),MATCH(BM$1,'在庫使用計画 (法人)'!$A$1:$BF$1,0))*1,0),
_xlpm._合計,_xlpm._一般検索+_xlpm._法人検索,
IF(_xlpm._合計=0,"",_xlpm._合計)
)</f>
        <v/>
      </c>
      <c r="BN53" s="224" t="str">
        <f>_xlfn.LET(
_xlpm._一般検索,IFERROR(INDEX('在庫使用計画 (一般)'!$A$1:$BF$391,MATCH($C53,'在庫使用計画 (一般)'!$C$1:$C$391,0),MATCH(BN$1,'在庫使用計画 (一般)'!$A$1:$BF$1,0))*1,0),
_xlpm._法人検索,IFERROR(INDEX('在庫使用計画 (法人)'!$A$1:$BF$391,MATCH($C53,'在庫使用計画 (法人)'!$C$1:$C$391,0),MATCH(BN$1,'在庫使用計画 (法人)'!$A$1:$BF$1,0))*1,0),
_xlpm._合計,_xlpm._一般検索+_xlpm._法人検索,
IF(_xlpm._合計=0,"",_xlpm._合計)
)</f>
        <v/>
      </c>
      <c r="BO53" s="224" t="str">
        <f>_xlfn.LET(
_xlpm._一般検索,IFERROR(INDEX('在庫使用計画 (一般)'!$A$1:$BF$391,MATCH($C53,'在庫使用計画 (一般)'!$C$1:$C$391,0),MATCH(BO$1,'在庫使用計画 (一般)'!$A$1:$BF$1,0))*1,0),
_xlpm._法人検索,IFERROR(INDEX('在庫使用計画 (法人)'!$A$1:$BF$391,MATCH($C53,'在庫使用計画 (法人)'!$C$1:$C$391,0),MATCH(BO$1,'在庫使用計画 (法人)'!$A$1:$BF$1,0))*1,0),
_xlpm._合計,_xlpm._一般検索+_xlpm._法人検索,
IF(_xlpm._合計=0,"",_xlpm._合計)
)</f>
        <v/>
      </c>
      <c r="BP53" s="224" t="str">
        <f>_xlfn.LET(
_xlpm._一般検索,IFERROR(INDEX('在庫使用計画 (一般)'!$A$1:$BF$391,MATCH($C53,'在庫使用計画 (一般)'!$C$1:$C$391,0),MATCH(BP$1,'在庫使用計画 (一般)'!$A$1:$BF$1,0))*1,0),
_xlpm._法人検索,IFERROR(INDEX('在庫使用計画 (法人)'!$A$1:$BF$391,MATCH($C53,'在庫使用計画 (法人)'!$C$1:$C$391,0),MATCH(BP$1,'在庫使用計画 (法人)'!$A$1:$BF$1,0))*1,0),
_xlpm._合計,_xlpm._一般検索+_xlpm._法人検索,
IF(_xlpm._合計=0,"",_xlpm._合計)
)</f>
        <v/>
      </c>
      <c r="BQ53" s="224" t="str">
        <f>_xlfn.LET(
_xlpm._一般検索,IFERROR(INDEX('在庫使用計画 (一般)'!$A$1:$BF$391,MATCH($C53,'在庫使用計画 (一般)'!$C$1:$C$391,0),MATCH(BQ$1,'在庫使用計画 (一般)'!$A$1:$BF$1,0))*1,0),
_xlpm._法人検索,IFERROR(INDEX('在庫使用計画 (法人)'!$A$1:$BF$391,MATCH($C53,'在庫使用計画 (法人)'!$C$1:$C$391,0),MATCH(BQ$1,'在庫使用計画 (法人)'!$A$1:$BF$1,0))*1,0),
_xlpm._合計,_xlpm._一般検索+_xlpm._法人検索,
IF(_xlpm._合計=0,"",_xlpm._合計)
)</f>
        <v/>
      </c>
      <c r="BR53" s="224" t="str">
        <f>_xlfn.LET(
_xlpm._一般検索,IFERROR(INDEX('在庫使用計画 (一般)'!$A$1:$BF$391,MATCH($C53,'在庫使用計画 (一般)'!$C$1:$C$391,0),MATCH(BR$1,'在庫使用計画 (一般)'!$A$1:$BF$1,0))*1,0),
_xlpm._法人検索,IFERROR(INDEX('在庫使用計画 (法人)'!$A$1:$BF$391,MATCH($C53,'在庫使用計画 (法人)'!$C$1:$C$391,0),MATCH(BR$1,'在庫使用計画 (法人)'!$A$1:$BF$1,0))*1,0),
_xlpm._合計,_xlpm._一般検索+_xlpm._法人検索,
IF(_xlpm._合計=0,"",_xlpm._合計)
)</f>
        <v/>
      </c>
      <c r="BS53" s="805" t="str">
        <f>_xlfn.LET(
_xlpm._一般検索,IFERROR(INDEX('在庫使用計画 (一般)'!$A$1:$BF$391,MATCH($C53,'在庫使用計画 (一般)'!$C$1:$C$391,0),MATCH(BS$1,'在庫使用計画 (一般)'!$A$1:$BF$1,0))*1,0),
_xlpm._法人検索,IFERROR(INDEX('在庫使用計画 (法人)'!$A$1:$BF$391,MATCH($C53,'在庫使用計画 (法人)'!$C$1:$C$391,0),MATCH(BS$1,'在庫使用計画 (法人)'!$A$1:$BF$1,0))*1,0),
_xlpm._合計,_xlpm._一般検索+_xlpm._法人検索,
IF(_xlpm._合計=0,"",_xlpm._合計)
)</f>
        <v/>
      </c>
      <c r="BT53" s="77"/>
    </row>
    <row r="54" spans="1:72" customFormat="1" ht="18.75" customHeight="1">
      <c r="A54" s="2066" t="s">
        <v>1649</v>
      </c>
      <c r="B54" s="55" t="str">
        <v>UNW-U-14650HX-5060-L6 Thirdwave</v>
      </c>
      <c r="C54" s="55" t="s">
        <v>1794</v>
      </c>
      <c r="D54" s="2153">
        <v>1605</v>
      </c>
      <c r="E54" s="26" t="s">
        <v>1723</v>
      </c>
      <c r="F54" s="26"/>
      <c r="G54" s="74">
        <v>230</v>
      </c>
      <c r="H54" s="38">
        <v>230</v>
      </c>
      <c r="I54" s="38" cm="1">
        <f t="array" ref="I54">IF($C54="","",
_xlfn.LET(
  _xlpm._見出し,$A$1:$BT$1,
  _xlpm._行,$A54:$BT54,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540</v>
      </c>
      <c r="J54" s="74" cm="1">
        <f t="array" ref="J54">_xlfn.LET(
  _xlpm._見出し,$A$1:$BS$1,
  _xlpm._行,$A54:$BS54,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IF($C54="","",_xlpm._四点五月計画合計)
)</f>
        <v>1240</v>
      </c>
      <c r="K54" s="1458" cm="1">
        <f t="array" ref="K54">_xlfn.IFS(
  $C54="","",
  $G54="","発売前？",
  $G54=0,"在庫なし",
  TRUE,
  IFERROR(
    _xlfn.LET(
      _xlpm._在庫注残,     $G54,
      _xlpm._しきい値,     _xlpm._在庫注残 * 0.75,
      _xlpm._見出し元,     $L$1:$BU$1,
      _xlpm._計画,         $L54:$BU54,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46235</v>
      </c>
      <c r="L54" s="65"/>
      <c r="M54" s="422"/>
      <c r="N54" s="422"/>
      <c r="O54" s="422"/>
      <c r="P54" s="422"/>
      <c r="Q54" s="422"/>
      <c r="R54" s="422"/>
      <c r="S54" s="422"/>
      <c r="T54" s="422"/>
      <c r="U54" s="422"/>
      <c r="V54" s="422"/>
      <c r="W54" s="422"/>
      <c r="X54" s="290"/>
      <c r="Y54" s="348"/>
      <c r="Z54" s="626"/>
      <c r="AA54" s="627"/>
      <c r="AB54" s="516"/>
      <c r="AC54" s="516"/>
      <c r="AD54" s="333" t="s">
        <v>21</v>
      </c>
      <c r="AE54" s="333" t="s">
        <v>21</v>
      </c>
      <c r="AF54" s="333" t="s">
        <v>21</v>
      </c>
      <c r="AG54" s="333" t="s">
        <v>21</v>
      </c>
      <c r="AH54" s="224" t="s">
        <v>21</v>
      </c>
      <c r="AI54" s="823" t="s">
        <v>21</v>
      </c>
      <c r="AJ54" s="804" t="s">
        <v>21</v>
      </c>
      <c r="AK54" s="224">
        <v>23</v>
      </c>
      <c r="AL54" s="224">
        <v>371</v>
      </c>
      <c r="AM54" s="224">
        <v>320</v>
      </c>
      <c r="AN54" s="224">
        <f>_xlfn.LET(
_xlpm._一般検索,IFERROR(INDEX('在庫使用計画 (一般)'!$A$1:$BF$391,MATCH($C54,'在庫使用計画 (一般)'!$C$1:$C$391,0),MATCH(AN$1,'在庫使用計画 (一般)'!$A$1:$BF$1,0))*1,0),
_xlpm._法人検索,IFERROR(INDEX('在庫使用計画 (法人)'!$A$1:$BF$391,MATCH($C54,'在庫使用計画 (法人)'!$C$1:$C$391,0),MATCH(AN$1,'在庫使用計画 (法人)'!$A$1:$BF$1,0))*1,0),
_xlpm._合計,_xlpm._一般検索+_xlpm._法人検索,
IF(_xlpm._合計=0,"",_xlpm._合計)
)</f>
        <v>220</v>
      </c>
      <c r="AO54" s="224">
        <f>_xlfn.LET(
_xlpm._一般検索,IFERROR(INDEX('在庫使用計画 (一般)'!$A$1:$BF$391,MATCH($C54,'在庫使用計画 (一般)'!$C$1:$C$391,0),MATCH(AO$1,'在庫使用計画 (一般)'!$A$1:$BF$1,0))*1,0),
_xlpm._法人検索,IFERROR(INDEX('在庫使用計画 (法人)'!$A$1:$BF$391,MATCH($C54,'在庫使用計画 (法人)'!$C$1:$C$391,0),MATCH(AO$1,'在庫使用計画 (法人)'!$A$1:$BF$1,0))*1,0),
_xlpm._合計,_xlpm._一般検索+_xlpm._法人検索,
IF(_xlpm._合計=0,"",_xlpm._合計)
)</f>
        <v>790</v>
      </c>
      <c r="AP54" s="224">
        <f>_xlfn.LET(
_xlpm._一般検索,IFERROR(INDEX('在庫使用計画 (一般)'!$A$1:$BF$391,MATCH($C54,'在庫使用計画 (一般)'!$C$1:$C$391,0),MATCH(AP$1,'在庫使用計画 (一般)'!$A$1:$BF$1,0))*1,0),
_xlpm._法人検索,IFERROR(INDEX('在庫使用計画 (法人)'!$A$1:$BF$391,MATCH($C54,'在庫使用計画 (法人)'!$C$1:$C$391,0),MATCH(AP$1,'在庫使用計画 (法人)'!$A$1:$BF$1,0))*1,0),
_xlpm._合計,_xlpm._一般検索+_xlpm._法人検索,
IF(_xlpm._合計=0,"",_xlpm._合計)
)</f>
        <v>110</v>
      </c>
      <c r="AQ54" s="224">
        <f>_xlfn.LET(
_xlpm._一般検索,IFERROR(INDEX('在庫使用計画 (一般)'!$A$1:$BF$391,MATCH($C54,'在庫使用計画 (一般)'!$C$1:$C$391,0),MATCH(AQ$1,'在庫使用計画 (一般)'!$A$1:$BF$1,0))*1,0),
_xlpm._法人検索,IFERROR(INDEX('在庫使用計画 (法人)'!$A$1:$BF$391,MATCH($C54,'在庫使用計画 (法人)'!$C$1:$C$391,0),MATCH(AQ$1,'在庫使用計画 (法人)'!$A$1:$BF$1,0))*1,0),
_xlpm._合計,_xlpm._一般検索+_xlpm._法人検索,
IF(_xlpm._合計=0,"",_xlpm._合計)
)</f>
        <v>120</v>
      </c>
      <c r="AR54" s="224">
        <f>_xlfn.LET(
_xlpm._一般検索,IFERROR(INDEX('在庫使用計画 (一般)'!$A$1:$BF$391,MATCH($C54,'在庫使用計画 (一般)'!$C$1:$C$391,0),MATCH(AR$1,'在庫使用計画 (一般)'!$A$1:$BF$1,0))*1,0),
_xlpm._法人検索,IFERROR(INDEX('在庫使用計画 (法人)'!$A$1:$BF$391,MATCH($C54,'在庫使用計画 (法人)'!$C$1:$C$391,0),MATCH(AR$1,'在庫使用計画 (法人)'!$A$1:$BF$1,0))*1,0),
_xlpm._合計,_xlpm._一般検索+_xlpm._法人検索,
IF(_xlpm._合計=0,"",_xlpm._合計)
)</f>
        <v>155</v>
      </c>
      <c r="AS54" s="224">
        <f>_xlfn.LET(
_xlpm._一般検索,IFERROR(INDEX('在庫使用計画 (一般)'!$A$1:$BF$391,MATCH($C54,'在庫使用計画 (一般)'!$C$1:$C$391,0),MATCH(AS$1,'在庫使用計画 (一般)'!$A$1:$BF$1,0))*1,0),
_xlpm._法人検索,IFERROR(INDEX('在庫使用計画 (法人)'!$A$1:$BF$391,MATCH($C54,'在庫使用計画 (法人)'!$C$1:$C$391,0),MATCH(AS$1,'在庫使用計画 (法人)'!$A$1:$BF$1,0))*1,0),
_xlpm._合計,_xlpm._一般検索+_xlpm._法人検索,
IF(_xlpm._合計=0,"",_xlpm._合計)
)</f>
        <v>155</v>
      </c>
      <c r="AT54" s="224">
        <f>_xlfn.LET(
_xlpm._一般検索,IFERROR(INDEX('在庫使用計画 (一般)'!$A$1:$BF$391,MATCH($C54,'在庫使用計画 (一般)'!$C$1:$C$391,0),MATCH(AT$1,'在庫使用計画 (一般)'!$A$1:$BF$1,0))*1,0),
_xlpm._法人検索,IFERROR(INDEX('在庫使用計画 (法人)'!$A$1:$BF$391,MATCH($C54,'在庫使用計画 (法人)'!$C$1:$C$391,0),MATCH(AT$1,'在庫使用計画 (法人)'!$A$1:$BF$1,0))*1,0),
_xlpm._合計,_xlpm._一般検索+_xlpm._法人検索,
IF(_xlpm._合計=0,"",_xlpm._合計)
)</f>
        <v>755</v>
      </c>
      <c r="AU54" s="805">
        <f>_xlfn.LET(
_xlpm._一般検索,IFERROR(INDEX('在庫使用計画 (一般)'!$A$1:$BF$391,MATCH($C54,'在庫使用計画 (一般)'!$C$1:$C$391,0),MATCH(AU$1,'在庫使用計画 (一般)'!$A$1:$BF$1,0))*1,0),
_xlpm._法人検索,IFERROR(INDEX('在庫使用計画 (法人)'!$A$1:$BF$391,MATCH($C54,'在庫使用計画 (法人)'!$C$1:$C$391,0),MATCH(AU$1,'在庫使用計画 (法人)'!$A$1:$BF$1,0))*1,0),
_xlpm._合計,_xlpm._一般検索+_xlpm._法人検索,
IF(_xlpm._合計=0,"",_xlpm._合計)
)</f>
        <v>235</v>
      </c>
      <c r="AV54" s="244">
        <f>_xlfn.LET(
_xlpm._一般検索,IFERROR(INDEX('在庫使用計画 (一般)'!$A$1:$BF$391,MATCH($C54,'在庫使用計画 (一般)'!$C$1:$C$391,0),MATCH(AV$1,'在庫使用計画 (一般)'!$A$1:$BF$1,0))*1,0),
_xlpm._法人検索,IFERROR(INDEX('在庫使用計画 (法人)'!$A$1:$BF$391,MATCH($C54,'在庫使用計画 (法人)'!$C$1:$C$391,0),MATCH(AV$1,'在庫使用計画 (法人)'!$A$1:$BF$1,0))*1,0),
_xlpm._合計,_xlpm._一般検索+_xlpm._法人検索,
IF(_xlpm._合計=0,"",_xlpm._合計)
)</f>
        <v>165</v>
      </c>
      <c r="AW54" s="224">
        <f>_xlfn.LET(
_xlpm._一般検索,IFERROR(INDEX('在庫使用計画 (一般)'!$A$1:$BF$391,MATCH($C54,'在庫使用計画 (一般)'!$C$1:$C$391,0),MATCH(AW$1,'在庫使用計画 (一般)'!$A$1:$BF$1,0))*1,0),
_xlpm._法人検索,IFERROR(INDEX('在庫使用計画 (法人)'!$A$1:$BF$391,MATCH($C54,'在庫使用計画 (法人)'!$C$1:$C$391,0),MATCH(AW$1,'在庫使用計画 (法人)'!$A$1:$BF$1,0))*1,0),
_xlpm._合計,_xlpm._一般検索+_xlpm._法人検索,
IF(_xlpm._合計=0,"",_xlpm._合計)
)</f>
        <v>585</v>
      </c>
      <c r="AX54" s="224">
        <f>_xlfn.LET(
_xlpm._一般検索,IFERROR(INDEX('在庫使用計画 (一般)'!$A$1:$BF$391,MATCH($C54,'在庫使用計画 (一般)'!$C$1:$C$391,0),MATCH(AX$1,'在庫使用計画 (一般)'!$A$1:$BF$1,0))*1,0),
_xlpm._法人検索,IFERROR(INDEX('在庫使用計画 (法人)'!$A$1:$BF$391,MATCH($C54,'在庫使用計画 (法人)'!$C$1:$C$391,0),MATCH(AX$1,'在庫使用計画 (法人)'!$A$1:$BF$1,0))*1,0),
_xlpm._合計,_xlpm._一般検索+_xlpm._法人検索,
IF(_xlpm._合計=0,"",_xlpm._合計)
)</f>
        <v>285</v>
      </c>
      <c r="AY54" s="224">
        <f>_xlfn.LET(
_xlpm._一般検索,IFERROR(INDEX('在庫使用計画 (一般)'!$A$1:$BF$391,MATCH($C54,'在庫使用計画 (一般)'!$C$1:$C$391,0),MATCH(AY$1,'在庫使用計画 (一般)'!$A$1:$BF$1,0))*1,0),
_xlpm._法人検索,IFERROR(INDEX('在庫使用計画 (法人)'!$A$1:$BF$391,MATCH($C54,'在庫使用計画 (法人)'!$C$1:$C$391,0),MATCH(AY$1,'在庫使用計画 (法人)'!$A$1:$BF$1,0))*1,0),
_xlpm._合計,_xlpm._一般検索+_xlpm._法人検索,
IF(_xlpm._合計=0,"",_xlpm._合計)
)</f>
        <v>155</v>
      </c>
      <c r="AZ54" s="224" t="str">
        <f>_xlfn.LET(
_xlpm._一般検索,IFERROR(INDEX('在庫使用計画 (一般)'!$A$1:$BF$391,MATCH($C54,'在庫使用計画 (一般)'!$C$1:$C$391,0),MATCH(AZ$1,'在庫使用計画 (一般)'!$A$1:$BF$1,0))*1,0),
_xlpm._法人検索,IFERROR(INDEX('在庫使用計画 (法人)'!$A$1:$BF$391,MATCH($C54,'在庫使用計画 (法人)'!$C$1:$C$391,0),MATCH(AZ$1,'在庫使用計画 (法人)'!$A$1:$BF$1,0))*1,0),
_xlpm._合計,_xlpm._一般検索+_xlpm._法人検索,
IF(_xlpm._合計=0,"",_xlpm._合計)
)</f>
        <v/>
      </c>
      <c r="BA54" s="224" t="str">
        <f>_xlfn.LET(
_xlpm._一般検索,IFERROR(INDEX('在庫使用計画 (一般)'!$A$1:$BF$391,MATCH($C54,'在庫使用計画 (一般)'!$C$1:$C$391,0),MATCH(BA$1,'在庫使用計画 (一般)'!$A$1:$BF$1,0))*1,0),
_xlpm._法人検索,IFERROR(INDEX('在庫使用計画 (法人)'!$A$1:$BF$391,MATCH($C54,'在庫使用計画 (法人)'!$C$1:$C$391,0),MATCH(BA$1,'在庫使用計画 (法人)'!$A$1:$BF$1,0))*1,0),
_xlpm._合計,_xlpm._一般検索+_xlpm._法人検索,
IF(_xlpm._合計=0,"",_xlpm._合計)
)</f>
        <v/>
      </c>
      <c r="BB54" s="224" t="str">
        <f>_xlfn.LET(
_xlpm._一般検索,IFERROR(INDEX('在庫使用計画 (一般)'!$A$1:$BF$391,MATCH($C54,'在庫使用計画 (一般)'!$C$1:$C$391,0),MATCH(BB$1,'在庫使用計画 (一般)'!$A$1:$BF$1,0))*1,0),
_xlpm._法人検索,IFERROR(INDEX('在庫使用計画 (法人)'!$A$1:$BF$391,MATCH($C54,'在庫使用計画 (法人)'!$C$1:$C$391,0),MATCH(BB$1,'在庫使用計画 (法人)'!$A$1:$BF$1,0))*1,0),
_xlpm._合計,_xlpm._一般検索+_xlpm._法人検索,
IF(_xlpm._合計=0,"",_xlpm._合計)
)</f>
        <v/>
      </c>
      <c r="BC54" s="224" t="str">
        <f>_xlfn.LET(
_xlpm._一般検索,IFERROR(INDEX('在庫使用計画 (一般)'!$A$1:$BF$391,MATCH($C54,'在庫使用計画 (一般)'!$C$1:$C$391,0),MATCH(BC$1,'在庫使用計画 (一般)'!$A$1:$BF$1,0))*1,0),
_xlpm._法人検索,IFERROR(INDEX('在庫使用計画 (法人)'!$A$1:$BF$391,MATCH($C54,'在庫使用計画 (法人)'!$C$1:$C$391,0),MATCH(BC$1,'在庫使用計画 (法人)'!$A$1:$BF$1,0))*1,0),
_xlpm._合計,_xlpm._一般検索+_xlpm._法人検索,
IF(_xlpm._合計=0,"",_xlpm._合計)
)</f>
        <v/>
      </c>
      <c r="BD54" s="224" t="str">
        <f>_xlfn.LET(
_xlpm._一般検索,IFERROR(INDEX('在庫使用計画 (一般)'!$A$1:$BF$391,MATCH($C54,'在庫使用計画 (一般)'!$C$1:$C$391,0),MATCH(BD$1,'在庫使用計画 (一般)'!$A$1:$BF$1,0))*1,0),
_xlpm._法人検索,IFERROR(INDEX('在庫使用計画 (法人)'!$A$1:$BF$391,MATCH($C54,'在庫使用計画 (法人)'!$C$1:$C$391,0),MATCH(BD$1,'在庫使用計画 (法人)'!$A$1:$BF$1,0))*1,0),
_xlpm._合計,_xlpm._一般検索+_xlpm._法人検索,
IF(_xlpm._合計=0,"",_xlpm._合計)
)</f>
        <v/>
      </c>
      <c r="BE54" s="224" t="str">
        <f>_xlfn.LET(
_xlpm._一般検索,IFERROR(INDEX('在庫使用計画 (一般)'!$A$1:$BF$391,MATCH($C54,'在庫使用計画 (一般)'!$C$1:$C$391,0),MATCH(BE$1,'在庫使用計画 (一般)'!$A$1:$BF$1,0))*1,0),
_xlpm._法人検索,IFERROR(INDEX('在庫使用計画 (法人)'!$A$1:$BF$391,MATCH($C54,'在庫使用計画 (法人)'!$C$1:$C$391,0),MATCH(BE$1,'在庫使用計画 (法人)'!$A$1:$BF$1,0))*1,0),
_xlpm._合計,_xlpm._一般検索+_xlpm._法人検索,
IF(_xlpm._合計=0,"",_xlpm._合計)
)</f>
        <v/>
      </c>
      <c r="BF54" s="224" t="str">
        <f>_xlfn.LET(
_xlpm._一般検索,IFERROR(INDEX('在庫使用計画 (一般)'!$A$1:$BF$391,MATCH($C54,'在庫使用計画 (一般)'!$C$1:$C$391,0),MATCH(BF$1,'在庫使用計画 (一般)'!$A$1:$BF$1,0))*1,0),
_xlpm._法人検索,IFERROR(INDEX('在庫使用計画 (法人)'!$A$1:$BF$391,MATCH($C54,'在庫使用計画 (法人)'!$C$1:$C$391,0),MATCH(BF$1,'在庫使用計画 (法人)'!$A$1:$BF$1,0))*1,0),
_xlpm._合計,_xlpm._一般検索+_xlpm._法人検索,
IF(_xlpm._合計=0,"",_xlpm._合計)
)</f>
        <v/>
      </c>
      <c r="BG54" s="237" t="str">
        <f>_xlfn.LET(
_xlpm._一般検索,IFERROR(INDEX('在庫使用計画 (一般)'!$A$1:$BF$391,MATCH($C54,'在庫使用計画 (一般)'!$C$1:$C$391,0),MATCH(BG$1,'在庫使用計画 (一般)'!$A$1:$BF$1,0))*1,0),
_xlpm._法人検索,IFERROR(INDEX('在庫使用計画 (法人)'!$A$1:$BF$391,MATCH($C54,'在庫使用計画 (法人)'!$C$1:$C$391,0),MATCH(BG$1,'在庫使用計画 (法人)'!$A$1:$BF$1,0))*1,0),
_xlpm._合計,_xlpm._一般検索+_xlpm._法人検索,
IF(_xlpm._合計=0,"",_xlpm._合計)
)</f>
        <v/>
      </c>
      <c r="BH54" s="804" t="str">
        <f>_xlfn.LET(
_xlpm._一般検索,IFERROR(INDEX('在庫使用計画 (一般)'!$A$1:$BF$391,MATCH($C54,'在庫使用計画 (一般)'!$C$1:$C$391,0),MATCH(BH$1,'在庫使用計画 (一般)'!$A$1:$BF$1,0))*1,0),
_xlpm._法人検索,IFERROR(INDEX('在庫使用計画 (法人)'!$A$1:$BF$391,MATCH($C54,'在庫使用計画 (法人)'!$C$1:$C$391,0),MATCH(BH$1,'在庫使用計画 (法人)'!$A$1:$BF$1,0))*1,0),
_xlpm._合計,_xlpm._一般検索+_xlpm._法人検索,
IF(_xlpm._合計=0,"",_xlpm._合計)
)</f>
        <v/>
      </c>
      <c r="BI54" s="224" t="str">
        <f>_xlfn.LET(
_xlpm._一般検索,IFERROR(INDEX('在庫使用計画 (一般)'!$A$1:$BF$391,MATCH($C54,'在庫使用計画 (一般)'!$C$1:$C$391,0),MATCH(BI$1,'在庫使用計画 (一般)'!$A$1:$BF$1,0))*1,0),
_xlpm._法人検索,IFERROR(INDEX('在庫使用計画 (法人)'!$A$1:$BF$391,MATCH($C54,'在庫使用計画 (法人)'!$C$1:$C$391,0),MATCH(BI$1,'在庫使用計画 (法人)'!$A$1:$BF$1,0))*1,0),
_xlpm._合計,_xlpm._一般検索+_xlpm._法人検索,
IF(_xlpm._合計=0,"",_xlpm._合計)
)</f>
        <v/>
      </c>
      <c r="BJ54" s="224" t="str">
        <f>_xlfn.LET(
_xlpm._一般検索,IFERROR(INDEX('在庫使用計画 (一般)'!$A$1:$BF$391,MATCH($C54,'在庫使用計画 (一般)'!$C$1:$C$391,0),MATCH(BJ$1,'在庫使用計画 (一般)'!$A$1:$BF$1,0))*1,0),
_xlpm._法人検索,IFERROR(INDEX('在庫使用計画 (法人)'!$A$1:$BF$391,MATCH($C54,'在庫使用計画 (法人)'!$C$1:$C$391,0),MATCH(BJ$1,'在庫使用計画 (法人)'!$A$1:$BF$1,0))*1,0),
_xlpm._合計,_xlpm._一般検索+_xlpm._法人検索,
IF(_xlpm._合計=0,"",_xlpm._合計)
)</f>
        <v/>
      </c>
      <c r="BK54" s="224" t="str">
        <f>_xlfn.LET(
_xlpm._一般検索,IFERROR(INDEX('在庫使用計画 (一般)'!$A$1:$BF$391,MATCH($C54,'在庫使用計画 (一般)'!$C$1:$C$391,0),MATCH(BK$1,'在庫使用計画 (一般)'!$A$1:$BF$1,0))*1,0),
_xlpm._法人検索,IFERROR(INDEX('在庫使用計画 (法人)'!$A$1:$BF$391,MATCH($C54,'在庫使用計画 (法人)'!$C$1:$C$391,0),MATCH(BK$1,'在庫使用計画 (法人)'!$A$1:$BF$1,0))*1,0),
_xlpm._合計,_xlpm._一般検索+_xlpm._法人検索,
IF(_xlpm._合計=0,"",_xlpm._合計)
)</f>
        <v/>
      </c>
      <c r="BL54" s="224" t="str">
        <f>_xlfn.LET(
_xlpm._一般検索,IFERROR(INDEX('在庫使用計画 (一般)'!$A$1:$BF$391,MATCH($C54,'在庫使用計画 (一般)'!$C$1:$C$391,0),MATCH(BL$1,'在庫使用計画 (一般)'!$A$1:$BF$1,0))*1,0),
_xlpm._法人検索,IFERROR(INDEX('在庫使用計画 (法人)'!$A$1:$BF$391,MATCH($C54,'在庫使用計画 (法人)'!$C$1:$C$391,0),MATCH(BL$1,'在庫使用計画 (法人)'!$A$1:$BF$1,0))*1,0),
_xlpm._合計,_xlpm._一般検索+_xlpm._法人検索,
IF(_xlpm._合計=0,"",_xlpm._合計)
)</f>
        <v/>
      </c>
      <c r="BM54" s="224" t="str">
        <f>_xlfn.LET(
_xlpm._一般検索,IFERROR(INDEX('在庫使用計画 (一般)'!$A$1:$BF$391,MATCH($C54,'在庫使用計画 (一般)'!$C$1:$C$391,0),MATCH(BM$1,'在庫使用計画 (一般)'!$A$1:$BF$1,0))*1,0),
_xlpm._法人検索,IFERROR(INDEX('在庫使用計画 (法人)'!$A$1:$BF$391,MATCH($C54,'在庫使用計画 (法人)'!$C$1:$C$391,0),MATCH(BM$1,'在庫使用計画 (法人)'!$A$1:$BF$1,0))*1,0),
_xlpm._合計,_xlpm._一般検索+_xlpm._法人検索,
IF(_xlpm._合計=0,"",_xlpm._合計)
)</f>
        <v/>
      </c>
      <c r="BN54" s="224" t="str">
        <f>_xlfn.LET(
_xlpm._一般検索,IFERROR(INDEX('在庫使用計画 (一般)'!$A$1:$BF$391,MATCH($C54,'在庫使用計画 (一般)'!$C$1:$C$391,0),MATCH(BN$1,'在庫使用計画 (一般)'!$A$1:$BF$1,0))*1,0),
_xlpm._法人検索,IFERROR(INDEX('在庫使用計画 (法人)'!$A$1:$BF$391,MATCH($C54,'在庫使用計画 (法人)'!$C$1:$C$391,0),MATCH(BN$1,'在庫使用計画 (法人)'!$A$1:$BF$1,0))*1,0),
_xlpm._合計,_xlpm._一般検索+_xlpm._法人検索,
IF(_xlpm._合計=0,"",_xlpm._合計)
)</f>
        <v/>
      </c>
      <c r="BO54" s="224" t="str">
        <f>_xlfn.LET(
_xlpm._一般検索,IFERROR(INDEX('在庫使用計画 (一般)'!$A$1:$BF$391,MATCH($C54,'在庫使用計画 (一般)'!$C$1:$C$391,0),MATCH(BO$1,'在庫使用計画 (一般)'!$A$1:$BF$1,0))*1,0),
_xlpm._法人検索,IFERROR(INDEX('在庫使用計画 (法人)'!$A$1:$BF$391,MATCH($C54,'在庫使用計画 (法人)'!$C$1:$C$391,0),MATCH(BO$1,'在庫使用計画 (法人)'!$A$1:$BF$1,0))*1,0),
_xlpm._合計,_xlpm._一般検索+_xlpm._法人検索,
IF(_xlpm._合計=0,"",_xlpm._合計)
)</f>
        <v/>
      </c>
      <c r="BP54" s="224" t="str">
        <f>_xlfn.LET(
_xlpm._一般検索,IFERROR(INDEX('在庫使用計画 (一般)'!$A$1:$BF$391,MATCH($C54,'在庫使用計画 (一般)'!$C$1:$C$391,0),MATCH(BP$1,'在庫使用計画 (一般)'!$A$1:$BF$1,0))*1,0),
_xlpm._法人検索,IFERROR(INDEX('在庫使用計画 (法人)'!$A$1:$BF$391,MATCH($C54,'在庫使用計画 (法人)'!$C$1:$C$391,0),MATCH(BP$1,'在庫使用計画 (法人)'!$A$1:$BF$1,0))*1,0),
_xlpm._合計,_xlpm._一般検索+_xlpm._法人検索,
IF(_xlpm._合計=0,"",_xlpm._合計)
)</f>
        <v/>
      </c>
      <c r="BQ54" s="224" t="str">
        <f>_xlfn.LET(
_xlpm._一般検索,IFERROR(INDEX('在庫使用計画 (一般)'!$A$1:$BF$391,MATCH($C54,'在庫使用計画 (一般)'!$C$1:$C$391,0),MATCH(BQ$1,'在庫使用計画 (一般)'!$A$1:$BF$1,0))*1,0),
_xlpm._法人検索,IFERROR(INDEX('在庫使用計画 (法人)'!$A$1:$BF$391,MATCH($C54,'在庫使用計画 (法人)'!$C$1:$C$391,0),MATCH(BQ$1,'在庫使用計画 (法人)'!$A$1:$BF$1,0))*1,0),
_xlpm._合計,_xlpm._一般検索+_xlpm._法人検索,
IF(_xlpm._合計=0,"",_xlpm._合計)
)</f>
        <v/>
      </c>
      <c r="BR54" s="224" t="str">
        <f>_xlfn.LET(
_xlpm._一般検索,IFERROR(INDEX('在庫使用計画 (一般)'!$A$1:$BF$391,MATCH($C54,'在庫使用計画 (一般)'!$C$1:$C$391,0),MATCH(BR$1,'在庫使用計画 (一般)'!$A$1:$BF$1,0))*1,0),
_xlpm._法人検索,IFERROR(INDEX('在庫使用計画 (法人)'!$A$1:$BF$391,MATCH($C54,'在庫使用計画 (法人)'!$C$1:$C$391,0),MATCH(BR$1,'在庫使用計画 (法人)'!$A$1:$BF$1,0))*1,0),
_xlpm._合計,_xlpm._一般検索+_xlpm._法人検索,
IF(_xlpm._合計=0,"",_xlpm._合計)
)</f>
        <v/>
      </c>
      <c r="BS54" s="805" t="str">
        <f>_xlfn.LET(
_xlpm._一般検索,IFERROR(INDEX('在庫使用計画 (一般)'!$A$1:$BF$391,MATCH($C54,'在庫使用計画 (一般)'!$C$1:$C$391,0),MATCH(BS$1,'在庫使用計画 (一般)'!$A$1:$BF$1,0))*1,0),
_xlpm._法人検索,IFERROR(INDEX('在庫使用計画 (法人)'!$A$1:$BF$391,MATCH($C54,'在庫使用計画 (法人)'!$C$1:$C$391,0),MATCH(BS$1,'在庫使用計画 (法人)'!$A$1:$BF$1,0))*1,0),
_xlpm._合計,_xlpm._一般検索+_xlpm._法人検索,
IF(_xlpm._合計=0,"",_xlpm._合計)
)</f>
        <v/>
      </c>
      <c r="BT54" s="21"/>
    </row>
    <row r="55" spans="1:72" customFormat="1" ht="18.75" customHeight="1">
      <c r="A55" s="1068"/>
      <c r="B55" s="55" t="str">
        <v/>
      </c>
      <c r="C55" s="55"/>
      <c r="D55" s="2165" t="str">
        <v/>
      </c>
      <c r="E55" s="194"/>
      <c r="F55" s="629"/>
      <c r="G55" s="74" t="str">
        <v/>
      </c>
      <c r="H55" s="38" t="str">
        <v/>
      </c>
      <c r="I55" s="38" t="str" cm="1">
        <f t="array" ref="I55">IF($C55="","",
_xlfn.LET(
  _xlpm._見出し,$A$1:$BT$1,
  _xlpm._行,$A55:$BT55,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
      </c>
      <c r="J55" s="74" t="str" cm="1">
        <f t="array" ref="J55">_xlfn.LET(
  _xlpm._見出し,$A$1:$BS$1,
  _xlpm._行,$A55:$BS55,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IF($C55="","",_xlpm._四点五月計画合計)
)</f>
        <v/>
      </c>
      <c r="K55" s="1458" t="str" cm="1">
        <f t="array" ref="K55">_xlfn.IFS(
  $C55="","",
  $G55="","発売前？",
  $G55=0,"在庫なし",
  TRUE,
  IFERROR(
    _xlfn.LET(
      _xlpm._在庫注残,     $G55,
      _xlpm._しきい値,     _xlpm._在庫注残 * 0.75,
      _xlpm._見出し元,     $L$1:$BU$1,
      _xlpm._計画,         $L55:$BU55,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
      </c>
      <c r="L55" s="65"/>
      <c r="M55" s="422"/>
      <c r="N55" s="422"/>
      <c r="O55" s="422"/>
      <c r="P55" s="422"/>
      <c r="Q55" s="422"/>
      <c r="R55" s="422"/>
      <c r="S55" s="422"/>
      <c r="T55" s="422"/>
      <c r="U55" s="422"/>
      <c r="V55" s="422"/>
      <c r="W55" s="422"/>
      <c r="X55" s="361"/>
      <c r="Y55" s="348"/>
      <c r="Z55" s="626"/>
      <c r="AA55" s="627"/>
      <c r="AB55" s="516"/>
      <c r="AC55" s="516"/>
      <c r="AD55" s="333" t="s">
        <v>21</v>
      </c>
      <c r="AE55" s="333" t="s">
        <v>21</v>
      </c>
      <c r="AF55" s="333" t="s">
        <v>21</v>
      </c>
      <c r="AG55" s="333" t="s">
        <v>21</v>
      </c>
      <c r="AH55" s="224" t="s">
        <v>21</v>
      </c>
      <c r="AI55" s="823" t="s">
        <v>21</v>
      </c>
      <c r="AJ55" s="804" t="s">
        <v>21</v>
      </c>
      <c r="AK55" s="224" t="s">
        <v>21</v>
      </c>
      <c r="AL55" s="224" t="s">
        <v>21</v>
      </c>
      <c r="AM55" s="224" t="s">
        <v>21</v>
      </c>
      <c r="AN55" s="224" t="str">
        <f>_xlfn.LET(
_xlpm._一般検索,IFERROR(INDEX('在庫使用計画 (一般)'!$A$1:$BF$391,MATCH($C55,'在庫使用計画 (一般)'!$C$1:$C$391,0),MATCH(AN$1,'在庫使用計画 (一般)'!$A$1:$BF$1,0))*1,0),
_xlpm._法人検索,IFERROR(INDEX('在庫使用計画 (法人)'!$A$1:$BF$391,MATCH($C55,'在庫使用計画 (法人)'!$C$1:$C$391,0),MATCH(AN$1,'在庫使用計画 (法人)'!$A$1:$BF$1,0))*1,0),
_xlpm._合計,_xlpm._一般検索+_xlpm._法人検索,
IF(_xlpm._合計=0,"",_xlpm._合計)
)</f>
        <v/>
      </c>
      <c r="AO55" s="224" t="str">
        <f>_xlfn.LET(
_xlpm._一般検索,IFERROR(INDEX('在庫使用計画 (一般)'!$A$1:$BF$391,MATCH($C55,'在庫使用計画 (一般)'!$C$1:$C$391,0),MATCH(AO$1,'在庫使用計画 (一般)'!$A$1:$BF$1,0))*1,0),
_xlpm._法人検索,IFERROR(INDEX('在庫使用計画 (法人)'!$A$1:$BF$391,MATCH($C55,'在庫使用計画 (法人)'!$C$1:$C$391,0),MATCH(AO$1,'在庫使用計画 (法人)'!$A$1:$BF$1,0))*1,0),
_xlpm._合計,_xlpm._一般検索+_xlpm._法人検索,
IF(_xlpm._合計=0,"",_xlpm._合計)
)</f>
        <v/>
      </c>
      <c r="AP55" s="224" t="str">
        <f>_xlfn.LET(
_xlpm._一般検索,IFERROR(INDEX('在庫使用計画 (一般)'!$A$1:$BF$391,MATCH($C55,'在庫使用計画 (一般)'!$C$1:$C$391,0),MATCH(AP$1,'在庫使用計画 (一般)'!$A$1:$BF$1,0))*1,0),
_xlpm._法人検索,IFERROR(INDEX('在庫使用計画 (法人)'!$A$1:$BF$391,MATCH($C55,'在庫使用計画 (法人)'!$C$1:$C$391,0),MATCH(AP$1,'在庫使用計画 (法人)'!$A$1:$BF$1,0))*1,0),
_xlpm._合計,_xlpm._一般検索+_xlpm._法人検索,
IF(_xlpm._合計=0,"",_xlpm._合計)
)</f>
        <v/>
      </c>
      <c r="AQ55" s="224" t="str">
        <f>_xlfn.LET(
_xlpm._一般検索,IFERROR(INDEX('在庫使用計画 (一般)'!$A$1:$BF$391,MATCH($C55,'在庫使用計画 (一般)'!$C$1:$C$391,0),MATCH(AQ$1,'在庫使用計画 (一般)'!$A$1:$BF$1,0))*1,0),
_xlpm._法人検索,IFERROR(INDEX('在庫使用計画 (法人)'!$A$1:$BF$391,MATCH($C55,'在庫使用計画 (法人)'!$C$1:$C$391,0),MATCH(AQ$1,'在庫使用計画 (法人)'!$A$1:$BF$1,0))*1,0),
_xlpm._合計,_xlpm._一般検索+_xlpm._法人検索,
IF(_xlpm._合計=0,"",_xlpm._合計)
)</f>
        <v/>
      </c>
      <c r="AR55" s="224" t="str">
        <f>_xlfn.LET(
_xlpm._一般検索,IFERROR(INDEX('在庫使用計画 (一般)'!$A$1:$BF$391,MATCH($C55,'在庫使用計画 (一般)'!$C$1:$C$391,0),MATCH(AR$1,'在庫使用計画 (一般)'!$A$1:$BF$1,0))*1,0),
_xlpm._法人検索,IFERROR(INDEX('在庫使用計画 (法人)'!$A$1:$BF$391,MATCH($C55,'在庫使用計画 (法人)'!$C$1:$C$391,0),MATCH(AR$1,'在庫使用計画 (法人)'!$A$1:$BF$1,0))*1,0),
_xlpm._合計,_xlpm._一般検索+_xlpm._法人検索,
IF(_xlpm._合計=0,"",_xlpm._合計)
)</f>
        <v/>
      </c>
      <c r="AS55" s="224" t="str">
        <f>_xlfn.LET(
_xlpm._一般検索,IFERROR(INDEX('在庫使用計画 (一般)'!$A$1:$BF$391,MATCH($C55,'在庫使用計画 (一般)'!$C$1:$C$391,0),MATCH(AS$1,'在庫使用計画 (一般)'!$A$1:$BF$1,0))*1,0),
_xlpm._法人検索,IFERROR(INDEX('在庫使用計画 (法人)'!$A$1:$BF$391,MATCH($C55,'在庫使用計画 (法人)'!$C$1:$C$391,0),MATCH(AS$1,'在庫使用計画 (法人)'!$A$1:$BF$1,0))*1,0),
_xlpm._合計,_xlpm._一般検索+_xlpm._法人検索,
IF(_xlpm._合計=0,"",_xlpm._合計)
)</f>
        <v/>
      </c>
      <c r="AT55" s="224" t="str">
        <f>_xlfn.LET(
_xlpm._一般検索,IFERROR(INDEX('在庫使用計画 (一般)'!$A$1:$BF$391,MATCH($C55,'在庫使用計画 (一般)'!$C$1:$C$391,0),MATCH(AT$1,'在庫使用計画 (一般)'!$A$1:$BF$1,0))*1,0),
_xlpm._法人検索,IFERROR(INDEX('在庫使用計画 (法人)'!$A$1:$BF$391,MATCH($C55,'在庫使用計画 (法人)'!$C$1:$C$391,0),MATCH(AT$1,'在庫使用計画 (法人)'!$A$1:$BF$1,0))*1,0),
_xlpm._合計,_xlpm._一般検索+_xlpm._法人検索,
IF(_xlpm._合計=0,"",_xlpm._合計)
)</f>
        <v/>
      </c>
      <c r="AU55" s="805" t="str">
        <f>_xlfn.LET(
_xlpm._一般検索,IFERROR(INDEX('在庫使用計画 (一般)'!$A$1:$BF$391,MATCH($C55,'在庫使用計画 (一般)'!$C$1:$C$391,0),MATCH(AU$1,'在庫使用計画 (一般)'!$A$1:$BF$1,0))*1,0),
_xlpm._法人検索,IFERROR(INDEX('在庫使用計画 (法人)'!$A$1:$BF$391,MATCH($C55,'在庫使用計画 (法人)'!$C$1:$C$391,0),MATCH(AU$1,'在庫使用計画 (法人)'!$A$1:$BF$1,0))*1,0),
_xlpm._合計,_xlpm._一般検索+_xlpm._法人検索,
IF(_xlpm._合計=0,"",_xlpm._合計)
)</f>
        <v/>
      </c>
      <c r="AV55" s="244" t="str">
        <f>_xlfn.LET(
_xlpm._一般検索,IFERROR(INDEX('在庫使用計画 (一般)'!$A$1:$BF$391,MATCH($C55,'在庫使用計画 (一般)'!$C$1:$C$391,0),MATCH(AV$1,'在庫使用計画 (一般)'!$A$1:$BF$1,0))*1,0),
_xlpm._法人検索,IFERROR(INDEX('在庫使用計画 (法人)'!$A$1:$BF$391,MATCH($C55,'在庫使用計画 (法人)'!$C$1:$C$391,0),MATCH(AV$1,'在庫使用計画 (法人)'!$A$1:$BF$1,0))*1,0),
_xlpm._合計,_xlpm._一般検索+_xlpm._法人検索,
IF(_xlpm._合計=0,"",_xlpm._合計)
)</f>
        <v/>
      </c>
      <c r="AW55" s="224" t="str">
        <f>_xlfn.LET(
_xlpm._一般検索,IFERROR(INDEX('在庫使用計画 (一般)'!$A$1:$BF$391,MATCH($C55,'在庫使用計画 (一般)'!$C$1:$C$391,0),MATCH(AW$1,'在庫使用計画 (一般)'!$A$1:$BF$1,0))*1,0),
_xlpm._法人検索,IFERROR(INDEX('在庫使用計画 (法人)'!$A$1:$BF$391,MATCH($C55,'在庫使用計画 (法人)'!$C$1:$C$391,0),MATCH(AW$1,'在庫使用計画 (法人)'!$A$1:$BF$1,0))*1,0),
_xlpm._合計,_xlpm._一般検索+_xlpm._法人検索,
IF(_xlpm._合計=0,"",_xlpm._合計)
)</f>
        <v/>
      </c>
      <c r="AX55" s="224" t="str">
        <f>_xlfn.LET(
_xlpm._一般検索,IFERROR(INDEX('在庫使用計画 (一般)'!$A$1:$BF$391,MATCH($C55,'在庫使用計画 (一般)'!$C$1:$C$391,0),MATCH(AX$1,'在庫使用計画 (一般)'!$A$1:$BF$1,0))*1,0),
_xlpm._法人検索,IFERROR(INDEX('在庫使用計画 (法人)'!$A$1:$BF$391,MATCH($C55,'在庫使用計画 (法人)'!$C$1:$C$391,0),MATCH(AX$1,'在庫使用計画 (法人)'!$A$1:$BF$1,0))*1,0),
_xlpm._合計,_xlpm._一般検索+_xlpm._法人検索,
IF(_xlpm._合計=0,"",_xlpm._合計)
)</f>
        <v/>
      </c>
      <c r="AY55" s="224" t="str">
        <f>_xlfn.LET(
_xlpm._一般検索,IFERROR(INDEX('在庫使用計画 (一般)'!$A$1:$BF$391,MATCH($C55,'在庫使用計画 (一般)'!$C$1:$C$391,0),MATCH(AY$1,'在庫使用計画 (一般)'!$A$1:$BF$1,0))*1,0),
_xlpm._法人検索,IFERROR(INDEX('在庫使用計画 (法人)'!$A$1:$BF$391,MATCH($C55,'在庫使用計画 (法人)'!$C$1:$C$391,0),MATCH(AY$1,'在庫使用計画 (法人)'!$A$1:$BF$1,0))*1,0),
_xlpm._合計,_xlpm._一般検索+_xlpm._法人検索,
IF(_xlpm._合計=0,"",_xlpm._合計)
)</f>
        <v/>
      </c>
      <c r="AZ55" s="224" t="str">
        <f>_xlfn.LET(
_xlpm._一般検索,IFERROR(INDEX('在庫使用計画 (一般)'!$A$1:$BF$391,MATCH($C55,'在庫使用計画 (一般)'!$C$1:$C$391,0),MATCH(AZ$1,'在庫使用計画 (一般)'!$A$1:$BF$1,0))*1,0),
_xlpm._法人検索,IFERROR(INDEX('在庫使用計画 (法人)'!$A$1:$BF$391,MATCH($C55,'在庫使用計画 (法人)'!$C$1:$C$391,0),MATCH(AZ$1,'在庫使用計画 (法人)'!$A$1:$BF$1,0))*1,0),
_xlpm._合計,_xlpm._一般検索+_xlpm._法人検索,
IF(_xlpm._合計=0,"",_xlpm._合計)
)</f>
        <v/>
      </c>
      <c r="BA55" s="224" t="str">
        <f>_xlfn.LET(
_xlpm._一般検索,IFERROR(INDEX('在庫使用計画 (一般)'!$A$1:$BF$391,MATCH($C55,'在庫使用計画 (一般)'!$C$1:$C$391,0),MATCH(BA$1,'在庫使用計画 (一般)'!$A$1:$BF$1,0))*1,0),
_xlpm._法人検索,IFERROR(INDEX('在庫使用計画 (法人)'!$A$1:$BF$391,MATCH($C55,'在庫使用計画 (法人)'!$C$1:$C$391,0),MATCH(BA$1,'在庫使用計画 (法人)'!$A$1:$BF$1,0))*1,0),
_xlpm._合計,_xlpm._一般検索+_xlpm._法人検索,
IF(_xlpm._合計=0,"",_xlpm._合計)
)</f>
        <v/>
      </c>
      <c r="BB55" s="224" t="str">
        <f>_xlfn.LET(
_xlpm._一般検索,IFERROR(INDEX('在庫使用計画 (一般)'!$A$1:$BF$391,MATCH($C55,'在庫使用計画 (一般)'!$C$1:$C$391,0),MATCH(BB$1,'在庫使用計画 (一般)'!$A$1:$BF$1,0))*1,0),
_xlpm._法人検索,IFERROR(INDEX('在庫使用計画 (法人)'!$A$1:$BF$391,MATCH($C55,'在庫使用計画 (法人)'!$C$1:$C$391,0),MATCH(BB$1,'在庫使用計画 (法人)'!$A$1:$BF$1,0))*1,0),
_xlpm._合計,_xlpm._一般検索+_xlpm._法人検索,
IF(_xlpm._合計=0,"",_xlpm._合計)
)</f>
        <v/>
      </c>
      <c r="BC55" s="224" t="str">
        <f>_xlfn.LET(
_xlpm._一般検索,IFERROR(INDEX('在庫使用計画 (一般)'!$A$1:$BF$391,MATCH($C55,'在庫使用計画 (一般)'!$C$1:$C$391,0),MATCH(BC$1,'在庫使用計画 (一般)'!$A$1:$BF$1,0))*1,0),
_xlpm._法人検索,IFERROR(INDEX('在庫使用計画 (法人)'!$A$1:$BF$391,MATCH($C55,'在庫使用計画 (法人)'!$C$1:$C$391,0),MATCH(BC$1,'在庫使用計画 (法人)'!$A$1:$BF$1,0))*1,0),
_xlpm._合計,_xlpm._一般検索+_xlpm._法人検索,
IF(_xlpm._合計=0,"",_xlpm._合計)
)</f>
        <v/>
      </c>
      <c r="BD55" s="224" t="str">
        <f>_xlfn.LET(
_xlpm._一般検索,IFERROR(INDEX('在庫使用計画 (一般)'!$A$1:$BF$391,MATCH($C55,'在庫使用計画 (一般)'!$C$1:$C$391,0),MATCH(BD$1,'在庫使用計画 (一般)'!$A$1:$BF$1,0))*1,0),
_xlpm._法人検索,IFERROR(INDEX('在庫使用計画 (法人)'!$A$1:$BF$391,MATCH($C55,'在庫使用計画 (法人)'!$C$1:$C$391,0),MATCH(BD$1,'在庫使用計画 (法人)'!$A$1:$BF$1,0))*1,0),
_xlpm._合計,_xlpm._一般検索+_xlpm._法人検索,
IF(_xlpm._合計=0,"",_xlpm._合計)
)</f>
        <v/>
      </c>
      <c r="BE55" s="224" t="str">
        <f>_xlfn.LET(
_xlpm._一般検索,IFERROR(INDEX('在庫使用計画 (一般)'!$A$1:$BF$391,MATCH($C55,'在庫使用計画 (一般)'!$C$1:$C$391,0),MATCH(BE$1,'在庫使用計画 (一般)'!$A$1:$BF$1,0))*1,0),
_xlpm._法人検索,IFERROR(INDEX('在庫使用計画 (法人)'!$A$1:$BF$391,MATCH($C55,'在庫使用計画 (法人)'!$C$1:$C$391,0),MATCH(BE$1,'在庫使用計画 (法人)'!$A$1:$BF$1,0))*1,0),
_xlpm._合計,_xlpm._一般検索+_xlpm._法人検索,
IF(_xlpm._合計=0,"",_xlpm._合計)
)</f>
        <v/>
      </c>
      <c r="BF55" s="224" t="str">
        <f>_xlfn.LET(
_xlpm._一般検索,IFERROR(INDEX('在庫使用計画 (一般)'!$A$1:$BF$391,MATCH($C55,'在庫使用計画 (一般)'!$C$1:$C$391,0),MATCH(BF$1,'在庫使用計画 (一般)'!$A$1:$BF$1,0))*1,0),
_xlpm._法人検索,IFERROR(INDEX('在庫使用計画 (法人)'!$A$1:$BF$391,MATCH($C55,'在庫使用計画 (法人)'!$C$1:$C$391,0),MATCH(BF$1,'在庫使用計画 (法人)'!$A$1:$BF$1,0))*1,0),
_xlpm._合計,_xlpm._一般検索+_xlpm._法人検索,
IF(_xlpm._合計=0,"",_xlpm._合計)
)</f>
        <v/>
      </c>
      <c r="BG55" s="237" t="str">
        <f>_xlfn.LET(
_xlpm._一般検索,IFERROR(INDEX('在庫使用計画 (一般)'!$A$1:$BF$391,MATCH($C55,'在庫使用計画 (一般)'!$C$1:$C$391,0),MATCH(BG$1,'在庫使用計画 (一般)'!$A$1:$BF$1,0))*1,0),
_xlpm._法人検索,IFERROR(INDEX('在庫使用計画 (法人)'!$A$1:$BF$391,MATCH($C55,'在庫使用計画 (法人)'!$C$1:$C$391,0),MATCH(BG$1,'在庫使用計画 (法人)'!$A$1:$BF$1,0))*1,0),
_xlpm._合計,_xlpm._一般検索+_xlpm._法人検索,
IF(_xlpm._合計=0,"",_xlpm._合計)
)</f>
        <v/>
      </c>
      <c r="BH55" s="804" t="str">
        <f>_xlfn.LET(
_xlpm._一般検索,IFERROR(INDEX('在庫使用計画 (一般)'!$A$1:$BF$391,MATCH($C55,'在庫使用計画 (一般)'!$C$1:$C$391,0),MATCH(BH$1,'在庫使用計画 (一般)'!$A$1:$BF$1,0))*1,0),
_xlpm._法人検索,IFERROR(INDEX('在庫使用計画 (法人)'!$A$1:$BF$391,MATCH($C55,'在庫使用計画 (法人)'!$C$1:$C$391,0),MATCH(BH$1,'在庫使用計画 (法人)'!$A$1:$BF$1,0))*1,0),
_xlpm._合計,_xlpm._一般検索+_xlpm._法人検索,
IF(_xlpm._合計=0,"",_xlpm._合計)
)</f>
        <v/>
      </c>
      <c r="BI55" s="224" t="str">
        <f>_xlfn.LET(
_xlpm._一般検索,IFERROR(INDEX('在庫使用計画 (一般)'!$A$1:$BF$391,MATCH($C55,'在庫使用計画 (一般)'!$C$1:$C$391,0),MATCH(BI$1,'在庫使用計画 (一般)'!$A$1:$BF$1,0))*1,0),
_xlpm._法人検索,IFERROR(INDEX('在庫使用計画 (法人)'!$A$1:$BF$391,MATCH($C55,'在庫使用計画 (法人)'!$C$1:$C$391,0),MATCH(BI$1,'在庫使用計画 (法人)'!$A$1:$BF$1,0))*1,0),
_xlpm._合計,_xlpm._一般検索+_xlpm._法人検索,
IF(_xlpm._合計=0,"",_xlpm._合計)
)</f>
        <v/>
      </c>
      <c r="BJ55" s="224" t="str">
        <f>_xlfn.LET(
_xlpm._一般検索,IFERROR(INDEX('在庫使用計画 (一般)'!$A$1:$BF$391,MATCH($C55,'在庫使用計画 (一般)'!$C$1:$C$391,0),MATCH(BJ$1,'在庫使用計画 (一般)'!$A$1:$BF$1,0))*1,0),
_xlpm._法人検索,IFERROR(INDEX('在庫使用計画 (法人)'!$A$1:$BF$391,MATCH($C55,'在庫使用計画 (法人)'!$C$1:$C$391,0),MATCH(BJ$1,'在庫使用計画 (法人)'!$A$1:$BF$1,0))*1,0),
_xlpm._合計,_xlpm._一般検索+_xlpm._法人検索,
IF(_xlpm._合計=0,"",_xlpm._合計)
)</f>
        <v/>
      </c>
      <c r="BK55" s="224" t="str">
        <f>_xlfn.LET(
_xlpm._一般検索,IFERROR(INDEX('在庫使用計画 (一般)'!$A$1:$BF$391,MATCH($C55,'在庫使用計画 (一般)'!$C$1:$C$391,0),MATCH(BK$1,'在庫使用計画 (一般)'!$A$1:$BF$1,0))*1,0),
_xlpm._法人検索,IFERROR(INDEX('在庫使用計画 (法人)'!$A$1:$BF$391,MATCH($C55,'在庫使用計画 (法人)'!$C$1:$C$391,0),MATCH(BK$1,'在庫使用計画 (法人)'!$A$1:$BF$1,0))*1,0),
_xlpm._合計,_xlpm._一般検索+_xlpm._法人検索,
IF(_xlpm._合計=0,"",_xlpm._合計)
)</f>
        <v/>
      </c>
      <c r="BL55" s="224" t="str">
        <f>_xlfn.LET(
_xlpm._一般検索,IFERROR(INDEX('在庫使用計画 (一般)'!$A$1:$BF$391,MATCH($C55,'在庫使用計画 (一般)'!$C$1:$C$391,0),MATCH(BL$1,'在庫使用計画 (一般)'!$A$1:$BF$1,0))*1,0),
_xlpm._法人検索,IFERROR(INDEX('在庫使用計画 (法人)'!$A$1:$BF$391,MATCH($C55,'在庫使用計画 (法人)'!$C$1:$C$391,0),MATCH(BL$1,'在庫使用計画 (法人)'!$A$1:$BF$1,0))*1,0),
_xlpm._合計,_xlpm._一般検索+_xlpm._法人検索,
IF(_xlpm._合計=0,"",_xlpm._合計)
)</f>
        <v/>
      </c>
      <c r="BM55" s="224" t="str">
        <f>_xlfn.LET(
_xlpm._一般検索,IFERROR(INDEX('在庫使用計画 (一般)'!$A$1:$BF$391,MATCH($C55,'在庫使用計画 (一般)'!$C$1:$C$391,0),MATCH(BM$1,'在庫使用計画 (一般)'!$A$1:$BF$1,0))*1,0),
_xlpm._法人検索,IFERROR(INDEX('在庫使用計画 (法人)'!$A$1:$BF$391,MATCH($C55,'在庫使用計画 (法人)'!$C$1:$C$391,0),MATCH(BM$1,'在庫使用計画 (法人)'!$A$1:$BF$1,0))*1,0),
_xlpm._合計,_xlpm._一般検索+_xlpm._法人検索,
IF(_xlpm._合計=0,"",_xlpm._合計)
)</f>
        <v/>
      </c>
      <c r="BN55" s="224" t="str">
        <f>_xlfn.LET(
_xlpm._一般検索,IFERROR(INDEX('在庫使用計画 (一般)'!$A$1:$BF$391,MATCH($C55,'在庫使用計画 (一般)'!$C$1:$C$391,0),MATCH(BN$1,'在庫使用計画 (一般)'!$A$1:$BF$1,0))*1,0),
_xlpm._法人検索,IFERROR(INDEX('在庫使用計画 (法人)'!$A$1:$BF$391,MATCH($C55,'在庫使用計画 (法人)'!$C$1:$C$391,0),MATCH(BN$1,'在庫使用計画 (法人)'!$A$1:$BF$1,0))*1,0),
_xlpm._合計,_xlpm._一般検索+_xlpm._法人検索,
IF(_xlpm._合計=0,"",_xlpm._合計)
)</f>
        <v/>
      </c>
      <c r="BO55" s="224" t="str">
        <f>_xlfn.LET(
_xlpm._一般検索,IFERROR(INDEX('在庫使用計画 (一般)'!$A$1:$BF$391,MATCH($C55,'在庫使用計画 (一般)'!$C$1:$C$391,0),MATCH(BO$1,'在庫使用計画 (一般)'!$A$1:$BF$1,0))*1,0),
_xlpm._法人検索,IFERROR(INDEX('在庫使用計画 (法人)'!$A$1:$BF$391,MATCH($C55,'在庫使用計画 (法人)'!$C$1:$C$391,0),MATCH(BO$1,'在庫使用計画 (法人)'!$A$1:$BF$1,0))*1,0),
_xlpm._合計,_xlpm._一般検索+_xlpm._法人検索,
IF(_xlpm._合計=0,"",_xlpm._合計)
)</f>
        <v/>
      </c>
      <c r="BP55" s="224" t="str">
        <f>_xlfn.LET(
_xlpm._一般検索,IFERROR(INDEX('在庫使用計画 (一般)'!$A$1:$BF$391,MATCH($C55,'在庫使用計画 (一般)'!$C$1:$C$391,0),MATCH(BP$1,'在庫使用計画 (一般)'!$A$1:$BF$1,0))*1,0),
_xlpm._法人検索,IFERROR(INDEX('在庫使用計画 (法人)'!$A$1:$BF$391,MATCH($C55,'在庫使用計画 (法人)'!$C$1:$C$391,0),MATCH(BP$1,'在庫使用計画 (法人)'!$A$1:$BF$1,0))*1,0),
_xlpm._合計,_xlpm._一般検索+_xlpm._法人検索,
IF(_xlpm._合計=0,"",_xlpm._合計)
)</f>
        <v/>
      </c>
      <c r="BQ55" s="224" t="str">
        <f>_xlfn.LET(
_xlpm._一般検索,IFERROR(INDEX('在庫使用計画 (一般)'!$A$1:$BF$391,MATCH($C55,'在庫使用計画 (一般)'!$C$1:$C$391,0),MATCH(BQ$1,'在庫使用計画 (一般)'!$A$1:$BF$1,0))*1,0),
_xlpm._法人検索,IFERROR(INDEX('在庫使用計画 (法人)'!$A$1:$BF$391,MATCH($C55,'在庫使用計画 (法人)'!$C$1:$C$391,0),MATCH(BQ$1,'在庫使用計画 (法人)'!$A$1:$BF$1,0))*1,0),
_xlpm._合計,_xlpm._一般検索+_xlpm._法人検索,
IF(_xlpm._合計=0,"",_xlpm._合計)
)</f>
        <v/>
      </c>
      <c r="BR55" s="224" t="str">
        <f>_xlfn.LET(
_xlpm._一般検索,IFERROR(INDEX('在庫使用計画 (一般)'!$A$1:$BF$391,MATCH($C55,'在庫使用計画 (一般)'!$C$1:$C$391,0),MATCH(BR$1,'在庫使用計画 (一般)'!$A$1:$BF$1,0))*1,0),
_xlpm._法人検索,IFERROR(INDEX('在庫使用計画 (法人)'!$A$1:$BF$391,MATCH($C55,'在庫使用計画 (法人)'!$C$1:$C$391,0),MATCH(BR$1,'在庫使用計画 (法人)'!$A$1:$BF$1,0))*1,0),
_xlpm._合計,_xlpm._一般検索+_xlpm._法人検索,
IF(_xlpm._合計=0,"",_xlpm._合計)
)</f>
        <v/>
      </c>
      <c r="BS55" s="805" t="str">
        <f>_xlfn.LET(
_xlpm._一般検索,IFERROR(INDEX('在庫使用計画 (一般)'!$A$1:$BF$391,MATCH($C55,'在庫使用計画 (一般)'!$C$1:$C$391,0),MATCH(BS$1,'在庫使用計画 (一般)'!$A$1:$BF$1,0))*1,0),
_xlpm._法人検索,IFERROR(INDEX('在庫使用計画 (法人)'!$A$1:$BF$391,MATCH($C55,'在庫使用計画 (法人)'!$C$1:$C$391,0),MATCH(BS$1,'在庫使用計画 (法人)'!$A$1:$BF$1,0))*1,0),
_xlpm._合計,_xlpm._一般検索+_xlpm._法人検索,
IF(_xlpm._合計=0,"",_xlpm._合計)
)</f>
        <v/>
      </c>
      <c r="BT55" s="21"/>
    </row>
    <row r="56" spans="1:72" customFormat="1" ht="18.75" customHeight="1">
      <c r="A56" s="2067" t="s">
        <v>1403</v>
      </c>
      <c r="B56" s="300" t="str">
        <v>CLE-NL75-1334U-UMA-L6-TPM Thirdwave</v>
      </c>
      <c r="C56" s="300" t="s">
        <v>623</v>
      </c>
      <c r="D56" s="2165">
        <v>606</v>
      </c>
      <c r="E56" s="300" t="s">
        <v>1405</v>
      </c>
      <c r="F56" s="26" t="s">
        <v>1725</v>
      </c>
      <c r="G56" s="74">
        <v>436</v>
      </c>
      <c r="H56" s="38">
        <v>136</v>
      </c>
      <c r="I56" s="38" cm="1">
        <f t="array" ref="I56">IF($C56="","",
_xlfn.LET(
  _xlpm._見出し,$A$1:$BT$1,
  _xlpm._行,$A56:$BT56,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178</v>
      </c>
      <c r="J56" s="74" cm="1">
        <f t="array" ref="J56">_xlfn.LET(
  _xlpm._見出し,$A$1:$BS$1,
  _xlpm._行,$A56:$BS56,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IF($C56="","",_xlpm._四点五月計画合計)
)</f>
        <v>188</v>
      </c>
      <c r="K56" s="1458" cm="1">
        <f t="array" ref="K56">_xlfn.IFS(
  $C56="","",
  $G56="","発売前？",
  $G56=0,"在庫なし",
  TRUE,
  IFERROR(
    _xlfn.LET(
      _xlpm._在庫注残,     $G56,
      _xlpm._しきい値,     _xlpm._在庫注残 * 0.75,
      _xlpm._見出し元,     $L$1:$BU$1,
      _xlpm._計画,         $L56:$BU56,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46419</v>
      </c>
      <c r="L56" s="319"/>
      <c r="M56" s="319"/>
      <c r="N56" s="319"/>
      <c r="O56" s="311" t="s">
        <v>21</v>
      </c>
      <c r="P56" s="311" t="s">
        <v>21</v>
      </c>
      <c r="Q56" s="311" t="s">
        <v>21</v>
      </c>
      <c r="R56" s="311" t="s">
        <v>21</v>
      </c>
      <c r="S56" s="311" t="s">
        <v>21</v>
      </c>
      <c r="T56" s="298" t="s">
        <v>21</v>
      </c>
      <c r="U56" s="219">
        <v>60</v>
      </c>
      <c r="V56" s="219">
        <v>60</v>
      </c>
      <c r="W56" s="222">
        <v>40</v>
      </c>
      <c r="X56" s="219" t="s">
        <v>21</v>
      </c>
      <c r="Y56" s="333" t="s">
        <v>21</v>
      </c>
      <c r="Z56" s="333" t="s">
        <v>21</v>
      </c>
      <c r="AA56" s="333" t="s">
        <v>21</v>
      </c>
      <c r="AB56" s="333" t="s">
        <v>21</v>
      </c>
      <c r="AC56" s="333" t="s">
        <v>21</v>
      </c>
      <c r="AD56" s="333" t="s">
        <v>21</v>
      </c>
      <c r="AE56" s="333" t="s">
        <v>21</v>
      </c>
      <c r="AF56" s="333" t="s">
        <v>21</v>
      </c>
      <c r="AG56" s="333">
        <v>0</v>
      </c>
      <c r="AH56" s="224">
        <v>15</v>
      </c>
      <c r="AI56" s="823" t="s">
        <v>21</v>
      </c>
      <c r="AJ56" s="804">
        <v>10</v>
      </c>
      <c r="AK56" s="224">
        <v>30</v>
      </c>
      <c r="AL56" s="224">
        <v>40</v>
      </c>
      <c r="AM56" s="224">
        <v>32</v>
      </c>
      <c r="AN56" s="224">
        <f>_xlfn.LET(
_xlpm._一般検索,IFERROR(INDEX('在庫使用計画 (一般)'!$A$1:$BF$391,MATCH($C56,'在庫使用計画 (一般)'!$C$1:$C$391,0),MATCH(AN$1,'在庫使用計画 (一般)'!$A$1:$BF$1,0))*1,0),
_xlpm._法人検索,IFERROR(INDEX('在庫使用計画 (法人)'!$A$1:$BF$391,MATCH($C56,'在庫使用計画 (法人)'!$C$1:$C$391,0),MATCH(AN$1,'在庫使用計画 (法人)'!$A$1:$BF$1,0))*1,0),
_xlpm._合計,_xlpm._一般検索+_xlpm._法人検索,
IF(_xlpm._合計=0,"",_xlpm._合計)
)</f>
        <v>40</v>
      </c>
      <c r="AO56" s="224">
        <f>_xlfn.LET(
_xlpm._一般検索,IFERROR(INDEX('在庫使用計画 (一般)'!$A$1:$BF$391,MATCH($C56,'在庫使用計画 (一般)'!$C$1:$C$391,0),MATCH(AO$1,'在庫使用計画 (一般)'!$A$1:$BF$1,0))*1,0),
_xlpm._法人検索,IFERROR(INDEX('在庫使用計画 (法人)'!$A$1:$BF$391,MATCH($C56,'在庫使用計画 (法人)'!$C$1:$C$391,0),MATCH(AO$1,'在庫使用計画 (法人)'!$A$1:$BF$1,0))*1,0),
_xlpm._合計,_xlpm._一般検索+_xlpm._法人検索,
IF(_xlpm._合計=0,"",_xlpm._合計)
)</f>
        <v>40</v>
      </c>
      <c r="AP56" s="224">
        <f>_xlfn.LET(
_xlpm._一般検索,IFERROR(INDEX('在庫使用計画 (一般)'!$A$1:$BF$391,MATCH($C56,'在庫使用計画 (一般)'!$C$1:$C$391,0),MATCH(AP$1,'在庫使用計画 (一般)'!$A$1:$BF$1,0))*1,0),
_xlpm._法人検索,IFERROR(INDEX('在庫使用計画 (法人)'!$A$1:$BF$391,MATCH($C56,'在庫使用計画 (法人)'!$C$1:$C$391,0),MATCH(AP$1,'在庫使用計画 (法人)'!$A$1:$BF$1,0))*1,0),
_xlpm._合計,_xlpm._一般検索+_xlpm._法人検索,
IF(_xlpm._合計=0,"",_xlpm._合計)
)</f>
        <v>60</v>
      </c>
      <c r="AQ56" s="224">
        <f>_xlfn.LET(
_xlpm._一般検索,IFERROR(INDEX('在庫使用計画 (一般)'!$A$1:$BF$391,MATCH($C56,'在庫使用計画 (一般)'!$C$1:$C$391,0),MATCH(AQ$1,'在庫使用計画 (一般)'!$A$1:$BF$1,0))*1,0),
_xlpm._法人検索,IFERROR(INDEX('在庫使用計画 (法人)'!$A$1:$BF$391,MATCH($C56,'在庫使用計画 (法人)'!$C$1:$C$391,0),MATCH(AQ$1,'在庫使用計画 (法人)'!$A$1:$BF$1,0))*1,0),
_xlpm._合計,_xlpm._一般検索+_xlpm._法人検索,
IF(_xlpm._合計=0,"",_xlpm._合計)
)</f>
        <v>36</v>
      </c>
      <c r="AR56" s="224">
        <f>_xlfn.LET(
_xlpm._一般検索,IFERROR(INDEX('在庫使用計画 (一般)'!$A$1:$BF$391,MATCH($C56,'在庫使用計画 (一般)'!$C$1:$C$391,0),MATCH(AR$1,'在庫使用計画 (一般)'!$A$1:$BF$1,0))*1,0),
_xlpm._法人検索,IFERROR(INDEX('在庫使用計画 (法人)'!$A$1:$BF$391,MATCH($C56,'在庫使用計画 (法人)'!$C$1:$C$391,0),MATCH(AR$1,'在庫使用計画 (法人)'!$A$1:$BF$1,0))*1,0),
_xlpm._合計,_xlpm._一般検索+_xlpm._法人検索,
IF(_xlpm._合計=0,"",_xlpm._合計)
)</f>
        <v>36</v>
      </c>
      <c r="AS56" s="224">
        <f>_xlfn.LET(
_xlpm._一般検索,IFERROR(INDEX('在庫使用計画 (一般)'!$A$1:$BF$391,MATCH($C56,'在庫使用計画 (一般)'!$C$1:$C$391,0),MATCH(AS$1,'在庫使用計画 (一般)'!$A$1:$BF$1,0))*1,0),
_xlpm._法人検索,IFERROR(INDEX('在庫使用計画 (法人)'!$A$1:$BF$391,MATCH($C56,'在庫使用計画 (法人)'!$C$1:$C$391,0),MATCH(AS$1,'在庫使用計画 (法人)'!$A$1:$BF$1,0))*1,0),
_xlpm._合計,_xlpm._一般検索+_xlpm._法人検索,
IF(_xlpm._合計=0,"",_xlpm._合計)
)</f>
        <v>46</v>
      </c>
      <c r="AT56" s="224">
        <f>_xlfn.LET(
_xlpm._一般検索,IFERROR(INDEX('在庫使用計画 (一般)'!$A$1:$BF$391,MATCH($C56,'在庫使用計画 (一般)'!$C$1:$C$391,0),MATCH(AT$1,'在庫使用計画 (一般)'!$A$1:$BF$1,0))*1,0),
_xlpm._法人検索,IFERROR(INDEX('在庫使用計画 (法人)'!$A$1:$BF$391,MATCH($C56,'在庫使用計画 (法人)'!$C$1:$C$391,0),MATCH(AT$1,'在庫使用計画 (法人)'!$A$1:$BF$1,0))*1,0),
_xlpm._合計,_xlpm._一般検索+_xlpm._法人検索,
IF(_xlpm._合計=0,"",_xlpm._合計)
)</f>
        <v>40</v>
      </c>
      <c r="AU56" s="805">
        <f>_xlfn.LET(
_xlpm._一般検索,IFERROR(INDEX('在庫使用計画 (一般)'!$A$1:$BF$391,MATCH($C56,'在庫使用計画 (一般)'!$C$1:$C$391,0),MATCH(AU$1,'在庫使用計画 (一般)'!$A$1:$BF$1,0))*1,0),
_xlpm._法人検索,IFERROR(INDEX('在庫使用計画 (法人)'!$A$1:$BF$391,MATCH($C56,'在庫使用計画 (法人)'!$C$1:$C$391,0),MATCH(AU$1,'在庫使用計画 (法人)'!$A$1:$BF$1,0))*1,0),
_xlpm._合計,_xlpm._一般検索+_xlpm._法人検索,
IF(_xlpm._合計=0,"",_xlpm._合計)
)</f>
        <v>60</v>
      </c>
      <c r="AV56" s="244">
        <f>_xlfn.LET(
_xlpm._一般検索,IFERROR(INDEX('在庫使用計画 (一般)'!$A$1:$BF$391,MATCH($C56,'在庫使用計画 (一般)'!$C$1:$C$391,0),MATCH(AV$1,'在庫使用計画 (一般)'!$A$1:$BF$1,0))*1,0),
_xlpm._法人検索,IFERROR(INDEX('在庫使用計画 (法人)'!$A$1:$BF$391,MATCH($C56,'在庫使用計画 (法人)'!$C$1:$C$391,0),MATCH(AV$1,'在庫使用計画 (法人)'!$A$1:$BF$1,0))*1,0),
_xlpm._合計,_xlpm._一般検索+_xlpm._法人検索,
IF(_xlpm._合計=0,"",_xlpm._合計)
)</f>
        <v>50</v>
      </c>
      <c r="AW56" s="224">
        <f>_xlfn.LET(
_xlpm._一般検索,IFERROR(INDEX('在庫使用計画 (一般)'!$A$1:$BF$391,MATCH($C56,'在庫使用計画 (一般)'!$C$1:$C$391,0),MATCH(AW$1,'在庫使用計画 (一般)'!$A$1:$BF$1,0))*1,0),
_xlpm._法人検索,IFERROR(INDEX('在庫使用計画 (法人)'!$A$1:$BF$391,MATCH($C56,'在庫使用計画 (法人)'!$C$1:$C$391,0),MATCH(AW$1,'在庫使用計画 (法人)'!$A$1:$BF$1,0))*1,0),
_xlpm._合計,_xlpm._一般検索+_xlpm._法人検索,
IF(_xlpm._合計=0,"",_xlpm._合計)
)</f>
        <v>40</v>
      </c>
      <c r="AX56" s="224">
        <f>_xlfn.LET(
_xlpm._一般検索,IFERROR(INDEX('在庫使用計画 (一般)'!$A$1:$BF$391,MATCH($C56,'在庫使用計画 (一般)'!$C$1:$C$391,0),MATCH(AX$1,'在庫使用計画 (一般)'!$A$1:$BF$1,0))*1,0),
_xlpm._法人検索,IFERROR(INDEX('在庫使用計画 (法人)'!$A$1:$BF$391,MATCH($C56,'在庫使用計画 (法人)'!$C$1:$C$391,0),MATCH(AX$1,'在庫使用計画 (法人)'!$A$1:$BF$1,0))*1,0),
_xlpm._合計,_xlpm._一般検索+_xlpm._法人検索,
IF(_xlpm._合計=0,"",_xlpm._合計)
)</f>
        <v>60</v>
      </c>
      <c r="AY56" s="224" t="str">
        <f>_xlfn.LET(
_xlpm._一般検索,IFERROR(INDEX('在庫使用計画 (一般)'!$A$1:$BF$391,MATCH($C56,'在庫使用計画 (一般)'!$C$1:$C$391,0),MATCH(AY$1,'在庫使用計画 (一般)'!$A$1:$BF$1,0))*1,0),
_xlpm._法人検索,IFERROR(INDEX('在庫使用計画 (法人)'!$A$1:$BF$391,MATCH($C56,'在庫使用計画 (法人)'!$C$1:$C$391,0),MATCH(AY$1,'在庫使用計画 (法人)'!$A$1:$BF$1,0))*1,0),
_xlpm._合計,_xlpm._一般検索+_xlpm._法人検索,
IF(_xlpm._合計=0,"",_xlpm._合計)
)</f>
        <v/>
      </c>
      <c r="AZ56" s="224" t="str">
        <f>_xlfn.LET(
_xlpm._一般検索,IFERROR(INDEX('在庫使用計画 (一般)'!$A$1:$BF$391,MATCH($C56,'在庫使用計画 (一般)'!$C$1:$C$391,0),MATCH(AZ$1,'在庫使用計画 (一般)'!$A$1:$BF$1,0))*1,0),
_xlpm._法人検索,IFERROR(INDEX('在庫使用計画 (法人)'!$A$1:$BF$391,MATCH($C56,'在庫使用計画 (法人)'!$C$1:$C$391,0),MATCH(AZ$1,'在庫使用計画 (法人)'!$A$1:$BF$1,0))*1,0),
_xlpm._合計,_xlpm._一般検索+_xlpm._法人検索,
IF(_xlpm._合計=0,"",_xlpm._合計)
)</f>
        <v/>
      </c>
      <c r="BA56" s="224" t="str">
        <f>_xlfn.LET(
_xlpm._一般検索,IFERROR(INDEX('在庫使用計画 (一般)'!$A$1:$BF$391,MATCH($C56,'在庫使用計画 (一般)'!$C$1:$C$391,0),MATCH(BA$1,'在庫使用計画 (一般)'!$A$1:$BF$1,0))*1,0),
_xlpm._法人検索,IFERROR(INDEX('在庫使用計画 (法人)'!$A$1:$BF$391,MATCH($C56,'在庫使用計画 (法人)'!$C$1:$C$391,0),MATCH(BA$1,'在庫使用計画 (法人)'!$A$1:$BF$1,0))*1,0),
_xlpm._合計,_xlpm._一般検索+_xlpm._法人検索,
IF(_xlpm._合計=0,"",_xlpm._合計)
)</f>
        <v/>
      </c>
      <c r="BB56" s="224" t="str">
        <f>_xlfn.LET(
_xlpm._一般検索,IFERROR(INDEX('在庫使用計画 (一般)'!$A$1:$BF$391,MATCH($C56,'在庫使用計画 (一般)'!$C$1:$C$391,0),MATCH(BB$1,'在庫使用計画 (一般)'!$A$1:$BF$1,0))*1,0),
_xlpm._法人検索,IFERROR(INDEX('在庫使用計画 (法人)'!$A$1:$BF$391,MATCH($C56,'在庫使用計画 (法人)'!$C$1:$C$391,0),MATCH(BB$1,'在庫使用計画 (法人)'!$A$1:$BF$1,0))*1,0),
_xlpm._合計,_xlpm._一般検索+_xlpm._法人検索,
IF(_xlpm._合計=0,"",_xlpm._合計)
)</f>
        <v/>
      </c>
      <c r="BC56" s="224" t="str">
        <f>_xlfn.LET(
_xlpm._一般検索,IFERROR(INDEX('在庫使用計画 (一般)'!$A$1:$BF$391,MATCH($C56,'在庫使用計画 (一般)'!$C$1:$C$391,0),MATCH(BC$1,'在庫使用計画 (一般)'!$A$1:$BF$1,0))*1,0),
_xlpm._法人検索,IFERROR(INDEX('在庫使用計画 (法人)'!$A$1:$BF$391,MATCH($C56,'在庫使用計画 (法人)'!$C$1:$C$391,0),MATCH(BC$1,'在庫使用計画 (法人)'!$A$1:$BF$1,0))*1,0),
_xlpm._合計,_xlpm._一般検索+_xlpm._法人検索,
IF(_xlpm._合計=0,"",_xlpm._合計)
)</f>
        <v/>
      </c>
      <c r="BD56" s="224" t="str">
        <f>_xlfn.LET(
_xlpm._一般検索,IFERROR(INDEX('在庫使用計画 (一般)'!$A$1:$BF$391,MATCH($C56,'在庫使用計画 (一般)'!$C$1:$C$391,0),MATCH(BD$1,'在庫使用計画 (一般)'!$A$1:$BF$1,0))*1,0),
_xlpm._法人検索,IFERROR(INDEX('在庫使用計画 (法人)'!$A$1:$BF$391,MATCH($C56,'在庫使用計画 (法人)'!$C$1:$C$391,0),MATCH(BD$1,'在庫使用計画 (法人)'!$A$1:$BF$1,0))*1,0),
_xlpm._合計,_xlpm._一般検索+_xlpm._法人検索,
IF(_xlpm._合計=0,"",_xlpm._合計)
)</f>
        <v/>
      </c>
      <c r="BE56" s="224" t="str">
        <f>_xlfn.LET(
_xlpm._一般検索,IFERROR(INDEX('在庫使用計画 (一般)'!$A$1:$BF$391,MATCH($C56,'在庫使用計画 (一般)'!$C$1:$C$391,0),MATCH(BE$1,'在庫使用計画 (一般)'!$A$1:$BF$1,0))*1,0),
_xlpm._法人検索,IFERROR(INDEX('在庫使用計画 (法人)'!$A$1:$BF$391,MATCH($C56,'在庫使用計画 (法人)'!$C$1:$C$391,0),MATCH(BE$1,'在庫使用計画 (法人)'!$A$1:$BF$1,0))*1,0),
_xlpm._合計,_xlpm._一般検索+_xlpm._法人検索,
IF(_xlpm._合計=0,"",_xlpm._合計)
)</f>
        <v/>
      </c>
      <c r="BF56" s="224" t="str">
        <f>_xlfn.LET(
_xlpm._一般検索,IFERROR(INDEX('在庫使用計画 (一般)'!$A$1:$BF$391,MATCH($C56,'在庫使用計画 (一般)'!$C$1:$C$391,0),MATCH(BF$1,'在庫使用計画 (一般)'!$A$1:$BF$1,0))*1,0),
_xlpm._法人検索,IFERROR(INDEX('在庫使用計画 (法人)'!$A$1:$BF$391,MATCH($C56,'在庫使用計画 (法人)'!$C$1:$C$391,0),MATCH(BF$1,'在庫使用計画 (法人)'!$A$1:$BF$1,0))*1,0),
_xlpm._合計,_xlpm._一般検索+_xlpm._法人検索,
IF(_xlpm._合計=0,"",_xlpm._合計)
)</f>
        <v/>
      </c>
      <c r="BG56" s="237" t="str">
        <f>_xlfn.LET(
_xlpm._一般検索,IFERROR(INDEX('在庫使用計画 (一般)'!$A$1:$BF$391,MATCH($C56,'在庫使用計画 (一般)'!$C$1:$C$391,0),MATCH(BG$1,'在庫使用計画 (一般)'!$A$1:$BF$1,0))*1,0),
_xlpm._法人検索,IFERROR(INDEX('在庫使用計画 (法人)'!$A$1:$BF$391,MATCH($C56,'在庫使用計画 (法人)'!$C$1:$C$391,0),MATCH(BG$1,'在庫使用計画 (法人)'!$A$1:$BF$1,0))*1,0),
_xlpm._合計,_xlpm._一般検索+_xlpm._法人検索,
IF(_xlpm._合計=0,"",_xlpm._合計)
)</f>
        <v/>
      </c>
      <c r="BH56" s="804" t="str">
        <f>_xlfn.LET(
_xlpm._一般検索,IFERROR(INDEX('在庫使用計画 (一般)'!$A$1:$BF$391,MATCH($C56,'在庫使用計画 (一般)'!$C$1:$C$391,0),MATCH(BH$1,'在庫使用計画 (一般)'!$A$1:$BF$1,0))*1,0),
_xlpm._法人検索,IFERROR(INDEX('在庫使用計画 (法人)'!$A$1:$BF$391,MATCH($C56,'在庫使用計画 (法人)'!$C$1:$C$391,0),MATCH(BH$1,'在庫使用計画 (法人)'!$A$1:$BF$1,0))*1,0),
_xlpm._合計,_xlpm._一般検索+_xlpm._法人検索,
IF(_xlpm._合計=0,"",_xlpm._合計)
)</f>
        <v/>
      </c>
      <c r="BI56" s="224" t="str">
        <f>_xlfn.LET(
_xlpm._一般検索,IFERROR(INDEX('在庫使用計画 (一般)'!$A$1:$BF$391,MATCH($C56,'在庫使用計画 (一般)'!$C$1:$C$391,0),MATCH(BI$1,'在庫使用計画 (一般)'!$A$1:$BF$1,0))*1,0),
_xlpm._法人検索,IFERROR(INDEX('在庫使用計画 (法人)'!$A$1:$BF$391,MATCH($C56,'在庫使用計画 (法人)'!$C$1:$C$391,0),MATCH(BI$1,'在庫使用計画 (法人)'!$A$1:$BF$1,0))*1,0),
_xlpm._合計,_xlpm._一般検索+_xlpm._法人検索,
IF(_xlpm._合計=0,"",_xlpm._合計)
)</f>
        <v/>
      </c>
      <c r="BJ56" s="224" t="str">
        <f>_xlfn.LET(
_xlpm._一般検索,IFERROR(INDEX('在庫使用計画 (一般)'!$A$1:$BF$391,MATCH($C56,'在庫使用計画 (一般)'!$C$1:$C$391,0),MATCH(BJ$1,'在庫使用計画 (一般)'!$A$1:$BF$1,0))*1,0),
_xlpm._法人検索,IFERROR(INDEX('在庫使用計画 (法人)'!$A$1:$BF$391,MATCH($C56,'在庫使用計画 (法人)'!$C$1:$C$391,0),MATCH(BJ$1,'在庫使用計画 (法人)'!$A$1:$BF$1,0))*1,0),
_xlpm._合計,_xlpm._一般検索+_xlpm._法人検索,
IF(_xlpm._合計=0,"",_xlpm._合計)
)</f>
        <v/>
      </c>
      <c r="BK56" s="224" t="str">
        <f>_xlfn.LET(
_xlpm._一般検索,IFERROR(INDEX('在庫使用計画 (一般)'!$A$1:$BF$391,MATCH($C56,'在庫使用計画 (一般)'!$C$1:$C$391,0),MATCH(BK$1,'在庫使用計画 (一般)'!$A$1:$BF$1,0))*1,0),
_xlpm._法人検索,IFERROR(INDEX('在庫使用計画 (法人)'!$A$1:$BF$391,MATCH($C56,'在庫使用計画 (法人)'!$C$1:$C$391,0),MATCH(BK$1,'在庫使用計画 (法人)'!$A$1:$BF$1,0))*1,0),
_xlpm._合計,_xlpm._一般検索+_xlpm._法人検索,
IF(_xlpm._合計=0,"",_xlpm._合計)
)</f>
        <v/>
      </c>
      <c r="BL56" s="224" t="str">
        <f>_xlfn.LET(
_xlpm._一般検索,IFERROR(INDEX('在庫使用計画 (一般)'!$A$1:$BF$391,MATCH($C56,'在庫使用計画 (一般)'!$C$1:$C$391,0),MATCH(BL$1,'在庫使用計画 (一般)'!$A$1:$BF$1,0))*1,0),
_xlpm._法人検索,IFERROR(INDEX('在庫使用計画 (法人)'!$A$1:$BF$391,MATCH($C56,'在庫使用計画 (法人)'!$C$1:$C$391,0),MATCH(BL$1,'在庫使用計画 (法人)'!$A$1:$BF$1,0))*1,0),
_xlpm._合計,_xlpm._一般検索+_xlpm._法人検索,
IF(_xlpm._合計=0,"",_xlpm._合計)
)</f>
        <v/>
      </c>
      <c r="BM56" s="224" t="str">
        <f>_xlfn.LET(
_xlpm._一般検索,IFERROR(INDEX('在庫使用計画 (一般)'!$A$1:$BF$391,MATCH($C56,'在庫使用計画 (一般)'!$C$1:$C$391,0),MATCH(BM$1,'在庫使用計画 (一般)'!$A$1:$BF$1,0))*1,0),
_xlpm._法人検索,IFERROR(INDEX('在庫使用計画 (法人)'!$A$1:$BF$391,MATCH($C56,'在庫使用計画 (法人)'!$C$1:$C$391,0),MATCH(BM$1,'在庫使用計画 (法人)'!$A$1:$BF$1,0))*1,0),
_xlpm._合計,_xlpm._一般検索+_xlpm._法人検索,
IF(_xlpm._合計=0,"",_xlpm._合計)
)</f>
        <v/>
      </c>
      <c r="BN56" s="224" t="str">
        <f>_xlfn.LET(
_xlpm._一般検索,IFERROR(INDEX('在庫使用計画 (一般)'!$A$1:$BF$391,MATCH($C56,'在庫使用計画 (一般)'!$C$1:$C$391,0),MATCH(BN$1,'在庫使用計画 (一般)'!$A$1:$BF$1,0))*1,0),
_xlpm._法人検索,IFERROR(INDEX('在庫使用計画 (法人)'!$A$1:$BF$391,MATCH($C56,'在庫使用計画 (法人)'!$C$1:$C$391,0),MATCH(BN$1,'在庫使用計画 (法人)'!$A$1:$BF$1,0))*1,0),
_xlpm._合計,_xlpm._一般検索+_xlpm._法人検索,
IF(_xlpm._合計=0,"",_xlpm._合計)
)</f>
        <v/>
      </c>
      <c r="BO56" s="224" t="str">
        <f>_xlfn.LET(
_xlpm._一般検索,IFERROR(INDEX('在庫使用計画 (一般)'!$A$1:$BF$391,MATCH($C56,'在庫使用計画 (一般)'!$C$1:$C$391,0),MATCH(BO$1,'在庫使用計画 (一般)'!$A$1:$BF$1,0))*1,0),
_xlpm._法人検索,IFERROR(INDEX('在庫使用計画 (法人)'!$A$1:$BF$391,MATCH($C56,'在庫使用計画 (法人)'!$C$1:$C$391,0),MATCH(BO$1,'在庫使用計画 (法人)'!$A$1:$BF$1,0))*1,0),
_xlpm._合計,_xlpm._一般検索+_xlpm._法人検索,
IF(_xlpm._合計=0,"",_xlpm._合計)
)</f>
        <v/>
      </c>
      <c r="BP56" s="224" t="str">
        <f>_xlfn.LET(
_xlpm._一般検索,IFERROR(INDEX('在庫使用計画 (一般)'!$A$1:$BF$391,MATCH($C56,'在庫使用計画 (一般)'!$C$1:$C$391,0),MATCH(BP$1,'在庫使用計画 (一般)'!$A$1:$BF$1,0))*1,0),
_xlpm._法人検索,IFERROR(INDEX('在庫使用計画 (法人)'!$A$1:$BF$391,MATCH($C56,'在庫使用計画 (法人)'!$C$1:$C$391,0),MATCH(BP$1,'在庫使用計画 (法人)'!$A$1:$BF$1,0))*1,0),
_xlpm._合計,_xlpm._一般検索+_xlpm._法人検索,
IF(_xlpm._合計=0,"",_xlpm._合計)
)</f>
        <v/>
      </c>
      <c r="BQ56" s="224" t="str">
        <f>_xlfn.LET(
_xlpm._一般検索,IFERROR(INDEX('在庫使用計画 (一般)'!$A$1:$BF$391,MATCH($C56,'在庫使用計画 (一般)'!$C$1:$C$391,0),MATCH(BQ$1,'在庫使用計画 (一般)'!$A$1:$BF$1,0))*1,0),
_xlpm._法人検索,IFERROR(INDEX('在庫使用計画 (法人)'!$A$1:$BF$391,MATCH($C56,'在庫使用計画 (法人)'!$C$1:$C$391,0),MATCH(BQ$1,'在庫使用計画 (法人)'!$A$1:$BF$1,0))*1,0),
_xlpm._合計,_xlpm._一般検索+_xlpm._法人検索,
IF(_xlpm._合計=0,"",_xlpm._合計)
)</f>
        <v/>
      </c>
      <c r="BR56" s="224" t="str">
        <f>_xlfn.LET(
_xlpm._一般検索,IFERROR(INDEX('在庫使用計画 (一般)'!$A$1:$BF$391,MATCH($C56,'在庫使用計画 (一般)'!$C$1:$C$391,0),MATCH(BR$1,'在庫使用計画 (一般)'!$A$1:$BF$1,0))*1,0),
_xlpm._法人検索,IFERROR(INDEX('在庫使用計画 (法人)'!$A$1:$BF$391,MATCH($C56,'在庫使用計画 (法人)'!$C$1:$C$391,0),MATCH(BR$1,'在庫使用計画 (法人)'!$A$1:$BF$1,0))*1,0),
_xlpm._合計,_xlpm._一般検索+_xlpm._法人検索,
IF(_xlpm._合計=0,"",_xlpm._合計)
)</f>
        <v/>
      </c>
      <c r="BS56" s="805" t="str">
        <f>_xlfn.LET(
_xlpm._一般検索,IFERROR(INDEX('在庫使用計画 (一般)'!$A$1:$BF$391,MATCH($C56,'在庫使用計画 (一般)'!$C$1:$C$391,0),MATCH(BS$1,'在庫使用計画 (一般)'!$A$1:$BF$1,0))*1,0),
_xlpm._法人検索,IFERROR(INDEX('在庫使用計画 (法人)'!$A$1:$BF$391,MATCH($C56,'在庫使用計画 (法人)'!$C$1:$C$391,0),MATCH(BS$1,'在庫使用計画 (法人)'!$A$1:$BF$1,0))*1,0),
_xlpm._合計,_xlpm._一般検索+_xlpm._法人検索,
IF(_xlpm._合計=0,"",_xlpm._合計)
)</f>
        <v/>
      </c>
      <c r="BT56" s="21"/>
    </row>
    <row r="57" spans="1:72" customFormat="1" ht="18.75" customHeight="1">
      <c r="A57" s="1069"/>
      <c r="B57" s="193" t="str">
        <v/>
      </c>
      <c r="C57" s="193"/>
      <c r="D57" s="2165" t="str">
        <v/>
      </c>
      <c r="E57" s="193"/>
      <c r="F57" s="195"/>
      <c r="G57" s="74" t="str">
        <v/>
      </c>
      <c r="H57" s="38" t="str">
        <v/>
      </c>
      <c r="I57" s="38" t="str" cm="1">
        <f t="array" ref="I57">IF($C57="","",
_xlfn.LET(
  _xlpm._見出し,$A$1:$BT$1,
  _xlpm._行,$A57:$BT57,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
      </c>
      <c r="J57" s="74" t="str" cm="1">
        <f t="array" ref="J57">_xlfn.LET(
  _xlpm._見出し,$A$1:$BS$1,
  _xlpm._行,$A57:$BS57,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IF($C57="","",_xlpm._四点五月計画合計)
)</f>
        <v/>
      </c>
      <c r="K57" s="1458" t="str" cm="1">
        <f t="array" ref="K57">_xlfn.IFS(
  $C57="","",
  $G57="","発売前？",
  $G57=0,"在庫なし",
  TRUE,
  IFERROR(
    _xlfn.LET(
      _xlpm._在庫注残,     $G57,
      _xlpm._しきい値,     _xlpm._在庫注残 * 0.75,
      _xlpm._見出し元,     $L$1:$BU$1,
      _xlpm._計画,         $L57:$BU57,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
      </c>
      <c r="L57" s="409"/>
      <c r="M57" s="409"/>
      <c r="N57" s="409"/>
      <c r="O57" s="409"/>
      <c r="P57" s="409"/>
      <c r="Q57" s="409"/>
      <c r="R57" s="409"/>
      <c r="S57" s="409"/>
      <c r="T57" s="497"/>
      <c r="U57" s="497"/>
      <c r="V57" s="497"/>
      <c r="W57" s="23"/>
      <c r="X57" s="23"/>
      <c r="Y57" s="498"/>
      <c r="Z57" s="498"/>
      <c r="AA57" s="333" t="s">
        <v>21</v>
      </c>
      <c r="AB57" s="333" t="s">
        <v>21</v>
      </c>
      <c r="AC57" s="333" t="s">
        <v>21</v>
      </c>
      <c r="AD57" s="333" t="s">
        <v>21</v>
      </c>
      <c r="AE57" s="333" t="s">
        <v>21</v>
      </c>
      <c r="AF57" s="333" t="s">
        <v>21</v>
      </c>
      <c r="AG57" s="333" t="s">
        <v>21</v>
      </c>
      <c r="AH57" s="224" t="s">
        <v>21</v>
      </c>
      <c r="AI57" s="823" t="s">
        <v>21</v>
      </c>
      <c r="AJ57" s="804" t="s">
        <v>21</v>
      </c>
      <c r="AK57" s="224" t="s">
        <v>21</v>
      </c>
      <c r="AL57" s="224" t="s">
        <v>21</v>
      </c>
      <c r="AM57" s="224" t="s">
        <v>21</v>
      </c>
      <c r="AN57" s="224" t="str">
        <f>_xlfn.LET(
_xlpm._一般検索,IFERROR(INDEX('在庫使用計画 (一般)'!$A$1:$BF$391,MATCH($C57,'在庫使用計画 (一般)'!$C$1:$C$391,0),MATCH(AN$1,'在庫使用計画 (一般)'!$A$1:$BF$1,0))*1,0),
_xlpm._法人検索,IFERROR(INDEX('在庫使用計画 (法人)'!$A$1:$BF$391,MATCH($C57,'在庫使用計画 (法人)'!$C$1:$C$391,0),MATCH(AN$1,'在庫使用計画 (法人)'!$A$1:$BF$1,0))*1,0),
_xlpm._合計,_xlpm._一般検索+_xlpm._法人検索,
IF(_xlpm._合計=0,"",_xlpm._合計)
)</f>
        <v/>
      </c>
      <c r="AO57" s="224" t="str">
        <f>_xlfn.LET(
_xlpm._一般検索,IFERROR(INDEX('在庫使用計画 (一般)'!$A$1:$BF$391,MATCH($C57,'在庫使用計画 (一般)'!$C$1:$C$391,0),MATCH(AO$1,'在庫使用計画 (一般)'!$A$1:$BF$1,0))*1,0),
_xlpm._法人検索,IFERROR(INDEX('在庫使用計画 (法人)'!$A$1:$BF$391,MATCH($C57,'在庫使用計画 (法人)'!$C$1:$C$391,0),MATCH(AO$1,'在庫使用計画 (法人)'!$A$1:$BF$1,0))*1,0),
_xlpm._合計,_xlpm._一般検索+_xlpm._法人検索,
IF(_xlpm._合計=0,"",_xlpm._合計)
)</f>
        <v/>
      </c>
      <c r="AP57" s="224" t="str">
        <f>_xlfn.LET(
_xlpm._一般検索,IFERROR(INDEX('在庫使用計画 (一般)'!$A$1:$BF$391,MATCH($C57,'在庫使用計画 (一般)'!$C$1:$C$391,0),MATCH(AP$1,'在庫使用計画 (一般)'!$A$1:$BF$1,0))*1,0),
_xlpm._法人検索,IFERROR(INDEX('在庫使用計画 (法人)'!$A$1:$BF$391,MATCH($C57,'在庫使用計画 (法人)'!$C$1:$C$391,0),MATCH(AP$1,'在庫使用計画 (法人)'!$A$1:$BF$1,0))*1,0),
_xlpm._合計,_xlpm._一般検索+_xlpm._法人検索,
IF(_xlpm._合計=0,"",_xlpm._合計)
)</f>
        <v/>
      </c>
      <c r="AQ57" s="224" t="str">
        <f>_xlfn.LET(
_xlpm._一般検索,IFERROR(INDEX('在庫使用計画 (一般)'!$A$1:$BF$391,MATCH($C57,'在庫使用計画 (一般)'!$C$1:$C$391,0),MATCH(AQ$1,'在庫使用計画 (一般)'!$A$1:$BF$1,0))*1,0),
_xlpm._法人検索,IFERROR(INDEX('在庫使用計画 (法人)'!$A$1:$BF$391,MATCH($C57,'在庫使用計画 (法人)'!$C$1:$C$391,0),MATCH(AQ$1,'在庫使用計画 (法人)'!$A$1:$BF$1,0))*1,0),
_xlpm._合計,_xlpm._一般検索+_xlpm._法人検索,
IF(_xlpm._合計=0,"",_xlpm._合計)
)</f>
        <v/>
      </c>
      <c r="AR57" s="224" t="str">
        <f>_xlfn.LET(
_xlpm._一般検索,IFERROR(INDEX('在庫使用計画 (一般)'!$A$1:$BF$391,MATCH($C57,'在庫使用計画 (一般)'!$C$1:$C$391,0),MATCH(AR$1,'在庫使用計画 (一般)'!$A$1:$BF$1,0))*1,0),
_xlpm._法人検索,IFERROR(INDEX('在庫使用計画 (法人)'!$A$1:$BF$391,MATCH($C57,'在庫使用計画 (法人)'!$C$1:$C$391,0),MATCH(AR$1,'在庫使用計画 (法人)'!$A$1:$BF$1,0))*1,0),
_xlpm._合計,_xlpm._一般検索+_xlpm._法人検索,
IF(_xlpm._合計=0,"",_xlpm._合計)
)</f>
        <v/>
      </c>
      <c r="AS57" s="224" t="str">
        <f>_xlfn.LET(
_xlpm._一般検索,IFERROR(INDEX('在庫使用計画 (一般)'!$A$1:$BF$391,MATCH($C57,'在庫使用計画 (一般)'!$C$1:$C$391,0),MATCH(AS$1,'在庫使用計画 (一般)'!$A$1:$BF$1,0))*1,0),
_xlpm._法人検索,IFERROR(INDEX('在庫使用計画 (法人)'!$A$1:$BF$391,MATCH($C57,'在庫使用計画 (法人)'!$C$1:$C$391,0),MATCH(AS$1,'在庫使用計画 (法人)'!$A$1:$BF$1,0))*1,0),
_xlpm._合計,_xlpm._一般検索+_xlpm._法人検索,
IF(_xlpm._合計=0,"",_xlpm._合計)
)</f>
        <v/>
      </c>
      <c r="AT57" s="224" t="str">
        <f>_xlfn.LET(
_xlpm._一般検索,IFERROR(INDEX('在庫使用計画 (一般)'!$A$1:$BF$391,MATCH($C57,'在庫使用計画 (一般)'!$C$1:$C$391,0),MATCH(AT$1,'在庫使用計画 (一般)'!$A$1:$BF$1,0))*1,0),
_xlpm._法人検索,IFERROR(INDEX('在庫使用計画 (法人)'!$A$1:$BF$391,MATCH($C57,'在庫使用計画 (法人)'!$C$1:$C$391,0),MATCH(AT$1,'在庫使用計画 (法人)'!$A$1:$BF$1,0))*1,0),
_xlpm._合計,_xlpm._一般検索+_xlpm._法人検索,
IF(_xlpm._合計=0,"",_xlpm._合計)
)</f>
        <v/>
      </c>
      <c r="AU57" s="805" t="str">
        <f>_xlfn.LET(
_xlpm._一般検索,IFERROR(INDEX('在庫使用計画 (一般)'!$A$1:$BF$391,MATCH($C57,'在庫使用計画 (一般)'!$C$1:$C$391,0),MATCH(AU$1,'在庫使用計画 (一般)'!$A$1:$BF$1,0))*1,0),
_xlpm._法人検索,IFERROR(INDEX('在庫使用計画 (法人)'!$A$1:$BF$391,MATCH($C57,'在庫使用計画 (法人)'!$C$1:$C$391,0),MATCH(AU$1,'在庫使用計画 (法人)'!$A$1:$BF$1,0))*1,0),
_xlpm._合計,_xlpm._一般検索+_xlpm._法人検索,
IF(_xlpm._合計=0,"",_xlpm._合計)
)</f>
        <v/>
      </c>
      <c r="AV57" s="244" t="str">
        <f>_xlfn.LET(
_xlpm._一般検索,IFERROR(INDEX('在庫使用計画 (一般)'!$A$1:$BF$391,MATCH($C57,'在庫使用計画 (一般)'!$C$1:$C$391,0),MATCH(AV$1,'在庫使用計画 (一般)'!$A$1:$BF$1,0))*1,0),
_xlpm._法人検索,IFERROR(INDEX('在庫使用計画 (法人)'!$A$1:$BF$391,MATCH($C57,'在庫使用計画 (法人)'!$C$1:$C$391,0),MATCH(AV$1,'在庫使用計画 (法人)'!$A$1:$BF$1,0))*1,0),
_xlpm._合計,_xlpm._一般検索+_xlpm._法人検索,
IF(_xlpm._合計=0,"",_xlpm._合計)
)</f>
        <v/>
      </c>
      <c r="AW57" s="224" t="str">
        <f>_xlfn.LET(
_xlpm._一般検索,IFERROR(INDEX('在庫使用計画 (一般)'!$A$1:$BF$391,MATCH($C57,'在庫使用計画 (一般)'!$C$1:$C$391,0),MATCH(AW$1,'在庫使用計画 (一般)'!$A$1:$BF$1,0))*1,0),
_xlpm._法人検索,IFERROR(INDEX('在庫使用計画 (法人)'!$A$1:$BF$391,MATCH($C57,'在庫使用計画 (法人)'!$C$1:$C$391,0),MATCH(AW$1,'在庫使用計画 (法人)'!$A$1:$BF$1,0))*1,0),
_xlpm._合計,_xlpm._一般検索+_xlpm._法人検索,
IF(_xlpm._合計=0,"",_xlpm._合計)
)</f>
        <v/>
      </c>
      <c r="AX57" s="224" t="str">
        <f>_xlfn.LET(
_xlpm._一般検索,IFERROR(INDEX('在庫使用計画 (一般)'!$A$1:$BF$391,MATCH($C57,'在庫使用計画 (一般)'!$C$1:$C$391,0),MATCH(AX$1,'在庫使用計画 (一般)'!$A$1:$BF$1,0))*1,0),
_xlpm._法人検索,IFERROR(INDEX('在庫使用計画 (法人)'!$A$1:$BF$391,MATCH($C57,'在庫使用計画 (法人)'!$C$1:$C$391,0),MATCH(AX$1,'在庫使用計画 (法人)'!$A$1:$BF$1,0))*1,0),
_xlpm._合計,_xlpm._一般検索+_xlpm._法人検索,
IF(_xlpm._合計=0,"",_xlpm._合計)
)</f>
        <v/>
      </c>
      <c r="AY57" s="224" t="str">
        <f>_xlfn.LET(
_xlpm._一般検索,IFERROR(INDEX('在庫使用計画 (一般)'!$A$1:$BF$391,MATCH($C57,'在庫使用計画 (一般)'!$C$1:$C$391,0),MATCH(AY$1,'在庫使用計画 (一般)'!$A$1:$BF$1,0))*1,0),
_xlpm._法人検索,IFERROR(INDEX('在庫使用計画 (法人)'!$A$1:$BF$391,MATCH($C57,'在庫使用計画 (法人)'!$C$1:$C$391,0),MATCH(AY$1,'在庫使用計画 (法人)'!$A$1:$BF$1,0))*1,0),
_xlpm._合計,_xlpm._一般検索+_xlpm._法人検索,
IF(_xlpm._合計=0,"",_xlpm._合計)
)</f>
        <v/>
      </c>
      <c r="AZ57" s="224" t="str">
        <f>_xlfn.LET(
_xlpm._一般検索,IFERROR(INDEX('在庫使用計画 (一般)'!$A$1:$BF$391,MATCH($C57,'在庫使用計画 (一般)'!$C$1:$C$391,0),MATCH(AZ$1,'在庫使用計画 (一般)'!$A$1:$BF$1,0))*1,0),
_xlpm._法人検索,IFERROR(INDEX('在庫使用計画 (法人)'!$A$1:$BF$391,MATCH($C57,'在庫使用計画 (法人)'!$C$1:$C$391,0),MATCH(AZ$1,'在庫使用計画 (法人)'!$A$1:$BF$1,0))*1,0),
_xlpm._合計,_xlpm._一般検索+_xlpm._法人検索,
IF(_xlpm._合計=0,"",_xlpm._合計)
)</f>
        <v/>
      </c>
      <c r="BA57" s="224" t="str">
        <f>_xlfn.LET(
_xlpm._一般検索,IFERROR(INDEX('在庫使用計画 (一般)'!$A$1:$BF$391,MATCH($C57,'在庫使用計画 (一般)'!$C$1:$C$391,0),MATCH(BA$1,'在庫使用計画 (一般)'!$A$1:$BF$1,0))*1,0),
_xlpm._法人検索,IFERROR(INDEX('在庫使用計画 (法人)'!$A$1:$BF$391,MATCH($C57,'在庫使用計画 (法人)'!$C$1:$C$391,0),MATCH(BA$1,'在庫使用計画 (法人)'!$A$1:$BF$1,0))*1,0),
_xlpm._合計,_xlpm._一般検索+_xlpm._法人検索,
IF(_xlpm._合計=0,"",_xlpm._合計)
)</f>
        <v/>
      </c>
      <c r="BB57" s="224" t="str">
        <f>_xlfn.LET(
_xlpm._一般検索,IFERROR(INDEX('在庫使用計画 (一般)'!$A$1:$BF$391,MATCH($C57,'在庫使用計画 (一般)'!$C$1:$C$391,0),MATCH(BB$1,'在庫使用計画 (一般)'!$A$1:$BF$1,0))*1,0),
_xlpm._法人検索,IFERROR(INDEX('在庫使用計画 (法人)'!$A$1:$BF$391,MATCH($C57,'在庫使用計画 (法人)'!$C$1:$C$391,0),MATCH(BB$1,'在庫使用計画 (法人)'!$A$1:$BF$1,0))*1,0),
_xlpm._合計,_xlpm._一般検索+_xlpm._法人検索,
IF(_xlpm._合計=0,"",_xlpm._合計)
)</f>
        <v/>
      </c>
      <c r="BC57" s="224" t="str">
        <f>_xlfn.LET(
_xlpm._一般検索,IFERROR(INDEX('在庫使用計画 (一般)'!$A$1:$BF$391,MATCH($C57,'在庫使用計画 (一般)'!$C$1:$C$391,0),MATCH(BC$1,'在庫使用計画 (一般)'!$A$1:$BF$1,0))*1,0),
_xlpm._法人検索,IFERROR(INDEX('在庫使用計画 (法人)'!$A$1:$BF$391,MATCH($C57,'在庫使用計画 (法人)'!$C$1:$C$391,0),MATCH(BC$1,'在庫使用計画 (法人)'!$A$1:$BF$1,0))*1,0),
_xlpm._合計,_xlpm._一般検索+_xlpm._法人検索,
IF(_xlpm._合計=0,"",_xlpm._合計)
)</f>
        <v/>
      </c>
      <c r="BD57" s="224" t="str">
        <f>_xlfn.LET(
_xlpm._一般検索,IFERROR(INDEX('在庫使用計画 (一般)'!$A$1:$BF$391,MATCH($C57,'在庫使用計画 (一般)'!$C$1:$C$391,0),MATCH(BD$1,'在庫使用計画 (一般)'!$A$1:$BF$1,0))*1,0),
_xlpm._法人検索,IFERROR(INDEX('在庫使用計画 (法人)'!$A$1:$BF$391,MATCH($C57,'在庫使用計画 (法人)'!$C$1:$C$391,0),MATCH(BD$1,'在庫使用計画 (法人)'!$A$1:$BF$1,0))*1,0),
_xlpm._合計,_xlpm._一般検索+_xlpm._法人検索,
IF(_xlpm._合計=0,"",_xlpm._合計)
)</f>
        <v/>
      </c>
      <c r="BE57" s="224" t="str">
        <f>_xlfn.LET(
_xlpm._一般検索,IFERROR(INDEX('在庫使用計画 (一般)'!$A$1:$BF$391,MATCH($C57,'在庫使用計画 (一般)'!$C$1:$C$391,0),MATCH(BE$1,'在庫使用計画 (一般)'!$A$1:$BF$1,0))*1,0),
_xlpm._法人検索,IFERROR(INDEX('在庫使用計画 (法人)'!$A$1:$BF$391,MATCH($C57,'在庫使用計画 (法人)'!$C$1:$C$391,0),MATCH(BE$1,'在庫使用計画 (法人)'!$A$1:$BF$1,0))*1,0),
_xlpm._合計,_xlpm._一般検索+_xlpm._法人検索,
IF(_xlpm._合計=0,"",_xlpm._合計)
)</f>
        <v/>
      </c>
      <c r="BF57" s="224" t="str">
        <f>_xlfn.LET(
_xlpm._一般検索,IFERROR(INDEX('在庫使用計画 (一般)'!$A$1:$BF$391,MATCH($C57,'在庫使用計画 (一般)'!$C$1:$C$391,0),MATCH(BF$1,'在庫使用計画 (一般)'!$A$1:$BF$1,0))*1,0),
_xlpm._法人検索,IFERROR(INDEX('在庫使用計画 (法人)'!$A$1:$BF$391,MATCH($C57,'在庫使用計画 (法人)'!$C$1:$C$391,0),MATCH(BF$1,'在庫使用計画 (法人)'!$A$1:$BF$1,0))*1,0),
_xlpm._合計,_xlpm._一般検索+_xlpm._法人検索,
IF(_xlpm._合計=0,"",_xlpm._合計)
)</f>
        <v/>
      </c>
      <c r="BG57" s="237" t="str">
        <f>_xlfn.LET(
_xlpm._一般検索,IFERROR(INDEX('在庫使用計画 (一般)'!$A$1:$BF$391,MATCH($C57,'在庫使用計画 (一般)'!$C$1:$C$391,0),MATCH(BG$1,'在庫使用計画 (一般)'!$A$1:$BF$1,0))*1,0),
_xlpm._法人検索,IFERROR(INDEX('在庫使用計画 (法人)'!$A$1:$BF$391,MATCH($C57,'在庫使用計画 (法人)'!$C$1:$C$391,0),MATCH(BG$1,'在庫使用計画 (法人)'!$A$1:$BF$1,0))*1,0),
_xlpm._合計,_xlpm._一般検索+_xlpm._法人検索,
IF(_xlpm._合計=0,"",_xlpm._合計)
)</f>
        <v/>
      </c>
      <c r="BH57" s="804" t="str">
        <f>_xlfn.LET(
_xlpm._一般検索,IFERROR(INDEX('在庫使用計画 (一般)'!$A$1:$BF$391,MATCH($C57,'在庫使用計画 (一般)'!$C$1:$C$391,0),MATCH(BH$1,'在庫使用計画 (一般)'!$A$1:$BF$1,0))*1,0),
_xlpm._法人検索,IFERROR(INDEX('在庫使用計画 (法人)'!$A$1:$BF$391,MATCH($C57,'在庫使用計画 (法人)'!$C$1:$C$391,0),MATCH(BH$1,'在庫使用計画 (法人)'!$A$1:$BF$1,0))*1,0),
_xlpm._合計,_xlpm._一般検索+_xlpm._法人検索,
IF(_xlpm._合計=0,"",_xlpm._合計)
)</f>
        <v/>
      </c>
      <c r="BI57" s="224" t="str">
        <f>_xlfn.LET(
_xlpm._一般検索,IFERROR(INDEX('在庫使用計画 (一般)'!$A$1:$BF$391,MATCH($C57,'在庫使用計画 (一般)'!$C$1:$C$391,0),MATCH(BI$1,'在庫使用計画 (一般)'!$A$1:$BF$1,0))*1,0),
_xlpm._法人検索,IFERROR(INDEX('在庫使用計画 (法人)'!$A$1:$BF$391,MATCH($C57,'在庫使用計画 (法人)'!$C$1:$C$391,0),MATCH(BI$1,'在庫使用計画 (法人)'!$A$1:$BF$1,0))*1,0),
_xlpm._合計,_xlpm._一般検索+_xlpm._法人検索,
IF(_xlpm._合計=0,"",_xlpm._合計)
)</f>
        <v/>
      </c>
      <c r="BJ57" s="224" t="str">
        <f>_xlfn.LET(
_xlpm._一般検索,IFERROR(INDEX('在庫使用計画 (一般)'!$A$1:$BF$391,MATCH($C57,'在庫使用計画 (一般)'!$C$1:$C$391,0),MATCH(BJ$1,'在庫使用計画 (一般)'!$A$1:$BF$1,0))*1,0),
_xlpm._法人検索,IFERROR(INDEX('在庫使用計画 (法人)'!$A$1:$BF$391,MATCH($C57,'在庫使用計画 (法人)'!$C$1:$C$391,0),MATCH(BJ$1,'在庫使用計画 (法人)'!$A$1:$BF$1,0))*1,0),
_xlpm._合計,_xlpm._一般検索+_xlpm._法人検索,
IF(_xlpm._合計=0,"",_xlpm._合計)
)</f>
        <v/>
      </c>
      <c r="BK57" s="224" t="str">
        <f>_xlfn.LET(
_xlpm._一般検索,IFERROR(INDEX('在庫使用計画 (一般)'!$A$1:$BF$391,MATCH($C57,'在庫使用計画 (一般)'!$C$1:$C$391,0),MATCH(BK$1,'在庫使用計画 (一般)'!$A$1:$BF$1,0))*1,0),
_xlpm._法人検索,IFERROR(INDEX('在庫使用計画 (法人)'!$A$1:$BF$391,MATCH($C57,'在庫使用計画 (法人)'!$C$1:$C$391,0),MATCH(BK$1,'在庫使用計画 (法人)'!$A$1:$BF$1,0))*1,0),
_xlpm._合計,_xlpm._一般検索+_xlpm._法人検索,
IF(_xlpm._合計=0,"",_xlpm._合計)
)</f>
        <v/>
      </c>
      <c r="BL57" s="224" t="str">
        <f>_xlfn.LET(
_xlpm._一般検索,IFERROR(INDEX('在庫使用計画 (一般)'!$A$1:$BF$391,MATCH($C57,'在庫使用計画 (一般)'!$C$1:$C$391,0),MATCH(BL$1,'在庫使用計画 (一般)'!$A$1:$BF$1,0))*1,0),
_xlpm._法人検索,IFERROR(INDEX('在庫使用計画 (法人)'!$A$1:$BF$391,MATCH($C57,'在庫使用計画 (法人)'!$C$1:$C$391,0),MATCH(BL$1,'在庫使用計画 (法人)'!$A$1:$BF$1,0))*1,0),
_xlpm._合計,_xlpm._一般検索+_xlpm._法人検索,
IF(_xlpm._合計=0,"",_xlpm._合計)
)</f>
        <v/>
      </c>
      <c r="BM57" s="224" t="str">
        <f>_xlfn.LET(
_xlpm._一般検索,IFERROR(INDEX('在庫使用計画 (一般)'!$A$1:$BF$391,MATCH($C57,'在庫使用計画 (一般)'!$C$1:$C$391,0),MATCH(BM$1,'在庫使用計画 (一般)'!$A$1:$BF$1,0))*1,0),
_xlpm._法人検索,IFERROR(INDEX('在庫使用計画 (法人)'!$A$1:$BF$391,MATCH($C57,'在庫使用計画 (法人)'!$C$1:$C$391,0),MATCH(BM$1,'在庫使用計画 (法人)'!$A$1:$BF$1,0))*1,0),
_xlpm._合計,_xlpm._一般検索+_xlpm._法人検索,
IF(_xlpm._合計=0,"",_xlpm._合計)
)</f>
        <v/>
      </c>
      <c r="BN57" s="224" t="str">
        <f>_xlfn.LET(
_xlpm._一般検索,IFERROR(INDEX('在庫使用計画 (一般)'!$A$1:$BF$391,MATCH($C57,'在庫使用計画 (一般)'!$C$1:$C$391,0),MATCH(BN$1,'在庫使用計画 (一般)'!$A$1:$BF$1,0))*1,0),
_xlpm._法人検索,IFERROR(INDEX('在庫使用計画 (法人)'!$A$1:$BF$391,MATCH($C57,'在庫使用計画 (法人)'!$C$1:$C$391,0),MATCH(BN$1,'在庫使用計画 (法人)'!$A$1:$BF$1,0))*1,0),
_xlpm._合計,_xlpm._一般検索+_xlpm._法人検索,
IF(_xlpm._合計=0,"",_xlpm._合計)
)</f>
        <v/>
      </c>
      <c r="BO57" s="224" t="str">
        <f>_xlfn.LET(
_xlpm._一般検索,IFERROR(INDEX('在庫使用計画 (一般)'!$A$1:$BF$391,MATCH($C57,'在庫使用計画 (一般)'!$C$1:$C$391,0),MATCH(BO$1,'在庫使用計画 (一般)'!$A$1:$BF$1,0))*1,0),
_xlpm._法人検索,IFERROR(INDEX('在庫使用計画 (法人)'!$A$1:$BF$391,MATCH($C57,'在庫使用計画 (法人)'!$C$1:$C$391,0),MATCH(BO$1,'在庫使用計画 (法人)'!$A$1:$BF$1,0))*1,0),
_xlpm._合計,_xlpm._一般検索+_xlpm._法人検索,
IF(_xlpm._合計=0,"",_xlpm._合計)
)</f>
        <v/>
      </c>
      <c r="BP57" s="224" t="str">
        <f>_xlfn.LET(
_xlpm._一般検索,IFERROR(INDEX('在庫使用計画 (一般)'!$A$1:$BF$391,MATCH($C57,'在庫使用計画 (一般)'!$C$1:$C$391,0),MATCH(BP$1,'在庫使用計画 (一般)'!$A$1:$BF$1,0))*1,0),
_xlpm._法人検索,IFERROR(INDEX('在庫使用計画 (法人)'!$A$1:$BF$391,MATCH($C57,'在庫使用計画 (法人)'!$C$1:$C$391,0),MATCH(BP$1,'在庫使用計画 (法人)'!$A$1:$BF$1,0))*1,0),
_xlpm._合計,_xlpm._一般検索+_xlpm._法人検索,
IF(_xlpm._合計=0,"",_xlpm._合計)
)</f>
        <v/>
      </c>
      <c r="BQ57" s="224" t="str">
        <f>_xlfn.LET(
_xlpm._一般検索,IFERROR(INDEX('在庫使用計画 (一般)'!$A$1:$BF$391,MATCH($C57,'在庫使用計画 (一般)'!$C$1:$C$391,0),MATCH(BQ$1,'在庫使用計画 (一般)'!$A$1:$BF$1,0))*1,0),
_xlpm._法人検索,IFERROR(INDEX('在庫使用計画 (法人)'!$A$1:$BF$391,MATCH($C57,'在庫使用計画 (法人)'!$C$1:$C$391,0),MATCH(BQ$1,'在庫使用計画 (法人)'!$A$1:$BF$1,0))*1,0),
_xlpm._合計,_xlpm._一般検索+_xlpm._法人検索,
IF(_xlpm._合計=0,"",_xlpm._合計)
)</f>
        <v/>
      </c>
      <c r="BR57" s="224" t="str">
        <f>_xlfn.LET(
_xlpm._一般検索,IFERROR(INDEX('在庫使用計画 (一般)'!$A$1:$BF$391,MATCH($C57,'在庫使用計画 (一般)'!$C$1:$C$391,0),MATCH(BR$1,'在庫使用計画 (一般)'!$A$1:$BF$1,0))*1,0),
_xlpm._法人検索,IFERROR(INDEX('在庫使用計画 (法人)'!$A$1:$BF$391,MATCH($C57,'在庫使用計画 (法人)'!$C$1:$C$391,0),MATCH(BR$1,'在庫使用計画 (法人)'!$A$1:$BF$1,0))*1,0),
_xlpm._合計,_xlpm._一般検索+_xlpm._法人検索,
IF(_xlpm._合計=0,"",_xlpm._合計)
)</f>
        <v/>
      </c>
      <c r="BS57" s="805" t="str">
        <f>_xlfn.LET(
_xlpm._一般検索,IFERROR(INDEX('在庫使用計画 (一般)'!$A$1:$BF$391,MATCH($C57,'在庫使用計画 (一般)'!$C$1:$C$391,0),MATCH(BS$1,'在庫使用計画 (一般)'!$A$1:$BF$1,0))*1,0),
_xlpm._法人検索,IFERROR(INDEX('在庫使用計画 (法人)'!$A$1:$BF$391,MATCH($C57,'在庫使用計画 (法人)'!$C$1:$C$391,0),MATCH(BS$1,'在庫使用計画 (法人)'!$A$1:$BF$1,0))*1,0),
_xlpm._合計,_xlpm._一般検索+_xlpm._法人検索,
IF(_xlpm._合計=0,"",_xlpm._合計)
)</f>
        <v/>
      </c>
      <c r="BT57" s="21"/>
    </row>
    <row r="58" spans="1:72" customFormat="1" ht="18.75" customHeight="1">
      <c r="A58" s="2064" t="s">
        <v>1650</v>
      </c>
      <c r="B58" s="712" t="str">
        <v>CLE-L26-U7-355-UMA-32G-L7 Thirdwave</v>
      </c>
      <c r="C58" s="713" t="s">
        <v>551</v>
      </c>
      <c r="D58" s="2166">
        <v>240</v>
      </c>
      <c r="E58" s="713" t="s">
        <v>1448</v>
      </c>
      <c r="F58" s="714"/>
      <c r="G58" s="74">
        <v>168</v>
      </c>
      <c r="H58" s="38">
        <v>168</v>
      </c>
      <c r="I58" s="38" cm="1">
        <f t="array" ref="I58">IF($C58="","",
_xlfn.LET(
  _xlpm._見出し,$A$1:$BT$1,
  _xlpm._行,$A58:$BT58,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87</v>
      </c>
      <c r="J58" s="74" cm="1">
        <f t="array" ref="J58">_xlfn.LET(
  _xlpm._見出し,$A$1:$BS$1,
  _xlpm._行,$A58:$BS58,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IF($C58="","",_xlpm._四点五月計画合計)
)</f>
        <v>88</v>
      </c>
      <c r="K58" s="1458" cm="1">
        <f t="array" ref="K58">_xlfn.IFS(
  $C58="","",
  $G58="","発売前？",
  $G58=0,"在庫なし",
  TRUE,
  IFERROR(
    _xlfn.LET(
      _xlpm._在庫注残,     $G58,
      _xlpm._しきい値,     _xlpm._在庫注残 * 0.75,
      _xlpm._見出し元,     $L$1:$BU$1,
      _xlpm._計画,         $L58:$BU58,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46388</v>
      </c>
      <c r="L58" s="109"/>
      <c r="M58" s="109"/>
      <c r="N58" s="196"/>
      <c r="O58" s="423"/>
      <c r="P58" s="423"/>
      <c r="Q58" s="423"/>
      <c r="R58" s="423"/>
      <c r="S58" s="423"/>
      <c r="T58" s="423"/>
      <c r="U58" s="423"/>
      <c r="V58" s="423"/>
      <c r="W58" s="516"/>
      <c r="X58" s="516"/>
      <c r="Y58" s="516"/>
      <c r="Z58" s="516"/>
      <c r="AA58" s="516"/>
      <c r="AB58" s="516"/>
      <c r="AC58" s="516"/>
      <c r="AD58" s="516"/>
      <c r="AE58" s="219"/>
      <c r="AF58" s="219"/>
      <c r="AG58" s="219" t="s">
        <v>21</v>
      </c>
      <c r="AH58" s="224" t="s">
        <v>21</v>
      </c>
      <c r="AI58" s="480" t="s">
        <v>21</v>
      </c>
      <c r="AJ58" s="804" t="s">
        <v>21</v>
      </c>
      <c r="AK58" s="224">
        <v>40</v>
      </c>
      <c r="AL58" s="224">
        <v>50</v>
      </c>
      <c r="AM58" s="224">
        <v>42</v>
      </c>
      <c r="AN58" s="224">
        <f>_xlfn.LET(
_xlpm._一般検索,IFERROR(INDEX('在庫使用計画 (一般)'!$A$1:$BF$391,MATCH($C58,'在庫使用計画 (一般)'!$C$1:$C$391,0),MATCH(AN$1,'在庫使用計画 (一般)'!$A$1:$BF$1,0))*1,0),
_xlpm._法人検索,IFERROR(INDEX('在庫使用計画 (法人)'!$A$1:$BF$391,MATCH($C58,'在庫使用計画 (法人)'!$C$1:$C$391,0),MATCH(AN$1,'在庫使用計画 (法人)'!$A$1:$BF$1,0))*1,0),
_xlpm._合計,_xlpm._一般検索+_xlpm._法人検索,
IF(_xlpm._合計=0,"",_xlpm._合計)
)</f>
        <v>20</v>
      </c>
      <c r="AO58" s="224">
        <f>_xlfn.LET(
_xlpm._一般検索,IFERROR(INDEX('在庫使用計画 (一般)'!$A$1:$BF$391,MATCH($C58,'在庫使用計画 (一般)'!$C$1:$C$391,0),MATCH(AO$1,'在庫使用計画 (一般)'!$A$1:$BF$1,0))*1,0),
_xlpm._法人検索,IFERROR(INDEX('在庫使用計画 (法人)'!$A$1:$BF$391,MATCH($C58,'在庫使用計画 (法人)'!$C$1:$C$391,0),MATCH(AO$1,'在庫使用計画 (法人)'!$A$1:$BF$1,0))*1,0),
_xlpm._合計,_xlpm._一般検索+_xlpm._法人検索,
IF(_xlpm._合計=0,"",_xlpm._合計)
)</f>
        <v>20</v>
      </c>
      <c r="AP58" s="224">
        <f>_xlfn.LET(
_xlpm._一般検索,IFERROR(INDEX('在庫使用計画 (一般)'!$A$1:$BF$391,MATCH($C58,'在庫使用計画 (一般)'!$C$1:$C$391,0),MATCH(AP$1,'在庫使用計画 (一般)'!$A$1:$BF$1,0))*1,0),
_xlpm._法人検索,IFERROR(INDEX('在庫使用計画 (法人)'!$A$1:$BF$391,MATCH($C58,'在庫使用計画 (法人)'!$C$1:$C$391,0),MATCH(AP$1,'在庫使用計画 (法人)'!$A$1:$BF$1,0))*1,0),
_xlpm._合計,_xlpm._一般検索+_xlpm._法人検索,
IF(_xlpm._合計=0,"",_xlpm._合計)
)</f>
        <v>26</v>
      </c>
      <c r="AQ58" s="224">
        <f>_xlfn.LET(
_xlpm._一般検索,IFERROR(INDEX('在庫使用計画 (一般)'!$A$1:$BF$391,MATCH($C58,'在庫使用計画 (一般)'!$C$1:$C$391,0),MATCH(AQ$1,'在庫使用計画 (一般)'!$A$1:$BF$1,0))*1,0),
_xlpm._法人検索,IFERROR(INDEX('在庫使用計画 (法人)'!$A$1:$BF$391,MATCH($C58,'在庫使用計画 (法人)'!$C$1:$C$391,0),MATCH(AQ$1,'在庫使用計画 (法人)'!$A$1:$BF$1,0))*1,0),
_xlpm._合計,_xlpm._一般検索+_xlpm._法人検索,
IF(_xlpm._合計=0,"",_xlpm._合計)
)</f>
        <v>24</v>
      </c>
      <c r="AR58" s="224">
        <f>_xlfn.LET(
_xlpm._一般検索,IFERROR(INDEX('在庫使用計画 (一般)'!$A$1:$BF$391,MATCH($C58,'在庫使用計画 (一般)'!$C$1:$C$391,0),MATCH(AR$1,'在庫使用計画 (一般)'!$A$1:$BF$1,0))*1,0),
_xlpm._法人検索,IFERROR(INDEX('在庫使用計画 (法人)'!$A$1:$BF$391,MATCH($C58,'在庫使用計画 (法人)'!$C$1:$C$391,0),MATCH(AR$1,'在庫使用計画 (法人)'!$A$1:$BF$1,0))*1,0),
_xlpm._合計,_xlpm._一般検索+_xlpm._法人検索,
IF(_xlpm._合計=0,"",_xlpm._合計)
)</f>
        <v>21</v>
      </c>
      <c r="AS58" s="224">
        <f>_xlfn.LET(
_xlpm._一般検索,IFERROR(INDEX('在庫使用計画 (一般)'!$A$1:$BF$391,MATCH($C58,'在庫使用計画 (一般)'!$C$1:$C$391,0),MATCH(AS$1,'在庫使用計画 (一般)'!$A$1:$BF$1,0))*1,0),
_xlpm._法人検索,IFERROR(INDEX('在庫使用計画 (法人)'!$A$1:$BF$391,MATCH($C58,'在庫使用計画 (法人)'!$C$1:$C$391,0),MATCH(AS$1,'在庫使用計画 (法人)'!$A$1:$BF$1,0))*1,0),
_xlpm._合計,_xlpm._一般検索+_xlpm._法人検索,
IF(_xlpm._合計=0,"",_xlpm._合計)
)</f>
        <v>16</v>
      </c>
      <c r="AT58" s="224">
        <f>_xlfn.LET(
_xlpm._一般検索,IFERROR(INDEX('在庫使用計画 (一般)'!$A$1:$BF$391,MATCH($C58,'在庫使用計画 (一般)'!$C$1:$C$391,0),MATCH(AT$1,'在庫使用計画 (一般)'!$A$1:$BF$1,0))*1,0),
_xlpm._法人検索,IFERROR(INDEX('在庫使用計画 (法人)'!$A$1:$BF$391,MATCH($C58,'在庫使用計画 (法人)'!$C$1:$C$391,0),MATCH(AT$1,'在庫使用計画 (法人)'!$A$1:$BF$1,0))*1,0),
_xlpm._合計,_xlpm._一般検索+_xlpm._法人検索,
IF(_xlpm._合計=0,"",_xlpm._合計)
)</f>
        <v>14</v>
      </c>
      <c r="AU58" s="805">
        <f>_xlfn.LET(
_xlpm._一般検索,IFERROR(INDEX('在庫使用計画 (一般)'!$A$1:$BF$391,MATCH($C58,'在庫使用計画 (一般)'!$C$1:$C$391,0),MATCH(AU$1,'在庫使用計画 (一般)'!$A$1:$BF$1,0))*1,0),
_xlpm._法人検索,IFERROR(INDEX('在庫使用計画 (法人)'!$A$1:$BF$391,MATCH($C58,'在庫使用計画 (法人)'!$C$1:$C$391,0),MATCH(AU$1,'在庫使用計画 (法人)'!$A$1:$BF$1,0))*1,0),
_xlpm._合計,_xlpm._一般検索+_xlpm._法人検索,
IF(_xlpm._合計=0,"",_xlpm._合計)
)</f>
        <v>20</v>
      </c>
      <c r="AV58" s="244">
        <f>_xlfn.LET(
_xlpm._一般検索,IFERROR(INDEX('在庫使用計画 (一般)'!$A$1:$BF$391,MATCH($C58,'在庫使用計画 (一般)'!$C$1:$C$391,0),MATCH(AV$1,'在庫使用計画 (一般)'!$A$1:$BF$1,0))*1,0),
_xlpm._法人検索,IFERROR(INDEX('在庫使用計画 (法人)'!$A$1:$BF$391,MATCH($C58,'在庫使用計画 (法人)'!$C$1:$C$391,0),MATCH(AV$1,'在庫使用計画 (法人)'!$A$1:$BF$1,0))*1,0),
_xlpm._合計,_xlpm._一般検索+_xlpm._法人検索,
IF(_xlpm._合計=0,"",_xlpm._合計)
)</f>
        <v>22</v>
      </c>
      <c r="AW58" s="224">
        <f>_xlfn.LET(
_xlpm._一般検索,IFERROR(INDEX('在庫使用計画 (一般)'!$A$1:$BF$391,MATCH($C58,'在庫使用計画 (一般)'!$C$1:$C$391,0),MATCH(AW$1,'在庫使用計画 (一般)'!$A$1:$BF$1,0))*1,0),
_xlpm._法人検索,IFERROR(INDEX('在庫使用計画 (法人)'!$A$1:$BF$391,MATCH($C58,'在庫使用計画 (法人)'!$C$1:$C$391,0),MATCH(AW$1,'在庫使用計画 (法人)'!$A$1:$BF$1,0))*1,0),
_xlpm._合計,_xlpm._一般検索+_xlpm._法人検索,
IF(_xlpm._合計=0,"",_xlpm._合計)
)</f>
        <v>17</v>
      </c>
      <c r="AX58" s="224" t="str">
        <f>_xlfn.LET(
_xlpm._一般検索,IFERROR(INDEX('在庫使用計画 (一般)'!$A$1:$BF$391,MATCH($C58,'在庫使用計画 (一般)'!$C$1:$C$391,0),MATCH(AX$1,'在庫使用計画 (一般)'!$A$1:$BF$1,0))*1,0),
_xlpm._法人検索,IFERROR(INDEX('在庫使用計画 (法人)'!$A$1:$BF$391,MATCH($C58,'在庫使用計画 (法人)'!$C$1:$C$391,0),MATCH(AX$1,'在庫使用計画 (法人)'!$A$1:$BF$1,0))*1,0),
_xlpm._合計,_xlpm._一般検索+_xlpm._法人検索,
IF(_xlpm._合計=0,"",_xlpm._合計)
)</f>
        <v/>
      </c>
      <c r="AY58" s="224" t="str">
        <f>_xlfn.LET(
_xlpm._一般検索,IFERROR(INDEX('在庫使用計画 (一般)'!$A$1:$BF$391,MATCH($C58,'在庫使用計画 (一般)'!$C$1:$C$391,0),MATCH(AY$1,'在庫使用計画 (一般)'!$A$1:$BF$1,0))*1,0),
_xlpm._法人検索,IFERROR(INDEX('在庫使用計画 (法人)'!$A$1:$BF$391,MATCH($C58,'在庫使用計画 (法人)'!$C$1:$C$391,0),MATCH(AY$1,'在庫使用計画 (法人)'!$A$1:$BF$1,0))*1,0),
_xlpm._合計,_xlpm._一般検索+_xlpm._法人検索,
IF(_xlpm._合計=0,"",_xlpm._合計)
)</f>
        <v/>
      </c>
      <c r="AZ58" s="224" t="str">
        <f>_xlfn.LET(
_xlpm._一般検索,IFERROR(INDEX('在庫使用計画 (一般)'!$A$1:$BF$391,MATCH($C58,'在庫使用計画 (一般)'!$C$1:$C$391,0),MATCH(AZ$1,'在庫使用計画 (一般)'!$A$1:$BF$1,0))*1,0),
_xlpm._法人検索,IFERROR(INDEX('在庫使用計画 (法人)'!$A$1:$BF$391,MATCH($C58,'在庫使用計画 (法人)'!$C$1:$C$391,0),MATCH(AZ$1,'在庫使用計画 (法人)'!$A$1:$BF$1,0))*1,0),
_xlpm._合計,_xlpm._一般検索+_xlpm._法人検索,
IF(_xlpm._合計=0,"",_xlpm._合計)
)</f>
        <v/>
      </c>
      <c r="BA58" s="224" t="str">
        <f>_xlfn.LET(
_xlpm._一般検索,IFERROR(INDEX('在庫使用計画 (一般)'!$A$1:$BF$391,MATCH($C58,'在庫使用計画 (一般)'!$C$1:$C$391,0),MATCH(BA$1,'在庫使用計画 (一般)'!$A$1:$BF$1,0))*1,0),
_xlpm._法人検索,IFERROR(INDEX('在庫使用計画 (法人)'!$A$1:$BF$391,MATCH($C58,'在庫使用計画 (法人)'!$C$1:$C$391,0),MATCH(BA$1,'在庫使用計画 (法人)'!$A$1:$BF$1,0))*1,0),
_xlpm._合計,_xlpm._一般検索+_xlpm._法人検索,
IF(_xlpm._合計=0,"",_xlpm._合計)
)</f>
        <v/>
      </c>
      <c r="BB58" s="224" t="str">
        <f>_xlfn.LET(
_xlpm._一般検索,IFERROR(INDEX('在庫使用計画 (一般)'!$A$1:$BF$391,MATCH($C58,'在庫使用計画 (一般)'!$C$1:$C$391,0),MATCH(BB$1,'在庫使用計画 (一般)'!$A$1:$BF$1,0))*1,0),
_xlpm._法人検索,IFERROR(INDEX('在庫使用計画 (法人)'!$A$1:$BF$391,MATCH($C58,'在庫使用計画 (法人)'!$C$1:$C$391,0),MATCH(BB$1,'在庫使用計画 (法人)'!$A$1:$BF$1,0))*1,0),
_xlpm._合計,_xlpm._一般検索+_xlpm._法人検索,
IF(_xlpm._合計=0,"",_xlpm._合計)
)</f>
        <v/>
      </c>
      <c r="BC58" s="224" t="str">
        <f>_xlfn.LET(
_xlpm._一般検索,IFERROR(INDEX('在庫使用計画 (一般)'!$A$1:$BF$391,MATCH($C58,'在庫使用計画 (一般)'!$C$1:$C$391,0),MATCH(BC$1,'在庫使用計画 (一般)'!$A$1:$BF$1,0))*1,0),
_xlpm._法人検索,IFERROR(INDEX('在庫使用計画 (法人)'!$A$1:$BF$391,MATCH($C58,'在庫使用計画 (法人)'!$C$1:$C$391,0),MATCH(BC$1,'在庫使用計画 (法人)'!$A$1:$BF$1,0))*1,0),
_xlpm._合計,_xlpm._一般検索+_xlpm._法人検索,
IF(_xlpm._合計=0,"",_xlpm._合計)
)</f>
        <v/>
      </c>
      <c r="BD58" s="224" t="str">
        <f>_xlfn.LET(
_xlpm._一般検索,IFERROR(INDEX('在庫使用計画 (一般)'!$A$1:$BF$391,MATCH($C58,'在庫使用計画 (一般)'!$C$1:$C$391,0),MATCH(BD$1,'在庫使用計画 (一般)'!$A$1:$BF$1,0))*1,0),
_xlpm._法人検索,IFERROR(INDEX('在庫使用計画 (法人)'!$A$1:$BF$391,MATCH($C58,'在庫使用計画 (法人)'!$C$1:$C$391,0),MATCH(BD$1,'在庫使用計画 (法人)'!$A$1:$BF$1,0))*1,0),
_xlpm._合計,_xlpm._一般検索+_xlpm._法人検索,
IF(_xlpm._合計=0,"",_xlpm._合計)
)</f>
        <v/>
      </c>
      <c r="BE58" s="224" t="str">
        <f>_xlfn.LET(
_xlpm._一般検索,IFERROR(INDEX('在庫使用計画 (一般)'!$A$1:$BF$391,MATCH($C58,'在庫使用計画 (一般)'!$C$1:$C$391,0),MATCH(BE$1,'在庫使用計画 (一般)'!$A$1:$BF$1,0))*1,0),
_xlpm._法人検索,IFERROR(INDEX('在庫使用計画 (法人)'!$A$1:$BF$391,MATCH($C58,'在庫使用計画 (法人)'!$C$1:$C$391,0),MATCH(BE$1,'在庫使用計画 (法人)'!$A$1:$BF$1,0))*1,0),
_xlpm._合計,_xlpm._一般検索+_xlpm._法人検索,
IF(_xlpm._合計=0,"",_xlpm._合計)
)</f>
        <v/>
      </c>
      <c r="BF58" s="224" t="str">
        <f>_xlfn.LET(
_xlpm._一般検索,IFERROR(INDEX('在庫使用計画 (一般)'!$A$1:$BF$391,MATCH($C58,'在庫使用計画 (一般)'!$C$1:$C$391,0),MATCH(BF$1,'在庫使用計画 (一般)'!$A$1:$BF$1,0))*1,0),
_xlpm._法人検索,IFERROR(INDEX('在庫使用計画 (法人)'!$A$1:$BF$391,MATCH($C58,'在庫使用計画 (法人)'!$C$1:$C$391,0),MATCH(BF$1,'在庫使用計画 (法人)'!$A$1:$BF$1,0))*1,0),
_xlpm._合計,_xlpm._一般検索+_xlpm._法人検索,
IF(_xlpm._合計=0,"",_xlpm._合計)
)</f>
        <v/>
      </c>
      <c r="BG58" s="237" t="str">
        <f>_xlfn.LET(
_xlpm._一般検索,IFERROR(INDEX('在庫使用計画 (一般)'!$A$1:$BF$391,MATCH($C58,'在庫使用計画 (一般)'!$C$1:$C$391,0),MATCH(BG$1,'在庫使用計画 (一般)'!$A$1:$BF$1,0))*1,0),
_xlpm._法人検索,IFERROR(INDEX('在庫使用計画 (法人)'!$A$1:$BF$391,MATCH($C58,'在庫使用計画 (法人)'!$C$1:$C$391,0),MATCH(BG$1,'在庫使用計画 (法人)'!$A$1:$BF$1,0))*1,0),
_xlpm._合計,_xlpm._一般検索+_xlpm._法人検索,
IF(_xlpm._合計=0,"",_xlpm._合計)
)</f>
        <v/>
      </c>
      <c r="BH58" s="804" t="str">
        <f>_xlfn.LET(
_xlpm._一般検索,IFERROR(INDEX('在庫使用計画 (一般)'!$A$1:$BF$391,MATCH($C58,'在庫使用計画 (一般)'!$C$1:$C$391,0),MATCH(BH$1,'在庫使用計画 (一般)'!$A$1:$BF$1,0))*1,0),
_xlpm._法人検索,IFERROR(INDEX('在庫使用計画 (法人)'!$A$1:$BF$391,MATCH($C58,'在庫使用計画 (法人)'!$C$1:$C$391,0),MATCH(BH$1,'在庫使用計画 (法人)'!$A$1:$BF$1,0))*1,0),
_xlpm._合計,_xlpm._一般検索+_xlpm._法人検索,
IF(_xlpm._合計=0,"",_xlpm._合計)
)</f>
        <v/>
      </c>
      <c r="BI58" s="224" t="str">
        <f>_xlfn.LET(
_xlpm._一般検索,IFERROR(INDEX('在庫使用計画 (一般)'!$A$1:$BF$391,MATCH($C58,'在庫使用計画 (一般)'!$C$1:$C$391,0),MATCH(BI$1,'在庫使用計画 (一般)'!$A$1:$BF$1,0))*1,0),
_xlpm._法人検索,IFERROR(INDEX('在庫使用計画 (法人)'!$A$1:$BF$391,MATCH($C58,'在庫使用計画 (法人)'!$C$1:$C$391,0),MATCH(BI$1,'在庫使用計画 (法人)'!$A$1:$BF$1,0))*1,0),
_xlpm._合計,_xlpm._一般検索+_xlpm._法人検索,
IF(_xlpm._合計=0,"",_xlpm._合計)
)</f>
        <v/>
      </c>
      <c r="BJ58" s="224" t="str">
        <f>_xlfn.LET(
_xlpm._一般検索,IFERROR(INDEX('在庫使用計画 (一般)'!$A$1:$BF$391,MATCH($C58,'在庫使用計画 (一般)'!$C$1:$C$391,0),MATCH(BJ$1,'在庫使用計画 (一般)'!$A$1:$BF$1,0))*1,0),
_xlpm._法人検索,IFERROR(INDEX('在庫使用計画 (法人)'!$A$1:$BF$391,MATCH($C58,'在庫使用計画 (法人)'!$C$1:$C$391,0),MATCH(BJ$1,'在庫使用計画 (法人)'!$A$1:$BF$1,0))*1,0),
_xlpm._合計,_xlpm._一般検索+_xlpm._法人検索,
IF(_xlpm._合計=0,"",_xlpm._合計)
)</f>
        <v/>
      </c>
      <c r="BK58" s="224" t="str">
        <f>_xlfn.LET(
_xlpm._一般検索,IFERROR(INDEX('在庫使用計画 (一般)'!$A$1:$BF$391,MATCH($C58,'在庫使用計画 (一般)'!$C$1:$C$391,0),MATCH(BK$1,'在庫使用計画 (一般)'!$A$1:$BF$1,0))*1,0),
_xlpm._法人検索,IFERROR(INDEX('在庫使用計画 (法人)'!$A$1:$BF$391,MATCH($C58,'在庫使用計画 (法人)'!$C$1:$C$391,0),MATCH(BK$1,'在庫使用計画 (法人)'!$A$1:$BF$1,0))*1,0),
_xlpm._合計,_xlpm._一般検索+_xlpm._法人検索,
IF(_xlpm._合計=0,"",_xlpm._合計)
)</f>
        <v/>
      </c>
      <c r="BL58" s="224" t="str">
        <f>_xlfn.LET(
_xlpm._一般検索,IFERROR(INDEX('在庫使用計画 (一般)'!$A$1:$BF$391,MATCH($C58,'在庫使用計画 (一般)'!$C$1:$C$391,0),MATCH(BL$1,'在庫使用計画 (一般)'!$A$1:$BF$1,0))*1,0),
_xlpm._法人検索,IFERROR(INDEX('在庫使用計画 (法人)'!$A$1:$BF$391,MATCH($C58,'在庫使用計画 (法人)'!$C$1:$C$391,0),MATCH(BL$1,'在庫使用計画 (法人)'!$A$1:$BF$1,0))*1,0),
_xlpm._合計,_xlpm._一般検索+_xlpm._法人検索,
IF(_xlpm._合計=0,"",_xlpm._合計)
)</f>
        <v/>
      </c>
      <c r="BM58" s="224" t="str">
        <f>_xlfn.LET(
_xlpm._一般検索,IFERROR(INDEX('在庫使用計画 (一般)'!$A$1:$BF$391,MATCH($C58,'在庫使用計画 (一般)'!$C$1:$C$391,0),MATCH(BM$1,'在庫使用計画 (一般)'!$A$1:$BF$1,0))*1,0),
_xlpm._法人検索,IFERROR(INDEX('在庫使用計画 (法人)'!$A$1:$BF$391,MATCH($C58,'在庫使用計画 (法人)'!$C$1:$C$391,0),MATCH(BM$1,'在庫使用計画 (法人)'!$A$1:$BF$1,0))*1,0),
_xlpm._合計,_xlpm._一般検索+_xlpm._法人検索,
IF(_xlpm._合計=0,"",_xlpm._合計)
)</f>
        <v/>
      </c>
      <c r="BN58" s="224" t="str">
        <f>_xlfn.LET(
_xlpm._一般検索,IFERROR(INDEX('在庫使用計画 (一般)'!$A$1:$BF$391,MATCH($C58,'在庫使用計画 (一般)'!$C$1:$C$391,0),MATCH(BN$1,'在庫使用計画 (一般)'!$A$1:$BF$1,0))*1,0),
_xlpm._法人検索,IFERROR(INDEX('在庫使用計画 (法人)'!$A$1:$BF$391,MATCH($C58,'在庫使用計画 (法人)'!$C$1:$C$391,0),MATCH(BN$1,'在庫使用計画 (法人)'!$A$1:$BF$1,0))*1,0),
_xlpm._合計,_xlpm._一般検索+_xlpm._法人検索,
IF(_xlpm._合計=0,"",_xlpm._合計)
)</f>
        <v/>
      </c>
      <c r="BO58" s="224" t="str">
        <f>_xlfn.LET(
_xlpm._一般検索,IFERROR(INDEX('在庫使用計画 (一般)'!$A$1:$BF$391,MATCH($C58,'在庫使用計画 (一般)'!$C$1:$C$391,0),MATCH(BO$1,'在庫使用計画 (一般)'!$A$1:$BF$1,0))*1,0),
_xlpm._法人検索,IFERROR(INDEX('在庫使用計画 (法人)'!$A$1:$BF$391,MATCH($C58,'在庫使用計画 (法人)'!$C$1:$C$391,0),MATCH(BO$1,'在庫使用計画 (法人)'!$A$1:$BF$1,0))*1,0),
_xlpm._合計,_xlpm._一般検索+_xlpm._法人検索,
IF(_xlpm._合計=0,"",_xlpm._合計)
)</f>
        <v/>
      </c>
      <c r="BP58" s="224" t="str">
        <f>_xlfn.LET(
_xlpm._一般検索,IFERROR(INDEX('在庫使用計画 (一般)'!$A$1:$BF$391,MATCH($C58,'在庫使用計画 (一般)'!$C$1:$C$391,0),MATCH(BP$1,'在庫使用計画 (一般)'!$A$1:$BF$1,0))*1,0),
_xlpm._法人検索,IFERROR(INDEX('在庫使用計画 (法人)'!$A$1:$BF$391,MATCH($C58,'在庫使用計画 (法人)'!$C$1:$C$391,0),MATCH(BP$1,'在庫使用計画 (法人)'!$A$1:$BF$1,0))*1,0),
_xlpm._合計,_xlpm._一般検索+_xlpm._法人検索,
IF(_xlpm._合計=0,"",_xlpm._合計)
)</f>
        <v/>
      </c>
      <c r="BQ58" s="224" t="str">
        <f>_xlfn.LET(
_xlpm._一般検索,IFERROR(INDEX('在庫使用計画 (一般)'!$A$1:$BF$391,MATCH($C58,'在庫使用計画 (一般)'!$C$1:$C$391,0),MATCH(BQ$1,'在庫使用計画 (一般)'!$A$1:$BF$1,0))*1,0),
_xlpm._法人検索,IFERROR(INDEX('在庫使用計画 (法人)'!$A$1:$BF$391,MATCH($C58,'在庫使用計画 (法人)'!$C$1:$C$391,0),MATCH(BQ$1,'在庫使用計画 (法人)'!$A$1:$BF$1,0))*1,0),
_xlpm._合計,_xlpm._一般検索+_xlpm._法人検索,
IF(_xlpm._合計=0,"",_xlpm._合計)
)</f>
        <v/>
      </c>
      <c r="BR58" s="224" t="str">
        <f>_xlfn.LET(
_xlpm._一般検索,IFERROR(INDEX('在庫使用計画 (一般)'!$A$1:$BF$391,MATCH($C58,'在庫使用計画 (一般)'!$C$1:$C$391,0),MATCH(BR$1,'在庫使用計画 (一般)'!$A$1:$BF$1,0))*1,0),
_xlpm._法人検索,IFERROR(INDEX('在庫使用計画 (法人)'!$A$1:$BF$391,MATCH($C58,'在庫使用計画 (法人)'!$C$1:$C$391,0),MATCH(BR$1,'在庫使用計画 (法人)'!$A$1:$BF$1,0))*1,0),
_xlpm._合計,_xlpm._一般検索+_xlpm._法人検索,
IF(_xlpm._合計=0,"",_xlpm._合計)
)</f>
        <v/>
      </c>
      <c r="BS58" s="805" t="str">
        <f>_xlfn.LET(
_xlpm._一般検索,IFERROR(INDEX('在庫使用計画 (一般)'!$A$1:$BF$391,MATCH($C58,'在庫使用計画 (一般)'!$C$1:$C$391,0),MATCH(BS$1,'在庫使用計画 (一般)'!$A$1:$BF$1,0))*1,0),
_xlpm._法人検索,IFERROR(INDEX('在庫使用計画 (法人)'!$A$1:$BF$391,MATCH($C58,'在庫使用計画 (法人)'!$C$1:$C$391,0),MATCH(BS$1,'在庫使用計画 (法人)'!$A$1:$BF$1,0))*1,0),
_xlpm._合計,_xlpm._一般検索+_xlpm._法人検索,
IF(_xlpm._合計=0,"",_xlpm._合計)
)</f>
        <v/>
      </c>
      <c r="BT58" s="21"/>
    </row>
    <row r="59" spans="1:72" customFormat="1" ht="18.75" customHeight="1">
      <c r="A59" s="1061"/>
      <c r="B59" s="28" t="str">
        <v/>
      </c>
      <c r="C59" s="25"/>
      <c r="D59" s="2156" t="str">
        <v/>
      </c>
      <c r="E59" s="34"/>
      <c r="F59" s="68"/>
      <c r="G59" s="74" t="str">
        <v/>
      </c>
      <c r="H59" s="38" t="str">
        <v/>
      </c>
      <c r="I59" s="38" t="str" cm="1">
        <f t="array" ref="I59">IF($C59="","",
_xlfn.LET(
  _xlpm._見出し,$A$1:$BT$1,
  _xlpm._行,$A59:$BT59,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
      </c>
      <c r="J59" s="74" t="str" cm="1">
        <f t="array" ref="J59">_xlfn.LET(
  _xlpm._見出し,$A$1:$BS$1,
  _xlpm._行,$A59:$BS59,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IF($C59="","",_xlpm._四点五月計画合計)
)</f>
        <v/>
      </c>
      <c r="K59" s="1458" t="str" cm="1">
        <f t="array" ref="K59">_xlfn.IFS(
  $C59="","",
  $G59="","発売前？",
  $G59=0,"在庫なし",
  TRUE,
  IFERROR(
    _xlfn.LET(
      _xlpm._在庫注残,     $G59,
      _xlpm._しきい値,     _xlpm._在庫注残 * 0.75,
      _xlpm._見出し元,     $L$1:$BU$1,
      _xlpm._計画,         $L59:$BU59,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
      </c>
      <c r="L59" s="38"/>
      <c r="M59" s="38"/>
      <c r="N59" s="38"/>
      <c r="O59" s="38"/>
      <c r="P59" s="38"/>
      <c r="Q59" s="38"/>
      <c r="R59" s="38"/>
      <c r="S59" s="38"/>
      <c r="T59" s="219"/>
      <c r="U59" s="219"/>
      <c r="V59" s="219"/>
      <c r="W59" s="219"/>
      <c r="X59" s="224"/>
      <c r="Y59" s="335"/>
      <c r="Z59" s="335"/>
      <c r="AA59" s="335"/>
      <c r="AB59" s="335"/>
      <c r="AC59" s="334"/>
      <c r="AD59" s="334" t="s">
        <v>21</v>
      </c>
      <c r="AE59" s="334" t="s">
        <v>21</v>
      </c>
      <c r="AF59" s="334" t="s">
        <v>21</v>
      </c>
      <c r="AG59" s="334" t="s">
        <v>21</v>
      </c>
      <c r="AH59" s="224" t="s">
        <v>21</v>
      </c>
      <c r="AI59" s="825" t="s">
        <v>21</v>
      </c>
      <c r="AJ59" s="804" t="s">
        <v>21</v>
      </c>
      <c r="AK59" s="224" t="s">
        <v>21</v>
      </c>
      <c r="AL59" s="224" t="s">
        <v>21</v>
      </c>
      <c r="AM59" s="224" t="s">
        <v>21</v>
      </c>
      <c r="AN59" s="224" t="str">
        <f>_xlfn.LET(
_xlpm._一般検索,IFERROR(INDEX('在庫使用計画 (一般)'!$A$1:$BF$391,MATCH($C59,'在庫使用計画 (一般)'!$C$1:$C$391,0),MATCH(AN$1,'在庫使用計画 (一般)'!$A$1:$BF$1,0))*1,0),
_xlpm._法人検索,IFERROR(INDEX('在庫使用計画 (法人)'!$A$1:$BF$391,MATCH($C59,'在庫使用計画 (法人)'!$C$1:$C$391,0),MATCH(AN$1,'在庫使用計画 (法人)'!$A$1:$BF$1,0))*1,0),
_xlpm._合計,_xlpm._一般検索+_xlpm._法人検索,
IF(_xlpm._合計=0,"",_xlpm._合計)
)</f>
        <v/>
      </c>
      <c r="AO59" s="224" t="str">
        <f>_xlfn.LET(
_xlpm._一般検索,IFERROR(INDEX('在庫使用計画 (一般)'!$A$1:$BF$391,MATCH($C59,'在庫使用計画 (一般)'!$C$1:$C$391,0),MATCH(AO$1,'在庫使用計画 (一般)'!$A$1:$BF$1,0))*1,0),
_xlpm._法人検索,IFERROR(INDEX('在庫使用計画 (法人)'!$A$1:$BF$391,MATCH($C59,'在庫使用計画 (法人)'!$C$1:$C$391,0),MATCH(AO$1,'在庫使用計画 (法人)'!$A$1:$BF$1,0))*1,0),
_xlpm._合計,_xlpm._一般検索+_xlpm._法人検索,
IF(_xlpm._合計=0,"",_xlpm._合計)
)</f>
        <v/>
      </c>
      <c r="AP59" s="224" t="str">
        <f>_xlfn.LET(
_xlpm._一般検索,IFERROR(INDEX('在庫使用計画 (一般)'!$A$1:$BF$391,MATCH($C59,'在庫使用計画 (一般)'!$C$1:$C$391,0),MATCH(AP$1,'在庫使用計画 (一般)'!$A$1:$BF$1,0))*1,0),
_xlpm._法人検索,IFERROR(INDEX('在庫使用計画 (法人)'!$A$1:$BF$391,MATCH($C59,'在庫使用計画 (法人)'!$C$1:$C$391,0),MATCH(AP$1,'在庫使用計画 (法人)'!$A$1:$BF$1,0))*1,0),
_xlpm._合計,_xlpm._一般検索+_xlpm._法人検索,
IF(_xlpm._合計=0,"",_xlpm._合計)
)</f>
        <v/>
      </c>
      <c r="AQ59" s="224" t="str">
        <f>_xlfn.LET(
_xlpm._一般検索,IFERROR(INDEX('在庫使用計画 (一般)'!$A$1:$BF$391,MATCH($C59,'在庫使用計画 (一般)'!$C$1:$C$391,0),MATCH(AQ$1,'在庫使用計画 (一般)'!$A$1:$BF$1,0))*1,0),
_xlpm._法人検索,IFERROR(INDEX('在庫使用計画 (法人)'!$A$1:$BF$391,MATCH($C59,'在庫使用計画 (法人)'!$C$1:$C$391,0),MATCH(AQ$1,'在庫使用計画 (法人)'!$A$1:$BF$1,0))*1,0),
_xlpm._合計,_xlpm._一般検索+_xlpm._法人検索,
IF(_xlpm._合計=0,"",_xlpm._合計)
)</f>
        <v/>
      </c>
      <c r="AR59" s="224" t="str">
        <f>_xlfn.LET(
_xlpm._一般検索,IFERROR(INDEX('在庫使用計画 (一般)'!$A$1:$BF$391,MATCH($C59,'在庫使用計画 (一般)'!$C$1:$C$391,0),MATCH(AR$1,'在庫使用計画 (一般)'!$A$1:$BF$1,0))*1,0),
_xlpm._法人検索,IFERROR(INDEX('在庫使用計画 (法人)'!$A$1:$BF$391,MATCH($C59,'在庫使用計画 (法人)'!$C$1:$C$391,0),MATCH(AR$1,'在庫使用計画 (法人)'!$A$1:$BF$1,0))*1,0),
_xlpm._合計,_xlpm._一般検索+_xlpm._法人検索,
IF(_xlpm._合計=0,"",_xlpm._合計)
)</f>
        <v/>
      </c>
      <c r="AS59" s="224" t="str">
        <f>_xlfn.LET(
_xlpm._一般検索,IFERROR(INDEX('在庫使用計画 (一般)'!$A$1:$BF$391,MATCH($C59,'在庫使用計画 (一般)'!$C$1:$C$391,0),MATCH(AS$1,'在庫使用計画 (一般)'!$A$1:$BF$1,0))*1,0),
_xlpm._法人検索,IFERROR(INDEX('在庫使用計画 (法人)'!$A$1:$BF$391,MATCH($C59,'在庫使用計画 (法人)'!$C$1:$C$391,0),MATCH(AS$1,'在庫使用計画 (法人)'!$A$1:$BF$1,0))*1,0),
_xlpm._合計,_xlpm._一般検索+_xlpm._法人検索,
IF(_xlpm._合計=0,"",_xlpm._合計)
)</f>
        <v/>
      </c>
      <c r="AT59" s="224" t="str">
        <f>_xlfn.LET(
_xlpm._一般検索,IFERROR(INDEX('在庫使用計画 (一般)'!$A$1:$BF$391,MATCH($C59,'在庫使用計画 (一般)'!$C$1:$C$391,0),MATCH(AT$1,'在庫使用計画 (一般)'!$A$1:$BF$1,0))*1,0),
_xlpm._法人検索,IFERROR(INDEX('在庫使用計画 (法人)'!$A$1:$BF$391,MATCH($C59,'在庫使用計画 (法人)'!$C$1:$C$391,0),MATCH(AT$1,'在庫使用計画 (法人)'!$A$1:$BF$1,0))*1,0),
_xlpm._合計,_xlpm._一般検索+_xlpm._法人検索,
IF(_xlpm._合計=0,"",_xlpm._合計)
)</f>
        <v/>
      </c>
      <c r="AU59" s="805" t="str">
        <f>_xlfn.LET(
_xlpm._一般検索,IFERROR(INDEX('在庫使用計画 (一般)'!$A$1:$BF$391,MATCH($C59,'在庫使用計画 (一般)'!$C$1:$C$391,0),MATCH(AU$1,'在庫使用計画 (一般)'!$A$1:$BF$1,0))*1,0),
_xlpm._法人検索,IFERROR(INDEX('在庫使用計画 (法人)'!$A$1:$BF$391,MATCH($C59,'在庫使用計画 (法人)'!$C$1:$C$391,0),MATCH(AU$1,'在庫使用計画 (法人)'!$A$1:$BF$1,0))*1,0),
_xlpm._合計,_xlpm._一般検索+_xlpm._法人検索,
IF(_xlpm._合計=0,"",_xlpm._合計)
)</f>
        <v/>
      </c>
      <c r="AV59" s="244" t="str">
        <f>_xlfn.LET(
_xlpm._一般検索,IFERROR(INDEX('在庫使用計画 (一般)'!$A$1:$BF$391,MATCH($C59,'在庫使用計画 (一般)'!$C$1:$C$391,0),MATCH(AV$1,'在庫使用計画 (一般)'!$A$1:$BF$1,0))*1,0),
_xlpm._法人検索,IFERROR(INDEX('在庫使用計画 (法人)'!$A$1:$BF$391,MATCH($C59,'在庫使用計画 (法人)'!$C$1:$C$391,0),MATCH(AV$1,'在庫使用計画 (法人)'!$A$1:$BF$1,0))*1,0),
_xlpm._合計,_xlpm._一般検索+_xlpm._法人検索,
IF(_xlpm._合計=0,"",_xlpm._合計)
)</f>
        <v/>
      </c>
      <c r="AW59" s="224" t="str">
        <f>_xlfn.LET(
_xlpm._一般検索,IFERROR(INDEX('在庫使用計画 (一般)'!$A$1:$BF$391,MATCH($C59,'在庫使用計画 (一般)'!$C$1:$C$391,0),MATCH(AW$1,'在庫使用計画 (一般)'!$A$1:$BF$1,0))*1,0),
_xlpm._法人検索,IFERROR(INDEX('在庫使用計画 (法人)'!$A$1:$BF$391,MATCH($C59,'在庫使用計画 (法人)'!$C$1:$C$391,0),MATCH(AW$1,'在庫使用計画 (法人)'!$A$1:$BF$1,0))*1,0),
_xlpm._合計,_xlpm._一般検索+_xlpm._法人検索,
IF(_xlpm._合計=0,"",_xlpm._合計)
)</f>
        <v/>
      </c>
      <c r="AX59" s="224" t="str">
        <f>_xlfn.LET(
_xlpm._一般検索,IFERROR(INDEX('在庫使用計画 (一般)'!$A$1:$BF$391,MATCH($C59,'在庫使用計画 (一般)'!$C$1:$C$391,0),MATCH(AX$1,'在庫使用計画 (一般)'!$A$1:$BF$1,0))*1,0),
_xlpm._法人検索,IFERROR(INDEX('在庫使用計画 (法人)'!$A$1:$BF$391,MATCH($C59,'在庫使用計画 (法人)'!$C$1:$C$391,0),MATCH(AX$1,'在庫使用計画 (法人)'!$A$1:$BF$1,0))*1,0),
_xlpm._合計,_xlpm._一般検索+_xlpm._法人検索,
IF(_xlpm._合計=0,"",_xlpm._合計)
)</f>
        <v/>
      </c>
      <c r="AY59" s="224" t="str">
        <f>_xlfn.LET(
_xlpm._一般検索,IFERROR(INDEX('在庫使用計画 (一般)'!$A$1:$BF$391,MATCH($C59,'在庫使用計画 (一般)'!$C$1:$C$391,0),MATCH(AY$1,'在庫使用計画 (一般)'!$A$1:$BF$1,0))*1,0),
_xlpm._法人検索,IFERROR(INDEX('在庫使用計画 (法人)'!$A$1:$BF$391,MATCH($C59,'在庫使用計画 (法人)'!$C$1:$C$391,0),MATCH(AY$1,'在庫使用計画 (法人)'!$A$1:$BF$1,0))*1,0),
_xlpm._合計,_xlpm._一般検索+_xlpm._法人検索,
IF(_xlpm._合計=0,"",_xlpm._合計)
)</f>
        <v/>
      </c>
      <c r="AZ59" s="224" t="str">
        <f>_xlfn.LET(
_xlpm._一般検索,IFERROR(INDEX('在庫使用計画 (一般)'!$A$1:$BF$391,MATCH($C59,'在庫使用計画 (一般)'!$C$1:$C$391,0),MATCH(AZ$1,'在庫使用計画 (一般)'!$A$1:$BF$1,0))*1,0),
_xlpm._法人検索,IFERROR(INDEX('在庫使用計画 (法人)'!$A$1:$BF$391,MATCH($C59,'在庫使用計画 (法人)'!$C$1:$C$391,0),MATCH(AZ$1,'在庫使用計画 (法人)'!$A$1:$BF$1,0))*1,0),
_xlpm._合計,_xlpm._一般検索+_xlpm._法人検索,
IF(_xlpm._合計=0,"",_xlpm._合計)
)</f>
        <v/>
      </c>
      <c r="BA59" s="224" t="str">
        <f>_xlfn.LET(
_xlpm._一般検索,IFERROR(INDEX('在庫使用計画 (一般)'!$A$1:$BF$391,MATCH($C59,'在庫使用計画 (一般)'!$C$1:$C$391,0),MATCH(BA$1,'在庫使用計画 (一般)'!$A$1:$BF$1,0))*1,0),
_xlpm._法人検索,IFERROR(INDEX('在庫使用計画 (法人)'!$A$1:$BF$391,MATCH($C59,'在庫使用計画 (法人)'!$C$1:$C$391,0),MATCH(BA$1,'在庫使用計画 (法人)'!$A$1:$BF$1,0))*1,0),
_xlpm._合計,_xlpm._一般検索+_xlpm._法人検索,
IF(_xlpm._合計=0,"",_xlpm._合計)
)</f>
        <v/>
      </c>
      <c r="BB59" s="224" t="str">
        <f>_xlfn.LET(
_xlpm._一般検索,IFERROR(INDEX('在庫使用計画 (一般)'!$A$1:$BF$391,MATCH($C59,'在庫使用計画 (一般)'!$C$1:$C$391,0),MATCH(BB$1,'在庫使用計画 (一般)'!$A$1:$BF$1,0))*1,0),
_xlpm._法人検索,IFERROR(INDEX('在庫使用計画 (法人)'!$A$1:$BF$391,MATCH($C59,'在庫使用計画 (法人)'!$C$1:$C$391,0),MATCH(BB$1,'在庫使用計画 (法人)'!$A$1:$BF$1,0))*1,0),
_xlpm._合計,_xlpm._一般検索+_xlpm._法人検索,
IF(_xlpm._合計=0,"",_xlpm._合計)
)</f>
        <v/>
      </c>
      <c r="BC59" s="224" t="str">
        <f>_xlfn.LET(
_xlpm._一般検索,IFERROR(INDEX('在庫使用計画 (一般)'!$A$1:$BF$391,MATCH($C59,'在庫使用計画 (一般)'!$C$1:$C$391,0),MATCH(BC$1,'在庫使用計画 (一般)'!$A$1:$BF$1,0))*1,0),
_xlpm._法人検索,IFERROR(INDEX('在庫使用計画 (法人)'!$A$1:$BF$391,MATCH($C59,'在庫使用計画 (法人)'!$C$1:$C$391,0),MATCH(BC$1,'在庫使用計画 (法人)'!$A$1:$BF$1,0))*1,0),
_xlpm._合計,_xlpm._一般検索+_xlpm._法人検索,
IF(_xlpm._合計=0,"",_xlpm._合計)
)</f>
        <v/>
      </c>
      <c r="BD59" s="224" t="str">
        <f>_xlfn.LET(
_xlpm._一般検索,IFERROR(INDEX('在庫使用計画 (一般)'!$A$1:$BF$391,MATCH($C59,'在庫使用計画 (一般)'!$C$1:$C$391,0),MATCH(BD$1,'在庫使用計画 (一般)'!$A$1:$BF$1,0))*1,0),
_xlpm._法人検索,IFERROR(INDEX('在庫使用計画 (法人)'!$A$1:$BF$391,MATCH($C59,'在庫使用計画 (法人)'!$C$1:$C$391,0),MATCH(BD$1,'在庫使用計画 (法人)'!$A$1:$BF$1,0))*1,0),
_xlpm._合計,_xlpm._一般検索+_xlpm._法人検索,
IF(_xlpm._合計=0,"",_xlpm._合計)
)</f>
        <v/>
      </c>
      <c r="BE59" s="224" t="str">
        <f>_xlfn.LET(
_xlpm._一般検索,IFERROR(INDEX('在庫使用計画 (一般)'!$A$1:$BF$391,MATCH($C59,'在庫使用計画 (一般)'!$C$1:$C$391,0),MATCH(BE$1,'在庫使用計画 (一般)'!$A$1:$BF$1,0))*1,0),
_xlpm._法人検索,IFERROR(INDEX('在庫使用計画 (法人)'!$A$1:$BF$391,MATCH($C59,'在庫使用計画 (法人)'!$C$1:$C$391,0),MATCH(BE$1,'在庫使用計画 (法人)'!$A$1:$BF$1,0))*1,0),
_xlpm._合計,_xlpm._一般検索+_xlpm._法人検索,
IF(_xlpm._合計=0,"",_xlpm._合計)
)</f>
        <v/>
      </c>
      <c r="BF59" s="224" t="str">
        <f>_xlfn.LET(
_xlpm._一般検索,IFERROR(INDEX('在庫使用計画 (一般)'!$A$1:$BF$391,MATCH($C59,'在庫使用計画 (一般)'!$C$1:$C$391,0),MATCH(BF$1,'在庫使用計画 (一般)'!$A$1:$BF$1,0))*1,0),
_xlpm._法人検索,IFERROR(INDEX('在庫使用計画 (法人)'!$A$1:$BF$391,MATCH($C59,'在庫使用計画 (法人)'!$C$1:$C$391,0),MATCH(BF$1,'在庫使用計画 (法人)'!$A$1:$BF$1,0))*1,0),
_xlpm._合計,_xlpm._一般検索+_xlpm._法人検索,
IF(_xlpm._合計=0,"",_xlpm._合計)
)</f>
        <v/>
      </c>
      <c r="BG59" s="237" t="str">
        <f>_xlfn.LET(
_xlpm._一般検索,IFERROR(INDEX('在庫使用計画 (一般)'!$A$1:$BF$391,MATCH($C59,'在庫使用計画 (一般)'!$C$1:$C$391,0),MATCH(BG$1,'在庫使用計画 (一般)'!$A$1:$BF$1,0))*1,0),
_xlpm._法人検索,IFERROR(INDEX('在庫使用計画 (法人)'!$A$1:$BF$391,MATCH($C59,'在庫使用計画 (法人)'!$C$1:$C$391,0),MATCH(BG$1,'在庫使用計画 (法人)'!$A$1:$BF$1,0))*1,0),
_xlpm._合計,_xlpm._一般検索+_xlpm._法人検索,
IF(_xlpm._合計=0,"",_xlpm._合計)
)</f>
        <v/>
      </c>
      <c r="BH59" s="804" t="str">
        <f>_xlfn.LET(
_xlpm._一般検索,IFERROR(INDEX('在庫使用計画 (一般)'!$A$1:$BF$391,MATCH($C59,'在庫使用計画 (一般)'!$C$1:$C$391,0),MATCH(BH$1,'在庫使用計画 (一般)'!$A$1:$BF$1,0))*1,0),
_xlpm._法人検索,IFERROR(INDEX('在庫使用計画 (法人)'!$A$1:$BF$391,MATCH($C59,'在庫使用計画 (法人)'!$C$1:$C$391,0),MATCH(BH$1,'在庫使用計画 (法人)'!$A$1:$BF$1,0))*1,0),
_xlpm._合計,_xlpm._一般検索+_xlpm._法人検索,
IF(_xlpm._合計=0,"",_xlpm._合計)
)</f>
        <v/>
      </c>
      <c r="BI59" s="224" t="str">
        <f>_xlfn.LET(
_xlpm._一般検索,IFERROR(INDEX('在庫使用計画 (一般)'!$A$1:$BF$391,MATCH($C59,'在庫使用計画 (一般)'!$C$1:$C$391,0),MATCH(BI$1,'在庫使用計画 (一般)'!$A$1:$BF$1,0))*1,0),
_xlpm._法人検索,IFERROR(INDEX('在庫使用計画 (法人)'!$A$1:$BF$391,MATCH($C59,'在庫使用計画 (法人)'!$C$1:$C$391,0),MATCH(BI$1,'在庫使用計画 (法人)'!$A$1:$BF$1,0))*1,0),
_xlpm._合計,_xlpm._一般検索+_xlpm._法人検索,
IF(_xlpm._合計=0,"",_xlpm._合計)
)</f>
        <v/>
      </c>
      <c r="BJ59" s="224" t="str">
        <f>_xlfn.LET(
_xlpm._一般検索,IFERROR(INDEX('在庫使用計画 (一般)'!$A$1:$BF$391,MATCH($C59,'在庫使用計画 (一般)'!$C$1:$C$391,0),MATCH(BJ$1,'在庫使用計画 (一般)'!$A$1:$BF$1,0))*1,0),
_xlpm._法人検索,IFERROR(INDEX('在庫使用計画 (法人)'!$A$1:$BF$391,MATCH($C59,'在庫使用計画 (法人)'!$C$1:$C$391,0),MATCH(BJ$1,'在庫使用計画 (法人)'!$A$1:$BF$1,0))*1,0),
_xlpm._合計,_xlpm._一般検索+_xlpm._法人検索,
IF(_xlpm._合計=0,"",_xlpm._合計)
)</f>
        <v/>
      </c>
      <c r="BK59" s="224" t="str">
        <f>_xlfn.LET(
_xlpm._一般検索,IFERROR(INDEX('在庫使用計画 (一般)'!$A$1:$BF$391,MATCH($C59,'在庫使用計画 (一般)'!$C$1:$C$391,0),MATCH(BK$1,'在庫使用計画 (一般)'!$A$1:$BF$1,0))*1,0),
_xlpm._法人検索,IFERROR(INDEX('在庫使用計画 (法人)'!$A$1:$BF$391,MATCH($C59,'在庫使用計画 (法人)'!$C$1:$C$391,0),MATCH(BK$1,'在庫使用計画 (法人)'!$A$1:$BF$1,0))*1,0),
_xlpm._合計,_xlpm._一般検索+_xlpm._法人検索,
IF(_xlpm._合計=0,"",_xlpm._合計)
)</f>
        <v/>
      </c>
      <c r="BL59" s="224" t="str">
        <f>_xlfn.LET(
_xlpm._一般検索,IFERROR(INDEX('在庫使用計画 (一般)'!$A$1:$BF$391,MATCH($C59,'在庫使用計画 (一般)'!$C$1:$C$391,0),MATCH(BL$1,'在庫使用計画 (一般)'!$A$1:$BF$1,0))*1,0),
_xlpm._法人検索,IFERROR(INDEX('在庫使用計画 (法人)'!$A$1:$BF$391,MATCH($C59,'在庫使用計画 (法人)'!$C$1:$C$391,0),MATCH(BL$1,'在庫使用計画 (法人)'!$A$1:$BF$1,0))*1,0),
_xlpm._合計,_xlpm._一般検索+_xlpm._法人検索,
IF(_xlpm._合計=0,"",_xlpm._合計)
)</f>
        <v/>
      </c>
      <c r="BM59" s="224" t="str">
        <f>_xlfn.LET(
_xlpm._一般検索,IFERROR(INDEX('在庫使用計画 (一般)'!$A$1:$BF$391,MATCH($C59,'在庫使用計画 (一般)'!$C$1:$C$391,0),MATCH(BM$1,'在庫使用計画 (一般)'!$A$1:$BF$1,0))*1,0),
_xlpm._法人検索,IFERROR(INDEX('在庫使用計画 (法人)'!$A$1:$BF$391,MATCH($C59,'在庫使用計画 (法人)'!$C$1:$C$391,0),MATCH(BM$1,'在庫使用計画 (法人)'!$A$1:$BF$1,0))*1,0),
_xlpm._合計,_xlpm._一般検索+_xlpm._法人検索,
IF(_xlpm._合計=0,"",_xlpm._合計)
)</f>
        <v/>
      </c>
      <c r="BN59" s="224" t="str">
        <f>_xlfn.LET(
_xlpm._一般検索,IFERROR(INDEX('在庫使用計画 (一般)'!$A$1:$BF$391,MATCH($C59,'在庫使用計画 (一般)'!$C$1:$C$391,0),MATCH(BN$1,'在庫使用計画 (一般)'!$A$1:$BF$1,0))*1,0),
_xlpm._法人検索,IFERROR(INDEX('在庫使用計画 (法人)'!$A$1:$BF$391,MATCH($C59,'在庫使用計画 (法人)'!$C$1:$C$391,0),MATCH(BN$1,'在庫使用計画 (法人)'!$A$1:$BF$1,0))*1,0),
_xlpm._合計,_xlpm._一般検索+_xlpm._法人検索,
IF(_xlpm._合計=0,"",_xlpm._合計)
)</f>
        <v/>
      </c>
      <c r="BO59" s="224" t="str">
        <f>_xlfn.LET(
_xlpm._一般検索,IFERROR(INDEX('在庫使用計画 (一般)'!$A$1:$BF$391,MATCH($C59,'在庫使用計画 (一般)'!$C$1:$C$391,0),MATCH(BO$1,'在庫使用計画 (一般)'!$A$1:$BF$1,0))*1,0),
_xlpm._法人検索,IFERROR(INDEX('在庫使用計画 (法人)'!$A$1:$BF$391,MATCH($C59,'在庫使用計画 (法人)'!$C$1:$C$391,0),MATCH(BO$1,'在庫使用計画 (法人)'!$A$1:$BF$1,0))*1,0),
_xlpm._合計,_xlpm._一般検索+_xlpm._法人検索,
IF(_xlpm._合計=0,"",_xlpm._合計)
)</f>
        <v/>
      </c>
      <c r="BP59" s="224" t="str">
        <f>_xlfn.LET(
_xlpm._一般検索,IFERROR(INDEX('在庫使用計画 (一般)'!$A$1:$BF$391,MATCH($C59,'在庫使用計画 (一般)'!$C$1:$C$391,0),MATCH(BP$1,'在庫使用計画 (一般)'!$A$1:$BF$1,0))*1,0),
_xlpm._法人検索,IFERROR(INDEX('在庫使用計画 (法人)'!$A$1:$BF$391,MATCH($C59,'在庫使用計画 (法人)'!$C$1:$C$391,0),MATCH(BP$1,'在庫使用計画 (法人)'!$A$1:$BF$1,0))*1,0),
_xlpm._合計,_xlpm._一般検索+_xlpm._法人検索,
IF(_xlpm._合計=0,"",_xlpm._合計)
)</f>
        <v/>
      </c>
      <c r="BQ59" s="224" t="str">
        <f>_xlfn.LET(
_xlpm._一般検索,IFERROR(INDEX('在庫使用計画 (一般)'!$A$1:$BF$391,MATCH($C59,'在庫使用計画 (一般)'!$C$1:$C$391,0),MATCH(BQ$1,'在庫使用計画 (一般)'!$A$1:$BF$1,0))*1,0),
_xlpm._法人検索,IFERROR(INDEX('在庫使用計画 (法人)'!$A$1:$BF$391,MATCH($C59,'在庫使用計画 (法人)'!$C$1:$C$391,0),MATCH(BQ$1,'在庫使用計画 (法人)'!$A$1:$BF$1,0))*1,0),
_xlpm._合計,_xlpm._一般検索+_xlpm._法人検索,
IF(_xlpm._合計=0,"",_xlpm._合計)
)</f>
        <v/>
      </c>
      <c r="BR59" s="224" t="str">
        <f>_xlfn.LET(
_xlpm._一般検索,IFERROR(INDEX('在庫使用計画 (一般)'!$A$1:$BF$391,MATCH($C59,'在庫使用計画 (一般)'!$C$1:$C$391,0),MATCH(BR$1,'在庫使用計画 (一般)'!$A$1:$BF$1,0))*1,0),
_xlpm._法人検索,IFERROR(INDEX('在庫使用計画 (法人)'!$A$1:$BF$391,MATCH($C59,'在庫使用計画 (法人)'!$C$1:$C$391,0),MATCH(BR$1,'在庫使用計画 (法人)'!$A$1:$BF$1,0))*1,0),
_xlpm._合計,_xlpm._一般検索+_xlpm._法人検索,
IF(_xlpm._合計=0,"",_xlpm._合計)
)</f>
        <v/>
      </c>
      <c r="BS59" s="805" t="str">
        <f>_xlfn.LET(
_xlpm._一般検索,IFERROR(INDEX('在庫使用計画 (一般)'!$A$1:$BF$391,MATCH($C59,'在庫使用計画 (一般)'!$C$1:$C$391,0),MATCH(BS$1,'在庫使用計画 (一般)'!$A$1:$BF$1,0))*1,0),
_xlpm._法人検索,IFERROR(INDEX('在庫使用計画 (法人)'!$A$1:$BF$391,MATCH($C59,'在庫使用計画 (法人)'!$C$1:$C$391,0),MATCH(BS$1,'在庫使用計画 (法人)'!$A$1:$BF$1,0))*1,0),
_xlpm._合計,_xlpm._一般検索+_xlpm._法人検索,
IF(_xlpm._合計=0,"",_xlpm._合計)
)</f>
        <v/>
      </c>
      <c r="BT59" s="70"/>
    </row>
    <row r="60" spans="1:72" customFormat="1" ht="18.75" customHeight="1">
      <c r="A60" s="2064" t="s">
        <v>1651</v>
      </c>
      <c r="B60" s="28" t="str">
        <v>QNT-LGHB-1355U-UMA-L6</v>
      </c>
      <c r="C60" s="25" t="s">
        <v>580</v>
      </c>
      <c r="D60" s="2153">
        <v>4010</v>
      </c>
      <c r="E60" s="24" t="s">
        <v>1426</v>
      </c>
      <c r="F60" s="26" t="s">
        <v>1725</v>
      </c>
      <c r="G60" s="74">
        <v>104</v>
      </c>
      <c r="H60" s="38">
        <v>104</v>
      </c>
      <c r="I60" s="38" cm="1">
        <f t="array" ref="I60">IF($C60="","",
_xlfn.LET(
  _xlpm._見出し,$A$1:$BT$1,
  _xlpm._行,$A60:$BT60,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0</v>
      </c>
      <c r="J60" s="74" cm="1">
        <f t="array" ref="J60">_xlfn.LET(
  _xlpm._見出し,$A$1:$BS$1,
  _xlpm._行,$A60:$BS60,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IF($C60="","",_xlpm._四点五月計画合計)
)</f>
        <v>0</v>
      </c>
      <c r="K60" s="1458" t="str" cm="1">
        <f t="array" ref="K60">_xlfn.IFS(
  $C60="","",
  $G60="","発売前？",
  $G60=0,"在庫なし",
  TRUE,
  IFERROR(
    _xlfn.LET(
      _xlpm._在庫注残,     $G60,
      _xlpm._しきい値,     _xlpm._在庫注残 * 0.75,
      _xlpm._見出し元,     $L$1:$BU$1,
      _xlpm._計画,         $L60:$BU60,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計画なし</v>
      </c>
      <c r="L60" s="38">
        <v>502</v>
      </c>
      <c r="M60" s="38">
        <v>260</v>
      </c>
      <c r="N60" s="38">
        <v>360</v>
      </c>
      <c r="O60" s="38">
        <v>330</v>
      </c>
      <c r="P60" s="38">
        <v>300</v>
      </c>
      <c r="Q60" s="38">
        <v>340</v>
      </c>
      <c r="R60" s="38">
        <v>341</v>
      </c>
      <c r="S60" s="38">
        <v>334</v>
      </c>
      <c r="T60" s="219">
        <v>323</v>
      </c>
      <c r="U60" s="219">
        <v>319</v>
      </c>
      <c r="V60" s="219">
        <v>415</v>
      </c>
      <c r="W60" s="219">
        <v>450</v>
      </c>
      <c r="X60" s="224">
        <v>415</v>
      </c>
      <c r="Y60" s="335">
        <v>532</v>
      </c>
      <c r="Z60" s="335">
        <v>630</v>
      </c>
      <c r="AA60" s="335">
        <v>90</v>
      </c>
      <c r="AB60" s="335">
        <v>50</v>
      </c>
      <c r="AC60" s="335">
        <v>50</v>
      </c>
      <c r="AD60" s="335" t="s">
        <v>21</v>
      </c>
      <c r="AE60" s="335" t="s">
        <v>21</v>
      </c>
      <c r="AF60" s="335">
        <v>161</v>
      </c>
      <c r="AG60" s="335">
        <v>177</v>
      </c>
      <c r="AH60" s="224">
        <v>110</v>
      </c>
      <c r="AI60" s="824">
        <v>193</v>
      </c>
      <c r="AJ60" s="804">
        <v>88</v>
      </c>
      <c r="AK60" s="224">
        <v>62</v>
      </c>
      <c r="AL60" s="224">
        <v>489</v>
      </c>
      <c r="AM60" s="224">
        <v>51</v>
      </c>
      <c r="AN60" s="224">
        <f>_xlfn.LET(
_xlpm._一般検索,IFERROR(INDEX('在庫使用計画 (一般)'!$A$1:$BF$391,MATCH($C60,'在庫使用計画 (一般)'!$C$1:$C$391,0),MATCH(AN$1,'在庫使用計画 (一般)'!$A$1:$BF$1,0))*1,0),
_xlpm._法人検索,IFERROR(INDEX('在庫使用計画 (法人)'!$A$1:$BF$391,MATCH($C60,'在庫使用計画 (法人)'!$C$1:$C$391,0),MATCH(AN$1,'在庫使用計画 (法人)'!$A$1:$BF$1,0))*1,0),
_xlpm._合計,_xlpm._一般検索+_xlpm._法人検索,
IF(_xlpm._合計=0,"",_xlpm._合計)
)</f>
        <v>109</v>
      </c>
      <c r="AO60" s="224" t="str">
        <f>_xlfn.LET(
_xlpm._一般検索,IFERROR(INDEX('在庫使用計画 (一般)'!$A$1:$BF$391,MATCH($C60,'在庫使用計画 (一般)'!$C$1:$C$391,0),MATCH(AO$1,'在庫使用計画 (一般)'!$A$1:$BF$1,0))*1,0),
_xlpm._法人検索,IFERROR(INDEX('在庫使用計画 (法人)'!$A$1:$BF$391,MATCH($C60,'在庫使用計画 (法人)'!$C$1:$C$391,0),MATCH(AO$1,'在庫使用計画 (法人)'!$A$1:$BF$1,0))*1,0),
_xlpm._合計,_xlpm._一般検索+_xlpm._法人検索,
IF(_xlpm._合計=0,"",_xlpm._合計)
)</f>
        <v/>
      </c>
      <c r="AP60" s="224" t="str">
        <f>_xlfn.LET(
_xlpm._一般検索,IFERROR(INDEX('在庫使用計画 (一般)'!$A$1:$BF$391,MATCH($C60,'在庫使用計画 (一般)'!$C$1:$C$391,0),MATCH(AP$1,'在庫使用計画 (一般)'!$A$1:$BF$1,0))*1,0),
_xlpm._法人検索,IFERROR(INDEX('在庫使用計画 (法人)'!$A$1:$BF$391,MATCH($C60,'在庫使用計画 (法人)'!$C$1:$C$391,0),MATCH(AP$1,'在庫使用計画 (法人)'!$A$1:$BF$1,0))*1,0),
_xlpm._合計,_xlpm._一般検索+_xlpm._法人検索,
IF(_xlpm._合計=0,"",_xlpm._合計)
)</f>
        <v/>
      </c>
      <c r="AQ60" s="224" t="str">
        <f>_xlfn.LET(
_xlpm._一般検索,IFERROR(INDEX('在庫使用計画 (一般)'!$A$1:$BF$391,MATCH($C60,'在庫使用計画 (一般)'!$C$1:$C$391,0),MATCH(AQ$1,'在庫使用計画 (一般)'!$A$1:$BF$1,0))*1,0),
_xlpm._法人検索,IFERROR(INDEX('在庫使用計画 (法人)'!$A$1:$BF$391,MATCH($C60,'在庫使用計画 (法人)'!$C$1:$C$391,0),MATCH(AQ$1,'在庫使用計画 (法人)'!$A$1:$BF$1,0))*1,0),
_xlpm._合計,_xlpm._一般検索+_xlpm._法人検索,
IF(_xlpm._合計=0,"",_xlpm._合計)
)</f>
        <v/>
      </c>
      <c r="AR60" s="224" t="str">
        <f>_xlfn.LET(
_xlpm._一般検索,IFERROR(INDEX('在庫使用計画 (一般)'!$A$1:$BF$391,MATCH($C60,'在庫使用計画 (一般)'!$C$1:$C$391,0),MATCH(AR$1,'在庫使用計画 (一般)'!$A$1:$BF$1,0))*1,0),
_xlpm._法人検索,IFERROR(INDEX('在庫使用計画 (法人)'!$A$1:$BF$391,MATCH($C60,'在庫使用計画 (法人)'!$C$1:$C$391,0),MATCH(AR$1,'在庫使用計画 (法人)'!$A$1:$BF$1,0))*1,0),
_xlpm._合計,_xlpm._一般検索+_xlpm._法人検索,
IF(_xlpm._合計=0,"",_xlpm._合計)
)</f>
        <v/>
      </c>
      <c r="AS60" s="224" t="str">
        <f>_xlfn.LET(
_xlpm._一般検索,IFERROR(INDEX('在庫使用計画 (一般)'!$A$1:$BF$391,MATCH($C60,'在庫使用計画 (一般)'!$C$1:$C$391,0),MATCH(AS$1,'在庫使用計画 (一般)'!$A$1:$BF$1,0))*1,0),
_xlpm._法人検索,IFERROR(INDEX('在庫使用計画 (法人)'!$A$1:$BF$391,MATCH($C60,'在庫使用計画 (法人)'!$C$1:$C$391,0),MATCH(AS$1,'在庫使用計画 (法人)'!$A$1:$BF$1,0))*1,0),
_xlpm._合計,_xlpm._一般検索+_xlpm._法人検索,
IF(_xlpm._合計=0,"",_xlpm._合計)
)</f>
        <v/>
      </c>
      <c r="AT60" s="224" t="str">
        <f>_xlfn.LET(
_xlpm._一般検索,IFERROR(INDEX('在庫使用計画 (一般)'!$A$1:$BF$391,MATCH($C60,'在庫使用計画 (一般)'!$C$1:$C$391,0),MATCH(AT$1,'在庫使用計画 (一般)'!$A$1:$BF$1,0))*1,0),
_xlpm._法人検索,IFERROR(INDEX('在庫使用計画 (法人)'!$A$1:$BF$391,MATCH($C60,'在庫使用計画 (法人)'!$C$1:$C$391,0),MATCH(AT$1,'在庫使用計画 (法人)'!$A$1:$BF$1,0))*1,0),
_xlpm._合計,_xlpm._一般検索+_xlpm._法人検索,
IF(_xlpm._合計=0,"",_xlpm._合計)
)</f>
        <v/>
      </c>
      <c r="AU60" s="805" t="str">
        <f>_xlfn.LET(
_xlpm._一般検索,IFERROR(INDEX('在庫使用計画 (一般)'!$A$1:$BF$391,MATCH($C60,'在庫使用計画 (一般)'!$C$1:$C$391,0),MATCH(AU$1,'在庫使用計画 (一般)'!$A$1:$BF$1,0))*1,0),
_xlpm._法人検索,IFERROR(INDEX('在庫使用計画 (法人)'!$A$1:$BF$391,MATCH($C60,'在庫使用計画 (法人)'!$C$1:$C$391,0),MATCH(AU$1,'在庫使用計画 (法人)'!$A$1:$BF$1,0))*1,0),
_xlpm._合計,_xlpm._一般検索+_xlpm._法人検索,
IF(_xlpm._合計=0,"",_xlpm._合計)
)</f>
        <v/>
      </c>
      <c r="AV60" s="244" t="str">
        <f>_xlfn.LET(
_xlpm._一般検索,IFERROR(INDEX('在庫使用計画 (一般)'!$A$1:$BF$391,MATCH($C60,'在庫使用計画 (一般)'!$C$1:$C$391,0),MATCH(AV$1,'在庫使用計画 (一般)'!$A$1:$BF$1,0))*1,0),
_xlpm._法人検索,IFERROR(INDEX('在庫使用計画 (法人)'!$A$1:$BF$391,MATCH($C60,'在庫使用計画 (法人)'!$C$1:$C$391,0),MATCH(AV$1,'在庫使用計画 (法人)'!$A$1:$BF$1,0))*1,0),
_xlpm._合計,_xlpm._一般検索+_xlpm._法人検索,
IF(_xlpm._合計=0,"",_xlpm._合計)
)</f>
        <v/>
      </c>
      <c r="AW60" s="224" t="str">
        <f>_xlfn.LET(
_xlpm._一般検索,IFERROR(INDEX('在庫使用計画 (一般)'!$A$1:$BF$391,MATCH($C60,'在庫使用計画 (一般)'!$C$1:$C$391,0),MATCH(AW$1,'在庫使用計画 (一般)'!$A$1:$BF$1,0))*1,0),
_xlpm._法人検索,IFERROR(INDEX('在庫使用計画 (法人)'!$A$1:$BF$391,MATCH($C60,'在庫使用計画 (法人)'!$C$1:$C$391,0),MATCH(AW$1,'在庫使用計画 (法人)'!$A$1:$BF$1,0))*1,0),
_xlpm._合計,_xlpm._一般検索+_xlpm._法人検索,
IF(_xlpm._合計=0,"",_xlpm._合計)
)</f>
        <v/>
      </c>
      <c r="AX60" s="224" t="str">
        <f>_xlfn.LET(
_xlpm._一般検索,IFERROR(INDEX('在庫使用計画 (一般)'!$A$1:$BF$391,MATCH($C60,'在庫使用計画 (一般)'!$C$1:$C$391,0),MATCH(AX$1,'在庫使用計画 (一般)'!$A$1:$BF$1,0))*1,0),
_xlpm._法人検索,IFERROR(INDEX('在庫使用計画 (法人)'!$A$1:$BF$391,MATCH($C60,'在庫使用計画 (法人)'!$C$1:$C$391,0),MATCH(AX$1,'在庫使用計画 (法人)'!$A$1:$BF$1,0))*1,0),
_xlpm._合計,_xlpm._一般検索+_xlpm._法人検索,
IF(_xlpm._合計=0,"",_xlpm._合計)
)</f>
        <v/>
      </c>
      <c r="AY60" s="224" t="str">
        <f>_xlfn.LET(
_xlpm._一般検索,IFERROR(INDEX('在庫使用計画 (一般)'!$A$1:$BF$391,MATCH($C60,'在庫使用計画 (一般)'!$C$1:$C$391,0),MATCH(AY$1,'在庫使用計画 (一般)'!$A$1:$BF$1,0))*1,0),
_xlpm._法人検索,IFERROR(INDEX('在庫使用計画 (法人)'!$A$1:$BF$391,MATCH($C60,'在庫使用計画 (法人)'!$C$1:$C$391,0),MATCH(AY$1,'在庫使用計画 (法人)'!$A$1:$BF$1,0))*1,0),
_xlpm._合計,_xlpm._一般検索+_xlpm._法人検索,
IF(_xlpm._合計=0,"",_xlpm._合計)
)</f>
        <v/>
      </c>
      <c r="AZ60" s="224" t="str">
        <f>_xlfn.LET(
_xlpm._一般検索,IFERROR(INDEX('在庫使用計画 (一般)'!$A$1:$BF$391,MATCH($C60,'在庫使用計画 (一般)'!$C$1:$C$391,0),MATCH(AZ$1,'在庫使用計画 (一般)'!$A$1:$BF$1,0))*1,0),
_xlpm._法人検索,IFERROR(INDEX('在庫使用計画 (法人)'!$A$1:$BF$391,MATCH($C60,'在庫使用計画 (法人)'!$C$1:$C$391,0),MATCH(AZ$1,'在庫使用計画 (法人)'!$A$1:$BF$1,0))*1,0),
_xlpm._合計,_xlpm._一般検索+_xlpm._法人検索,
IF(_xlpm._合計=0,"",_xlpm._合計)
)</f>
        <v/>
      </c>
      <c r="BA60" s="224" t="str">
        <f>_xlfn.LET(
_xlpm._一般検索,IFERROR(INDEX('在庫使用計画 (一般)'!$A$1:$BF$391,MATCH($C60,'在庫使用計画 (一般)'!$C$1:$C$391,0),MATCH(BA$1,'在庫使用計画 (一般)'!$A$1:$BF$1,0))*1,0),
_xlpm._法人検索,IFERROR(INDEX('在庫使用計画 (法人)'!$A$1:$BF$391,MATCH($C60,'在庫使用計画 (法人)'!$C$1:$C$391,0),MATCH(BA$1,'在庫使用計画 (法人)'!$A$1:$BF$1,0))*1,0),
_xlpm._合計,_xlpm._一般検索+_xlpm._法人検索,
IF(_xlpm._合計=0,"",_xlpm._合計)
)</f>
        <v/>
      </c>
      <c r="BB60" s="224" t="str">
        <f>_xlfn.LET(
_xlpm._一般検索,IFERROR(INDEX('在庫使用計画 (一般)'!$A$1:$BF$391,MATCH($C60,'在庫使用計画 (一般)'!$C$1:$C$391,0),MATCH(BB$1,'在庫使用計画 (一般)'!$A$1:$BF$1,0))*1,0),
_xlpm._法人検索,IFERROR(INDEX('在庫使用計画 (法人)'!$A$1:$BF$391,MATCH($C60,'在庫使用計画 (法人)'!$C$1:$C$391,0),MATCH(BB$1,'在庫使用計画 (法人)'!$A$1:$BF$1,0))*1,0),
_xlpm._合計,_xlpm._一般検索+_xlpm._法人検索,
IF(_xlpm._合計=0,"",_xlpm._合計)
)</f>
        <v/>
      </c>
      <c r="BC60" s="224" t="str">
        <f>_xlfn.LET(
_xlpm._一般検索,IFERROR(INDEX('在庫使用計画 (一般)'!$A$1:$BF$391,MATCH($C60,'在庫使用計画 (一般)'!$C$1:$C$391,0),MATCH(BC$1,'在庫使用計画 (一般)'!$A$1:$BF$1,0))*1,0),
_xlpm._法人検索,IFERROR(INDEX('在庫使用計画 (法人)'!$A$1:$BF$391,MATCH($C60,'在庫使用計画 (法人)'!$C$1:$C$391,0),MATCH(BC$1,'在庫使用計画 (法人)'!$A$1:$BF$1,0))*1,0),
_xlpm._合計,_xlpm._一般検索+_xlpm._法人検索,
IF(_xlpm._合計=0,"",_xlpm._合計)
)</f>
        <v/>
      </c>
      <c r="BD60" s="224" t="str">
        <f>_xlfn.LET(
_xlpm._一般検索,IFERROR(INDEX('在庫使用計画 (一般)'!$A$1:$BF$391,MATCH($C60,'在庫使用計画 (一般)'!$C$1:$C$391,0),MATCH(BD$1,'在庫使用計画 (一般)'!$A$1:$BF$1,0))*1,0),
_xlpm._法人検索,IFERROR(INDEX('在庫使用計画 (法人)'!$A$1:$BF$391,MATCH($C60,'在庫使用計画 (法人)'!$C$1:$C$391,0),MATCH(BD$1,'在庫使用計画 (法人)'!$A$1:$BF$1,0))*1,0),
_xlpm._合計,_xlpm._一般検索+_xlpm._法人検索,
IF(_xlpm._合計=0,"",_xlpm._合計)
)</f>
        <v/>
      </c>
      <c r="BE60" s="224" t="str">
        <f>_xlfn.LET(
_xlpm._一般検索,IFERROR(INDEX('在庫使用計画 (一般)'!$A$1:$BF$391,MATCH($C60,'在庫使用計画 (一般)'!$C$1:$C$391,0),MATCH(BE$1,'在庫使用計画 (一般)'!$A$1:$BF$1,0))*1,0),
_xlpm._法人検索,IFERROR(INDEX('在庫使用計画 (法人)'!$A$1:$BF$391,MATCH($C60,'在庫使用計画 (法人)'!$C$1:$C$391,0),MATCH(BE$1,'在庫使用計画 (法人)'!$A$1:$BF$1,0))*1,0),
_xlpm._合計,_xlpm._一般検索+_xlpm._法人検索,
IF(_xlpm._合計=0,"",_xlpm._合計)
)</f>
        <v/>
      </c>
      <c r="BF60" s="224" t="str">
        <f>_xlfn.LET(
_xlpm._一般検索,IFERROR(INDEX('在庫使用計画 (一般)'!$A$1:$BF$391,MATCH($C60,'在庫使用計画 (一般)'!$C$1:$C$391,0),MATCH(BF$1,'在庫使用計画 (一般)'!$A$1:$BF$1,0))*1,0),
_xlpm._法人検索,IFERROR(INDEX('在庫使用計画 (法人)'!$A$1:$BF$391,MATCH($C60,'在庫使用計画 (法人)'!$C$1:$C$391,0),MATCH(BF$1,'在庫使用計画 (法人)'!$A$1:$BF$1,0))*1,0),
_xlpm._合計,_xlpm._一般検索+_xlpm._法人検索,
IF(_xlpm._合計=0,"",_xlpm._合計)
)</f>
        <v/>
      </c>
      <c r="BG60" s="237" t="str">
        <f>_xlfn.LET(
_xlpm._一般検索,IFERROR(INDEX('在庫使用計画 (一般)'!$A$1:$BF$391,MATCH($C60,'在庫使用計画 (一般)'!$C$1:$C$391,0),MATCH(BG$1,'在庫使用計画 (一般)'!$A$1:$BF$1,0))*1,0),
_xlpm._法人検索,IFERROR(INDEX('在庫使用計画 (法人)'!$A$1:$BF$391,MATCH($C60,'在庫使用計画 (法人)'!$C$1:$C$391,0),MATCH(BG$1,'在庫使用計画 (法人)'!$A$1:$BF$1,0))*1,0),
_xlpm._合計,_xlpm._一般検索+_xlpm._法人検索,
IF(_xlpm._合計=0,"",_xlpm._合計)
)</f>
        <v/>
      </c>
      <c r="BH60" s="804" t="str">
        <f>_xlfn.LET(
_xlpm._一般検索,IFERROR(INDEX('在庫使用計画 (一般)'!$A$1:$BF$391,MATCH($C60,'在庫使用計画 (一般)'!$C$1:$C$391,0),MATCH(BH$1,'在庫使用計画 (一般)'!$A$1:$BF$1,0))*1,0),
_xlpm._法人検索,IFERROR(INDEX('在庫使用計画 (法人)'!$A$1:$BF$391,MATCH($C60,'在庫使用計画 (法人)'!$C$1:$C$391,0),MATCH(BH$1,'在庫使用計画 (法人)'!$A$1:$BF$1,0))*1,0),
_xlpm._合計,_xlpm._一般検索+_xlpm._法人検索,
IF(_xlpm._合計=0,"",_xlpm._合計)
)</f>
        <v/>
      </c>
      <c r="BI60" s="224" t="str">
        <f>_xlfn.LET(
_xlpm._一般検索,IFERROR(INDEX('在庫使用計画 (一般)'!$A$1:$BF$391,MATCH($C60,'在庫使用計画 (一般)'!$C$1:$C$391,0),MATCH(BI$1,'在庫使用計画 (一般)'!$A$1:$BF$1,0))*1,0),
_xlpm._法人検索,IFERROR(INDEX('在庫使用計画 (法人)'!$A$1:$BF$391,MATCH($C60,'在庫使用計画 (法人)'!$C$1:$C$391,0),MATCH(BI$1,'在庫使用計画 (法人)'!$A$1:$BF$1,0))*1,0),
_xlpm._合計,_xlpm._一般検索+_xlpm._法人検索,
IF(_xlpm._合計=0,"",_xlpm._合計)
)</f>
        <v/>
      </c>
      <c r="BJ60" s="224" t="str">
        <f>_xlfn.LET(
_xlpm._一般検索,IFERROR(INDEX('在庫使用計画 (一般)'!$A$1:$BF$391,MATCH($C60,'在庫使用計画 (一般)'!$C$1:$C$391,0),MATCH(BJ$1,'在庫使用計画 (一般)'!$A$1:$BF$1,0))*1,0),
_xlpm._法人検索,IFERROR(INDEX('在庫使用計画 (法人)'!$A$1:$BF$391,MATCH($C60,'在庫使用計画 (法人)'!$C$1:$C$391,0),MATCH(BJ$1,'在庫使用計画 (法人)'!$A$1:$BF$1,0))*1,0),
_xlpm._合計,_xlpm._一般検索+_xlpm._法人検索,
IF(_xlpm._合計=0,"",_xlpm._合計)
)</f>
        <v/>
      </c>
      <c r="BK60" s="224" t="str">
        <f>_xlfn.LET(
_xlpm._一般検索,IFERROR(INDEX('在庫使用計画 (一般)'!$A$1:$BF$391,MATCH($C60,'在庫使用計画 (一般)'!$C$1:$C$391,0),MATCH(BK$1,'在庫使用計画 (一般)'!$A$1:$BF$1,0))*1,0),
_xlpm._法人検索,IFERROR(INDEX('在庫使用計画 (法人)'!$A$1:$BF$391,MATCH($C60,'在庫使用計画 (法人)'!$C$1:$C$391,0),MATCH(BK$1,'在庫使用計画 (法人)'!$A$1:$BF$1,0))*1,0),
_xlpm._合計,_xlpm._一般検索+_xlpm._法人検索,
IF(_xlpm._合計=0,"",_xlpm._合計)
)</f>
        <v/>
      </c>
      <c r="BL60" s="224" t="str">
        <f>_xlfn.LET(
_xlpm._一般検索,IFERROR(INDEX('在庫使用計画 (一般)'!$A$1:$BF$391,MATCH($C60,'在庫使用計画 (一般)'!$C$1:$C$391,0),MATCH(BL$1,'在庫使用計画 (一般)'!$A$1:$BF$1,0))*1,0),
_xlpm._法人検索,IFERROR(INDEX('在庫使用計画 (法人)'!$A$1:$BF$391,MATCH($C60,'在庫使用計画 (法人)'!$C$1:$C$391,0),MATCH(BL$1,'在庫使用計画 (法人)'!$A$1:$BF$1,0))*1,0),
_xlpm._合計,_xlpm._一般検索+_xlpm._法人検索,
IF(_xlpm._合計=0,"",_xlpm._合計)
)</f>
        <v/>
      </c>
      <c r="BM60" s="224" t="str">
        <f>_xlfn.LET(
_xlpm._一般検索,IFERROR(INDEX('在庫使用計画 (一般)'!$A$1:$BF$391,MATCH($C60,'在庫使用計画 (一般)'!$C$1:$C$391,0),MATCH(BM$1,'在庫使用計画 (一般)'!$A$1:$BF$1,0))*1,0),
_xlpm._法人検索,IFERROR(INDEX('在庫使用計画 (法人)'!$A$1:$BF$391,MATCH($C60,'在庫使用計画 (法人)'!$C$1:$C$391,0),MATCH(BM$1,'在庫使用計画 (法人)'!$A$1:$BF$1,0))*1,0),
_xlpm._合計,_xlpm._一般検索+_xlpm._法人検索,
IF(_xlpm._合計=0,"",_xlpm._合計)
)</f>
        <v/>
      </c>
      <c r="BN60" s="224" t="str">
        <f>_xlfn.LET(
_xlpm._一般検索,IFERROR(INDEX('在庫使用計画 (一般)'!$A$1:$BF$391,MATCH($C60,'在庫使用計画 (一般)'!$C$1:$C$391,0),MATCH(BN$1,'在庫使用計画 (一般)'!$A$1:$BF$1,0))*1,0),
_xlpm._法人検索,IFERROR(INDEX('在庫使用計画 (法人)'!$A$1:$BF$391,MATCH($C60,'在庫使用計画 (法人)'!$C$1:$C$391,0),MATCH(BN$1,'在庫使用計画 (法人)'!$A$1:$BF$1,0))*1,0),
_xlpm._合計,_xlpm._一般検索+_xlpm._法人検索,
IF(_xlpm._合計=0,"",_xlpm._合計)
)</f>
        <v/>
      </c>
      <c r="BO60" s="224" t="str">
        <f>_xlfn.LET(
_xlpm._一般検索,IFERROR(INDEX('在庫使用計画 (一般)'!$A$1:$BF$391,MATCH($C60,'在庫使用計画 (一般)'!$C$1:$C$391,0),MATCH(BO$1,'在庫使用計画 (一般)'!$A$1:$BF$1,0))*1,0),
_xlpm._法人検索,IFERROR(INDEX('在庫使用計画 (法人)'!$A$1:$BF$391,MATCH($C60,'在庫使用計画 (法人)'!$C$1:$C$391,0),MATCH(BO$1,'在庫使用計画 (法人)'!$A$1:$BF$1,0))*1,0),
_xlpm._合計,_xlpm._一般検索+_xlpm._法人検索,
IF(_xlpm._合計=0,"",_xlpm._合計)
)</f>
        <v/>
      </c>
      <c r="BP60" s="224" t="str">
        <f>_xlfn.LET(
_xlpm._一般検索,IFERROR(INDEX('在庫使用計画 (一般)'!$A$1:$BF$391,MATCH($C60,'在庫使用計画 (一般)'!$C$1:$C$391,0),MATCH(BP$1,'在庫使用計画 (一般)'!$A$1:$BF$1,0))*1,0),
_xlpm._法人検索,IFERROR(INDEX('在庫使用計画 (法人)'!$A$1:$BF$391,MATCH($C60,'在庫使用計画 (法人)'!$C$1:$C$391,0),MATCH(BP$1,'在庫使用計画 (法人)'!$A$1:$BF$1,0))*1,0),
_xlpm._合計,_xlpm._一般検索+_xlpm._法人検索,
IF(_xlpm._合計=0,"",_xlpm._合計)
)</f>
        <v/>
      </c>
      <c r="BQ60" s="224" t="str">
        <f>_xlfn.LET(
_xlpm._一般検索,IFERROR(INDEX('在庫使用計画 (一般)'!$A$1:$BF$391,MATCH($C60,'在庫使用計画 (一般)'!$C$1:$C$391,0),MATCH(BQ$1,'在庫使用計画 (一般)'!$A$1:$BF$1,0))*1,0),
_xlpm._法人検索,IFERROR(INDEX('在庫使用計画 (法人)'!$A$1:$BF$391,MATCH($C60,'在庫使用計画 (法人)'!$C$1:$C$391,0),MATCH(BQ$1,'在庫使用計画 (法人)'!$A$1:$BF$1,0))*1,0),
_xlpm._合計,_xlpm._一般検索+_xlpm._法人検索,
IF(_xlpm._合計=0,"",_xlpm._合計)
)</f>
        <v/>
      </c>
      <c r="BR60" s="224" t="str">
        <f>_xlfn.LET(
_xlpm._一般検索,IFERROR(INDEX('在庫使用計画 (一般)'!$A$1:$BF$391,MATCH($C60,'在庫使用計画 (一般)'!$C$1:$C$391,0),MATCH(BR$1,'在庫使用計画 (一般)'!$A$1:$BF$1,0))*1,0),
_xlpm._法人検索,IFERROR(INDEX('在庫使用計画 (法人)'!$A$1:$BF$391,MATCH($C60,'在庫使用計画 (法人)'!$C$1:$C$391,0),MATCH(BR$1,'在庫使用計画 (法人)'!$A$1:$BF$1,0))*1,0),
_xlpm._合計,_xlpm._一般検索+_xlpm._法人検索,
IF(_xlpm._合計=0,"",_xlpm._合計)
)</f>
        <v/>
      </c>
      <c r="BS60" s="805" t="str">
        <f>_xlfn.LET(
_xlpm._一般検索,IFERROR(INDEX('在庫使用計画 (一般)'!$A$1:$BF$391,MATCH($C60,'在庫使用計画 (一般)'!$C$1:$C$391,0),MATCH(BS$1,'在庫使用計画 (一般)'!$A$1:$BF$1,0))*1,0),
_xlpm._法人検索,IFERROR(INDEX('在庫使用計画 (法人)'!$A$1:$BF$391,MATCH($C60,'在庫使用計画 (法人)'!$C$1:$C$391,0),MATCH(BS$1,'在庫使用計画 (法人)'!$A$1:$BF$1,0))*1,0),
_xlpm._合計,_xlpm._一般検索+_xlpm._法人検索,
IF(_xlpm._合計=0,"",_xlpm._合計)
)</f>
        <v/>
      </c>
      <c r="BT60" s="21"/>
    </row>
    <row r="61" spans="1:72" customFormat="1" ht="18.75" customHeight="1">
      <c r="A61" s="2064" t="s">
        <v>1651</v>
      </c>
      <c r="B61" s="26" t="str">
        <v>WZN-1051-1355U-UMA-L6 Thirdwave</v>
      </c>
      <c r="C61" s="25" t="s">
        <v>567</v>
      </c>
      <c r="D61" s="2153">
        <v>3140</v>
      </c>
      <c r="E61" s="24" t="s">
        <v>1426</v>
      </c>
      <c r="F61" s="24" t="s">
        <v>1725</v>
      </c>
      <c r="G61" s="74">
        <v>69</v>
      </c>
      <c r="H61" s="38">
        <v>69</v>
      </c>
      <c r="I61" s="38" cm="1">
        <f t="array" ref="I61">IF($C61="","",
_xlfn.LET(
  _xlpm._見出し,$A$1:$BT$1,
  _xlpm._行,$A61:$BT61,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0</v>
      </c>
      <c r="J61" s="74" cm="1">
        <f t="array" ref="J61">_xlfn.LET(
  _xlpm._見出し,$A$1:$BS$1,
  _xlpm._行,$A61:$BS61,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IF($C61="","",_xlpm._四点五月計画合計)
)</f>
        <v>0</v>
      </c>
      <c r="K61" s="1458" t="str" cm="1">
        <f t="array" ref="K61">_xlfn.IFS(
  $C61="","",
  $G61="","発売前？",
  $G61=0,"在庫なし",
  TRUE,
  IFERROR(
    _xlfn.LET(
      _xlpm._在庫注残,     $G61,
      _xlpm._しきい値,     _xlpm._在庫注残 * 0.75,
      _xlpm._見出し元,     $L$1:$BU$1,
      _xlpm._計画,         $L61:$BU61,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計画なし</v>
      </c>
      <c r="L61" s="311"/>
      <c r="M61" s="311"/>
      <c r="N61" s="311"/>
      <c r="O61" s="311"/>
      <c r="P61" s="311"/>
      <c r="Q61" s="311"/>
      <c r="R61" s="311"/>
      <c r="S61" s="298"/>
      <c r="T61" s="298" t="s">
        <v>21</v>
      </c>
      <c r="U61" s="298" t="s">
        <v>21</v>
      </c>
      <c r="V61" s="298" t="s">
        <v>21</v>
      </c>
      <c r="W61" s="298" t="s">
        <v>21</v>
      </c>
      <c r="X61" s="299" t="s">
        <v>21</v>
      </c>
      <c r="Y61" s="419" t="s">
        <v>21</v>
      </c>
      <c r="Z61" s="419" t="s">
        <v>21</v>
      </c>
      <c r="AA61" s="335">
        <v>240</v>
      </c>
      <c r="AB61" s="335">
        <v>230</v>
      </c>
      <c r="AC61" s="335">
        <v>220</v>
      </c>
      <c r="AD61" s="335">
        <v>570</v>
      </c>
      <c r="AE61" s="335">
        <v>686</v>
      </c>
      <c r="AF61" s="335">
        <v>170</v>
      </c>
      <c r="AG61" s="335">
        <v>226</v>
      </c>
      <c r="AH61" s="224">
        <v>395</v>
      </c>
      <c r="AI61" s="823">
        <v>306</v>
      </c>
      <c r="AJ61" s="804">
        <v>265</v>
      </c>
      <c r="AK61" s="224">
        <v>52</v>
      </c>
      <c r="AL61" s="224">
        <v>57</v>
      </c>
      <c r="AM61" s="224" t="s">
        <v>21</v>
      </c>
      <c r="AN61" s="224" t="str">
        <f>_xlfn.LET(
_xlpm._一般検索,IFERROR(INDEX('在庫使用計画 (一般)'!$A$1:$BF$391,MATCH($C61,'在庫使用計画 (一般)'!$C$1:$C$391,0),MATCH(AN$1,'在庫使用計画 (一般)'!$A$1:$BF$1,0))*1,0),
_xlpm._法人検索,IFERROR(INDEX('在庫使用計画 (法人)'!$A$1:$BF$391,MATCH($C61,'在庫使用計画 (法人)'!$C$1:$C$391,0),MATCH(AN$1,'在庫使用計画 (法人)'!$A$1:$BF$1,0))*1,0),
_xlpm._合計,_xlpm._一般検索+_xlpm._法人検索,
IF(_xlpm._合計=0,"",_xlpm._合計)
)</f>
        <v/>
      </c>
      <c r="AO61" s="224">
        <f>_xlfn.LET(
_xlpm._一般検索,IFERROR(INDEX('在庫使用計画 (一般)'!$A$1:$BF$391,MATCH($C61,'在庫使用計画 (一般)'!$C$1:$C$391,0),MATCH(AO$1,'在庫使用計画 (一般)'!$A$1:$BF$1,0))*1,0),
_xlpm._法人検索,IFERROR(INDEX('在庫使用計画 (法人)'!$A$1:$BF$391,MATCH($C61,'在庫使用計画 (法人)'!$C$1:$C$391,0),MATCH(AO$1,'在庫使用計画 (法人)'!$A$1:$BF$1,0))*1,0),
_xlpm._合計,_xlpm._一般検索+_xlpm._法人検索,
IF(_xlpm._合計=0,"",_xlpm._合計)
)</f>
        <v>69</v>
      </c>
      <c r="AP61" s="224" t="str">
        <f>_xlfn.LET(
_xlpm._一般検索,IFERROR(INDEX('在庫使用計画 (一般)'!$A$1:$BF$391,MATCH($C61,'在庫使用計画 (一般)'!$C$1:$C$391,0),MATCH(AP$1,'在庫使用計画 (一般)'!$A$1:$BF$1,0))*1,0),
_xlpm._法人検索,IFERROR(INDEX('在庫使用計画 (法人)'!$A$1:$BF$391,MATCH($C61,'在庫使用計画 (法人)'!$C$1:$C$391,0),MATCH(AP$1,'在庫使用計画 (法人)'!$A$1:$BF$1,0))*1,0),
_xlpm._合計,_xlpm._一般検索+_xlpm._法人検索,
IF(_xlpm._合計=0,"",_xlpm._合計)
)</f>
        <v/>
      </c>
      <c r="AQ61" s="224" t="str">
        <f>_xlfn.LET(
_xlpm._一般検索,IFERROR(INDEX('在庫使用計画 (一般)'!$A$1:$BF$391,MATCH($C61,'在庫使用計画 (一般)'!$C$1:$C$391,0),MATCH(AQ$1,'在庫使用計画 (一般)'!$A$1:$BF$1,0))*1,0),
_xlpm._法人検索,IFERROR(INDEX('在庫使用計画 (法人)'!$A$1:$BF$391,MATCH($C61,'在庫使用計画 (法人)'!$C$1:$C$391,0),MATCH(AQ$1,'在庫使用計画 (法人)'!$A$1:$BF$1,0))*1,0),
_xlpm._合計,_xlpm._一般検索+_xlpm._法人検索,
IF(_xlpm._合計=0,"",_xlpm._合計)
)</f>
        <v/>
      </c>
      <c r="AR61" s="224" t="str">
        <f>_xlfn.LET(
_xlpm._一般検索,IFERROR(INDEX('在庫使用計画 (一般)'!$A$1:$BF$391,MATCH($C61,'在庫使用計画 (一般)'!$C$1:$C$391,0),MATCH(AR$1,'在庫使用計画 (一般)'!$A$1:$BF$1,0))*1,0),
_xlpm._法人検索,IFERROR(INDEX('在庫使用計画 (法人)'!$A$1:$BF$391,MATCH($C61,'在庫使用計画 (法人)'!$C$1:$C$391,0),MATCH(AR$1,'在庫使用計画 (法人)'!$A$1:$BF$1,0))*1,0),
_xlpm._合計,_xlpm._一般検索+_xlpm._法人検索,
IF(_xlpm._合計=0,"",_xlpm._合計)
)</f>
        <v/>
      </c>
      <c r="AS61" s="224" t="str">
        <f>_xlfn.LET(
_xlpm._一般検索,IFERROR(INDEX('在庫使用計画 (一般)'!$A$1:$BF$391,MATCH($C61,'在庫使用計画 (一般)'!$C$1:$C$391,0),MATCH(AS$1,'在庫使用計画 (一般)'!$A$1:$BF$1,0))*1,0),
_xlpm._法人検索,IFERROR(INDEX('在庫使用計画 (法人)'!$A$1:$BF$391,MATCH($C61,'在庫使用計画 (法人)'!$C$1:$C$391,0),MATCH(AS$1,'在庫使用計画 (法人)'!$A$1:$BF$1,0))*1,0),
_xlpm._合計,_xlpm._一般検索+_xlpm._法人検索,
IF(_xlpm._合計=0,"",_xlpm._合計)
)</f>
        <v/>
      </c>
      <c r="AT61" s="224" t="str">
        <f>_xlfn.LET(
_xlpm._一般検索,IFERROR(INDEX('在庫使用計画 (一般)'!$A$1:$BF$391,MATCH($C61,'在庫使用計画 (一般)'!$C$1:$C$391,0),MATCH(AT$1,'在庫使用計画 (一般)'!$A$1:$BF$1,0))*1,0),
_xlpm._法人検索,IFERROR(INDEX('在庫使用計画 (法人)'!$A$1:$BF$391,MATCH($C61,'在庫使用計画 (法人)'!$C$1:$C$391,0),MATCH(AT$1,'在庫使用計画 (法人)'!$A$1:$BF$1,0))*1,0),
_xlpm._合計,_xlpm._一般検索+_xlpm._法人検索,
IF(_xlpm._合計=0,"",_xlpm._合計)
)</f>
        <v/>
      </c>
      <c r="AU61" s="805" t="str">
        <f>_xlfn.LET(
_xlpm._一般検索,IFERROR(INDEX('在庫使用計画 (一般)'!$A$1:$BF$391,MATCH($C61,'在庫使用計画 (一般)'!$C$1:$C$391,0),MATCH(AU$1,'在庫使用計画 (一般)'!$A$1:$BF$1,0))*1,0),
_xlpm._法人検索,IFERROR(INDEX('在庫使用計画 (法人)'!$A$1:$BF$391,MATCH($C61,'在庫使用計画 (法人)'!$C$1:$C$391,0),MATCH(AU$1,'在庫使用計画 (法人)'!$A$1:$BF$1,0))*1,0),
_xlpm._合計,_xlpm._一般検索+_xlpm._法人検索,
IF(_xlpm._合計=0,"",_xlpm._合計)
)</f>
        <v/>
      </c>
      <c r="AV61" s="244" t="str">
        <f>_xlfn.LET(
_xlpm._一般検索,IFERROR(INDEX('在庫使用計画 (一般)'!$A$1:$BF$391,MATCH($C61,'在庫使用計画 (一般)'!$C$1:$C$391,0),MATCH(AV$1,'在庫使用計画 (一般)'!$A$1:$BF$1,0))*1,0),
_xlpm._法人検索,IFERROR(INDEX('在庫使用計画 (法人)'!$A$1:$BF$391,MATCH($C61,'在庫使用計画 (法人)'!$C$1:$C$391,0),MATCH(AV$1,'在庫使用計画 (法人)'!$A$1:$BF$1,0))*1,0),
_xlpm._合計,_xlpm._一般検索+_xlpm._法人検索,
IF(_xlpm._合計=0,"",_xlpm._合計)
)</f>
        <v/>
      </c>
      <c r="AW61" s="224" t="str">
        <f>_xlfn.LET(
_xlpm._一般検索,IFERROR(INDEX('在庫使用計画 (一般)'!$A$1:$BF$391,MATCH($C61,'在庫使用計画 (一般)'!$C$1:$C$391,0),MATCH(AW$1,'在庫使用計画 (一般)'!$A$1:$BF$1,0))*1,0),
_xlpm._法人検索,IFERROR(INDEX('在庫使用計画 (法人)'!$A$1:$BF$391,MATCH($C61,'在庫使用計画 (法人)'!$C$1:$C$391,0),MATCH(AW$1,'在庫使用計画 (法人)'!$A$1:$BF$1,0))*1,0),
_xlpm._合計,_xlpm._一般検索+_xlpm._法人検索,
IF(_xlpm._合計=0,"",_xlpm._合計)
)</f>
        <v/>
      </c>
      <c r="AX61" s="224" t="str">
        <f>_xlfn.LET(
_xlpm._一般検索,IFERROR(INDEX('在庫使用計画 (一般)'!$A$1:$BF$391,MATCH($C61,'在庫使用計画 (一般)'!$C$1:$C$391,0),MATCH(AX$1,'在庫使用計画 (一般)'!$A$1:$BF$1,0))*1,0),
_xlpm._法人検索,IFERROR(INDEX('在庫使用計画 (法人)'!$A$1:$BF$391,MATCH($C61,'在庫使用計画 (法人)'!$C$1:$C$391,0),MATCH(AX$1,'在庫使用計画 (法人)'!$A$1:$BF$1,0))*1,0),
_xlpm._合計,_xlpm._一般検索+_xlpm._法人検索,
IF(_xlpm._合計=0,"",_xlpm._合計)
)</f>
        <v/>
      </c>
      <c r="AY61" s="224" t="str">
        <f>_xlfn.LET(
_xlpm._一般検索,IFERROR(INDEX('在庫使用計画 (一般)'!$A$1:$BF$391,MATCH($C61,'在庫使用計画 (一般)'!$C$1:$C$391,0),MATCH(AY$1,'在庫使用計画 (一般)'!$A$1:$BF$1,0))*1,0),
_xlpm._法人検索,IFERROR(INDEX('在庫使用計画 (法人)'!$A$1:$BF$391,MATCH($C61,'在庫使用計画 (法人)'!$C$1:$C$391,0),MATCH(AY$1,'在庫使用計画 (法人)'!$A$1:$BF$1,0))*1,0),
_xlpm._合計,_xlpm._一般検索+_xlpm._法人検索,
IF(_xlpm._合計=0,"",_xlpm._合計)
)</f>
        <v/>
      </c>
      <c r="AZ61" s="224" t="str">
        <f>_xlfn.LET(
_xlpm._一般検索,IFERROR(INDEX('在庫使用計画 (一般)'!$A$1:$BF$391,MATCH($C61,'在庫使用計画 (一般)'!$C$1:$C$391,0),MATCH(AZ$1,'在庫使用計画 (一般)'!$A$1:$BF$1,0))*1,0),
_xlpm._法人検索,IFERROR(INDEX('在庫使用計画 (法人)'!$A$1:$BF$391,MATCH($C61,'在庫使用計画 (法人)'!$C$1:$C$391,0),MATCH(AZ$1,'在庫使用計画 (法人)'!$A$1:$BF$1,0))*1,0),
_xlpm._合計,_xlpm._一般検索+_xlpm._法人検索,
IF(_xlpm._合計=0,"",_xlpm._合計)
)</f>
        <v/>
      </c>
      <c r="BA61" s="224" t="str">
        <f>_xlfn.LET(
_xlpm._一般検索,IFERROR(INDEX('在庫使用計画 (一般)'!$A$1:$BF$391,MATCH($C61,'在庫使用計画 (一般)'!$C$1:$C$391,0),MATCH(BA$1,'在庫使用計画 (一般)'!$A$1:$BF$1,0))*1,0),
_xlpm._法人検索,IFERROR(INDEX('在庫使用計画 (法人)'!$A$1:$BF$391,MATCH($C61,'在庫使用計画 (法人)'!$C$1:$C$391,0),MATCH(BA$1,'在庫使用計画 (法人)'!$A$1:$BF$1,0))*1,0),
_xlpm._合計,_xlpm._一般検索+_xlpm._法人検索,
IF(_xlpm._合計=0,"",_xlpm._合計)
)</f>
        <v/>
      </c>
      <c r="BB61" s="224" t="str">
        <f>_xlfn.LET(
_xlpm._一般検索,IFERROR(INDEX('在庫使用計画 (一般)'!$A$1:$BF$391,MATCH($C61,'在庫使用計画 (一般)'!$C$1:$C$391,0),MATCH(BB$1,'在庫使用計画 (一般)'!$A$1:$BF$1,0))*1,0),
_xlpm._法人検索,IFERROR(INDEX('在庫使用計画 (法人)'!$A$1:$BF$391,MATCH($C61,'在庫使用計画 (法人)'!$C$1:$C$391,0),MATCH(BB$1,'在庫使用計画 (法人)'!$A$1:$BF$1,0))*1,0),
_xlpm._合計,_xlpm._一般検索+_xlpm._法人検索,
IF(_xlpm._合計=0,"",_xlpm._合計)
)</f>
        <v/>
      </c>
      <c r="BC61" s="224" t="str">
        <f>_xlfn.LET(
_xlpm._一般検索,IFERROR(INDEX('在庫使用計画 (一般)'!$A$1:$BF$391,MATCH($C61,'在庫使用計画 (一般)'!$C$1:$C$391,0),MATCH(BC$1,'在庫使用計画 (一般)'!$A$1:$BF$1,0))*1,0),
_xlpm._法人検索,IFERROR(INDEX('在庫使用計画 (法人)'!$A$1:$BF$391,MATCH($C61,'在庫使用計画 (法人)'!$C$1:$C$391,0),MATCH(BC$1,'在庫使用計画 (法人)'!$A$1:$BF$1,0))*1,0),
_xlpm._合計,_xlpm._一般検索+_xlpm._法人検索,
IF(_xlpm._合計=0,"",_xlpm._合計)
)</f>
        <v/>
      </c>
      <c r="BD61" s="224" t="str">
        <f>_xlfn.LET(
_xlpm._一般検索,IFERROR(INDEX('在庫使用計画 (一般)'!$A$1:$BF$391,MATCH($C61,'在庫使用計画 (一般)'!$C$1:$C$391,0),MATCH(BD$1,'在庫使用計画 (一般)'!$A$1:$BF$1,0))*1,0),
_xlpm._法人検索,IFERROR(INDEX('在庫使用計画 (法人)'!$A$1:$BF$391,MATCH($C61,'在庫使用計画 (法人)'!$C$1:$C$391,0),MATCH(BD$1,'在庫使用計画 (法人)'!$A$1:$BF$1,0))*1,0),
_xlpm._合計,_xlpm._一般検索+_xlpm._法人検索,
IF(_xlpm._合計=0,"",_xlpm._合計)
)</f>
        <v/>
      </c>
      <c r="BE61" s="224" t="str">
        <f>_xlfn.LET(
_xlpm._一般検索,IFERROR(INDEX('在庫使用計画 (一般)'!$A$1:$BF$391,MATCH($C61,'在庫使用計画 (一般)'!$C$1:$C$391,0),MATCH(BE$1,'在庫使用計画 (一般)'!$A$1:$BF$1,0))*1,0),
_xlpm._法人検索,IFERROR(INDEX('在庫使用計画 (法人)'!$A$1:$BF$391,MATCH($C61,'在庫使用計画 (法人)'!$C$1:$C$391,0),MATCH(BE$1,'在庫使用計画 (法人)'!$A$1:$BF$1,0))*1,0),
_xlpm._合計,_xlpm._一般検索+_xlpm._法人検索,
IF(_xlpm._合計=0,"",_xlpm._合計)
)</f>
        <v/>
      </c>
      <c r="BF61" s="224" t="str">
        <f>_xlfn.LET(
_xlpm._一般検索,IFERROR(INDEX('在庫使用計画 (一般)'!$A$1:$BF$391,MATCH($C61,'在庫使用計画 (一般)'!$C$1:$C$391,0),MATCH(BF$1,'在庫使用計画 (一般)'!$A$1:$BF$1,0))*1,0),
_xlpm._法人検索,IFERROR(INDEX('在庫使用計画 (法人)'!$A$1:$BF$391,MATCH($C61,'在庫使用計画 (法人)'!$C$1:$C$391,0),MATCH(BF$1,'在庫使用計画 (法人)'!$A$1:$BF$1,0))*1,0),
_xlpm._合計,_xlpm._一般検索+_xlpm._法人検索,
IF(_xlpm._合計=0,"",_xlpm._合計)
)</f>
        <v/>
      </c>
      <c r="BG61" s="237" t="str">
        <f>_xlfn.LET(
_xlpm._一般検索,IFERROR(INDEX('在庫使用計画 (一般)'!$A$1:$BF$391,MATCH($C61,'在庫使用計画 (一般)'!$C$1:$C$391,0),MATCH(BG$1,'在庫使用計画 (一般)'!$A$1:$BF$1,0))*1,0),
_xlpm._法人検索,IFERROR(INDEX('在庫使用計画 (法人)'!$A$1:$BF$391,MATCH($C61,'在庫使用計画 (法人)'!$C$1:$C$391,0),MATCH(BG$1,'在庫使用計画 (法人)'!$A$1:$BF$1,0))*1,0),
_xlpm._合計,_xlpm._一般検索+_xlpm._法人検索,
IF(_xlpm._合計=0,"",_xlpm._合計)
)</f>
        <v/>
      </c>
      <c r="BH61" s="804" t="str">
        <f>_xlfn.LET(
_xlpm._一般検索,IFERROR(INDEX('在庫使用計画 (一般)'!$A$1:$BF$391,MATCH($C61,'在庫使用計画 (一般)'!$C$1:$C$391,0),MATCH(BH$1,'在庫使用計画 (一般)'!$A$1:$BF$1,0))*1,0),
_xlpm._法人検索,IFERROR(INDEX('在庫使用計画 (法人)'!$A$1:$BF$391,MATCH($C61,'在庫使用計画 (法人)'!$C$1:$C$391,0),MATCH(BH$1,'在庫使用計画 (法人)'!$A$1:$BF$1,0))*1,0),
_xlpm._合計,_xlpm._一般検索+_xlpm._法人検索,
IF(_xlpm._合計=0,"",_xlpm._合計)
)</f>
        <v/>
      </c>
      <c r="BI61" s="224" t="str">
        <f>_xlfn.LET(
_xlpm._一般検索,IFERROR(INDEX('在庫使用計画 (一般)'!$A$1:$BF$391,MATCH($C61,'在庫使用計画 (一般)'!$C$1:$C$391,0),MATCH(BI$1,'在庫使用計画 (一般)'!$A$1:$BF$1,0))*1,0),
_xlpm._法人検索,IFERROR(INDEX('在庫使用計画 (法人)'!$A$1:$BF$391,MATCH($C61,'在庫使用計画 (法人)'!$C$1:$C$391,0),MATCH(BI$1,'在庫使用計画 (法人)'!$A$1:$BF$1,0))*1,0),
_xlpm._合計,_xlpm._一般検索+_xlpm._法人検索,
IF(_xlpm._合計=0,"",_xlpm._合計)
)</f>
        <v/>
      </c>
      <c r="BJ61" s="224" t="str">
        <f>_xlfn.LET(
_xlpm._一般検索,IFERROR(INDEX('在庫使用計画 (一般)'!$A$1:$BF$391,MATCH($C61,'在庫使用計画 (一般)'!$C$1:$C$391,0),MATCH(BJ$1,'在庫使用計画 (一般)'!$A$1:$BF$1,0))*1,0),
_xlpm._法人検索,IFERROR(INDEX('在庫使用計画 (法人)'!$A$1:$BF$391,MATCH($C61,'在庫使用計画 (法人)'!$C$1:$C$391,0),MATCH(BJ$1,'在庫使用計画 (法人)'!$A$1:$BF$1,0))*1,0),
_xlpm._合計,_xlpm._一般検索+_xlpm._法人検索,
IF(_xlpm._合計=0,"",_xlpm._合計)
)</f>
        <v/>
      </c>
      <c r="BK61" s="224" t="str">
        <f>_xlfn.LET(
_xlpm._一般検索,IFERROR(INDEX('在庫使用計画 (一般)'!$A$1:$BF$391,MATCH($C61,'在庫使用計画 (一般)'!$C$1:$C$391,0),MATCH(BK$1,'在庫使用計画 (一般)'!$A$1:$BF$1,0))*1,0),
_xlpm._法人検索,IFERROR(INDEX('在庫使用計画 (法人)'!$A$1:$BF$391,MATCH($C61,'在庫使用計画 (法人)'!$C$1:$C$391,0),MATCH(BK$1,'在庫使用計画 (法人)'!$A$1:$BF$1,0))*1,0),
_xlpm._合計,_xlpm._一般検索+_xlpm._法人検索,
IF(_xlpm._合計=0,"",_xlpm._合計)
)</f>
        <v/>
      </c>
      <c r="BL61" s="224" t="str">
        <f>_xlfn.LET(
_xlpm._一般検索,IFERROR(INDEX('在庫使用計画 (一般)'!$A$1:$BF$391,MATCH($C61,'在庫使用計画 (一般)'!$C$1:$C$391,0),MATCH(BL$1,'在庫使用計画 (一般)'!$A$1:$BF$1,0))*1,0),
_xlpm._法人検索,IFERROR(INDEX('在庫使用計画 (法人)'!$A$1:$BF$391,MATCH($C61,'在庫使用計画 (法人)'!$C$1:$C$391,0),MATCH(BL$1,'在庫使用計画 (法人)'!$A$1:$BF$1,0))*1,0),
_xlpm._合計,_xlpm._一般検索+_xlpm._法人検索,
IF(_xlpm._合計=0,"",_xlpm._合計)
)</f>
        <v/>
      </c>
      <c r="BM61" s="224" t="str">
        <f>_xlfn.LET(
_xlpm._一般検索,IFERROR(INDEX('在庫使用計画 (一般)'!$A$1:$BF$391,MATCH($C61,'在庫使用計画 (一般)'!$C$1:$C$391,0),MATCH(BM$1,'在庫使用計画 (一般)'!$A$1:$BF$1,0))*1,0),
_xlpm._法人検索,IFERROR(INDEX('在庫使用計画 (法人)'!$A$1:$BF$391,MATCH($C61,'在庫使用計画 (法人)'!$C$1:$C$391,0),MATCH(BM$1,'在庫使用計画 (法人)'!$A$1:$BF$1,0))*1,0),
_xlpm._合計,_xlpm._一般検索+_xlpm._法人検索,
IF(_xlpm._合計=0,"",_xlpm._合計)
)</f>
        <v/>
      </c>
      <c r="BN61" s="224" t="str">
        <f>_xlfn.LET(
_xlpm._一般検索,IFERROR(INDEX('在庫使用計画 (一般)'!$A$1:$BF$391,MATCH($C61,'在庫使用計画 (一般)'!$C$1:$C$391,0),MATCH(BN$1,'在庫使用計画 (一般)'!$A$1:$BF$1,0))*1,0),
_xlpm._法人検索,IFERROR(INDEX('在庫使用計画 (法人)'!$A$1:$BF$391,MATCH($C61,'在庫使用計画 (法人)'!$C$1:$C$391,0),MATCH(BN$1,'在庫使用計画 (法人)'!$A$1:$BF$1,0))*1,0),
_xlpm._合計,_xlpm._一般検索+_xlpm._法人検索,
IF(_xlpm._合計=0,"",_xlpm._合計)
)</f>
        <v/>
      </c>
      <c r="BO61" s="224" t="str">
        <f>_xlfn.LET(
_xlpm._一般検索,IFERROR(INDEX('在庫使用計画 (一般)'!$A$1:$BF$391,MATCH($C61,'在庫使用計画 (一般)'!$C$1:$C$391,0),MATCH(BO$1,'在庫使用計画 (一般)'!$A$1:$BF$1,0))*1,0),
_xlpm._法人検索,IFERROR(INDEX('在庫使用計画 (法人)'!$A$1:$BF$391,MATCH($C61,'在庫使用計画 (法人)'!$C$1:$C$391,0),MATCH(BO$1,'在庫使用計画 (法人)'!$A$1:$BF$1,0))*1,0),
_xlpm._合計,_xlpm._一般検索+_xlpm._法人検索,
IF(_xlpm._合計=0,"",_xlpm._合計)
)</f>
        <v/>
      </c>
      <c r="BP61" s="224" t="str">
        <f>_xlfn.LET(
_xlpm._一般検索,IFERROR(INDEX('在庫使用計画 (一般)'!$A$1:$BF$391,MATCH($C61,'在庫使用計画 (一般)'!$C$1:$C$391,0),MATCH(BP$1,'在庫使用計画 (一般)'!$A$1:$BF$1,0))*1,0),
_xlpm._法人検索,IFERROR(INDEX('在庫使用計画 (法人)'!$A$1:$BF$391,MATCH($C61,'在庫使用計画 (法人)'!$C$1:$C$391,0),MATCH(BP$1,'在庫使用計画 (法人)'!$A$1:$BF$1,0))*1,0),
_xlpm._合計,_xlpm._一般検索+_xlpm._法人検索,
IF(_xlpm._合計=0,"",_xlpm._合計)
)</f>
        <v/>
      </c>
      <c r="BQ61" s="224" t="str">
        <f>_xlfn.LET(
_xlpm._一般検索,IFERROR(INDEX('在庫使用計画 (一般)'!$A$1:$BF$391,MATCH($C61,'在庫使用計画 (一般)'!$C$1:$C$391,0),MATCH(BQ$1,'在庫使用計画 (一般)'!$A$1:$BF$1,0))*1,0),
_xlpm._法人検索,IFERROR(INDEX('在庫使用計画 (法人)'!$A$1:$BF$391,MATCH($C61,'在庫使用計画 (法人)'!$C$1:$C$391,0),MATCH(BQ$1,'在庫使用計画 (法人)'!$A$1:$BF$1,0))*1,0),
_xlpm._合計,_xlpm._一般検索+_xlpm._法人検索,
IF(_xlpm._合計=0,"",_xlpm._合計)
)</f>
        <v/>
      </c>
      <c r="BR61" s="224" t="str">
        <f>_xlfn.LET(
_xlpm._一般検索,IFERROR(INDEX('在庫使用計画 (一般)'!$A$1:$BF$391,MATCH($C61,'在庫使用計画 (一般)'!$C$1:$C$391,0),MATCH(BR$1,'在庫使用計画 (一般)'!$A$1:$BF$1,0))*1,0),
_xlpm._法人検索,IFERROR(INDEX('在庫使用計画 (法人)'!$A$1:$BF$391,MATCH($C61,'在庫使用計画 (法人)'!$C$1:$C$391,0),MATCH(BR$1,'在庫使用計画 (法人)'!$A$1:$BF$1,0))*1,0),
_xlpm._合計,_xlpm._一般検索+_xlpm._法人検索,
IF(_xlpm._合計=0,"",_xlpm._合計)
)</f>
        <v/>
      </c>
      <c r="BS61" s="805" t="str">
        <f>_xlfn.LET(
_xlpm._一般検索,IFERROR(INDEX('在庫使用計画 (一般)'!$A$1:$BF$391,MATCH($C61,'在庫使用計画 (一般)'!$C$1:$C$391,0),MATCH(BS$1,'在庫使用計画 (一般)'!$A$1:$BF$1,0))*1,0),
_xlpm._法人検索,IFERROR(INDEX('在庫使用計画 (法人)'!$A$1:$BF$391,MATCH($C61,'在庫使用計画 (法人)'!$C$1:$C$391,0),MATCH(BS$1,'在庫使用計画 (法人)'!$A$1:$BF$1,0))*1,0),
_xlpm._合計,_xlpm._一般検索+_xlpm._法人検索,
IF(_xlpm._合計=0,"",_xlpm._合計)
)</f>
        <v/>
      </c>
      <c r="BT61" s="21"/>
    </row>
    <row r="62" spans="1:72" customFormat="1" ht="18.75" customHeight="1">
      <c r="A62" s="2064" t="s">
        <v>1651</v>
      </c>
      <c r="B62" s="28" t="str">
        <v>CLE-NL55-1355U-UMA-L6-TPM Thirdwave</v>
      </c>
      <c r="C62" s="25" t="s">
        <v>579</v>
      </c>
      <c r="D62" s="2153">
        <v>1105</v>
      </c>
      <c r="E62" s="24" t="s">
        <v>1426</v>
      </c>
      <c r="F62" s="24" t="s">
        <v>20</v>
      </c>
      <c r="G62" s="74">
        <v>702</v>
      </c>
      <c r="H62" s="38">
        <v>702</v>
      </c>
      <c r="I62" s="38" cm="1">
        <f t="array" ref="I62">IF($C62="","",
_xlfn.LET(
  _xlpm._見出し,$A$1:$BT$1,
  _xlpm._行,$A62:$BT62,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443</v>
      </c>
      <c r="J62" s="74" cm="1">
        <f t="array" ref="J62">_xlfn.LET(
  _xlpm._見出し,$A$1:$BS$1,
  _xlpm._行,$A62:$BS62,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IF($C62="","",_xlpm._四点五月計画合計)
)</f>
        <v>250.5</v>
      </c>
      <c r="K62" s="1458" t="str" cm="1">
        <f t="array" ref="K62">_xlfn.IFS(
  $C62="","",
  $G62="","発売前？",
  $G62=0,"在庫なし",
  TRUE,
  IFERROR(
    _xlfn.LET(
      _xlpm._在庫注残,     $G62,
      _xlpm._しきい値,     _xlpm._在庫注残 * 0.75,
      _xlpm._見出し元,     $L$1:$BU$1,
      _xlpm._計画,         $L62:$BU62,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合計431、在庫+注残702のため不足</v>
      </c>
      <c r="L62" s="311"/>
      <c r="M62" s="311"/>
      <c r="N62" s="311"/>
      <c r="O62" s="311"/>
      <c r="P62" s="311"/>
      <c r="Q62" s="311"/>
      <c r="R62" s="311"/>
      <c r="S62" s="298"/>
      <c r="T62" s="298" t="s">
        <v>21</v>
      </c>
      <c r="U62" s="298" t="s">
        <v>21</v>
      </c>
      <c r="V62" s="298" t="s">
        <v>21</v>
      </c>
      <c r="W62" s="298" t="s">
        <v>21</v>
      </c>
      <c r="X62" s="299" t="s">
        <v>21</v>
      </c>
      <c r="Y62" s="419" t="s">
        <v>21</v>
      </c>
      <c r="Z62" s="419" t="s">
        <v>21</v>
      </c>
      <c r="AA62" s="335" t="s">
        <v>21</v>
      </c>
      <c r="AB62" s="335" t="s">
        <v>21</v>
      </c>
      <c r="AC62" s="335" t="s">
        <v>21</v>
      </c>
      <c r="AD62" s="335" t="s">
        <v>21</v>
      </c>
      <c r="AE62" s="335" t="s">
        <v>21</v>
      </c>
      <c r="AF62" s="335" t="s">
        <v>21</v>
      </c>
      <c r="AG62" s="335" t="s">
        <v>21</v>
      </c>
      <c r="AH62" s="224" t="s">
        <v>21</v>
      </c>
      <c r="AI62" s="823" t="s">
        <v>21</v>
      </c>
      <c r="AJ62" s="804" t="s">
        <v>21</v>
      </c>
      <c r="AK62" s="224">
        <v>10</v>
      </c>
      <c r="AL62" s="224">
        <v>163</v>
      </c>
      <c r="AM62" s="224">
        <v>105</v>
      </c>
      <c r="AN62" s="224">
        <f>_xlfn.LET(
_xlpm._一般検索,IFERROR(INDEX('在庫使用計画 (一般)'!$A$1:$BF$391,MATCH($C62,'在庫使用計画 (一般)'!$C$1:$C$391,0),MATCH(AN$1,'在庫使用計画 (一般)'!$A$1:$BF$1,0))*1,0),
_xlpm._法人検索,IFERROR(INDEX('在庫使用計画 (法人)'!$A$1:$BF$391,MATCH($C62,'在庫使用計画 (法人)'!$C$1:$C$391,0),MATCH(AN$1,'在庫使用計画 (法人)'!$A$1:$BF$1,0))*1,0),
_xlpm._合計,_xlpm._一般検索+_xlpm._法人検索,
IF(_xlpm._合計=0,"",_xlpm._合計)
)</f>
        <v>241</v>
      </c>
      <c r="AO62" s="224">
        <f>_xlfn.LET(
_xlpm._一般検索,IFERROR(INDEX('在庫使用計画 (一般)'!$A$1:$BF$391,MATCH($C62,'在庫使用計画 (一般)'!$C$1:$C$391,0),MATCH(AO$1,'在庫使用計画 (一般)'!$A$1:$BF$1,0))*1,0),
_xlpm._法人検索,IFERROR(INDEX('在庫使用計画 (法人)'!$A$1:$BF$391,MATCH($C62,'在庫使用計画 (法人)'!$C$1:$C$391,0),MATCH(AO$1,'在庫使用計画 (法人)'!$A$1:$BF$1,0))*1,0),
_xlpm._合計,_xlpm._一般検索+_xlpm._法人検索,
IF(_xlpm._合計=0,"",_xlpm._合計)
)</f>
        <v>246</v>
      </c>
      <c r="AP62" s="224">
        <f>_xlfn.LET(
_xlpm._一般検索,IFERROR(INDEX('在庫使用計画 (一般)'!$A$1:$BF$391,MATCH($C62,'在庫使用計画 (一般)'!$C$1:$C$391,0),MATCH(AP$1,'在庫使用計画 (一般)'!$A$1:$BF$1,0))*1,0),
_xlpm._法人検索,IFERROR(INDEX('在庫使用計画 (法人)'!$A$1:$BF$391,MATCH($C62,'在庫使用計画 (法人)'!$C$1:$C$391,0),MATCH(AP$1,'在庫使用計画 (法人)'!$A$1:$BF$1,0))*1,0),
_xlpm._合計,_xlpm._一般検索+_xlpm._法人検索,
IF(_xlpm._合計=0,"",_xlpm._合計)
)</f>
        <v>385</v>
      </c>
      <c r="AQ62" s="224">
        <f>_xlfn.LET(
_xlpm._一般検索,IFERROR(INDEX('在庫使用計画 (一般)'!$A$1:$BF$391,MATCH($C62,'在庫使用計画 (一般)'!$C$1:$C$391,0),MATCH(AQ$1,'在庫使用計画 (一般)'!$A$1:$BF$1,0))*1,0),
_xlpm._法人検索,IFERROR(INDEX('在庫使用計画 (法人)'!$A$1:$BF$391,MATCH($C62,'在庫使用計画 (法人)'!$C$1:$C$391,0),MATCH(AQ$1,'在庫使用計画 (法人)'!$A$1:$BF$1,0))*1,0),
_xlpm._合計,_xlpm._一般検索+_xlpm._法人検索,
IF(_xlpm._合計=0,"",_xlpm._合計)
)</f>
        <v>58</v>
      </c>
      <c r="AR62" s="224" t="str">
        <f>_xlfn.LET(
_xlpm._一般検索,IFERROR(INDEX('在庫使用計画 (一般)'!$A$1:$BF$391,MATCH($C62,'在庫使用計画 (一般)'!$C$1:$C$391,0),MATCH(AR$1,'在庫使用計画 (一般)'!$A$1:$BF$1,0))*1,0),
_xlpm._法人検索,IFERROR(INDEX('在庫使用計画 (法人)'!$A$1:$BF$391,MATCH($C62,'在庫使用計画 (法人)'!$C$1:$C$391,0),MATCH(AR$1,'在庫使用計画 (法人)'!$A$1:$BF$1,0))*1,0),
_xlpm._合計,_xlpm._一般検索+_xlpm._法人検索,
IF(_xlpm._合計=0,"",_xlpm._合計)
)</f>
        <v/>
      </c>
      <c r="AS62" s="224" t="str">
        <f>_xlfn.LET(
_xlpm._一般検索,IFERROR(INDEX('在庫使用計画 (一般)'!$A$1:$BF$391,MATCH($C62,'在庫使用計画 (一般)'!$C$1:$C$391,0),MATCH(AS$1,'在庫使用計画 (一般)'!$A$1:$BF$1,0))*1,0),
_xlpm._法人検索,IFERROR(INDEX('在庫使用計画 (法人)'!$A$1:$BF$391,MATCH($C62,'在庫使用計画 (法人)'!$C$1:$C$391,0),MATCH(AS$1,'在庫使用計画 (法人)'!$A$1:$BF$1,0))*1,0),
_xlpm._合計,_xlpm._一般検索+_xlpm._法人検索,
IF(_xlpm._合計=0,"",_xlpm._合計)
)</f>
        <v/>
      </c>
      <c r="AT62" s="224" t="str">
        <f>_xlfn.LET(
_xlpm._一般検索,IFERROR(INDEX('在庫使用計画 (一般)'!$A$1:$BF$391,MATCH($C62,'在庫使用計画 (一般)'!$C$1:$C$391,0),MATCH(AT$1,'在庫使用計画 (一般)'!$A$1:$BF$1,0))*1,0),
_xlpm._法人検索,IFERROR(INDEX('在庫使用計画 (法人)'!$A$1:$BF$391,MATCH($C62,'在庫使用計画 (法人)'!$C$1:$C$391,0),MATCH(AT$1,'在庫使用計画 (法人)'!$A$1:$BF$1,0))*1,0),
_xlpm._合計,_xlpm._一般検索+_xlpm._法人検索,
IF(_xlpm._合計=0,"",_xlpm._合計)
)</f>
        <v/>
      </c>
      <c r="AU62" s="805" t="str">
        <f>_xlfn.LET(
_xlpm._一般検索,IFERROR(INDEX('在庫使用計画 (一般)'!$A$1:$BF$391,MATCH($C62,'在庫使用計画 (一般)'!$C$1:$C$391,0),MATCH(AU$1,'在庫使用計画 (一般)'!$A$1:$BF$1,0))*1,0),
_xlpm._法人検索,IFERROR(INDEX('在庫使用計画 (法人)'!$A$1:$BF$391,MATCH($C62,'在庫使用計画 (法人)'!$C$1:$C$391,0),MATCH(AU$1,'在庫使用計画 (法人)'!$A$1:$BF$1,0))*1,0),
_xlpm._合計,_xlpm._一般検索+_xlpm._法人検索,
IF(_xlpm._合計=0,"",_xlpm._合計)
)</f>
        <v/>
      </c>
      <c r="AV62" s="244" t="str">
        <f>_xlfn.LET(
_xlpm._一般検索,IFERROR(INDEX('在庫使用計画 (一般)'!$A$1:$BF$391,MATCH($C62,'在庫使用計画 (一般)'!$C$1:$C$391,0),MATCH(AV$1,'在庫使用計画 (一般)'!$A$1:$BF$1,0))*1,0),
_xlpm._法人検索,IFERROR(INDEX('在庫使用計画 (法人)'!$A$1:$BF$391,MATCH($C62,'在庫使用計画 (法人)'!$C$1:$C$391,0),MATCH(AV$1,'在庫使用計画 (法人)'!$A$1:$BF$1,0))*1,0),
_xlpm._合計,_xlpm._一般検索+_xlpm._法人検索,
IF(_xlpm._合計=0,"",_xlpm._合計)
)</f>
        <v/>
      </c>
      <c r="AW62" s="224" t="str">
        <f>_xlfn.LET(
_xlpm._一般検索,IFERROR(INDEX('在庫使用計画 (一般)'!$A$1:$BF$391,MATCH($C62,'在庫使用計画 (一般)'!$C$1:$C$391,0),MATCH(AW$1,'在庫使用計画 (一般)'!$A$1:$BF$1,0))*1,0),
_xlpm._法人検索,IFERROR(INDEX('在庫使用計画 (法人)'!$A$1:$BF$391,MATCH($C62,'在庫使用計画 (法人)'!$C$1:$C$391,0),MATCH(AW$1,'在庫使用計画 (法人)'!$A$1:$BF$1,0))*1,0),
_xlpm._合計,_xlpm._一般検索+_xlpm._法人検索,
IF(_xlpm._合計=0,"",_xlpm._合計)
)</f>
        <v/>
      </c>
      <c r="AX62" s="224" t="str">
        <f>_xlfn.LET(
_xlpm._一般検索,IFERROR(INDEX('在庫使用計画 (一般)'!$A$1:$BF$391,MATCH($C62,'在庫使用計画 (一般)'!$C$1:$C$391,0),MATCH(AX$1,'在庫使用計画 (一般)'!$A$1:$BF$1,0))*1,0),
_xlpm._法人検索,IFERROR(INDEX('在庫使用計画 (法人)'!$A$1:$BF$391,MATCH($C62,'在庫使用計画 (法人)'!$C$1:$C$391,0),MATCH(AX$1,'在庫使用計画 (法人)'!$A$1:$BF$1,0))*1,0),
_xlpm._合計,_xlpm._一般検索+_xlpm._法人検索,
IF(_xlpm._合計=0,"",_xlpm._合計)
)</f>
        <v/>
      </c>
      <c r="AY62" s="224" t="str">
        <f>_xlfn.LET(
_xlpm._一般検索,IFERROR(INDEX('在庫使用計画 (一般)'!$A$1:$BF$391,MATCH($C62,'在庫使用計画 (一般)'!$C$1:$C$391,0),MATCH(AY$1,'在庫使用計画 (一般)'!$A$1:$BF$1,0))*1,0),
_xlpm._法人検索,IFERROR(INDEX('在庫使用計画 (法人)'!$A$1:$BF$391,MATCH($C62,'在庫使用計画 (法人)'!$C$1:$C$391,0),MATCH(AY$1,'在庫使用計画 (法人)'!$A$1:$BF$1,0))*1,0),
_xlpm._合計,_xlpm._一般検索+_xlpm._法人検索,
IF(_xlpm._合計=0,"",_xlpm._合計)
)</f>
        <v/>
      </c>
      <c r="AZ62" s="224" t="str">
        <f>_xlfn.LET(
_xlpm._一般検索,IFERROR(INDEX('在庫使用計画 (一般)'!$A$1:$BF$391,MATCH($C62,'在庫使用計画 (一般)'!$C$1:$C$391,0),MATCH(AZ$1,'在庫使用計画 (一般)'!$A$1:$BF$1,0))*1,0),
_xlpm._法人検索,IFERROR(INDEX('在庫使用計画 (法人)'!$A$1:$BF$391,MATCH($C62,'在庫使用計画 (法人)'!$C$1:$C$391,0),MATCH(AZ$1,'在庫使用計画 (法人)'!$A$1:$BF$1,0))*1,0),
_xlpm._合計,_xlpm._一般検索+_xlpm._法人検索,
IF(_xlpm._合計=0,"",_xlpm._合計)
)</f>
        <v/>
      </c>
      <c r="BA62" s="224" t="str">
        <f>_xlfn.LET(
_xlpm._一般検索,IFERROR(INDEX('在庫使用計画 (一般)'!$A$1:$BF$391,MATCH($C62,'在庫使用計画 (一般)'!$C$1:$C$391,0),MATCH(BA$1,'在庫使用計画 (一般)'!$A$1:$BF$1,0))*1,0),
_xlpm._法人検索,IFERROR(INDEX('在庫使用計画 (法人)'!$A$1:$BF$391,MATCH($C62,'在庫使用計画 (法人)'!$C$1:$C$391,0),MATCH(BA$1,'在庫使用計画 (法人)'!$A$1:$BF$1,0))*1,0),
_xlpm._合計,_xlpm._一般検索+_xlpm._法人検索,
IF(_xlpm._合計=0,"",_xlpm._合計)
)</f>
        <v/>
      </c>
      <c r="BB62" s="224" t="str">
        <f>_xlfn.LET(
_xlpm._一般検索,IFERROR(INDEX('在庫使用計画 (一般)'!$A$1:$BF$391,MATCH($C62,'在庫使用計画 (一般)'!$C$1:$C$391,0),MATCH(BB$1,'在庫使用計画 (一般)'!$A$1:$BF$1,0))*1,0),
_xlpm._法人検索,IFERROR(INDEX('在庫使用計画 (法人)'!$A$1:$BF$391,MATCH($C62,'在庫使用計画 (法人)'!$C$1:$C$391,0),MATCH(BB$1,'在庫使用計画 (法人)'!$A$1:$BF$1,0))*1,0),
_xlpm._合計,_xlpm._一般検索+_xlpm._法人検索,
IF(_xlpm._合計=0,"",_xlpm._合計)
)</f>
        <v/>
      </c>
      <c r="BC62" s="224" t="str">
        <f>_xlfn.LET(
_xlpm._一般検索,IFERROR(INDEX('在庫使用計画 (一般)'!$A$1:$BF$391,MATCH($C62,'在庫使用計画 (一般)'!$C$1:$C$391,0),MATCH(BC$1,'在庫使用計画 (一般)'!$A$1:$BF$1,0))*1,0),
_xlpm._法人検索,IFERROR(INDEX('在庫使用計画 (法人)'!$A$1:$BF$391,MATCH($C62,'在庫使用計画 (法人)'!$C$1:$C$391,0),MATCH(BC$1,'在庫使用計画 (法人)'!$A$1:$BF$1,0))*1,0),
_xlpm._合計,_xlpm._一般検索+_xlpm._法人検索,
IF(_xlpm._合計=0,"",_xlpm._合計)
)</f>
        <v/>
      </c>
      <c r="BD62" s="224" t="str">
        <f>_xlfn.LET(
_xlpm._一般検索,IFERROR(INDEX('在庫使用計画 (一般)'!$A$1:$BF$391,MATCH($C62,'在庫使用計画 (一般)'!$C$1:$C$391,0),MATCH(BD$1,'在庫使用計画 (一般)'!$A$1:$BF$1,0))*1,0),
_xlpm._法人検索,IFERROR(INDEX('在庫使用計画 (法人)'!$A$1:$BF$391,MATCH($C62,'在庫使用計画 (法人)'!$C$1:$C$391,0),MATCH(BD$1,'在庫使用計画 (法人)'!$A$1:$BF$1,0))*1,0),
_xlpm._合計,_xlpm._一般検索+_xlpm._法人検索,
IF(_xlpm._合計=0,"",_xlpm._合計)
)</f>
        <v/>
      </c>
      <c r="BE62" s="224" t="str">
        <f>_xlfn.LET(
_xlpm._一般検索,IFERROR(INDEX('在庫使用計画 (一般)'!$A$1:$BF$391,MATCH($C62,'在庫使用計画 (一般)'!$C$1:$C$391,0),MATCH(BE$1,'在庫使用計画 (一般)'!$A$1:$BF$1,0))*1,0),
_xlpm._法人検索,IFERROR(INDEX('在庫使用計画 (法人)'!$A$1:$BF$391,MATCH($C62,'在庫使用計画 (法人)'!$C$1:$C$391,0),MATCH(BE$1,'在庫使用計画 (法人)'!$A$1:$BF$1,0))*1,0),
_xlpm._合計,_xlpm._一般検索+_xlpm._法人検索,
IF(_xlpm._合計=0,"",_xlpm._合計)
)</f>
        <v/>
      </c>
      <c r="BF62" s="224" t="str">
        <f>_xlfn.LET(
_xlpm._一般検索,IFERROR(INDEX('在庫使用計画 (一般)'!$A$1:$BF$391,MATCH($C62,'在庫使用計画 (一般)'!$C$1:$C$391,0),MATCH(BF$1,'在庫使用計画 (一般)'!$A$1:$BF$1,0))*1,0),
_xlpm._法人検索,IFERROR(INDEX('在庫使用計画 (法人)'!$A$1:$BF$391,MATCH($C62,'在庫使用計画 (法人)'!$C$1:$C$391,0),MATCH(BF$1,'在庫使用計画 (法人)'!$A$1:$BF$1,0))*1,0),
_xlpm._合計,_xlpm._一般検索+_xlpm._法人検索,
IF(_xlpm._合計=0,"",_xlpm._合計)
)</f>
        <v/>
      </c>
      <c r="BG62" s="237" t="str">
        <f>_xlfn.LET(
_xlpm._一般検索,IFERROR(INDEX('在庫使用計画 (一般)'!$A$1:$BF$391,MATCH($C62,'在庫使用計画 (一般)'!$C$1:$C$391,0),MATCH(BG$1,'在庫使用計画 (一般)'!$A$1:$BF$1,0))*1,0),
_xlpm._法人検索,IFERROR(INDEX('在庫使用計画 (法人)'!$A$1:$BF$391,MATCH($C62,'在庫使用計画 (法人)'!$C$1:$C$391,0),MATCH(BG$1,'在庫使用計画 (法人)'!$A$1:$BF$1,0))*1,0),
_xlpm._合計,_xlpm._一般検索+_xlpm._法人検索,
IF(_xlpm._合計=0,"",_xlpm._合計)
)</f>
        <v/>
      </c>
      <c r="BH62" s="804" t="str">
        <f>_xlfn.LET(
_xlpm._一般検索,IFERROR(INDEX('在庫使用計画 (一般)'!$A$1:$BF$391,MATCH($C62,'在庫使用計画 (一般)'!$C$1:$C$391,0),MATCH(BH$1,'在庫使用計画 (一般)'!$A$1:$BF$1,0))*1,0),
_xlpm._法人検索,IFERROR(INDEX('在庫使用計画 (法人)'!$A$1:$BF$391,MATCH($C62,'在庫使用計画 (法人)'!$C$1:$C$391,0),MATCH(BH$1,'在庫使用計画 (法人)'!$A$1:$BF$1,0))*1,0),
_xlpm._合計,_xlpm._一般検索+_xlpm._法人検索,
IF(_xlpm._合計=0,"",_xlpm._合計)
)</f>
        <v/>
      </c>
      <c r="BI62" s="224" t="str">
        <f>_xlfn.LET(
_xlpm._一般検索,IFERROR(INDEX('在庫使用計画 (一般)'!$A$1:$BF$391,MATCH($C62,'在庫使用計画 (一般)'!$C$1:$C$391,0),MATCH(BI$1,'在庫使用計画 (一般)'!$A$1:$BF$1,0))*1,0),
_xlpm._法人検索,IFERROR(INDEX('在庫使用計画 (法人)'!$A$1:$BF$391,MATCH($C62,'在庫使用計画 (法人)'!$C$1:$C$391,0),MATCH(BI$1,'在庫使用計画 (法人)'!$A$1:$BF$1,0))*1,0),
_xlpm._合計,_xlpm._一般検索+_xlpm._法人検索,
IF(_xlpm._合計=0,"",_xlpm._合計)
)</f>
        <v/>
      </c>
      <c r="BJ62" s="224" t="str">
        <f>_xlfn.LET(
_xlpm._一般検索,IFERROR(INDEX('在庫使用計画 (一般)'!$A$1:$BF$391,MATCH($C62,'在庫使用計画 (一般)'!$C$1:$C$391,0),MATCH(BJ$1,'在庫使用計画 (一般)'!$A$1:$BF$1,0))*1,0),
_xlpm._法人検索,IFERROR(INDEX('在庫使用計画 (法人)'!$A$1:$BF$391,MATCH($C62,'在庫使用計画 (法人)'!$C$1:$C$391,0),MATCH(BJ$1,'在庫使用計画 (法人)'!$A$1:$BF$1,0))*1,0),
_xlpm._合計,_xlpm._一般検索+_xlpm._法人検索,
IF(_xlpm._合計=0,"",_xlpm._合計)
)</f>
        <v/>
      </c>
      <c r="BK62" s="224" t="str">
        <f>_xlfn.LET(
_xlpm._一般検索,IFERROR(INDEX('在庫使用計画 (一般)'!$A$1:$BF$391,MATCH($C62,'在庫使用計画 (一般)'!$C$1:$C$391,0),MATCH(BK$1,'在庫使用計画 (一般)'!$A$1:$BF$1,0))*1,0),
_xlpm._法人検索,IFERROR(INDEX('在庫使用計画 (法人)'!$A$1:$BF$391,MATCH($C62,'在庫使用計画 (法人)'!$C$1:$C$391,0),MATCH(BK$1,'在庫使用計画 (法人)'!$A$1:$BF$1,0))*1,0),
_xlpm._合計,_xlpm._一般検索+_xlpm._法人検索,
IF(_xlpm._合計=0,"",_xlpm._合計)
)</f>
        <v/>
      </c>
      <c r="BL62" s="224" t="str">
        <f>_xlfn.LET(
_xlpm._一般検索,IFERROR(INDEX('在庫使用計画 (一般)'!$A$1:$BF$391,MATCH($C62,'在庫使用計画 (一般)'!$C$1:$C$391,0),MATCH(BL$1,'在庫使用計画 (一般)'!$A$1:$BF$1,0))*1,0),
_xlpm._法人検索,IFERROR(INDEX('在庫使用計画 (法人)'!$A$1:$BF$391,MATCH($C62,'在庫使用計画 (法人)'!$C$1:$C$391,0),MATCH(BL$1,'在庫使用計画 (法人)'!$A$1:$BF$1,0))*1,0),
_xlpm._合計,_xlpm._一般検索+_xlpm._法人検索,
IF(_xlpm._合計=0,"",_xlpm._合計)
)</f>
        <v/>
      </c>
      <c r="BM62" s="224" t="str">
        <f>_xlfn.LET(
_xlpm._一般検索,IFERROR(INDEX('在庫使用計画 (一般)'!$A$1:$BF$391,MATCH($C62,'在庫使用計画 (一般)'!$C$1:$C$391,0),MATCH(BM$1,'在庫使用計画 (一般)'!$A$1:$BF$1,0))*1,0),
_xlpm._法人検索,IFERROR(INDEX('在庫使用計画 (法人)'!$A$1:$BF$391,MATCH($C62,'在庫使用計画 (法人)'!$C$1:$C$391,0),MATCH(BM$1,'在庫使用計画 (法人)'!$A$1:$BF$1,0))*1,0),
_xlpm._合計,_xlpm._一般検索+_xlpm._法人検索,
IF(_xlpm._合計=0,"",_xlpm._合計)
)</f>
        <v/>
      </c>
      <c r="BN62" s="224" t="str">
        <f>_xlfn.LET(
_xlpm._一般検索,IFERROR(INDEX('在庫使用計画 (一般)'!$A$1:$BF$391,MATCH($C62,'在庫使用計画 (一般)'!$C$1:$C$391,0),MATCH(BN$1,'在庫使用計画 (一般)'!$A$1:$BF$1,0))*1,0),
_xlpm._法人検索,IFERROR(INDEX('在庫使用計画 (法人)'!$A$1:$BF$391,MATCH($C62,'在庫使用計画 (法人)'!$C$1:$C$391,0),MATCH(BN$1,'在庫使用計画 (法人)'!$A$1:$BF$1,0))*1,0),
_xlpm._合計,_xlpm._一般検索+_xlpm._法人検索,
IF(_xlpm._合計=0,"",_xlpm._合計)
)</f>
        <v/>
      </c>
      <c r="BO62" s="224" t="str">
        <f>_xlfn.LET(
_xlpm._一般検索,IFERROR(INDEX('在庫使用計画 (一般)'!$A$1:$BF$391,MATCH($C62,'在庫使用計画 (一般)'!$C$1:$C$391,0),MATCH(BO$1,'在庫使用計画 (一般)'!$A$1:$BF$1,0))*1,0),
_xlpm._法人検索,IFERROR(INDEX('在庫使用計画 (法人)'!$A$1:$BF$391,MATCH($C62,'在庫使用計画 (法人)'!$C$1:$C$391,0),MATCH(BO$1,'在庫使用計画 (法人)'!$A$1:$BF$1,0))*1,0),
_xlpm._合計,_xlpm._一般検索+_xlpm._法人検索,
IF(_xlpm._合計=0,"",_xlpm._合計)
)</f>
        <v/>
      </c>
      <c r="BP62" s="224" t="str">
        <f>_xlfn.LET(
_xlpm._一般検索,IFERROR(INDEX('在庫使用計画 (一般)'!$A$1:$BF$391,MATCH($C62,'在庫使用計画 (一般)'!$C$1:$C$391,0),MATCH(BP$1,'在庫使用計画 (一般)'!$A$1:$BF$1,0))*1,0),
_xlpm._法人検索,IFERROR(INDEX('在庫使用計画 (法人)'!$A$1:$BF$391,MATCH($C62,'在庫使用計画 (法人)'!$C$1:$C$391,0),MATCH(BP$1,'在庫使用計画 (法人)'!$A$1:$BF$1,0))*1,0),
_xlpm._合計,_xlpm._一般検索+_xlpm._法人検索,
IF(_xlpm._合計=0,"",_xlpm._合計)
)</f>
        <v/>
      </c>
      <c r="BQ62" s="224" t="str">
        <f>_xlfn.LET(
_xlpm._一般検索,IFERROR(INDEX('在庫使用計画 (一般)'!$A$1:$BF$391,MATCH($C62,'在庫使用計画 (一般)'!$C$1:$C$391,0),MATCH(BQ$1,'在庫使用計画 (一般)'!$A$1:$BF$1,0))*1,0),
_xlpm._法人検索,IFERROR(INDEX('在庫使用計画 (法人)'!$A$1:$BF$391,MATCH($C62,'在庫使用計画 (法人)'!$C$1:$C$391,0),MATCH(BQ$1,'在庫使用計画 (法人)'!$A$1:$BF$1,0))*1,0),
_xlpm._合計,_xlpm._一般検索+_xlpm._法人検索,
IF(_xlpm._合計=0,"",_xlpm._合計)
)</f>
        <v/>
      </c>
      <c r="BR62" s="224" t="str">
        <f>_xlfn.LET(
_xlpm._一般検索,IFERROR(INDEX('在庫使用計画 (一般)'!$A$1:$BF$391,MATCH($C62,'在庫使用計画 (一般)'!$C$1:$C$391,0),MATCH(BR$1,'在庫使用計画 (一般)'!$A$1:$BF$1,0))*1,0),
_xlpm._法人検索,IFERROR(INDEX('在庫使用計画 (法人)'!$A$1:$BF$391,MATCH($C62,'在庫使用計画 (法人)'!$C$1:$C$391,0),MATCH(BR$1,'在庫使用計画 (法人)'!$A$1:$BF$1,0))*1,0),
_xlpm._合計,_xlpm._一般検索+_xlpm._法人検索,
IF(_xlpm._合計=0,"",_xlpm._合計)
)</f>
        <v/>
      </c>
      <c r="BS62" s="805" t="str">
        <f>_xlfn.LET(
_xlpm._一般検索,IFERROR(INDEX('在庫使用計画 (一般)'!$A$1:$BF$391,MATCH($C62,'在庫使用計画 (一般)'!$C$1:$C$391,0),MATCH(BS$1,'在庫使用計画 (一般)'!$A$1:$BF$1,0))*1,0),
_xlpm._法人検索,IFERROR(INDEX('在庫使用計画 (法人)'!$A$1:$BF$391,MATCH($C62,'在庫使用計画 (法人)'!$C$1:$C$391,0),MATCH(BS$1,'在庫使用計画 (法人)'!$A$1:$BF$1,0))*1,0),
_xlpm._合計,_xlpm._一般検索+_xlpm._法人検索,
IF(_xlpm._合計=0,"",_xlpm._合計)
)</f>
        <v/>
      </c>
      <c r="BT62" s="21"/>
    </row>
    <row r="63" spans="1:72" customFormat="1" ht="18.75" customHeight="1" thickBot="1">
      <c r="A63" s="2064" t="s">
        <v>1651</v>
      </c>
      <c r="B63" s="1057" t="str">
        <v>CLE-NL55-1355U-UMA-L6-TPM DDR4 TW</v>
      </c>
      <c r="C63" s="1447" t="s">
        <v>1798</v>
      </c>
      <c r="D63" s="2153">
        <v>144</v>
      </c>
      <c r="E63" s="1098" t="s">
        <v>1426</v>
      </c>
      <c r="F63" s="111" t="s">
        <v>1725</v>
      </c>
      <c r="G63" s="74">
        <v>99</v>
      </c>
      <c r="H63" s="38">
        <v>99</v>
      </c>
      <c r="I63" s="38" cm="1">
        <f t="array" ref="I63">IF($C63="","",
_xlfn.LET(
  _xlpm._見出し,$A$1:$BT$1,
  _xlpm._行,$A63:$BT63,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140</v>
      </c>
      <c r="J63" s="74" cm="1">
        <f t="array" ref="J63">_xlfn.LET(
  _xlpm._見出し,$A$1:$BS$1,
  _xlpm._行,$A63:$BS63,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IF($C63="","",_xlpm._四点五月計画合計)
)</f>
        <v>100</v>
      </c>
      <c r="K63" s="1458" cm="1">
        <f t="array" ref="K63">_xlfn.IFS(
  $C63="","",
  $G63="","発売前？",
  $G63=0,"在庫なし",
  TRUE,
  IFERROR(
    _xlfn.LET(
      _xlpm._在庫注残,     $G63,
      _xlpm._しきい値,     _xlpm._在庫注残 * 0.75,
      _xlpm._見出し元,     $L$1:$BU$1,
      _xlpm._計画,         $L63:$BU63,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46204</v>
      </c>
      <c r="L63" s="311"/>
      <c r="M63" s="311"/>
      <c r="N63" s="311"/>
      <c r="O63" s="311"/>
      <c r="P63" s="311"/>
      <c r="Q63" s="311"/>
      <c r="R63" s="311"/>
      <c r="S63" s="298"/>
      <c r="T63" s="298"/>
      <c r="U63" s="298"/>
      <c r="V63" s="298"/>
      <c r="W63" s="298"/>
      <c r="X63" s="299"/>
      <c r="Y63" s="419"/>
      <c r="Z63" s="419"/>
      <c r="AA63" s="335"/>
      <c r="AB63" s="335"/>
      <c r="AC63" s="335"/>
      <c r="AD63" s="335"/>
      <c r="AE63" s="335"/>
      <c r="AF63" s="335"/>
      <c r="AG63" s="335"/>
      <c r="AH63" s="224"/>
      <c r="AI63" s="823"/>
      <c r="AJ63" s="804" t="s">
        <v>21</v>
      </c>
      <c r="AK63" s="224" t="s">
        <v>21</v>
      </c>
      <c r="AL63" s="224" t="s">
        <v>21</v>
      </c>
      <c r="AM63" s="224" t="s">
        <v>21</v>
      </c>
      <c r="AN63" s="224" t="str">
        <f>_xlfn.LET(
_xlpm._一般検索,IFERROR(INDEX('在庫使用計画 (一般)'!$A$1:$BF$391,MATCH($C63,'在庫使用計画 (一般)'!$C$1:$C$391,0),MATCH(AN$1,'在庫使用計画 (一般)'!$A$1:$BF$1,0))*1,0),
_xlpm._法人検索,IFERROR(INDEX('在庫使用計画 (法人)'!$A$1:$BF$391,MATCH($C63,'在庫使用計画 (法人)'!$C$1:$C$391,0),MATCH(AN$1,'在庫使用計画 (法人)'!$A$1:$BF$1,0))*1,0),
_xlpm._合計,_xlpm._一般検索+_xlpm._法人検索,
IF(_xlpm._合計=0,"",_xlpm._合計)
)</f>
        <v/>
      </c>
      <c r="AO63" s="224" t="str">
        <f>_xlfn.LET(
_xlpm._一般検索,IFERROR(INDEX('在庫使用計画 (一般)'!$A$1:$BF$391,MATCH($C63,'在庫使用計画 (一般)'!$C$1:$C$391,0),MATCH(AO$1,'在庫使用計画 (一般)'!$A$1:$BF$1,0))*1,0),
_xlpm._法人検索,IFERROR(INDEX('在庫使用計画 (法人)'!$A$1:$BF$391,MATCH($C63,'在庫使用計画 (法人)'!$C$1:$C$391,0),MATCH(AO$1,'在庫使用計画 (法人)'!$A$1:$BF$1,0))*1,0),
_xlpm._合計,_xlpm._一般検索+_xlpm._法人検索,
IF(_xlpm._合計=0,"",_xlpm._合計)
)</f>
        <v/>
      </c>
      <c r="AP63" s="224">
        <f>_xlfn.LET(
_xlpm._一般検索,IFERROR(INDEX('在庫使用計画 (一般)'!$A$1:$BF$391,MATCH($C63,'在庫使用計画 (一般)'!$C$1:$C$391,0),MATCH(AP$1,'在庫使用計画 (一般)'!$A$1:$BF$1,0))*1,0),
_xlpm._法人検索,IFERROR(INDEX('在庫使用計画 (法人)'!$A$1:$BF$391,MATCH($C63,'在庫使用計画 (法人)'!$C$1:$C$391,0),MATCH(AP$1,'在庫使用計画 (法人)'!$A$1:$BF$1,0))*1,0),
_xlpm._合計,_xlpm._一般検索+_xlpm._法人検索,
IF(_xlpm._合計=0,"",_xlpm._合計)
)</f>
        <v>80</v>
      </c>
      <c r="AQ63" s="224">
        <f>_xlfn.LET(
_xlpm._一般検索,IFERROR(INDEX('在庫使用計画 (一般)'!$A$1:$BF$391,MATCH($C63,'在庫使用計画 (一般)'!$C$1:$C$391,0),MATCH(AQ$1,'在庫使用計画 (一般)'!$A$1:$BF$1,0))*1,0),
_xlpm._法人検索,IFERROR(INDEX('在庫使用計画 (法人)'!$A$1:$BF$391,MATCH($C63,'在庫使用計画 (法人)'!$C$1:$C$391,0),MATCH(AQ$1,'在庫使用計画 (法人)'!$A$1:$BF$1,0))*1,0),
_xlpm._合計,_xlpm._一般検索+_xlpm._法人検索,
IF(_xlpm._合計=0,"",_xlpm._合計)
)</f>
        <v>60</v>
      </c>
      <c r="AR63" s="224" t="str">
        <f>_xlfn.LET(
_xlpm._一般検索,IFERROR(INDEX('在庫使用計画 (一般)'!$A$1:$BF$391,MATCH($C63,'在庫使用計画 (一般)'!$C$1:$C$391,0),MATCH(AR$1,'在庫使用計画 (一般)'!$A$1:$BF$1,0))*1,0),
_xlpm._法人検索,IFERROR(INDEX('在庫使用計画 (法人)'!$A$1:$BF$391,MATCH($C63,'在庫使用計画 (法人)'!$C$1:$C$391,0),MATCH(AR$1,'在庫使用計画 (法人)'!$A$1:$BF$1,0))*1,0),
_xlpm._合計,_xlpm._一般検索+_xlpm._法人検索,
IF(_xlpm._合計=0,"",_xlpm._合計)
)</f>
        <v/>
      </c>
      <c r="AS63" s="224" t="str">
        <f>_xlfn.LET(
_xlpm._一般検索,IFERROR(INDEX('在庫使用計画 (一般)'!$A$1:$BF$391,MATCH($C63,'在庫使用計画 (一般)'!$C$1:$C$391,0),MATCH(AS$1,'在庫使用計画 (一般)'!$A$1:$BF$1,0))*1,0),
_xlpm._法人検索,IFERROR(INDEX('在庫使用計画 (法人)'!$A$1:$BF$391,MATCH($C63,'在庫使用計画 (法人)'!$C$1:$C$391,0),MATCH(AS$1,'在庫使用計画 (法人)'!$A$1:$BF$1,0))*1,0),
_xlpm._合計,_xlpm._一般検索+_xlpm._法人検索,
IF(_xlpm._合計=0,"",_xlpm._合計)
)</f>
        <v/>
      </c>
      <c r="AT63" s="224" t="str">
        <f>_xlfn.LET(
_xlpm._一般検索,IFERROR(INDEX('在庫使用計画 (一般)'!$A$1:$BF$391,MATCH($C63,'在庫使用計画 (一般)'!$C$1:$C$391,0),MATCH(AT$1,'在庫使用計画 (一般)'!$A$1:$BF$1,0))*1,0),
_xlpm._法人検索,IFERROR(INDEX('在庫使用計画 (法人)'!$A$1:$BF$391,MATCH($C63,'在庫使用計画 (法人)'!$C$1:$C$391,0),MATCH(AT$1,'在庫使用計画 (法人)'!$A$1:$BF$1,0))*1,0),
_xlpm._合計,_xlpm._一般検索+_xlpm._法人検索,
IF(_xlpm._合計=0,"",_xlpm._合計)
)</f>
        <v/>
      </c>
      <c r="AU63" s="805" t="str">
        <f>_xlfn.LET(
_xlpm._一般検索,IFERROR(INDEX('在庫使用計画 (一般)'!$A$1:$BF$391,MATCH($C63,'在庫使用計画 (一般)'!$C$1:$C$391,0),MATCH(AU$1,'在庫使用計画 (一般)'!$A$1:$BF$1,0))*1,0),
_xlpm._法人検索,IFERROR(INDEX('在庫使用計画 (法人)'!$A$1:$BF$391,MATCH($C63,'在庫使用計画 (法人)'!$C$1:$C$391,0),MATCH(AU$1,'在庫使用計画 (法人)'!$A$1:$BF$1,0))*1,0),
_xlpm._合計,_xlpm._一般検索+_xlpm._法人検索,
IF(_xlpm._合計=0,"",_xlpm._合計)
)</f>
        <v/>
      </c>
      <c r="AV63" s="244" t="str">
        <f>_xlfn.LET(
_xlpm._一般検索,IFERROR(INDEX('在庫使用計画 (一般)'!$A$1:$BF$391,MATCH($C63,'在庫使用計画 (一般)'!$C$1:$C$391,0),MATCH(AV$1,'在庫使用計画 (一般)'!$A$1:$BF$1,0))*1,0),
_xlpm._法人検索,IFERROR(INDEX('在庫使用計画 (法人)'!$A$1:$BF$391,MATCH($C63,'在庫使用計画 (法人)'!$C$1:$C$391,0),MATCH(AV$1,'在庫使用計画 (法人)'!$A$1:$BF$1,0))*1,0),
_xlpm._合計,_xlpm._一般検索+_xlpm._法人検索,
IF(_xlpm._合計=0,"",_xlpm._合計)
)</f>
        <v/>
      </c>
      <c r="AW63" s="224" t="str">
        <f>_xlfn.LET(
_xlpm._一般検索,IFERROR(INDEX('在庫使用計画 (一般)'!$A$1:$BF$391,MATCH($C63,'在庫使用計画 (一般)'!$C$1:$C$391,0),MATCH(AW$1,'在庫使用計画 (一般)'!$A$1:$BF$1,0))*1,0),
_xlpm._法人検索,IFERROR(INDEX('在庫使用計画 (法人)'!$A$1:$BF$391,MATCH($C63,'在庫使用計画 (法人)'!$C$1:$C$391,0),MATCH(AW$1,'在庫使用計画 (法人)'!$A$1:$BF$1,0))*1,0),
_xlpm._合計,_xlpm._一般検索+_xlpm._法人検索,
IF(_xlpm._合計=0,"",_xlpm._合計)
)</f>
        <v/>
      </c>
      <c r="AX63" s="224" t="str">
        <f>_xlfn.LET(
_xlpm._一般検索,IFERROR(INDEX('在庫使用計画 (一般)'!$A$1:$BF$391,MATCH($C63,'在庫使用計画 (一般)'!$C$1:$C$391,0),MATCH(AX$1,'在庫使用計画 (一般)'!$A$1:$BF$1,0))*1,0),
_xlpm._法人検索,IFERROR(INDEX('在庫使用計画 (法人)'!$A$1:$BF$391,MATCH($C63,'在庫使用計画 (法人)'!$C$1:$C$391,0),MATCH(AX$1,'在庫使用計画 (法人)'!$A$1:$BF$1,0))*1,0),
_xlpm._合計,_xlpm._一般検索+_xlpm._法人検索,
IF(_xlpm._合計=0,"",_xlpm._合計)
)</f>
        <v/>
      </c>
      <c r="AY63" s="224" t="str">
        <f>_xlfn.LET(
_xlpm._一般検索,IFERROR(INDEX('在庫使用計画 (一般)'!$A$1:$BF$391,MATCH($C63,'在庫使用計画 (一般)'!$C$1:$C$391,0),MATCH(AY$1,'在庫使用計画 (一般)'!$A$1:$BF$1,0))*1,0),
_xlpm._法人検索,IFERROR(INDEX('在庫使用計画 (法人)'!$A$1:$BF$391,MATCH($C63,'在庫使用計画 (法人)'!$C$1:$C$391,0),MATCH(AY$1,'在庫使用計画 (法人)'!$A$1:$BF$1,0))*1,0),
_xlpm._合計,_xlpm._一般検索+_xlpm._法人検索,
IF(_xlpm._合計=0,"",_xlpm._合計)
)</f>
        <v/>
      </c>
      <c r="AZ63" s="224" t="str">
        <f>_xlfn.LET(
_xlpm._一般検索,IFERROR(INDEX('在庫使用計画 (一般)'!$A$1:$BF$391,MATCH($C63,'在庫使用計画 (一般)'!$C$1:$C$391,0),MATCH(AZ$1,'在庫使用計画 (一般)'!$A$1:$BF$1,0))*1,0),
_xlpm._法人検索,IFERROR(INDEX('在庫使用計画 (法人)'!$A$1:$BF$391,MATCH($C63,'在庫使用計画 (法人)'!$C$1:$C$391,0),MATCH(AZ$1,'在庫使用計画 (法人)'!$A$1:$BF$1,0))*1,0),
_xlpm._合計,_xlpm._一般検索+_xlpm._法人検索,
IF(_xlpm._合計=0,"",_xlpm._合計)
)</f>
        <v/>
      </c>
      <c r="BA63" s="224" t="str">
        <f>_xlfn.LET(
_xlpm._一般検索,IFERROR(INDEX('在庫使用計画 (一般)'!$A$1:$BF$391,MATCH($C63,'在庫使用計画 (一般)'!$C$1:$C$391,0),MATCH(BA$1,'在庫使用計画 (一般)'!$A$1:$BF$1,0))*1,0),
_xlpm._法人検索,IFERROR(INDEX('在庫使用計画 (法人)'!$A$1:$BF$391,MATCH($C63,'在庫使用計画 (法人)'!$C$1:$C$391,0),MATCH(BA$1,'在庫使用計画 (法人)'!$A$1:$BF$1,0))*1,0),
_xlpm._合計,_xlpm._一般検索+_xlpm._法人検索,
IF(_xlpm._合計=0,"",_xlpm._合計)
)</f>
        <v/>
      </c>
      <c r="BB63" s="224" t="str">
        <f>_xlfn.LET(
_xlpm._一般検索,IFERROR(INDEX('在庫使用計画 (一般)'!$A$1:$BF$391,MATCH($C63,'在庫使用計画 (一般)'!$C$1:$C$391,0),MATCH(BB$1,'在庫使用計画 (一般)'!$A$1:$BF$1,0))*1,0),
_xlpm._法人検索,IFERROR(INDEX('在庫使用計画 (法人)'!$A$1:$BF$391,MATCH($C63,'在庫使用計画 (法人)'!$C$1:$C$391,0),MATCH(BB$1,'在庫使用計画 (法人)'!$A$1:$BF$1,0))*1,0),
_xlpm._合計,_xlpm._一般検索+_xlpm._法人検索,
IF(_xlpm._合計=0,"",_xlpm._合計)
)</f>
        <v/>
      </c>
      <c r="BC63" s="224" t="str">
        <f>_xlfn.LET(
_xlpm._一般検索,IFERROR(INDEX('在庫使用計画 (一般)'!$A$1:$BF$391,MATCH($C63,'在庫使用計画 (一般)'!$C$1:$C$391,0),MATCH(BC$1,'在庫使用計画 (一般)'!$A$1:$BF$1,0))*1,0),
_xlpm._法人検索,IFERROR(INDEX('在庫使用計画 (法人)'!$A$1:$BF$391,MATCH($C63,'在庫使用計画 (法人)'!$C$1:$C$391,0),MATCH(BC$1,'在庫使用計画 (法人)'!$A$1:$BF$1,0))*1,0),
_xlpm._合計,_xlpm._一般検索+_xlpm._法人検索,
IF(_xlpm._合計=0,"",_xlpm._合計)
)</f>
        <v/>
      </c>
      <c r="BD63" s="224" t="str">
        <f>_xlfn.LET(
_xlpm._一般検索,IFERROR(INDEX('在庫使用計画 (一般)'!$A$1:$BF$391,MATCH($C63,'在庫使用計画 (一般)'!$C$1:$C$391,0),MATCH(BD$1,'在庫使用計画 (一般)'!$A$1:$BF$1,0))*1,0),
_xlpm._法人検索,IFERROR(INDEX('在庫使用計画 (法人)'!$A$1:$BF$391,MATCH($C63,'在庫使用計画 (法人)'!$C$1:$C$391,0),MATCH(BD$1,'在庫使用計画 (法人)'!$A$1:$BF$1,0))*1,0),
_xlpm._合計,_xlpm._一般検索+_xlpm._法人検索,
IF(_xlpm._合計=0,"",_xlpm._合計)
)</f>
        <v/>
      </c>
      <c r="BE63" s="224" t="str">
        <f>_xlfn.LET(
_xlpm._一般検索,IFERROR(INDEX('在庫使用計画 (一般)'!$A$1:$BF$391,MATCH($C63,'在庫使用計画 (一般)'!$C$1:$C$391,0),MATCH(BE$1,'在庫使用計画 (一般)'!$A$1:$BF$1,0))*1,0),
_xlpm._法人検索,IFERROR(INDEX('在庫使用計画 (法人)'!$A$1:$BF$391,MATCH($C63,'在庫使用計画 (法人)'!$C$1:$C$391,0),MATCH(BE$1,'在庫使用計画 (法人)'!$A$1:$BF$1,0))*1,0),
_xlpm._合計,_xlpm._一般検索+_xlpm._法人検索,
IF(_xlpm._合計=0,"",_xlpm._合計)
)</f>
        <v/>
      </c>
      <c r="BF63" s="224" t="str">
        <f>_xlfn.LET(
_xlpm._一般検索,IFERROR(INDEX('在庫使用計画 (一般)'!$A$1:$BF$391,MATCH($C63,'在庫使用計画 (一般)'!$C$1:$C$391,0),MATCH(BF$1,'在庫使用計画 (一般)'!$A$1:$BF$1,0))*1,0),
_xlpm._法人検索,IFERROR(INDEX('在庫使用計画 (法人)'!$A$1:$BF$391,MATCH($C63,'在庫使用計画 (法人)'!$C$1:$C$391,0),MATCH(BF$1,'在庫使用計画 (法人)'!$A$1:$BF$1,0))*1,0),
_xlpm._合計,_xlpm._一般検索+_xlpm._法人検索,
IF(_xlpm._合計=0,"",_xlpm._合計)
)</f>
        <v/>
      </c>
      <c r="BG63" s="237" t="str">
        <f>_xlfn.LET(
_xlpm._一般検索,IFERROR(INDEX('在庫使用計画 (一般)'!$A$1:$BF$391,MATCH($C63,'在庫使用計画 (一般)'!$C$1:$C$391,0),MATCH(BG$1,'在庫使用計画 (一般)'!$A$1:$BF$1,0))*1,0),
_xlpm._法人検索,IFERROR(INDEX('在庫使用計画 (法人)'!$A$1:$BF$391,MATCH($C63,'在庫使用計画 (法人)'!$C$1:$C$391,0),MATCH(BG$1,'在庫使用計画 (法人)'!$A$1:$BF$1,0))*1,0),
_xlpm._合計,_xlpm._一般検索+_xlpm._法人検索,
IF(_xlpm._合計=0,"",_xlpm._合計)
)</f>
        <v/>
      </c>
      <c r="BH63" s="804" t="str">
        <f>_xlfn.LET(
_xlpm._一般検索,IFERROR(INDEX('在庫使用計画 (一般)'!$A$1:$BF$391,MATCH($C63,'在庫使用計画 (一般)'!$C$1:$C$391,0),MATCH(BH$1,'在庫使用計画 (一般)'!$A$1:$BF$1,0))*1,0),
_xlpm._法人検索,IFERROR(INDEX('在庫使用計画 (法人)'!$A$1:$BF$391,MATCH($C63,'在庫使用計画 (法人)'!$C$1:$C$391,0),MATCH(BH$1,'在庫使用計画 (法人)'!$A$1:$BF$1,0))*1,0),
_xlpm._合計,_xlpm._一般検索+_xlpm._法人検索,
IF(_xlpm._合計=0,"",_xlpm._合計)
)</f>
        <v/>
      </c>
      <c r="BI63" s="224" t="str">
        <f>_xlfn.LET(
_xlpm._一般検索,IFERROR(INDEX('在庫使用計画 (一般)'!$A$1:$BF$391,MATCH($C63,'在庫使用計画 (一般)'!$C$1:$C$391,0),MATCH(BI$1,'在庫使用計画 (一般)'!$A$1:$BF$1,0))*1,0),
_xlpm._法人検索,IFERROR(INDEX('在庫使用計画 (法人)'!$A$1:$BF$391,MATCH($C63,'在庫使用計画 (法人)'!$C$1:$C$391,0),MATCH(BI$1,'在庫使用計画 (法人)'!$A$1:$BF$1,0))*1,0),
_xlpm._合計,_xlpm._一般検索+_xlpm._法人検索,
IF(_xlpm._合計=0,"",_xlpm._合計)
)</f>
        <v/>
      </c>
      <c r="BJ63" s="224" t="str">
        <f>_xlfn.LET(
_xlpm._一般検索,IFERROR(INDEX('在庫使用計画 (一般)'!$A$1:$BF$391,MATCH($C63,'在庫使用計画 (一般)'!$C$1:$C$391,0),MATCH(BJ$1,'在庫使用計画 (一般)'!$A$1:$BF$1,0))*1,0),
_xlpm._法人検索,IFERROR(INDEX('在庫使用計画 (法人)'!$A$1:$BF$391,MATCH($C63,'在庫使用計画 (法人)'!$C$1:$C$391,0),MATCH(BJ$1,'在庫使用計画 (法人)'!$A$1:$BF$1,0))*1,0),
_xlpm._合計,_xlpm._一般検索+_xlpm._法人検索,
IF(_xlpm._合計=0,"",_xlpm._合計)
)</f>
        <v/>
      </c>
      <c r="BK63" s="224" t="str">
        <f>_xlfn.LET(
_xlpm._一般検索,IFERROR(INDEX('在庫使用計画 (一般)'!$A$1:$BF$391,MATCH($C63,'在庫使用計画 (一般)'!$C$1:$C$391,0),MATCH(BK$1,'在庫使用計画 (一般)'!$A$1:$BF$1,0))*1,0),
_xlpm._法人検索,IFERROR(INDEX('在庫使用計画 (法人)'!$A$1:$BF$391,MATCH($C63,'在庫使用計画 (法人)'!$C$1:$C$391,0),MATCH(BK$1,'在庫使用計画 (法人)'!$A$1:$BF$1,0))*1,0),
_xlpm._合計,_xlpm._一般検索+_xlpm._法人検索,
IF(_xlpm._合計=0,"",_xlpm._合計)
)</f>
        <v/>
      </c>
      <c r="BL63" s="224" t="str">
        <f>_xlfn.LET(
_xlpm._一般検索,IFERROR(INDEX('在庫使用計画 (一般)'!$A$1:$BF$391,MATCH($C63,'在庫使用計画 (一般)'!$C$1:$C$391,0),MATCH(BL$1,'在庫使用計画 (一般)'!$A$1:$BF$1,0))*1,0),
_xlpm._法人検索,IFERROR(INDEX('在庫使用計画 (法人)'!$A$1:$BF$391,MATCH($C63,'在庫使用計画 (法人)'!$C$1:$C$391,0),MATCH(BL$1,'在庫使用計画 (法人)'!$A$1:$BF$1,0))*1,0),
_xlpm._合計,_xlpm._一般検索+_xlpm._法人検索,
IF(_xlpm._合計=0,"",_xlpm._合計)
)</f>
        <v/>
      </c>
      <c r="BM63" s="224" t="str">
        <f>_xlfn.LET(
_xlpm._一般検索,IFERROR(INDEX('在庫使用計画 (一般)'!$A$1:$BF$391,MATCH($C63,'在庫使用計画 (一般)'!$C$1:$C$391,0),MATCH(BM$1,'在庫使用計画 (一般)'!$A$1:$BF$1,0))*1,0),
_xlpm._法人検索,IFERROR(INDEX('在庫使用計画 (法人)'!$A$1:$BF$391,MATCH($C63,'在庫使用計画 (法人)'!$C$1:$C$391,0),MATCH(BM$1,'在庫使用計画 (法人)'!$A$1:$BF$1,0))*1,0),
_xlpm._合計,_xlpm._一般検索+_xlpm._法人検索,
IF(_xlpm._合計=0,"",_xlpm._合計)
)</f>
        <v/>
      </c>
      <c r="BN63" s="224" t="str">
        <f>_xlfn.LET(
_xlpm._一般検索,IFERROR(INDEX('在庫使用計画 (一般)'!$A$1:$BF$391,MATCH($C63,'在庫使用計画 (一般)'!$C$1:$C$391,0),MATCH(BN$1,'在庫使用計画 (一般)'!$A$1:$BF$1,0))*1,0),
_xlpm._法人検索,IFERROR(INDEX('在庫使用計画 (法人)'!$A$1:$BF$391,MATCH($C63,'在庫使用計画 (法人)'!$C$1:$C$391,0),MATCH(BN$1,'在庫使用計画 (法人)'!$A$1:$BF$1,0))*1,0),
_xlpm._合計,_xlpm._一般検索+_xlpm._法人検索,
IF(_xlpm._合計=0,"",_xlpm._合計)
)</f>
        <v/>
      </c>
      <c r="BO63" s="224" t="str">
        <f>_xlfn.LET(
_xlpm._一般検索,IFERROR(INDEX('在庫使用計画 (一般)'!$A$1:$BF$391,MATCH($C63,'在庫使用計画 (一般)'!$C$1:$C$391,0),MATCH(BO$1,'在庫使用計画 (一般)'!$A$1:$BF$1,0))*1,0),
_xlpm._法人検索,IFERROR(INDEX('在庫使用計画 (法人)'!$A$1:$BF$391,MATCH($C63,'在庫使用計画 (法人)'!$C$1:$C$391,0),MATCH(BO$1,'在庫使用計画 (法人)'!$A$1:$BF$1,0))*1,0),
_xlpm._合計,_xlpm._一般検索+_xlpm._法人検索,
IF(_xlpm._合計=0,"",_xlpm._合計)
)</f>
        <v/>
      </c>
      <c r="BP63" s="224" t="str">
        <f>_xlfn.LET(
_xlpm._一般検索,IFERROR(INDEX('在庫使用計画 (一般)'!$A$1:$BF$391,MATCH($C63,'在庫使用計画 (一般)'!$C$1:$C$391,0),MATCH(BP$1,'在庫使用計画 (一般)'!$A$1:$BF$1,0))*1,0),
_xlpm._法人検索,IFERROR(INDEX('在庫使用計画 (法人)'!$A$1:$BF$391,MATCH($C63,'在庫使用計画 (法人)'!$C$1:$C$391,0),MATCH(BP$1,'在庫使用計画 (法人)'!$A$1:$BF$1,0))*1,0),
_xlpm._合計,_xlpm._一般検索+_xlpm._法人検索,
IF(_xlpm._合計=0,"",_xlpm._合計)
)</f>
        <v/>
      </c>
      <c r="BQ63" s="224" t="str">
        <f>_xlfn.LET(
_xlpm._一般検索,IFERROR(INDEX('在庫使用計画 (一般)'!$A$1:$BF$391,MATCH($C63,'在庫使用計画 (一般)'!$C$1:$C$391,0),MATCH(BQ$1,'在庫使用計画 (一般)'!$A$1:$BF$1,0))*1,0),
_xlpm._法人検索,IFERROR(INDEX('在庫使用計画 (法人)'!$A$1:$BF$391,MATCH($C63,'在庫使用計画 (法人)'!$C$1:$C$391,0),MATCH(BQ$1,'在庫使用計画 (法人)'!$A$1:$BF$1,0))*1,0),
_xlpm._合計,_xlpm._一般検索+_xlpm._法人検索,
IF(_xlpm._合計=0,"",_xlpm._合計)
)</f>
        <v/>
      </c>
      <c r="BR63" s="224" t="str">
        <f>_xlfn.LET(
_xlpm._一般検索,IFERROR(INDEX('在庫使用計画 (一般)'!$A$1:$BF$391,MATCH($C63,'在庫使用計画 (一般)'!$C$1:$C$391,0),MATCH(BR$1,'在庫使用計画 (一般)'!$A$1:$BF$1,0))*1,0),
_xlpm._法人検索,IFERROR(INDEX('在庫使用計画 (法人)'!$A$1:$BF$391,MATCH($C63,'在庫使用計画 (法人)'!$C$1:$C$391,0),MATCH(BR$1,'在庫使用計画 (法人)'!$A$1:$BF$1,0))*1,0),
_xlpm._合計,_xlpm._一般検索+_xlpm._法人検索,
IF(_xlpm._合計=0,"",_xlpm._合計)
)</f>
        <v/>
      </c>
      <c r="BS63" s="805" t="str">
        <f>_xlfn.LET(
_xlpm._一般検索,IFERROR(INDEX('在庫使用計画 (一般)'!$A$1:$BF$391,MATCH($C63,'在庫使用計画 (一般)'!$C$1:$C$391,0),MATCH(BS$1,'在庫使用計画 (一般)'!$A$1:$BF$1,0))*1,0),
_xlpm._法人検索,IFERROR(INDEX('在庫使用計画 (法人)'!$A$1:$BF$391,MATCH($C63,'在庫使用計画 (法人)'!$C$1:$C$391,0),MATCH(BS$1,'在庫使用計画 (法人)'!$A$1:$BF$1,0))*1,0),
_xlpm._合計,_xlpm._一般検索+_xlpm._法人検索,
IF(_xlpm._合計=0,"",_xlpm._合計)
)</f>
        <v/>
      </c>
      <c r="BT63" s="21"/>
    </row>
    <row r="64" spans="1:72" customFormat="1" ht="18.75" customHeight="1" thickBot="1">
      <c r="A64" s="2064" t="s">
        <v>1651</v>
      </c>
      <c r="B64" s="1057" t="str">
        <v>CLE-V75-155H-UMA-L6-TPM-DDR5</v>
      </c>
      <c r="C64" s="1440" t="s">
        <v>1654</v>
      </c>
      <c r="D64" s="2153">
        <v>2205</v>
      </c>
      <c r="E64" s="53"/>
      <c r="F64" s="24" t="s">
        <v>20</v>
      </c>
      <c r="G64" s="74">
        <v>2201</v>
      </c>
      <c r="H64" s="38">
        <v>2</v>
      </c>
      <c r="I64" s="38" cm="1">
        <f t="array" ref="I64">IF($C64="","",
_xlfn.LET(
  _xlpm._見出し,$A$1:$BT$1,
  _xlpm._行,$A64:$BT64,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1828</v>
      </c>
      <c r="J64" s="74" cm="1">
        <f t="array" ref="J64">_xlfn.LET(
  _xlpm._見出し,$A$1:$BS$1,
  _xlpm._行,$A64:$BS64,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IF($C64="","",_xlpm._四点五月計画合計)
)</f>
        <v>2017</v>
      </c>
      <c r="K64" s="1458" cm="1">
        <f t="array" ref="K64">_xlfn.IFS(
  $C64="","",
  $G64="","発売前？",
  $G64=0,"在庫なし",
  TRUE,
  IFERROR(
    _xlfn.LET(
      _xlpm._在庫注残,     $G64,
      _xlpm._しきい値,     _xlpm._在庫注残 * 0.75,
      _xlpm._見出し元,     $L$1:$BU$1,
      _xlpm._計画,         $L64:$BU64,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46296</v>
      </c>
      <c r="L64" s="311"/>
      <c r="M64" s="311"/>
      <c r="N64" s="311"/>
      <c r="O64" s="311"/>
      <c r="P64" s="311"/>
      <c r="Q64" s="311"/>
      <c r="R64" s="311"/>
      <c r="S64" s="298"/>
      <c r="T64" s="298" t="s">
        <v>21</v>
      </c>
      <c r="U64" s="298" t="s">
        <v>21</v>
      </c>
      <c r="V64" s="298" t="s">
        <v>21</v>
      </c>
      <c r="W64" s="298" t="s">
        <v>21</v>
      </c>
      <c r="X64" s="299" t="s">
        <v>21</v>
      </c>
      <c r="Y64" s="419" t="s">
        <v>21</v>
      </c>
      <c r="Z64" s="419" t="s">
        <v>21</v>
      </c>
      <c r="AA64" s="335" t="s">
        <v>21</v>
      </c>
      <c r="AB64" s="335" t="s">
        <v>21</v>
      </c>
      <c r="AC64" s="335" t="s">
        <v>21</v>
      </c>
      <c r="AD64" s="335" t="s">
        <v>21</v>
      </c>
      <c r="AE64" s="335" t="s">
        <v>21</v>
      </c>
      <c r="AF64" s="335" t="s">
        <v>21</v>
      </c>
      <c r="AG64" s="335" t="s">
        <v>21</v>
      </c>
      <c r="AH64" s="224" t="s">
        <v>21</v>
      </c>
      <c r="AI64" s="823" t="s">
        <v>21</v>
      </c>
      <c r="AJ64" s="804" t="s">
        <v>21</v>
      </c>
      <c r="AK64" s="224" t="s">
        <v>21</v>
      </c>
      <c r="AL64" s="224" t="s">
        <v>21</v>
      </c>
      <c r="AM64" s="224" t="s">
        <v>21</v>
      </c>
      <c r="AN64" s="224" t="str">
        <f>_xlfn.LET(
_xlpm._一般検索,IFERROR(INDEX('在庫使用計画 (一般)'!$A$1:$BF$391,MATCH($C64,'在庫使用計画 (一般)'!$C$1:$C$391,0),MATCH(AN$1,'在庫使用計画 (一般)'!$A$1:$BF$1,0))*1,0),
_xlpm._法人検索,IFERROR(INDEX('在庫使用計画 (法人)'!$A$1:$BF$391,MATCH($C64,'在庫使用計画 (法人)'!$C$1:$C$391,0),MATCH(AN$1,'在庫使用計画 (法人)'!$A$1:$BF$1,0))*1,0),
_xlpm._合計,_xlpm._一般検索+_xlpm._法人検索,
IF(_xlpm._合計=0,"",_xlpm._合計)
)</f>
        <v/>
      </c>
      <c r="AO64" s="224" t="str">
        <f>_xlfn.LET(
_xlpm._一般検索,IFERROR(INDEX('在庫使用計画 (一般)'!$A$1:$BF$391,MATCH($C64,'在庫使用計画 (一般)'!$C$1:$C$391,0),MATCH(AO$1,'在庫使用計画 (一般)'!$A$1:$BF$1,0))*1,0),
_xlpm._法人検索,IFERROR(INDEX('在庫使用計画 (法人)'!$A$1:$BF$391,MATCH($C64,'在庫使用計画 (法人)'!$C$1:$C$391,0),MATCH(AO$1,'在庫使用計画 (法人)'!$A$1:$BF$1,0))*1,0),
_xlpm._合計,_xlpm._一般検索+_xlpm._法人検索,
IF(_xlpm._合計=0,"",_xlpm._合計)
)</f>
        <v/>
      </c>
      <c r="AP64" s="224">
        <f>_xlfn.LET(
_xlpm._一般検索,IFERROR(INDEX('在庫使用計画 (一般)'!$A$1:$BF$391,MATCH($C64,'在庫使用計画 (一般)'!$C$1:$C$391,0),MATCH(AP$1,'在庫使用計画 (一般)'!$A$1:$BF$1,0))*1,0),
_xlpm._法人検索,IFERROR(INDEX('在庫使用計画 (法人)'!$A$1:$BF$391,MATCH($C64,'在庫使用計画 (法人)'!$C$1:$C$391,0),MATCH(AP$1,'在庫使用計画 (法人)'!$A$1:$BF$1,0))*1,0),
_xlpm._合計,_xlpm._一般検索+_xlpm._法人検索,
IF(_xlpm._合計=0,"",_xlpm._合計)
)</f>
        <v>500</v>
      </c>
      <c r="AQ64" s="224">
        <f>_xlfn.LET(
_xlpm._一般検索,IFERROR(INDEX('在庫使用計画 (一般)'!$A$1:$BF$391,MATCH($C64,'在庫使用計画 (一般)'!$C$1:$C$391,0),MATCH(AQ$1,'在庫使用計画 (一般)'!$A$1:$BF$1,0))*1,0),
_xlpm._法人検索,IFERROR(INDEX('在庫使用計画 (法人)'!$A$1:$BF$391,MATCH($C64,'在庫使用計画 (法人)'!$C$1:$C$391,0),MATCH(AQ$1,'在庫使用計画 (法人)'!$A$1:$BF$1,0))*1,0),
_xlpm._合計,_xlpm._一般検索+_xlpm._法人検索,
IF(_xlpm._合計=0,"",_xlpm._合計)
)</f>
        <v>300</v>
      </c>
      <c r="AR64" s="224">
        <f>_xlfn.LET(
_xlpm._一般検索,IFERROR(INDEX('在庫使用計画 (一般)'!$A$1:$BF$391,MATCH($C64,'在庫使用計画 (一般)'!$C$1:$C$391,0),MATCH(AR$1,'在庫使用計画 (一般)'!$A$1:$BF$1,0))*1,0),
_xlpm._法人検索,IFERROR(INDEX('在庫使用計画 (法人)'!$A$1:$BF$391,MATCH($C64,'在庫使用計画 (法人)'!$C$1:$C$391,0),MATCH(AR$1,'在庫使用計画 (法人)'!$A$1:$BF$1,0))*1,0),
_xlpm._合計,_xlpm._一般検索+_xlpm._法人検索,
IF(_xlpm._合計=0,"",_xlpm._合計)
)</f>
        <v>575</v>
      </c>
      <c r="AS64" s="224">
        <f>_xlfn.LET(
_xlpm._一般検索,IFERROR(INDEX('在庫使用計画 (一般)'!$A$1:$BF$391,MATCH($C64,'在庫使用計画 (一般)'!$C$1:$C$391,0),MATCH(AS$1,'在庫使用計画 (一般)'!$A$1:$BF$1,0))*1,0),
_xlpm._法人検索,IFERROR(INDEX('在庫使用計画 (法人)'!$A$1:$BF$391,MATCH($C64,'在庫使用計画 (法人)'!$C$1:$C$391,0),MATCH(AS$1,'在庫使用計画 (法人)'!$A$1:$BF$1,0))*1,0),
_xlpm._合計,_xlpm._一般検索+_xlpm._法人検索,
IF(_xlpm._合計=0,"",_xlpm._合計)
)</f>
        <v>453</v>
      </c>
      <c r="AT64" s="224">
        <f>_xlfn.LET(
_xlpm._一般検索,IFERROR(INDEX('在庫使用計画 (一般)'!$A$1:$BF$391,MATCH($C64,'在庫使用計画 (一般)'!$C$1:$C$391,0),MATCH(AT$1,'在庫使用計画 (一般)'!$A$1:$BF$1,0))*1,0),
_xlpm._法人検索,IFERROR(INDEX('在庫使用計画 (法人)'!$A$1:$BF$391,MATCH($C64,'在庫使用計画 (法人)'!$C$1:$C$391,0),MATCH(AT$1,'在庫使用計画 (法人)'!$A$1:$BF$1,0))*1,0),
_xlpm._合計,_xlpm._一般検索+_xlpm._法人検索,
IF(_xlpm._合計=0,"",_xlpm._合計)
)</f>
        <v>439</v>
      </c>
      <c r="AU64" s="805">
        <f>_xlfn.LET(
_xlpm._一般検索,IFERROR(INDEX('在庫使用計画 (一般)'!$A$1:$BF$391,MATCH($C64,'在庫使用計画 (一般)'!$C$1:$C$391,0),MATCH(AU$1,'在庫使用計画 (一般)'!$A$1:$BF$1,0))*1,0),
_xlpm._法人検索,IFERROR(INDEX('在庫使用計画 (法人)'!$A$1:$BF$391,MATCH($C64,'在庫使用計画 (法人)'!$C$1:$C$391,0),MATCH(AU$1,'在庫使用計画 (法人)'!$A$1:$BF$1,0))*1,0),
_xlpm._合計,_xlpm._一般検索+_xlpm._法人検索,
IF(_xlpm._合計=0,"",_xlpm._合計)
)</f>
        <v>572</v>
      </c>
      <c r="AV64" s="244">
        <f>_xlfn.LET(
_xlpm._一般検索,IFERROR(INDEX('在庫使用計画 (一般)'!$A$1:$BF$391,MATCH($C64,'在庫使用計画 (一般)'!$C$1:$C$391,0),MATCH(AV$1,'在庫使用計画 (一般)'!$A$1:$BF$1,0))*1,0),
_xlpm._法人検索,IFERROR(INDEX('在庫使用計画 (法人)'!$A$1:$BF$391,MATCH($C64,'在庫使用計画 (法人)'!$C$1:$C$391,0),MATCH(AV$1,'在庫使用計画 (法人)'!$A$1:$BF$1,0))*1,0),
_xlpm._合計,_xlpm._一般検索+_xlpm._法人検索,
IF(_xlpm._合計=0,"",_xlpm._合計)
)</f>
        <v>398</v>
      </c>
      <c r="AW64" s="224">
        <f>_xlfn.LET(
_xlpm._一般検索,IFERROR(INDEX('在庫使用計画 (一般)'!$A$1:$BF$391,MATCH($C64,'在庫使用計画 (一般)'!$C$1:$C$391,0),MATCH(AW$1,'在庫使用計画 (一般)'!$A$1:$BF$1,0))*1,0),
_xlpm._法人検索,IFERROR(INDEX('在庫使用計画 (法人)'!$A$1:$BF$391,MATCH($C64,'在庫使用計画 (法人)'!$C$1:$C$391,0),MATCH(AW$1,'在庫使用計画 (法人)'!$A$1:$BF$1,0))*1,0),
_xlpm._合計,_xlpm._一般検索+_xlpm._法人検索,
IF(_xlpm._合計=0,"",_xlpm._合計)
)</f>
        <v>630</v>
      </c>
      <c r="AX64" s="224">
        <f>_xlfn.LET(
_xlpm._一般検索,IFERROR(INDEX('在庫使用計画 (一般)'!$A$1:$BF$391,MATCH($C64,'在庫使用計画 (一般)'!$C$1:$C$391,0),MATCH(AX$1,'在庫使用計画 (一般)'!$A$1:$BF$1,0))*1,0),
_xlpm._法人検索,IFERROR(INDEX('在庫使用計画 (法人)'!$A$1:$BF$391,MATCH($C64,'在庫使用計画 (法人)'!$C$1:$C$391,0),MATCH(AX$1,'在庫使用計画 (法人)'!$A$1:$BF$1,0))*1,0),
_xlpm._合計,_xlpm._一般検索+_xlpm._法人検索,
IF(_xlpm._合計=0,"",_xlpm._合計)
)</f>
        <v>402</v>
      </c>
      <c r="AY64" s="224">
        <f>_xlfn.LET(
_xlpm._一般検索,IFERROR(INDEX('在庫使用計画 (一般)'!$A$1:$BF$391,MATCH($C64,'在庫使用計画 (一般)'!$C$1:$C$391,0),MATCH(AY$1,'在庫使用計画 (一般)'!$A$1:$BF$1,0))*1,0),
_xlpm._法人検索,IFERROR(INDEX('在庫使用計画 (法人)'!$A$1:$BF$391,MATCH($C64,'在庫使用計画 (法人)'!$C$1:$C$391,0),MATCH(AY$1,'在庫使用計画 (法人)'!$A$1:$BF$1,0))*1,0),
_xlpm._合計,_xlpm._一般検索+_xlpm._法人検索,
IF(_xlpm._合計=0,"",_xlpm._合計)
)</f>
        <v>319</v>
      </c>
      <c r="AZ64" s="224">
        <f>_xlfn.LET(
_xlpm._一般検索,IFERROR(INDEX('在庫使用計画 (一般)'!$A$1:$BF$391,MATCH($C64,'在庫使用計画 (一般)'!$C$1:$C$391,0),MATCH(AZ$1,'在庫使用計画 (一般)'!$A$1:$BF$1,0))*1,0),
_xlpm._法人検索,IFERROR(INDEX('在庫使用計画 (法人)'!$A$1:$BF$391,MATCH($C64,'在庫使用計画 (法人)'!$C$1:$C$391,0),MATCH(AZ$1,'在庫使用計画 (法人)'!$A$1:$BF$1,0))*1,0),
_xlpm._合計,_xlpm._一般検索+_xlpm._法人検索,
IF(_xlpm._合計=0,"",_xlpm._合計)
)</f>
        <v>705</v>
      </c>
      <c r="BA64" s="224">
        <f>_xlfn.LET(
_xlpm._一般検索,IFERROR(INDEX('在庫使用計画 (一般)'!$A$1:$BF$391,MATCH($C64,'在庫使用計画 (一般)'!$C$1:$C$391,0),MATCH(BA$1,'在庫使用計画 (一般)'!$A$1:$BF$1,0))*1,0),
_xlpm._法人検索,IFERROR(INDEX('在庫使用計画 (法人)'!$A$1:$BF$391,MATCH($C64,'在庫使用計画 (法人)'!$C$1:$C$391,0),MATCH(BA$1,'在庫使用計画 (法人)'!$A$1:$BF$1,0))*1,0),
_xlpm._合計,_xlpm._一般検索+_xlpm._法人検索,
IF(_xlpm._合計=0,"",_xlpm._合計)
)</f>
        <v>304</v>
      </c>
      <c r="BB64" s="224">
        <f>_xlfn.LET(
_xlpm._一般検索,IFERROR(INDEX('在庫使用計画 (一般)'!$A$1:$BF$391,MATCH($C64,'在庫使用計画 (一般)'!$C$1:$C$391,0),MATCH(BB$1,'在庫使用計画 (一般)'!$A$1:$BF$1,0))*1,0),
_xlpm._法人検索,IFERROR(INDEX('在庫使用計画 (法人)'!$A$1:$BF$391,MATCH($C64,'在庫使用計画 (法人)'!$C$1:$C$391,0),MATCH(BB$1,'在庫使用計画 (法人)'!$A$1:$BF$1,0))*1,0),
_xlpm._合計,_xlpm._一般検索+_xlpm._法人検索,
IF(_xlpm._合計=0,"",_xlpm._合計)
)</f>
        <v>319</v>
      </c>
      <c r="BC64" s="224">
        <f>_xlfn.LET(
_xlpm._一般検索,IFERROR(INDEX('在庫使用計画 (一般)'!$A$1:$BF$391,MATCH($C64,'在庫使用計画 (一般)'!$C$1:$C$391,0),MATCH(BC$1,'在庫使用計画 (一般)'!$A$1:$BF$1,0))*1,0),
_xlpm._法人検索,IFERROR(INDEX('在庫使用計画 (法人)'!$A$1:$BF$391,MATCH($C64,'在庫使用計画 (法人)'!$C$1:$C$391,0),MATCH(BC$1,'在庫使用計画 (法人)'!$A$1:$BF$1,0))*1,0),
_xlpm._合計,_xlpm._一般検索+_xlpm._法人検索,
IF(_xlpm._合計=0,"",_xlpm._合計)
)</f>
        <v>307</v>
      </c>
      <c r="BD64" s="224" t="str">
        <f>_xlfn.LET(
_xlpm._一般検索,IFERROR(INDEX('在庫使用計画 (一般)'!$A$1:$BF$391,MATCH($C64,'在庫使用計画 (一般)'!$C$1:$C$391,0),MATCH(BD$1,'在庫使用計画 (一般)'!$A$1:$BF$1,0))*1,0),
_xlpm._法人検索,IFERROR(INDEX('在庫使用計画 (法人)'!$A$1:$BF$391,MATCH($C64,'在庫使用計画 (法人)'!$C$1:$C$391,0),MATCH(BD$1,'在庫使用計画 (法人)'!$A$1:$BF$1,0))*1,0),
_xlpm._合計,_xlpm._一般検索+_xlpm._法人検索,
IF(_xlpm._合計=0,"",_xlpm._合計)
)</f>
        <v/>
      </c>
      <c r="BE64" s="224" t="str">
        <f>_xlfn.LET(
_xlpm._一般検索,IFERROR(INDEX('在庫使用計画 (一般)'!$A$1:$BF$391,MATCH($C64,'在庫使用計画 (一般)'!$C$1:$C$391,0),MATCH(BE$1,'在庫使用計画 (一般)'!$A$1:$BF$1,0))*1,0),
_xlpm._法人検索,IFERROR(INDEX('在庫使用計画 (法人)'!$A$1:$BF$391,MATCH($C64,'在庫使用計画 (法人)'!$C$1:$C$391,0),MATCH(BE$1,'在庫使用計画 (法人)'!$A$1:$BF$1,0))*1,0),
_xlpm._合計,_xlpm._一般検索+_xlpm._法人検索,
IF(_xlpm._合計=0,"",_xlpm._合計)
)</f>
        <v/>
      </c>
      <c r="BF64" s="224" t="str">
        <f>_xlfn.LET(
_xlpm._一般検索,IFERROR(INDEX('在庫使用計画 (一般)'!$A$1:$BF$391,MATCH($C64,'在庫使用計画 (一般)'!$C$1:$C$391,0),MATCH(BF$1,'在庫使用計画 (一般)'!$A$1:$BF$1,0))*1,0),
_xlpm._法人検索,IFERROR(INDEX('在庫使用計画 (法人)'!$A$1:$BF$391,MATCH($C64,'在庫使用計画 (法人)'!$C$1:$C$391,0),MATCH(BF$1,'在庫使用計画 (法人)'!$A$1:$BF$1,0))*1,0),
_xlpm._合計,_xlpm._一般検索+_xlpm._法人検索,
IF(_xlpm._合計=0,"",_xlpm._合計)
)</f>
        <v/>
      </c>
      <c r="BG64" s="237" t="str">
        <f>_xlfn.LET(
_xlpm._一般検索,IFERROR(INDEX('在庫使用計画 (一般)'!$A$1:$BF$391,MATCH($C64,'在庫使用計画 (一般)'!$C$1:$C$391,0),MATCH(BG$1,'在庫使用計画 (一般)'!$A$1:$BF$1,0))*1,0),
_xlpm._法人検索,IFERROR(INDEX('在庫使用計画 (法人)'!$A$1:$BF$391,MATCH($C64,'在庫使用計画 (法人)'!$C$1:$C$391,0),MATCH(BG$1,'在庫使用計画 (法人)'!$A$1:$BF$1,0))*1,0),
_xlpm._合計,_xlpm._一般検索+_xlpm._法人検索,
IF(_xlpm._合計=0,"",_xlpm._合計)
)</f>
        <v/>
      </c>
      <c r="BH64" s="804" t="str">
        <f>_xlfn.LET(
_xlpm._一般検索,IFERROR(INDEX('在庫使用計画 (一般)'!$A$1:$BF$391,MATCH($C64,'在庫使用計画 (一般)'!$C$1:$C$391,0),MATCH(BH$1,'在庫使用計画 (一般)'!$A$1:$BF$1,0))*1,0),
_xlpm._法人検索,IFERROR(INDEX('在庫使用計画 (法人)'!$A$1:$BF$391,MATCH($C64,'在庫使用計画 (法人)'!$C$1:$C$391,0),MATCH(BH$1,'在庫使用計画 (法人)'!$A$1:$BF$1,0))*1,0),
_xlpm._合計,_xlpm._一般検索+_xlpm._法人検索,
IF(_xlpm._合計=0,"",_xlpm._合計)
)</f>
        <v/>
      </c>
      <c r="BI64" s="224" t="str">
        <f>_xlfn.LET(
_xlpm._一般検索,IFERROR(INDEX('在庫使用計画 (一般)'!$A$1:$BF$391,MATCH($C64,'在庫使用計画 (一般)'!$C$1:$C$391,0),MATCH(BI$1,'在庫使用計画 (一般)'!$A$1:$BF$1,0))*1,0),
_xlpm._法人検索,IFERROR(INDEX('在庫使用計画 (法人)'!$A$1:$BF$391,MATCH($C64,'在庫使用計画 (法人)'!$C$1:$C$391,0),MATCH(BI$1,'在庫使用計画 (法人)'!$A$1:$BF$1,0))*1,0),
_xlpm._合計,_xlpm._一般検索+_xlpm._法人検索,
IF(_xlpm._合計=0,"",_xlpm._合計)
)</f>
        <v/>
      </c>
      <c r="BJ64" s="224" t="str">
        <f>_xlfn.LET(
_xlpm._一般検索,IFERROR(INDEX('在庫使用計画 (一般)'!$A$1:$BF$391,MATCH($C64,'在庫使用計画 (一般)'!$C$1:$C$391,0),MATCH(BJ$1,'在庫使用計画 (一般)'!$A$1:$BF$1,0))*1,0),
_xlpm._法人検索,IFERROR(INDEX('在庫使用計画 (法人)'!$A$1:$BF$391,MATCH($C64,'在庫使用計画 (法人)'!$C$1:$C$391,0),MATCH(BJ$1,'在庫使用計画 (法人)'!$A$1:$BF$1,0))*1,0),
_xlpm._合計,_xlpm._一般検索+_xlpm._法人検索,
IF(_xlpm._合計=0,"",_xlpm._合計)
)</f>
        <v/>
      </c>
      <c r="BK64" s="224" t="str">
        <f>_xlfn.LET(
_xlpm._一般検索,IFERROR(INDEX('在庫使用計画 (一般)'!$A$1:$BF$391,MATCH($C64,'在庫使用計画 (一般)'!$C$1:$C$391,0),MATCH(BK$1,'在庫使用計画 (一般)'!$A$1:$BF$1,0))*1,0),
_xlpm._法人検索,IFERROR(INDEX('在庫使用計画 (法人)'!$A$1:$BF$391,MATCH($C64,'在庫使用計画 (法人)'!$C$1:$C$391,0),MATCH(BK$1,'在庫使用計画 (法人)'!$A$1:$BF$1,0))*1,0),
_xlpm._合計,_xlpm._一般検索+_xlpm._法人検索,
IF(_xlpm._合計=0,"",_xlpm._合計)
)</f>
        <v/>
      </c>
      <c r="BL64" s="224" t="str">
        <f>_xlfn.LET(
_xlpm._一般検索,IFERROR(INDEX('在庫使用計画 (一般)'!$A$1:$BF$391,MATCH($C64,'在庫使用計画 (一般)'!$C$1:$C$391,0),MATCH(BL$1,'在庫使用計画 (一般)'!$A$1:$BF$1,0))*1,0),
_xlpm._法人検索,IFERROR(INDEX('在庫使用計画 (法人)'!$A$1:$BF$391,MATCH($C64,'在庫使用計画 (法人)'!$C$1:$C$391,0),MATCH(BL$1,'在庫使用計画 (法人)'!$A$1:$BF$1,0))*1,0),
_xlpm._合計,_xlpm._一般検索+_xlpm._法人検索,
IF(_xlpm._合計=0,"",_xlpm._合計)
)</f>
        <v/>
      </c>
      <c r="BM64" s="224" t="str">
        <f>_xlfn.LET(
_xlpm._一般検索,IFERROR(INDEX('在庫使用計画 (一般)'!$A$1:$BF$391,MATCH($C64,'在庫使用計画 (一般)'!$C$1:$C$391,0),MATCH(BM$1,'在庫使用計画 (一般)'!$A$1:$BF$1,0))*1,0),
_xlpm._法人検索,IFERROR(INDEX('在庫使用計画 (法人)'!$A$1:$BF$391,MATCH($C64,'在庫使用計画 (法人)'!$C$1:$C$391,0),MATCH(BM$1,'在庫使用計画 (法人)'!$A$1:$BF$1,0))*1,0),
_xlpm._合計,_xlpm._一般検索+_xlpm._法人検索,
IF(_xlpm._合計=0,"",_xlpm._合計)
)</f>
        <v/>
      </c>
      <c r="BN64" s="224" t="str">
        <f>_xlfn.LET(
_xlpm._一般検索,IFERROR(INDEX('在庫使用計画 (一般)'!$A$1:$BF$391,MATCH($C64,'在庫使用計画 (一般)'!$C$1:$C$391,0),MATCH(BN$1,'在庫使用計画 (一般)'!$A$1:$BF$1,0))*1,0),
_xlpm._法人検索,IFERROR(INDEX('在庫使用計画 (法人)'!$A$1:$BF$391,MATCH($C64,'在庫使用計画 (法人)'!$C$1:$C$391,0),MATCH(BN$1,'在庫使用計画 (法人)'!$A$1:$BF$1,0))*1,0),
_xlpm._合計,_xlpm._一般検索+_xlpm._法人検索,
IF(_xlpm._合計=0,"",_xlpm._合計)
)</f>
        <v/>
      </c>
      <c r="BO64" s="224" t="str">
        <f>_xlfn.LET(
_xlpm._一般検索,IFERROR(INDEX('在庫使用計画 (一般)'!$A$1:$BF$391,MATCH($C64,'在庫使用計画 (一般)'!$C$1:$C$391,0),MATCH(BO$1,'在庫使用計画 (一般)'!$A$1:$BF$1,0))*1,0),
_xlpm._法人検索,IFERROR(INDEX('在庫使用計画 (法人)'!$A$1:$BF$391,MATCH($C64,'在庫使用計画 (法人)'!$C$1:$C$391,0),MATCH(BO$1,'在庫使用計画 (法人)'!$A$1:$BF$1,0))*1,0),
_xlpm._合計,_xlpm._一般検索+_xlpm._法人検索,
IF(_xlpm._合計=0,"",_xlpm._合計)
)</f>
        <v/>
      </c>
      <c r="BP64" s="224" t="str">
        <f>_xlfn.LET(
_xlpm._一般検索,IFERROR(INDEX('在庫使用計画 (一般)'!$A$1:$BF$391,MATCH($C64,'在庫使用計画 (一般)'!$C$1:$C$391,0),MATCH(BP$1,'在庫使用計画 (一般)'!$A$1:$BF$1,0))*1,0),
_xlpm._法人検索,IFERROR(INDEX('在庫使用計画 (法人)'!$A$1:$BF$391,MATCH($C64,'在庫使用計画 (法人)'!$C$1:$C$391,0),MATCH(BP$1,'在庫使用計画 (法人)'!$A$1:$BF$1,0))*1,0),
_xlpm._合計,_xlpm._一般検索+_xlpm._法人検索,
IF(_xlpm._合計=0,"",_xlpm._合計)
)</f>
        <v/>
      </c>
      <c r="BQ64" s="224" t="str">
        <f>_xlfn.LET(
_xlpm._一般検索,IFERROR(INDEX('在庫使用計画 (一般)'!$A$1:$BF$391,MATCH($C64,'在庫使用計画 (一般)'!$C$1:$C$391,0),MATCH(BQ$1,'在庫使用計画 (一般)'!$A$1:$BF$1,0))*1,0),
_xlpm._法人検索,IFERROR(INDEX('在庫使用計画 (法人)'!$A$1:$BF$391,MATCH($C64,'在庫使用計画 (法人)'!$C$1:$C$391,0),MATCH(BQ$1,'在庫使用計画 (法人)'!$A$1:$BF$1,0))*1,0),
_xlpm._合計,_xlpm._一般検索+_xlpm._法人検索,
IF(_xlpm._合計=0,"",_xlpm._合計)
)</f>
        <v/>
      </c>
      <c r="BR64" s="224" t="str">
        <f>_xlfn.LET(
_xlpm._一般検索,IFERROR(INDEX('在庫使用計画 (一般)'!$A$1:$BF$391,MATCH($C64,'在庫使用計画 (一般)'!$C$1:$C$391,0),MATCH(BR$1,'在庫使用計画 (一般)'!$A$1:$BF$1,0))*1,0),
_xlpm._法人検索,IFERROR(INDEX('在庫使用計画 (法人)'!$A$1:$BF$391,MATCH($C64,'在庫使用計画 (法人)'!$C$1:$C$391,0),MATCH(BR$1,'在庫使用計画 (法人)'!$A$1:$BF$1,0))*1,0),
_xlpm._合計,_xlpm._一般検索+_xlpm._法人検索,
IF(_xlpm._合計=0,"",_xlpm._合計)
)</f>
        <v/>
      </c>
      <c r="BS64" s="805" t="str">
        <f>_xlfn.LET(
_xlpm._一般検索,IFERROR(INDEX('在庫使用計画 (一般)'!$A$1:$BF$391,MATCH($C64,'在庫使用計画 (一般)'!$C$1:$C$391,0),MATCH(BS$1,'在庫使用計画 (一般)'!$A$1:$BF$1,0))*1,0),
_xlpm._法人検索,IFERROR(INDEX('在庫使用計画 (法人)'!$A$1:$BF$391,MATCH($C64,'在庫使用計画 (法人)'!$C$1:$C$391,0),MATCH(BS$1,'在庫使用計画 (法人)'!$A$1:$BF$1,0))*1,0),
_xlpm._合計,_xlpm._一般検索+_xlpm._法人検索,
IF(_xlpm._合計=0,"",_xlpm._合計)
)</f>
        <v/>
      </c>
      <c r="BT64" s="21"/>
    </row>
    <row r="65" spans="1:72" customFormat="1" ht="18.75" customHeight="1">
      <c r="A65" s="2064" t="s">
        <v>1651</v>
      </c>
      <c r="B65" s="28" t="str">
        <v>QNT-LGHB-1335U-UMA-L6</v>
      </c>
      <c r="C65" s="531" t="s">
        <v>644</v>
      </c>
      <c r="D65" s="2153">
        <v>5960</v>
      </c>
      <c r="E65" s="25" t="s">
        <v>1732</v>
      </c>
      <c r="F65" s="26" t="s">
        <v>1725</v>
      </c>
      <c r="G65" s="74">
        <v>302</v>
      </c>
      <c r="H65" s="38">
        <v>302</v>
      </c>
      <c r="I65" s="38" cm="1">
        <f t="array" ref="I65">IF($C65="","",
_xlfn.LET(
  _xlpm._見出し,$A$1:$BT$1,
  _xlpm._行,$A65:$BT65,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300</v>
      </c>
      <c r="J65" s="74" cm="1">
        <f t="array" ref="J65">_xlfn.LET(
  _xlpm._見出し,$A$1:$BS$1,
  _xlpm._行,$A65:$BS65,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IF($C65="","",_xlpm._四点五月計画合計)
)</f>
        <v>150</v>
      </c>
      <c r="K65" s="1458" cm="1">
        <f t="array" ref="K65">_xlfn.IFS(
  $C65="","",
  $G65="","発売前？",
  $G65=0,"在庫なし",
  TRUE,
  IFERROR(
    _xlfn.LET(
      _xlpm._在庫注残,     $G65,
      _xlpm._しきい値,     _xlpm._在庫注残 * 0.75,
      _xlpm._見出し元,     $L$1:$BU$1,
      _xlpm._計画,         $L65:$BU65,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46204</v>
      </c>
      <c r="L65" s="38">
        <v>769</v>
      </c>
      <c r="M65" s="38">
        <v>480</v>
      </c>
      <c r="N65" s="38">
        <v>605</v>
      </c>
      <c r="O65" s="38">
        <v>560</v>
      </c>
      <c r="P65" s="38">
        <v>540</v>
      </c>
      <c r="Q65" s="38">
        <v>565</v>
      </c>
      <c r="R65" s="38">
        <v>635</v>
      </c>
      <c r="S65" s="38">
        <v>440</v>
      </c>
      <c r="T65" s="219">
        <v>570</v>
      </c>
      <c r="U65" s="219">
        <v>540</v>
      </c>
      <c r="V65" s="219">
        <v>600</v>
      </c>
      <c r="W65" s="219">
        <v>596</v>
      </c>
      <c r="X65" s="224">
        <v>740</v>
      </c>
      <c r="Y65" s="335">
        <v>1360</v>
      </c>
      <c r="Z65" s="335">
        <v>1220</v>
      </c>
      <c r="AA65" s="435">
        <v>480</v>
      </c>
      <c r="AB65" s="435">
        <v>250</v>
      </c>
      <c r="AC65" s="435">
        <v>280</v>
      </c>
      <c r="AD65" s="419">
        <v>240</v>
      </c>
      <c r="AE65" s="419">
        <v>86</v>
      </c>
      <c r="AF65" s="419" t="s">
        <v>21</v>
      </c>
      <c r="AG65" s="419" t="s">
        <v>21</v>
      </c>
      <c r="AH65" s="224">
        <v>120</v>
      </c>
      <c r="AI65" s="824">
        <v>192</v>
      </c>
      <c r="AJ65" s="804">
        <v>162</v>
      </c>
      <c r="AK65" s="224">
        <v>62</v>
      </c>
      <c r="AL65" s="224">
        <v>125</v>
      </c>
      <c r="AM65" s="224">
        <v>107</v>
      </c>
      <c r="AN65" s="224">
        <f>_xlfn.LET(
_xlpm._一般検索,IFERROR(INDEX('在庫使用計画 (一般)'!$A$1:$BF$391,MATCH($C65,'在庫使用計画 (一般)'!$C$1:$C$391,0),MATCH(AN$1,'在庫使用計画 (一般)'!$A$1:$BF$1,0))*1,0),
_xlpm._法人検索,IFERROR(INDEX('在庫使用計画 (法人)'!$A$1:$BF$391,MATCH($C65,'在庫使用計画 (法人)'!$C$1:$C$391,0),MATCH(AN$1,'在庫使用計画 (法人)'!$A$1:$BF$1,0))*1,0),
_xlpm._合計,_xlpm._一般検索+_xlpm._法人検索,
IF(_xlpm._合計=0,"",_xlpm._合計)
)</f>
        <v>376</v>
      </c>
      <c r="AO65" s="224">
        <f>_xlfn.LET(
_xlpm._一般検索,IFERROR(INDEX('在庫使用計画 (一般)'!$A$1:$BF$391,MATCH($C65,'在庫使用計画 (一般)'!$C$1:$C$391,0),MATCH(AO$1,'在庫使用計画 (一般)'!$A$1:$BF$1,0))*1,0),
_xlpm._法人検索,IFERROR(INDEX('在庫使用計画 (法人)'!$A$1:$BF$391,MATCH($C65,'在庫使用計画 (法人)'!$C$1:$C$391,0),MATCH(AO$1,'在庫使用計画 (法人)'!$A$1:$BF$1,0))*1,0),
_xlpm._合計,_xlpm._一般検索+_xlpm._法人検索,
IF(_xlpm._合計=0,"",_xlpm._合計)
)</f>
        <v>290</v>
      </c>
      <c r="AP65" s="224">
        <f>_xlfn.LET(
_xlpm._一般検索,IFERROR(INDEX('在庫使用計画 (一般)'!$A$1:$BF$391,MATCH($C65,'在庫使用計画 (一般)'!$C$1:$C$391,0),MATCH(AP$1,'在庫使用計画 (一般)'!$A$1:$BF$1,0))*1,0),
_xlpm._法人検索,IFERROR(INDEX('在庫使用計画 (法人)'!$A$1:$BF$391,MATCH($C65,'在庫使用計画 (法人)'!$C$1:$C$391,0),MATCH(AP$1,'在庫使用計画 (法人)'!$A$1:$BF$1,0))*1,0),
_xlpm._合計,_xlpm._一般検索+_xlpm._法人検索,
IF(_xlpm._合計=0,"",_xlpm._合計)
)</f>
        <v>300</v>
      </c>
      <c r="AQ65" s="224" t="str">
        <f>_xlfn.LET(
_xlpm._一般検索,IFERROR(INDEX('在庫使用計画 (一般)'!$A$1:$BF$391,MATCH($C65,'在庫使用計画 (一般)'!$C$1:$C$391,0),MATCH(AQ$1,'在庫使用計画 (一般)'!$A$1:$BF$1,0))*1,0),
_xlpm._法人検索,IFERROR(INDEX('在庫使用計画 (法人)'!$A$1:$BF$391,MATCH($C65,'在庫使用計画 (法人)'!$C$1:$C$391,0),MATCH(AQ$1,'在庫使用計画 (法人)'!$A$1:$BF$1,0))*1,0),
_xlpm._合計,_xlpm._一般検索+_xlpm._法人検索,
IF(_xlpm._合計=0,"",_xlpm._合計)
)</f>
        <v/>
      </c>
      <c r="AR65" s="224" t="str">
        <f>_xlfn.LET(
_xlpm._一般検索,IFERROR(INDEX('在庫使用計画 (一般)'!$A$1:$BF$391,MATCH($C65,'在庫使用計画 (一般)'!$C$1:$C$391,0),MATCH(AR$1,'在庫使用計画 (一般)'!$A$1:$BF$1,0))*1,0),
_xlpm._法人検索,IFERROR(INDEX('在庫使用計画 (法人)'!$A$1:$BF$391,MATCH($C65,'在庫使用計画 (法人)'!$C$1:$C$391,0),MATCH(AR$1,'在庫使用計画 (法人)'!$A$1:$BF$1,0))*1,0),
_xlpm._合計,_xlpm._一般検索+_xlpm._法人検索,
IF(_xlpm._合計=0,"",_xlpm._合計)
)</f>
        <v/>
      </c>
      <c r="AS65" s="224" t="str">
        <f>_xlfn.LET(
_xlpm._一般検索,IFERROR(INDEX('在庫使用計画 (一般)'!$A$1:$BF$391,MATCH($C65,'在庫使用計画 (一般)'!$C$1:$C$391,0),MATCH(AS$1,'在庫使用計画 (一般)'!$A$1:$BF$1,0))*1,0),
_xlpm._法人検索,IFERROR(INDEX('在庫使用計画 (法人)'!$A$1:$BF$391,MATCH($C65,'在庫使用計画 (法人)'!$C$1:$C$391,0),MATCH(AS$1,'在庫使用計画 (法人)'!$A$1:$BF$1,0))*1,0),
_xlpm._合計,_xlpm._一般検索+_xlpm._法人検索,
IF(_xlpm._合計=0,"",_xlpm._合計)
)</f>
        <v/>
      </c>
      <c r="AT65" s="224" t="str">
        <f>_xlfn.LET(
_xlpm._一般検索,IFERROR(INDEX('在庫使用計画 (一般)'!$A$1:$BF$391,MATCH($C65,'在庫使用計画 (一般)'!$C$1:$C$391,0),MATCH(AT$1,'在庫使用計画 (一般)'!$A$1:$BF$1,0))*1,0),
_xlpm._法人検索,IFERROR(INDEX('在庫使用計画 (法人)'!$A$1:$BF$391,MATCH($C65,'在庫使用計画 (法人)'!$C$1:$C$391,0),MATCH(AT$1,'在庫使用計画 (法人)'!$A$1:$BF$1,0))*1,0),
_xlpm._合計,_xlpm._一般検索+_xlpm._法人検索,
IF(_xlpm._合計=0,"",_xlpm._合計)
)</f>
        <v/>
      </c>
      <c r="AU65" s="805" t="str">
        <f>_xlfn.LET(
_xlpm._一般検索,IFERROR(INDEX('在庫使用計画 (一般)'!$A$1:$BF$391,MATCH($C65,'在庫使用計画 (一般)'!$C$1:$C$391,0),MATCH(AU$1,'在庫使用計画 (一般)'!$A$1:$BF$1,0))*1,0),
_xlpm._法人検索,IFERROR(INDEX('在庫使用計画 (法人)'!$A$1:$BF$391,MATCH($C65,'在庫使用計画 (法人)'!$C$1:$C$391,0),MATCH(AU$1,'在庫使用計画 (法人)'!$A$1:$BF$1,0))*1,0),
_xlpm._合計,_xlpm._一般検索+_xlpm._法人検索,
IF(_xlpm._合計=0,"",_xlpm._合計)
)</f>
        <v/>
      </c>
      <c r="AV65" s="244" t="str">
        <f>_xlfn.LET(
_xlpm._一般検索,IFERROR(INDEX('在庫使用計画 (一般)'!$A$1:$BF$391,MATCH($C65,'在庫使用計画 (一般)'!$C$1:$C$391,0),MATCH(AV$1,'在庫使用計画 (一般)'!$A$1:$BF$1,0))*1,0),
_xlpm._法人検索,IFERROR(INDEX('在庫使用計画 (法人)'!$A$1:$BF$391,MATCH($C65,'在庫使用計画 (法人)'!$C$1:$C$391,0),MATCH(AV$1,'在庫使用計画 (法人)'!$A$1:$BF$1,0))*1,0),
_xlpm._合計,_xlpm._一般検索+_xlpm._法人検索,
IF(_xlpm._合計=0,"",_xlpm._合計)
)</f>
        <v/>
      </c>
      <c r="AW65" s="224" t="str">
        <f>_xlfn.LET(
_xlpm._一般検索,IFERROR(INDEX('在庫使用計画 (一般)'!$A$1:$BF$391,MATCH($C65,'在庫使用計画 (一般)'!$C$1:$C$391,0),MATCH(AW$1,'在庫使用計画 (一般)'!$A$1:$BF$1,0))*1,0),
_xlpm._法人検索,IFERROR(INDEX('在庫使用計画 (法人)'!$A$1:$BF$391,MATCH($C65,'在庫使用計画 (法人)'!$C$1:$C$391,0),MATCH(AW$1,'在庫使用計画 (法人)'!$A$1:$BF$1,0))*1,0),
_xlpm._合計,_xlpm._一般検索+_xlpm._法人検索,
IF(_xlpm._合計=0,"",_xlpm._合計)
)</f>
        <v/>
      </c>
      <c r="AX65" s="224" t="str">
        <f>_xlfn.LET(
_xlpm._一般検索,IFERROR(INDEX('在庫使用計画 (一般)'!$A$1:$BF$391,MATCH($C65,'在庫使用計画 (一般)'!$C$1:$C$391,0),MATCH(AX$1,'在庫使用計画 (一般)'!$A$1:$BF$1,0))*1,0),
_xlpm._法人検索,IFERROR(INDEX('在庫使用計画 (法人)'!$A$1:$BF$391,MATCH($C65,'在庫使用計画 (法人)'!$C$1:$C$391,0),MATCH(AX$1,'在庫使用計画 (法人)'!$A$1:$BF$1,0))*1,0),
_xlpm._合計,_xlpm._一般検索+_xlpm._法人検索,
IF(_xlpm._合計=0,"",_xlpm._合計)
)</f>
        <v/>
      </c>
      <c r="AY65" s="224" t="str">
        <f>_xlfn.LET(
_xlpm._一般検索,IFERROR(INDEX('在庫使用計画 (一般)'!$A$1:$BF$391,MATCH($C65,'在庫使用計画 (一般)'!$C$1:$C$391,0),MATCH(AY$1,'在庫使用計画 (一般)'!$A$1:$BF$1,0))*1,0),
_xlpm._法人検索,IFERROR(INDEX('在庫使用計画 (法人)'!$A$1:$BF$391,MATCH($C65,'在庫使用計画 (法人)'!$C$1:$C$391,0),MATCH(AY$1,'在庫使用計画 (法人)'!$A$1:$BF$1,0))*1,0),
_xlpm._合計,_xlpm._一般検索+_xlpm._法人検索,
IF(_xlpm._合計=0,"",_xlpm._合計)
)</f>
        <v/>
      </c>
      <c r="AZ65" s="224" t="str">
        <f>_xlfn.LET(
_xlpm._一般検索,IFERROR(INDEX('在庫使用計画 (一般)'!$A$1:$BF$391,MATCH($C65,'在庫使用計画 (一般)'!$C$1:$C$391,0),MATCH(AZ$1,'在庫使用計画 (一般)'!$A$1:$BF$1,0))*1,0),
_xlpm._法人検索,IFERROR(INDEX('在庫使用計画 (法人)'!$A$1:$BF$391,MATCH($C65,'在庫使用計画 (法人)'!$C$1:$C$391,0),MATCH(AZ$1,'在庫使用計画 (法人)'!$A$1:$BF$1,0))*1,0),
_xlpm._合計,_xlpm._一般検索+_xlpm._法人検索,
IF(_xlpm._合計=0,"",_xlpm._合計)
)</f>
        <v/>
      </c>
      <c r="BA65" s="224" t="str">
        <f>_xlfn.LET(
_xlpm._一般検索,IFERROR(INDEX('在庫使用計画 (一般)'!$A$1:$BF$391,MATCH($C65,'在庫使用計画 (一般)'!$C$1:$C$391,0),MATCH(BA$1,'在庫使用計画 (一般)'!$A$1:$BF$1,0))*1,0),
_xlpm._法人検索,IFERROR(INDEX('在庫使用計画 (法人)'!$A$1:$BF$391,MATCH($C65,'在庫使用計画 (法人)'!$C$1:$C$391,0),MATCH(BA$1,'在庫使用計画 (法人)'!$A$1:$BF$1,0))*1,0),
_xlpm._合計,_xlpm._一般検索+_xlpm._法人検索,
IF(_xlpm._合計=0,"",_xlpm._合計)
)</f>
        <v/>
      </c>
      <c r="BB65" s="224" t="str">
        <f>_xlfn.LET(
_xlpm._一般検索,IFERROR(INDEX('在庫使用計画 (一般)'!$A$1:$BF$391,MATCH($C65,'在庫使用計画 (一般)'!$C$1:$C$391,0),MATCH(BB$1,'在庫使用計画 (一般)'!$A$1:$BF$1,0))*1,0),
_xlpm._法人検索,IFERROR(INDEX('在庫使用計画 (法人)'!$A$1:$BF$391,MATCH($C65,'在庫使用計画 (法人)'!$C$1:$C$391,0),MATCH(BB$1,'在庫使用計画 (法人)'!$A$1:$BF$1,0))*1,0),
_xlpm._合計,_xlpm._一般検索+_xlpm._法人検索,
IF(_xlpm._合計=0,"",_xlpm._合計)
)</f>
        <v/>
      </c>
      <c r="BC65" s="224" t="str">
        <f>_xlfn.LET(
_xlpm._一般検索,IFERROR(INDEX('在庫使用計画 (一般)'!$A$1:$BF$391,MATCH($C65,'在庫使用計画 (一般)'!$C$1:$C$391,0),MATCH(BC$1,'在庫使用計画 (一般)'!$A$1:$BF$1,0))*1,0),
_xlpm._法人検索,IFERROR(INDEX('在庫使用計画 (法人)'!$A$1:$BF$391,MATCH($C65,'在庫使用計画 (法人)'!$C$1:$C$391,0),MATCH(BC$1,'在庫使用計画 (法人)'!$A$1:$BF$1,0))*1,0),
_xlpm._合計,_xlpm._一般検索+_xlpm._法人検索,
IF(_xlpm._合計=0,"",_xlpm._合計)
)</f>
        <v/>
      </c>
      <c r="BD65" s="224" t="str">
        <f>_xlfn.LET(
_xlpm._一般検索,IFERROR(INDEX('在庫使用計画 (一般)'!$A$1:$BF$391,MATCH($C65,'在庫使用計画 (一般)'!$C$1:$C$391,0),MATCH(BD$1,'在庫使用計画 (一般)'!$A$1:$BF$1,0))*1,0),
_xlpm._法人検索,IFERROR(INDEX('在庫使用計画 (法人)'!$A$1:$BF$391,MATCH($C65,'在庫使用計画 (法人)'!$C$1:$C$391,0),MATCH(BD$1,'在庫使用計画 (法人)'!$A$1:$BF$1,0))*1,0),
_xlpm._合計,_xlpm._一般検索+_xlpm._法人検索,
IF(_xlpm._合計=0,"",_xlpm._合計)
)</f>
        <v/>
      </c>
      <c r="BE65" s="224" t="str">
        <f>_xlfn.LET(
_xlpm._一般検索,IFERROR(INDEX('在庫使用計画 (一般)'!$A$1:$BF$391,MATCH($C65,'在庫使用計画 (一般)'!$C$1:$C$391,0),MATCH(BE$1,'在庫使用計画 (一般)'!$A$1:$BF$1,0))*1,0),
_xlpm._法人検索,IFERROR(INDEX('在庫使用計画 (法人)'!$A$1:$BF$391,MATCH($C65,'在庫使用計画 (法人)'!$C$1:$C$391,0),MATCH(BE$1,'在庫使用計画 (法人)'!$A$1:$BF$1,0))*1,0),
_xlpm._合計,_xlpm._一般検索+_xlpm._法人検索,
IF(_xlpm._合計=0,"",_xlpm._合計)
)</f>
        <v/>
      </c>
      <c r="BF65" s="224" t="str">
        <f>_xlfn.LET(
_xlpm._一般検索,IFERROR(INDEX('在庫使用計画 (一般)'!$A$1:$BF$391,MATCH($C65,'在庫使用計画 (一般)'!$C$1:$C$391,0),MATCH(BF$1,'在庫使用計画 (一般)'!$A$1:$BF$1,0))*1,0),
_xlpm._法人検索,IFERROR(INDEX('在庫使用計画 (法人)'!$A$1:$BF$391,MATCH($C65,'在庫使用計画 (法人)'!$C$1:$C$391,0),MATCH(BF$1,'在庫使用計画 (法人)'!$A$1:$BF$1,0))*1,0),
_xlpm._合計,_xlpm._一般検索+_xlpm._法人検索,
IF(_xlpm._合計=0,"",_xlpm._合計)
)</f>
        <v/>
      </c>
      <c r="BG65" s="237" t="str">
        <f>_xlfn.LET(
_xlpm._一般検索,IFERROR(INDEX('在庫使用計画 (一般)'!$A$1:$BF$391,MATCH($C65,'在庫使用計画 (一般)'!$C$1:$C$391,0),MATCH(BG$1,'在庫使用計画 (一般)'!$A$1:$BF$1,0))*1,0),
_xlpm._法人検索,IFERROR(INDEX('在庫使用計画 (法人)'!$A$1:$BF$391,MATCH($C65,'在庫使用計画 (法人)'!$C$1:$C$391,0),MATCH(BG$1,'在庫使用計画 (法人)'!$A$1:$BF$1,0))*1,0),
_xlpm._合計,_xlpm._一般検索+_xlpm._法人検索,
IF(_xlpm._合計=0,"",_xlpm._合計)
)</f>
        <v/>
      </c>
      <c r="BH65" s="804" t="str">
        <f>_xlfn.LET(
_xlpm._一般検索,IFERROR(INDEX('在庫使用計画 (一般)'!$A$1:$BF$391,MATCH($C65,'在庫使用計画 (一般)'!$C$1:$C$391,0),MATCH(BH$1,'在庫使用計画 (一般)'!$A$1:$BF$1,0))*1,0),
_xlpm._法人検索,IFERROR(INDEX('在庫使用計画 (法人)'!$A$1:$BF$391,MATCH($C65,'在庫使用計画 (法人)'!$C$1:$C$391,0),MATCH(BH$1,'在庫使用計画 (法人)'!$A$1:$BF$1,0))*1,0),
_xlpm._合計,_xlpm._一般検索+_xlpm._法人検索,
IF(_xlpm._合計=0,"",_xlpm._合計)
)</f>
        <v/>
      </c>
      <c r="BI65" s="224" t="str">
        <f>_xlfn.LET(
_xlpm._一般検索,IFERROR(INDEX('在庫使用計画 (一般)'!$A$1:$BF$391,MATCH($C65,'在庫使用計画 (一般)'!$C$1:$C$391,0),MATCH(BI$1,'在庫使用計画 (一般)'!$A$1:$BF$1,0))*1,0),
_xlpm._法人検索,IFERROR(INDEX('在庫使用計画 (法人)'!$A$1:$BF$391,MATCH($C65,'在庫使用計画 (法人)'!$C$1:$C$391,0),MATCH(BI$1,'在庫使用計画 (法人)'!$A$1:$BF$1,0))*1,0),
_xlpm._合計,_xlpm._一般検索+_xlpm._法人検索,
IF(_xlpm._合計=0,"",_xlpm._合計)
)</f>
        <v/>
      </c>
      <c r="BJ65" s="224" t="str">
        <f>_xlfn.LET(
_xlpm._一般検索,IFERROR(INDEX('在庫使用計画 (一般)'!$A$1:$BF$391,MATCH($C65,'在庫使用計画 (一般)'!$C$1:$C$391,0),MATCH(BJ$1,'在庫使用計画 (一般)'!$A$1:$BF$1,0))*1,0),
_xlpm._法人検索,IFERROR(INDEX('在庫使用計画 (法人)'!$A$1:$BF$391,MATCH($C65,'在庫使用計画 (法人)'!$C$1:$C$391,0),MATCH(BJ$1,'在庫使用計画 (法人)'!$A$1:$BF$1,0))*1,0),
_xlpm._合計,_xlpm._一般検索+_xlpm._法人検索,
IF(_xlpm._合計=0,"",_xlpm._合計)
)</f>
        <v/>
      </c>
      <c r="BK65" s="224" t="str">
        <f>_xlfn.LET(
_xlpm._一般検索,IFERROR(INDEX('在庫使用計画 (一般)'!$A$1:$BF$391,MATCH($C65,'在庫使用計画 (一般)'!$C$1:$C$391,0),MATCH(BK$1,'在庫使用計画 (一般)'!$A$1:$BF$1,0))*1,0),
_xlpm._法人検索,IFERROR(INDEX('在庫使用計画 (法人)'!$A$1:$BF$391,MATCH($C65,'在庫使用計画 (法人)'!$C$1:$C$391,0),MATCH(BK$1,'在庫使用計画 (法人)'!$A$1:$BF$1,0))*1,0),
_xlpm._合計,_xlpm._一般検索+_xlpm._法人検索,
IF(_xlpm._合計=0,"",_xlpm._合計)
)</f>
        <v/>
      </c>
      <c r="BL65" s="224" t="str">
        <f>_xlfn.LET(
_xlpm._一般検索,IFERROR(INDEX('在庫使用計画 (一般)'!$A$1:$BF$391,MATCH($C65,'在庫使用計画 (一般)'!$C$1:$C$391,0),MATCH(BL$1,'在庫使用計画 (一般)'!$A$1:$BF$1,0))*1,0),
_xlpm._法人検索,IFERROR(INDEX('在庫使用計画 (法人)'!$A$1:$BF$391,MATCH($C65,'在庫使用計画 (法人)'!$C$1:$C$391,0),MATCH(BL$1,'在庫使用計画 (法人)'!$A$1:$BF$1,0))*1,0),
_xlpm._合計,_xlpm._一般検索+_xlpm._法人検索,
IF(_xlpm._合計=0,"",_xlpm._合計)
)</f>
        <v/>
      </c>
      <c r="BM65" s="224" t="str">
        <f>_xlfn.LET(
_xlpm._一般検索,IFERROR(INDEX('在庫使用計画 (一般)'!$A$1:$BF$391,MATCH($C65,'在庫使用計画 (一般)'!$C$1:$C$391,0),MATCH(BM$1,'在庫使用計画 (一般)'!$A$1:$BF$1,0))*1,0),
_xlpm._法人検索,IFERROR(INDEX('在庫使用計画 (法人)'!$A$1:$BF$391,MATCH($C65,'在庫使用計画 (法人)'!$C$1:$C$391,0),MATCH(BM$1,'在庫使用計画 (法人)'!$A$1:$BF$1,0))*1,0),
_xlpm._合計,_xlpm._一般検索+_xlpm._法人検索,
IF(_xlpm._合計=0,"",_xlpm._合計)
)</f>
        <v/>
      </c>
      <c r="BN65" s="224" t="str">
        <f>_xlfn.LET(
_xlpm._一般検索,IFERROR(INDEX('在庫使用計画 (一般)'!$A$1:$BF$391,MATCH($C65,'在庫使用計画 (一般)'!$C$1:$C$391,0),MATCH(BN$1,'在庫使用計画 (一般)'!$A$1:$BF$1,0))*1,0),
_xlpm._法人検索,IFERROR(INDEX('在庫使用計画 (法人)'!$A$1:$BF$391,MATCH($C65,'在庫使用計画 (法人)'!$C$1:$C$391,0),MATCH(BN$1,'在庫使用計画 (法人)'!$A$1:$BF$1,0))*1,0),
_xlpm._合計,_xlpm._一般検索+_xlpm._法人検索,
IF(_xlpm._合計=0,"",_xlpm._合計)
)</f>
        <v/>
      </c>
      <c r="BO65" s="224" t="str">
        <f>_xlfn.LET(
_xlpm._一般検索,IFERROR(INDEX('在庫使用計画 (一般)'!$A$1:$BF$391,MATCH($C65,'在庫使用計画 (一般)'!$C$1:$C$391,0),MATCH(BO$1,'在庫使用計画 (一般)'!$A$1:$BF$1,0))*1,0),
_xlpm._法人検索,IFERROR(INDEX('在庫使用計画 (法人)'!$A$1:$BF$391,MATCH($C65,'在庫使用計画 (法人)'!$C$1:$C$391,0),MATCH(BO$1,'在庫使用計画 (法人)'!$A$1:$BF$1,0))*1,0),
_xlpm._合計,_xlpm._一般検索+_xlpm._法人検索,
IF(_xlpm._合計=0,"",_xlpm._合計)
)</f>
        <v/>
      </c>
      <c r="BP65" s="224" t="str">
        <f>_xlfn.LET(
_xlpm._一般検索,IFERROR(INDEX('在庫使用計画 (一般)'!$A$1:$BF$391,MATCH($C65,'在庫使用計画 (一般)'!$C$1:$C$391,0),MATCH(BP$1,'在庫使用計画 (一般)'!$A$1:$BF$1,0))*1,0),
_xlpm._法人検索,IFERROR(INDEX('在庫使用計画 (法人)'!$A$1:$BF$391,MATCH($C65,'在庫使用計画 (法人)'!$C$1:$C$391,0),MATCH(BP$1,'在庫使用計画 (法人)'!$A$1:$BF$1,0))*1,0),
_xlpm._合計,_xlpm._一般検索+_xlpm._法人検索,
IF(_xlpm._合計=0,"",_xlpm._合計)
)</f>
        <v/>
      </c>
      <c r="BQ65" s="224" t="str">
        <f>_xlfn.LET(
_xlpm._一般検索,IFERROR(INDEX('在庫使用計画 (一般)'!$A$1:$BF$391,MATCH($C65,'在庫使用計画 (一般)'!$C$1:$C$391,0),MATCH(BQ$1,'在庫使用計画 (一般)'!$A$1:$BF$1,0))*1,0),
_xlpm._法人検索,IFERROR(INDEX('在庫使用計画 (法人)'!$A$1:$BF$391,MATCH($C65,'在庫使用計画 (法人)'!$C$1:$C$391,0),MATCH(BQ$1,'在庫使用計画 (法人)'!$A$1:$BF$1,0))*1,0),
_xlpm._合計,_xlpm._一般検索+_xlpm._法人検索,
IF(_xlpm._合計=0,"",_xlpm._合計)
)</f>
        <v/>
      </c>
      <c r="BR65" s="224" t="str">
        <f>_xlfn.LET(
_xlpm._一般検索,IFERROR(INDEX('在庫使用計画 (一般)'!$A$1:$BF$391,MATCH($C65,'在庫使用計画 (一般)'!$C$1:$C$391,0),MATCH(BR$1,'在庫使用計画 (一般)'!$A$1:$BF$1,0))*1,0),
_xlpm._法人検索,IFERROR(INDEX('在庫使用計画 (法人)'!$A$1:$BF$391,MATCH($C65,'在庫使用計画 (法人)'!$C$1:$C$391,0),MATCH(BR$1,'在庫使用計画 (法人)'!$A$1:$BF$1,0))*1,0),
_xlpm._合計,_xlpm._一般検索+_xlpm._法人検索,
IF(_xlpm._合計=0,"",_xlpm._合計)
)</f>
        <v/>
      </c>
      <c r="BS65" s="805" t="str">
        <f>_xlfn.LET(
_xlpm._一般検索,IFERROR(INDEX('在庫使用計画 (一般)'!$A$1:$BF$391,MATCH($C65,'在庫使用計画 (一般)'!$C$1:$C$391,0),MATCH(BS$1,'在庫使用計画 (一般)'!$A$1:$BF$1,0))*1,0),
_xlpm._法人検索,IFERROR(INDEX('在庫使用計画 (法人)'!$A$1:$BF$391,MATCH($C65,'在庫使用計画 (法人)'!$C$1:$C$391,0),MATCH(BS$1,'在庫使用計画 (法人)'!$A$1:$BF$1,0))*1,0),
_xlpm._合計,_xlpm._一般検索+_xlpm._法人検索,
IF(_xlpm._合計=0,"",_xlpm._合計)
)</f>
        <v/>
      </c>
      <c r="BT65" s="21"/>
    </row>
    <row r="66" spans="1:72" customFormat="1" ht="18.75" customHeight="1">
      <c r="A66" s="2064" t="s">
        <v>1651</v>
      </c>
      <c r="B66" s="26" t="str">
        <v>WZN-1051-1335U-UMA-L6 Thirdwave</v>
      </c>
      <c r="C66" s="25" t="s">
        <v>638</v>
      </c>
      <c r="D66" s="2153">
        <v>1860</v>
      </c>
      <c r="E66" s="25" t="s">
        <v>1732</v>
      </c>
      <c r="F66" s="24" t="s">
        <v>1725</v>
      </c>
      <c r="G66" s="74">
        <v>1</v>
      </c>
      <c r="H66" s="38">
        <v>1</v>
      </c>
      <c r="I66" s="38" cm="1">
        <f t="array" ref="I66">IF($C66="","",
_xlfn.LET(
  _xlpm._見出し,$A$1:$BT$1,
  _xlpm._行,$A66:$BT66,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0</v>
      </c>
      <c r="J66" s="74" cm="1">
        <f t="array" ref="J66">_xlfn.LET(
  _xlpm._見出し,$A$1:$BS$1,
  _xlpm._行,$A66:$BS66,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IF($C66="","",_xlpm._四点五月計画合計)
)</f>
        <v>0</v>
      </c>
      <c r="K66" s="1458" t="str" cm="1">
        <f t="array" ref="K66">_xlfn.IFS(
  $C66="","",
  $G66="","発売前？",
  $G66=0,"在庫なし",
  TRUE,
  IFERROR(
    _xlfn.LET(
      _xlpm._在庫注残,     $G66,
      _xlpm._しきい値,     _xlpm._在庫注残 * 0.75,
      _xlpm._見出し元,     $L$1:$BU$1,
      _xlpm._計画,         $L66:$BU66,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計画なし</v>
      </c>
      <c r="L66" s="311"/>
      <c r="M66" s="311"/>
      <c r="N66" s="311"/>
      <c r="O66" s="311"/>
      <c r="P66" s="311"/>
      <c r="Q66" s="311"/>
      <c r="R66" s="311"/>
      <c r="S66" s="298"/>
      <c r="T66" s="298" t="s">
        <v>21</v>
      </c>
      <c r="U66" s="298" t="s">
        <v>21</v>
      </c>
      <c r="V66" s="298" t="s">
        <v>21</v>
      </c>
      <c r="W66" s="298" t="s">
        <v>21</v>
      </c>
      <c r="X66" s="299" t="s">
        <v>21</v>
      </c>
      <c r="Y66" s="419" t="s">
        <v>21</v>
      </c>
      <c r="Z66" s="419" t="s">
        <v>21</v>
      </c>
      <c r="AA66" s="435" t="s">
        <v>21</v>
      </c>
      <c r="AB66" s="435">
        <v>170</v>
      </c>
      <c r="AC66" s="435">
        <v>170</v>
      </c>
      <c r="AD66" s="335">
        <v>200</v>
      </c>
      <c r="AE66" s="335">
        <v>361</v>
      </c>
      <c r="AF66" s="335">
        <v>180</v>
      </c>
      <c r="AG66" s="335" t="s">
        <v>21</v>
      </c>
      <c r="AH66" s="224" t="s">
        <v>21</v>
      </c>
      <c r="AI66" s="823" t="s">
        <v>21</v>
      </c>
      <c r="AJ66" s="804" t="s">
        <v>21</v>
      </c>
      <c r="AK66" s="224" t="s">
        <v>21</v>
      </c>
      <c r="AL66" s="224" t="s">
        <v>21</v>
      </c>
      <c r="AM66" s="224" t="s">
        <v>21</v>
      </c>
      <c r="AN66" s="224" t="str">
        <f>_xlfn.LET(
_xlpm._一般検索,IFERROR(INDEX('在庫使用計画 (一般)'!$A$1:$BF$391,MATCH($C66,'在庫使用計画 (一般)'!$C$1:$C$391,0),MATCH(AN$1,'在庫使用計画 (一般)'!$A$1:$BF$1,0))*1,0),
_xlpm._法人検索,IFERROR(INDEX('在庫使用計画 (法人)'!$A$1:$BF$391,MATCH($C66,'在庫使用計画 (法人)'!$C$1:$C$391,0),MATCH(AN$1,'在庫使用計画 (法人)'!$A$1:$BF$1,0))*1,0),
_xlpm._合計,_xlpm._一般検索+_xlpm._法人検索,
IF(_xlpm._合計=0,"",_xlpm._合計)
)</f>
        <v/>
      </c>
      <c r="AO66" s="224" t="str">
        <f>_xlfn.LET(
_xlpm._一般検索,IFERROR(INDEX('在庫使用計画 (一般)'!$A$1:$BF$391,MATCH($C66,'在庫使用計画 (一般)'!$C$1:$C$391,0),MATCH(AO$1,'在庫使用計画 (一般)'!$A$1:$BF$1,0))*1,0),
_xlpm._法人検索,IFERROR(INDEX('在庫使用計画 (法人)'!$A$1:$BF$391,MATCH($C66,'在庫使用計画 (法人)'!$C$1:$C$391,0),MATCH(AO$1,'在庫使用計画 (法人)'!$A$1:$BF$1,0))*1,0),
_xlpm._合計,_xlpm._一般検索+_xlpm._法人検索,
IF(_xlpm._合計=0,"",_xlpm._合計)
)</f>
        <v/>
      </c>
      <c r="AP66" s="224" t="str">
        <f>_xlfn.LET(
_xlpm._一般検索,IFERROR(INDEX('在庫使用計画 (一般)'!$A$1:$BF$391,MATCH($C66,'在庫使用計画 (一般)'!$C$1:$C$391,0),MATCH(AP$1,'在庫使用計画 (一般)'!$A$1:$BF$1,0))*1,0),
_xlpm._法人検索,IFERROR(INDEX('在庫使用計画 (法人)'!$A$1:$BF$391,MATCH($C66,'在庫使用計画 (法人)'!$C$1:$C$391,0),MATCH(AP$1,'在庫使用計画 (法人)'!$A$1:$BF$1,0))*1,0),
_xlpm._合計,_xlpm._一般検索+_xlpm._法人検索,
IF(_xlpm._合計=0,"",_xlpm._合計)
)</f>
        <v/>
      </c>
      <c r="AQ66" s="224" t="str">
        <f>_xlfn.LET(
_xlpm._一般検索,IFERROR(INDEX('在庫使用計画 (一般)'!$A$1:$BF$391,MATCH($C66,'在庫使用計画 (一般)'!$C$1:$C$391,0),MATCH(AQ$1,'在庫使用計画 (一般)'!$A$1:$BF$1,0))*1,0),
_xlpm._法人検索,IFERROR(INDEX('在庫使用計画 (法人)'!$A$1:$BF$391,MATCH($C66,'在庫使用計画 (法人)'!$C$1:$C$391,0),MATCH(AQ$1,'在庫使用計画 (法人)'!$A$1:$BF$1,0))*1,0),
_xlpm._合計,_xlpm._一般検索+_xlpm._法人検索,
IF(_xlpm._合計=0,"",_xlpm._合計)
)</f>
        <v/>
      </c>
      <c r="AR66" s="224" t="str">
        <f>_xlfn.LET(
_xlpm._一般検索,IFERROR(INDEX('在庫使用計画 (一般)'!$A$1:$BF$391,MATCH($C66,'在庫使用計画 (一般)'!$C$1:$C$391,0),MATCH(AR$1,'在庫使用計画 (一般)'!$A$1:$BF$1,0))*1,0),
_xlpm._法人検索,IFERROR(INDEX('在庫使用計画 (法人)'!$A$1:$BF$391,MATCH($C66,'在庫使用計画 (法人)'!$C$1:$C$391,0),MATCH(AR$1,'在庫使用計画 (法人)'!$A$1:$BF$1,0))*1,0),
_xlpm._合計,_xlpm._一般検索+_xlpm._法人検索,
IF(_xlpm._合計=0,"",_xlpm._合計)
)</f>
        <v/>
      </c>
      <c r="AS66" s="224" t="str">
        <f>_xlfn.LET(
_xlpm._一般検索,IFERROR(INDEX('在庫使用計画 (一般)'!$A$1:$BF$391,MATCH($C66,'在庫使用計画 (一般)'!$C$1:$C$391,0),MATCH(AS$1,'在庫使用計画 (一般)'!$A$1:$BF$1,0))*1,0),
_xlpm._法人検索,IFERROR(INDEX('在庫使用計画 (法人)'!$A$1:$BF$391,MATCH($C66,'在庫使用計画 (法人)'!$C$1:$C$391,0),MATCH(AS$1,'在庫使用計画 (法人)'!$A$1:$BF$1,0))*1,0),
_xlpm._合計,_xlpm._一般検索+_xlpm._法人検索,
IF(_xlpm._合計=0,"",_xlpm._合計)
)</f>
        <v/>
      </c>
      <c r="AT66" s="224" t="str">
        <f>_xlfn.LET(
_xlpm._一般検索,IFERROR(INDEX('在庫使用計画 (一般)'!$A$1:$BF$391,MATCH($C66,'在庫使用計画 (一般)'!$C$1:$C$391,0),MATCH(AT$1,'在庫使用計画 (一般)'!$A$1:$BF$1,0))*1,0),
_xlpm._法人検索,IFERROR(INDEX('在庫使用計画 (法人)'!$A$1:$BF$391,MATCH($C66,'在庫使用計画 (法人)'!$C$1:$C$391,0),MATCH(AT$1,'在庫使用計画 (法人)'!$A$1:$BF$1,0))*1,0),
_xlpm._合計,_xlpm._一般検索+_xlpm._法人検索,
IF(_xlpm._合計=0,"",_xlpm._合計)
)</f>
        <v/>
      </c>
      <c r="AU66" s="805" t="str">
        <f>_xlfn.LET(
_xlpm._一般検索,IFERROR(INDEX('在庫使用計画 (一般)'!$A$1:$BF$391,MATCH($C66,'在庫使用計画 (一般)'!$C$1:$C$391,0),MATCH(AU$1,'在庫使用計画 (一般)'!$A$1:$BF$1,0))*1,0),
_xlpm._法人検索,IFERROR(INDEX('在庫使用計画 (法人)'!$A$1:$BF$391,MATCH($C66,'在庫使用計画 (法人)'!$C$1:$C$391,0),MATCH(AU$1,'在庫使用計画 (法人)'!$A$1:$BF$1,0))*1,0),
_xlpm._合計,_xlpm._一般検索+_xlpm._法人検索,
IF(_xlpm._合計=0,"",_xlpm._合計)
)</f>
        <v/>
      </c>
      <c r="AV66" s="244" t="str">
        <f>_xlfn.LET(
_xlpm._一般検索,IFERROR(INDEX('在庫使用計画 (一般)'!$A$1:$BF$391,MATCH($C66,'在庫使用計画 (一般)'!$C$1:$C$391,0),MATCH(AV$1,'在庫使用計画 (一般)'!$A$1:$BF$1,0))*1,0),
_xlpm._法人検索,IFERROR(INDEX('在庫使用計画 (法人)'!$A$1:$BF$391,MATCH($C66,'在庫使用計画 (法人)'!$C$1:$C$391,0),MATCH(AV$1,'在庫使用計画 (法人)'!$A$1:$BF$1,0))*1,0),
_xlpm._合計,_xlpm._一般検索+_xlpm._法人検索,
IF(_xlpm._合計=0,"",_xlpm._合計)
)</f>
        <v/>
      </c>
      <c r="AW66" s="224" t="str">
        <f>_xlfn.LET(
_xlpm._一般検索,IFERROR(INDEX('在庫使用計画 (一般)'!$A$1:$BF$391,MATCH($C66,'在庫使用計画 (一般)'!$C$1:$C$391,0),MATCH(AW$1,'在庫使用計画 (一般)'!$A$1:$BF$1,0))*1,0),
_xlpm._法人検索,IFERROR(INDEX('在庫使用計画 (法人)'!$A$1:$BF$391,MATCH($C66,'在庫使用計画 (法人)'!$C$1:$C$391,0),MATCH(AW$1,'在庫使用計画 (法人)'!$A$1:$BF$1,0))*1,0),
_xlpm._合計,_xlpm._一般検索+_xlpm._法人検索,
IF(_xlpm._合計=0,"",_xlpm._合計)
)</f>
        <v/>
      </c>
      <c r="AX66" s="224" t="str">
        <f>_xlfn.LET(
_xlpm._一般検索,IFERROR(INDEX('在庫使用計画 (一般)'!$A$1:$BF$391,MATCH($C66,'在庫使用計画 (一般)'!$C$1:$C$391,0),MATCH(AX$1,'在庫使用計画 (一般)'!$A$1:$BF$1,0))*1,0),
_xlpm._法人検索,IFERROR(INDEX('在庫使用計画 (法人)'!$A$1:$BF$391,MATCH($C66,'在庫使用計画 (法人)'!$C$1:$C$391,0),MATCH(AX$1,'在庫使用計画 (法人)'!$A$1:$BF$1,0))*1,0),
_xlpm._合計,_xlpm._一般検索+_xlpm._法人検索,
IF(_xlpm._合計=0,"",_xlpm._合計)
)</f>
        <v/>
      </c>
      <c r="AY66" s="224" t="str">
        <f>_xlfn.LET(
_xlpm._一般検索,IFERROR(INDEX('在庫使用計画 (一般)'!$A$1:$BF$391,MATCH($C66,'在庫使用計画 (一般)'!$C$1:$C$391,0),MATCH(AY$1,'在庫使用計画 (一般)'!$A$1:$BF$1,0))*1,0),
_xlpm._法人検索,IFERROR(INDEX('在庫使用計画 (法人)'!$A$1:$BF$391,MATCH($C66,'在庫使用計画 (法人)'!$C$1:$C$391,0),MATCH(AY$1,'在庫使用計画 (法人)'!$A$1:$BF$1,0))*1,0),
_xlpm._合計,_xlpm._一般検索+_xlpm._法人検索,
IF(_xlpm._合計=0,"",_xlpm._合計)
)</f>
        <v/>
      </c>
      <c r="AZ66" s="224" t="str">
        <f>_xlfn.LET(
_xlpm._一般検索,IFERROR(INDEX('在庫使用計画 (一般)'!$A$1:$BF$391,MATCH($C66,'在庫使用計画 (一般)'!$C$1:$C$391,0),MATCH(AZ$1,'在庫使用計画 (一般)'!$A$1:$BF$1,0))*1,0),
_xlpm._法人検索,IFERROR(INDEX('在庫使用計画 (法人)'!$A$1:$BF$391,MATCH($C66,'在庫使用計画 (法人)'!$C$1:$C$391,0),MATCH(AZ$1,'在庫使用計画 (法人)'!$A$1:$BF$1,0))*1,0),
_xlpm._合計,_xlpm._一般検索+_xlpm._法人検索,
IF(_xlpm._合計=0,"",_xlpm._合計)
)</f>
        <v/>
      </c>
      <c r="BA66" s="224" t="str">
        <f>_xlfn.LET(
_xlpm._一般検索,IFERROR(INDEX('在庫使用計画 (一般)'!$A$1:$BF$391,MATCH($C66,'在庫使用計画 (一般)'!$C$1:$C$391,0),MATCH(BA$1,'在庫使用計画 (一般)'!$A$1:$BF$1,0))*1,0),
_xlpm._法人検索,IFERROR(INDEX('在庫使用計画 (法人)'!$A$1:$BF$391,MATCH($C66,'在庫使用計画 (法人)'!$C$1:$C$391,0),MATCH(BA$1,'在庫使用計画 (法人)'!$A$1:$BF$1,0))*1,0),
_xlpm._合計,_xlpm._一般検索+_xlpm._法人検索,
IF(_xlpm._合計=0,"",_xlpm._合計)
)</f>
        <v/>
      </c>
      <c r="BB66" s="224" t="str">
        <f>_xlfn.LET(
_xlpm._一般検索,IFERROR(INDEX('在庫使用計画 (一般)'!$A$1:$BF$391,MATCH($C66,'在庫使用計画 (一般)'!$C$1:$C$391,0),MATCH(BB$1,'在庫使用計画 (一般)'!$A$1:$BF$1,0))*1,0),
_xlpm._法人検索,IFERROR(INDEX('在庫使用計画 (法人)'!$A$1:$BF$391,MATCH($C66,'在庫使用計画 (法人)'!$C$1:$C$391,0),MATCH(BB$1,'在庫使用計画 (法人)'!$A$1:$BF$1,0))*1,0),
_xlpm._合計,_xlpm._一般検索+_xlpm._法人検索,
IF(_xlpm._合計=0,"",_xlpm._合計)
)</f>
        <v/>
      </c>
      <c r="BC66" s="224" t="str">
        <f>_xlfn.LET(
_xlpm._一般検索,IFERROR(INDEX('在庫使用計画 (一般)'!$A$1:$BF$391,MATCH($C66,'在庫使用計画 (一般)'!$C$1:$C$391,0),MATCH(BC$1,'在庫使用計画 (一般)'!$A$1:$BF$1,0))*1,0),
_xlpm._法人検索,IFERROR(INDEX('在庫使用計画 (法人)'!$A$1:$BF$391,MATCH($C66,'在庫使用計画 (法人)'!$C$1:$C$391,0),MATCH(BC$1,'在庫使用計画 (法人)'!$A$1:$BF$1,0))*1,0),
_xlpm._合計,_xlpm._一般検索+_xlpm._法人検索,
IF(_xlpm._合計=0,"",_xlpm._合計)
)</f>
        <v/>
      </c>
      <c r="BD66" s="224" t="str">
        <f>_xlfn.LET(
_xlpm._一般検索,IFERROR(INDEX('在庫使用計画 (一般)'!$A$1:$BF$391,MATCH($C66,'在庫使用計画 (一般)'!$C$1:$C$391,0),MATCH(BD$1,'在庫使用計画 (一般)'!$A$1:$BF$1,0))*1,0),
_xlpm._法人検索,IFERROR(INDEX('在庫使用計画 (法人)'!$A$1:$BF$391,MATCH($C66,'在庫使用計画 (法人)'!$C$1:$C$391,0),MATCH(BD$1,'在庫使用計画 (法人)'!$A$1:$BF$1,0))*1,0),
_xlpm._合計,_xlpm._一般検索+_xlpm._法人検索,
IF(_xlpm._合計=0,"",_xlpm._合計)
)</f>
        <v/>
      </c>
      <c r="BE66" s="224" t="str">
        <f>_xlfn.LET(
_xlpm._一般検索,IFERROR(INDEX('在庫使用計画 (一般)'!$A$1:$BF$391,MATCH($C66,'在庫使用計画 (一般)'!$C$1:$C$391,0),MATCH(BE$1,'在庫使用計画 (一般)'!$A$1:$BF$1,0))*1,0),
_xlpm._法人検索,IFERROR(INDEX('在庫使用計画 (法人)'!$A$1:$BF$391,MATCH($C66,'在庫使用計画 (法人)'!$C$1:$C$391,0),MATCH(BE$1,'在庫使用計画 (法人)'!$A$1:$BF$1,0))*1,0),
_xlpm._合計,_xlpm._一般検索+_xlpm._法人検索,
IF(_xlpm._合計=0,"",_xlpm._合計)
)</f>
        <v/>
      </c>
      <c r="BF66" s="224" t="str">
        <f>_xlfn.LET(
_xlpm._一般検索,IFERROR(INDEX('在庫使用計画 (一般)'!$A$1:$BF$391,MATCH($C66,'在庫使用計画 (一般)'!$C$1:$C$391,0),MATCH(BF$1,'在庫使用計画 (一般)'!$A$1:$BF$1,0))*1,0),
_xlpm._法人検索,IFERROR(INDEX('在庫使用計画 (法人)'!$A$1:$BF$391,MATCH($C66,'在庫使用計画 (法人)'!$C$1:$C$391,0),MATCH(BF$1,'在庫使用計画 (法人)'!$A$1:$BF$1,0))*1,0),
_xlpm._合計,_xlpm._一般検索+_xlpm._法人検索,
IF(_xlpm._合計=0,"",_xlpm._合計)
)</f>
        <v/>
      </c>
      <c r="BG66" s="237" t="str">
        <f>_xlfn.LET(
_xlpm._一般検索,IFERROR(INDEX('在庫使用計画 (一般)'!$A$1:$BF$391,MATCH($C66,'在庫使用計画 (一般)'!$C$1:$C$391,0),MATCH(BG$1,'在庫使用計画 (一般)'!$A$1:$BF$1,0))*1,0),
_xlpm._法人検索,IFERROR(INDEX('在庫使用計画 (法人)'!$A$1:$BF$391,MATCH($C66,'在庫使用計画 (法人)'!$C$1:$C$391,0),MATCH(BG$1,'在庫使用計画 (法人)'!$A$1:$BF$1,0))*1,0),
_xlpm._合計,_xlpm._一般検索+_xlpm._法人検索,
IF(_xlpm._合計=0,"",_xlpm._合計)
)</f>
        <v/>
      </c>
      <c r="BH66" s="804" t="str">
        <f>_xlfn.LET(
_xlpm._一般検索,IFERROR(INDEX('在庫使用計画 (一般)'!$A$1:$BF$391,MATCH($C66,'在庫使用計画 (一般)'!$C$1:$C$391,0),MATCH(BH$1,'在庫使用計画 (一般)'!$A$1:$BF$1,0))*1,0),
_xlpm._法人検索,IFERROR(INDEX('在庫使用計画 (法人)'!$A$1:$BF$391,MATCH($C66,'在庫使用計画 (法人)'!$C$1:$C$391,0),MATCH(BH$1,'在庫使用計画 (法人)'!$A$1:$BF$1,0))*1,0),
_xlpm._合計,_xlpm._一般検索+_xlpm._法人検索,
IF(_xlpm._合計=0,"",_xlpm._合計)
)</f>
        <v/>
      </c>
      <c r="BI66" s="224" t="str">
        <f>_xlfn.LET(
_xlpm._一般検索,IFERROR(INDEX('在庫使用計画 (一般)'!$A$1:$BF$391,MATCH($C66,'在庫使用計画 (一般)'!$C$1:$C$391,0),MATCH(BI$1,'在庫使用計画 (一般)'!$A$1:$BF$1,0))*1,0),
_xlpm._法人検索,IFERROR(INDEX('在庫使用計画 (法人)'!$A$1:$BF$391,MATCH($C66,'在庫使用計画 (法人)'!$C$1:$C$391,0),MATCH(BI$1,'在庫使用計画 (法人)'!$A$1:$BF$1,0))*1,0),
_xlpm._合計,_xlpm._一般検索+_xlpm._法人検索,
IF(_xlpm._合計=0,"",_xlpm._合計)
)</f>
        <v/>
      </c>
      <c r="BJ66" s="224" t="str">
        <f>_xlfn.LET(
_xlpm._一般検索,IFERROR(INDEX('在庫使用計画 (一般)'!$A$1:$BF$391,MATCH($C66,'在庫使用計画 (一般)'!$C$1:$C$391,0),MATCH(BJ$1,'在庫使用計画 (一般)'!$A$1:$BF$1,0))*1,0),
_xlpm._法人検索,IFERROR(INDEX('在庫使用計画 (法人)'!$A$1:$BF$391,MATCH($C66,'在庫使用計画 (法人)'!$C$1:$C$391,0),MATCH(BJ$1,'在庫使用計画 (法人)'!$A$1:$BF$1,0))*1,0),
_xlpm._合計,_xlpm._一般検索+_xlpm._法人検索,
IF(_xlpm._合計=0,"",_xlpm._合計)
)</f>
        <v/>
      </c>
      <c r="BK66" s="224" t="str">
        <f>_xlfn.LET(
_xlpm._一般検索,IFERROR(INDEX('在庫使用計画 (一般)'!$A$1:$BF$391,MATCH($C66,'在庫使用計画 (一般)'!$C$1:$C$391,0),MATCH(BK$1,'在庫使用計画 (一般)'!$A$1:$BF$1,0))*1,0),
_xlpm._法人検索,IFERROR(INDEX('在庫使用計画 (法人)'!$A$1:$BF$391,MATCH($C66,'在庫使用計画 (法人)'!$C$1:$C$391,0),MATCH(BK$1,'在庫使用計画 (法人)'!$A$1:$BF$1,0))*1,0),
_xlpm._合計,_xlpm._一般検索+_xlpm._法人検索,
IF(_xlpm._合計=0,"",_xlpm._合計)
)</f>
        <v/>
      </c>
      <c r="BL66" s="224" t="str">
        <f>_xlfn.LET(
_xlpm._一般検索,IFERROR(INDEX('在庫使用計画 (一般)'!$A$1:$BF$391,MATCH($C66,'在庫使用計画 (一般)'!$C$1:$C$391,0),MATCH(BL$1,'在庫使用計画 (一般)'!$A$1:$BF$1,0))*1,0),
_xlpm._法人検索,IFERROR(INDEX('在庫使用計画 (法人)'!$A$1:$BF$391,MATCH($C66,'在庫使用計画 (法人)'!$C$1:$C$391,0),MATCH(BL$1,'在庫使用計画 (法人)'!$A$1:$BF$1,0))*1,0),
_xlpm._合計,_xlpm._一般検索+_xlpm._法人検索,
IF(_xlpm._合計=0,"",_xlpm._合計)
)</f>
        <v/>
      </c>
      <c r="BM66" s="224" t="str">
        <f>_xlfn.LET(
_xlpm._一般検索,IFERROR(INDEX('在庫使用計画 (一般)'!$A$1:$BF$391,MATCH($C66,'在庫使用計画 (一般)'!$C$1:$C$391,0),MATCH(BM$1,'在庫使用計画 (一般)'!$A$1:$BF$1,0))*1,0),
_xlpm._法人検索,IFERROR(INDEX('在庫使用計画 (法人)'!$A$1:$BF$391,MATCH($C66,'在庫使用計画 (法人)'!$C$1:$C$391,0),MATCH(BM$1,'在庫使用計画 (法人)'!$A$1:$BF$1,0))*1,0),
_xlpm._合計,_xlpm._一般検索+_xlpm._法人検索,
IF(_xlpm._合計=0,"",_xlpm._合計)
)</f>
        <v/>
      </c>
      <c r="BN66" s="224" t="str">
        <f>_xlfn.LET(
_xlpm._一般検索,IFERROR(INDEX('在庫使用計画 (一般)'!$A$1:$BF$391,MATCH($C66,'在庫使用計画 (一般)'!$C$1:$C$391,0),MATCH(BN$1,'在庫使用計画 (一般)'!$A$1:$BF$1,0))*1,0),
_xlpm._法人検索,IFERROR(INDEX('在庫使用計画 (法人)'!$A$1:$BF$391,MATCH($C66,'在庫使用計画 (法人)'!$C$1:$C$391,0),MATCH(BN$1,'在庫使用計画 (法人)'!$A$1:$BF$1,0))*1,0),
_xlpm._合計,_xlpm._一般検索+_xlpm._法人検索,
IF(_xlpm._合計=0,"",_xlpm._合計)
)</f>
        <v/>
      </c>
      <c r="BO66" s="224" t="str">
        <f>_xlfn.LET(
_xlpm._一般検索,IFERROR(INDEX('在庫使用計画 (一般)'!$A$1:$BF$391,MATCH($C66,'在庫使用計画 (一般)'!$C$1:$C$391,0),MATCH(BO$1,'在庫使用計画 (一般)'!$A$1:$BF$1,0))*1,0),
_xlpm._法人検索,IFERROR(INDEX('在庫使用計画 (法人)'!$A$1:$BF$391,MATCH($C66,'在庫使用計画 (法人)'!$C$1:$C$391,0),MATCH(BO$1,'在庫使用計画 (法人)'!$A$1:$BF$1,0))*1,0),
_xlpm._合計,_xlpm._一般検索+_xlpm._法人検索,
IF(_xlpm._合計=0,"",_xlpm._合計)
)</f>
        <v/>
      </c>
      <c r="BP66" s="224" t="str">
        <f>_xlfn.LET(
_xlpm._一般検索,IFERROR(INDEX('在庫使用計画 (一般)'!$A$1:$BF$391,MATCH($C66,'在庫使用計画 (一般)'!$C$1:$C$391,0),MATCH(BP$1,'在庫使用計画 (一般)'!$A$1:$BF$1,0))*1,0),
_xlpm._法人検索,IFERROR(INDEX('在庫使用計画 (法人)'!$A$1:$BF$391,MATCH($C66,'在庫使用計画 (法人)'!$C$1:$C$391,0),MATCH(BP$1,'在庫使用計画 (法人)'!$A$1:$BF$1,0))*1,0),
_xlpm._合計,_xlpm._一般検索+_xlpm._法人検索,
IF(_xlpm._合計=0,"",_xlpm._合計)
)</f>
        <v/>
      </c>
      <c r="BQ66" s="224" t="str">
        <f>_xlfn.LET(
_xlpm._一般検索,IFERROR(INDEX('在庫使用計画 (一般)'!$A$1:$BF$391,MATCH($C66,'在庫使用計画 (一般)'!$C$1:$C$391,0),MATCH(BQ$1,'在庫使用計画 (一般)'!$A$1:$BF$1,0))*1,0),
_xlpm._法人検索,IFERROR(INDEX('在庫使用計画 (法人)'!$A$1:$BF$391,MATCH($C66,'在庫使用計画 (法人)'!$C$1:$C$391,0),MATCH(BQ$1,'在庫使用計画 (法人)'!$A$1:$BF$1,0))*1,0),
_xlpm._合計,_xlpm._一般検索+_xlpm._法人検索,
IF(_xlpm._合計=0,"",_xlpm._合計)
)</f>
        <v/>
      </c>
      <c r="BR66" s="224" t="str">
        <f>_xlfn.LET(
_xlpm._一般検索,IFERROR(INDEX('在庫使用計画 (一般)'!$A$1:$BF$391,MATCH($C66,'在庫使用計画 (一般)'!$C$1:$C$391,0),MATCH(BR$1,'在庫使用計画 (一般)'!$A$1:$BF$1,0))*1,0),
_xlpm._法人検索,IFERROR(INDEX('在庫使用計画 (法人)'!$A$1:$BF$391,MATCH($C66,'在庫使用計画 (法人)'!$C$1:$C$391,0),MATCH(BR$1,'在庫使用計画 (法人)'!$A$1:$BF$1,0))*1,0),
_xlpm._合計,_xlpm._一般検索+_xlpm._法人検索,
IF(_xlpm._合計=0,"",_xlpm._合計)
)</f>
        <v/>
      </c>
      <c r="BS66" s="805" t="str">
        <f>_xlfn.LET(
_xlpm._一般検索,IFERROR(INDEX('在庫使用計画 (一般)'!$A$1:$BF$391,MATCH($C66,'在庫使用計画 (一般)'!$C$1:$C$391,0),MATCH(BS$1,'在庫使用計画 (一般)'!$A$1:$BF$1,0))*1,0),
_xlpm._法人検索,IFERROR(INDEX('在庫使用計画 (法人)'!$A$1:$BF$391,MATCH($C66,'在庫使用計画 (法人)'!$C$1:$C$391,0),MATCH(BS$1,'在庫使用計画 (法人)'!$A$1:$BF$1,0))*1,0),
_xlpm._合計,_xlpm._一般検索+_xlpm._法人検索,
IF(_xlpm._合計=0,"",_xlpm._合計)
)</f>
        <v/>
      </c>
      <c r="BT66" s="21"/>
    </row>
    <row r="67" spans="1:72" customFormat="1" ht="18.75" customHeight="1">
      <c r="A67" s="2064" t="s">
        <v>1651</v>
      </c>
      <c r="B67" s="26" t="str">
        <v>WZN-1051-1334U-UMA-L6 Thirdwave</v>
      </c>
      <c r="C67" s="25" t="s">
        <v>632</v>
      </c>
      <c r="D67" s="2153">
        <v>4206</v>
      </c>
      <c r="E67" s="25" t="s">
        <v>1405</v>
      </c>
      <c r="F67" s="24" t="s">
        <v>1725</v>
      </c>
      <c r="G67" s="74">
        <v>244</v>
      </c>
      <c r="H67" s="38">
        <v>244</v>
      </c>
      <c r="I67" s="38" cm="1">
        <f t="array" ref="I67">IF($C67="","",
_xlfn.LET(
  _xlpm._見出し,$A$1:$BT$1,
  _xlpm._行,$A67:$BT67,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58</v>
      </c>
      <c r="J67" s="74" cm="1">
        <f t="array" ref="J67">_xlfn.LET(
  _xlpm._見出し,$A$1:$BS$1,
  _xlpm._行,$A67:$BS67,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IF($C67="","",_xlpm._四点五月計画合計)
)</f>
        <v>29</v>
      </c>
      <c r="K67" s="1458" t="str" cm="1">
        <f t="array" ref="K67">_xlfn.IFS(
  $C67="","",
  $G67="","発売前？",
  $G67=0,"在庫なし",
  TRUE,
  IFERROR(
    _xlfn.LET(
      _xlpm._在庫注残,     $G67,
      _xlpm._しきい値,     _xlpm._在庫注残 * 0.75,
      _xlpm._見出し元,     $L$1:$BU$1,
      _xlpm._計画,         $L67:$BU67,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合計56、在庫+注残244のため不足</v>
      </c>
      <c r="L67" s="311"/>
      <c r="M67" s="311"/>
      <c r="N67" s="311"/>
      <c r="O67" s="311"/>
      <c r="P67" s="311"/>
      <c r="Q67" s="311"/>
      <c r="R67" s="311"/>
      <c r="S67" s="298"/>
      <c r="T67" s="298" t="s">
        <v>21</v>
      </c>
      <c r="U67" s="298" t="s">
        <v>21</v>
      </c>
      <c r="V67" s="298" t="s">
        <v>21</v>
      </c>
      <c r="W67" s="298" t="s">
        <v>21</v>
      </c>
      <c r="X67" s="299" t="s">
        <v>21</v>
      </c>
      <c r="Y67" s="419" t="s">
        <v>21</v>
      </c>
      <c r="Z67" s="419" t="s">
        <v>21</v>
      </c>
      <c r="AA67" s="335" t="s">
        <v>21</v>
      </c>
      <c r="AB67" s="335" t="s">
        <v>21</v>
      </c>
      <c r="AC67" s="335" t="s">
        <v>21</v>
      </c>
      <c r="AD67" s="335" t="s">
        <v>21</v>
      </c>
      <c r="AE67" s="335" t="s">
        <v>21</v>
      </c>
      <c r="AF67" s="335">
        <v>599</v>
      </c>
      <c r="AG67" s="335">
        <v>490</v>
      </c>
      <c r="AH67" s="224">
        <v>596</v>
      </c>
      <c r="AI67" s="823">
        <v>358</v>
      </c>
      <c r="AJ67" s="804">
        <v>585</v>
      </c>
      <c r="AK67" s="224">
        <v>301</v>
      </c>
      <c r="AL67" s="224">
        <v>730</v>
      </c>
      <c r="AM67" s="224">
        <v>34</v>
      </c>
      <c r="AN67" s="224">
        <f>_xlfn.LET(
_xlpm._一般検索,IFERROR(INDEX('在庫使用計画 (一般)'!$A$1:$BF$391,MATCH($C67,'在庫使用計画 (一般)'!$C$1:$C$391,0),MATCH(AN$1,'在庫使用計画 (一般)'!$A$1:$BF$1,0))*1,0),
_xlpm._法人検索,IFERROR(INDEX('在庫使用計画 (法人)'!$A$1:$BF$391,MATCH($C67,'在庫使用計画 (法人)'!$C$1:$C$391,0),MATCH(AN$1,'在庫使用計画 (法人)'!$A$1:$BF$1,0))*1,0),
_xlpm._合計,_xlpm._一般検索+_xlpm._法人検索,
IF(_xlpm._合計=0,"",_xlpm._合計)
)</f>
        <v>368</v>
      </c>
      <c r="AO67" s="224">
        <f>_xlfn.LET(
_xlpm._一般検索,IFERROR(INDEX('在庫使用計画 (一般)'!$A$1:$BF$391,MATCH($C67,'在庫使用計画 (一般)'!$C$1:$C$391,0),MATCH(AO$1,'在庫使用計画 (一般)'!$A$1:$BF$1,0))*1,0),
_xlpm._法人検索,IFERROR(INDEX('在庫使用計画 (法人)'!$A$1:$BF$391,MATCH($C67,'在庫使用計画 (法人)'!$C$1:$C$391,0),MATCH(AO$1,'在庫使用計画 (法人)'!$A$1:$BF$1,0))*1,0),
_xlpm._合計,_xlpm._一般検索+_xlpm._法人検索,
IF(_xlpm._合計=0,"",_xlpm._合計)
)</f>
        <v>166</v>
      </c>
      <c r="AP67" s="224">
        <f>_xlfn.LET(
_xlpm._一般検索,IFERROR(INDEX('在庫使用計画 (一般)'!$A$1:$BF$391,MATCH($C67,'在庫使用計画 (一般)'!$C$1:$C$391,0),MATCH(AP$1,'在庫使用計画 (一般)'!$A$1:$BF$1,0))*1,0),
_xlpm._法人検索,IFERROR(INDEX('在庫使用計画 (法人)'!$A$1:$BF$391,MATCH($C67,'在庫使用計画 (法人)'!$C$1:$C$391,0),MATCH(AP$1,'在庫使用計画 (法人)'!$A$1:$BF$1,0))*1,0),
_xlpm._合計,_xlpm._一般検索+_xlpm._法人検索,
IF(_xlpm._合計=0,"",_xlpm._合計)
)</f>
        <v>58</v>
      </c>
      <c r="AQ67" s="224" t="str">
        <f>_xlfn.LET(
_xlpm._一般検索,IFERROR(INDEX('在庫使用計画 (一般)'!$A$1:$BF$391,MATCH($C67,'在庫使用計画 (一般)'!$C$1:$C$391,0),MATCH(AQ$1,'在庫使用計画 (一般)'!$A$1:$BF$1,0))*1,0),
_xlpm._法人検索,IFERROR(INDEX('在庫使用計画 (法人)'!$A$1:$BF$391,MATCH($C67,'在庫使用計画 (法人)'!$C$1:$C$391,0),MATCH(AQ$1,'在庫使用計画 (法人)'!$A$1:$BF$1,0))*1,0),
_xlpm._合計,_xlpm._一般検索+_xlpm._法人検索,
IF(_xlpm._合計=0,"",_xlpm._合計)
)</f>
        <v/>
      </c>
      <c r="AR67" s="224" t="str">
        <f>_xlfn.LET(
_xlpm._一般検索,IFERROR(INDEX('在庫使用計画 (一般)'!$A$1:$BF$391,MATCH($C67,'在庫使用計画 (一般)'!$C$1:$C$391,0),MATCH(AR$1,'在庫使用計画 (一般)'!$A$1:$BF$1,0))*1,0),
_xlpm._法人検索,IFERROR(INDEX('在庫使用計画 (法人)'!$A$1:$BF$391,MATCH($C67,'在庫使用計画 (法人)'!$C$1:$C$391,0),MATCH(AR$1,'在庫使用計画 (法人)'!$A$1:$BF$1,0))*1,0),
_xlpm._合計,_xlpm._一般検索+_xlpm._法人検索,
IF(_xlpm._合計=0,"",_xlpm._合計)
)</f>
        <v/>
      </c>
      <c r="AS67" s="224" t="str">
        <f>_xlfn.LET(
_xlpm._一般検索,IFERROR(INDEX('在庫使用計画 (一般)'!$A$1:$BF$391,MATCH($C67,'在庫使用計画 (一般)'!$C$1:$C$391,0),MATCH(AS$1,'在庫使用計画 (一般)'!$A$1:$BF$1,0))*1,0),
_xlpm._法人検索,IFERROR(INDEX('在庫使用計画 (法人)'!$A$1:$BF$391,MATCH($C67,'在庫使用計画 (法人)'!$C$1:$C$391,0),MATCH(AS$1,'在庫使用計画 (法人)'!$A$1:$BF$1,0))*1,0),
_xlpm._合計,_xlpm._一般検索+_xlpm._法人検索,
IF(_xlpm._合計=0,"",_xlpm._合計)
)</f>
        <v/>
      </c>
      <c r="AT67" s="224" t="str">
        <f>_xlfn.LET(
_xlpm._一般検索,IFERROR(INDEX('在庫使用計画 (一般)'!$A$1:$BF$391,MATCH($C67,'在庫使用計画 (一般)'!$C$1:$C$391,0),MATCH(AT$1,'在庫使用計画 (一般)'!$A$1:$BF$1,0))*1,0),
_xlpm._法人検索,IFERROR(INDEX('在庫使用計画 (法人)'!$A$1:$BF$391,MATCH($C67,'在庫使用計画 (法人)'!$C$1:$C$391,0),MATCH(AT$1,'在庫使用計画 (法人)'!$A$1:$BF$1,0))*1,0),
_xlpm._合計,_xlpm._一般検索+_xlpm._法人検索,
IF(_xlpm._合計=0,"",_xlpm._合計)
)</f>
        <v/>
      </c>
      <c r="AU67" s="805" t="str">
        <f>_xlfn.LET(
_xlpm._一般検索,IFERROR(INDEX('在庫使用計画 (一般)'!$A$1:$BF$391,MATCH($C67,'在庫使用計画 (一般)'!$C$1:$C$391,0),MATCH(AU$1,'在庫使用計画 (一般)'!$A$1:$BF$1,0))*1,0),
_xlpm._法人検索,IFERROR(INDEX('在庫使用計画 (法人)'!$A$1:$BF$391,MATCH($C67,'在庫使用計画 (法人)'!$C$1:$C$391,0),MATCH(AU$1,'在庫使用計画 (法人)'!$A$1:$BF$1,0))*1,0),
_xlpm._合計,_xlpm._一般検索+_xlpm._法人検索,
IF(_xlpm._合計=0,"",_xlpm._合計)
)</f>
        <v/>
      </c>
      <c r="AV67" s="244" t="str">
        <f>_xlfn.LET(
_xlpm._一般検索,IFERROR(INDEX('在庫使用計画 (一般)'!$A$1:$BF$391,MATCH($C67,'在庫使用計画 (一般)'!$C$1:$C$391,0),MATCH(AV$1,'在庫使用計画 (一般)'!$A$1:$BF$1,0))*1,0),
_xlpm._法人検索,IFERROR(INDEX('在庫使用計画 (法人)'!$A$1:$BF$391,MATCH($C67,'在庫使用計画 (法人)'!$C$1:$C$391,0),MATCH(AV$1,'在庫使用計画 (法人)'!$A$1:$BF$1,0))*1,0),
_xlpm._合計,_xlpm._一般検索+_xlpm._法人検索,
IF(_xlpm._合計=0,"",_xlpm._合計)
)</f>
        <v/>
      </c>
      <c r="AW67" s="224" t="str">
        <f>_xlfn.LET(
_xlpm._一般検索,IFERROR(INDEX('在庫使用計画 (一般)'!$A$1:$BF$391,MATCH($C67,'在庫使用計画 (一般)'!$C$1:$C$391,0),MATCH(AW$1,'在庫使用計画 (一般)'!$A$1:$BF$1,0))*1,0),
_xlpm._法人検索,IFERROR(INDEX('在庫使用計画 (法人)'!$A$1:$BF$391,MATCH($C67,'在庫使用計画 (法人)'!$C$1:$C$391,0),MATCH(AW$1,'在庫使用計画 (法人)'!$A$1:$BF$1,0))*1,0),
_xlpm._合計,_xlpm._一般検索+_xlpm._法人検索,
IF(_xlpm._合計=0,"",_xlpm._合計)
)</f>
        <v/>
      </c>
      <c r="AX67" s="224" t="str">
        <f>_xlfn.LET(
_xlpm._一般検索,IFERROR(INDEX('在庫使用計画 (一般)'!$A$1:$BF$391,MATCH($C67,'在庫使用計画 (一般)'!$C$1:$C$391,0),MATCH(AX$1,'在庫使用計画 (一般)'!$A$1:$BF$1,0))*1,0),
_xlpm._法人検索,IFERROR(INDEX('在庫使用計画 (法人)'!$A$1:$BF$391,MATCH($C67,'在庫使用計画 (法人)'!$C$1:$C$391,0),MATCH(AX$1,'在庫使用計画 (法人)'!$A$1:$BF$1,0))*1,0),
_xlpm._合計,_xlpm._一般検索+_xlpm._法人検索,
IF(_xlpm._合計=0,"",_xlpm._合計)
)</f>
        <v/>
      </c>
      <c r="AY67" s="224" t="str">
        <f>_xlfn.LET(
_xlpm._一般検索,IFERROR(INDEX('在庫使用計画 (一般)'!$A$1:$BF$391,MATCH($C67,'在庫使用計画 (一般)'!$C$1:$C$391,0),MATCH(AY$1,'在庫使用計画 (一般)'!$A$1:$BF$1,0))*1,0),
_xlpm._法人検索,IFERROR(INDEX('在庫使用計画 (法人)'!$A$1:$BF$391,MATCH($C67,'在庫使用計画 (法人)'!$C$1:$C$391,0),MATCH(AY$1,'在庫使用計画 (法人)'!$A$1:$BF$1,0))*1,0),
_xlpm._合計,_xlpm._一般検索+_xlpm._法人検索,
IF(_xlpm._合計=0,"",_xlpm._合計)
)</f>
        <v/>
      </c>
      <c r="AZ67" s="224" t="str">
        <f>_xlfn.LET(
_xlpm._一般検索,IFERROR(INDEX('在庫使用計画 (一般)'!$A$1:$BF$391,MATCH($C67,'在庫使用計画 (一般)'!$C$1:$C$391,0),MATCH(AZ$1,'在庫使用計画 (一般)'!$A$1:$BF$1,0))*1,0),
_xlpm._法人検索,IFERROR(INDEX('在庫使用計画 (法人)'!$A$1:$BF$391,MATCH($C67,'在庫使用計画 (法人)'!$C$1:$C$391,0),MATCH(AZ$1,'在庫使用計画 (法人)'!$A$1:$BF$1,0))*1,0),
_xlpm._合計,_xlpm._一般検索+_xlpm._法人検索,
IF(_xlpm._合計=0,"",_xlpm._合計)
)</f>
        <v/>
      </c>
      <c r="BA67" s="224" t="str">
        <f>_xlfn.LET(
_xlpm._一般検索,IFERROR(INDEX('在庫使用計画 (一般)'!$A$1:$BF$391,MATCH($C67,'在庫使用計画 (一般)'!$C$1:$C$391,0),MATCH(BA$1,'在庫使用計画 (一般)'!$A$1:$BF$1,0))*1,0),
_xlpm._法人検索,IFERROR(INDEX('在庫使用計画 (法人)'!$A$1:$BF$391,MATCH($C67,'在庫使用計画 (法人)'!$C$1:$C$391,0),MATCH(BA$1,'在庫使用計画 (法人)'!$A$1:$BF$1,0))*1,0),
_xlpm._合計,_xlpm._一般検索+_xlpm._法人検索,
IF(_xlpm._合計=0,"",_xlpm._合計)
)</f>
        <v/>
      </c>
      <c r="BB67" s="224" t="str">
        <f>_xlfn.LET(
_xlpm._一般検索,IFERROR(INDEX('在庫使用計画 (一般)'!$A$1:$BF$391,MATCH($C67,'在庫使用計画 (一般)'!$C$1:$C$391,0),MATCH(BB$1,'在庫使用計画 (一般)'!$A$1:$BF$1,0))*1,0),
_xlpm._法人検索,IFERROR(INDEX('在庫使用計画 (法人)'!$A$1:$BF$391,MATCH($C67,'在庫使用計画 (法人)'!$C$1:$C$391,0),MATCH(BB$1,'在庫使用計画 (法人)'!$A$1:$BF$1,0))*1,0),
_xlpm._合計,_xlpm._一般検索+_xlpm._法人検索,
IF(_xlpm._合計=0,"",_xlpm._合計)
)</f>
        <v/>
      </c>
      <c r="BC67" s="224" t="str">
        <f>_xlfn.LET(
_xlpm._一般検索,IFERROR(INDEX('在庫使用計画 (一般)'!$A$1:$BF$391,MATCH($C67,'在庫使用計画 (一般)'!$C$1:$C$391,0),MATCH(BC$1,'在庫使用計画 (一般)'!$A$1:$BF$1,0))*1,0),
_xlpm._法人検索,IFERROR(INDEX('在庫使用計画 (法人)'!$A$1:$BF$391,MATCH($C67,'在庫使用計画 (法人)'!$C$1:$C$391,0),MATCH(BC$1,'在庫使用計画 (法人)'!$A$1:$BF$1,0))*1,0),
_xlpm._合計,_xlpm._一般検索+_xlpm._法人検索,
IF(_xlpm._合計=0,"",_xlpm._合計)
)</f>
        <v/>
      </c>
      <c r="BD67" s="224" t="str">
        <f>_xlfn.LET(
_xlpm._一般検索,IFERROR(INDEX('在庫使用計画 (一般)'!$A$1:$BF$391,MATCH($C67,'在庫使用計画 (一般)'!$C$1:$C$391,0),MATCH(BD$1,'在庫使用計画 (一般)'!$A$1:$BF$1,0))*1,0),
_xlpm._法人検索,IFERROR(INDEX('在庫使用計画 (法人)'!$A$1:$BF$391,MATCH($C67,'在庫使用計画 (法人)'!$C$1:$C$391,0),MATCH(BD$1,'在庫使用計画 (法人)'!$A$1:$BF$1,0))*1,0),
_xlpm._合計,_xlpm._一般検索+_xlpm._法人検索,
IF(_xlpm._合計=0,"",_xlpm._合計)
)</f>
        <v/>
      </c>
      <c r="BE67" s="224" t="str">
        <f>_xlfn.LET(
_xlpm._一般検索,IFERROR(INDEX('在庫使用計画 (一般)'!$A$1:$BF$391,MATCH($C67,'在庫使用計画 (一般)'!$C$1:$C$391,0),MATCH(BE$1,'在庫使用計画 (一般)'!$A$1:$BF$1,0))*1,0),
_xlpm._法人検索,IFERROR(INDEX('在庫使用計画 (法人)'!$A$1:$BF$391,MATCH($C67,'在庫使用計画 (法人)'!$C$1:$C$391,0),MATCH(BE$1,'在庫使用計画 (法人)'!$A$1:$BF$1,0))*1,0),
_xlpm._合計,_xlpm._一般検索+_xlpm._法人検索,
IF(_xlpm._合計=0,"",_xlpm._合計)
)</f>
        <v/>
      </c>
      <c r="BF67" s="224" t="str">
        <f>_xlfn.LET(
_xlpm._一般検索,IFERROR(INDEX('在庫使用計画 (一般)'!$A$1:$BF$391,MATCH($C67,'在庫使用計画 (一般)'!$C$1:$C$391,0),MATCH(BF$1,'在庫使用計画 (一般)'!$A$1:$BF$1,0))*1,0),
_xlpm._法人検索,IFERROR(INDEX('在庫使用計画 (法人)'!$A$1:$BF$391,MATCH($C67,'在庫使用計画 (法人)'!$C$1:$C$391,0),MATCH(BF$1,'在庫使用計画 (法人)'!$A$1:$BF$1,0))*1,0),
_xlpm._合計,_xlpm._一般検索+_xlpm._法人検索,
IF(_xlpm._合計=0,"",_xlpm._合計)
)</f>
        <v/>
      </c>
      <c r="BG67" s="237" t="str">
        <f>_xlfn.LET(
_xlpm._一般検索,IFERROR(INDEX('在庫使用計画 (一般)'!$A$1:$BF$391,MATCH($C67,'在庫使用計画 (一般)'!$C$1:$C$391,0),MATCH(BG$1,'在庫使用計画 (一般)'!$A$1:$BF$1,0))*1,0),
_xlpm._法人検索,IFERROR(INDEX('在庫使用計画 (法人)'!$A$1:$BF$391,MATCH($C67,'在庫使用計画 (法人)'!$C$1:$C$391,0),MATCH(BG$1,'在庫使用計画 (法人)'!$A$1:$BF$1,0))*1,0),
_xlpm._合計,_xlpm._一般検索+_xlpm._法人検索,
IF(_xlpm._合計=0,"",_xlpm._合計)
)</f>
        <v/>
      </c>
      <c r="BH67" s="804" t="str">
        <f>_xlfn.LET(
_xlpm._一般検索,IFERROR(INDEX('在庫使用計画 (一般)'!$A$1:$BF$391,MATCH($C67,'在庫使用計画 (一般)'!$C$1:$C$391,0),MATCH(BH$1,'在庫使用計画 (一般)'!$A$1:$BF$1,0))*1,0),
_xlpm._法人検索,IFERROR(INDEX('在庫使用計画 (法人)'!$A$1:$BF$391,MATCH($C67,'在庫使用計画 (法人)'!$C$1:$C$391,0),MATCH(BH$1,'在庫使用計画 (法人)'!$A$1:$BF$1,0))*1,0),
_xlpm._合計,_xlpm._一般検索+_xlpm._法人検索,
IF(_xlpm._合計=0,"",_xlpm._合計)
)</f>
        <v/>
      </c>
      <c r="BI67" s="224" t="str">
        <f>_xlfn.LET(
_xlpm._一般検索,IFERROR(INDEX('在庫使用計画 (一般)'!$A$1:$BF$391,MATCH($C67,'在庫使用計画 (一般)'!$C$1:$C$391,0),MATCH(BI$1,'在庫使用計画 (一般)'!$A$1:$BF$1,0))*1,0),
_xlpm._法人検索,IFERROR(INDEX('在庫使用計画 (法人)'!$A$1:$BF$391,MATCH($C67,'在庫使用計画 (法人)'!$C$1:$C$391,0),MATCH(BI$1,'在庫使用計画 (法人)'!$A$1:$BF$1,0))*1,0),
_xlpm._合計,_xlpm._一般検索+_xlpm._法人検索,
IF(_xlpm._合計=0,"",_xlpm._合計)
)</f>
        <v/>
      </c>
      <c r="BJ67" s="224" t="str">
        <f>_xlfn.LET(
_xlpm._一般検索,IFERROR(INDEX('在庫使用計画 (一般)'!$A$1:$BF$391,MATCH($C67,'在庫使用計画 (一般)'!$C$1:$C$391,0),MATCH(BJ$1,'在庫使用計画 (一般)'!$A$1:$BF$1,0))*1,0),
_xlpm._法人検索,IFERROR(INDEX('在庫使用計画 (法人)'!$A$1:$BF$391,MATCH($C67,'在庫使用計画 (法人)'!$C$1:$C$391,0),MATCH(BJ$1,'在庫使用計画 (法人)'!$A$1:$BF$1,0))*1,0),
_xlpm._合計,_xlpm._一般検索+_xlpm._法人検索,
IF(_xlpm._合計=0,"",_xlpm._合計)
)</f>
        <v/>
      </c>
      <c r="BK67" s="224" t="str">
        <f>_xlfn.LET(
_xlpm._一般検索,IFERROR(INDEX('在庫使用計画 (一般)'!$A$1:$BF$391,MATCH($C67,'在庫使用計画 (一般)'!$C$1:$C$391,0),MATCH(BK$1,'在庫使用計画 (一般)'!$A$1:$BF$1,0))*1,0),
_xlpm._法人検索,IFERROR(INDEX('在庫使用計画 (法人)'!$A$1:$BF$391,MATCH($C67,'在庫使用計画 (法人)'!$C$1:$C$391,0),MATCH(BK$1,'在庫使用計画 (法人)'!$A$1:$BF$1,0))*1,0),
_xlpm._合計,_xlpm._一般検索+_xlpm._法人検索,
IF(_xlpm._合計=0,"",_xlpm._合計)
)</f>
        <v/>
      </c>
      <c r="BL67" s="224" t="str">
        <f>_xlfn.LET(
_xlpm._一般検索,IFERROR(INDEX('在庫使用計画 (一般)'!$A$1:$BF$391,MATCH($C67,'在庫使用計画 (一般)'!$C$1:$C$391,0),MATCH(BL$1,'在庫使用計画 (一般)'!$A$1:$BF$1,0))*1,0),
_xlpm._法人検索,IFERROR(INDEX('在庫使用計画 (法人)'!$A$1:$BF$391,MATCH($C67,'在庫使用計画 (法人)'!$C$1:$C$391,0),MATCH(BL$1,'在庫使用計画 (法人)'!$A$1:$BF$1,0))*1,0),
_xlpm._合計,_xlpm._一般検索+_xlpm._法人検索,
IF(_xlpm._合計=0,"",_xlpm._合計)
)</f>
        <v/>
      </c>
      <c r="BM67" s="224" t="str">
        <f>_xlfn.LET(
_xlpm._一般検索,IFERROR(INDEX('在庫使用計画 (一般)'!$A$1:$BF$391,MATCH($C67,'在庫使用計画 (一般)'!$C$1:$C$391,0),MATCH(BM$1,'在庫使用計画 (一般)'!$A$1:$BF$1,0))*1,0),
_xlpm._法人検索,IFERROR(INDEX('在庫使用計画 (法人)'!$A$1:$BF$391,MATCH($C67,'在庫使用計画 (法人)'!$C$1:$C$391,0),MATCH(BM$1,'在庫使用計画 (法人)'!$A$1:$BF$1,0))*1,0),
_xlpm._合計,_xlpm._一般検索+_xlpm._法人検索,
IF(_xlpm._合計=0,"",_xlpm._合計)
)</f>
        <v/>
      </c>
      <c r="BN67" s="224" t="str">
        <f>_xlfn.LET(
_xlpm._一般検索,IFERROR(INDEX('在庫使用計画 (一般)'!$A$1:$BF$391,MATCH($C67,'在庫使用計画 (一般)'!$C$1:$C$391,0),MATCH(BN$1,'在庫使用計画 (一般)'!$A$1:$BF$1,0))*1,0),
_xlpm._法人検索,IFERROR(INDEX('在庫使用計画 (法人)'!$A$1:$BF$391,MATCH($C67,'在庫使用計画 (法人)'!$C$1:$C$391,0),MATCH(BN$1,'在庫使用計画 (法人)'!$A$1:$BF$1,0))*1,0),
_xlpm._合計,_xlpm._一般検索+_xlpm._法人検索,
IF(_xlpm._合計=0,"",_xlpm._合計)
)</f>
        <v/>
      </c>
      <c r="BO67" s="224" t="str">
        <f>_xlfn.LET(
_xlpm._一般検索,IFERROR(INDEX('在庫使用計画 (一般)'!$A$1:$BF$391,MATCH($C67,'在庫使用計画 (一般)'!$C$1:$C$391,0),MATCH(BO$1,'在庫使用計画 (一般)'!$A$1:$BF$1,0))*1,0),
_xlpm._法人検索,IFERROR(INDEX('在庫使用計画 (法人)'!$A$1:$BF$391,MATCH($C67,'在庫使用計画 (法人)'!$C$1:$C$391,0),MATCH(BO$1,'在庫使用計画 (法人)'!$A$1:$BF$1,0))*1,0),
_xlpm._合計,_xlpm._一般検索+_xlpm._法人検索,
IF(_xlpm._合計=0,"",_xlpm._合計)
)</f>
        <v/>
      </c>
      <c r="BP67" s="224" t="str">
        <f>_xlfn.LET(
_xlpm._一般検索,IFERROR(INDEX('在庫使用計画 (一般)'!$A$1:$BF$391,MATCH($C67,'在庫使用計画 (一般)'!$C$1:$C$391,0),MATCH(BP$1,'在庫使用計画 (一般)'!$A$1:$BF$1,0))*1,0),
_xlpm._法人検索,IFERROR(INDEX('在庫使用計画 (法人)'!$A$1:$BF$391,MATCH($C67,'在庫使用計画 (法人)'!$C$1:$C$391,0),MATCH(BP$1,'在庫使用計画 (法人)'!$A$1:$BF$1,0))*1,0),
_xlpm._合計,_xlpm._一般検索+_xlpm._法人検索,
IF(_xlpm._合計=0,"",_xlpm._合計)
)</f>
        <v/>
      </c>
      <c r="BQ67" s="224" t="str">
        <f>_xlfn.LET(
_xlpm._一般検索,IFERROR(INDEX('在庫使用計画 (一般)'!$A$1:$BF$391,MATCH($C67,'在庫使用計画 (一般)'!$C$1:$C$391,0),MATCH(BQ$1,'在庫使用計画 (一般)'!$A$1:$BF$1,0))*1,0),
_xlpm._法人検索,IFERROR(INDEX('在庫使用計画 (法人)'!$A$1:$BF$391,MATCH($C67,'在庫使用計画 (法人)'!$C$1:$C$391,0),MATCH(BQ$1,'在庫使用計画 (法人)'!$A$1:$BF$1,0))*1,0),
_xlpm._合計,_xlpm._一般検索+_xlpm._法人検索,
IF(_xlpm._合計=0,"",_xlpm._合計)
)</f>
        <v/>
      </c>
      <c r="BR67" s="224" t="str">
        <f>_xlfn.LET(
_xlpm._一般検索,IFERROR(INDEX('在庫使用計画 (一般)'!$A$1:$BF$391,MATCH($C67,'在庫使用計画 (一般)'!$C$1:$C$391,0),MATCH(BR$1,'在庫使用計画 (一般)'!$A$1:$BF$1,0))*1,0),
_xlpm._法人検索,IFERROR(INDEX('在庫使用計画 (法人)'!$A$1:$BF$391,MATCH($C67,'在庫使用計画 (法人)'!$C$1:$C$391,0),MATCH(BR$1,'在庫使用計画 (法人)'!$A$1:$BF$1,0))*1,0),
_xlpm._合計,_xlpm._一般検索+_xlpm._法人検索,
IF(_xlpm._合計=0,"",_xlpm._合計)
)</f>
        <v/>
      </c>
      <c r="BS67" s="805" t="str">
        <f>_xlfn.LET(
_xlpm._一般検索,IFERROR(INDEX('在庫使用計画 (一般)'!$A$1:$BF$391,MATCH($C67,'在庫使用計画 (一般)'!$C$1:$C$391,0),MATCH(BS$1,'在庫使用計画 (一般)'!$A$1:$BF$1,0))*1,0),
_xlpm._法人検索,IFERROR(INDEX('在庫使用計画 (法人)'!$A$1:$BF$391,MATCH($C67,'在庫使用計画 (法人)'!$C$1:$C$391,0),MATCH(BS$1,'在庫使用計画 (法人)'!$A$1:$BF$1,0))*1,0),
_xlpm._合計,_xlpm._一般検索+_xlpm._法人検索,
IF(_xlpm._合計=0,"",_xlpm._合計)
)</f>
        <v/>
      </c>
      <c r="BT67" s="21"/>
    </row>
    <row r="68" spans="1:72" customFormat="1" ht="18.75" customHeight="1">
      <c r="A68" s="2064" t="s">
        <v>1651</v>
      </c>
      <c r="B68" s="28" t="str">
        <v>CLE-NL55-1334U-UMA-L6-TPM Thirdwave</v>
      </c>
      <c r="C68" s="25" t="s">
        <v>637</v>
      </c>
      <c r="D68" s="2153">
        <v>1855</v>
      </c>
      <c r="E68" s="24" t="s">
        <v>1405</v>
      </c>
      <c r="F68" s="24" t="s">
        <v>20</v>
      </c>
      <c r="G68" s="74">
        <v>471</v>
      </c>
      <c r="H68" s="38">
        <v>471</v>
      </c>
      <c r="I68" s="38" cm="1">
        <f t="array" ref="I68">IF($C68="","",
_xlfn.LET(
  _xlpm._見出し,$A$1:$BT$1,
  _xlpm._行,$A68:$BT68,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307</v>
      </c>
      <c r="J68" s="74" cm="1">
        <f t="array" ref="J68">_xlfn.LET(
  _xlpm._見出し,$A$1:$BS$1,
  _xlpm._行,$A68:$BS68,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IF($C68="","",_xlpm._四点五月計画合計)
)</f>
        <v>197.5</v>
      </c>
      <c r="K68" s="1458" t="str" cm="1">
        <f t="array" ref="K68">_xlfn.IFS(
  $C68="","",
  $G68="","発売前？",
  $G68=0,"在庫なし",
  TRUE,
  IFERROR(
    _xlfn.LET(
      _xlpm._在庫注残,     $G68,
      _xlpm._しきい値,     _xlpm._在庫注残 * 0.75,
      _xlpm._見出し元,     $L$1:$BU$1,
      _xlpm._計画,         $L68:$BU68,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合計300、在庫+注残471のため不足</v>
      </c>
      <c r="L68" s="311"/>
      <c r="M68" s="311"/>
      <c r="N68" s="311"/>
      <c r="O68" s="311"/>
      <c r="P68" s="311"/>
      <c r="Q68" s="311"/>
      <c r="R68" s="311"/>
      <c r="S68" s="298"/>
      <c r="T68" s="298" t="s">
        <v>21</v>
      </c>
      <c r="U68" s="298" t="s">
        <v>21</v>
      </c>
      <c r="V68" s="298" t="s">
        <v>21</v>
      </c>
      <c r="W68" s="298" t="s">
        <v>21</v>
      </c>
      <c r="X68" s="299" t="s">
        <v>21</v>
      </c>
      <c r="Y68" s="419" t="s">
        <v>21</v>
      </c>
      <c r="Z68" s="419" t="s">
        <v>21</v>
      </c>
      <c r="AA68" s="335" t="s">
        <v>21</v>
      </c>
      <c r="AB68" s="335" t="s">
        <v>21</v>
      </c>
      <c r="AC68" s="335" t="s">
        <v>21</v>
      </c>
      <c r="AD68" s="335" t="s">
        <v>21</v>
      </c>
      <c r="AE68" s="335" t="s">
        <v>21</v>
      </c>
      <c r="AF68" s="335" t="s">
        <v>21</v>
      </c>
      <c r="AG68" s="335" t="s">
        <v>21</v>
      </c>
      <c r="AH68" s="224" t="s">
        <v>21</v>
      </c>
      <c r="AI68" s="823" t="s">
        <v>21</v>
      </c>
      <c r="AJ68" s="804" t="s">
        <v>21</v>
      </c>
      <c r="AK68" s="224" t="s">
        <v>21</v>
      </c>
      <c r="AL68" s="224">
        <v>1</v>
      </c>
      <c r="AM68" s="224">
        <v>270</v>
      </c>
      <c r="AN68" s="224">
        <f>_xlfn.LET(
_xlpm._一般検索,IFERROR(INDEX('在庫使用計画 (一般)'!$A$1:$BF$391,MATCH($C68,'在庫使用計画 (一般)'!$C$1:$C$391,0),MATCH(AN$1,'在庫使用計画 (一般)'!$A$1:$BF$1,0))*1,0),
_xlpm._法人検索,IFERROR(INDEX('在庫使用計画 (法人)'!$A$1:$BF$391,MATCH($C68,'在庫使用計画 (法人)'!$C$1:$C$391,0),MATCH(AN$1,'在庫使用計画 (法人)'!$A$1:$BF$1,0))*1,0),
_xlpm._合計,_xlpm._一般検索+_xlpm._法人検索,
IF(_xlpm._合計=0,"",_xlpm._合計)
)</f>
        <v>140</v>
      </c>
      <c r="AO68" s="224">
        <f>_xlfn.LET(
_xlpm._一般検索,IFERROR(INDEX('在庫使用計画 (一般)'!$A$1:$BF$391,MATCH($C68,'在庫使用計画 (一般)'!$C$1:$C$391,0),MATCH(AO$1,'在庫使用計画 (一般)'!$A$1:$BF$1,0))*1,0),
_xlpm._法人検索,IFERROR(INDEX('在庫使用計画 (法人)'!$A$1:$BF$391,MATCH($C68,'在庫使用計画 (法人)'!$C$1:$C$391,0),MATCH(AO$1,'在庫使用計画 (法人)'!$A$1:$BF$1,0))*1,0),
_xlpm._合計,_xlpm._一般検索+_xlpm._法人検索,
IF(_xlpm._合計=0,"",_xlpm._合計)
)</f>
        <v>649</v>
      </c>
      <c r="AP68" s="224">
        <f>_xlfn.LET(
_xlpm._一般検索,IFERROR(INDEX('在庫使用計画 (一般)'!$A$1:$BF$391,MATCH($C68,'在庫使用計画 (一般)'!$C$1:$C$391,0),MATCH(AP$1,'在庫使用計画 (一般)'!$A$1:$BF$1,0))*1,0),
_xlpm._法人検索,IFERROR(INDEX('在庫使用計画 (法人)'!$A$1:$BF$391,MATCH($C68,'在庫使用計画 (法人)'!$C$1:$C$391,0),MATCH(AP$1,'在庫使用計画 (法人)'!$A$1:$BF$1,0))*1,0),
_xlpm._合計,_xlpm._一般検索+_xlpm._法人検索,
IF(_xlpm._合計=0,"",_xlpm._合計)
)</f>
        <v>219</v>
      </c>
      <c r="AQ68" s="224">
        <f>_xlfn.LET(
_xlpm._一般検索,IFERROR(INDEX('在庫使用計画 (一般)'!$A$1:$BF$391,MATCH($C68,'在庫使用計画 (一般)'!$C$1:$C$391,0),MATCH(AQ$1,'在庫使用計画 (一般)'!$A$1:$BF$1,0))*1,0),
_xlpm._法人検索,IFERROR(INDEX('在庫使用計画 (法人)'!$A$1:$BF$391,MATCH($C68,'在庫使用計画 (法人)'!$C$1:$C$391,0),MATCH(AQ$1,'在庫使用計画 (法人)'!$A$1:$BF$1,0))*1,0),
_xlpm._合計,_xlpm._一般検索+_xlpm._法人検索,
IF(_xlpm._合計=0,"",_xlpm._合計)
)</f>
        <v>88</v>
      </c>
      <c r="AR68" s="224" t="str">
        <f>_xlfn.LET(
_xlpm._一般検索,IFERROR(INDEX('在庫使用計画 (一般)'!$A$1:$BF$391,MATCH($C68,'在庫使用計画 (一般)'!$C$1:$C$391,0),MATCH(AR$1,'在庫使用計画 (一般)'!$A$1:$BF$1,0))*1,0),
_xlpm._法人検索,IFERROR(INDEX('在庫使用計画 (法人)'!$A$1:$BF$391,MATCH($C68,'在庫使用計画 (法人)'!$C$1:$C$391,0),MATCH(AR$1,'在庫使用計画 (法人)'!$A$1:$BF$1,0))*1,0),
_xlpm._合計,_xlpm._一般検索+_xlpm._法人検索,
IF(_xlpm._合計=0,"",_xlpm._合計)
)</f>
        <v/>
      </c>
      <c r="AS68" s="224" t="str">
        <f>_xlfn.LET(
_xlpm._一般検索,IFERROR(INDEX('在庫使用計画 (一般)'!$A$1:$BF$391,MATCH($C68,'在庫使用計画 (一般)'!$C$1:$C$391,0),MATCH(AS$1,'在庫使用計画 (一般)'!$A$1:$BF$1,0))*1,0),
_xlpm._法人検索,IFERROR(INDEX('在庫使用計画 (法人)'!$A$1:$BF$391,MATCH($C68,'在庫使用計画 (法人)'!$C$1:$C$391,0),MATCH(AS$1,'在庫使用計画 (法人)'!$A$1:$BF$1,0))*1,0),
_xlpm._合計,_xlpm._一般検索+_xlpm._法人検索,
IF(_xlpm._合計=0,"",_xlpm._合計)
)</f>
        <v/>
      </c>
      <c r="AT68" s="224" t="str">
        <f>_xlfn.LET(
_xlpm._一般検索,IFERROR(INDEX('在庫使用計画 (一般)'!$A$1:$BF$391,MATCH($C68,'在庫使用計画 (一般)'!$C$1:$C$391,0),MATCH(AT$1,'在庫使用計画 (一般)'!$A$1:$BF$1,0))*1,0),
_xlpm._法人検索,IFERROR(INDEX('在庫使用計画 (法人)'!$A$1:$BF$391,MATCH($C68,'在庫使用計画 (法人)'!$C$1:$C$391,0),MATCH(AT$1,'在庫使用計画 (法人)'!$A$1:$BF$1,0))*1,0),
_xlpm._合計,_xlpm._一般検索+_xlpm._法人検索,
IF(_xlpm._合計=0,"",_xlpm._合計)
)</f>
        <v/>
      </c>
      <c r="AU68" s="805" t="str">
        <f>_xlfn.LET(
_xlpm._一般検索,IFERROR(INDEX('在庫使用計画 (一般)'!$A$1:$BF$391,MATCH($C68,'在庫使用計画 (一般)'!$C$1:$C$391,0),MATCH(AU$1,'在庫使用計画 (一般)'!$A$1:$BF$1,0))*1,0),
_xlpm._法人検索,IFERROR(INDEX('在庫使用計画 (法人)'!$A$1:$BF$391,MATCH($C68,'在庫使用計画 (法人)'!$C$1:$C$391,0),MATCH(AU$1,'在庫使用計画 (法人)'!$A$1:$BF$1,0))*1,0),
_xlpm._合計,_xlpm._一般検索+_xlpm._法人検索,
IF(_xlpm._合計=0,"",_xlpm._合計)
)</f>
        <v/>
      </c>
      <c r="AV68" s="244" t="str">
        <f>_xlfn.LET(
_xlpm._一般検索,IFERROR(INDEX('在庫使用計画 (一般)'!$A$1:$BF$391,MATCH($C68,'在庫使用計画 (一般)'!$C$1:$C$391,0),MATCH(AV$1,'在庫使用計画 (一般)'!$A$1:$BF$1,0))*1,0),
_xlpm._法人検索,IFERROR(INDEX('在庫使用計画 (法人)'!$A$1:$BF$391,MATCH($C68,'在庫使用計画 (法人)'!$C$1:$C$391,0),MATCH(AV$1,'在庫使用計画 (法人)'!$A$1:$BF$1,0))*1,0),
_xlpm._合計,_xlpm._一般検索+_xlpm._法人検索,
IF(_xlpm._合計=0,"",_xlpm._合計)
)</f>
        <v/>
      </c>
      <c r="AW68" s="224" t="str">
        <f>_xlfn.LET(
_xlpm._一般検索,IFERROR(INDEX('在庫使用計画 (一般)'!$A$1:$BF$391,MATCH($C68,'在庫使用計画 (一般)'!$C$1:$C$391,0),MATCH(AW$1,'在庫使用計画 (一般)'!$A$1:$BF$1,0))*1,0),
_xlpm._法人検索,IFERROR(INDEX('在庫使用計画 (法人)'!$A$1:$BF$391,MATCH($C68,'在庫使用計画 (法人)'!$C$1:$C$391,0),MATCH(AW$1,'在庫使用計画 (法人)'!$A$1:$BF$1,0))*1,0),
_xlpm._合計,_xlpm._一般検索+_xlpm._法人検索,
IF(_xlpm._合計=0,"",_xlpm._合計)
)</f>
        <v/>
      </c>
      <c r="AX68" s="224" t="str">
        <f>_xlfn.LET(
_xlpm._一般検索,IFERROR(INDEX('在庫使用計画 (一般)'!$A$1:$BF$391,MATCH($C68,'在庫使用計画 (一般)'!$C$1:$C$391,0),MATCH(AX$1,'在庫使用計画 (一般)'!$A$1:$BF$1,0))*1,0),
_xlpm._法人検索,IFERROR(INDEX('在庫使用計画 (法人)'!$A$1:$BF$391,MATCH($C68,'在庫使用計画 (法人)'!$C$1:$C$391,0),MATCH(AX$1,'在庫使用計画 (法人)'!$A$1:$BF$1,0))*1,0),
_xlpm._合計,_xlpm._一般検索+_xlpm._法人検索,
IF(_xlpm._合計=0,"",_xlpm._合計)
)</f>
        <v/>
      </c>
      <c r="AY68" s="224" t="str">
        <f>_xlfn.LET(
_xlpm._一般検索,IFERROR(INDEX('在庫使用計画 (一般)'!$A$1:$BF$391,MATCH($C68,'在庫使用計画 (一般)'!$C$1:$C$391,0),MATCH(AY$1,'在庫使用計画 (一般)'!$A$1:$BF$1,0))*1,0),
_xlpm._法人検索,IFERROR(INDEX('在庫使用計画 (法人)'!$A$1:$BF$391,MATCH($C68,'在庫使用計画 (法人)'!$C$1:$C$391,0),MATCH(AY$1,'在庫使用計画 (法人)'!$A$1:$BF$1,0))*1,0),
_xlpm._合計,_xlpm._一般検索+_xlpm._法人検索,
IF(_xlpm._合計=0,"",_xlpm._合計)
)</f>
        <v/>
      </c>
      <c r="AZ68" s="224" t="str">
        <f>_xlfn.LET(
_xlpm._一般検索,IFERROR(INDEX('在庫使用計画 (一般)'!$A$1:$BF$391,MATCH($C68,'在庫使用計画 (一般)'!$C$1:$C$391,0),MATCH(AZ$1,'在庫使用計画 (一般)'!$A$1:$BF$1,0))*1,0),
_xlpm._法人検索,IFERROR(INDEX('在庫使用計画 (法人)'!$A$1:$BF$391,MATCH($C68,'在庫使用計画 (法人)'!$C$1:$C$391,0),MATCH(AZ$1,'在庫使用計画 (法人)'!$A$1:$BF$1,0))*1,0),
_xlpm._合計,_xlpm._一般検索+_xlpm._法人検索,
IF(_xlpm._合計=0,"",_xlpm._合計)
)</f>
        <v/>
      </c>
      <c r="BA68" s="224" t="str">
        <f>_xlfn.LET(
_xlpm._一般検索,IFERROR(INDEX('在庫使用計画 (一般)'!$A$1:$BF$391,MATCH($C68,'在庫使用計画 (一般)'!$C$1:$C$391,0),MATCH(BA$1,'在庫使用計画 (一般)'!$A$1:$BF$1,0))*1,0),
_xlpm._法人検索,IFERROR(INDEX('在庫使用計画 (法人)'!$A$1:$BF$391,MATCH($C68,'在庫使用計画 (法人)'!$C$1:$C$391,0),MATCH(BA$1,'在庫使用計画 (法人)'!$A$1:$BF$1,0))*1,0),
_xlpm._合計,_xlpm._一般検索+_xlpm._法人検索,
IF(_xlpm._合計=0,"",_xlpm._合計)
)</f>
        <v/>
      </c>
      <c r="BB68" s="224" t="str">
        <f>_xlfn.LET(
_xlpm._一般検索,IFERROR(INDEX('在庫使用計画 (一般)'!$A$1:$BF$391,MATCH($C68,'在庫使用計画 (一般)'!$C$1:$C$391,0),MATCH(BB$1,'在庫使用計画 (一般)'!$A$1:$BF$1,0))*1,0),
_xlpm._法人検索,IFERROR(INDEX('在庫使用計画 (法人)'!$A$1:$BF$391,MATCH($C68,'在庫使用計画 (法人)'!$C$1:$C$391,0),MATCH(BB$1,'在庫使用計画 (法人)'!$A$1:$BF$1,0))*1,0),
_xlpm._合計,_xlpm._一般検索+_xlpm._法人検索,
IF(_xlpm._合計=0,"",_xlpm._合計)
)</f>
        <v/>
      </c>
      <c r="BC68" s="224" t="str">
        <f>_xlfn.LET(
_xlpm._一般検索,IFERROR(INDEX('在庫使用計画 (一般)'!$A$1:$BF$391,MATCH($C68,'在庫使用計画 (一般)'!$C$1:$C$391,0),MATCH(BC$1,'在庫使用計画 (一般)'!$A$1:$BF$1,0))*1,0),
_xlpm._法人検索,IFERROR(INDEX('在庫使用計画 (法人)'!$A$1:$BF$391,MATCH($C68,'在庫使用計画 (法人)'!$C$1:$C$391,0),MATCH(BC$1,'在庫使用計画 (法人)'!$A$1:$BF$1,0))*1,0),
_xlpm._合計,_xlpm._一般検索+_xlpm._法人検索,
IF(_xlpm._合計=0,"",_xlpm._合計)
)</f>
        <v/>
      </c>
      <c r="BD68" s="224" t="str">
        <f>_xlfn.LET(
_xlpm._一般検索,IFERROR(INDEX('在庫使用計画 (一般)'!$A$1:$BF$391,MATCH($C68,'在庫使用計画 (一般)'!$C$1:$C$391,0),MATCH(BD$1,'在庫使用計画 (一般)'!$A$1:$BF$1,0))*1,0),
_xlpm._法人検索,IFERROR(INDEX('在庫使用計画 (法人)'!$A$1:$BF$391,MATCH($C68,'在庫使用計画 (法人)'!$C$1:$C$391,0),MATCH(BD$1,'在庫使用計画 (法人)'!$A$1:$BF$1,0))*1,0),
_xlpm._合計,_xlpm._一般検索+_xlpm._法人検索,
IF(_xlpm._合計=0,"",_xlpm._合計)
)</f>
        <v/>
      </c>
      <c r="BE68" s="224" t="str">
        <f>_xlfn.LET(
_xlpm._一般検索,IFERROR(INDEX('在庫使用計画 (一般)'!$A$1:$BF$391,MATCH($C68,'在庫使用計画 (一般)'!$C$1:$C$391,0),MATCH(BE$1,'在庫使用計画 (一般)'!$A$1:$BF$1,0))*1,0),
_xlpm._法人検索,IFERROR(INDEX('在庫使用計画 (法人)'!$A$1:$BF$391,MATCH($C68,'在庫使用計画 (法人)'!$C$1:$C$391,0),MATCH(BE$1,'在庫使用計画 (法人)'!$A$1:$BF$1,0))*1,0),
_xlpm._合計,_xlpm._一般検索+_xlpm._法人検索,
IF(_xlpm._合計=0,"",_xlpm._合計)
)</f>
        <v/>
      </c>
      <c r="BF68" s="224" t="str">
        <f>_xlfn.LET(
_xlpm._一般検索,IFERROR(INDEX('在庫使用計画 (一般)'!$A$1:$BF$391,MATCH($C68,'在庫使用計画 (一般)'!$C$1:$C$391,0),MATCH(BF$1,'在庫使用計画 (一般)'!$A$1:$BF$1,0))*1,0),
_xlpm._法人検索,IFERROR(INDEX('在庫使用計画 (法人)'!$A$1:$BF$391,MATCH($C68,'在庫使用計画 (法人)'!$C$1:$C$391,0),MATCH(BF$1,'在庫使用計画 (法人)'!$A$1:$BF$1,0))*1,0),
_xlpm._合計,_xlpm._一般検索+_xlpm._法人検索,
IF(_xlpm._合計=0,"",_xlpm._合計)
)</f>
        <v/>
      </c>
      <c r="BG68" s="237" t="str">
        <f>_xlfn.LET(
_xlpm._一般検索,IFERROR(INDEX('在庫使用計画 (一般)'!$A$1:$BF$391,MATCH($C68,'在庫使用計画 (一般)'!$C$1:$C$391,0),MATCH(BG$1,'在庫使用計画 (一般)'!$A$1:$BF$1,0))*1,0),
_xlpm._法人検索,IFERROR(INDEX('在庫使用計画 (法人)'!$A$1:$BF$391,MATCH($C68,'在庫使用計画 (法人)'!$C$1:$C$391,0),MATCH(BG$1,'在庫使用計画 (法人)'!$A$1:$BF$1,0))*1,0),
_xlpm._合計,_xlpm._一般検索+_xlpm._法人検索,
IF(_xlpm._合計=0,"",_xlpm._合計)
)</f>
        <v/>
      </c>
      <c r="BH68" s="804" t="str">
        <f>_xlfn.LET(
_xlpm._一般検索,IFERROR(INDEX('在庫使用計画 (一般)'!$A$1:$BF$391,MATCH($C68,'在庫使用計画 (一般)'!$C$1:$C$391,0),MATCH(BH$1,'在庫使用計画 (一般)'!$A$1:$BF$1,0))*1,0),
_xlpm._法人検索,IFERROR(INDEX('在庫使用計画 (法人)'!$A$1:$BF$391,MATCH($C68,'在庫使用計画 (法人)'!$C$1:$C$391,0),MATCH(BH$1,'在庫使用計画 (法人)'!$A$1:$BF$1,0))*1,0),
_xlpm._合計,_xlpm._一般検索+_xlpm._法人検索,
IF(_xlpm._合計=0,"",_xlpm._合計)
)</f>
        <v/>
      </c>
      <c r="BI68" s="224" t="str">
        <f>_xlfn.LET(
_xlpm._一般検索,IFERROR(INDEX('在庫使用計画 (一般)'!$A$1:$BF$391,MATCH($C68,'在庫使用計画 (一般)'!$C$1:$C$391,0),MATCH(BI$1,'在庫使用計画 (一般)'!$A$1:$BF$1,0))*1,0),
_xlpm._法人検索,IFERROR(INDEX('在庫使用計画 (法人)'!$A$1:$BF$391,MATCH($C68,'在庫使用計画 (法人)'!$C$1:$C$391,0),MATCH(BI$1,'在庫使用計画 (法人)'!$A$1:$BF$1,0))*1,0),
_xlpm._合計,_xlpm._一般検索+_xlpm._法人検索,
IF(_xlpm._合計=0,"",_xlpm._合計)
)</f>
        <v/>
      </c>
      <c r="BJ68" s="224" t="str">
        <f>_xlfn.LET(
_xlpm._一般検索,IFERROR(INDEX('在庫使用計画 (一般)'!$A$1:$BF$391,MATCH($C68,'在庫使用計画 (一般)'!$C$1:$C$391,0),MATCH(BJ$1,'在庫使用計画 (一般)'!$A$1:$BF$1,0))*1,0),
_xlpm._法人検索,IFERROR(INDEX('在庫使用計画 (法人)'!$A$1:$BF$391,MATCH($C68,'在庫使用計画 (法人)'!$C$1:$C$391,0),MATCH(BJ$1,'在庫使用計画 (法人)'!$A$1:$BF$1,0))*1,0),
_xlpm._合計,_xlpm._一般検索+_xlpm._法人検索,
IF(_xlpm._合計=0,"",_xlpm._合計)
)</f>
        <v/>
      </c>
      <c r="BK68" s="224" t="str">
        <f>_xlfn.LET(
_xlpm._一般検索,IFERROR(INDEX('在庫使用計画 (一般)'!$A$1:$BF$391,MATCH($C68,'在庫使用計画 (一般)'!$C$1:$C$391,0),MATCH(BK$1,'在庫使用計画 (一般)'!$A$1:$BF$1,0))*1,0),
_xlpm._法人検索,IFERROR(INDEX('在庫使用計画 (法人)'!$A$1:$BF$391,MATCH($C68,'在庫使用計画 (法人)'!$C$1:$C$391,0),MATCH(BK$1,'在庫使用計画 (法人)'!$A$1:$BF$1,0))*1,0),
_xlpm._合計,_xlpm._一般検索+_xlpm._法人検索,
IF(_xlpm._合計=0,"",_xlpm._合計)
)</f>
        <v/>
      </c>
      <c r="BL68" s="224" t="str">
        <f>_xlfn.LET(
_xlpm._一般検索,IFERROR(INDEX('在庫使用計画 (一般)'!$A$1:$BF$391,MATCH($C68,'在庫使用計画 (一般)'!$C$1:$C$391,0),MATCH(BL$1,'在庫使用計画 (一般)'!$A$1:$BF$1,0))*1,0),
_xlpm._法人検索,IFERROR(INDEX('在庫使用計画 (法人)'!$A$1:$BF$391,MATCH($C68,'在庫使用計画 (法人)'!$C$1:$C$391,0),MATCH(BL$1,'在庫使用計画 (法人)'!$A$1:$BF$1,0))*1,0),
_xlpm._合計,_xlpm._一般検索+_xlpm._法人検索,
IF(_xlpm._合計=0,"",_xlpm._合計)
)</f>
        <v/>
      </c>
      <c r="BM68" s="224" t="str">
        <f>_xlfn.LET(
_xlpm._一般検索,IFERROR(INDEX('在庫使用計画 (一般)'!$A$1:$BF$391,MATCH($C68,'在庫使用計画 (一般)'!$C$1:$C$391,0),MATCH(BM$1,'在庫使用計画 (一般)'!$A$1:$BF$1,0))*1,0),
_xlpm._法人検索,IFERROR(INDEX('在庫使用計画 (法人)'!$A$1:$BF$391,MATCH($C68,'在庫使用計画 (法人)'!$C$1:$C$391,0),MATCH(BM$1,'在庫使用計画 (法人)'!$A$1:$BF$1,0))*1,0),
_xlpm._合計,_xlpm._一般検索+_xlpm._法人検索,
IF(_xlpm._合計=0,"",_xlpm._合計)
)</f>
        <v/>
      </c>
      <c r="BN68" s="224" t="str">
        <f>_xlfn.LET(
_xlpm._一般検索,IFERROR(INDEX('在庫使用計画 (一般)'!$A$1:$BF$391,MATCH($C68,'在庫使用計画 (一般)'!$C$1:$C$391,0),MATCH(BN$1,'在庫使用計画 (一般)'!$A$1:$BF$1,0))*1,0),
_xlpm._法人検索,IFERROR(INDEX('在庫使用計画 (法人)'!$A$1:$BF$391,MATCH($C68,'在庫使用計画 (法人)'!$C$1:$C$391,0),MATCH(BN$1,'在庫使用計画 (法人)'!$A$1:$BF$1,0))*1,0),
_xlpm._合計,_xlpm._一般検索+_xlpm._法人検索,
IF(_xlpm._合計=0,"",_xlpm._合計)
)</f>
        <v/>
      </c>
      <c r="BO68" s="224" t="str">
        <f>_xlfn.LET(
_xlpm._一般検索,IFERROR(INDEX('在庫使用計画 (一般)'!$A$1:$BF$391,MATCH($C68,'在庫使用計画 (一般)'!$C$1:$C$391,0),MATCH(BO$1,'在庫使用計画 (一般)'!$A$1:$BF$1,0))*1,0),
_xlpm._法人検索,IFERROR(INDEX('在庫使用計画 (法人)'!$A$1:$BF$391,MATCH($C68,'在庫使用計画 (法人)'!$C$1:$C$391,0),MATCH(BO$1,'在庫使用計画 (法人)'!$A$1:$BF$1,0))*1,0),
_xlpm._合計,_xlpm._一般検索+_xlpm._法人検索,
IF(_xlpm._合計=0,"",_xlpm._合計)
)</f>
        <v/>
      </c>
      <c r="BP68" s="224" t="str">
        <f>_xlfn.LET(
_xlpm._一般検索,IFERROR(INDEX('在庫使用計画 (一般)'!$A$1:$BF$391,MATCH($C68,'在庫使用計画 (一般)'!$C$1:$C$391,0),MATCH(BP$1,'在庫使用計画 (一般)'!$A$1:$BF$1,0))*1,0),
_xlpm._法人検索,IFERROR(INDEX('在庫使用計画 (法人)'!$A$1:$BF$391,MATCH($C68,'在庫使用計画 (法人)'!$C$1:$C$391,0),MATCH(BP$1,'在庫使用計画 (法人)'!$A$1:$BF$1,0))*1,0),
_xlpm._合計,_xlpm._一般検索+_xlpm._法人検索,
IF(_xlpm._合計=0,"",_xlpm._合計)
)</f>
        <v/>
      </c>
      <c r="BQ68" s="224" t="str">
        <f>_xlfn.LET(
_xlpm._一般検索,IFERROR(INDEX('在庫使用計画 (一般)'!$A$1:$BF$391,MATCH($C68,'在庫使用計画 (一般)'!$C$1:$C$391,0),MATCH(BQ$1,'在庫使用計画 (一般)'!$A$1:$BF$1,0))*1,0),
_xlpm._法人検索,IFERROR(INDEX('在庫使用計画 (法人)'!$A$1:$BF$391,MATCH($C68,'在庫使用計画 (法人)'!$C$1:$C$391,0),MATCH(BQ$1,'在庫使用計画 (法人)'!$A$1:$BF$1,0))*1,0),
_xlpm._合計,_xlpm._一般検索+_xlpm._法人検索,
IF(_xlpm._合計=0,"",_xlpm._合計)
)</f>
        <v/>
      </c>
      <c r="BR68" s="224" t="str">
        <f>_xlfn.LET(
_xlpm._一般検索,IFERROR(INDEX('在庫使用計画 (一般)'!$A$1:$BF$391,MATCH($C68,'在庫使用計画 (一般)'!$C$1:$C$391,0),MATCH(BR$1,'在庫使用計画 (一般)'!$A$1:$BF$1,0))*1,0),
_xlpm._法人検索,IFERROR(INDEX('在庫使用計画 (法人)'!$A$1:$BF$391,MATCH($C68,'在庫使用計画 (法人)'!$C$1:$C$391,0),MATCH(BR$1,'在庫使用計画 (法人)'!$A$1:$BF$1,0))*1,0),
_xlpm._合計,_xlpm._一般検索+_xlpm._法人検索,
IF(_xlpm._合計=0,"",_xlpm._合計)
)</f>
        <v/>
      </c>
      <c r="BS68" s="805" t="str">
        <f>_xlfn.LET(
_xlpm._一般検索,IFERROR(INDEX('在庫使用計画 (一般)'!$A$1:$BF$391,MATCH($C68,'在庫使用計画 (一般)'!$C$1:$C$391,0),MATCH(BS$1,'在庫使用計画 (一般)'!$A$1:$BF$1,0))*1,0),
_xlpm._法人検索,IFERROR(INDEX('在庫使用計画 (法人)'!$A$1:$BF$391,MATCH($C68,'在庫使用計画 (法人)'!$C$1:$C$391,0),MATCH(BS$1,'在庫使用計画 (法人)'!$A$1:$BF$1,0))*1,0),
_xlpm._合計,_xlpm._一般検索+_xlpm._法人検索,
IF(_xlpm._合計=0,"",_xlpm._合計)
)</f>
        <v/>
      </c>
      <c r="BT68" s="21"/>
    </row>
    <row r="69" spans="1:72" customFormat="1" ht="18.75" customHeight="1">
      <c r="A69" s="2064" t="s">
        <v>1651</v>
      </c>
      <c r="B69" s="1057" t="str">
        <v>CLE-NL55-1335U-UMA-L6-TPM DDR5 TW</v>
      </c>
      <c r="C69" s="716" t="s">
        <v>653</v>
      </c>
      <c r="D69" s="2153">
        <v>900</v>
      </c>
      <c r="E69" s="1098" t="s">
        <v>1732</v>
      </c>
      <c r="F69" s="111" t="s">
        <v>1725</v>
      </c>
      <c r="G69" s="74">
        <v>833</v>
      </c>
      <c r="H69" s="38">
        <v>833</v>
      </c>
      <c r="I69" s="38" cm="1">
        <f t="array" ref="I69">IF($C69="","",
_xlfn.LET(
  _xlpm._見出し,$A$1:$BT$1,
  _xlpm._行,$A69:$BT69,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790</v>
      </c>
      <c r="J69" s="74" cm="1">
        <f t="array" ref="J69">_xlfn.LET(
  _xlpm._見出し,$A$1:$BS$1,
  _xlpm._行,$A69:$BS69,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IF($C69="","",_xlpm._四点五月計画合計)
)</f>
        <v>640</v>
      </c>
      <c r="K69" s="1458" cm="1">
        <f t="array" ref="K69">_xlfn.IFS(
  $C69="","",
  $G69="","発売前？",
  $G69=0,"在庫なし",
  TRUE,
  IFERROR(
    _xlfn.LET(
      _xlpm._在庫注残,     $G69,
      _xlpm._しきい値,     _xlpm._在庫注残 * 0.75,
      _xlpm._見出し元,     $L$1:$BU$1,
      _xlpm._計画,         $L69:$BU69,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46266</v>
      </c>
      <c r="L69" s="311"/>
      <c r="M69" s="311"/>
      <c r="N69" s="311"/>
      <c r="O69" s="311"/>
      <c r="P69" s="311"/>
      <c r="Q69" s="311"/>
      <c r="R69" s="311"/>
      <c r="S69" s="298"/>
      <c r="T69" s="298"/>
      <c r="U69" s="298"/>
      <c r="V69" s="298"/>
      <c r="W69" s="298"/>
      <c r="X69" s="299"/>
      <c r="Y69" s="419"/>
      <c r="Z69" s="419"/>
      <c r="AA69" s="335"/>
      <c r="AB69" s="335"/>
      <c r="AC69" s="335"/>
      <c r="AD69" s="335"/>
      <c r="AE69" s="335"/>
      <c r="AF69" s="335"/>
      <c r="AG69" s="335"/>
      <c r="AH69" s="224"/>
      <c r="AI69" s="823"/>
      <c r="AJ69" s="804" t="s">
        <v>21</v>
      </c>
      <c r="AK69" s="224" t="s">
        <v>21</v>
      </c>
      <c r="AL69" s="224" t="s">
        <v>21</v>
      </c>
      <c r="AM69" s="224" t="s">
        <v>21</v>
      </c>
      <c r="AN69" s="224" t="str">
        <f>_xlfn.LET(
_xlpm._一般検索,IFERROR(INDEX('在庫使用計画 (一般)'!$A$1:$BF$391,MATCH($C69,'在庫使用計画 (一般)'!$C$1:$C$391,0),MATCH(AN$1,'在庫使用計画 (一般)'!$A$1:$BF$1,0))*1,0),
_xlpm._法人検索,IFERROR(INDEX('在庫使用計画 (法人)'!$A$1:$BF$391,MATCH($C69,'在庫使用計画 (法人)'!$C$1:$C$391,0),MATCH(AN$1,'在庫使用計画 (法人)'!$A$1:$BF$1,0))*1,0),
_xlpm._合計,_xlpm._一般検索+_xlpm._法人検索,
IF(_xlpm._合計=0,"",_xlpm._合計)
)</f>
        <v/>
      </c>
      <c r="AO69" s="224">
        <f>_xlfn.LET(
_xlpm._一般検索,IFERROR(INDEX('在庫使用計画 (一般)'!$A$1:$BF$391,MATCH($C69,'在庫使用計画 (一般)'!$C$1:$C$391,0),MATCH(AO$1,'在庫使用計画 (一般)'!$A$1:$BF$1,0))*1,0),
_xlpm._法人検索,IFERROR(INDEX('在庫使用計画 (法人)'!$A$1:$BF$391,MATCH($C69,'在庫使用計画 (法人)'!$C$1:$C$391,0),MATCH(AO$1,'在庫使用計画 (法人)'!$A$1:$BF$1,0))*1,0),
_xlpm._合計,_xlpm._一般検索+_xlpm._法人検索,
IF(_xlpm._合計=0,"",_xlpm._合計)
)</f>
        <v>100</v>
      </c>
      <c r="AP69" s="224">
        <f>_xlfn.LET(
_xlpm._一般検索,IFERROR(INDEX('在庫使用計画 (一般)'!$A$1:$BF$391,MATCH($C69,'在庫使用計画 (一般)'!$C$1:$C$391,0),MATCH(AP$1,'在庫使用計画 (一般)'!$A$1:$BF$1,0))*1,0),
_xlpm._法人検索,IFERROR(INDEX('在庫使用計画 (法人)'!$A$1:$BF$391,MATCH($C69,'在庫使用計画 (法人)'!$C$1:$C$391,0),MATCH(AP$1,'在庫使用計画 (法人)'!$A$1:$BF$1,0))*1,0),
_xlpm._合計,_xlpm._一般検索+_xlpm._法人検索,
IF(_xlpm._合計=0,"",_xlpm._合計)
)</f>
        <v>300</v>
      </c>
      <c r="AQ69" s="224">
        <f>_xlfn.LET(
_xlpm._一般検索,IFERROR(INDEX('在庫使用計画 (一般)'!$A$1:$BF$391,MATCH($C69,'在庫使用計画 (一般)'!$C$1:$C$391,0),MATCH(AQ$1,'在庫使用計画 (一般)'!$A$1:$BF$1,0))*1,0),
_xlpm._法人検索,IFERROR(INDEX('在庫使用計画 (法人)'!$A$1:$BF$391,MATCH($C69,'在庫使用計画 (法人)'!$C$1:$C$391,0),MATCH(AQ$1,'在庫使用計画 (法人)'!$A$1:$BF$1,0))*1,0),
_xlpm._合計,_xlpm._一般検索+_xlpm._法人検索,
IF(_xlpm._合計=0,"",_xlpm._合計)
)</f>
        <v>300</v>
      </c>
      <c r="AR69" s="224">
        <f>_xlfn.LET(
_xlpm._一般検索,IFERROR(INDEX('在庫使用計画 (一般)'!$A$1:$BF$391,MATCH($C69,'在庫使用計画 (一般)'!$C$1:$C$391,0),MATCH(AR$1,'在庫使用計画 (一般)'!$A$1:$BF$1,0))*1,0),
_xlpm._法人検索,IFERROR(INDEX('在庫使用計画 (法人)'!$A$1:$BF$391,MATCH($C69,'在庫使用計画 (法人)'!$C$1:$C$391,0),MATCH(AR$1,'在庫使用計画 (法人)'!$A$1:$BF$1,0))*1,0),
_xlpm._合計,_xlpm._一般検索+_xlpm._法人検索,
IF(_xlpm._合計=0,"",_xlpm._合計)
)</f>
        <v>190</v>
      </c>
      <c r="AS69" s="224" t="str">
        <f>_xlfn.LET(
_xlpm._一般検索,IFERROR(INDEX('在庫使用計画 (一般)'!$A$1:$BF$391,MATCH($C69,'在庫使用計画 (一般)'!$C$1:$C$391,0),MATCH(AS$1,'在庫使用計画 (一般)'!$A$1:$BF$1,0))*1,0),
_xlpm._法人検索,IFERROR(INDEX('在庫使用計画 (法人)'!$A$1:$BF$391,MATCH($C69,'在庫使用計画 (法人)'!$C$1:$C$391,0),MATCH(AS$1,'在庫使用計画 (法人)'!$A$1:$BF$1,0))*1,0),
_xlpm._合計,_xlpm._一般検索+_xlpm._法人検索,
IF(_xlpm._合計=0,"",_xlpm._合計)
)</f>
        <v/>
      </c>
      <c r="AT69" s="224" t="str">
        <f>_xlfn.LET(
_xlpm._一般検索,IFERROR(INDEX('在庫使用計画 (一般)'!$A$1:$BF$391,MATCH($C69,'在庫使用計画 (一般)'!$C$1:$C$391,0),MATCH(AT$1,'在庫使用計画 (一般)'!$A$1:$BF$1,0))*1,0),
_xlpm._法人検索,IFERROR(INDEX('在庫使用計画 (法人)'!$A$1:$BF$391,MATCH($C69,'在庫使用計画 (法人)'!$C$1:$C$391,0),MATCH(AT$1,'在庫使用計画 (法人)'!$A$1:$BF$1,0))*1,0),
_xlpm._合計,_xlpm._一般検索+_xlpm._法人検索,
IF(_xlpm._合計=0,"",_xlpm._合計)
)</f>
        <v/>
      </c>
      <c r="AU69" s="805" t="str">
        <f>_xlfn.LET(
_xlpm._一般検索,IFERROR(INDEX('在庫使用計画 (一般)'!$A$1:$BF$391,MATCH($C69,'在庫使用計画 (一般)'!$C$1:$C$391,0),MATCH(AU$1,'在庫使用計画 (一般)'!$A$1:$BF$1,0))*1,0),
_xlpm._法人検索,IFERROR(INDEX('在庫使用計画 (法人)'!$A$1:$BF$391,MATCH($C69,'在庫使用計画 (法人)'!$C$1:$C$391,0),MATCH(AU$1,'在庫使用計画 (法人)'!$A$1:$BF$1,0))*1,0),
_xlpm._合計,_xlpm._一般検索+_xlpm._法人検索,
IF(_xlpm._合計=0,"",_xlpm._合計)
)</f>
        <v/>
      </c>
      <c r="AV69" s="244" t="str">
        <f>_xlfn.LET(
_xlpm._一般検索,IFERROR(INDEX('在庫使用計画 (一般)'!$A$1:$BF$391,MATCH($C69,'在庫使用計画 (一般)'!$C$1:$C$391,0),MATCH(AV$1,'在庫使用計画 (一般)'!$A$1:$BF$1,0))*1,0),
_xlpm._法人検索,IFERROR(INDEX('在庫使用計画 (法人)'!$A$1:$BF$391,MATCH($C69,'在庫使用計画 (法人)'!$C$1:$C$391,0),MATCH(AV$1,'在庫使用計画 (法人)'!$A$1:$BF$1,0))*1,0),
_xlpm._合計,_xlpm._一般検索+_xlpm._法人検索,
IF(_xlpm._合計=0,"",_xlpm._合計)
)</f>
        <v/>
      </c>
      <c r="AW69" s="224" t="str">
        <f>_xlfn.LET(
_xlpm._一般検索,IFERROR(INDEX('在庫使用計画 (一般)'!$A$1:$BF$391,MATCH($C69,'在庫使用計画 (一般)'!$C$1:$C$391,0),MATCH(AW$1,'在庫使用計画 (一般)'!$A$1:$BF$1,0))*1,0),
_xlpm._法人検索,IFERROR(INDEX('在庫使用計画 (法人)'!$A$1:$BF$391,MATCH($C69,'在庫使用計画 (法人)'!$C$1:$C$391,0),MATCH(AW$1,'在庫使用計画 (法人)'!$A$1:$BF$1,0))*1,0),
_xlpm._合計,_xlpm._一般検索+_xlpm._法人検索,
IF(_xlpm._合計=0,"",_xlpm._合計)
)</f>
        <v/>
      </c>
      <c r="AX69" s="224" t="str">
        <f>_xlfn.LET(
_xlpm._一般検索,IFERROR(INDEX('在庫使用計画 (一般)'!$A$1:$BF$391,MATCH($C69,'在庫使用計画 (一般)'!$C$1:$C$391,0),MATCH(AX$1,'在庫使用計画 (一般)'!$A$1:$BF$1,0))*1,0),
_xlpm._法人検索,IFERROR(INDEX('在庫使用計画 (法人)'!$A$1:$BF$391,MATCH($C69,'在庫使用計画 (法人)'!$C$1:$C$391,0),MATCH(AX$1,'在庫使用計画 (法人)'!$A$1:$BF$1,0))*1,0),
_xlpm._合計,_xlpm._一般検索+_xlpm._法人検索,
IF(_xlpm._合計=0,"",_xlpm._合計)
)</f>
        <v/>
      </c>
      <c r="AY69" s="224" t="str">
        <f>_xlfn.LET(
_xlpm._一般検索,IFERROR(INDEX('在庫使用計画 (一般)'!$A$1:$BF$391,MATCH($C69,'在庫使用計画 (一般)'!$C$1:$C$391,0),MATCH(AY$1,'在庫使用計画 (一般)'!$A$1:$BF$1,0))*1,0),
_xlpm._法人検索,IFERROR(INDEX('在庫使用計画 (法人)'!$A$1:$BF$391,MATCH($C69,'在庫使用計画 (法人)'!$C$1:$C$391,0),MATCH(AY$1,'在庫使用計画 (法人)'!$A$1:$BF$1,0))*1,0),
_xlpm._合計,_xlpm._一般検索+_xlpm._法人検索,
IF(_xlpm._合計=0,"",_xlpm._合計)
)</f>
        <v/>
      </c>
      <c r="AZ69" s="224" t="str">
        <f>_xlfn.LET(
_xlpm._一般検索,IFERROR(INDEX('在庫使用計画 (一般)'!$A$1:$BF$391,MATCH($C69,'在庫使用計画 (一般)'!$C$1:$C$391,0),MATCH(AZ$1,'在庫使用計画 (一般)'!$A$1:$BF$1,0))*1,0),
_xlpm._法人検索,IFERROR(INDEX('在庫使用計画 (法人)'!$A$1:$BF$391,MATCH($C69,'在庫使用計画 (法人)'!$C$1:$C$391,0),MATCH(AZ$1,'在庫使用計画 (法人)'!$A$1:$BF$1,0))*1,0),
_xlpm._合計,_xlpm._一般検索+_xlpm._法人検索,
IF(_xlpm._合計=0,"",_xlpm._合計)
)</f>
        <v/>
      </c>
      <c r="BA69" s="224" t="str">
        <f>_xlfn.LET(
_xlpm._一般検索,IFERROR(INDEX('在庫使用計画 (一般)'!$A$1:$BF$391,MATCH($C69,'在庫使用計画 (一般)'!$C$1:$C$391,0),MATCH(BA$1,'在庫使用計画 (一般)'!$A$1:$BF$1,0))*1,0),
_xlpm._法人検索,IFERROR(INDEX('在庫使用計画 (法人)'!$A$1:$BF$391,MATCH($C69,'在庫使用計画 (法人)'!$C$1:$C$391,0),MATCH(BA$1,'在庫使用計画 (法人)'!$A$1:$BF$1,0))*1,0),
_xlpm._合計,_xlpm._一般検索+_xlpm._法人検索,
IF(_xlpm._合計=0,"",_xlpm._合計)
)</f>
        <v/>
      </c>
      <c r="BB69" s="224" t="str">
        <f>_xlfn.LET(
_xlpm._一般検索,IFERROR(INDEX('在庫使用計画 (一般)'!$A$1:$BF$391,MATCH($C69,'在庫使用計画 (一般)'!$C$1:$C$391,0),MATCH(BB$1,'在庫使用計画 (一般)'!$A$1:$BF$1,0))*1,0),
_xlpm._法人検索,IFERROR(INDEX('在庫使用計画 (法人)'!$A$1:$BF$391,MATCH($C69,'在庫使用計画 (法人)'!$C$1:$C$391,0),MATCH(BB$1,'在庫使用計画 (法人)'!$A$1:$BF$1,0))*1,0),
_xlpm._合計,_xlpm._一般検索+_xlpm._法人検索,
IF(_xlpm._合計=0,"",_xlpm._合計)
)</f>
        <v/>
      </c>
      <c r="BC69" s="224" t="str">
        <f>_xlfn.LET(
_xlpm._一般検索,IFERROR(INDEX('在庫使用計画 (一般)'!$A$1:$BF$391,MATCH($C69,'在庫使用計画 (一般)'!$C$1:$C$391,0),MATCH(BC$1,'在庫使用計画 (一般)'!$A$1:$BF$1,0))*1,0),
_xlpm._法人検索,IFERROR(INDEX('在庫使用計画 (法人)'!$A$1:$BF$391,MATCH($C69,'在庫使用計画 (法人)'!$C$1:$C$391,0),MATCH(BC$1,'在庫使用計画 (法人)'!$A$1:$BF$1,0))*1,0),
_xlpm._合計,_xlpm._一般検索+_xlpm._法人検索,
IF(_xlpm._合計=0,"",_xlpm._合計)
)</f>
        <v/>
      </c>
      <c r="BD69" s="224" t="str">
        <f>_xlfn.LET(
_xlpm._一般検索,IFERROR(INDEX('在庫使用計画 (一般)'!$A$1:$BF$391,MATCH($C69,'在庫使用計画 (一般)'!$C$1:$C$391,0),MATCH(BD$1,'在庫使用計画 (一般)'!$A$1:$BF$1,0))*1,0),
_xlpm._法人検索,IFERROR(INDEX('在庫使用計画 (法人)'!$A$1:$BF$391,MATCH($C69,'在庫使用計画 (法人)'!$C$1:$C$391,0),MATCH(BD$1,'在庫使用計画 (法人)'!$A$1:$BF$1,0))*1,0),
_xlpm._合計,_xlpm._一般検索+_xlpm._法人検索,
IF(_xlpm._合計=0,"",_xlpm._合計)
)</f>
        <v/>
      </c>
      <c r="BE69" s="224" t="str">
        <f>_xlfn.LET(
_xlpm._一般検索,IFERROR(INDEX('在庫使用計画 (一般)'!$A$1:$BF$391,MATCH($C69,'在庫使用計画 (一般)'!$C$1:$C$391,0),MATCH(BE$1,'在庫使用計画 (一般)'!$A$1:$BF$1,0))*1,0),
_xlpm._法人検索,IFERROR(INDEX('在庫使用計画 (法人)'!$A$1:$BF$391,MATCH($C69,'在庫使用計画 (法人)'!$C$1:$C$391,0),MATCH(BE$1,'在庫使用計画 (法人)'!$A$1:$BF$1,0))*1,0),
_xlpm._合計,_xlpm._一般検索+_xlpm._法人検索,
IF(_xlpm._合計=0,"",_xlpm._合計)
)</f>
        <v/>
      </c>
      <c r="BF69" s="224" t="str">
        <f>_xlfn.LET(
_xlpm._一般検索,IFERROR(INDEX('在庫使用計画 (一般)'!$A$1:$BF$391,MATCH($C69,'在庫使用計画 (一般)'!$C$1:$C$391,0),MATCH(BF$1,'在庫使用計画 (一般)'!$A$1:$BF$1,0))*1,0),
_xlpm._法人検索,IFERROR(INDEX('在庫使用計画 (法人)'!$A$1:$BF$391,MATCH($C69,'在庫使用計画 (法人)'!$C$1:$C$391,0),MATCH(BF$1,'在庫使用計画 (法人)'!$A$1:$BF$1,0))*1,0),
_xlpm._合計,_xlpm._一般検索+_xlpm._法人検索,
IF(_xlpm._合計=0,"",_xlpm._合計)
)</f>
        <v/>
      </c>
      <c r="BG69" s="237" t="str">
        <f>_xlfn.LET(
_xlpm._一般検索,IFERROR(INDEX('在庫使用計画 (一般)'!$A$1:$BF$391,MATCH($C69,'在庫使用計画 (一般)'!$C$1:$C$391,0),MATCH(BG$1,'在庫使用計画 (一般)'!$A$1:$BF$1,0))*1,0),
_xlpm._法人検索,IFERROR(INDEX('在庫使用計画 (法人)'!$A$1:$BF$391,MATCH($C69,'在庫使用計画 (法人)'!$C$1:$C$391,0),MATCH(BG$1,'在庫使用計画 (法人)'!$A$1:$BF$1,0))*1,0),
_xlpm._合計,_xlpm._一般検索+_xlpm._法人検索,
IF(_xlpm._合計=0,"",_xlpm._合計)
)</f>
        <v/>
      </c>
      <c r="BH69" s="804" t="str">
        <f>_xlfn.LET(
_xlpm._一般検索,IFERROR(INDEX('在庫使用計画 (一般)'!$A$1:$BF$391,MATCH($C69,'在庫使用計画 (一般)'!$C$1:$C$391,0),MATCH(BH$1,'在庫使用計画 (一般)'!$A$1:$BF$1,0))*1,0),
_xlpm._法人検索,IFERROR(INDEX('在庫使用計画 (法人)'!$A$1:$BF$391,MATCH($C69,'在庫使用計画 (法人)'!$C$1:$C$391,0),MATCH(BH$1,'在庫使用計画 (法人)'!$A$1:$BF$1,0))*1,0),
_xlpm._合計,_xlpm._一般検索+_xlpm._法人検索,
IF(_xlpm._合計=0,"",_xlpm._合計)
)</f>
        <v/>
      </c>
      <c r="BI69" s="224" t="str">
        <f>_xlfn.LET(
_xlpm._一般検索,IFERROR(INDEX('在庫使用計画 (一般)'!$A$1:$BF$391,MATCH($C69,'在庫使用計画 (一般)'!$C$1:$C$391,0),MATCH(BI$1,'在庫使用計画 (一般)'!$A$1:$BF$1,0))*1,0),
_xlpm._法人検索,IFERROR(INDEX('在庫使用計画 (法人)'!$A$1:$BF$391,MATCH($C69,'在庫使用計画 (法人)'!$C$1:$C$391,0),MATCH(BI$1,'在庫使用計画 (法人)'!$A$1:$BF$1,0))*1,0),
_xlpm._合計,_xlpm._一般検索+_xlpm._法人検索,
IF(_xlpm._合計=0,"",_xlpm._合計)
)</f>
        <v/>
      </c>
      <c r="BJ69" s="224" t="str">
        <f>_xlfn.LET(
_xlpm._一般検索,IFERROR(INDEX('在庫使用計画 (一般)'!$A$1:$BF$391,MATCH($C69,'在庫使用計画 (一般)'!$C$1:$C$391,0),MATCH(BJ$1,'在庫使用計画 (一般)'!$A$1:$BF$1,0))*1,0),
_xlpm._法人検索,IFERROR(INDEX('在庫使用計画 (法人)'!$A$1:$BF$391,MATCH($C69,'在庫使用計画 (法人)'!$C$1:$C$391,0),MATCH(BJ$1,'在庫使用計画 (法人)'!$A$1:$BF$1,0))*1,0),
_xlpm._合計,_xlpm._一般検索+_xlpm._法人検索,
IF(_xlpm._合計=0,"",_xlpm._合計)
)</f>
        <v/>
      </c>
      <c r="BK69" s="224" t="str">
        <f>_xlfn.LET(
_xlpm._一般検索,IFERROR(INDEX('在庫使用計画 (一般)'!$A$1:$BF$391,MATCH($C69,'在庫使用計画 (一般)'!$C$1:$C$391,0),MATCH(BK$1,'在庫使用計画 (一般)'!$A$1:$BF$1,0))*1,0),
_xlpm._法人検索,IFERROR(INDEX('在庫使用計画 (法人)'!$A$1:$BF$391,MATCH($C69,'在庫使用計画 (法人)'!$C$1:$C$391,0),MATCH(BK$1,'在庫使用計画 (法人)'!$A$1:$BF$1,0))*1,0),
_xlpm._合計,_xlpm._一般検索+_xlpm._法人検索,
IF(_xlpm._合計=0,"",_xlpm._合計)
)</f>
        <v/>
      </c>
      <c r="BL69" s="224" t="str">
        <f>_xlfn.LET(
_xlpm._一般検索,IFERROR(INDEX('在庫使用計画 (一般)'!$A$1:$BF$391,MATCH($C69,'在庫使用計画 (一般)'!$C$1:$C$391,0),MATCH(BL$1,'在庫使用計画 (一般)'!$A$1:$BF$1,0))*1,0),
_xlpm._法人検索,IFERROR(INDEX('在庫使用計画 (法人)'!$A$1:$BF$391,MATCH($C69,'在庫使用計画 (法人)'!$C$1:$C$391,0),MATCH(BL$1,'在庫使用計画 (法人)'!$A$1:$BF$1,0))*1,0),
_xlpm._合計,_xlpm._一般検索+_xlpm._法人検索,
IF(_xlpm._合計=0,"",_xlpm._合計)
)</f>
        <v/>
      </c>
      <c r="BM69" s="224" t="str">
        <f>_xlfn.LET(
_xlpm._一般検索,IFERROR(INDEX('在庫使用計画 (一般)'!$A$1:$BF$391,MATCH($C69,'在庫使用計画 (一般)'!$C$1:$C$391,0),MATCH(BM$1,'在庫使用計画 (一般)'!$A$1:$BF$1,0))*1,0),
_xlpm._法人検索,IFERROR(INDEX('在庫使用計画 (法人)'!$A$1:$BF$391,MATCH($C69,'在庫使用計画 (法人)'!$C$1:$C$391,0),MATCH(BM$1,'在庫使用計画 (法人)'!$A$1:$BF$1,0))*1,0),
_xlpm._合計,_xlpm._一般検索+_xlpm._法人検索,
IF(_xlpm._合計=0,"",_xlpm._合計)
)</f>
        <v/>
      </c>
      <c r="BN69" s="224" t="str">
        <f>_xlfn.LET(
_xlpm._一般検索,IFERROR(INDEX('在庫使用計画 (一般)'!$A$1:$BF$391,MATCH($C69,'在庫使用計画 (一般)'!$C$1:$C$391,0),MATCH(BN$1,'在庫使用計画 (一般)'!$A$1:$BF$1,0))*1,0),
_xlpm._法人検索,IFERROR(INDEX('在庫使用計画 (法人)'!$A$1:$BF$391,MATCH($C69,'在庫使用計画 (法人)'!$C$1:$C$391,0),MATCH(BN$1,'在庫使用計画 (法人)'!$A$1:$BF$1,0))*1,0),
_xlpm._合計,_xlpm._一般検索+_xlpm._法人検索,
IF(_xlpm._合計=0,"",_xlpm._合計)
)</f>
        <v/>
      </c>
      <c r="BO69" s="224" t="str">
        <f>_xlfn.LET(
_xlpm._一般検索,IFERROR(INDEX('在庫使用計画 (一般)'!$A$1:$BF$391,MATCH($C69,'在庫使用計画 (一般)'!$C$1:$C$391,0),MATCH(BO$1,'在庫使用計画 (一般)'!$A$1:$BF$1,0))*1,0),
_xlpm._法人検索,IFERROR(INDEX('在庫使用計画 (法人)'!$A$1:$BF$391,MATCH($C69,'在庫使用計画 (法人)'!$C$1:$C$391,0),MATCH(BO$1,'在庫使用計画 (法人)'!$A$1:$BF$1,0))*1,0),
_xlpm._合計,_xlpm._一般検索+_xlpm._法人検索,
IF(_xlpm._合計=0,"",_xlpm._合計)
)</f>
        <v/>
      </c>
      <c r="BP69" s="224" t="str">
        <f>_xlfn.LET(
_xlpm._一般検索,IFERROR(INDEX('在庫使用計画 (一般)'!$A$1:$BF$391,MATCH($C69,'在庫使用計画 (一般)'!$C$1:$C$391,0),MATCH(BP$1,'在庫使用計画 (一般)'!$A$1:$BF$1,0))*1,0),
_xlpm._法人検索,IFERROR(INDEX('在庫使用計画 (法人)'!$A$1:$BF$391,MATCH($C69,'在庫使用計画 (法人)'!$C$1:$C$391,0),MATCH(BP$1,'在庫使用計画 (法人)'!$A$1:$BF$1,0))*1,0),
_xlpm._合計,_xlpm._一般検索+_xlpm._法人検索,
IF(_xlpm._合計=0,"",_xlpm._合計)
)</f>
        <v/>
      </c>
      <c r="BQ69" s="224" t="str">
        <f>_xlfn.LET(
_xlpm._一般検索,IFERROR(INDEX('在庫使用計画 (一般)'!$A$1:$BF$391,MATCH($C69,'在庫使用計画 (一般)'!$C$1:$C$391,0),MATCH(BQ$1,'在庫使用計画 (一般)'!$A$1:$BF$1,0))*1,0),
_xlpm._法人検索,IFERROR(INDEX('在庫使用計画 (法人)'!$A$1:$BF$391,MATCH($C69,'在庫使用計画 (法人)'!$C$1:$C$391,0),MATCH(BQ$1,'在庫使用計画 (法人)'!$A$1:$BF$1,0))*1,0),
_xlpm._合計,_xlpm._一般検索+_xlpm._法人検索,
IF(_xlpm._合計=0,"",_xlpm._合計)
)</f>
        <v/>
      </c>
      <c r="BR69" s="224" t="str">
        <f>_xlfn.LET(
_xlpm._一般検索,IFERROR(INDEX('在庫使用計画 (一般)'!$A$1:$BF$391,MATCH($C69,'在庫使用計画 (一般)'!$C$1:$C$391,0),MATCH(BR$1,'在庫使用計画 (一般)'!$A$1:$BF$1,0))*1,0),
_xlpm._法人検索,IFERROR(INDEX('在庫使用計画 (法人)'!$A$1:$BF$391,MATCH($C69,'在庫使用計画 (法人)'!$C$1:$C$391,0),MATCH(BR$1,'在庫使用計画 (法人)'!$A$1:$BF$1,0))*1,0),
_xlpm._合計,_xlpm._一般検索+_xlpm._法人検索,
IF(_xlpm._合計=0,"",_xlpm._合計)
)</f>
        <v/>
      </c>
      <c r="BS69" s="805" t="str">
        <f>_xlfn.LET(
_xlpm._一般検索,IFERROR(INDEX('在庫使用計画 (一般)'!$A$1:$BF$391,MATCH($C69,'在庫使用計画 (一般)'!$C$1:$C$391,0),MATCH(BS$1,'在庫使用計画 (一般)'!$A$1:$BF$1,0))*1,0),
_xlpm._法人検索,IFERROR(INDEX('在庫使用計画 (法人)'!$A$1:$BF$391,MATCH($C69,'在庫使用計画 (法人)'!$C$1:$C$391,0),MATCH(BS$1,'在庫使用計画 (法人)'!$A$1:$BF$1,0))*1,0),
_xlpm._合計,_xlpm._一般検索+_xlpm._法人検索,
IF(_xlpm._合計=0,"",_xlpm._合計)
)</f>
        <v/>
      </c>
      <c r="BT69" s="21"/>
    </row>
    <row r="70" spans="1:72" customFormat="1" ht="18.75" customHeight="1" thickBot="1">
      <c r="A70" s="2065" t="s">
        <v>1651</v>
      </c>
      <c r="B70" s="1125" t="str">
        <v>CLE-NL55-1335U-UMA-L6-TPM DDR4 TW</v>
      </c>
      <c r="C70" s="1448" t="s">
        <v>1658</v>
      </c>
      <c r="D70" s="2167">
        <v>1440</v>
      </c>
      <c r="E70" s="1123" t="s">
        <v>1732</v>
      </c>
      <c r="F70" s="1163" t="s">
        <v>1725</v>
      </c>
      <c r="G70" s="74">
        <v>1331</v>
      </c>
      <c r="H70" s="38">
        <v>1331</v>
      </c>
      <c r="I70" s="74" cm="1">
        <f t="array" ref="I70">IF($C70="","",
_xlfn.LET(
  _xlpm._見出し,$A$1:$BT$1,
  _xlpm._行,$A70:$BT70,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910</v>
      </c>
      <c r="J70" s="74" cm="1">
        <f t="array" ref="J70">_xlfn.LET(
  _xlpm._見出し,$A$1:$BS$1,
  _xlpm._行,$A70:$BS70,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IF($C70="","",_xlpm._四点五月計画合計)
)</f>
        <v>950</v>
      </c>
      <c r="K70" s="1458" cm="1">
        <f t="array" ref="K70">_xlfn.IFS(
  $C70="","",
  $G70="","発売前？",
  $G70=0,"在庫なし",
  TRUE,
  IFERROR(
    _xlfn.LET(
      _xlpm._在庫注残,     $G70,
      _xlpm._しきい値,     _xlpm._在庫注残 * 0.75,
      _xlpm._見出し元,     $L$1:$BU$1,
      _xlpm._計画,         $L70:$BU70,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46327</v>
      </c>
      <c r="L70" s="180"/>
      <c r="M70" s="180"/>
      <c r="N70" s="180"/>
      <c r="O70" s="180"/>
      <c r="P70" s="180"/>
      <c r="Q70" s="180"/>
      <c r="R70" s="180"/>
      <c r="S70" s="299"/>
      <c r="T70" s="299"/>
      <c r="U70" s="299"/>
      <c r="V70" s="299"/>
      <c r="W70" s="299"/>
      <c r="X70" s="299"/>
      <c r="Y70" s="419"/>
      <c r="Z70" s="419"/>
      <c r="AA70" s="335"/>
      <c r="AB70" s="335"/>
      <c r="AC70" s="335"/>
      <c r="AD70" s="335"/>
      <c r="AE70" s="335"/>
      <c r="AF70" s="335"/>
      <c r="AG70" s="335"/>
      <c r="AH70" s="224"/>
      <c r="AI70" s="823"/>
      <c r="AJ70" s="804" t="s">
        <v>21</v>
      </c>
      <c r="AK70" s="224" t="s">
        <v>21</v>
      </c>
      <c r="AL70" s="224" t="s">
        <v>21</v>
      </c>
      <c r="AM70" s="224" t="s">
        <v>21</v>
      </c>
      <c r="AN70" s="224" t="str">
        <f>_xlfn.LET(
_xlpm._一般検索,IFERROR(INDEX('在庫使用計画 (一般)'!$A$1:$BF$391,MATCH($C70,'在庫使用計画 (一般)'!$C$1:$C$391,0),MATCH(AN$1,'在庫使用計画 (一般)'!$A$1:$BF$1,0))*1,0),
_xlpm._法人検索,IFERROR(INDEX('在庫使用計画 (法人)'!$A$1:$BF$391,MATCH($C70,'在庫使用計画 (法人)'!$C$1:$C$391,0),MATCH(AN$1,'在庫使用計画 (法人)'!$A$1:$BF$1,0))*1,0),
_xlpm._合計,_xlpm._一般検索+_xlpm._法人検索,
IF(_xlpm._合計=0,"",_xlpm._合計)
)</f>
        <v/>
      </c>
      <c r="AO70" s="224">
        <f>_xlfn.LET(
_xlpm._一般検索,IFERROR(INDEX('在庫使用計画 (一般)'!$A$1:$BF$391,MATCH($C70,'在庫使用計画 (一般)'!$C$1:$C$391,0),MATCH(AO$1,'在庫使用計画 (一般)'!$A$1:$BF$1,0))*1,0),
_xlpm._法人検索,IFERROR(INDEX('在庫使用計画 (法人)'!$A$1:$BF$391,MATCH($C70,'在庫使用計画 (法人)'!$C$1:$C$391,0),MATCH(AO$1,'在庫使用計画 (法人)'!$A$1:$BF$1,0))*1,0),
_xlpm._合計,_xlpm._一般検索+_xlpm._法人検索,
IF(_xlpm._合計=0,"",_xlpm._合計)
)</f>
        <v>350</v>
      </c>
      <c r="AP70" s="224">
        <f>_xlfn.LET(
_xlpm._一般検索,IFERROR(INDEX('在庫使用計画 (一般)'!$A$1:$BF$391,MATCH($C70,'在庫使用計画 (一般)'!$C$1:$C$391,0),MATCH(AP$1,'在庫使用計画 (一般)'!$A$1:$BF$1,0))*1,0),
_xlpm._法人検索,IFERROR(INDEX('在庫使用計画 (法人)'!$A$1:$BF$391,MATCH($C70,'在庫使用計画 (法人)'!$C$1:$C$391,0),MATCH(AP$1,'在庫使用計画 (法人)'!$A$1:$BF$1,0))*1,0),
_xlpm._合計,_xlpm._一般検索+_xlpm._法人検索,
IF(_xlpm._合計=0,"",_xlpm._合計)
)</f>
        <v>280</v>
      </c>
      <c r="AQ70" s="224">
        <f>_xlfn.LET(
_xlpm._一般検索,IFERROR(INDEX('在庫使用計画 (一般)'!$A$1:$BF$391,MATCH($C70,'在庫使用計画 (一般)'!$C$1:$C$391,0),MATCH(AQ$1,'在庫使用計画 (一般)'!$A$1:$BF$1,0))*1,0),
_xlpm._法人検索,IFERROR(INDEX('在庫使用計画 (法人)'!$A$1:$BF$391,MATCH($C70,'在庫使用計画 (法人)'!$C$1:$C$391,0),MATCH(AQ$1,'在庫使用計画 (法人)'!$A$1:$BF$1,0))*1,0),
_xlpm._合計,_xlpm._一般検索+_xlpm._法人検索,
IF(_xlpm._合計=0,"",_xlpm._合計)
)</f>
        <v>210</v>
      </c>
      <c r="AR70" s="224">
        <f>_xlfn.LET(
_xlpm._一般検索,IFERROR(INDEX('在庫使用計画 (一般)'!$A$1:$BF$391,MATCH($C70,'在庫使用計画 (一般)'!$C$1:$C$391,0),MATCH(AR$1,'在庫使用計画 (一般)'!$A$1:$BF$1,0))*1,0),
_xlpm._法人検索,IFERROR(INDEX('在庫使用計画 (法人)'!$A$1:$BF$391,MATCH($C70,'在庫使用計画 (法人)'!$C$1:$C$391,0),MATCH(AR$1,'在庫使用計画 (法人)'!$A$1:$BF$1,0))*1,0),
_xlpm._合計,_xlpm._一般検索+_xlpm._法人検索,
IF(_xlpm._合計=0,"",_xlpm._合計)
)</f>
        <v>210</v>
      </c>
      <c r="AS70" s="224">
        <f>_xlfn.LET(
_xlpm._一般検索,IFERROR(INDEX('在庫使用計画 (一般)'!$A$1:$BF$391,MATCH($C70,'在庫使用計画 (一般)'!$C$1:$C$391,0),MATCH(AS$1,'在庫使用計画 (一般)'!$A$1:$BF$1,0))*1,0),
_xlpm._法人検索,IFERROR(INDEX('在庫使用計画 (法人)'!$A$1:$BF$391,MATCH($C70,'在庫使用計画 (法人)'!$C$1:$C$391,0),MATCH(AS$1,'在庫使用計画 (法人)'!$A$1:$BF$1,0))*1,0),
_xlpm._合計,_xlpm._一般検索+_xlpm._法人検索,
IF(_xlpm._合計=0,"",_xlpm._合計)
)</f>
        <v>210</v>
      </c>
      <c r="AT70" s="224">
        <f>_xlfn.LET(
_xlpm._一般検索,IFERROR(INDEX('在庫使用計画 (一般)'!$A$1:$BF$391,MATCH($C70,'在庫使用計画 (一般)'!$C$1:$C$391,0),MATCH(AT$1,'在庫使用計画 (一般)'!$A$1:$BF$1,0))*1,0),
_xlpm._法人検索,IFERROR(INDEX('在庫使用計画 (法人)'!$A$1:$BF$391,MATCH($C70,'在庫使用計画 (法人)'!$C$1:$C$391,0),MATCH(AT$1,'在庫使用計画 (法人)'!$A$1:$BF$1,0))*1,0),
_xlpm._合計,_xlpm._一般検索+_xlpm._法人検索,
IF(_xlpm._合計=0,"",_xlpm._合計)
)</f>
        <v>180</v>
      </c>
      <c r="AU70" s="805" t="str">
        <f>_xlfn.LET(
_xlpm._一般検索,IFERROR(INDEX('在庫使用計画 (一般)'!$A$1:$BF$391,MATCH($C70,'在庫使用計画 (一般)'!$C$1:$C$391,0),MATCH(AU$1,'在庫使用計画 (一般)'!$A$1:$BF$1,0))*1,0),
_xlpm._法人検索,IFERROR(INDEX('在庫使用計画 (法人)'!$A$1:$BF$391,MATCH($C70,'在庫使用計画 (法人)'!$C$1:$C$391,0),MATCH(AU$1,'在庫使用計画 (法人)'!$A$1:$BF$1,0))*1,0),
_xlpm._合計,_xlpm._一般検索+_xlpm._法人検索,
IF(_xlpm._合計=0,"",_xlpm._合計)
)</f>
        <v/>
      </c>
      <c r="AV70" s="244" t="str">
        <f>_xlfn.LET(
_xlpm._一般検索,IFERROR(INDEX('在庫使用計画 (一般)'!$A$1:$BF$391,MATCH($C70,'在庫使用計画 (一般)'!$C$1:$C$391,0),MATCH(AV$1,'在庫使用計画 (一般)'!$A$1:$BF$1,0))*1,0),
_xlpm._法人検索,IFERROR(INDEX('在庫使用計画 (法人)'!$A$1:$BF$391,MATCH($C70,'在庫使用計画 (法人)'!$C$1:$C$391,0),MATCH(AV$1,'在庫使用計画 (法人)'!$A$1:$BF$1,0))*1,0),
_xlpm._合計,_xlpm._一般検索+_xlpm._法人検索,
IF(_xlpm._合計=0,"",_xlpm._合計)
)</f>
        <v/>
      </c>
      <c r="AW70" s="224" t="str">
        <f>_xlfn.LET(
_xlpm._一般検索,IFERROR(INDEX('在庫使用計画 (一般)'!$A$1:$BF$391,MATCH($C70,'在庫使用計画 (一般)'!$C$1:$C$391,0),MATCH(AW$1,'在庫使用計画 (一般)'!$A$1:$BF$1,0))*1,0),
_xlpm._法人検索,IFERROR(INDEX('在庫使用計画 (法人)'!$A$1:$BF$391,MATCH($C70,'在庫使用計画 (法人)'!$C$1:$C$391,0),MATCH(AW$1,'在庫使用計画 (法人)'!$A$1:$BF$1,0))*1,0),
_xlpm._合計,_xlpm._一般検索+_xlpm._法人検索,
IF(_xlpm._合計=0,"",_xlpm._合計)
)</f>
        <v/>
      </c>
      <c r="AX70" s="224" t="str">
        <f>_xlfn.LET(
_xlpm._一般検索,IFERROR(INDEX('在庫使用計画 (一般)'!$A$1:$BF$391,MATCH($C70,'在庫使用計画 (一般)'!$C$1:$C$391,0),MATCH(AX$1,'在庫使用計画 (一般)'!$A$1:$BF$1,0))*1,0),
_xlpm._法人検索,IFERROR(INDEX('在庫使用計画 (法人)'!$A$1:$BF$391,MATCH($C70,'在庫使用計画 (法人)'!$C$1:$C$391,0),MATCH(AX$1,'在庫使用計画 (法人)'!$A$1:$BF$1,0))*1,0),
_xlpm._合計,_xlpm._一般検索+_xlpm._法人検索,
IF(_xlpm._合計=0,"",_xlpm._合計)
)</f>
        <v/>
      </c>
      <c r="AY70" s="224" t="str">
        <f>_xlfn.LET(
_xlpm._一般検索,IFERROR(INDEX('在庫使用計画 (一般)'!$A$1:$BF$391,MATCH($C70,'在庫使用計画 (一般)'!$C$1:$C$391,0),MATCH(AY$1,'在庫使用計画 (一般)'!$A$1:$BF$1,0))*1,0),
_xlpm._法人検索,IFERROR(INDEX('在庫使用計画 (法人)'!$A$1:$BF$391,MATCH($C70,'在庫使用計画 (法人)'!$C$1:$C$391,0),MATCH(AY$1,'在庫使用計画 (法人)'!$A$1:$BF$1,0))*1,0),
_xlpm._合計,_xlpm._一般検索+_xlpm._法人検索,
IF(_xlpm._合計=0,"",_xlpm._合計)
)</f>
        <v/>
      </c>
      <c r="AZ70" s="224" t="str">
        <f>_xlfn.LET(
_xlpm._一般検索,IFERROR(INDEX('在庫使用計画 (一般)'!$A$1:$BF$391,MATCH($C70,'在庫使用計画 (一般)'!$C$1:$C$391,0),MATCH(AZ$1,'在庫使用計画 (一般)'!$A$1:$BF$1,0))*1,0),
_xlpm._法人検索,IFERROR(INDEX('在庫使用計画 (法人)'!$A$1:$BF$391,MATCH($C70,'在庫使用計画 (法人)'!$C$1:$C$391,0),MATCH(AZ$1,'在庫使用計画 (法人)'!$A$1:$BF$1,0))*1,0),
_xlpm._合計,_xlpm._一般検索+_xlpm._法人検索,
IF(_xlpm._合計=0,"",_xlpm._合計)
)</f>
        <v/>
      </c>
      <c r="BA70" s="224" t="str">
        <f>_xlfn.LET(
_xlpm._一般検索,IFERROR(INDEX('在庫使用計画 (一般)'!$A$1:$BF$391,MATCH($C70,'在庫使用計画 (一般)'!$C$1:$C$391,0),MATCH(BA$1,'在庫使用計画 (一般)'!$A$1:$BF$1,0))*1,0),
_xlpm._法人検索,IFERROR(INDEX('在庫使用計画 (法人)'!$A$1:$BF$391,MATCH($C70,'在庫使用計画 (法人)'!$C$1:$C$391,0),MATCH(BA$1,'在庫使用計画 (法人)'!$A$1:$BF$1,0))*1,0),
_xlpm._合計,_xlpm._一般検索+_xlpm._法人検索,
IF(_xlpm._合計=0,"",_xlpm._合計)
)</f>
        <v/>
      </c>
      <c r="BB70" s="224" t="str">
        <f>_xlfn.LET(
_xlpm._一般検索,IFERROR(INDEX('在庫使用計画 (一般)'!$A$1:$BF$391,MATCH($C70,'在庫使用計画 (一般)'!$C$1:$C$391,0),MATCH(BB$1,'在庫使用計画 (一般)'!$A$1:$BF$1,0))*1,0),
_xlpm._法人検索,IFERROR(INDEX('在庫使用計画 (法人)'!$A$1:$BF$391,MATCH($C70,'在庫使用計画 (法人)'!$C$1:$C$391,0),MATCH(BB$1,'在庫使用計画 (法人)'!$A$1:$BF$1,0))*1,0),
_xlpm._合計,_xlpm._一般検索+_xlpm._法人検索,
IF(_xlpm._合計=0,"",_xlpm._合計)
)</f>
        <v/>
      </c>
      <c r="BC70" s="224" t="str">
        <f>_xlfn.LET(
_xlpm._一般検索,IFERROR(INDEX('在庫使用計画 (一般)'!$A$1:$BF$391,MATCH($C70,'在庫使用計画 (一般)'!$C$1:$C$391,0),MATCH(BC$1,'在庫使用計画 (一般)'!$A$1:$BF$1,0))*1,0),
_xlpm._法人検索,IFERROR(INDEX('在庫使用計画 (法人)'!$A$1:$BF$391,MATCH($C70,'在庫使用計画 (法人)'!$C$1:$C$391,0),MATCH(BC$1,'在庫使用計画 (法人)'!$A$1:$BF$1,0))*1,0),
_xlpm._合計,_xlpm._一般検索+_xlpm._法人検索,
IF(_xlpm._合計=0,"",_xlpm._合計)
)</f>
        <v/>
      </c>
      <c r="BD70" s="224" t="str">
        <f>_xlfn.LET(
_xlpm._一般検索,IFERROR(INDEX('在庫使用計画 (一般)'!$A$1:$BF$391,MATCH($C70,'在庫使用計画 (一般)'!$C$1:$C$391,0),MATCH(BD$1,'在庫使用計画 (一般)'!$A$1:$BF$1,0))*1,0),
_xlpm._法人検索,IFERROR(INDEX('在庫使用計画 (法人)'!$A$1:$BF$391,MATCH($C70,'在庫使用計画 (法人)'!$C$1:$C$391,0),MATCH(BD$1,'在庫使用計画 (法人)'!$A$1:$BF$1,0))*1,0),
_xlpm._合計,_xlpm._一般検索+_xlpm._法人検索,
IF(_xlpm._合計=0,"",_xlpm._合計)
)</f>
        <v/>
      </c>
      <c r="BE70" s="224" t="str">
        <f>_xlfn.LET(
_xlpm._一般検索,IFERROR(INDEX('在庫使用計画 (一般)'!$A$1:$BF$391,MATCH($C70,'在庫使用計画 (一般)'!$C$1:$C$391,0),MATCH(BE$1,'在庫使用計画 (一般)'!$A$1:$BF$1,0))*1,0),
_xlpm._法人検索,IFERROR(INDEX('在庫使用計画 (法人)'!$A$1:$BF$391,MATCH($C70,'在庫使用計画 (法人)'!$C$1:$C$391,0),MATCH(BE$1,'在庫使用計画 (法人)'!$A$1:$BF$1,0))*1,0),
_xlpm._合計,_xlpm._一般検索+_xlpm._法人検索,
IF(_xlpm._合計=0,"",_xlpm._合計)
)</f>
        <v/>
      </c>
      <c r="BF70" s="224" t="str">
        <f>_xlfn.LET(
_xlpm._一般検索,IFERROR(INDEX('在庫使用計画 (一般)'!$A$1:$BF$391,MATCH($C70,'在庫使用計画 (一般)'!$C$1:$C$391,0),MATCH(BF$1,'在庫使用計画 (一般)'!$A$1:$BF$1,0))*1,0),
_xlpm._法人検索,IFERROR(INDEX('在庫使用計画 (法人)'!$A$1:$BF$391,MATCH($C70,'在庫使用計画 (法人)'!$C$1:$C$391,0),MATCH(BF$1,'在庫使用計画 (法人)'!$A$1:$BF$1,0))*1,0),
_xlpm._合計,_xlpm._一般検索+_xlpm._法人検索,
IF(_xlpm._合計=0,"",_xlpm._合計)
)</f>
        <v/>
      </c>
      <c r="BG70" s="237" t="str">
        <f>_xlfn.LET(
_xlpm._一般検索,IFERROR(INDEX('在庫使用計画 (一般)'!$A$1:$BF$391,MATCH($C70,'在庫使用計画 (一般)'!$C$1:$C$391,0),MATCH(BG$1,'在庫使用計画 (一般)'!$A$1:$BF$1,0))*1,0),
_xlpm._法人検索,IFERROR(INDEX('在庫使用計画 (法人)'!$A$1:$BF$391,MATCH($C70,'在庫使用計画 (法人)'!$C$1:$C$391,0),MATCH(BG$1,'在庫使用計画 (法人)'!$A$1:$BF$1,0))*1,0),
_xlpm._合計,_xlpm._一般検索+_xlpm._法人検索,
IF(_xlpm._合計=0,"",_xlpm._合計)
)</f>
        <v/>
      </c>
      <c r="BH70" s="804" t="str">
        <f>_xlfn.LET(
_xlpm._一般検索,IFERROR(INDEX('在庫使用計画 (一般)'!$A$1:$BF$391,MATCH($C70,'在庫使用計画 (一般)'!$C$1:$C$391,0),MATCH(BH$1,'在庫使用計画 (一般)'!$A$1:$BF$1,0))*1,0),
_xlpm._法人検索,IFERROR(INDEX('在庫使用計画 (法人)'!$A$1:$BF$391,MATCH($C70,'在庫使用計画 (法人)'!$C$1:$C$391,0),MATCH(BH$1,'在庫使用計画 (法人)'!$A$1:$BF$1,0))*1,0),
_xlpm._合計,_xlpm._一般検索+_xlpm._法人検索,
IF(_xlpm._合計=0,"",_xlpm._合計)
)</f>
        <v/>
      </c>
      <c r="BI70" s="224" t="str">
        <f>_xlfn.LET(
_xlpm._一般検索,IFERROR(INDEX('在庫使用計画 (一般)'!$A$1:$BF$391,MATCH($C70,'在庫使用計画 (一般)'!$C$1:$C$391,0),MATCH(BI$1,'在庫使用計画 (一般)'!$A$1:$BF$1,0))*1,0),
_xlpm._法人検索,IFERROR(INDEX('在庫使用計画 (法人)'!$A$1:$BF$391,MATCH($C70,'在庫使用計画 (法人)'!$C$1:$C$391,0),MATCH(BI$1,'在庫使用計画 (法人)'!$A$1:$BF$1,0))*1,0),
_xlpm._合計,_xlpm._一般検索+_xlpm._法人検索,
IF(_xlpm._合計=0,"",_xlpm._合計)
)</f>
        <v/>
      </c>
      <c r="BJ70" s="224" t="str">
        <f>_xlfn.LET(
_xlpm._一般検索,IFERROR(INDEX('在庫使用計画 (一般)'!$A$1:$BF$391,MATCH($C70,'在庫使用計画 (一般)'!$C$1:$C$391,0),MATCH(BJ$1,'在庫使用計画 (一般)'!$A$1:$BF$1,0))*1,0),
_xlpm._法人検索,IFERROR(INDEX('在庫使用計画 (法人)'!$A$1:$BF$391,MATCH($C70,'在庫使用計画 (法人)'!$C$1:$C$391,0),MATCH(BJ$1,'在庫使用計画 (法人)'!$A$1:$BF$1,0))*1,0),
_xlpm._合計,_xlpm._一般検索+_xlpm._法人検索,
IF(_xlpm._合計=0,"",_xlpm._合計)
)</f>
        <v/>
      </c>
      <c r="BK70" s="224" t="str">
        <f>_xlfn.LET(
_xlpm._一般検索,IFERROR(INDEX('在庫使用計画 (一般)'!$A$1:$BF$391,MATCH($C70,'在庫使用計画 (一般)'!$C$1:$C$391,0),MATCH(BK$1,'在庫使用計画 (一般)'!$A$1:$BF$1,0))*1,0),
_xlpm._法人検索,IFERROR(INDEX('在庫使用計画 (法人)'!$A$1:$BF$391,MATCH($C70,'在庫使用計画 (法人)'!$C$1:$C$391,0),MATCH(BK$1,'在庫使用計画 (法人)'!$A$1:$BF$1,0))*1,0),
_xlpm._合計,_xlpm._一般検索+_xlpm._法人検索,
IF(_xlpm._合計=0,"",_xlpm._合計)
)</f>
        <v/>
      </c>
      <c r="BL70" s="224" t="str">
        <f>_xlfn.LET(
_xlpm._一般検索,IFERROR(INDEX('在庫使用計画 (一般)'!$A$1:$BF$391,MATCH($C70,'在庫使用計画 (一般)'!$C$1:$C$391,0),MATCH(BL$1,'在庫使用計画 (一般)'!$A$1:$BF$1,0))*1,0),
_xlpm._法人検索,IFERROR(INDEX('在庫使用計画 (法人)'!$A$1:$BF$391,MATCH($C70,'在庫使用計画 (法人)'!$C$1:$C$391,0),MATCH(BL$1,'在庫使用計画 (法人)'!$A$1:$BF$1,0))*1,0),
_xlpm._合計,_xlpm._一般検索+_xlpm._法人検索,
IF(_xlpm._合計=0,"",_xlpm._合計)
)</f>
        <v/>
      </c>
      <c r="BM70" s="224" t="str">
        <f>_xlfn.LET(
_xlpm._一般検索,IFERROR(INDEX('在庫使用計画 (一般)'!$A$1:$BF$391,MATCH($C70,'在庫使用計画 (一般)'!$C$1:$C$391,0),MATCH(BM$1,'在庫使用計画 (一般)'!$A$1:$BF$1,0))*1,0),
_xlpm._法人検索,IFERROR(INDEX('在庫使用計画 (法人)'!$A$1:$BF$391,MATCH($C70,'在庫使用計画 (法人)'!$C$1:$C$391,0),MATCH(BM$1,'在庫使用計画 (法人)'!$A$1:$BF$1,0))*1,0),
_xlpm._合計,_xlpm._一般検索+_xlpm._法人検索,
IF(_xlpm._合計=0,"",_xlpm._合計)
)</f>
        <v/>
      </c>
      <c r="BN70" s="224" t="str">
        <f>_xlfn.LET(
_xlpm._一般検索,IFERROR(INDEX('在庫使用計画 (一般)'!$A$1:$BF$391,MATCH($C70,'在庫使用計画 (一般)'!$C$1:$C$391,0),MATCH(BN$1,'在庫使用計画 (一般)'!$A$1:$BF$1,0))*1,0),
_xlpm._法人検索,IFERROR(INDEX('在庫使用計画 (法人)'!$A$1:$BF$391,MATCH($C70,'在庫使用計画 (法人)'!$C$1:$C$391,0),MATCH(BN$1,'在庫使用計画 (法人)'!$A$1:$BF$1,0))*1,0),
_xlpm._合計,_xlpm._一般検索+_xlpm._法人検索,
IF(_xlpm._合計=0,"",_xlpm._合計)
)</f>
        <v/>
      </c>
      <c r="BO70" s="224" t="str">
        <f>_xlfn.LET(
_xlpm._一般検索,IFERROR(INDEX('在庫使用計画 (一般)'!$A$1:$BF$391,MATCH($C70,'在庫使用計画 (一般)'!$C$1:$C$391,0),MATCH(BO$1,'在庫使用計画 (一般)'!$A$1:$BF$1,0))*1,0),
_xlpm._法人検索,IFERROR(INDEX('在庫使用計画 (法人)'!$A$1:$BF$391,MATCH($C70,'在庫使用計画 (法人)'!$C$1:$C$391,0),MATCH(BO$1,'在庫使用計画 (法人)'!$A$1:$BF$1,0))*1,0),
_xlpm._合計,_xlpm._一般検索+_xlpm._法人検索,
IF(_xlpm._合計=0,"",_xlpm._合計)
)</f>
        <v/>
      </c>
      <c r="BP70" s="224" t="str">
        <f>_xlfn.LET(
_xlpm._一般検索,IFERROR(INDEX('在庫使用計画 (一般)'!$A$1:$BF$391,MATCH($C70,'在庫使用計画 (一般)'!$C$1:$C$391,0),MATCH(BP$1,'在庫使用計画 (一般)'!$A$1:$BF$1,0))*1,0),
_xlpm._法人検索,IFERROR(INDEX('在庫使用計画 (法人)'!$A$1:$BF$391,MATCH($C70,'在庫使用計画 (法人)'!$C$1:$C$391,0),MATCH(BP$1,'在庫使用計画 (法人)'!$A$1:$BF$1,0))*1,0),
_xlpm._合計,_xlpm._一般検索+_xlpm._法人検索,
IF(_xlpm._合計=0,"",_xlpm._合計)
)</f>
        <v/>
      </c>
      <c r="BQ70" s="224" t="str">
        <f>_xlfn.LET(
_xlpm._一般検索,IFERROR(INDEX('在庫使用計画 (一般)'!$A$1:$BF$391,MATCH($C70,'在庫使用計画 (一般)'!$C$1:$C$391,0),MATCH(BQ$1,'在庫使用計画 (一般)'!$A$1:$BF$1,0))*1,0),
_xlpm._法人検索,IFERROR(INDEX('在庫使用計画 (法人)'!$A$1:$BF$391,MATCH($C70,'在庫使用計画 (法人)'!$C$1:$C$391,0),MATCH(BQ$1,'在庫使用計画 (法人)'!$A$1:$BF$1,0))*1,0),
_xlpm._合計,_xlpm._一般検索+_xlpm._法人検索,
IF(_xlpm._合計=0,"",_xlpm._合計)
)</f>
        <v/>
      </c>
      <c r="BR70" s="224" t="str">
        <f>_xlfn.LET(
_xlpm._一般検索,IFERROR(INDEX('在庫使用計画 (一般)'!$A$1:$BF$391,MATCH($C70,'在庫使用計画 (一般)'!$C$1:$C$391,0),MATCH(BR$1,'在庫使用計画 (一般)'!$A$1:$BF$1,0))*1,0),
_xlpm._法人検索,IFERROR(INDEX('在庫使用計画 (法人)'!$A$1:$BF$391,MATCH($C70,'在庫使用計画 (法人)'!$C$1:$C$391,0),MATCH(BR$1,'在庫使用計画 (法人)'!$A$1:$BF$1,0))*1,0),
_xlpm._合計,_xlpm._一般検索+_xlpm._法人検索,
IF(_xlpm._合計=0,"",_xlpm._合計)
)</f>
        <v/>
      </c>
      <c r="BS70" s="805" t="str">
        <f>_xlfn.LET(
_xlpm._一般検索,IFERROR(INDEX('在庫使用計画 (一般)'!$A$1:$BF$391,MATCH($C70,'在庫使用計画 (一般)'!$C$1:$C$391,0),MATCH(BS$1,'在庫使用計画 (一般)'!$A$1:$BF$1,0))*1,0),
_xlpm._法人検索,IFERROR(INDEX('在庫使用計画 (法人)'!$A$1:$BF$391,MATCH($C70,'在庫使用計画 (法人)'!$C$1:$C$391,0),MATCH(BS$1,'在庫使用計画 (法人)'!$A$1:$BF$1,0))*1,0),
_xlpm._合計,_xlpm._一般検索+_xlpm._法人検索,
IF(_xlpm._合計=0,"",_xlpm._合計)
)</f>
        <v/>
      </c>
      <c r="BT70" s="77"/>
    </row>
    <row r="71" spans="1:72" customFormat="1" ht="18.75" customHeight="1" thickBot="1">
      <c r="A71" s="1073" t="s">
        <v>1651</v>
      </c>
      <c r="B71" s="1125" t="str">
        <v>CLE-V75-125U-UMA-L6-TPM-DDR5</v>
      </c>
      <c r="C71" s="1450" t="s">
        <v>1659</v>
      </c>
      <c r="D71" s="2167" t="e">
        <v>#N/A</v>
      </c>
      <c r="E71" s="1446" t="s">
        <v>1732</v>
      </c>
      <c r="F71" s="1163" t="s">
        <v>1725</v>
      </c>
      <c r="G71" s="74">
        <v>0</v>
      </c>
      <c r="H71" s="38">
        <v>0</v>
      </c>
      <c r="I71" s="74" cm="1">
        <f t="array" ref="I71">IF($C71="","",
_xlfn.LET(
  _xlpm._見出し,$A$1:$BT$1,
  _xlpm._行,$A71:$BT71,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1108</v>
      </c>
      <c r="J71" s="74" cm="1">
        <f t="array" ref="J71">_xlfn.LET(
  _xlpm._見出し,$A$1:$BS$1,
  _xlpm._行,$A71:$BS71,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IF($C71="","",_xlpm._四点五月計画合計)
)</f>
        <v>1724</v>
      </c>
      <c r="K71" s="1458" t="str" cm="1">
        <f t="array" ref="K71">_xlfn.IFS(
  $C71="","",
  $G71="","発売前？",
  $G71=0,"在庫なし",
  TRUE,
  IFERROR(
    _xlfn.LET(
      _xlpm._在庫注残,     $G71,
      _xlpm._しきい値,     _xlpm._在庫注残 * 0.75,
      _xlpm._見出し元,     $L$1:$BU$1,
      _xlpm._計画,         $L71:$BU71,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在庫なし</v>
      </c>
      <c r="L71" s="180"/>
      <c r="M71" s="180"/>
      <c r="N71" s="180"/>
      <c r="O71" s="180"/>
      <c r="P71" s="180"/>
      <c r="Q71" s="180"/>
      <c r="R71" s="180"/>
      <c r="S71" s="299"/>
      <c r="T71" s="299"/>
      <c r="U71" s="299"/>
      <c r="V71" s="299"/>
      <c r="W71" s="299"/>
      <c r="X71" s="299"/>
      <c r="Y71" s="419"/>
      <c r="Z71" s="419"/>
      <c r="AA71" s="335"/>
      <c r="AB71" s="335"/>
      <c r="AC71" s="335"/>
      <c r="AD71" s="335"/>
      <c r="AE71" s="335"/>
      <c r="AF71" s="335"/>
      <c r="AG71" s="335"/>
      <c r="AH71" s="224"/>
      <c r="AI71" s="823"/>
      <c r="AJ71" s="804" t="s">
        <v>21</v>
      </c>
      <c r="AK71" s="224" t="s">
        <v>21</v>
      </c>
      <c r="AL71" s="224" t="s">
        <v>21</v>
      </c>
      <c r="AM71" s="224" t="s">
        <v>21</v>
      </c>
      <c r="AN71" s="224" t="str">
        <f>_xlfn.LET(
_xlpm._一般検索,IFERROR(INDEX('在庫使用計画 (一般)'!$A$1:$BF$391,MATCH($C71,'在庫使用計画 (一般)'!$C$1:$C$391,0),MATCH(AN$1,'在庫使用計画 (一般)'!$A$1:$BF$1,0))*1,0),
_xlpm._法人検索,IFERROR(INDEX('在庫使用計画 (法人)'!$A$1:$BF$391,MATCH($C71,'在庫使用計画 (法人)'!$C$1:$C$391,0),MATCH(AN$1,'在庫使用計画 (法人)'!$A$1:$BF$1,0))*1,0),
_xlpm._合計,_xlpm._一般検索+_xlpm._法人検索,
IF(_xlpm._合計=0,"",_xlpm._合計)
)</f>
        <v/>
      </c>
      <c r="AO71" s="224" t="str">
        <f>_xlfn.LET(
_xlpm._一般検索,IFERROR(INDEX('在庫使用計画 (一般)'!$A$1:$BF$391,MATCH($C71,'在庫使用計画 (一般)'!$C$1:$C$391,0),MATCH(AO$1,'在庫使用計画 (一般)'!$A$1:$BF$1,0))*1,0),
_xlpm._法人検索,IFERROR(INDEX('在庫使用計画 (法人)'!$A$1:$BF$391,MATCH($C71,'在庫使用計画 (法人)'!$C$1:$C$391,0),MATCH(AO$1,'在庫使用計画 (法人)'!$A$1:$BF$1,0))*1,0),
_xlpm._合計,_xlpm._一般検索+_xlpm._法人検索,
IF(_xlpm._合計=0,"",_xlpm._合計)
)</f>
        <v/>
      </c>
      <c r="AP71" s="224" t="str">
        <f>_xlfn.LET(
_xlpm._一般検索,IFERROR(INDEX('在庫使用計画 (一般)'!$A$1:$BF$391,MATCH($C71,'在庫使用計画 (一般)'!$C$1:$C$391,0),MATCH(AP$1,'在庫使用計画 (一般)'!$A$1:$BF$1,0))*1,0),
_xlpm._法人検索,IFERROR(INDEX('在庫使用計画 (法人)'!$A$1:$BF$391,MATCH($C71,'在庫使用計画 (法人)'!$C$1:$C$391,0),MATCH(AP$1,'在庫使用計画 (法人)'!$A$1:$BF$1,0))*1,0),
_xlpm._合計,_xlpm._一般検索+_xlpm._法人検索,
IF(_xlpm._合計=0,"",_xlpm._合計)
)</f>
        <v/>
      </c>
      <c r="AQ71" s="224" t="str">
        <f>_xlfn.LET(
_xlpm._一般検索,IFERROR(INDEX('在庫使用計画 (一般)'!$A$1:$BF$391,MATCH($C71,'在庫使用計画 (一般)'!$C$1:$C$391,0),MATCH(AQ$1,'在庫使用計画 (一般)'!$A$1:$BF$1,0))*1,0),
_xlpm._法人検索,IFERROR(INDEX('在庫使用計画 (法人)'!$A$1:$BF$391,MATCH($C71,'在庫使用計画 (法人)'!$C$1:$C$391,0),MATCH(AQ$1,'在庫使用計画 (法人)'!$A$1:$BF$1,0))*1,0),
_xlpm._合計,_xlpm._一般検索+_xlpm._法人検索,
IF(_xlpm._合計=0,"",_xlpm._合計)
)</f>
        <v/>
      </c>
      <c r="AR71" s="224">
        <f>_xlfn.LET(
_xlpm._一般検索,IFERROR(INDEX('在庫使用計画 (一般)'!$A$1:$BF$391,MATCH($C71,'在庫使用計画 (一般)'!$C$1:$C$391,0),MATCH(AR$1,'在庫使用計画 (一般)'!$A$1:$BF$1,0))*1,0),
_xlpm._法人検索,IFERROR(INDEX('在庫使用計画 (法人)'!$A$1:$BF$391,MATCH($C71,'在庫使用計画 (法人)'!$C$1:$C$391,0),MATCH(AR$1,'在庫使用計画 (法人)'!$A$1:$BF$1,0))*1,0),
_xlpm._合計,_xlpm._一般検索+_xlpm._法人検索,
IF(_xlpm._合計=0,"",_xlpm._合計)
)</f>
        <v>75</v>
      </c>
      <c r="AS71" s="224">
        <f>_xlfn.LET(
_xlpm._一般検索,IFERROR(INDEX('在庫使用計画 (一般)'!$A$1:$BF$391,MATCH($C71,'在庫使用計画 (一般)'!$C$1:$C$391,0),MATCH(AS$1,'在庫使用計画 (一般)'!$A$1:$BF$1,0))*1,0),
_xlpm._法人検索,IFERROR(INDEX('在庫使用計画 (法人)'!$A$1:$BF$391,MATCH($C71,'在庫使用計画 (法人)'!$C$1:$C$391,0),MATCH(AS$1,'在庫使用計画 (法人)'!$A$1:$BF$1,0))*1,0),
_xlpm._合計,_xlpm._一般検索+_xlpm._法人検索,
IF(_xlpm._合計=0,"",_xlpm._合計)
)</f>
        <v>1033</v>
      </c>
      <c r="AT71" s="224">
        <f>_xlfn.LET(
_xlpm._一般検索,IFERROR(INDEX('在庫使用計画 (一般)'!$A$1:$BF$391,MATCH($C71,'在庫使用計画 (一般)'!$C$1:$C$391,0),MATCH(AT$1,'在庫使用計画 (一般)'!$A$1:$BF$1,0))*1,0),
_xlpm._法人検索,IFERROR(INDEX('在庫使用計画 (法人)'!$A$1:$BF$391,MATCH($C71,'在庫使用計画 (法人)'!$C$1:$C$391,0),MATCH(AT$1,'在庫使用計画 (法人)'!$A$1:$BF$1,0))*1,0),
_xlpm._合計,_xlpm._一般検索+_xlpm._法人検索,
IF(_xlpm._合計=0,"",_xlpm._合計)
)</f>
        <v>616</v>
      </c>
      <c r="AU71" s="805">
        <f>_xlfn.LET(
_xlpm._一般検索,IFERROR(INDEX('在庫使用計画 (一般)'!$A$1:$BF$391,MATCH($C71,'在庫使用計画 (一般)'!$C$1:$C$391,0),MATCH(AU$1,'在庫使用計画 (一般)'!$A$1:$BF$1,0))*1,0),
_xlpm._法人検索,IFERROR(INDEX('在庫使用計画 (法人)'!$A$1:$BF$391,MATCH($C71,'在庫使用計画 (法人)'!$C$1:$C$391,0),MATCH(AU$1,'在庫使用計画 (法人)'!$A$1:$BF$1,0))*1,0),
_xlpm._合計,_xlpm._一般検索+_xlpm._法人検索,
IF(_xlpm._合計=0,"",_xlpm._合計)
)</f>
        <v>941</v>
      </c>
      <c r="AV71" s="244">
        <f>_xlfn.LET(
_xlpm._一般検索,IFERROR(INDEX('在庫使用計画 (一般)'!$A$1:$BF$391,MATCH($C71,'在庫使用計画 (一般)'!$C$1:$C$391,0),MATCH(AV$1,'在庫使用計画 (一般)'!$A$1:$BF$1,0))*1,0),
_xlpm._法人検索,IFERROR(INDEX('在庫使用計画 (法人)'!$A$1:$BF$391,MATCH($C71,'在庫使用計画 (法人)'!$C$1:$C$391,0),MATCH(AV$1,'在庫使用計画 (法人)'!$A$1:$BF$1,0))*1,0),
_xlpm._合計,_xlpm._一般検索+_xlpm._法人検索,
IF(_xlpm._合計=0,"",_xlpm._合計)
)</f>
        <v>683</v>
      </c>
      <c r="AW71" s="224">
        <f>_xlfn.LET(
_xlpm._一般検索,IFERROR(INDEX('在庫使用計画 (一般)'!$A$1:$BF$391,MATCH($C71,'在庫使用計画 (一般)'!$C$1:$C$391,0),MATCH(AW$1,'在庫使用計画 (一般)'!$A$1:$BF$1,0))*1,0),
_xlpm._法人検索,IFERROR(INDEX('在庫使用計画 (法人)'!$A$1:$BF$391,MATCH($C71,'在庫使用計画 (法人)'!$C$1:$C$391,0),MATCH(AW$1,'在庫使用計画 (法人)'!$A$1:$BF$1,0))*1,0),
_xlpm._合計,_xlpm._一般検索+_xlpm._法人検索,
IF(_xlpm._合計=0,"",_xlpm._合計)
)</f>
        <v>810</v>
      </c>
      <c r="AX71" s="224">
        <f>_xlfn.LET(
_xlpm._一般検索,IFERROR(INDEX('在庫使用計画 (一般)'!$A$1:$BF$391,MATCH($C71,'在庫使用計画 (一般)'!$C$1:$C$391,0),MATCH(AX$1,'在庫使用計画 (一般)'!$A$1:$BF$1,0))*1,0),
_xlpm._法人検索,IFERROR(INDEX('在庫使用計画 (法人)'!$A$1:$BF$391,MATCH($C71,'在庫使用計画 (法人)'!$C$1:$C$391,0),MATCH(AX$1,'在庫使用計画 (法人)'!$A$1:$BF$1,0))*1,0),
_xlpm._合計,_xlpm._一般検索+_xlpm._法人検索,
IF(_xlpm._合計=0,"",_xlpm._合計)
)</f>
        <v>800</v>
      </c>
      <c r="AY71" s="224">
        <f>_xlfn.LET(
_xlpm._一般検索,IFERROR(INDEX('在庫使用計画 (一般)'!$A$1:$BF$391,MATCH($C71,'在庫使用計画 (一般)'!$C$1:$C$391,0),MATCH(AY$1,'在庫使用計画 (一般)'!$A$1:$BF$1,0))*1,0),
_xlpm._法人検索,IFERROR(INDEX('在庫使用計画 (法人)'!$A$1:$BF$391,MATCH($C71,'在庫使用計画 (法人)'!$C$1:$C$391,0),MATCH(AY$1,'在庫使用計画 (法人)'!$A$1:$BF$1,0))*1,0),
_xlpm._合計,_xlpm._一般検索+_xlpm._法人検索,
IF(_xlpm._合計=0,"",_xlpm._合計)
)</f>
        <v>827</v>
      </c>
      <c r="AZ71" s="224">
        <f>_xlfn.LET(
_xlpm._一般検索,IFERROR(INDEX('在庫使用計画 (一般)'!$A$1:$BF$391,MATCH($C71,'在庫使用計画 (一般)'!$C$1:$C$391,0),MATCH(AZ$1,'在庫使用計画 (一般)'!$A$1:$BF$1,0))*1,0),
_xlpm._法人検索,IFERROR(INDEX('在庫使用計画 (法人)'!$A$1:$BF$391,MATCH($C71,'在庫使用計画 (法人)'!$C$1:$C$391,0),MATCH(AZ$1,'在庫使用計画 (法人)'!$A$1:$BF$1,0))*1,0),
_xlpm._合計,_xlpm._一般検索+_xlpm._法人検索,
IF(_xlpm._合計=0,"",_xlpm._合計)
)</f>
        <v>940</v>
      </c>
      <c r="BA71" s="224">
        <f>_xlfn.LET(
_xlpm._一般検索,IFERROR(INDEX('在庫使用計画 (一般)'!$A$1:$BF$391,MATCH($C71,'在庫使用計画 (一般)'!$C$1:$C$391,0),MATCH(BA$1,'在庫使用計画 (一般)'!$A$1:$BF$1,0))*1,0),
_xlpm._法人検索,IFERROR(INDEX('在庫使用計画 (法人)'!$A$1:$BF$391,MATCH($C71,'在庫使用計画 (法人)'!$C$1:$C$391,0),MATCH(BA$1,'在庫使用計画 (法人)'!$A$1:$BF$1,0))*1,0),
_xlpm._合計,_xlpm._一般検索+_xlpm._法人検索,
IF(_xlpm._合計=0,"",_xlpm._合計)
)</f>
        <v>637</v>
      </c>
      <c r="BB71" s="224">
        <f>_xlfn.LET(
_xlpm._一般検索,IFERROR(INDEX('在庫使用計画 (一般)'!$A$1:$BF$391,MATCH($C71,'在庫使用計画 (一般)'!$C$1:$C$391,0),MATCH(BB$1,'在庫使用計画 (一般)'!$A$1:$BF$1,0))*1,0),
_xlpm._法人検索,IFERROR(INDEX('在庫使用計画 (法人)'!$A$1:$BF$391,MATCH($C71,'在庫使用計画 (法人)'!$C$1:$C$391,0),MATCH(BB$1,'在庫使用計画 (法人)'!$A$1:$BF$1,0))*1,0),
_xlpm._合計,_xlpm._一般検索+_xlpm._法人検索,
IF(_xlpm._合計=0,"",_xlpm._合計)
)</f>
        <v>696</v>
      </c>
      <c r="BC71" s="224">
        <f>_xlfn.LET(
_xlpm._一般検索,IFERROR(INDEX('在庫使用計画 (一般)'!$A$1:$BF$391,MATCH($C71,'在庫使用計画 (一般)'!$C$1:$C$391,0),MATCH(BC$1,'在庫使用計画 (一般)'!$A$1:$BF$1,0))*1,0),
_xlpm._法人検索,IFERROR(INDEX('在庫使用計画 (法人)'!$A$1:$BF$391,MATCH($C71,'在庫使用計画 (法人)'!$C$1:$C$391,0),MATCH(BC$1,'在庫使用計画 (法人)'!$A$1:$BF$1,0))*1,0),
_xlpm._合計,_xlpm._一般検索+_xlpm._法人検索,
IF(_xlpm._合計=0,"",_xlpm._合計)
)</f>
        <v>549</v>
      </c>
      <c r="BD71" s="224" t="str">
        <f>_xlfn.LET(
_xlpm._一般検索,IFERROR(INDEX('在庫使用計画 (一般)'!$A$1:$BF$391,MATCH($C71,'在庫使用計画 (一般)'!$C$1:$C$391,0),MATCH(BD$1,'在庫使用計画 (一般)'!$A$1:$BF$1,0))*1,0),
_xlpm._法人検索,IFERROR(INDEX('在庫使用計画 (法人)'!$A$1:$BF$391,MATCH($C71,'在庫使用計画 (法人)'!$C$1:$C$391,0),MATCH(BD$1,'在庫使用計画 (法人)'!$A$1:$BF$1,0))*1,0),
_xlpm._合計,_xlpm._一般検索+_xlpm._法人検索,
IF(_xlpm._合計=0,"",_xlpm._合計)
)</f>
        <v/>
      </c>
      <c r="BE71" s="224" t="str">
        <f>_xlfn.LET(
_xlpm._一般検索,IFERROR(INDEX('在庫使用計画 (一般)'!$A$1:$BF$391,MATCH($C71,'在庫使用計画 (一般)'!$C$1:$C$391,0),MATCH(BE$1,'在庫使用計画 (一般)'!$A$1:$BF$1,0))*1,0),
_xlpm._法人検索,IFERROR(INDEX('在庫使用計画 (法人)'!$A$1:$BF$391,MATCH($C71,'在庫使用計画 (法人)'!$C$1:$C$391,0),MATCH(BE$1,'在庫使用計画 (法人)'!$A$1:$BF$1,0))*1,0),
_xlpm._合計,_xlpm._一般検索+_xlpm._法人検索,
IF(_xlpm._合計=0,"",_xlpm._合計)
)</f>
        <v/>
      </c>
      <c r="BF71" s="224" t="str">
        <f>_xlfn.LET(
_xlpm._一般検索,IFERROR(INDEX('在庫使用計画 (一般)'!$A$1:$BF$391,MATCH($C71,'在庫使用計画 (一般)'!$C$1:$C$391,0),MATCH(BF$1,'在庫使用計画 (一般)'!$A$1:$BF$1,0))*1,0),
_xlpm._法人検索,IFERROR(INDEX('在庫使用計画 (法人)'!$A$1:$BF$391,MATCH($C71,'在庫使用計画 (法人)'!$C$1:$C$391,0),MATCH(BF$1,'在庫使用計画 (法人)'!$A$1:$BF$1,0))*1,0),
_xlpm._合計,_xlpm._一般検索+_xlpm._法人検索,
IF(_xlpm._合計=0,"",_xlpm._合計)
)</f>
        <v/>
      </c>
      <c r="BG71" s="237" t="str">
        <f>_xlfn.LET(
_xlpm._一般検索,IFERROR(INDEX('在庫使用計画 (一般)'!$A$1:$BF$391,MATCH($C71,'在庫使用計画 (一般)'!$C$1:$C$391,0),MATCH(BG$1,'在庫使用計画 (一般)'!$A$1:$BF$1,0))*1,0),
_xlpm._法人検索,IFERROR(INDEX('在庫使用計画 (法人)'!$A$1:$BF$391,MATCH($C71,'在庫使用計画 (法人)'!$C$1:$C$391,0),MATCH(BG$1,'在庫使用計画 (法人)'!$A$1:$BF$1,0))*1,0),
_xlpm._合計,_xlpm._一般検索+_xlpm._法人検索,
IF(_xlpm._合計=0,"",_xlpm._合計)
)</f>
        <v/>
      </c>
      <c r="BH71" s="804" t="str">
        <f>_xlfn.LET(
_xlpm._一般検索,IFERROR(INDEX('在庫使用計画 (一般)'!$A$1:$BF$391,MATCH($C71,'在庫使用計画 (一般)'!$C$1:$C$391,0),MATCH(BH$1,'在庫使用計画 (一般)'!$A$1:$BF$1,0))*1,0),
_xlpm._法人検索,IFERROR(INDEX('在庫使用計画 (法人)'!$A$1:$BF$391,MATCH($C71,'在庫使用計画 (法人)'!$C$1:$C$391,0),MATCH(BH$1,'在庫使用計画 (法人)'!$A$1:$BF$1,0))*1,0),
_xlpm._合計,_xlpm._一般検索+_xlpm._法人検索,
IF(_xlpm._合計=0,"",_xlpm._合計)
)</f>
        <v/>
      </c>
      <c r="BI71" s="224" t="str">
        <f>_xlfn.LET(
_xlpm._一般検索,IFERROR(INDEX('在庫使用計画 (一般)'!$A$1:$BF$391,MATCH($C71,'在庫使用計画 (一般)'!$C$1:$C$391,0),MATCH(BI$1,'在庫使用計画 (一般)'!$A$1:$BF$1,0))*1,0),
_xlpm._法人検索,IFERROR(INDEX('在庫使用計画 (法人)'!$A$1:$BF$391,MATCH($C71,'在庫使用計画 (法人)'!$C$1:$C$391,0),MATCH(BI$1,'在庫使用計画 (法人)'!$A$1:$BF$1,0))*1,0),
_xlpm._合計,_xlpm._一般検索+_xlpm._法人検索,
IF(_xlpm._合計=0,"",_xlpm._合計)
)</f>
        <v/>
      </c>
      <c r="BJ71" s="224" t="str">
        <f>_xlfn.LET(
_xlpm._一般検索,IFERROR(INDEX('在庫使用計画 (一般)'!$A$1:$BF$391,MATCH($C71,'在庫使用計画 (一般)'!$C$1:$C$391,0),MATCH(BJ$1,'在庫使用計画 (一般)'!$A$1:$BF$1,0))*1,0),
_xlpm._法人検索,IFERROR(INDEX('在庫使用計画 (法人)'!$A$1:$BF$391,MATCH($C71,'在庫使用計画 (法人)'!$C$1:$C$391,0),MATCH(BJ$1,'在庫使用計画 (法人)'!$A$1:$BF$1,0))*1,0),
_xlpm._合計,_xlpm._一般検索+_xlpm._法人検索,
IF(_xlpm._合計=0,"",_xlpm._合計)
)</f>
        <v/>
      </c>
      <c r="BK71" s="224" t="str">
        <f>_xlfn.LET(
_xlpm._一般検索,IFERROR(INDEX('在庫使用計画 (一般)'!$A$1:$BF$391,MATCH($C71,'在庫使用計画 (一般)'!$C$1:$C$391,0),MATCH(BK$1,'在庫使用計画 (一般)'!$A$1:$BF$1,0))*1,0),
_xlpm._法人検索,IFERROR(INDEX('在庫使用計画 (法人)'!$A$1:$BF$391,MATCH($C71,'在庫使用計画 (法人)'!$C$1:$C$391,0),MATCH(BK$1,'在庫使用計画 (法人)'!$A$1:$BF$1,0))*1,0),
_xlpm._合計,_xlpm._一般検索+_xlpm._法人検索,
IF(_xlpm._合計=0,"",_xlpm._合計)
)</f>
        <v/>
      </c>
      <c r="BL71" s="224" t="str">
        <f>_xlfn.LET(
_xlpm._一般検索,IFERROR(INDEX('在庫使用計画 (一般)'!$A$1:$BF$391,MATCH($C71,'在庫使用計画 (一般)'!$C$1:$C$391,0),MATCH(BL$1,'在庫使用計画 (一般)'!$A$1:$BF$1,0))*1,0),
_xlpm._法人検索,IFERROR(INDEX('在庫使用計画 (法人)'!$A$1:$BF$391,MATCH($C71,'在庫使用計画 (法人)'!$C$1:$C$391,0),MATCH(BL$1,'在庫使用計画 (法人)'!$A$1:$BF$1,0))*1,0),
_xlpm._合計,_xlpm._一般検索+_xlpm._法人検索,
IF(_xlpm._合計=0,"",_xlpm._合計)
)</f>
        <v/>
      </c>
      <c r="BM71" s="224" t="str">
        <f>_xlfn.LET(
_xlpm._一般検索,IFERROR(INDEX('在庫使用計画 (一般)'!$A$1:$BF$391,MATCH($C71,'在庫使用計画 (一般)'!$C$1:$C$391,0),MATCH(BM$1,'在庫使用計画 (一般)'!$A$1:$BF$1,0))*1,0),
_xlpm._法人検索,IFERROR(INDEX('在庫使用計画 (法人)'!$A$1:$BF$391,MATCH($C71,'在庫使用計画 (法人)'!$C$1:$C$391,0),MATCH(BM$1,'在庫使用計画 (法人)'!$A$1:$BF$1,0))*1,0),
_xlpm._合計,_xlpm._一般検索+_xlpm._法人検索,
IF(_xlpm._合計=0,"",_xlpm._合計)
)</f>
        <v/>
      </c>
      <c r="BN71" s="224" t="str">
        <f>_xlfn.LET(
_xlpm._一般検索,IFERROR(INDEX('在庫使用計画 (一般)'!$A$1:$BF$391,MATCH($C71,'在庫使用計画 (一般)'!$C$1:$C$391,0),MATCH(BN$1,'在庫使用計画 (一般)'!$A$1:$BF$1,0))*1,0),
_xlpm._法人検索,IFERROR(INDEX('在庫使用計画 (法人)'!$A$1:$BF$391,MATCH($C71,'在庫使用計画 (法人)'!$C$1:$C$391,0),MATCH(BN$1,'在庫使用計画 (法人)'!$A$1:$BF$1,0))*1,0),
_xlpm._合計,_xlpm._一般検索+_xlpm._法人検索,
IF(_xlpm._合計=0,"",_xlpm._合計)
)</f>
        <v/>
      </c>
      <c r="BO71" s="224" t="str">
        <f>_xlfn.LET(
_xlpm._一般検索,IFERROR(INDEX('在庫使用計画 (一般)'!$A$1:$BF$391,MATCH($C71,'在庫使用計画 (一般)'!$C$1:$C$391,0),MATCH(BO$1,'在庫使用計画 (一般)'!$A$1:$BF$1,0))*1,0),
_xlpm._法人検索,IFERROR(INDEX('在庫使用計画 (法人)'!$A$1:$BF$391,MATCH($C71,'在庫使用計画 (法人)'!$C$1:$C$391,0),MATCH(BO$1,'在庫使用計画 (法人)'!$A$1:$BF$1,0))*1,0),
_xlpm._合計,_xlpm._一般検索+_xlpm._法人検索,
IF(_xlpm._合計=0,"",_xlpm._合計)
)</f>
        <v/>
      </c>
      <c r="BP71" s="224" t="str">
        <f>_xlfn.LET(
_xlpm._一般検索,IFERROR(INDEX('在庫使用計画 (一般)'!$A$1:$BF$391,MATCH($C71,'在庫使用計画 (一般)'!$C$1:$C$391,0),MATCH(BP$1,'在庫使用計画 (一般)'!$A$1:$BF$1,0))*1,0),
_xlpm._法人検索,IFERROR(INDEX('在庫使用計画 (法人)'!$A$1:$BF$391,MATCH($C71,'在庫使用計画 (法人)'!$C$1:$C$391,0),MATCH(BP$1,'在庫使用計画 (法人)'!$A$1:$BF$1,0))*1,0),
_xlpm._合計,_xlpm._一般検索+_xlpm._法人検索,
IF(_xlpm._合計=0,"",_xlpm._合計)
)</f>
        <v/>
      </c>
      <c r="BQ71" s="224" t="str">
        <f>_xlfn.LET(
_xlpm._一般検索,IFERROR(INDEX('在庫使用計画 (一般)'!$A$1:$BF$391,MATCH($C71,'在庫使用計画 (一般)'!$C$1:$C$391,0),MATCH(BQ$1,'在庫使用計画 (一般)'!$A$1:$BF$1,0))*1,0),
_xlpm._法人検索,IFERROR(INDEX('在庫使用計画 (法人)'!$A$1:$BF$391,MATCH($C71,'在庫使用計画 (法人)'!$C$1:$C$391,0),MATCH(BQ$1,'在庫使用計画 (法人)'!$A$1:$BF$1,0))*1,0),
_xlpm._合計,_xlpm._一般検索+_xlpm._法人検索,
IF(_xlpm._合計=0,"",_xlpm._合計)
)</f>
        <v/>
      </c>
      <c r="BR71" s="224" t="str">
        <f>_xlfn.LET(
_xlpm._一般検索,IFERROR(INDEX('在庫使用計画 (一般)'!$A$1:$BF$391,MATCH($C71,'在庫使用計画 (一般)'!$C$1:$C$391,0),MATCH(BR$1,'在庫使用計画 (一般)'!$A$1:$BF$1,0))*1,0),
_xlpm._法人検索,IFERROR(INDEX('在庫使用計画 (法人)'!$A$1:$BF$391,MATCH($C71,'在庫使用計画 (法人)'!$C$1:$C$391,0),MATCH(BR$1,'在庫使用計画 (法人)'!$A$1:$BF$1,0))*1,0),
_xlpm._合計,_xlpm._一般検索+_xlpm._法人検索,
IF(_xlpm._合計=0,"",_xlpm._合計)
)</f>
        <v/>
      </c>
      <c r="BS71" s="805" t="str">
        <f>_xlfn.LET(
_xlpm._一般検索,IFERROR(INDEX('在庫使用計画 (一般)'!$A$1:$BF$391,MATCH($C71,'在庫使用計画 (一般)'!$C$1:$C$391,0),MATCH(BS$1,'在庫使用計画 (一般)'!$A$1:$BF$1,0))*1,0),
_xlpm._法人検索,IFERROR(INDEX('在庫使用計画 (法人)'!$A$1:$BF$391,MATCH($C71,'在庫使用計画 (法人)'!$C$1:$C$391,0),MATCH(BS$1,'在庫使用計画 (法人)'!$A$1:$BF$1,0))*1,0),
_xlpm._合計,_xlpm._一般検索+_xlpm._法人検索,
IF(_xlpm._合計=0,"",_xlpm._合計)
)</f>
        <v/>
      </c>
      <c r="BT71" s="77"/>
    </row>
    <row r="72" spans="1:72" customFormat="1" ht="18.75" customHeight="1">
      <c r="A72" s="2064" t="s">
        <v>1651</v>
      </c>
      <c r="B72" s="26" t="str">
        <v>WZN-1051-1315U-UMA-L6 Thirdwave</v>
      </c>
      <c r="C72" s="531" t="s">
        <v>668</v>
      </c>
      <c r="D72" s="2154">
        <v>2000</v>
      </c>
      <c r="E72" s="24" t="s">
        <v>1734</v>
      </c>
      <c r="F72" s="24" t="s">
        <v>1725</v>
      </c>
      <c r="G72" s="74">
        <v>45</v>
      </c>
      <c r="H72" s="38">
        <v>45</v>
      </c>
      <c r="I72" s="38" cm="1">
        <f t="array" ref="I72">IF($C72="","",
_xlfn.LET(
  _xlpm._見出し,$A$1:$BT$1,
  _xlpm._行,$A72:$BT72,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20</v>
      </c>
      <c r="J72" s="74" cm="1">
        <f t="array" ref="J72">_xlfn.LET(
  _xlpm._見出し,$A$1:$BS$1,
  _xlpm._行,$A72:$BS72,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IF($C72="","",_xlpm._四点五月計画合計)
)</f>
        <v>10</v>
      </c>
      <c r="K72" s="1458" t="str" cm="1">
        <f t="array" ref="K72">_xlfn.IFS(
  $C72="","",
  $G72="","発売前？",
  $G72=0,"在庫なし",
  TRUE,
  IFERROR(
    _xlfn.LET(
      _xlpm._在庫注残,     $G72,
      _xlpm._しきい値,     _xlpm._在庫注残 * 0.75,
      _xlpm._見出し元,     $L$1:$BU$1,
      _xlpm._計画,         $L72:$BU72,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合計19、在庫+注残45のため不足</v>
      </c>
      <c r="L72" s="38">
        <v>5</v>
      </c>
      <c r="M72" s="38">
        <v>55</v>
      </c>
      <c r="N72" s="38">
        <v>158</v>
      </c>
      <c r="O72" s="38">
        <v>75</v>
      </c>
      <c r="P72" s="38">
        <v>75</v>
      </c>
      <c r="Q72" s="38">
        <v>75</v>
      </c>
      <c r="R72" s="38">
        <v>108</v>
      </c>
      <c r="S72" s="38">
        <v>80</v>
      </c>
      <c r="T72" s="219">
        <v>80</v>
      </c>
      <c r="U72" s="219" t="s">
        <v>21</v>
      </c>
      <c r="V72" s="291" t="s">
        <v>21</v>
      </c>
      <c r="W72" s="219" t="s">
        <v>21</v>
      </c>
      <c r="X72" s="224">
        <v>90</v>
      </c>
      <c r="Y72" s="335">
        <v>150</v>
      </c>
      <c r="Z72" s="335">
        <v>40</v>
      </c>
      <c r="AA72" s="335">
        <v>220</v>
      </c>
      <c r="AB72" s="335">
        <v>50</v>
      </c>
      <c r="AC72" s="335">
        <v>50</v>
      </c>
      <c r="AD72" s="335">
        <v>150</v>
      </c>
      <c r="AE72" s="335">
        <v>70</v>
      </c>
      <c r="AF72" s="335">
        <v>136</v>
      </c>
      <c r="AG72" s="335">
        <v>265</v>
      </c>
      <c r="AH72" s="224">
        <v>215</v>
      </c>
      <c r="AI72" s="823">
        <v>282</v>
      </c>
      <c r="AJ72" s="804">
        <v>280</v>
      </c>
      <c r="AK72" s="224">
        <v>73</v>
      </c>
      <c r="AL72" s="224">
        <v>152</v>
      </c>
      <c r="AM72" s="224">
        <v>91</v>
      </c>
      <c r="AN72" s="224">
        <f>_xlfn.LET(
_xlpm._一般検索,IFERROR(INDEX('在庫使用計画 (一般)'!$A$1:$BF$391,MATCH($C72,'在庫使用計画 (一般)'!$C$1:$C$391,0),MATCH(AN$1,'在庫使用計画 (一般)'!$A$1:$BF$1,0))*1,0),
_xlpm._法人検索,IFERROR(INDEX('在庫使用計画 (法人)'!$A$1:$BF$391,MATCH($C72,'在庫使用計画 (法人)'!$C$1:$C$391,0),MATCH(AN$1,'在庫使用計画 (法人)'!$A$1:$BF$1,0))*1,0),
_xlpm._合計,_xlpm._一般検索+_xlpm._法人検索,
IF(_xlpm._合計=0,"",_xlpm._合計)
)</f>
        <v>225</v>
      </c>
      <c r="AO72" s="224">
        <f>_xlfn.LET(
_xlpm._一般検索,IFERROR(INDEX('在庫使用計画 (一般)'!$A$1:$BF$391,MATCH($C72,'在庫使用計画 (一般)'!$C$1:$C$391,0),MATCH(AO$1,'在庫使用計画 (一般)'!$A$1:$BF$1,0))*1,0),
_xlpm._法人検索,IFERROR(INDEX('在庫使用計画 (法人)'!$A$1:$BF$391,MATCH($C72,'在庫使用計画 (法人)'!$C$1:$C$391,0),MATCH(AO$1,'在庫使用計画 (法人)'!$A$1:$BF$1,0))*1,0),
_xlpm._合計,_xlpm._一般検索+_xlpm._法人検索,
IF(_xlpm._合計=0,"",_xlpm._合計)
)</f>
        <v>45</v>
      </c>
      <c r="AP72" s="224">
        <f>_xlfn.LET(
_xlpm._一般検索,IFERROR(INDEX('在庫使用計画 (一般)'!$A$1:$BF$391,MATCH($C72,'在庫使用計画 (一般)'!$C$1:$C$391,0),MATCH(AP$1,'在庫使用計画 (一般)'!$A$1:$BF$1,0))*1,0),
_xlpm._法人検索,IFERROR(INDEX('在庫使用計画 (法人)'!$A$1:$BF$391,MATCH($C72,'在庫使用計画 (法人)'!$C$1:$C$391,0),MATCH(AP$1,'在庫使用計画 (法人)'!$A$1:$BF$1,0))*1,0),
_xlpm._合計,_xlpm._一般検索+_xlpm._法人検索,
IF(_xlpm._合計=0,"",_xlpm._合計)
)</f>
        <v>20</v>
      </c>
      <c r="AQ72" s="224" t="str">
        <f>_xlfn.LET(
_xlpm._一般検索,IFERROR(INDEX('在庫使用計画 (一般)'!$A$1:$BF$391,MATCH($C72,'在庫使用計画 (一般)'!$C$1:$C$391,0),MATCH(AQ$1,'在庫使用計画 (一般)'!$A$1:$BF$1,0))*1,0),
_xlpm._法人検索,IFERROR(INDEX('在庫使用計画 (法人)'!$A$1:$BF$391,MATCH($C72,'在庫使用計画 (法人)'!$C$1:$C$391,0),MATCH(AQ$1,'在庫使用計画 (法人)'!$A$1:$BF$1,0))*1,0),
_xlpm._合計,_xlpm._一般検索+_xlpm._法人検索,
IF(_xlpm._合計=0,"",_xlpm._合計)
)</f>
        <v/>
      </c>
      <c r="AR72" s="224" t="str">
        <f>_xlfn.LET(
_xlpm._一般検索,IFERROR(INDEX('在庫使用計画 (一般)'!$A$1:$BF$391,MATCH($C72,'在庫使用計画 (一般)'!$C$1:$C$391,0),MATCH(AR$1,'在庫使用計画 (一般)'!$A$1:$BF$1,0))*1,0),
_xlpm._法人検索,IFERROR(INDEX('在庫使用計画 (法人)'!$A$1:$BF$391,MATCH($C72,'在庫使用計画 (法人)'!$C$1:$C$391,0),MATCH(AR$1,'在庫使用計画 (法人)'!$A$1:$BF$1,0))*1,0),
_xlpm._合計,_xlpm._一般検索+_xlpm._法人検索,
IF(_xlpm._合計=0,"",_xlpm._合計)
)</f>
        <v/>
      </c>
      <c r="AS72" s="224" t="str">
        <f>_xlfn.LET(
_xlpm._一般検索,IFERROR(INDEX('在庫使用計画 (一般)'!$A$1:$BF$391,MATCH($C72,'在庫使用計画 (一般)'!$C$1:$C$391,0),MATCH(AS$1,'在庫使用計画 (一般)'!$A$1:$BF$1,0))*1,0),
_xlpm._法人検索,IFERROR(INDEX('在庫使用計画 (法人)'!$A$1:$BF$391,MATCH($C72,'在庫使用計画 (法人)'!$C$1:$C$391,0),MATCH(AS$1,'在庫使用計画 (法人)'!$A$1:$BF$1,0))*1,0),
_xlpm._合計,_xlpm._一般検索+_xlpm._法人検索,
IF(_xlpm._合計=0,"",_xlpm._合計)
)</f>
        <v/>
      </c>
      <c r="AT72" s="224" t="str">
        <f>_xlfn.LET(
_xlpm._一般検索,IFERROR(INDEX('在庫使用計画 (一般)'!$A$1:$BF$391,MATCH($C72,'在庫使用計画 (一般)'!$C$1:$C$391,0),MATCH(AT$1,'在庫使用計画 (一般)'!$A$1:$BF$1,0))*1,0),
_xlpm._法人検索,IFERROR(INDEX('在庫使用計画 (法人)'!$A$1:$BF$391,MATCH($C72,'在庫使用計画 (法人)'!$C$1:$C$391,0),MATCH(AT$1,'在庫使用計画 (法人)'!$A$1:$BF$1,0))*1,0),
_xlpm._合計,_xlpm._一般検索+_xlpm._法人検索,
IF(_xlpm._合計=0,"",_xlpm._合計)
)</f>
        <v/>
      </c>
      <c r="AU72" s="805" t="str">
        <f>_xlfn.LET(
_xlpm._一般検索,IFERROR(INDEX('在庫使用計画 (一般)'!$A$1:$BF$391,MATCH($C72,'在庫使用計画 (一般)'!$C$1:$C$391,0),MATCH(AU$1,'在庫使用計画 (一般)'!$A$1:$BF$1,0))*1,0),
_xlpm._法人検索,IFERROR(INDEX('在庫使用計画 (法人)'!$A$1:$BF$391,MATCH($C72,'在庫使用計画 (法人)'!$C$1:$C$391,0),MATCH(AU$1,'在庫使用計画 (法人)'!$A$1:$BF$1,0))*1,0),
_xlpm._合計,_xlpm._一般検索+_xlpm._法人検索,
IF(_xlpm._合計=0,"",_xlpm._合計)
)</f>
        <v/>
      </c>
      <c r="AV72" s="244" t="str">
        <f>_xlfn.LET(
_xlpm._一般検索,IFERROR(INDEX('在庫使用計画 (一般)'!$A$1:$BF$391,MATCH($C72,'在庫使用計画 (一般)'!$C$1:$C$391,0),MATCH(AV$1,'在庫使用計画 (一般)'!$A$1:$BF$1,0))*1,0),
_xlpm._法人検索,IFERROR(INDEX('在庫使用計画 (法人)'!$A$1:$BF$391,MATCH($C72,'在庫使用計画 (法人)'!$C$1:$C$391,0),MATCH(AV$1,'在庫使用計画 (法人)'!$A$1:$BF$1,0))*1,0),
_xlpm._合計,_xlpm._一般検索+_xlpm._法人検索,
IF(_xlpm._合計=0,"",_xlpm._合計)
)</f>
        <v/>
      </c>
      <c r="AW72" s="224" t="str">
        <f>_xlfn.LET(
_xlpm._一般検索,IFERROR(INDEX('在庫使用計画 (一般)'!$A$1:$BF$391,MATCH($C72,'在庫使用計画 (一般)'!$C$1:$C$391,0),MATCH(AW$1,'在庫使用計画 (一般)'!$A$1:$BF$1,0))*1,0),
_xlpm._法人検索,IFERROR(INDEX('在庫使用計画 (法人)'!$A$1:$BF$391,MATCH($C72,'在庫使用計画 (法人)'!$C$1:$C$391,0),MATCH(AW$1,'在庫使用計画 (法人)'!$A$1:$BF$1,0))*1,0),
_xlpm._合計,_xlpm._一般検索+_xlpm._法人検索,
IF(_xlpm._合計=0,"",_xlpm._合計)
)</f>
        <v/>
      </c>
      <c r="AX72" s="224" t="str">
        <f>_xlfn.LET(
_xlpm._一般検索,IFERROR(INDEX('在庫使用計画 (一般)'!$A$1:$BF$391,MATCH($C72,'在庫使用計画 (一般)'!$C$1:$C$391,0),MATCH(AX$1,'在庫使用計画 (一般)'!$A$1:$BF$1,0))*1,0),
_xlpm._法人検索,IFERROR(INDEX('在庫使用計画 (法人)'!$A$1:$BF$391,MATCH($C72,'在庫使用計画 (法人)'!$C$1:$C$391,0),MATCH(AX$1,'在庫使用計画 (法人)'!$A$1:$BF$1,0))*1,0),
_xlpm._合計,_xlpm._一般検索+_xlpm._法人検索,
IF(_xlpm._合計=0,"",_xlpm._合計)
)</f>
        <v/>
      </c>
      <c r="AY72" s="224" t="str">
        <f>_xlfn.LET(
_xlpm._一般検索,IFERROR(INDEX('在庫使用計画 (一般)'!$A$1:$BF$391,MATCH($C72,'在庫使用計画 (一般)'!$C$1:$C$391,0),MATCH(AY$1,'在庫使用計画 (一般)'!$A$1:$BF$1,0))*1,0),
_xlpm._法人検索,IFERROR(INDEX('在庫使用計画 (法人)'!$A$1:$BF$391,MATCH($C72,'在庫使用計画 (法人)'!$C$1:$C$391,0),MATCH(AY$1,'在庫使用計画 (法人)'!$A$1:$BF$1,0))*1,0),
_xlpm._合計,_xlpm._一般検索+_xlpm._法人検索,
IF(_xlpm._合計=0,"",_xlpm._合計)
)</f>
        <v/>
      </c>
      <c r="AZ72" s="224" t="str">
        <f>_xlfn.LET(
_xlpm._一般検索,IFERROR(INDEX('在庫使用計画 (一般)'!$A$1:$BF$391,MATCH($C72,'在庫使用計画 (一般)'!$C$1:$C$391,0),MATCH(AZ$1,'在庫使用計画 (一般)'!$A$1:$BF$1,0))*1,0),
_xlpm._法人検索,IFERROR(INDEX('在庫使用計画 (法人)'!$A$1:$BF$391,MATCH($C72,'在庫使用計画 (法人)'!$C$1:$C$391,0),MATCH(AZ$1,'在庫使用計画 (法人)'!$A$1:$BF$1,0))*1,0),
_xlpm._合計,_xlpm._一般検索+_xlpm._法人検索,
IF(_xlpm._合計=0,"",_xlpm._合計)
)</f>
        <v/>
      </c>
      <c r="BA72" s="224" t="str">
        <f>_xlfn.LET(
_xlpm._一般検索,IFERROR(INDEX('在庫使用計画 (一般)'!$A$1:$BF$391,MATCH($C72,'在庫使用計画 (一般)'!$C$1:$C$391,0),MATCH(BA$1,'在庫使用計画 (一般)'!$A$1:$BF$1,0))*1,0),
_xlpm._法人検索,IFERROR(INDEX('在庫使用計画 (法人)'!$A$1:$BF$391,MATCH($C72,'在庫使用計画 (法人)'!$C$1:$C$391,0),MATCH(BA$1,'在庫使用計画 (法人)'!$A$1:$BF$1,0))*1,0),
_xlpm._合計,_xlpm._一般検索+_xlpm._法人検索,
IF(_xlpm._合計=0,"",_xlpm._合計)
)</f>
        <v/>
      </c>
      <c r="BB72" s="224" t="str">
        <f>_xlfn.LET(
_xlpm._一般検索,IFERROR(INDEX('在庫使用計画 (一般)'!$A$1:$BF$391,MATCH($C72,'在庫使用計画 (一般)'!$C$1:$C$391,0),MATCH(BB$1,'在庫使用計画 (一般)'!$A$1:$BF$1,0))*1,0),
_xlpm._法人検索,IFERROR(INDEX('在庫使用計画 (法人)'!$A$1:$BF$391,MATCH($C72,'在庫使用計画 (法人)'!$C$1:$C$391,0),MATCH(BB$1,'在庫使用計画 (法人)'!$A$1:$BF$1,0))*1,0),
_xlpm._合計,_xlpm._一般検索+_xlpm._法人検索,
IF(_xlpm._合計=0,"",_xlpm._合計)
)</f>
        <v/>
      </c>
      <c r="BC72" s="224" t="str">
        <f>_xlfn.LET(
_xlpm._一般検索,IFERROR(INDEX('在庫使用計画 (一般)'!$A$1:$BF$391,MATCH($C72,'在庫使用計画 (一般)'!$C$1:$C$391,0),MATCH(BC$1,'在庫使用計画 (一般)'!$A$1:$BF$1,0))*1,0),
_xlpm._法人検索,IFERROR(INDEX('在庫使用計画 (法人)'!$A$1:$BF$391,MATCH($C72,'在庫使用計画 (法人)'!$C$1:$C$391,0),MATCH(BC$1,'在庫使用計画 (法人)'!$A$1:$BF$1,0))*1,0),
_xlpm._合計,_xlpm._一般検索+_xlpm._法人検索,
IF(_xlpm._合計=0,"",_xlpm._合計)
)</f>
        <v/>
      </c>
      <c r="BD72" s="224" t="str">
        <f>_xlfn.LET(
_xlpm._一般検索,IFERROR(INDEX('在庫使用計画 (一般)'!$A$1:$BF$391,MATCH($C72,'在庫使用計画 (一般)'!$C$1:$C$391,0),MATCH(BD$1,'在庫使用計画 (一般)'!$A$1:$BF$1,0))*1,0),
_xlpm._法人検索,IFERROR(INDEX('在庫使用計画 (法人)'!$A$1:$BF$391,MATCH($C72,'在庫使用計画 (法人)'!$C$1:$C$391,0),MATCH(BD$1,'在庫使用計画 (法人)'!$A$1:$BF$1,0))*1,0),
_xlpm._合計,_xlpm._一般検索+_xlpm._法人検索,
IF(_xlpm._合計=0,"",_xlpm._合計)
)</f>
        <v/>
      </c>
      <c r="BE72" s="224" t="str">
        <f>_xlfn.LET(
_xlpm._一般検索,IFERROR(INDEX('在庫使用計画 (一般)'!$A$1:$BF$391,MATCH($C72,'在庫使用計画 (一般)'!$C$1:$C$391,0),MATCH(BE$1,'在庫使用計画 (一般)'!$A$1:$BF$1,0))*1,0),
_xlpm._法人検索,IFERROR(INDEX('在庫使用計画 (法人)'!$A$1:$BF$391,MATCH($C72,'在庫使用計画 (法人)'!$C$1:$C$391,0),MATCH(BE$1,'在庫使用計画 (法人)'!$A$1:$BF$1,0))*1,0),
_xlpm._合計,_xlpm._一般検索+_xlpm._法人検索,
IF(_xlpm._合計=0,"",_xlpm._合計)
)</f>
        <v/>
      </c>
      <c r="BF72" s="224" t="str">
        <f>_xlfn.LET(
_xlpm._一般検索,IFERROR(INDEX('在庫使用計画 (一般)'!$A$1:$BF$391,MATCH($C72,'在庫使用計画 (一般)'!$C$1:$C$391,0),MATCH(BF$1,'在庫使用計画 (一般)'!$A$1:$BF$1,0))*1,0),
_xlpm._法人検索,IFERROR(INDEX('在庫使用計画 (法人)'!$A$1:$BF$391,MATCH($C72,'在庫使用計画 (法人)'!$C$1:$C$391,0),MATCH(BF$1,'在庫使用計画 (法人)'!$A$1:$BF$1,0))*1,0),
_xlpm._合計,_xlpm._一般検索+_xlpm._法人検索,
IF(_xlpm._合計=0,"",_xlpm._合計)
)</f>
        <v/>
      </c>
      <c r="BG72" s="237" t="str">
        <f>_xlfn.LET(
_xlpm._一般検索,IFERROR(INDEX('在庫使用計画 (一般)'!$A$1:$BF$391,MATCH($C72,'在庫使用計画 (一般)'!$C$1:$C$391,0),MATCH(BG$1,'在庫使用計画 (一般)'!$A$1:$BF$1,0))*1,0),
_xlpm._法人検索,IFERROR(INDEX('在庫使用計画 (法人)'!$A$1:$BF$391,MATCH($C72,'在庫使用計画 (法人)'!$C$1:$C$391,0),MATCH(BG$1,'在庫使用計画 (法人)'!$A$1:$BF$1,0))*1,0),
_xlpm._合計,_xlpm._一般検索+_xlpm._法人検索,
IF(_xlpm._合計=0,"",_xlpm._合計)
)</f>
        <v/>
      </c>
      <c r="BH72" s="804" t="str">
        <f>_xlfn.LET(
_xlpm._一般検索,IFERROR(INDEX('在庫使用計画 (一般)'!$A$1:$BF$391,MATCH($C72,'在庫使用計画 (一般)'!$C$1:$C$391,0),MATCH(BH$1,'在庫使用計画 (一般)'!$A$1:$BF$1,0))*1,0),
_xlpm._法人検索,IFERROR(INDEX('在庫使用計画 (法人)'!$A$1:$BF$391,MATCH($C72,'在庫使用計画 (法人)'!$C$1:$C$391,0),MATCH(BH$1,'在庫使用計画 (法人)'!$A$1:$BF$1,0))*1,0),
_xlpm._合計,_xlpm._一般検索+_xlpm._法人検索,
IF(_xlpm._合計=0,"",_xlpm._合計)
)</f>
        <v/>
      </c>
      <c r="BI72" s="224" t="str">
        <f>_xlfn.LET(
_xlpm._一般検索,IFERROR(INDEX('在庫使用計画 (一般)'!$A$1:$BF$391,MATCH($C72,'在庫使用計画 (一般)'!$C$1:$C$391,0),MATCH(BI$1,'在庫使用計画 (一般)'!$A$1:$BF$1,0))*1,0),
_xlpm._法人検索,IFERROR(INDEX('在庫使用計画 (法人)'!$A$1:$BF$391,MATCH($C72,'在庫使用計画 (法人)'!$C$1:$C$391,0),MATCH(BI$1,'在庫使用計画 (法人)'!$A$1:$BF$1,0))*1,0),
_xlpm._合計,_xlpm._一般検索+_xlpm._法人検索,
IF(_xlpm._合計=0,"",_xlpm._合計)
)</f>
        <v/>
      </c>
      <c r="BJ72" s="224" t="str">
        <f>_xlfn.LET(
_xlpm._一般検索,IFERROR(INDEX('在庫使用計画 (一般)'!$A$1:$BF$391,MATCH($C72,'在庫使用計画 (一般)'!$C$1:$C$391,0),MATCH(BJ$1,'在庫使用計画 (一般)'!$A$1:$BF$1,0))*1,0),
_xlpm._法人検索,IFERROR(INDEX('在庫使用計画 (法人)'!$A$1:$BF$391,MATCH($C72,'在庫使用計画 (法人)'!$C$1:$C$391,0),MATCH(BJ$1,'在庫使用計画 (法人)'!$A$1:$BF$1,0))*1,0),
_xlpm._合計,_xlpm._一般検索+_xlpm._法人検索,
IF(_xlpm._合計=0,"",_xlpm._合計)
)</f>
        <v/>
      </c>
      <c r="BK72" s="224" t="str">
        <f>_xlfn.LET(
_xlpm._一般検索,IFERROR(INDEX('在庫使用計画 (一般)'!$A$1:$BF$391,MATCH($C72,'在庫使用計画 (一般)'!$C$1:$C$391,0),MATCH(BK$1,'在庫使用計画 (一般)'!$A$1:$BF$1,0))*1,0),
_xlpm._法人検索,IFERROR(INDEX('在庫使用計画 (法人)'!$A$1:$BF$391,MATCH($C72,'在庫使用計画 (法人)'!$C$1:$C$391,0),MATCH(BK$1,'在庫使用計画 (法人)'!$A$1:$BF$1,0))*1,0),
_xlpm._合計,_xlpm._一般検索+_xlpm._法人検索,
IF(_xlpm._合計=0,"",_xlpm._合計)
)</f>
        <v/>
      </c>
      <c r="BL72" s="224" t="str">
        <f>_xlfn.LET(
_xlpm._一般検索,IFERROR(INDEX('在庫使用計画 (一般)'!$A$1:$BF$391,MATCH($C72,'在庫使用計画 (一般)'!$C$1:$C$391,0),MATCH(BL$1,'在庫使用計画 (一般)'!$A$1:$BF$1,0))*1,0),
_xlpm._法人検索,IFERROR(INDEX('在庫使用計画 (法人)'!$A$1:$BF$391,MATCH($C72,'在庫使用計画 (法人)'!$C$1:$C$391,0),MATCH(BL$1,'在庫使用計画 (法人)'!$A$1:$BF$1,0))*1,0),
_xlpm._合計,_xlpm._一般検索+_xlpm._法人検索,
IF(_xlpm._合計=0,"",_xlpm._合計)
)</f>
        <v/>
      </c>
      <c r="BM72" s="224" t="str">
        <f>_xlfn.LET(
_xlpm._一般検索,IFERROR(INDEX('在庫使用計画 (一般)'!$A$1:$BF$391,MATCH($C72,'在庫使用計画 (一般)'!$C$1:$C$391,0),MATCH(BM$1,'在庫使用計画 (一般)'!$A$1:$BF$1,0))*1,0),
_xlpm._法人検索,IFERROR(INDEX('在庫使用計画 (法人)'!$A$1:$BF$391,MATCH($C72,'在庫使用計画 (法人)'!$C$1:$C$391,0),MATCH(BM$1,'在庫使用計画 (法人)'!$A$1:$BF$1,0))*1,0),
_xlpm._合計,_xlpm._一般検索+_xlpm._法人検索,
IF(_xlpm._合計=0,"",_xlpm._合計)
)</f>
        <v/>
      </c>
      <c r="BN72" s="224" t="str">
        <f>_xlfn.LET(
_xlpm._一般検索,IFERROR(INDEX('在庫使用計画 (一般)'!$A$1:$BF$391,MATCH($C72,'在庫使用計画 (一般)'!$C$1:$C$391,0),MATCH(BN$1,'在庫使用計画 (一般)'!$A$1:$BF$1,0))*1,0),
_xlpm._法人検索,IFERROR(INDEX('在庫使用計画 (法人)'!$A$1:$BF$391,MATCH($C72,'在庫使用計画 (法人)'!$C$1:$C$391,0),MATCH(BN$1,'在庫使用計画 (法人)'!$A$1:$BF$1,0))*1,0),
_xlpm._合計,_xlpm._一般検索+_xlpm._法人検索,
IF(_xlpm._合計=0,"",_xlpm._合計)
)</f>
        <v/>
      </c>
      <c r="BO72" s="224" t="str">
        <f>_xlfn.LET(
_xlpm._一般検索,IFERROR(INDEX('在庫使用計画 (一般)'!$A$1:$BF$391,MATCH($C72,'在庫使用計画 (一般)'!$C$1:$C$391,0),MATCH(BO$1,'在庫使用計画 (一般)'!$A$1:$BF$1,0))*1,0),
_xlpm._法人検索,IFERROR(INDEX('在庫使用計画 (法人)'!$A$1:$BF$391,MATCH($C72,'在庫使用計画 (法人)'!$C$1:$C$391,0),MATCH(BO$1,'在庫使用計画 (法人)'!$A$1:$BF$1,0))*1,0),
_xlpm._合計,_xlpm._一般検索+_xlpm._法人検索,
IF(_xlpm._合計=0,"",_xlpm._合計)
)</f>
        <v/>
      </c>
      <c r="BP72" s="224" t="str">
        <f>_xlfn.LET(
_xlpm._一般検索,IFERROR(INDEX('在庫使用計画 (一般)'!$A$1:$BF$391,MATCH($C72,'在庫使用計画 (一般)'!$C$1:$C$391,0),MATCH(BP$1,'在庫使用計画 (一般)'!$A$1:$BF$1,0))*1,0),
_xlpm._法人検索,IFERROR(INDEX('在庫使用計画 (法人)'!$A$1:$BF$391,MATCH($C72,'在庫使用計画 (法人)'!$C$1:$C$391,0),MATCH(BP$1,'在庫使用計画 (法人)'!$A$1:$BF$1,0))*1,0),
_xlpm._合計,_xlpm._一般検索+_xlpm._法人検索,
IF(_xlpm._合計=0,"",_xlpm._合計)
)</f>
        <v/>
      </c>
      <c r="BQ72" s="224" t="str">
        <f>_xlfn.LET(
_xlpm._一般検索,IFERROR(INDEX('在庫使用計画 (一般)'!$A$1:$BF$391,MATCH($C72,'在庫使用計画 (一般)'!$C$1:$C$391,0),MATCH(BQ$1,'在庫使用計画 (一般)'!$A$1:$BF$1,0))*1,0),
_xlpm._法人検索,IFERROR(INDEX('在庫使用計画 (法人)'!$A$1:$BF$391,MATCH($C72,'在庫使用計画 (法人)'!$C$1:$C$391,0),MATCH(BQ$1,'在庫使用計画 (法人)'!$A$1:$BF$1,0))*1,0),
_xlpm._合計,_xlpm._一般検索+_xlpm._法人検索,
IF(_xlpm._合計=0,"",_xlpm._合計)
)</f>
        <v/>
      </c>
      <c r="BR72" s="224" t="str">
        <f>_xlfn.LET(
_xlpm._一般検索,IFERROR(INDEX('在庫使用計画 (一般)'!$A$1:$BF$391,MATCH($C72,'在庫使用計画 (一般)'!$C$1:$C$391,0),MATCH(BR$1,'在庫使用計画 (一般)'!$A$1:$BF$1,0))*1,0),
_xlpm._法人検索,IFERROR(INDEX('在庫使用計画 (法人)'!$A$1:$BF$391,MATCH($C72,'在庫使用計画 (法人)'!$C$1:$C$391,0),MATCH(BR$1,'在庫使用計画 (法人)'!$A$1:$BF$1,0))*1,0),
_xlpm._合計,_xlpm._一般検索+_xlpm._法人検索,
IF(_xlpm._合計=0,"",_xlpm._合計)
)</f>
        <v/>
      </c>
      <c r="BS72" s="805" t="str">
        <f>_xlfn.LET(
_xlpm._一般検索,IFERROR(INDEX('在庫使用計画 (一般)'!$A$1:$BF$391,MATCH($C72,'在庫使用計画 (一般)'!$C$1:$C$391,0),MATCH(BS$1,'在庫使用計画 (一般)'!$A$1:$BF$1,0))*1,0),
_xlpm._法人検索,IFERROR(INDEX('在庫使用計画 (法人)'!$A$1:$BF$391,MATCH($C72,'在庫使用計画 (法人)'!$C$1:$C$391,0),MATCH(BS$1,'在庫使用計画 (法人)'!$A$1:$BF$1,0))*1,0),
_xlpm._合計,_xlpm._一般検索+_xlpm._法人検索,
IF(_xlpm._合計=0,"",_xlpm._合計)
)</f>
        <v/>
      </c>
      <c r="BT72" s="21"/>
    </row>
    <row r="73" spans="1:72" customFormat="1" ht="18.75" customHeight="1" thickBot="1">
      <c r="A73" s="2064" t="s">
        <v>1651</v>
      </c>
      <c r="B73" s="28" t="str">
        <v>CLE-NL55-1315U-UMA-L6-TPM Thirdwave</v>
      </c>
      <c r="C73" s="373" t="s">
        <v>678</v>
      </c>
      <c r="D73" s="2153">
        <v>455</v>
      </c>
      <c r="E73" s="24" t="s">
        <v>1734</v>
      </c>
      <c r="F73" s="24" t="s">
        <v>20</v>
      </c>
      <c r="G73" s="74">
        <v>442</v>
      </c>
      <c r="H73" s="38">
        <v>442</v>
      </c>
      <c r="I73" s="38" cm="1">
        <f t="array" ref="I73">IF($C73="","",
_xlfn.LET(
  _xlpm._見出し,$A$1:$BT$1,
  _xlpm._行,$A73:$BT73,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431</v>
      </c>
      <c r="J73" s="74" cm="1">
        <f t="array" ref="J73">_xlfn.LET(
  _xlpm._見出し,$A$1:$BS$1,
  _xlpm._行,$A73:$BS73,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IF($C73="","",_xlpm._四点五月計画合計)
)</f>
        <v>350.5</v>
      </c>
      <c r="K73" s="1458" cm="1">
        <f t="array" ref="K73">_xlfn.IFS(
  $C73="","",
  $G73="","発売前？",
  $G73=0,"在庫なし",
  TRUE,
  IFERROR(
    _xlfn.LET(
      _xlpm._在庫注残,     $G73,
      _xlpm._しきい値,     _xlpm._在庫注残 * 0.75,
      _xlpm._見出し元,     $L$1:$BU$1,
      _xlpm._計画,         $L73:$BU73,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46266</v>
      </c>
      <c r="L73" s="38" t="s">
        <v>21</v>
      </c>
      <c r="M73" s="38" t="s">
        <v>21</v>
      </c>
      <c r="N73" s="38" t="s">
        <v>21</v>
      </c>
      <c r="O73" s="38" t="s">
        <v>21</v>
      </c>
      <c r="P73" s="38" t="s">
        <v>21</v>
      </c>
      <c r="Q73" s="38" t="s">
        <v>21</v>
      </c>
      <c r="R73" s="38" t="s">
        <v>21</v>
      </c>
      <c r="S73" s="38" t="s">
        <v>21</v>
      </c>
      <c r="T73" s="219" t="s">
        <v>21</v>
      </c>
      <c r="U73" s="219" t="s">
        <v>21</v>
      </c>
      <c r="V73" s="291" t="s">
        <v>21</v>
      </c>
      <c r="W73" s="219" t="s">
        <v>21</v>
      </c>
      <c r="X73" s="224" t="s">
        <v>21</v>
      </c>
      <c r="Y73" s="335" t="s">
        <v>21</v>
      </c>
      <c r="Z73" s="335" t="s">
        <v>21</v>
      </c>
      <c r="AA73" s="335" t="s">
        <v>21</v>
      </c>
      <c r="AB73" s="335" t="s">
        <v>21</v>
      </c>
      <c r="AC73" s="335" t="s">
        <v>21</v>
      </c>
      <c r="AD73" s="335" t="s">
        <v>21</v>
      </c>
      <c r="AE73" s="335" t="s">
        <v>21</v>
      </c>
      <c r="AF73" s="335" t="s">
        <v>21</v>
      </c>
      <c r="AG73" s="335" t="s">
        <v>21</v>
      </c>
      <c r="AH73" s="224" t="s">
        <v>21</v>
      </c>
      <c r="AI73" s="823" t="s">
        <v>21</v>
      </c>
      <c r="AJ73" s="804" t="s">
        <v>21</v>
      </c>
      <c r="AK73" s="224" t="s">
        <v>21</v>
      </c>
      <c r="AL73" s="224">
        <v>5</v>
      </c>
      <c r="AM73" s="224">
        <v>5</v>
      </c>
      <c r="AN73" s="224">
        <f>_xlfn.LET(
_xlpm._一般検索,IFERROR(INDEX('在庫使用計画 (一般)'!$A$1:$BF$391,MATCH($C73,'在庫使用計画 (一般)'!$C$1:$C$391,0),MATCH(AN$1,'在庫使用計画 (一般)'!$A$1:$BF$1,0))*1,0),
_xlpm._法人検索,IFERROR(INDEX('在庫使用計画 (法人)'!$A$1:$BF$391,MATCH($C73,'在庫使用計画 (法人)'!$C$1:$C$391,0),MATCH(AN$1,'在庫使用計画 (法人)'!$A$1:$BF$1,0))*1,0),
_xlpm._合計,_xlpm._一般検索+_xlpm._法人検索,
IF(_xlpm._合計=0,"",_xlpm._合計)
)</f>
        <v>5</v>
      </c>
      <c r="AO73" s="224">
        <f>_xlfn.LET(
_xlpm._一般検索,IFERROR(INDEX('在庫使用計画 (一般)'!$A$1:$BF$391,MATCH($C73,'在庫使用計画 (一般)'!$C$1:$C$391,0),MATCH(AO$1,'在庫使用計画 (一般)'!$A$1:$BF$1,0))*1,0),
_xlpm._法人検索,IFERROR(INDEX('在庫使用計画 (法人)'!$A$1:$BF$391,MATCH($C73,'在庫使用計画 (法人)'!$C$1:$C$391,0),MATCH(AO$1,'在庫使用計画 (法人)'!$A$1:$BF$1,0))*1,0),
_xlpm._合計,_xlpm._一般検索+_xlpm._法人検索,
IF(_xlpm._合計=0,"",_xlpm._合計)
)</f>
        <v>60</v>
      </c>
      <c r="AP73" s="224">
        <f>_xlfn.LET(
_xlpm._一般検索,IFERROR(INDEX('在庫使用計画 (一般)'!$A$1:$BF$391,MATCH($C73,'在庫使用計画 (一般)'!$C$1:$C$391,0),MATCH(AP$1,'在庫使用計画 (一般)'!$A$1:$BF$1,0))*1,0),
_xlpm._法人検索,IFERROR(INDEX('在庫使用計画 (法人)'!$A$1:$BF$391,MATCH($C73,'在庫使用計画 (法人)'!$C$1:$C$391,0),MATCH(AP$1,'在庫使用計画 (法人)'!$A$1:$BF$1,0))*1,0),
_xlpm._合計,_xlpm._一般検索+_xlpm._法人検索,
IF(_xlpm._合計=0,"",_xlpm._合計)
)</f>
        <v>161</v>
      </c>
      <c r="AQ73" s="224">
        <f>_xlfn.LET(
_xlpm._一般検索,IFERROR(INDEX('在庫使用計画 (一般)'!$A$1:$BF$391,MATCH($C73,'在庫使用計画 (一般)'!$C$1:$C$391,0),MATCH(AQ$1,'在庫使用計画 (一般)'!$A$1:$BF$1,0))*1,0),
_xlpm._法人検索,IFERROR(INDEX('在庫使用計画 (法人)'!$A$1:$BF$391,MATCH($C73,'在庫使用計画 (法人)'!$C$1:$C$391,0),MATCH(AQ$1,'在庫使用計画 (法人)'!$A$1:$BF$1,0))*1,0),
_xlpm._合計,_xlpm._一般検索+_xlpm._法人検索,
IF(_xlpm._合計=0,"",_xlpm._合計)
)</f>
        <v>100</v>
      </c>
      <c r="AR73" s="224">
        <f>_xlfn.LET(
_xlpm._一般検索,IFERROR(INDEX('在庫使用計画 (一般)'!$A$1:$BF$391,MATCH($C73,'在庫使用計画 (一般)'!$C$1:$C$391,0),MATCH(AR$1,'在庫使用計画 (一般)'!$A$1:$BF$1,0))*1,0),
_xlpm._法人検索,IFERROR(INDEX('在庫使用計画 (法人)'!$A$1:$BF$391,MATCH($C73,'在庫使用計画 (法人)'!$C$1:$C$391,0),MATCH(AR$1,'在庫使用計画 (法人)'!$A$1:$BF$1,0))*1,0),
_xlpm._合計,_xlpm._一般検索+_xlpm._法人検索,
IF(_xlpm._合計=0,"",_xlpm._合計)
)</f>
        <v>100</v>
      </c>
      <c r="AS73" s="224">
        <f>_xlfn.LET(
_xlpm._一般検索,IFERROR(INDEX('在庫使用計画 (一般)'!$A$1:$BF$391,MATCH($C73,'在庫使用計画 (一般)'!$C$1:$C$391,0),MATCH(AS$1,'在庫使用計画 (一般)'!$A$1:$BF$1,0))*1,0),
_xlpm._法人検索,IFERROR(INDEX('在庫使用計画 (法人)'!$A$1:$BF$391,MATCH($C73,'在庫使用計画 (法人)'!$C$1:$C$391,0),MATCH(AS$1,'在庫使用計画 (法人)'!$A$1:$BF$1,0))*1,0),
_xlpm._合計,_xlpm._一般検索+_xlpm._法人検索,
IF(_xlpm._合計=0,"",_xlpm._合計)
)</f>
        <v>70</v>
      </c>
      <c r="AT73" s="224" t="str">
        <f>_xlfn.LET(
_xlpm._一般検索,IFERROR(INDEX('在庫使用計画 (一般)'!$A$1:$BF$391,MATCH($C73,'在庫使用計画 (一般)'!$C$1:$C$391,0),MATCH(AT$1,'在庫使用計画 (一般)'!$A$1:$BF$1,0))*1,0),
_xlpm._法人検索,IFERROR(INDEX('在庫使用計画 (法人)'!$A$1:$BF$391,MATCH($C73,'在庫使用計画 (法人)'!$C$1:$C$391,0),MATCH(AT$1,'在庫使用計画 (法人)'!$A$1:$BF$1,0))*1,0),
_xlpm._合計,_xlpm._一般検索+_xlpm._法人検索,
IF(_xlpm._合計=0,"",_xlpm._合計)
)</f>
        <v/>
      </c>
      <c r="AU73" s="805" t="str">
        <f>_xlfn.LET(
_xlpm._一般検索,IFERROR(INDEX('在庫使用計画 (一般)'!$A$1:$BF$391,MATCH($C73,'在庫使用計画 (一般)'!$C$1:$C$391,0),MATCH(AU$1,'在庫使用計画 (一般)'!$A$1:$BF$1,0))*1,0),
_xlpm._法人検索,IFERROR(INDEX('在庫使用計画 (法人)'!$A$1:$BF$391,MATCH($C73,'在庫使用計画 (法人)'!$C$1:$C$391,0),MATCH(AU$1,'在庫使用計画 (法人)'!$A$1:$BF$1,0))*1,0),
_xlpm._合計,_xlpm._一般検索+_xlpm._法人検索,
IF(_xlpm._合計=0,"",_xlpm._合計)
)</f>
        <v/>
      </c>
      <c r="AV73" s="244" t="str">
        <f>_xlfn.LET(
_xlpm._一般検索,IFERROR(INDEX('在庫使用計画 (一般)'!$A$1:$BF$391,MATCH($C73,'在庫使用計画 (一般)'!$C$1:$C$391,0),MATCH(AV$1,'在庫使用計画 (一般)'!$A$1:$BF$1,0))*1,0),
_xlpm._法人検索,IFERROR(INDEX('在庫使用計画 (法人)'!$A$1:$BF$391,MATCH($C73,'在庫使用計画 (法人)'!$C$1:$C$391,0),MATCH(AV$1,'在庫使用計画 (法人)'!$A$1:$BF$1,0))*1,0),
_xlpm._合計,_xlpm._一般検索+_xlpm._法人検索,
IF(_xlpm._合計=0,"",_xlpm._合計)
)</f>
        <v/>
      </c>
      <c r="AW73" s="224" t="str">
        <f>_xlfn.LET(
_xlpm._一般検索,IFERROR(INDEX('在庫使用計画 (一般)'!$A$1:$BF$391,MATCH($C73,'在庫使用計画 (一般)'!$C$1:$C$391,0),MATCH(AW$1,'在庫使用計画 (一般)'!$A$1:$BF$1,0))*1,0),
_xlpm._法人検索,IFERROR(INDEX('在庫使用計画 (法人)'!$A$1:$BF$391,MATCH($C73,'在庫使用計画 (法人)'!$C$1:$C$391,0),MATCH(AW$1,'在庫使用計画 (法人)'!$A$1:$BF$1,0))*1,0),
_xlpm._合計,_xlpm._一般検索+_xlpm._法人検索,
IF(_xlpm._合計=0,"",_xlpm._合計)
)</f>
        <v/>
      </c>
      <c r="AX73" s="224" t="str">
        <f>_xlfn.LET(
_xlpm._一般検索,IFERROR(INDEX('在庫使用計画 (一般)'!$A$1:$BF$391,MATCH($C73,'在庫使用計画 (一般)'!$C$1:$C$391,0),MATCH(AX$1,'在庫使用計画 (一般)'!$A$1:$BF$1,0))*1,0),
_xlpm._法人検索,IFERROR(INDEX('在庫使用計画 (法人)'!$A$1:$BF$391,MATCH($C73,'在庫使用計画 (法人)'!$C$1:$C$391,0),MATCH(AX$1,'在庫使用計画 (法人)'!$A$1:$BF$1,0))*1,0),
_xlpm._合計,_xlpm._一般検索+_xlpm._法人検索,
IF(_xlpm._合計=0,"",_xlpm._合計)
)</f>
        <v/>
      </c>
      <c r="AY73" s="224" t="str">
        <f>_xlfn.LET(
_xlpm._一般検索,IFERROR(INDEX('在庫使用計画 (一般)'!$A$1:$BF$391,MATCH($C73,'在庫使用計画 (一般)'!$C$1:$C$391,0),MATCH(AY$1,'在庫使用計画 (一般)'!$A$1:$BF$1,0))*1,0),
_xlpm._法人検索,IFERROR(INDEX('在庫使用計画 (法人)'!$A$1:$BF$391,MATCH($C73,'在庫使用計画 (法人)'!$C$1:$C$391,0),MATCH(AY$1,'在庫使用計画 (法人)'!$A$1:$BF$1,0))*1,0),
_xlpm._合計,_xlpm._一般検索+_xlpm._法人検索,
IF(_xlpm._合計=0,"",_xlpm._合計)
)</f>
        <v/>
      </c>
      <c r="AZ73" s="224" t="str">
        <f>_xlfn.LET(
_xlpm._一般検索,IFERROR(INDEX('在庫使用計画 (一般)'!$A$1:$BF$391,MATCH($C73,'在庫使用計画 (一般)'!$C$1:$C$391,0),MATCH(AZ$1,'在庫使用計画 (一般)'!$A$1:$BF$1,0))*1,0),
_xlpm._法人検索,IFERROR(INDEX('在庫使用計画 (法人)'!$A$1:$BF$391,MATCH($C73,'在庫使用計画 (法人)'!$C$1:$C$391,0),MATCH(AZ$1,'在庫使用計画 (法人)'!$A$1:$BF$1,0))*1,0),
_xlpm._合計,_xlpm._一般検索+_xlpm._法人検索,
IF(_xlpm._合計=0,"",_xlpm._合計)
)</f>
        <v/>
      </c>
      <c r="BA73" s="224" t="str">
        <f>_xlfn.LET(
_xlpm._一般検索,IFERROR(INDEX('在庫使用計画 (一般)'!$A$1:$BF$391,MATCH($C73,'在庫使用計画 (一般)'!$C$1:$C$391,0),MATCH(BA$1,'在庫使用計画 (一般)'!$A$1:$BF$1,0))*1,0),
_xlpm._法人検索,IFERROR(INDEX('在庫使用計画 (法人)'!$A$1:$BF$391,MATCH($C73,'在庫使用計画 (法人)'!$C$1:$C$391,0),MATCH(BA$1,'在庫使用計画 (法人)'!$A$1:$BF$1,0))*1,0),
_xlpm._合計,_xlpm._一般検索+_xlpm._法人検索,
IF(_xlpm._合計=0,"",_xlpm._合計)
)</f>
        <v/>
      </c>
      <c r="BB73" s="224" t="str">
        <f>_xlfn.LET(
_xlpm._一般検索,IFERROR(INDEX('在庫使用計画 (一般)'!$A$1:$BF$391,MATCH($C73,'在庫使用計画 (一般)'!$C$1:$C$391,0),MATCH(BB$1,'在庫使用計画 (一般)'!$A$1:$BF$1,0))*1,0),
_xlpm._法人検索,IFERROR(INDEX('在庫使用計画 (法人)'!$A$1:$BF$391,MATCH($C73,'在庫使用計画 (法人)'!$C$1:$C$391,0),MATCH(BB$1,'在庫使用計画 (法人)'!$A$1:$BF$1,0))*1,0),
_xlpm._合計,_xlpm._一般検索+_xlpm._法人検索,
IF(_xlpm._合計=0,"",_xlpm._合計)
)</f>
        <v/>
      </c>
      <c r="BC73" s="224" t="str">
        <f>_xlfn.LET(
_xlpm._一般検索,IFERROR(INDEX('在庫使用計画 (一般)'!$A$1:$BF$391,MATCH($C73,'在庫使用計画 (一般)'!$C$1:$C$391,0),MATCH(BC$1,'在庫使用計画 (一般)'!$A$1:$BF$1,0))*1,0),
_xlpm._法人検索,IFERROR(INDEX('在庫使用計画 (法人)'!$A$1:$BF$391,MATCH($C73,'在庫使用計画 (法人)'!$C$1:$C$391,0),MATCH(BC$1,'在庫使用計画 (法人)'!$A$1:$BF$1,0))*1,0),
_xlpm._合計,_xlpm._一般検索+_xlpm._法人検索,
IF(_xlpm._合計=0,"",_xlpm._合計)
)</f>
        <v/>
      </c>
      <c r="BD73" s="224" t="str">
        <f>_xlfn.LET(
_xlpm._一般検索,IFERROR(INDEX('在庫使用計画 (一般)'!$A$1:$BF$391,MATCH($C73,'在庫使用計画 (一般)'!$C$1:$C$391,0),MATCH(BD$1,'在庫使用計画 (一般)'!$A$1:$BF$1,0))*1,0),
_xlpm._法人検索,IFERROR(INDEX('在庫使用計画 (法人)'!$A$1:$BF$391,MATCH($C73,'在庫使用計画 (法人)'!$C$1:$C$391,0),MATCH(BD$1,'在庫使用計画 (法人)'!$A$1:$BF$1,0))*1,0),
_xlpm._合計,_xlpm._一般検索+_xlpm._法人検索,
IF(_xlpm._合計=0,"",_xlpm._合計)
)</f>
        <v/>
      </c>
      <c r="BE73" s="224" t="str">
        <f>_xlfn.LET(
_xlpm._一般検索,IFERROR(INDEX('在庫使用計画 (一般)'!$A$1:$BF$391,MATCH($C73,'在庫使用計画 (一般)'!$C$1:$C$391,0),MATCH(BE$1,'在庫使用計画 (一般)'!$A$1:$BF$1,0))*1,0),
_xlpm._法人検索,IFERROR(INDEX('在庫使用計画 (法人)'!$A$1:$BF$391,MATCH($C73,'在庫使用計画 (法人)'!$C$1:$C$391,0),MATCH(BE$1,'在庫使用計画 (法人)'!$A$1:$BF$1,0))*1,0),
_xlpm._合計,_xlpm._一般検索+_xlpm._法人検索,
IF(_xlpm._合計=0,"",_xlpm._合計)
)</f>
        <v/>
      </c>
      <c r="BF73" s="224" t="str">
        <f>_xlfn.LET(
_xlpm._一般検索,IFERROR(INDEX('在庫使用計画 (一般)'!$A$1:$BF$391,MATCH($C73,'在庫使用計画 (一般)'!$C$1:$C$391,0),MATCH(BF$1,'在庫使用計画 (一般)'!$A$1:$BF$1,0))*1,0),
_xlpm._法人検索,IFERROR(INDEX('在庫使用計画 (法人)'!$A$1:$BF$391,MATCH($C73,'在庫使用計画 (法人)'!$C$1:$C$391,0),MATCH(BF$1,'在庫使用計画 (法人)'!$A$1:$BF$1,0))*1,0),
_xlpm._合計,_xlpm._一般検索+_xlpm._法人検索,
IF(_xlpm._合計=0,"",_xlpm._合計)
)</f>
        <v/>
      </c>
      <c r="BG73" s="237" t="str">
        <f>_xlfn.LET(
_xlpm._一般検索,IFERROR(INDEX('在庫使用計画 (一般)'!$A$1:$BF$391,MATCH($C73,'在庫使用計画 (一般)'!$C$1:$C$391,0),MATCH(BG$1,'在庫使用計画 (一般)'!$A$1:$BF$1,0))*1,0),
_xlpm._法人検索,IFERROR(INDEX('在庫使用計画 (法人)'!$A$1:$BF$391,MATCH($C73,'在庫使用計画 (法人)'!$C$1:$C$391,0),MATCH(BG$1,'在庫使用計画 (法人)'!$A$1:$BF$1,0))*1,0),
_xlpm._合計,_xlpm._一般検索+_xlpm._法人検索,
IF(_xlpm._合計=0,"",_xlpm._合計)
)</f>
        <v/>
      </c>
      <c r="BH73" s="804" t="str">
        <f>_xlfn.LET(
_xlpm._一般検索,IFERROR(INDEX('在庫使用計画 (一般)'!$A$1:$BF$391,MATCH($C73,'在庫使用計画 (一般)'!$C$1:$C$391,0),MATCH(BH$1,'在庫使用計画 (一般)'!$A$1:$BF$1,0))*1,0),
_xlpm._法人検索,IFERROR(INDEX('在庫使用計画 (法人)'!$A$1:$BF$391,MATCH($C73,'在庫使用計画 (法人)'!$C$1:$C$391,0),MATCH(BH$1,'在庫使用計画 (法人)'!$A$1:$BF$1,0))*1,0),
_xlpm._合計,_xlpm._一般検索+_xlpm._法人検索,
IF(_xlpm._合計=0,"",_xlpm._合計)
)</f>
        <v/>
      </c>
      <c r="BI73" s="224" t="str">
        <f>_xlfn.LET(
_xlpm._一般検索,IFERROR(INDEX('在庫使用計画 (一般)'!$A$1:$BF$391,MATCH($C73,'在庫使用計画 (一般)'!$C$1:$C$391,0),MATCH(BI$1,'在庫使用計画 (一般)'!$A$1:$BF$1,0))*1,0),
_xlpm._法人検索,IFERROR(INDEX('在庫使用計画 (法人)'!$A$1:$BF$391,MATCH($C73,'在庫使用計画 (法人)'!$C$1:$C$391,0),MATCH(BI$1,'在庫使用計画 (法人)'!$A$1:$BF$1,0))*1,0),
_xlpm._合計,_xlpm._一般検索+_xlpm._法人検索,
IF(_xlpm._合計=0,"",_xlpm._合計)
)</f>
        <v/>
      </c>
      <c r="BJ73" s="224" t="str">
        <f>_xlfn.LET(
_xlpm._一般検索,IFERROR(INDEX('在庫使用計画 (一般)'!$A$1:$BF$391,MATCH($C73,'在庫使用計画 (一般)'!$C$1:$C$391,0),MATCH(BJ$1,'在庫使用計画 (一般)'!$A$1:$BF$1,0))*1,0),
_xlpm._法人検索,IFERROR(INDEX('在庫使用計画 (法人)'!$A$1:$BF$391,MATCH($C73,'在庫使用計画 (法人)'!$C$1:$C$391,0),MATCH(BJ$1,'在庫使用計画 (法人)'!$A$1:$BF$1,0))*1,0),
_xlpm._合計,_xlpm._一般検索+_xlpm._法人検索,
IF(_xlpm._合計=0,"",_xlpm._合計)
)</f>
        <v/>
      </c>
      <c r="BK73" s="224" t="str">
        <f>_xlfn.LET(
_xlpm._一般検索,IFERROR(INDEX('在庫使用計画 (一般)'!$A$1:$BF$391,MATCH($C73,'在庫使用計画 (一般)'!$C$1:$C$391,0),MATCH(BK$1,'在庫使用計画 (一般)'!$A$1:$BF$1,0))*1,0),
_xlpm._法人検索,IFERROR(INDEX('在庫使用計画 (法人)'!$A$1:$BF$391,MATCH($C73,'在庫使用計画 (法人)'!$C$1:$C$391,0),MATCH(BK$1,'在庫使用計画 (法人)'!$A$1:$BF$1,0))*1,0),
_xlpm._合計,_xlpm._一般検索+_xlpm._法人検索,
IF(_xlpm._合計=0,"",_xlpm._合計)
)</f>
        <v/>
      </c>
      <c r="BL73" s="224" t="str">
        <f>_xlfn.LET(
_xlpm._一般検索,IFERROR(INDEX('在庫使用計画 (一般)'!$A$1:$BF$391,MATCH($C73,'在庫使用計画 (一般)'!$C$1:$C$391,0),MATCH(BL$1,'在庫使用計画 (一般)'!$A$1:$BF$1,0))*1,0),
_xlpm._法人検索,IFERROR(INDEX('在庫使用計画 (法人)'!$A$1:$BF$391,MATCH($C73,'在庫使用計画 (法人)'!$C$1:$C$391,0),MATCH(BL$1,'在庫使用計画 (法人)'!$A$1:$BF$1,0))*1,0),
_xlpm._合計,_xlpm._一般検索+_xlpm._法人検索,
IF(_xlpm._合計=0,"",_xlpm._合計)
)</f>
        <v/>
      </c>
      <c r="BM73" s="224" t="str">
        <f>_xlfn.LET(
_xlpm._一般検索,IFERROR(INDEX('在庫使用計画 (一般)'!$A$1:$BF$391,MATCH($C73,'在庫使用計画 (一般)'!$C$1:$C$391,0),MATCH(BM$1,'在庫使用計画 (一般)'!$A$1:$BF$1,0))*1,0),
_xlpm._法人検索,IFERROR(INDEX('在庫使用計画 (法人)'!$A$1:$BF$391,MATCH($C73,'在庫使用計画 (法人)'!$C$1:$C$391,0),MATCH(BM$1,'在庫使用計画 (法人)'!$A$1:$BF$1,0))*1,0),
_xlpm._合計,_xlpm._一般検索+_xlpm._法人検索,
IF(_xlpm._合計=0,"",_xlpm._合計)
)</f>
        <v/>
      </c>
      <c r="BN73" s="224" t="str">
        <f>_xlfn.LET(
_xlpm._一般検索,IFERROR(INDEX('在庫使用計画 (一般)'!$A$1:$BF$391,MATCH($C73,'在庫使用計画 (一般)'!$C$1:$C$391,0),MATCH(BN$1,'在庫使用計画 (一般)'!$A$1:$BF$1,0))*1,0),
_xlpm._法人検索,IFERROR(INDEX('在庫使用計画 (法人)'!$A$1:$BF$391,MATCH($C73,'在庫使用計画 (法人)'!$C$1:$C$391,0),MATCH(BN$1,'在庫使用計画 (法人)'!$A$1:$BF$1,0))*1,0),
_xlpm._合計,_xlpm._一般検索+_xlpm._法人検索,
IF(_xlpm._合計=0,"",_xlpm._合計)
)</f>
        <v/>
      </c>
      <c r="BO73" s="224" t="str">
        <f>_xlfn.LET(
_xlpm._一般検索,IFERROR(INDEX('在庫使用計画 (一般)'!$A$1:$BF$391,MATCH($C73,'在庫使用計画 (一般)'!$C$1:$C$391,0),MATCH(BO$1,'在庫使用計画 (一般)'!$A$1:$BF$1,0))*1,0),
_xlpm._法人検索,IFERROR(INDEX('在庫使用計画 (法人)'!$A$1:$BF$391,MATCH($C73,'在庫使用計画 (法人)'!$C$1:$C$391,0),MATCH(BO$1,'在庫使用計画 (法人)'!$A$1:$BF$1,0))*1,0),
_xlpm._合計,_xlpm._一般検索+_xlpm._法人検索,
IF(_xlpm._合計=0,"",_xlpm._合計)
)</f>
        <v/>
      </c>
      <c r="BP73" s="224" t="str">
        <f>_xlfn.LET(
_xlpm._一般検索,IFERROR(INDEX('在庫使用計画 (一般)'!$A$1:$BF$391,MATCH($C73,'在庫使用計画 (一般)'!$C$1:$C$391,0),MATCH(BP$1,'在庫使用計画 (一般)'!$A$1:$BF$1,0))*1,0),
_xlpm._法人検索,IFERROR(INDEX('在庫使用計画 (法人)'!$A$1:$BF$391,MATCH($C73,'在庫使用計画 (法人)'!$C$1:$C$391,0),MATCH(BP$1,'在庫使用計画 (法人)'!$A$1:$BF$1,0))*1,0),
_xlpm._合計,_xlpm._一般検索+_xlpm._法人検索,
IF(_xlpm._合計=0,"",_xlpm._合計)
)</f>
        <v/>
      </c>
      <c r="BQ73" s="224" t="str">
        <f>_xlfn.LET(
_xlpm._一般検索,IFERROR(INDEX('在庫使用計画 (一般)'!$A$1:$BF$391,MATCH($C73,'在庫使用計画 (一般)'!$C$1:$C$391,0),MATCH(BQ$1,'在庫使用計画 (一般)'!$A$1:$BF$1,0))*1,0),
_xlpm._法人検索,IFERROR(INDEX('在庫使用計画 (法人)'!$A$1:$BF$391,MATCH($C73,'在庫使用計画 (法人)'!$C$1:$C$391,0),MATCH(BQ$1,'在庫使用計画 (法人)'!$A$1:$BF$1,0))*1,0),
_xlpm._合計,_xlpm._一般検索+_xlpm._法人検索,
IF(_xlpm._合計=0,"",_xlpm._合計)
)</f>
        <v/>
      </c>
      <c r="BR73" s="224" t="str">
        <f>_xlfn.LET(
_xlpm._一般検索,IFERROR(INDEX('在庫使用計画 (一般)'!$A$1:$BF$391,MATCH($C73,'在庫使用計画 (一般)'!$C$1:$C$391,0),MATCH(BR$1,'在庫使用計画 (一般)'!$A$1:$BF$1,0))*1,0),
_xlpm._法人検索,IFERROR(INDEX('在庫使用計画 (法人)'!$A$1:$BF$391,MATCH($C73,'在庫使用計画 (法人)'!$C$1:$C$391,0),MATCH(BR$1,'在庫使用計画 (法人)'!$A$1:$BF$1,0))*1,0),
_xlpm._合計,_xlpm._一般検索+_xlpm._法人検索,
IF(_xlpm._合計=0,"",_xlpm._合計)
)</f>
        <v/>
      </c>
      <c r="BS73" s="805" t="str">
        <f>_xlfn.LET(
_xlpm._一般検索,IFERROR(INDEX('在庫使用計画 (一般)'!$A$1:$BF$391,MATCH($C73,'在庫使用計画 (一般)'!$C$1:$C$391,0),MATCH(BS$1,'在庫使用計画 (一般)'!$A$1:$BF$1,0))*1,0),
_xlpm._法人検索,IFERROR(INDEX('在庫使用計画 (法人)'!$A$1:$BF$391,MATCH($C73,'在庫使用計画 (法人)'!$C$1:$C$391,0),MATCH(BS$1,'在庫使用計画 (法人)'!$A$1:$BF$1,0))*1,0),
_xlpm._合計,_xlpm._一般検索+_xlpm._法人検索,
IF(_xlpm._合計=0,"",_xlpm._合計)
)</f>
        <v/>
      </c>
      <c r="BT73" s="21"/>
    </row>
    <row r="74" spans="1:72" customFormat="1" ht="18.75" customHeight="1" thickBot="1">
      <c r="A74" s="1073" t="s">
        <v>1651</v>
      </c>
      <c r="B74" s="1125" t="e">
        <v>#N/A</v>
      </c>
      <c r="C74" s="1450" t="s">
        <v>1817</v>
      </c>
      <c r="D74" s="2167" t="e">
        <v>#N/A</v>
      </c>
      <c r="E74" s="1446" t="s">
        <v>1732</v>
      </c>
      <c r="F74" s="1163" t="s">
        <v>1725</v>
      </c>
      <c r="G74" s="74">
        <v>0</v>
      </c>
      <c r="H74" s="38">
        <v>0</v>
      </c>
      <c r="I74" s="74" cm="1">
        <f t="array" ref="I74">IF($C74="","",
_xlfn.LET(
  _xlpm._見出し,$A$1:$BT$1,
  _xlpm._行,$A74:$BT74,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0</v>
      </c>
      <c r="J74" s="74" cm="1">
        <f t="array" ref="J74">_xlfn.LET(
  _xlpm._見出し,$A$1:$BS$1,
  _xlpm._行,$A74:$BS74,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IF($C74="","",_xlpm._四点五月計画合計)
)</f>
        <v>0</v>
      </c>
      <c r="K74" s="1458" t="str" cm="1">
        <f t="array" ref="K74">_xlfn.IFS(
  $C74="","",
  $G74="","発売前？",
  $G74=0,"在庫なし",
  TRUE,
  IFERROR(
    _xlfn.LET(
      _xlpm._在庫注残,     $G74,
      _xlpm._しきい値,     _xlpm._在庫注残 * 0.75,
      _xlpm._見出し元,     $L$1:$BU$1,
      _xlpm._計画,         $L74:$BU74,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在庫なし</v>
      </c>
      <c r="L74" s="180"/>
      <c r="M74" s="180"/>
      <c r="N74" s="180"/>
      <c r="O74" s="180"/>
      <c r="P74" s="180"/>
      <c r="Q74" s="180"/>
      <c r="R74" s="180"/>
      <c r="S74" s="299"/>
      <c r="T74" s="299"/>
      <c r="U74" s="299"/>
      <c r="V74" s="299"/>
      <c r="W74" s="299"/>
      <c r="X74" s="299"/>
      <c r="Y74" s="419"/>
      <c r="Z74" s="419"/>
      <c r="AA74" s="335"/>
      <c r="AB74" s="335"/>
      <c r="AC74" s="335"/>
      <c r="AD74" s="335"/>
      <c r="AE74" s="335"/>
      <c r="AF74" s="335"/>
      <c r="AG74" s="335"/>
      <c r="AH74" s="224"/>
      <c r="AI74" s="823"/>
      <c r="AJ74" s="804" t="s">
        <v>21</v>
      </c>
      <c r="AK74" s="224" t="s">
        <v>21</v>
      </c>
      <c r="AL74" s="224" t="s">
        <v>21</v>
      </c>
      <c r="AM74" s="224" t="s">
        <v>21</v>
      </c>
      <c r="AN74" s="224" t="str">
        <f>_xlfn.LET(
_xlpm._一般検索,IFERROR(INDEX('在庫使用計画 (一般)'!$A$1:$BF$391,MATCH($C74,'在庫使用計画 (一般)'!$C$1:$C$391,0),MATCH(AN$1,'在庫使用計画 (一般)'!$A$1:$BF$1,0))*1,0),
_xlpm._法人検索,IFERROR(INDEX('在庫使用計画 (法人)'!$A$1:$BF$391,MATCH($C74,'在庫使用計画 (法人)'!$C$1:$C$391,0),MATCH(AN$1,'在庫使用計画 (法人)'!$A$1:$BF$1,0))*1,0),
_xlpm._合計,_xlpm._一般検索+_xlpm._法人検索,
IF(_xlpm._合計=0,"",_xlpm._合計)
)</f>
        <v/>
      </c>
      <c r="AO74" s="224" t="str">
        <f>_xlfn.LET(
_xlpm._一般検索,IFERROR(INDEX('在庫使用計画 (一般)'!$A$1:$BF$391,MATCH($C74,'在庫使用計画 (一般)'!$C$1:$C$391,0),MATCH(AO$1,'在庫使用計画 (一般)'!$A$1:$BF$1,0))*1,0),
_xlpm._法人検索,IFERROR(INDEX('在庫使用計画 (法人)'!$A$1:$BF$391,MATCH($C74,'在庫使用計画 (法人)'!$C$1:$C$391,0),MATCH(AO$1,'在庫使用計画 (法人)'!$A$1:$BF$1,0))*1,0),
_xlpm._合計,_xlpm._一般検索+_xlpm._法人検索,
IF(_xlpm._合計=0,"",_xlpm._合計)
)</f>
        <v/>
      </c>
      <c r="AP74" s="224" t="str">
        <f>_xlfn.LET(
_xlpm._一般検索,IFERROR(INDEX('在庫使用計画 (一般)'!$A$1:$BF$391,MATCH($C74,'在庫使用計画 (一般)'!$C$1:$C$391,0),MATCH(AP$1,'在庫使用計画 (一般)'!$A$1:$BF$1,0))*1,0),
_xlpm._法人検索,IFERROR(INDEX('在庫使用計画 (法人)'!$A$1:$BF$391,MATCH($C74,'在庫使用計画 (法人)'!$C$1:$C$391,0),MATCH(AP$1,'在庫使用計画 (法人)'!$A$1:$BF$1,0))*1,0),
_xlpm._合計,_xlpm._一般検索+_xlpm._法人検索,
IF(_xlpm._合計=0,"",_xlpm._合計)
)</f>
        <v/>
      </c>
      <c r="AQ74" s="224" t="str">
        <f>_xlfn.LET(
_xlpm._一般検索,IFERROR(INDEX('在庫使用計画 (一般)'!$A$1:$BF$391,MATCH($C74,'在庫使用計画 (一般)'!$C$1:$C$391,0),MATCH(AQ$1,'在庫使用計画 (一般)'!$A$1:$BF$1,0))*1,0),
_xlpm._法人検索,IFERROR(INDEX('在庫使用計画 (法人)'!$A$1:$BF$391,MATCH($C74,'在庫使用計画 (法人)'!$C$1:$C$391,0),MATCH(AQ$1,'在庫使用計画 (法人)'!$A$1:$BF$1,0))*1,0),
_xlpm._合計,_xlpm._一般検索+_xlpm._法人検索,
IF(_xlpm._合計=0,"",_xlpm._合計)
)</f>
        <v/>
      </c>
      <c r="AR74" s="224" t="str">
        <f>_xlfn.LET(
_xlpm._一般検索,IFERROR(INDEX('在庫使用計画 (一般)'!$A$1:$BF$391,MATCH($C74,'在庫使用計画 (一般)'!$C$1:$C$391,0),MATCH(AR$1,'在庫使用計画 (一般)'!$A$1:$BF$1,0))*1,0),
_xlpm._法人検索,IFERROR(INDEX('在庫使用計画 (法人)'!$A$1:$BF$391,MATCH($C74,'在庫使用計画 (法人)'!$C$1:$C$391,0),MATCH(AR$1,'在庫使用計画 (法人)'!$A$1:$BF$1,0))*1,0),
_xlpm._合計,_xlpm._一般検索+_xlpm._法人検索,
IF(_xlpm._合計=0,"",_xlpm._合計)
)</f>
        <v/>
      </c>
      <c r="AS74" s="224" t="str">
        <f>_xlfn.LET(
_xlpm._一般検索,IFERROR(INDEX('在庫使用計画 (一般)'!$A$1:$BF$391,MATCH($C74,'在庫使用計画 (一般)'!$C$1:$C$391,0),MATCH(AS$1,'在庫使用計画 (一般)'!$A$1:$BF$1,0))*1,0),
_xlpm._法人検索,IFERROR(INDEX('在庫使用計画 (法人)'!$A$1:$BF$391,MATCH($C74,'在庫使用計画 (法人)'!$C$1:$C$391,0),MATCH(AS$1,'在庫使用計画 (法人)'!$A$1:$BF$1,0))*1,0),
_xlpm._合計,_xlpm._一般検索+_xlpm._法人検索,
IF(_xlpm._合計=0,"",_xlpm._合計)
)</f>
        <v/>
      </c>
      <c r="AT74" s="224" t="str">
        <f>_xlfn.LET(
_xlpm._一般検索,IFERROR(INDEX('在庫使用計画 (一般)'!$A$1:$BF$391,MATCH($C74,'在庫使用計画 (一般)'!$C$1:$C$391,0),MATCH(AT$1,'在庫使用計画 (一般)'!$A$1:$BF$1,0))*1,0),
_xlpm._法人検索,IFERROR(INDEX('在庫使用計画 (法人)'!$A$1:$BF$391,MATCH($C74,'在庫使用計画 (法人)'!$C$1:$C$391,0),MATCH(AT$1,'在庫使用計画 (法人)'!$A$1:$BF$1,0))*1,0),
_xlpm._合計,_xlpm._一般検索+_xlpm._法人検索,
IF(_xlpm._合計=0,"",_xlpm._合計)
)</f>
        <v/>
      </c>
      <c r="AU74" s="805" t="str">
        <f>_xlfn.LET(
_xlpm._一般検索,IFERROR(INDEX('在庫使用計画 (一般)'!$A$1:$BF$391,MATCH($C74,'在庫使用計画 (一般)'!$C$1:$C$391,0),MATCH(AU$1,'在庫使用計画 (一般)'!$A$1:$BF$1,0))*1,0),
_xlpm._法人検索,IFERROR(INDEX('在庫使用計画 (法人)'!$A$1:$BF$391,MATCH($C74,'在庫使用計画 (法人)'!$C$1:$C$391,0),MATCH(AU$1,'在庫使用計画 (法人)'!$A$1:$BF$1,0))*1,0),
_xlpm._合計,_xlpm._一般検索+_xlpm._法人検索,
IF(_xlpm._合計=0,"",_xlpm._合計)
)</f>
        <v/>
      </c>
      <c r="AV74" s="244" t="str">
        <f>_xlfn.LET(
_xlpm._一般検索,IFERROR(INDEX('在庫使用計画 (一般)'!$A$1:$BF$391,MATCH($C74,'在庫使用計画 (一般)'!$C$1:$C$391,0),MATCH(AV$1,'在庫使用計画 (一般)'!$A$1:$BF$1,0))*1,0),
_xlpm._法人検索,IFERROR(INDEX('在庫使用計画 (法人)'!$A$1:$BF$391,MATCH($C74,'在庫使用計画 (法人)'!$C$1:$C$391,0),MATCH(AV$1,'在庫使用計画 (法人)'!$A$1:$BF$1,0))*1,0),
_xlpm._合計,_xlpm._一般検索+_xlpm._法人検索,
IF(_xlpm._合計=0,"",_xlpm._合計)
)</f>
        <v/>
      </c>
      <c r="AW74" s="224" t="str">
        <f>_xlfn.LET(
_xlpm._一般検索,IFERROR(INDEX('在庫使用計画 (一般)'!$A$1:$BF$391,MATCH($C74,'在庫使用計画 (一般)'!$C$1:$C$391,0),MATCH(AW$1,'在庫使用計画 (一般)'!$A$1:$BF$1,0))*1,0),
_xlpm._法人検索,IFERROR(INDEX('在庫使用計画 (法人)'!$A$1:$BF$391,MATCH($C74,'在庫使用計画 (法人)'!$C$1:$C$391,0),MATCH(AW$1,'在庫使用計画 (法人)'!$A$1:$BF$1,0))*1,0),
_xlpm._合計,_xlpm._一般検索+_xlpm._法人検索,
IF(_xlpm._合計=0,"",_xlpm._合計)
)</f>
        <v/>
      </c>
      <c r="AX74" s="224" t="str">
        <f>_xlfn.LET(
_xlpm._一般検索,IFERROR(INDEX('在庫使用計画 (一般)'!$A$1:$BF$391,MATCH($C74,'在庫使用計画 (一般)'!$C$1:$C$391,0),MATCH(AX$1,'在庫使用計画 (一般)'!$A$1:$BF$1,0))*1,0),
_xlpm._法人検索,IFERROR(INDEX('在庫使用計画 (法人)'!$A$1:$BF$391,MATCH($C74,'在庫使用計画 (法人)'!$C$1:$C$391,0),MATCH(AX$1,'在庫使用計画 (法人)'!$A$1:$BF$1,0))*1,0),
_xlpm._合計,_xlpm._一般検索+_xlpm._法人検索,
IF(_xlpm._合計=0,"",_xlpm._合計)
)</f>
        <v/>
      </c>
      <c r="AY74" s="224" t="str">
        <f>_xlfn.LET(
_xlpm._一般検索,IFERROR(INDEX('在庫使用計画 (一般)'!$A$1:$BF$391,MATCH($C74,'在庫使用計画 (一般)'!$C$1:$C$391,0),MATCH(AY$1,'在庫使用計画 (一般)'!$A$1:$BF$1,0))*1,0),
_xlpm._法人検索,IFERROR(INDEX('在庫使用計画 (法人)'!$A$1:$BF$391,MATCH($C74,'在庫使用計画 (法人)'!$C$1:$C$391,0),MATCH(AY$1,'在庫使用計画 (法人)'!$A$1:$BF$1,0))*1,0),
_xlpm._合計,_xlpm._一般検索+_xlpm._法人検索,
IF(_xlpm._合計=0,"",_xlpm._合計)
)</f>
        <v/>
      </c>
      <c r="AZ74" s="224" t="str">
        <f>_xlfn.LET(
_xlpm._一般検索,IFERROR(INDEX('在庫使用計画 (一般)'!$A$1:$BF$391,MATCH($C74,'在庫使用計画 (一般)'!$C$1:$C$391,0),MATCH(AZ$1,'在庫使用計画 (一般)'!$A$1:$BF$1,0))*1,0),
_xlpm._法人検索,IFERROR(INDEX('在庫使用計画 (法人)'!$A$1:$BF$391,MATCH($C74,'在庫使用計画 (法人)'!$C$1:$C$391,0),MATCH(AZ$1,'在庫使用計画 (法人)'!$A$1:$BF$1,0))*1,0),
_xlpm._合計,_xlpm._一般検索+_xlpm._法人検索,
IF(_xlpm._合計=0,"",_xlpm._合計)
)</f>
        <v/>
      </c>
      <c r="BA74" s="224" t="str">
        <f>_xlfn.LET(
_xlpm._一般検索,IFERROR(INDEX('在庫使用計画 (一般)'!$A$1:$BF$391,MATCH($C74,'在庫使用計画 (一般)'!$C$1:$C$391,0),MATCH(BA$1,'在庫使用計画 (一般)'!$A$1:$BF$1,0))*1,0),
_xlpm._法人検索,IFERROR(INDEX('在庫使用計画 (法人)'!$A$1:$BF$391,MATCH($C74,'在庫使用計画 (法人)'!$C$1:$C$391,0),MATCH(BA$1,'在庫使用計画 (法人)'!$A$1:$BF$1,0))*1,0),
_xlpm._合計,_xlpm._一般検索+_xlpm._法人検索,
IF(_xlpm._合計=0,"",_xlpm._合計)
)</f>
        <v/>
      </c>
      <c r="BB74" s="224" t="str">
        <f>_xlfn.LET(
_xlpm._一般検索,IFERROR(INDEX('在庫使用計画 (一般)'!$A$1:$BF$391,MATCH($C74,'在庫使用計画 (一般)'!$C$1:$C$391,0),MATCH(BB$1,'在庫使用計画 (一般)'!$A$1:$BF$1,0))*1,0),
_xlpm._法人検索,IFERROR(INDEX('在庫使用計画 (法人)'!$A$1:$BF$391,MATCH($C74,'在庫使用計画 (法人)'!$C$1:$C$391,0),MATCH(BB$1,'在庫使用計画 (法人)'!$A$1:$BF$1,0))*1,0),
_xlpm._合計,_xlpm._一般検索+_xlpm._法人検索,
IF(_xlpm._合計=0,"",_xlpm._合計)
)</f>
        <v/>
      </c>
      <c r="BC74" s="224" t="str">
        <f>_xlfn.LET(
_xlpm._一般検索,IFERROR(INDEX('在庫使用計画 (一般)'!$A$1:$BF$391,MATCH($C74,'在庫使用計画 (一般)'!$C$1:$C$391,0),MATCH(BC$1,'在庫使用計画 (一般)'!$A$1:$BF$1,0))*1,0),
_xlpm._法人検索,IFERROR(INDEX('在庫使用計画 (法人)'!$A$1:$BF$391,MATCH($C74,'在庫使用計画 (法人)'!$C$1:$C$391,0),MATCH(BC$1,'在庫使用計画 (法人)'!$A$1:$BF$1,0))*1,0),
_xlpm._合計,_xlpm._一般検索+_xlpm._法人検索,
IF(_xlpm._合計=0,"",_xlpm._合計)
)</f>
        <v/>
      </c>
      <c r="BD74" s="224" t="str">
        <f>_xlfn.LET(
_xlpm._一般検索,IFERROR(INDEX('在庫使用計画 (一般)'!$A$1:$BF$391,MATCH($C74,'在庫使用計画 (一般)'!$C$1:$C$391,0),MATCH(BD$1,'在庫使用計画 (一般)'!$A$1:$BF$1,0))*1,0),
_xlpm._法人検索,IFERROR(INDEX('在庫使用計画 (法人)'!$A$1:$BF$391,MATCH($C74,'在庫使用計画 (法人)'!$C$1:$C$391,0),MATCH(BD$1,'在庫使用計画 (法人)'!$A$1:$BF$1,0))*1,0),
_xlpm._合計,_xlpm._一般検索+_xlpm._法人検索,
IF(_xlpm._合計=0,"",_xlpm._合計)
)</f>
        <v/>
      </c>
      <c r="BE74" s="224" t="str">
        <f>_xlfn.LET(
_xlpm._一般検索,IFERROR(INDEX('在庫使用計画 (一般)'!$A$1:$BF$391,MATCH($C74,'在庫使用計画 (一般)'!$C$1:$C$391,0),MATCH(BE$1,'在庫使用計画 (一般)'!$A$1:$BF$1,0))*1,0),
_xlpm._法人検索,IFERROR(INDEX('在庫使用計画 (法人)'!$A$1:$BF$391,MATCH($C74,'在庫使用計画 (法人)'!$C$1:$C$391,0),MATCH(BE$1,'在庫使用計画 (法人)'!$A$1:$BF$1,0))*1,0),
_xlpm._合計,_xlpm._一般検索+_xlpm._法人検索,
IF(_xlpm._合計=0,"",_xlpm._合計)
)</f>
        <v/>
      </c>
      <c r="BF74" s="224" t="str">
        <f>_xlfn.LET(
_xlpm._一般検索,IFERROR(INDEX('在庫使用計画 (一般)'!$A$1:$BF$391,MATCH($C74,'在庫使用計画 (一般)'!$C$1:$C$391,0),MATCH(BF$1,'在庫使用計画 (一般)'!$A$1:$BF$1,0))*1,0),
_xlpm._法人検索,IFERROR(INDEX('在庫使用計画 (法人)'!$A$1:$BF$391,MATCH($C74,'在庫使用計画 (法人)'!$C$1:$C$391,0),MATCH(BF$1,'在庫使用計画 (法人)'!$A$1:$BF$1,0))*1,0),
_xlpm._合計,_xlpm._一般検索+_xlpm._法人検索,
IF(_xlpm._合計=0,"",_xlpm._合計)
)</f>
        <v/>
      </c>
      <c r="BG74" s="237" t="str">
        <f>_xlfn.LET(
_xlpm._一般検索,IFERROR(INDEX('在庫使用計画 (一般)'!$A$1:$BF$391,MATCH($C74,'在庫使用計画 (一般)'!$C$1:$C$391,0),MATCH(BG$1,'在庫使用計画 (一般)'!$A$1:$BF$1,0))*1,0),
_xlpm._法人検索,IFERROR(INDEX('在庫使用計画 (法人)'!$A$1:$BF$391,MATCH($C74,'在庫使用計画 (法人)'!$C$1:$C$391,0),MATCH(BG$1,'在庫使用計画 (法人)'!$A$1:$BF$1,0))*1,0),
_xlpm._合計,_xlpm._一般検索+_xlpm._法人検索,
IF(_xlpm._合計=0,"",_xlpm._合計)
)</f>
        <v/>
      </c>
      <c r="BH74" s="804" t="str">
        <f>_xlfn.LET(
_xlpm._一般検索,IFERROR(INDEX('在庫使用計画 (一般)'!$A$1:$BF$391,MATCH($C74,'在庫使用計画 (一般)'!$C$1:$C$391,0),MATCH(BH$1,'在庫使用計画 (一般)'!$A$1:$BF$1,0))*1,0),
_xlpm._法人検索,IFERROR(INDEX('在庫使用計画 (法人)'!$A$1:$BF$391,MATCH($C74,'在庫使用計画 (法人)'!$C$1:$C$391,0),MATCH(BH$1,'在庫使用計画 (法人)'!$A$1:$BF$1,0))*1,0),
_xlpm._合計,_xlpm._一般検索+_xlpm._法人検索,
IF(_xlpm._合計=0,"",_xlpm._合計)
)</f>
        <v/>
      </c>
      <c r="BI74" s="224" t="str">
        <f>_xlfn.LET(
_xlpm._一般検索,IFERROR(INDEX('在庫使用計画 (一般)'!$A$1:$BF$391,MATCH($C74,'在庫使用計画 (一般)'!$C$1:$C$391,0),MATCH(BI$1,'在庫使用計画 (一般)'!$A$1:$BF$1,0))*1,0),
_xlpm._法人検索,IFERROR(INDEX('在庫使用計画 (法人)'!$A$1:$BF$391,MATCH($C74,'在庫使用計画 (法人)'!$C$1:$C$391,0),MATCH(BI$1,'在庫使用計画 (法人)'!$A$1:$BF$1,0))*1,0),
_xlpm._合計,_xlpm._一般検索+_xlpm._法人検索,
IF(_xlpm._合計=0,"",_xlpm._合計)
)</f>
        <v/>
      </c>
      <c r="BJ74" s="224" t="str">
        <f>_xlfn.LET(
_xlpm._一般検索,IFERROR(INDEX('在庫使用計画 (一般)'!$A$1:$BF$391,MATCH($C74,'在庫使用計画 (一般)'!$C$1:$C$391,0),MATCH(BJ$1,'在庫使用計画 (一般)'!$A$1:$BF$1,0))*1,0),
_xlpm._法人検索,IFERROR(INDEX('在庫使用計画 (法人)'!$A$1:$BF$391,MATCH($C74,'在庫使用計画 (法人)'!$C$1:$C$391,0),MATCH(BJ$1,'在庫使用計画 (法人)'!$A$1:$BF$1,0))*1,0),
_xlpm._合計,_xlpm._一般検索+_xlpm._法人検索,
IF(_xlpm._合計=0,"",_xlpm._合計)
)</f>
        <v/>
      </c>
      <c r="BK74" s="224" t="str">
        <f>_xlfn.LET(
_xlpm._一般検索,IFERROR(INDEX('在庫使用計画 (一般)'!$A$1:$BF$391,MATCH($C74,'在庫使用計画 (一般)'!$C$1:$C$391,0),MATCH(BK$1,'在庫使用計画 (一般)'!$A$1:$BF$1,0))*1,0),
_xlpm._法人検索,IFERROR(INDEX('在庫使用計画 (法人)'!$A$1:$BF$391,MATCH($C74,'在庫使用計画 (法人)'!$C$1:$C$391,0),MATCH(BK$1,'在庫使用計画 (法人)'!$A$1:$BF$1,0))*1,0),
_xlpm._合計,_xlpm._一般検索+_xlpm._法人検索,
IF(_xlpm._合計=0,"",_xlpm._合計)
)</f>
        <v/>
      </c>
      <c r="BL74" s="224" t="str">
        <f>_xlfn.LET(
_xlpm._一般検索,IFERROR(INDEX('在庫使用計画 (一般)'!$A$1:$BF$391,MATCH($C74,'在庫使用計画 (一般)'!$C$1:$C$391,0),MATCH(BL$1,'在庫使用計画 (一般)'!$A$1:$BF$1,0))*1,0),
_xlpm._法人検索,IFERROR(INDEX('在庫使用計画 (法人)'!$A$1:$BF$391,MATCH($C74,'在庫使用計画 (法人)'!$C$1:$C$391,0),MATCH(BL$1,'在庫使用計画 (法人)'!$A$1:$BF$1,0))*1,0),
_xlpm._合計,_xlpm._一般検索+_xlpm._法人検索,
IF(_xlpm._合計=0,"",_xlpm._合計)
)</f>
        <v/>
      </c>
      <c r="BM74" s="224" t="str">
        <f>_xlfn.LET(
_xlpm._一般検索,IFERROR(INDEX('在庫使用計画 (一般)'!$A$1:$BF$391,MATCH($C74,'在庫使用計画 (一般)'!$C$1:$C$391,0),MATCH(BM$1,'在庫使用計画 (一般)'!$A$1:$BF$1,0))*1,0),
_xlpm._法人検索,IFERROR(INDEX('在庫使用計画 (法人)'!$A$1:$BF$391,MATCH($C74,'在庫使用計画 (法人)'!$C$1:$C$391,0),MATCH(BM$1,'在庫使用計画 (法人)'!$A$1:$BF$1,0))*1,0),
_xlpm._合計,_xlpm._一般検索+_xlpm._法人検索,
IF(_xlpm._合計=0,"",_xlpm._合計)
)</f>
        <v/>
      </c>
      <c r="BN74" s="224" t="str">
        <f>_xlfn.LET(
_xlpm._一般検索,IFERROR(INDEX('在庫使用計画 (一般)'!$A$1:$BF$391,MATCH($C74,'在庫使用計画 (一般)'!$C$1:$C$391,0),MATCH(BN$1,'在庫使用計画 (一般)'!$A$1:$BF$1,0))*1,0),
_xlpm._法人検索,IFERROR(INDEX('在庫使用計画 (法人)'!$A$1:$BF$391,MATCH($C74,'在庫使用計画 (法人)'!$C$1:$C$391,0),MATCH(BN$1,'在庫使用計画 (法人)'!$A$1:$BF$1,0))*1,0),
_xlpm._合計,_xlpm._一般検索+_xlpm._法人検索,
IF(_xlpm._合計=0,"",_xlpm._合計)
)</f>
        <v/>
      </c>
      <c r="BO74" s="224" t="str">
        <f>_xlfn.LET(
_xlpm._一般検索,IFERROR(INDEX('在庫使用計画 (一般)'!$A$1:$BF$391,MATCH($C74,'在庫使用計画 (一般)'!$C$1:$C$391,0),MATCH(BO$1,'在庫使用計画 (一般)'!$A$1:$BF$1,0))*1,0),
_xlpm._法人検索,IFERROR(INDEX('在庫使用計画 (法人)'!$A$1:$BF$391,MATCH($C74,'在庫使用計画 (法人)'!$C$1:$C$391,0),MATCH(BO$1,'在庫使用計画 (法人)'!$A$1:$BF$1,0))*1,0),
_xlpm._合計,_xlpm._一般検索+_xlpm._法人検索,
IF(_xlpm._合計=0,"",_xlpm._合計)
)</f>
        <v/>
      </c>
      <c r="BP74" s="224" t="str">
        <f>_xlfn.LET(
_xlpm._一般検索,IFERROR(INDEX('在庫使用計画 (一般)'!$A$1:$BF$391,MATCH($C74,'在庫使用計画 (一般)'!$C$1:$C$391,0),MATCH(BP$1,'在庫使用計画 (一般)'!$A$1:$BF$1,0))*1,0),
_xlpm._法人検索,IFERROR(INDEX('在庫使用計画 (法人)'!$A$1:$BF$391,MATCH($C74,'在庫使用計画 (法人)'!$C$1:$C$391,0),MATCH(BP$1,'在庫使用計画 (法人)'!$A$1:$BF$1,0))*1,0),
_xlpm._合計,_xlpm._一般検索+_xlpm._法人検索,
IF(_xlpm._合計=0,"",_xlpm._合計)
)</f>
        <v/>
      </c>
      <c r="BQ74" s="224" t="str">
        <f>_xlfn.LET(
_xlpm._一般検索,IFERROR(INDEX('在庫使用計画 (一般)'!$A$1:$BF$391,MATCH($C74,'在庫使用計画 (一般)'!$C$1:$C$391,0),MATCH(BQ$1,'在庫使用計画 (一般)'!$A$1:$BF$1,0))*1,0),
_xlpm._法人検索,IFERROR(INDEX('在庫使用計画 (法人)'!$A$1:$BF$391,MATCH($C74,'在庫使用計画 (法人)'!$C$1:$C$391,0),MATCH(BQ$1,'在庫使用計画 (法人)'!$A$1:$BF$1,0))*1,0),
_xlpm._合計,_xlpm._一般検索+_xlpm._法人検索,
IF(_xlpm._合計=0,"",_xlpm._合計)
)</f>
        <v/>
      </c>
      <c r="BR74" s="224" t="str">
        <f>_xlfn.LET(
_xlpm._一般検索,IFERROR(INDEX('在庫使用計画 (一般)'!$A$1:$BF$391,MATCH($C74,'在庫使用計画 (一般)'!$C$1:$C$391,0),MATCH(BR$1,'在庫使用計画 (一般)'!$A$1:$BF$1,0))*1,0),
_xlpm._法人検索,IFERROR(INDEX('在庫使用計画 (法人)'!$A$1:$BF$391,MATCH($C74,'在庫使用計画 (法人)'!$C$1:$C$391,0),MATCH(BR$1,'在庫使用計画 (法人)'!$A$1:$BF$1,0))*1,0),
_xlpm._合計,_xlpm._一般検索+_xlpm._法人検索,
IF(_xlpm._合計=0,"",_xlpm._合計)
)</f>
        <v/>
      </c>
      <c r="BS74" s="805" t="str">
        <f>_xlfn.LET(
_xlpm._一般検索,IFERROR(INDEX('在庫使用計画 (一般)'!$A$1:$BF$391,MATCH($C74,'在庫使用計画 (一般)'!$C$1:$C$391,0),MATCH(BS$1,'在庫使用計画 (一般)'!$A$1:$BF$1,0))*1,0),
_xlpm._法人検索,IFERROR(INDEX('在庫使用計画 (法人)'!$A$1:$BF$391,MATCH($C74,'在庫使用計画 (法人)'!$C$1:$C$391,0),MATCH(BS$1,'在庫使用計画 (法人)'!$A$1:$BF$1,0))*1,0),
_xlpm._合計,_xlpm._一般検索+_xlpm._法人検索,
IF(_xlpm._合計=0,"",_xlpm._合計)
)</f>
        <v/>
      </c>
      <c r="BT74" s="77"/>
    </row>
    <row r="75" spans="1:72" customFormat="1" ht="18.75" customHeight="1">
      <c r="A75" s="1059"/>
      <c r="B75" s="26" t="str">
        <v/>
      </c>
      <c r="C75" s="1449"/>
      <c r="D75" s="2154" t="str">
        <v/>
      </c>
      <c r="E75" s="25"/>
      <c r="F75" s="24"/>
      <c r="G75" s="74" t="str">
        <v/>
      </c>
      <c r="H75" s="38" t="str">
        <v/>
      </c>
      <c r="I75" s="38" t="str" cm="1">
        <f t="array" ref="I75">IF($C75="","",
_xlfn.LET(
  _xlpm._見出し,$A$1:$BT$1,
  _xlpm._行,$A75:$BT75,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
      </c>
      <c r="J75" s="74" t="str" cm="1">
        <f t="array" ref="J75">_xlfn.LET(
  _xlpm._見出し,$A$1:$BS$1,
  _xlpm._行,$A75:$BS75,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IF($C75="","",_xlpm._四点五月計画合計)
)</f>
        <v/>
      </c>
      <c r="K75" s="1458" t="str" cm="1">
        <f t="array" ref="K75">_xlfn.IFS(
  $C75="","",
  $G75="","発売前？",
  $G75=0,"在庫なし",
  TRUE,
  IFERROR(
    _xlfn.LET(
      _xlpm._在庫注残,     $G75,
      _xlpm._しきい値,     _xlpm._在庫注残 * 0.75,
      _xlpm._見出し元,     $L$1:$BU$1,
      _xlpm._計画,         $L75:$BU75,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
      </c>
      <c r="L75" s="38" t="s">
        <v>21</v>
      </c>
      <c r="M75" s="38" t="s">
        <v>21</v>
      </c>
      <c r="N75" s="38" t="s">
        <v>21</v>
      </c>
      <c r="O75" s="38" t="s">
        <v>21</v>
      </c>
      <c r="P75" s="38" t="s">
        <v>21</v>
      </c>
      <c r="Q75" s="38" t="s">
        <v>21</v>
      </c>
      <c r="R75" s="38" t="s">
        <v>21</v>
      </c>
      <c r="S75" s="38" t="s">
        <v>21</v>
      </c>
      <c r="T75" s="219" t="s">
        <v>21</v>
      </c>
      <c r="U75" s="219" t="s">
        <v>21</v>
      </c>
      <c r="V75" s="219" t="s">
        <v>21</v>
      </c>
      <c r="W75" s="219" t="s">
        <v>21</v>
      </c>
      <c r="X75" s="224" t="s">
        <v>21</v>
      </c>
      <c r="Y75" s="224" t="s">
        <v>21</v>
      </c>
      <c r="Z75" s="224" t="s">
        <v>21</v>
      </c>
      <c r="AA75" s="224" t="s">
        <v>21</v>
      </c>
      <c r="AB75" s="224" t="s">
        <v>21</v>
      </c>
      <c r="AC75" s="238"/>
      <c r="AD75" s="238" t="s">
        <v>21</v>
      </c>
      <c r="AE75" s="238" t="s">
        <v>21</v>
      </c>
      <c r="AF75" s="238" t="s">
        <v>21</v>
      </c>
      <c r="AG75" s="238" t="s">
        <v>21</v>
      </c>
      <c r="AH75" s="224" t="s">
        <v>21</v>
      </c>
      <c r="AI75" s="796" t="s">
        <v>21</v>
      </c>
      <c r="AJ75" s="804" t="s">
        <v>21</v>
      </c>
      <c r="AK75" s="224" t="s">
        <v>21</v>
      </c>
      <c r="AL75" s="224" t="s">
        <v>21</v>
      </c>
      <c r="AM75" s="224" t="s">
        <v>21</v>
      </c>
      <c r="AN75" s="224" t="str">
        <f>_xlfn.LET(
_xlpm._一般検索,IFERROR(INDEX('在庫使用計画 (一般)'!$A$1:$BF$391,MATCH($C75,'在庫使用計画 (一般)'!$C$1:$C$391,0),MATCH(AN$1,'在庫使用計画 (一般)'!$A$1:$BF$1,0))*1,0),
_xlpm._法人検索,IFERROR(INDEX('在庫使用計画 (法人)'!$A$1:$BF$391,MATCH($C75,'在庫使用計画 (法人)'!$C$1:$C$391,0),MATCH(AN$1,'在庫使用計画 (法人)'!$A$1:$BF$1,0))*1,0),
_xlpm._合計,_xlpm._一般検索+_xlpm._法人検索,
IF(_xlpm._合計=0,"",_xlpm._合計)
)</f>
        <v/>
      </c>
      <c r="AO75" s="224" t="str">
        <f>_xlfn.LET(
_xlpm._一般検索,IFERROR(INDEX('在庫使用計画 (一般)'!$A$1:$BF$391,MATCH($C75,'在庫使用計画 (一般)'!$C$1:$C$391,0),MATCH(AO$1,'在庫使用計画 (一般)'!$A$1:$BF$1,0))*1,0),
_xlpm._法人検索,IFERROR(INDEX('在庫使用計画 (法人)'!$A$1:$BF$391,MATCH($C75,'在庫使用計画 (法人)'!$C$1:$C$391,0),MATCH(AO$1,'在庫使用計画 (法人)'!$A$1:$BF$1,0))*1,0),
_xlpm._合計,_xlpm._一般検索+_xlpm._法人検索,
IF(_xlpm._合計=0,"",_xlpm._合計)
)</f>
        <v/>
      </c>
      <c r="AP75" s="224" t="str">
        <f>_xlfn.LET(
_xlpm._一般検索,IFERROR(INDEX('在庫使用計画 (一般)'!$A$1:$BF$391,MATCH($C75,'在庫使用計画 (一般)'!$C$1:$C$391,0),MATCH(AP$1,'在庫使用計画 (一般)'!$A$1:$BF$1,0))*1,0),
_xlpm._法人検索,IFERROR(INDEX('在庫使用計画 (法人)'!$A$1:$BF$391,MATCH($C75,'在庫使用計画 (法人)'!$C$1:$C$391,0),MATCH(AP$1,'在庫使用計画 (法人)'!$A$1:$BF$1,0))*1,0),
_xlpm._合計,_xlpm._一般検索+_xlpm._法人検索,
IF(_xlpm._合計=0,"",_xlpm._合計)
)</f>
        <v/>
      </c>
      <c r="AQ75" s="224" t="str">
        <f>_xlfn.LET(
_xlpm._一般検索,IFERROR(INDEX('在庫使用計画 (一般)'!$A$1:$BF$391,MATCH($C75,'在庫使用計画 (一般)'!$C$1:$C$391,0),MATCH(AQ$1,'在庫使用計画 (一般)'!$A$1:$BF$1,0))*1,0),
_xlpm._法人検索,IFERROR(INDEX('在庫使用計画 (法人)'!$A$1:$BF$391,MATCH($C75,'在庫使用計画 (法人)'!$C$1:$C$391,0),MATCH(AQ$1,'在庫使用計画 (法人)'!$A$1:$BF$1,0))*1,0),
_xlpm._合計,_xlpm._一般検索+_xlpm._法人検索,
IF(_xlpm._合計=0,"",_xlpm._合計)
)</f>
        <v/>
      </c>
      <c r="AR75" s="224" t="str">
        <f>_xlfn.LET(
_xlpm._一般検索,IFERROR(INDEX('在庫使用計画 (一般)'!$A$1:$BF$391,MATCH($C75,'在庫使用計画 (一般)'!$C$1:$C$391,0),MATCH(AR$1,'在庫使用計画 (一般)'!$A$1:$BF$1,0))*1,0),
_xlpm._法人検索,IFERROR(INDEX('在庫使用計画 (法人)'!$A$1:$BF$391,MATCH($C75,'在庫使用計画 (法人)'!$C$1:$C$391,0),MATCH(AR$1,'在庫使用計画 (法人)'!$A$1:$BF$1,0))*1,0),
_xlpm._合計,_xlpm._一般検索+_xlpm._法人検索,
IF(_xlpm._合計=0,"",_xlpm._合計)
)</f>
        <v/>
      </c>
      <c r="AS75" s="224" t="str">
        <f>_xlfn.LET(
_xlpm._一般検索,IFERROR(INDEX('在庫使用計画 (一般)'!$A$1:$BF$391,MATCH($C75,'在庫使用計画 (一般)'!$C$1:$C$391,0),MATCH(AS$1,'在庫使用計画 (一般)'!$A$1:$BF$1,0))*1,0),
_xlpm._法人検索,IFERROR(INDEX('在庫使用計画 (法人)'!$A$1:$BF$391,MATCH($C75,'在庫使用計画 (法人)'!$C$1:$C$391,0),MATCH(AS$1,'在庫使用計画 (法人)'!$A$1:$BF$1,0))*1,0),
_xlpm._合計,_xlpm._一般検索+_xlpm._法人検索,
IF(_xlpm._合計=0,"",_xlpm._合計)
)</f>
        <v/>
      </c>
      <c r="AT75" s="224" t="str">
        <f>_xlfn.LET(
_xlpm._一般検索,IFERROR(INDEX('在庫使用計画 (一般)'!$A$1:$BF$391,MATCH($C75,'在庫使用計画 (一般)'!$C$1:$C$391,0),MATCH(AT$1,'在庫使用計画 (一般)'!$A$1:$BF$1,0))*1,0),
_xlpm._法人検索,IFERROR(INDEX('在庫使用計画 (法人)'!$A$1:$BF$391,MATCH($C75,'在庫使用計画 (法人)'!$C$1:$C$391,0),MATCH(AT$1,'在庫使用計画 (法人)'!$A$1:$BF$1,0))*1,0),
_xlpm._合計,_xlpm._一般検索+_xlpm._法人検索,
IF(_xlpm._合計=0,"",_xlpm._合計)
)</f>
        <v/>
      </c>
      <c r="AU75" s="805" t="str">
        <f>_xlfn.LET(
_xlpm._一般検索,IFERROR(INDEX('在庫使用計画 (一般)'!$A$1:$BF$391,MATCH($C75,'在庫使用計画 (一般)'!$C$1:$C$391,0),MATCH(AU$1,'在庫使用計画 (一般)'!$A$1:$BF$1,0))*1,0),
_xlpm._法人検索,IFERROR(INDEX('在庫使用計画 (法人)'!$A$1:$BF$391,MATCH($C75,'在庫使用計画 (法人)'!$C$1:$C$391,0),MATCH(AU$1,'在庫使用計画 (法人)'!$A$1:$BF$1,0))*1,0),
_xlpm._合計,_xlpm._一般検索+_xlpm._法人検索,
IF(_xlpm._合計=0,"",_xlpm._合計)
)</f>
        <v/>
      </c>
      <c r="AV75" s="244" t="str">
        <f>_xlfn.LET(
_xlpm._一般検索,IFERROR(INDEX('在庫使用計画 (一般)'!$A$1:$BF$391,MATCH($C75,'在庫使用計画 (一般)'!$C$1:$C$391,0),MATCH(AV$1,'在庫使用計画 (一般)'!$A$1:$BF$1,0))*1,0),
_xlpm._法人検索,IFERROR(INDEX('在庫使用計画 (法人)'!$A$1:$BF$391,MATCH($C75,'在庫使用計画 (法人)'!$C$1:$C$391,0),MATCH(AV$1,'在庫使用計画 (法人)'!$A$1:$BF$1,0))*1,0),
_xlpm._合計,_xlpm._一般検索+_xlpm._法人検索,
IF(_xlpm._合計=0,"",_xlpm._合計)
)</f>
        <v/>
      </c>
      <c r="AW75" s="224" t="str">
        <f>_xlfn.LET(
_xlpm._一般検索,IFERROR(INDEX('在庫使用計画 (一般)'!$A$1:$BF$391,MATCH($C75,'在庫使用計画 (一般)'!$C$1:$C$391,0),MATCH(AW$1,'在庫使用計画 (一般)'!$A$1:$BF$1,0))*1,0),
_xlpm._法人検索,IFERROR(INDEX('在庫使用計画 (法人)'!$A$1:$BF$391,MATCH($C75,'在庫使用計画 (法人)'!$C$1:$C$391,0),MATCH(AW$1,'在庫使用計画 (法人)'!$A$1:$BF$1,0))*1,0),
_xlpm._合計,_xlpm._一般検索+_xlpm._法人検索,
IF(_xlpm._合計=0,"",_xlpm._合計)
)</f>
        <v/>
      </c>
      <c r="AX75" s="224" t="str">
        <f>_xlfn.LET(
_xlpm._一般検索,IFERROR(INDEX('在庫使用計画 (一般)'!$A$1:$BF$391,MATCH($C75,'在庫使用計画 (一般)'!$C$1:$C$391,0),MATCH(AX$1,'在庫使用計画 (一般)'!$A$1:$BF$1,0))*1,0),
_xlpm._法人検索,IFERROR(INDEX('在庫使用計画 (法人)'!$A$1:$BF$391,MATCH($C75,'在庫使用計画 (法人)'!$C$1:$C$391,0),MATCH(AX$1,'在庫使用計画 (法人)'!$A$1:$BF$1,0))*1,0),
_xlpm._合計,_xlpm._一般検索+_xlpm._法人検索,
IF(_xlpm._合計=0,"",_xlpm._合計)
)</f>
        <v/>
      </c>
      <c r="AY75" s="224" t="str">
        <f>_xlfn.LET(
_xlpm._一般検索,IFERROR(INDEX('在庫使用計画 (一般)'!$A$1:$BF$391,MATCH($C75,'在庫使用計画 (一般)'!$C$1:$C$391,0),MATCH(AY$1,'在庫使用計画 (一般)'!$A$1:$BF$1,0))*1,0),
_xlpm._法人検索,IFERROR(INDEX('在庫使用計画 (法人)'!$A$1:$BF$391,MATCH($C75,'在庫使用計画 (法人)'!$C$1:$C$391,0),MATCH(AY$1,'在庫使用計画 (法人)'!$A$1:$BF$1,0))*1,0),
_xlpm._合計,_xlpm._一般検索+_xlpm._法人検索,
IF(_xlpm._合計=0,"",_xlpm._合計)
)</f>
        <v/>
      </c>
      <c r="AZ75" s="224" t="str">
        <f>_xlfn.LET(
_xlpm._一般検索,IFERROR(INDEX('在庫使用計画 (一般)'!$A$1:$BF$391,MATCH($C75,'在庫使用計画 (一般)'!$C$1:$C$391,0),MATCH(AZ$1,'在庫使用計画 (一般)'!$A$1:$BF$1,0))*1,0),
_xlpm._法人検索,IFERROR(INDEX('在庫使用計画 (法人)'!$A$1:$BF$391,MATCH($C75,'在庫使用計画 (法人)'!$C$1:$C$391,0),MATCH(AZ$1,'在庫使用計画 (法人)'!$A$1:$BF$1,0))*1,0),
_xlpm._合計,_xlpm._一般検索+_xlpm._法人検索,
IF(_xlpm._合計=0,"",_xlpm._合計)
)</f>
        <v/>
      </c>
      <c r="BA75" s="224" t="str">
        <f>_xlfn.LET(
_xlpm._一般検索,IFERROR(INDEX('在庫使用計画 (一般)'!$A$1:$BF$391,MATCH($C75,'在庫使用計画 (一般)'!$C$1:$C$391,0),MATCH(BA$1,'在庫使用計画 (一般)'!$A$1:$BF$1,0))*1,0),
_xlpm._法人検索,IFERROR(INDEX('在庫使用計画 (法人)'!$A$1:$BF$391,MATCH($C75,'在庫使用計画 (法人)'!$C$1:$C$391,0),MATCH(BA$1,'在庫使用計画 (法人)'!$A$1:$BF$1,0))*1,0),
_xlpm._合計,_xlpm._一般検索+_xlpm._法人検索,
IF(_xlpm._合計=0,"",_xlpm._合計)
)</f>
        <v/>
      </c>
      <c r="BB75" s="224" t="str">
        <f>_xlfn.LET(
_xlpm._一般検索,IFERROR(INDEX('在庫使用計画 (一般)'!$A$1:$BF$391,MATCH($C75,'在庫使用計画 (一般)'!$C$1:$C$391,0),MATCH(BB$1,'在庫使用計画 (一般)'!$A$1:$BF$1,0))*1,0),
_xlpm._法人検索,IFERROR(INDEX('在庫使用計画 (法人)'!$A$1:$BF$391,MATCH($C75,'在庫使用計画 (法人)'!$C$1:$C$391,0),MATCH(BB$1,'在庫使用計画 (法人)'!$A$1:$BF$1,0))*1,0),
_xlpm._合計,_xlpm._一般検索+_xlpm._法人検索,
IF(_xlpm._合計=0,"",_xlpm._合計)
)</f>
        <v/>
      </c>
      <c r="BC75" s="224" t="str">
        <f>_xlfn.LET(
_xlpm._一般検索,IFERROR(INDEX('在庫使用計画 (一般)'!$A$1:$BF$391,MATCH($C75,'在庫使用計画 (一般)'!$C$1:$C$391,0),MATCH(BC$1,'在庫使用計画 (一般)'!$A$1:$BF$1,0))*1,0),
_xlpm._法人検索,IFERROR(INDEX('在庫使用計画 (法人)'!$A$1:$BF$391,MATCH($C75,'在庫使用計画 (法人)'!$C$1:$C$391,0),MATCH(BC$1,'在庫使用計画 (法人)'!$A$1:$BF$1,0))*1,0),
_xlpm._合計,_xlpm._一般検索+_xlpm._法人検索,
IF(_xlpm._合計=0,"",_xlpm._合計)
)</f>
        <v/>
      </c>
      <c r="BD75" s="224" t="str">
        <f>_xlfn.LET(
_xlpm._一般検索,IFERROR(INDEX('在庫使用計画 (一般)'!$A$1:$BF$391,MATCH($C75,'在庫使用計画 (一般)'!$C$1:$C$391,0),MATCH(BD$1,'在庫使用計画 (一般)'!$A$1:$BF$1,0))*1,0),
_xlpm._法人検索,IFERROR(INDEX('在庫使用計画 (法人)'!$A$1:$BF$391,MATCH($C75,'在庫使用計画 (法人)'!$C$1:$C$391,0),MATCH(BD$1,'在庫使用計画 (法人)'!$A$1:$BF$1,0))*1,0),
_xlpm._合計,_xlpm._一般検索+_xlpm._法人検索,
IF(_xlpm._合計=0,"",_xlpm._合計)
)</f>
        <v/>
      </c>
      <c r="BE75" s="224" t="str">
        <f>_xlfn.LET(
_xlpm._一般検索,IFERROR(INDEX('在庫使用計画 (一般)'!$A$1:$BF$391,MATCH($C75,'在庫使用計画 (一般)'!$C$1:$C$391,0),MATCH(BE$1,'在庫使用計画 (一般)'!$A$1:$BF$1,0))*1,0),
_xlpm._法人検索,IFERROR(INDEX('在庫使用計画 (法人)'!$A$1:$BF$391,MATCH($C75,'在庫使用計画 (法人)'!$C$1:$C$391,0),MATCH(BE$1,'在庫使用計画 (法人)'!$A$1:$BF$1,0))*1,0),
_xlpm._合計,_xlpm._一般検索+_xlpm._法人検索,
IF(_xlpm._合計=0,"",_xlpm._合計)
)</f>
        <v/>
      </c>
      <c r="BF75" s="224" t="str">
        <f>_xlfn.LET(
_xlpm._一般検索,IFERROR(INDEX('在庫使用計画 (一般)'!$A$1:$BF$391,MATCH($C75,'在庫使用計画 (一般)'!$C$1:$C$391,0),MATCH(BF$1,'在庫使用計画 (一般)'!$A$1:$BF$1,0))*1,0),
_xlpm._法人検索,IFERROR(INDEX('在庫使用計画 (法人)'!$A$1:$BF$391,MATCH($C75,'在庫使用計画 (法人)'!$C$1:$C$391,0),MATCH(BF$1,'在庫使用計画 (法人)'!$A$1:$BF$1,0))*1,0),
_xlpm._合計,_xlpm._一般検索+_xlpm._法人検索,
IF(_xlpm._合計=0,"",_xlpm._合計)
)</f>
        <v/>
      </c>
      <c r="BG75" s="237" t="str">
        <f>_xlfn.LET(
_xlpm._一般検索,IFERROR(INDEX('在庫使用計画 (一般)'!$A$1:$BF$391,MATCH($C75,'在庫使用計画 (一般)'!$C$1:$C$391,0),MATCH(BG$1,'在庫使用計画 (一般)'!$A$1:$BF$1,0))*1,0),
_xlpm._法人検索,IFERROR(INDEX('在庫使用計画 (法人)'!$A$1:$BF$391,MATCH($C75,'在庫使用計画 (法人)'!$C$1:$C$391,0),MATCH(BG$1,'在庫使用計画 (法人)'!$A$1:$BF$1,0))*1,0),
_xlpm._合計,_xlpm._一般検索+_xlpm._法人検索,
IF(_xlpm._合計=0,"",_xlpm._合計)
)</f>
        <v/>
      </c>
      <c r="BH75" s="804" t="str">
        <f>_xlfn.LET(
_xlpm._一般検索,IFERROR(INDEX('在庫使用計画 (一般)'!$A$1:$BF$391,MATCH($C75,'在庫使用計画 (一般)'!$C$1:$C$391,0),MATCH(BH$1,'在庫使用計画 (一般)'!$A$1:$BF$1,0))*1,0),
_xlpm._法人検索,IFERROR(INDEX('在庫使用計画 (法人)'!$A$1:$BF$391,MATCH($C75,'在庫使用計画 (法人)'!$C$1:$C$391,0),MATCH(BH$1,'在庫使用計画 (法人)'!$A$1:$BF$1,0))*1,0),
_xlpm._合計,_xlpm._一般検索+_xlpm._法人検索,
IF(_xlpm._合計=0,"",_xlpm._合計)
)</f>
        <v/>
      </c>
      <c r="BI75" s="224" t="str">
        <f>_xlfn.LET(
_xlpm._一般検索,IFERROR(INDEX('在庫使用計画 (一般)'!$A$1:$BF$391,MATCH($C75,'在庫使用計画 (一般)'!$C$1:$C$391,0),MATCH(BI$1,'在庫使用計画 (一般)'!$A$1:$BF$1,0))*1,0),
_xlpm._法人検索,IFERROR(INDEX('在庫使用計画 (法人)'!$A$1:$BF$391,MATCH($C75,'在庫使用計画 (法人)'!$C$1:$C$391,0),MATCH(BI$1,'在庫使用計画 (法人)'!$A$1:$BF$1,0))*1,0),
_xlpm._合計,_xlpm._一般検索+_xlpm._法人検索,
IF(_xlpm._合計=0,"",_xlpm._合計)
)</f>
        <v/>
      </c>
      <c r="BJ75" s="224" t="str">
        <f>_xlfn.LET(
_xlpm._一般検索,IFERROR(INDEX('在庫使用計画 (一般)'!$A$1:$BF$391,MATCH($C75,'在庫使用計画 (一般)'!$C$1:$C$391,0),MATCH(BJ$1,'在庫使用計画 (一般)'!$A$1:$BF$1,0))*1,0),
_xlpm._法人検索,IFERROR(INDEX('在庫使用計画 (法人)'!$A$1:$BF$391,MATCH($C75,'在庫使用計画 (法人)'!$C$1:$C$391,0),MATCH(BJ$1,'在庫使用計画 (法人)'!$A$1:$BF$1,0))*1,0),
_xlpm._合計,_xlpm._一般検索+_xlpm._法人検索,
IF(_xlpm._合計=0,"",_xlpm._合計)
)</f>
        <v/>
      </c>
      <c r="BK75" s="224" t="str">
        <f>_xlfn.LET(
_xlpm._一般検索,IFERROR(INDEX('在庫使用計画 (一般)'!$A$1:$BF$391,MATCH($C75,'在庫使用計画 (一般)'!$C$1:$C$391,0),MATCH(BK$1,'在庫使用計画 (一般)'!$A$1:$BF$1,0))*1,0),
_xlpm._法人検索,IFERROR(INDEX('在庫使用計画 (法人)'!$A$1:$BF$391,MATCH($C75,'在庫使用計画 (法人)'!$C$1:$C$391,0),MATCH(BK$1,'在庫使用計画 (法人)'!$A$1:$BF$1,0))*1,0),
_xlpm._合計,_xlpm._一般検索+_xlpm._法人検索,
IF(_xlpm._合計=0,"",_xlpm._合計)
)</f>
        <v/>
      </c>
      <c r="BL75" s="224" t="str">
        <f>_xlfn.LET(
_xlpm._一般検索,IFERROR(INDEX('在庫使用計画 (一般)'!$A$1:$BF$391,MATCH($C75,'在庫使用計画 (一般)'!$C$1:$C$391,0),MATCH(BL$1,'在庫使用計画 (一般)'!$A$1:$BF$1,0))*1,0),
_xlpm._法人検索,IFERROR(INDEX('在庫使用計画 (法人)'!$A$1:$BF$391,MATCH($C75,'在庫使用計画 (法人)'!$C$1:$C$391,0),MATCH(BL$1,'在庫使用計画 (法人)'!$A$1:$BF$1,0))*1,0),
_xlpm._合計,_xlpm._一般検索+_xlpm._法人検索,
IF(_xlpm._合計=0,"",_xlpm._合計)
)</f>
        <v/>
      </c>
      <c r="BM75" s="224" t="str">
        <f>_xlfn.LET(
_xlpm._一般検索,IFERROR(INDEX('在庫使用計画 (一般)'!$A$1:$BF$391,MATCH($C75,'在庫使用計画 (一般)'!$C$1:$C$391,0),MATCH(BM$1,'在庫使用計画 (一般)'!$A$1:$BF$1,0))*1,0),
_xlpm._法人検索,IFERROR(INDEX('在庫使用計画 (法人)'!$A$1:$BF$391,MATCH($C75,'在庫使用計画 (法人)'!$C$1:$C$391,0),MATCH(BM$1,'在庫使用計画 (法人)'!$A$1:$BF$1,0))*1,0),
_xlpm._合計,_xlpm._一般検索+_xlpm._法人検索,
IF(_xlpm._合計=0,"",_xlpm._合計)
)</f>
        <v/>
      </c>
      <c r="BN75" s="224" t="str">
        <f>_xlfn.LET(
_xlpm._一般検索,IFERROR(INDEX('在庫使用計画 (一般)'!$A$1:$BF$391,MATCH($C75,'在庫使用計画 (一般)'!$C$1:$C$391,0),MATCH(BN$1,'在庫使用計画 (一般)'!$A$1:$BF$1,0))*1,0),
_xlpm._法人検索,IFERROR(INDEX('在庫使用計画 (法人)'!$A$1:$BF$391,MATCH($C75,'在庫使用計画 (法人)'!$C$1:$C$391,0),MATCH(BN$1,'在庫使用計画 (法人)'!$A$1:$BF$1,0))*1,0),
_xlpm._合計,_xlpm._一般検索+_xlpm._法人検索,
IF(_xlpm._合計=0,"",_xlpm._合計)
)</f>
        <v/>
      </c>
      <c r="BO75" s="224" t="str">
        <f>_xlfn.LET(
_xlpm._一般検索,IFERROR(INDEX('在庫使用計画 (一般)'!$A$1:$BF$391,MATCH($C75,'在庫使用計画 (一般)'!$C$1:$C$391,0),MATCH(BO$1,'在庫使用計画 (一般)'!$A$1:$BF$1,0))*1,0),
_xlpm._法人検索,IFERROR(INDEX('在庫使用計画 (法人)'!$A$1:$BF$391,MATCH($C75,'在庫使用計画 (法人)'!$C$1:$C$391,0),MATCH(BO$1,'在庫使用計画 (法人)'!$A$1:$BF$1,0))*1,0),
_xlpm._合計,_xlpm._一般検索+_xlpm._法人検索,
IF(_xlpm._合計=0,"",_xlpm._合計)
)</f>
        <v/>
      </c>
      <c r="BP75" s="224" t="str">
        <f>_xlfn.LET(
_xlpm._一般検索,IFERROR(INDEX('在庫使用計画 (一般)'!$A$1:$BF$391,MATCH($C75,'在庫使用計画 (一般)'!$C$1:$C$391,0),MATCH(BP$1,'在庫使用計画 (一般)'!$A$1:$BF$1,0))*1,0),
_xlpm._法人検索,IFERROR(INDEX('在庫使用計画 (法人)'!$A$1:$BF$391,MATCH($C75,'在庫使用計画 (法人)'!$C$1:$C$391,0),MATCH(BP$1,'在庫使用計画 (法人)'!$A$1:$BF$1,0))*1,0),
_xlpm._合計,_xlpm._一般検索+_xlpm._法人検索,
IF(_xlpm._合計=0,"",_xlpm._合計)
)</f>
        <v/>
      </c>
      <c r="BQ75" s="224" t="str">
        <f>_xlfn.LET(
_xlpm._一般検索,IFERROR(INDEX('在庫使用計画 (一般)'!$A$1:$BF$391,MATCH($C75,'在庫使用計画 (一般)'!$C$1:$C$391,0),MATCH(BQ$1,'在庫使用計画 (一般)'!$A$1:$BF$1,0))*1,0),
_xlpm._法人検索,IFERROR(INDEX('在庫使用計画 (法人)'!$A$1:$BF$391,MATCH($C75,'在庫使用計画 (法人)'!$C$1:$C$391,0),MATCH(BQ$1,'在庫使用計画 (法人)'!$A$1:$BF$1,0))*1,0),
_xlpm._合計,_xlpm._一般検索+_xlpm._法人検索,
IF(_xlpm._合計=0,"",_xlpm._合計)
)</f>
        <v/>
      </c>
      <c r="BR75" s="224" t="str">
        <f>_xlfn.LET(
_xlpm._一般検索,IFERROR(INDEX('在庫使用計画 (一般)'!$A$1:$BF$391,MATCH($C75,'在庫使用計画 (一般)'!$C$1:$C$391,0),MATCH(BR$1,'在庫使用計画 (一般)'!$A$1:$BF$1,0))*1,0),
_xlpm._法人検索,IFERROR(INDEX('在庫使用計画 (法人)'!$A$1:$BF$391,MATCH($C75,'在庫使用計画 (法人)'!$C$1:$C$391,0),MATCH(BR$1,'在庫使用計画 (法人)'!$A$1:$BF$1,0))*1,0),
_xlpm._合計,_xlpm._一般検索+_xlpm._法人検索,
IF(_xlpm._合計=0,"",_xlpm._合計)
)</f>
        <v/>
      </c>
      <c r="BS75" s="805" t="str">
        <f>_xlfn.LET(
_xlpm._一般検索,IFERROR(INDEX('在庫使用計画 (一般)'!$A$1:$BF$391,MATCH($C75,'在庫使用計画 (一般)'!$C$1:$C$391,0),MATCH(BS$1,'在庫使用計画 (一般)'!$A$1:$BF$1,0))*1,0),
_xlpm._法人検索,IFERROR(INDEX('在庫使用計画 (法人)'!$A$1:$BF$391,MATCH($C75,'在庫使用計画 (法人)'!$C$1:$C$391,0),MATCH(BS$1,'在庫使用計画 (法人)'!$A$1:$BF$1,0))*1,0),
_xlpm._合計,_xlpm._一般検索+_xlpm._法人検索,
IF(_xlpm._合計=0,"",_xlpm._合計)
)</f>
        <v/>
      </c>
      <c r="BT75" s="21"/>
    </row>
    <row r="76" spans="1:72" customFormat="1" ht="18.75" customHeight="1">
      <c r="A76" s="2069" t="s">
        <v>1473</v>
      </c>
      <c r="B76" s="300" t="str">
        <v>CLE-L24-258V-UMA-32G-L7 Thirdwave</v>
      </c>
      <c r="C76" s="194" t="s">
        <v>724</v>
      </c>
      <c r="D76" s="2156">
        <v>2605</v>
      </c>
      <c r="E76" s="194" t="s">
        <v>1729</v>
      </c>
      <c r="F76" s="195"/>
      <c r="G76" s="74">
        <v>62</v>
      </c>
      <c r="H76" s="38">
        <v>62</v>
      </c>
      <c r="I76" s="38" cm="1">
        <f t="array" ref="I76">IF($C76="","",
_xlfn.LET(
  _xlpm._見出し,$A$1:$BT$1,
  _xlpm._行,$A76:$BT76,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87</v>
      </c>
      <c r="J76" s="74" cm="1">
        <f t="array" ref="J76">_xlfn.LET(
  _xlpm._見出し,$A$1:$BS$1,
  _xlpm._行,$A76:$BS76,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IF($C76="","",_xlpm._四点五月計画合計)
)</f>
        <v>62</v>
      </c>
      <c r="K76" s="1458" cm="1">
        <f t="array" ref="K76">_xlfn.IFS(
  $C76="","",
  $G76="","発売前？",
  $G76=0,"在庫なし",
  TRUE,
  IFERROR(
    _xlfn.LET(
      _xlpm._在庫注残,     $G76,
      _xlpm._しきい値,     _xlpm._在庫注残 * 0.75,
      _xlpm._見出し元,     $L$1:$BU$1,
      _xlpm._計画,         $L76:$BU76,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46204</v>
      </c>
      <c r="L76" s="319"/>
      <c r="M76" s="319"/>
      <c r="N76" s="319"/>
      <c r="O76" s="320"/>
      <c r="P76" s="311" t="s">
        <v>21</v>
      </c>
      <c r="Q76" s="311" t="s">
        <v>21</v>
      </c>
      <c r="R76" s="311" t="s">
        <v>21</v>
      </c>
      <c r="S76" s="311" t="s">
        <v>21</v>
      </c>
      <c r="T76" s="298" t="s">
        <v>21</v>
      </c>
      <c r="U76" s="219">
        <v>30</v>
      </c>
      <c r="V76" s="219">
        <v>42</v>
      </c>
      <c r="W76" s="219">
        <v>60</v>
      </c>
      <c r="X76" s="219">
        <v>95</v>
      </c>
      <c r="Y76" s="219">
        <v>97</v>
      </c>
      <c r="Z76" s="219">
        <v>120</v>
      </c>
      <c r="AA76" s="219">
        <v>80</v>
      </c>
      <c r="AB76" s="219">
        <v>117</v>
      </c>
      <c r="AC76" s="219">
        <v>117</v>
      </c>
      <c r="AD76" s="219">
        <v>376</v>
      </c>
      <c r="AE76" s="219">
        <v>276</v>
      </c>
      <c r="AF76" s="219">
        <v>118</v>
      </c>
      <c r="AG76" s="219">
        <v>108</v>
      </c>
      <c r="AH76" s="224">
        <v>61</v>
      </c>
      <c r="AI76" s="480">
        <v>56</v>
      </c>
      <c r="AJ76" s="804">
        <v>180</v>
      </c>
      <c r="AK76" s="224">
        <v>203</v>
      </c>
      <c r="AL76" s="224">
        <v>53</v>
      </c>
      <c r="AM76" s="224">
        <v>44</v>
      </c>
      <c r="AN76" s="224">
        <f>_xlfn.LET(
_xlpm._一般検索,IFERROR(INDEX('在庫使用計画 (一般)'!$A$1:$BF$391,MATCH($C76,'在庫使用計画 (一般)'!$C$1:$C$391,0),MATCH(AN$1,'在庫使用計画 (一般)'!$A$1:$BF$1,0))*1,0),
_xlpm._法人検索,IFERROR(INDEX('在庫使用計画 (法人)'!$A$1:$BF$391,MATCH($C76,'在庫使用計画 (法人)'!$C$1:$C$391,0),MATCH(AN$1,'在庫使用計画 (法人)'!$A$1:$BF$1,0))*1,0),
_xlpm._合計,_xlpm._一般検索+_xlpm._法人検索,
IF(_xlpm._合計=0,"",_xlpm._合計)
)</f>
        <v>162</v>
      </c>
      <c r="AO76" s="224">
        <f>_xlfn.LET(
_xlpm._一般検索,IFERROR(INDEX('在庫使用計画 (一般)'!$A$1:$BF$391,MATCH($C76,'在庫使用計画 (一般)'!$C$1:$C$391,0),MATCH(AO$1,'在庫使用計画 (一般)'!$A$1:$BF$1,0))*1,0),
_xlpm._法人検索,IFERROR(INDEX('在庫使用計画 (法人)'!$A$1:$BF$391,MATCH($C76,'在庫使用計画 (法人)'!$C$1:$C$391,0),MATCH(AO$1,'在庫使用計画 (法人)'!$A$1:$BF$1,0))*1,0),
_xlpm._合計,_xlpm._一般検索+_xlpm._法人検索,
IF(_xlpm._合計=0,"",_xlpm._合計)
)</f>
        <v>280</v>
      </c>
      <c r="AP76" s="224">
        <f>_xlfn.LET(
_xlpm._一般検索,IFERROR(INDEX('在庫使用計画 (一般)'!$A$1:$BF$391,MATCH($C76,'在庫使用計画 (一般)'!$C$1:$C$391,0),MATCH(AP$1,'在庫使用計画 (一般)'!$A$1:$BF$1,0))*1,0),
_xlpm._法人検索,IFERROR(INDEX('在庫使用計画 (法人)'!$A$1:$BF$391,MATCH($C76,'在庫使用計画 (法人)'!$C$1:$C$391,0),MATCH(AP$1,'在庫使用計画 (法人)'!$A$1:$BF$1,0))*1,0),
_xlpm._合計,_xlpm._一般検索+_xlpm._法人検索,
IF(_xlpm._合計=0,"",_xlpm._合計)
)</f>
        <v>50</v>
      </c>
      <c r="AQ76" s="224" t="str">
        <f>_xlfn.LET(
_xlpm._一般検索,IFERROR(INDEX('在庫使用計画 (一般)'!$A$1:$BF$391,MATCH($C76,'在庫使用計画 (一般)'!$C$1:$C$391,0),MATCH(AQ$1,'在庫使用計画 (一般)'!$A$1:$BF$1,0))*1,0),
_xlpm._法人検索,IFERROR(INDEX('在庫使用計画 (法人)'!$A$1:$BF$391,MATCH($C76,'在庫使用計画 (法人)'!$C$1:$C$391,0),MATCH(AQ$1,'在庫使用計画 (法人)'!$A$1:$BF$1,0))*1,0),
_xlpm._合計,_xlpm._一般検索+_xlpm._法人検索,
IF(_xlpm._合計=0,"",_xlpm._合計)
)</f>
        <v/>
      </c>
      <c r="AR76" s="224">
        <f>_xlfn.LET(
_xlpm._一般検索,IFERROR(INDEX('在庫使用計画 (一般)'!$A$1:$BF$391,MATCH($C76,'在庫使用計画 (一般)'!$C$1:$C$391,0),MATCH(AR$1,'在庫使用計画 (一般)'!$A$1:$BF$1,0))*1,0),
_xlpm._法人検索,IFERROR(INDEX('在庫使用計画 (法人)'!$A$1:$BF$391,MATCH($C76,'在庫使用計画 (法人)'!$C$1:$C$391,0),MATCH(AR$1,'在庫使用計画 (法人)'!$A$1:$BF$1,0))*1,0),
_xlpm._合計,_xlpm._一般検索+_xlpm._法人検索,
IF(_xlpm._合計=0,"",_xlpm._合計)
)</f>
        <v>37</v>
      </c>
      <c r="AS76" s="224" t="str">
        <f>_xlfn.LET(
_xlpm._一般検索,IFERROR(INDEX('在庫使用計画 (一般)'!$A$1:$BF$391,MATCH($C76,'在庫使用計画 (一般)'!$C$1:$C$391,0),MATCH(AS$1,'在庫使用計画 (一般)'!$A$1:$BF$1,0))*1,0),
_xlpm._法人検索,IFERROR(INDEX('在庫使用計画 (法人)'!$A$1:$BF$391,MATCH($C76,'在庫使用計画 (法人)'!$C$1:$C$391,0),MATCH(AS$1,'在庫使用計画 (法人)'!$A$1:$BF$1,0))*1,0),
_xlpm._合計,_xlpm._一般検索+_xlpm._法人検索,
IF(_xlpm._合計=0,"",_xlpm._合計)
)</f>
        <v/>
      </c>
      <c r="AT76" s="224" t="str">
        <f>_xlfn.LET(
_xlpm._一般検索,IFERROR(INDEX('在庫使用計画 (一般)'!$A$1:$BF$391,MATCH($C76,'在庫使用計画 (一般)'!$C$1:$C$391,0),MATCH(AT$1,'在庫使用計画 (一般)'!$A$1:$BF$1,0))*1,0),
_xlpm._法人検索,IFERROR(INDEX('在庫使用計画 (法人)'!$A$1:$BF$391,MATCH($C76,'在庫使用計画 (法人)'!$C$1:$C$391,0),MATCH(AT$1,'在庫使用計画 (法人)'!$A$1:$BF$1,0))*1,0),
_xlpm._合計,_xlpm._一般検索+_xlpm._法人検索,
IF(_xlpm._合計=0,"",_xlpm._合計)
)</f>
        <v/>
      </c>
      <c r="AU76" s="805" t="str">
        <f>_xlfn.LET(
_xlpm._一般検索,IFERROR(INDEX('在庫使用計画 (一般)'!$A$1:$BF$391,MATCH($C76,'在庫使用計画 (一般)'!$C$1:$C$391,0),MATCH(AU$1,'在庫使用計画 (一般)'!$A$1:$BF$1,0))*1,0),
_xlpm._法人検索,IFERROR(INDEX('在庫使用計画 (法人)'!$A$1:$BF$391,MATCH($C76,'在庫使用計画 (法人)'!$C$1:$C$391,0),MATCH(AU$1,'在庫使用計画 (法人)'!$A$1:$BF$1,0))*1,0),
_xlpm._合計,_xlpm._一般検索+_xlpm._法人検索,
IF(_xlpm._合計=0,"",_xlpm._合計)
)</f>
        <v/>
      </c>
      <c r="AV76" s="244" t="str">
        <f>_xlfn.LET(
_xlpm._一般検索,IFERROR(INDEX('在庫使用計画 (一般)'!$A$1:$BF$391,MATCH($C76,'在庫使用計画 (一般)'!$C$1:$C$391,0),MATCH(AV$1,'在庫使用計画 (一般)'!$A$1:$BF$1,0))*1,0),
_xlpm._法人検索,IFERROR(INDEX('在庫使用計画 (法人)'!$A$1:$BF$391,MATCH($C76,'在庫使用計画 (法人)'!$C$1:$C$391,0),MATCH(AV$1,'在庫使用計画 (法人)'!$A$1:$BF$1,0))*1,0),
_xlpm._合計,_xlpm._一般検索+_xlpm._法人検索,
IF(_xlpm._合計=0,"",_xlpm._合計)
)</f>
        <v/>
      </c>
      <c r="AW76" s="224" t="str">
        <f>_xlfn.LET(
_xlpm._一般検索,IFERROR(INDEX('在庫使用計画 (一般)'!$A$1:$BF$391,MATCH($C76,'在庫使用計画 (一般)'!$C$1:$C$391,0),MATCH(AW$1,'在庫使用計画 (一般)'!$A$1:$BF$1,0))*1,0),
_xlpm._法人検索,IFERROR(INDEX('在庫使用計画 (法人)'!$A$1:$BF$391,MATCH($C76,'在庫使用計画 (法人)'!$C$1:$C$391,0),MATCH(AW$1,'在庫使用計画 (法人)'!$A$1:$BF$1,0))*1,0),
_xlpm._合計,_xlpm._一般検索+_xlpm._法人検索,
IF(_xlpm._合計=0,"",_xlpm._合計)
)</f>
        <v/>
      </c>
      <c r="AX76" s="224" t="str">
        <f>_xlfn.LET(
_xlpm._一般検索,IFERROR(INDEX('在庫使用計画 (一般)'!$A$1:$BF$391,MATCH($C76,'在庫使用計画 (一般)'!$C$1:$C$391,0),MATCH(AX$1,'在庫使用計画 (一般)'!$A$1:$BF$1,0))*1,0),
_xlpm._法人検索,IFERROR(INDEX('在庫使用計画 (法人)'!$A$1:$BF$391,MATCH($C76,'在庫使用計画 (法人)'!$C$1:$C$391,0),MATCH(AX$1,'在庫使用計画 (法人)'!$A$1:$BF$1,0))*1,0),
_xlpm._合計,_xlpm._一般検索+_xlpm._法人検索,
IF(_xlpm._合計=0,"",_xlpm._合計)
)</f>
        <v/>
      </c>
      <c r="AY76" s="224" t="str">
        <f>_xlfn.LET(
_xlpm._一般検索,IFERROR(INDEX('在庫使用計画 (一般)'!$A$1:$BF$391,MATCH($C76,'在庫使用計画 (一般)'!$C$1:$C$391,0),MATCH(AY$1,'在庫使用計画 (一般)'!$A$1:$BF$1,0))*1,0),
_xlpm._法人検索,IFERROR(INDEX('在庫使用計画 (法人)'!$A$1:$BF$391,MATCH($C76,'在庫使用計画 (法人)'!$C$1:$C$391,0),MATCH(AY$1,'在庫使用計画 (法人)'!$A$1:$BF$1,0))*1,0),
_xlpm._合計,_xlpm._一般検索+_xlpm._法人検索,
IF(_xlpm._合計=0,"",_xlpm._合計)
)</f>
        <v/>
      </c>
      <c r="AZ76" s="224" t="str">
        <f>_xlfn.LET(
_xlpm._一般検索,IFERROR(INDEX('在庫使用計画 (一般)'!$A$1:$BF$391,MATCH($C76,'在庫使用計画 (一般)'!$C$1:$C$391,0),MATCH(AZ$1,'在庫使用計画 (一般)'!$A$1:$BF$1,0))*1,0),
_xlpm._法人検索,IFERROR(INDEX('在庫使用計画 (法人)'!$A$1:$BF$391,MATCH($C76,'在庫使用計画 (法人)'!$C$1:$C$391,0),MATCH(AZ$1,'在庫使用計画 (法人)'!$A$1:$BF$1,0))*1,0),
_xlpm._合計,_xlpm._一般検索+_xlpm._法人検索,
IF(_xlpm._合計=0,"",_xlpm._合計)
)</f>
        <v/>
      </c>
      <c r="BA76" s="224" t="str">
        <f>_xlfn.LET(
_xlpm._一般検索,IFERROR(INDEX('在庫使用計画 (一般)'!$A$1:$BF$391,MATCH($C76,'在庫使用計画 (一般)'!$C$1:$C$391,0),MATCH(BA$1,'在庫使用計画 (一般)'!$A$1:$BF$1,0))*1,0),
_xlpm._法人検索,IFERROR(INDEX('在庫使用計画 (法人)'!$A$1:$BF$391,MATCH($C76,'在庫使用計画 (法人)'!$C$1:$C$391,0),MATCH(BA$1,'在庫使用計画 (法人)'!$A$1:$BF$1,0))*1,0),
_xlpm._合計,_xlpm._一般検索+_xlpm._法人検索,
IF(_xlpm._合計=0,"",_xlpm._合計)
)</f>
        <v/>
      </c>
      <c r="BB76" s="224" t="str">
        <f>_xlfn.LET(
_xlpm._一般検索,IFERROR(INDEX('在庫使用計画 (一般)'!$A$1:$BF$391,MATCH($C76,'在庫使用計画 (一般)'!$C$1:$C$391,0),MATCH(BB$1,'在庫使用計画 (一般)'!$A$1:$BF$1,0))*1,0),
_xlpm._法人検索,IFERROR(INDEX('在庫使用計画 (法人)'!$A$1:$BF$391,MATCH($C76,'在庫使用計画 (法人)'!$C$1:$C$391,0),MATCH(BB$1,'在庫使用計画 (法人)'!$A$1:$BF$1,0))*1,0),
_xlpm._合計,_xlpm._一般検索+_xlpm._法人検索,
IF(_xlpm._合計=0,"",_xlpm._合計)
)</f>
        <v/>
      </c>
      <c r="BC76" s="224" t="str">
        <f>_xlfn.LET(
_xlpm._一般検索,IFERROR(INDEX('在庫使用計画 (一般)'!$A$1:$BF$391,MATCH($C76,'在庫使用計画 (一般)'!$C$1:$C$391,0),MATCH(BC$1,'在庫使用計画 (一般)'!$A$1:$BF$1,0))*1,0),
_xlpm._法人検索,IFERROR(INDEX('在庫使用計画 (法人)'!$A$1:$BF$391,MATCH($C76,'在庫使用計画 (法人)'!$C$1:$C$391,0),MATCH(BC$1,'在庫使用計画 (法人)'!$A$1:$BF$1,0))*1,0),
_xlpm._合計,_xlpm._一般検索+_xlpm._法人検索,
IF(_xlpm._合計=0,"",_xlpm._合計)
)</f>
        <v/>
      </c>
      <c r="BD76" s="224" t="str">
        <f>_xlfn.LET(
_xlpm._一般検索,IFERROR(INDEX('在庫使用計画 (一般)'!$A$1:$BF$391,MATCH($C76,'在庫使用計画 (一般)'!$C$1:$C$391,0),MATCH(BD$1,'在庫使用計画 (一般)'!$A$1:$BF$1,0))*1,0),
_xlpm._法人検索,IFERROR(INDEX('在庫使用計画 (法人)'!$A$1:$BF$391,MATCH($C76,'在庫使用計画 (法人)'!$C$1:$C$391,0),MATCH(BD$1,'在庫使用計画 (法人)'!$A$1:$BF$1,0))*1,0),
_xlpm._合計,_xlpm._一般検索+_xlpm._法人検索,
IF(_xlpm._合計=0,"",_xlpm._合計)
)</f>
        <v/>
      </c>
      <c r="BE76" s="224" t="str">
        <f>_xlfn.LET(
_xlpm._一般検索,IFERROR(INDEX('在庫使用計画 (一般)'!$A$1:$BF$391,MATCH($C76,'在庫使用計画 (一般)'!$C$1:$C$391,0),MATCH(BE$1,'在庫使用計画 (一般)'!$A$1:$BF$1,0))*1,0),
_xlpm._法人検索,IFERROR(INDEX('在庫使用計画 (法人)'!$A$1:$BF$391,MATCH($C76,'在庫使用計画 (法人)'!$C$1:$C$391,0),MATCH(BE$1,'在庫使用計画 (法人)'!$A$1:$BF$1,0))*1,0),
_xlpm._合計,_xlpm._一般検索+_xlpm._法人検索,
IF(_xlpm._合計=0,"",_xlpm._合計)
)</f>
        <v/>
      </c>
      <c r="BF76" s="224" t="str">
        <f>_xlfn.LET(
_xlpm._一般検索,IFERROR(INDEX('在庫使用計画 (一般)'!$A$1:$BF$391,MATCH($C76,'在庫使用計画 (一般)'!$C$1:$C$391,0),MATCH(BF$1,'在庫使用計画 (一般)'!$A$1:$BF$1,0))*1,0),
_xlpm._法人検索,IFERROR(INDEX('在庫使用計画 (法人)'!$A$1:$BF$391,MATCH($C76,'在庫使用計画 (法人)'!$C$1:$C$391,0),MATCH(BF$1,'在庫使用計画 (法人)'!$A$1:$BF$1,0))*1,0),
_xlpm._合計,_xlpm._一般検索+_xlpm._法人検索,
IF(_xlpm._合計=0,"",_xlpm._合計)
)</f>
        <v/>
      </c>
      <c r="BG76" s="237" t="str">
        <f>_xlfn.LET(
_xlpm._一般検索,IFERROR(INDEX('在庫使用計画 (一般)'!$A$1:$BF$391,MATCH($C76,'在庫使用計画 (一般)'!$C$1:$C$391,0),MATCH(BG$1,'在庫使用計画 (一般)'!$A$1:$BF$1,0))*1,0),
_xlpm._法人検索,IFERROR(INDEX('在庫使用計画 (法人)'!$A$1:$BF$391,MATCH($C76,'在庫使用計画 (法人)'!$C$1:$C$391,0),MATCH(BG$1,'在庫使用計画 (法人)'!$A$1:$BF$1,0))*1,0),
_xlpm._合計,_xlpm._一般検索+_xlpm._法人検索,
IF(_xlpm._合計=0,"",_xlpm._合計)
)</f>
        <v/>
      </c>
      <c r="BH76" s="804" t="str">
        <f>_xlfn.LET(
_xlpm._一般検索,IFERROR(INDEX('在庫使用計画 (一般)'!$A$1:$BF$391,MATCH($C76,'在庫使用計画 (一般)'!$C$1:$C$391,0),MATCH(BH$1,'在庫使用計画 (一般)'!$A$1:$BF$1,0))*1,0),
_xlpm._法人検索,IFERROR(INDEX('在庫使用計画 (法人)'!$A$1:$BF$391,MATCH($C76,'在庫使用計画 (法人)'!$C$1:$C$391,0),MATCH(BH$1,'在庫使用計画 (法人)'!$A$1:$BF$1,0))*1,0),
_xlpm._合計,_xlpm._一般検索+_xlpm._法人検索,
IF(_xlpm._合計=0,"",_xlpm._合計)
)</f>
        <v/>
      </c>
      <c r="BI76" s="224" t="str">
        <f>_xlfn.LET(
_xlpm._一般検索,IFERROR(INDEX('在庫使用計画 (一般)'!$A$1:$BF$391,MATCH($C76,'在庫使用計画 (一般)'!$C$1:$C$391,0),MATCH(BI$1,'在庫使用計画 (一般)'!$A$1:$BF$1,0))*1,0),
_xlpm._法人検索,IFERROR(INDEX('在庫使用計画 (法人)'!$A$1:$BF$391,MATCH($C76,'在庫使用計画 (法人)'!$C$1:$C$391,0),MATCH(BI$1,'在庫使用計画 (法人)'!$A$1:$BF$1,0))*1,0),
_xlpm._合計,_xlpm._一般検索+_xlpm._法人検索,
IF(_xlpm._合計=0,"",_xlpm._合計)
)</f>
        <v/>
      </c>
      <c r="BJ76" s="224" t="str">
        <f>_xlfn.LET(
_xlpm._一般検索,IFERROR(INDEX('在庫使用計画 (一般)'!$A$1:$BF$391,MATCH($C76,'在庫使用計画 (一般)'!$C$1:$C$391,0),MATCH(BJ$1,'在庫使用計画 (一般)'!$A$1:$BF$1,0))*1,0),
_xlpm._法人検索,IFERROR(INDEX('在庫使用計画 (法人)'!$A$1:$BF$391,MATCH($C76,'在庫使用計画 (法人)'!$C$1:$C$391,0),MATCH(BJ$1,'在庫使用計画 (法人)'!$A$1:$BF$1,0))*1,0),
_xlpm._合計,_xlpm._一般検索+_xlpm._法人検索,
IF(_xlpm._合計=0,"",_xlpm._合計)
)</f>
        <v/>
      </c>
      <c r="BK76" s="224" t="str">
        <f>_xlfn.LET(
_xlpm._一般検索,IFERROR(INDEX('在庫使用計画 (一般)'!$A$1:$BF$391,MATCH($C76,'在庫使用計画 (一般)'!$C$1:$C$391,0),MATCH(BK$1,'在庫使用計画 (一般)'!$A$1:$BF$1,0))*1,0),
_xlpm._法人検索,IFERROR(INDEX('在庫使用計画 (法人)'!$A$1:$BF$391,MATCH($C76,'在庫使用計画 (法人)'!$C$1:$C$391,0),MATCH(BK$1,'在庫使用計画 (法人)'!$A$1:$BF$1,0))*1,0),
_xlpm._合計,_xlpm._一般検索+_xlpm._法人検索,
IF(_xlpm._合計=0,"",_xlpm._合計)
)</f>
        <v/>
      </c>
      <c r="BL76" s="224" t="str">
        <f>_xlfn.LET(
_xlpm._一般検索,IFERROR(INDEX('在庫使用計画 (一般)'!$A$1:$BF$391,MATCH($C76,'在庫使用計画 (一般)'!$C$1:$C$391,0),MATCH(BL$1,'在庫使用計画 (一般)'!$A$1:$BF$1,0))*1,0),
_xlpm._法人検索,IFERROR(INDEX('在庫使用計画 (法人)'!$A$1:$BF$391,MATCH($C76,'在庫使用計画 (法人)'!$C$1:$C$391,0),MATCH(BL$1,'在庫使用計画 (法人)'!$A$1:$BF$1,0))*1,0),
_xlpm._合計,_xlpm._一般検索+_xlpm._法人検索,
IF(_xlpm._合計=0,"",_xlpm._合計)
)</f>
        <v/>
      </c>
      <c r="BM76" s="224" t="str">
        <f>_xlfn.LET(
_xlpm._一般検索,IFERROR(INDEX('在庫使用計画 (一般)'!$A$1:$BF$391,MATCH($C76,'在庫使用計画 (一般)'!$C$1:$C$391,0),MATCH(BM$1,'在庫使用計画 (一般)'!$A$1:$BF$1,0))*1,0),
_xlpm._法人検索,IFERROR(INDEX('在庫使用計画 (法人)'!$A$1:$BF$391,MATCH($C76,'在庫使用計画 (法人)'!$C$1:$C$391,0),MATCH(BM$1,'在庫使用計画 (法人)'!$A$1:$BF$1,0))*1,0),
_xlpm._合計,_xlpm._一般検索+_xlpm._法人検索,
IF(_xlpm._合計=0,"",_xlpm._合計)
)</f>
        <v/>
      </c>
      <c r="BN76" s="224" t="str">
        <f>_xlfn.LET(
_xlpm._一般検索,IFERROR(INDEX('在庫使用計画 (一般)'!$A$1:$BF$391,MATCH($C76,'在庫使用計画 (一般)'!$C$1:$C$391,0),MATCH(BN$1,'在庫使用計画 (一般)'!$A$1:$BF$1,0))*1,0),
_xlpm._法人検索,IFERROR(INDEX('在庫使用計画 (法人)'!$A$1:$BF$391,MATCH($C76,'在庫使用計画 (法人)'!$C$1:$C$391,0),MATCH(BN$1,'在庫使用計画 (法人)'!$A$1:$BF$1,0))*1,0),
_xlpm._合計,_xlpm._一般検索+_xlpm._法人検索,
IF(_xlpm._合計=0,"",_xlpm._合計)
)</f>
        <v/>
      </c>
      <c r="BO76" s="224" t="str">
        <f>_xlfn.LET(
_xlpm._一般検索,IFERROR(INDEX('在庫使用計画 (一般)'!$A$1:$BF$391,MATCH($C76,'在庫使用計画 (一般)'!$C$1:$C$391,0),MATCH(BO$1,'在庫使用計画 (一般)'!$A$1:$BF$1,0))*1,0),
_xlpm._法人検索,IFERROR(INDEX('在庫使用計画 (法人)'!$A$1:$BF$391,MATCH($C76,'在庫使用計画 (法人)'!$C$1:$C$391,0),MATCH(BO$1,'在庫使用計画 (法人)'!$A$1:$BF$1,0))*1,0),
_xlpm._合計,_xlpm._一般検索+_xlpm._法人検索,
IF(_xlpm._合計=0,"",_xlpm._合計)
)</f>
        <v/>
      </c>
      <c r="BP76" s="224" t="str">
        <f>_xlfn.LET(
_xlpm._一般検索,IFERROR(INDEX('在庫使用計画 (一般)'!$A$1:$BF$391,MATCH($C76,'在庫使用計画 (一般)'!$C$1:$C$391,0),MATCH(BP$1,'在庫使用計画 (一般)'!$A$1:$BF$1,0))*1,0),
_xlpm._法人検索,IFERROR(INDEX('在庫使用計画 (法人)'!$A$1:$BF$391,MATCH($C76,'在庫使用計画 (法人)'!$C$1:$C$391,0),MATCH(BP$1,'在庫使用計画 (法人)'!$A$1:$BF$1,0))*1,0),
_xlpm._合計,_xlpm._一般検索+_xlpm._法人検索,
IF(_xlpm._合計=0,"",_xlpm._合計)
)</f>
        <v/>
      </c>
      <c r="BQ76" s="224" t="str">
        <f>_xlfn.LET(
_xlpm._一般検索,IFERROR(INDEX('在庫使用計画 (一般)'!$A$1:$BF$391,MATCH($C76,'在庫使用計画 (一般)'!$C$1:$C$391,0),MATCH(BQ$1,'在庫使用計画 (一般)'!$A$1:$BF$1,0))*1,0),
_xlpm._法人検索,IFERROR(INDEX('在庫使用計画 (法人)'!$A$1:$BF$391,MATCH($C76,'在庫使用計画 (法人)'!$C$1:$C$391,0),MATCH(BQ$1,'在庫使用計画 (法人)'!$A$1:$BF$1,0))*1,0),
_xlpm._合計,_xlpm._一般検索+_xlpm._法人検索,
IF(_xlpm._合計=0,"",_xlpm._合計)
)</f>
        <v/>
      </c>
      <c r="BR76" s="224" t="str">
        <f>_xlfn.LET(
_xlpm._一般検索,IFERROR(INDEX('在庫使用計画 (一般)'!$A$1:$BF$391,MATCH($C76,'在庫使用計画 (一般)'!$C$1:$C$391,0),MATCH(BR$1,'在庫使用計画 (一般)'!$A$1:$BF$1,0))*1,0),
_xlpm._法人検索,IFERROR(INDEX('在庫使用計画 (法人)'!$A$1:$BF$391,MATCH($C76,'在庫使用計画 (法人)'!$C$1:$C$391,0),MATCH(BR$1,'在庫使用計画 (法人)'!$A$1:$BF$1,0))*1,0),
_xlpm._合計,_xlpm._一般検索+_xlpm._法人検索,
IF(_xlpm._合計=0,"",_xlpm._合計)
)</f>
        <v/>
      </c>
      <c r="BS76" s="805" t="str">
        <f>_xlfn.LET(
_xlpm._一般検索,IFERROR(INDEX('在庫使用計画 (一般)'!$A$1:$BF$391,MATCH($C76,'在庫使用計画 (一般)'!$C$1:$C$391,0),MATCH(BS$1,'在庫使用計画 (一般)'!$A$1:$BF$1,0))*1,0),
_xlpm._法人検索,IFERROR(INDEX('在庫使用計画 (法人)'!$A$1:$BF$391,MATCH($C76,'在庫使用計画 (法人)'!$C$1:$C$391,0),MATCH(BS$1,'在庫使用計画 (法人)'!$A$1:$BF$1,0))*1,0),
_xlpm._合計,_xlpm._一般検索+_xlpm._法人検索,
IF(_xlpm._合計=0,"",_xlpm._合計)
)</f>
        <v/>
      </c>
      <c r="BT76" s="70"/>
    </row>
    <row r="77" spans="1:72" customFormat="1" ht="18.75" customHeight="1">
      <c r="A77" s="1070" t="s">
        <v>1473</v>
      </c>
      <c r="B77" s="300" t="str">
        <v>CLE-L24-228V-UMA-32G-L7 Thirdwave</v>
      </c>
      <c r="C77" s="194" t="s">
        <v>777</v>
      </c>
      <c r="D77" s="2156">
        <v>698</v>
      </c>
      <c r="E77" s="194" t="s">
        <v>1731</v>
      </c>
      <c r="F77" s="195"/>
      <c r="G77" s="74">
        <v>0</v>
      </c>
      <c r="H77" s="38">
        <v>0</v>
      </c>
      <c r="I77" s="38" cm="1">
        <f t="array" ref="I77">IF($C77="","",
_xlfn.LET(
  _xlpm._見出し,$A$1:$BT$1,
  _xlpm._行,$A77:$BT77,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0</v>
      </c>
      <c r="J77" s="74" cm="1">
        <f t="array" ref="J77">_xlfn.LET(
  _xlpm._見出し,$A$1:$BS$1,
  _xlpm._行,$A77:$BS77,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IF($C77="","",_xlpm._四点五月計画合計)
)</f>
        <v>0</v>
      </c>
      <c r="K77" s="1458" t="str" cm="1">
        <f t="array" ref="K77">_xlfn.IFS(
  $C77="","",
  $G77="","発売前？",
  $G77=0,"在庫なし",
  TRUE,
  IFERROR(
    _xlfn.LET(
      _xlpm._在庫注残,     $G77,
      _xlpm._しきい値,     _xlpm._在庫注残 * 0.75,
      _xlpm._見出し元,     $L$1:$BU$1,
      _xlpm._計画,         $L77:$BU77,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在庫なし</v>
      </c>
      <c r="L77" s="319"/>
      <c r="M77" s="319"/>
      <c r="N77" s="319"/>
      <c r="O77" s="320"/>
      <c r="P77" s="311"/>
      <c r="Q77" s="311"/>
      <c r="R77" s="311"/>
      <c r="S77" s="311"/>
      <c r="T77" s="298"/>
      <c r="U77" s="298" t="s">
        <v>21</v>
      </c>
      <c r="V77" s="298" t="s">
        <v>21</v>
      </c>
      <c r="W77" s="219">
        <v>10</v>
      </c>
      <c r="X77" s="219">
        <v>24</v>
      </c>
      <c r="Y77" s="219">
        <v>97</v>
      </c>
      <c r="Z77" s="219">
        <v>188</v>
      </c>
      <c r="AA77" s="219">
        <v>70</v>
      </c>
      <c r="AB77" s="219">
        <v>48</v>
      </c>
      <c r="AC77" s="219">
        <v>48</v>
      </c>
      <c r="AD77" s="219">
        <v>38</v>
      </c>
      <c r="AE77" s="219">
        <v>31</v>
      </c>
      <c r="AF77" s="219">
        <v>38</v>
      </c>
      <c r="AG77" s="219">
        <v>35</v>
      </c>
      <c r="AH77" s="224">
        <v>30</v>
      </c>
      <c r="AI77" s="480">
        <v>36</v>
      </c>
      <c r="AJ77" s="804">
        <v>37</v>
      </c>
      <c r="AK77" s="224" t="s">
        <v>21</v>
      </c>
      <c r="AL77" s="224" t="s">
        <v>21</v>
      </c>
      <c r="AM77" s="224" t="s">
        <v>21</v>
      </c>
      <c r="AN77" s="224" t="str">
        <f>_xlfn.LET(
_xlpm._一般検索,IFERROR(INDEX('在庫使用計画 (一般)'!$A$1:$BF$391,MATCH($C77,'在庫使用計画 (一般)'!$C$1:$C$391,0),MATCH(AN$1,'在庫使用計画 (一般)'!$A$1:$BF$1,0))*1,0),
_xlpm._法人検索,IFERROR(INDEX('在庫使用計画 (法人)'!$A$1:$BF$391,MATCH($C77,'在庫使用計画 (法人)'!$C$1:$C$391,0),MATCH(AN$1,'在庫使用計画 (法人)'!$A$1:$BF$1,0))*1,0),
_xlpm._合計,_xlpm._一般検索+_xlpm._法人検索,
IF(_xlpm._合計=0,"",_xlpm._合計)
)</f>
        <v/>
      </c>
      <c r="AO77" s="224" t="str">
        <f>_xlfn.LET(
_xlpm._一般検索,IFERROR(INDEX('在庫使用計画 (一般)'!$A$1:$BF$391,MATCH($C77,'在庫使用計画 (一般)'!$C$1:$C$391,0),MATCH(AO$1,'在庫使用計画 (一般)'!$A$1:$BF$1,0))*1,0),
_xlpm._法人検索,IFERROR(INDEX('在庫使用計画 (法人)'!$A$1:$BF$391,MATCH($C77,'在庫使用計画 (法人)'!$C$1:$C$391,0),MATCH(AO$1,'在庫使用計画 (法人)'!$A$1:$BF$1,0))*1,0),
_xlpm._合計,_xlpm._一般検索+_xlpm._法人検索,
IF(_xlpm._合計=0,"",_xlpm._合計)
)</f>
        <v/>
      </c>
      <c r="AP77" s="224" t="str">
        <f>_xlfn.LET(
_xlpm._一般検索,IFERROR(INDEX('在庫使用計画 (一般)'!$A$1:$BF$391,MATCH($C77,'在庫使用計画 (一般)'!$C$1:$C$391,0),MATCH(AP$1,'在庫使用計画 (一般)'!$A$1:$BF$1,0))*1,0),
_xlpm._法人検索,IFERROR(INDEX('在庫使用計画 (法人)'!$A$1:$BF$391,MATCH($C77,'在庫使用計画 (法人)'!$C$1:$C$391,0),MATCH(AP$1,'在庫使用計画 (法人)'!$A$1:$BF$1,0))*1,0),
_xlpm._合計,_xlpm._一般検索+_xlpm._法人検索,
IF(_xlpm._合計=0,"",_xlpm._合計)
)</f>
        <v/>
      </c>
      <c r="AQ77" s="224" t="str">
        <f>_xlfn.LET(
_xlpm._一般検索,IFERROR(INDEX('在庫使用計画 (一般)'!$A$1:$BF$391,MATCH($C77,'在庫使用計画 (一般)'!$C$1:$C$391,0),MATCH(AQ$1,'在庫使用計画 (一般)'!$A$1:$BF$1,0))*1,0),
_xlpm._法人検索,IFERROR(INDEX('在庫使用計画 (法人)'!$A$1:$BF$391,MATCH($C77,'在庫使用計画 (法人)'!$C$1:$C$391,0),MATCH(AQ$1,'在庫使用計画 (法人)'!$A$1:$BF$1,0))*1,0),
_xlpm._合計,_xlpm._一般検索+_xlpm._法人検索,
IF(_xlpm._合計=0,"",_xlpm._合計)
)</f>
        <v/>
      </c>
      <c r="AR77" s="224" t="str">
        <f>_xlfn.LET(
_xlpm._一般検索,IFERROR(INDEX('在庫使用計画 (一般)'!$A$1:$BF$391,MATCH($C77,'在庫使用計画 (一般)'!$C$1:$C$391,0),MATCH(AR$1,'在庫使用計画 (一般)'!$A$1:$BF$1,0))*1,0),
_xlpm._法人検索,IFERROR(INDEX('在庫使用計画 (法人)'!$A$1:$BF$391,MATCH($C77,'在庫使用計画 (法人)'!$C$1:$C$391,0),MATCH(AR$1,'在庫使用計画 (法人)'!$A$1:$BF$1,0))*1,0),
_xlpm._合計,_xlpm._一般検索+_xlpm._法人検索,
IF(_xlpm._合計=0,"",_xlpm._合計)
)</f>
        <v/>
      </c>
      <c r="AS77" s="224" t="str">
        <f>_xlfn.LET(
_xlpm._一般検索,IFERROR(INDEX('在庫使用計画 (一般)'!$A$1:$BF$391,MATCH($C77,'在庫使用計画 (一般)'!$C$1:$C$391,0),MATCH(AS$1,'在庫使用計画 (一般)'!$A$1:$BF$1,0))*1,0),
_xlpm._法人検索,IFERROR(INDEX('在庫使用計画 (法人)'!$A$1:$BF$391,MATCH($C77,'在庫使用計画 (法人)'!$C$1:$C$391,0),MATCH(AS$1,'在庫使用計画 (法人)'!$A$1:$BF$1,0))*1,0),
_xlpm._合計,_xlpm._一般検索+_xlpm._法人検索,
IF(_xlpm._合計=0,"",_xlpm._合計)
)</f>
        <v/>
      </c>
      <c r="AT77" s="224" t="str">
        <f>_xlfn.LET(
_xlpm._一般検索,IFERROR(INDEX('在庫使用計画 (一般)'!$A$1:$BF$391,MATCH($C77,'在庫使用計画 (一般)'!$C$1:$C$391,0),MATCH(AT$1,'在庫使用計画 (一般)'!$A$1:$BF$1,0))*1,0),
_xlpm._法人検索,IFERROR(INDEX('在庫使用計画 (法人)'!$A$1:$BF$391,MATCH($C77,'在庫使用計画 (法人)'!$C$1:$C$391,0),MATCH(AT$1,'在庫使用計画 (法人)'!$A$1:$BF$1,0))*1,0),
_xlpm._合計,_xlpm._一般検索+_xlpm._法人検索,
IF(_xlpm._合計=0,"",_xlpm._合計)
)</f>
        <v/>
      </c>
      <c r="AU77" s="805" t="str">
        <f>_xlfn.LET(
_xlpm._一般検索,IFERROR(INDEX('在庫使用計画 (一般)'!$A$1:$BF$391,MATCH($C77,'在庫使用計画 (一般)'!$C$1:$C$391,0),MATCH(AU$1,'在庫使用計画 (一般)'!$A$1:$BF$1,0))*1,0),
_xlpm._法人検索,IFERROR(INDEX('在庫使用計画 (法人)'!$A$1:$BF$391,MATCH($C77,'在庫使用計画 (法人)'!$C$1:$C$391,0),MATCH(AU$1,'在庫使用計画 (法人)'!$A$1:$BF$1,0))*1,0),
_xlpm._合計,_xlpm._一般検索+_xlpm._法人検索,
IF(_xlpm._合計=0,"",_xlpm._合計)
)</f>
        <v/>
      </c>
      <c r="AV77" s="244" t="str">
        <f>_xlfn.LET(
_xlpm._一般検索,IFERROR(INDEX('在庫使用計画 (一般)'!$A$1:$BF$391,MATCH($C77,'在庫使用計画 (一般)'!$C$1:$C$391,0),MATCH(AV$1,'在庫使用計画 (一般)'!$A$1:$BF$1,0))*1,0),
_xlpm._法人検索,IFERROR(INDEX('在庫使用計画 (法人)'!$A$1:$BF$391,MATCH($C77,'在庫使用計画 (法人)'!$C$1:$C$391,0),MATCH(AV$1,'在庫使用計画 (法人)'!$A$1:$BF$1,0))*1,0),
_xlpm._合計,_xlpm._一般検索+_xlpm._法人検索,
IF(_xlpm._合計=0,"",_xlpm._合計)
)</f>
        <v/>
      </c>
      <c r="AW77" s="224" t="str">
        <f>_xlfn.LET(
_xlpm._一般検索,IFERROR(INDEX('在庫使用計画 (一般)'!$A$1:$BF$391,MATCH($C77,'在庫使用計画 (一般)'!$C$1:$C$391,0),MATCH(AW$1,'在庫使用計画 (一般)'!$A$1:$BF$1,0))*1,0),
_xlpm._法人検索,IFERROR(INDEX('在庫使用計画 (法人)'!$A$1:$BF$391,MATCH($C77,'在庫使用計画 (法人)'!$C$1:$C$391,0),MATCH(AW$1,'在庫使用計画 (法人)'!$A$1:$BF$1,0))*1,0),
_xlpm._合計,_xlpm._一般検索+_xlpm._法人検索,
IF(_xlpm._合計=0,"",_xlpm._合計)
)</f>
        <v/>
      </c>
      <c r="AX77" s="224" t="str">
        <f>_xlfn.LET(
_xlpm._一般検索,IFERROR(INDEX('在庫使用計画 (一般)'!$A$1:$BF$391,MATCH($C77,'在庫使用計画 (一般)'!$C$1:$C$391,0),MATCH(AX$1,'在庫使用計画 (一般)'!$A$1:$BF$1,0))*1,0),
_xlpm._法人検索,IFERROR(INDEX('在庫使用計画 (法人)'!$A$1:$BF$391,MATCH($C77,'在庫使用計画 (法人)'!$C$1:$C$391,0),MATCH(AX$1,'在庫使用計画 (法人)'!$A$1:$BF$1,0))*1,0),
_xlpm._合計,_xlpm._一般検索+_xlpm._法人検索,
IF(_xlpm._合計=0,"",_xlpm._合計)
)</f>
        <v/>
      </c>
      <c r="AY77" s="224" t="str">
        <f>_xlfn.LET(
_xlpm._一般検索,IFERROR(INDEX('在庫使用計画 (一般)'!$A$1:$BF$391,MATCH($C77,'在庫使用計画 (一般)'!$C$1:$C$391,0),MATCH(AY$1,'在庫使用計画 (一般)'!$A$1:$BF$1,0))*1,0),
_xlpm._法人検索,IFERROR(INDEX('在庫使用計画 (法人)'!$A$1:$BF$391,MATCH($C77,'在庫使用計画 (法人)'!$C$1:$C$391,0),MATCH(AY$1,'在庫使用計画 (法人)'!$A$1:$BF$1,0))*1,0),
_xlpm._合計,_xlpm._一般検索+_xlpm._法人検索,
IF(_xlpm._合計=0,"",_xlpm._合計)
)</f>
        <v/>
      </c>
      <c r="AZ77" s="224" t="str">
        <f>_xlfn.LET(
_xlpm._一般検索,IFERROR(INDEX('在庫使用計画 (一般)'!$A$1:$BF$391,MATCH($C77,'在庫使用計画 (一般)'!$C$1:$C$391,0),MATCH(AZ$1,'在庫使用計画 (一般)'!$A$1:$BF$1,0))*1,0),
_xlpm._法人検索,IFERROR(INDEX('在庫使用計画 (法人)'!$A$1:$BF$391,MATCH($C77,'在庫使用計画 (法人)'!$C$1:$C$391,0),MATCH(AZ$1,'在庫使用計画 (法人)'!$A$1:$BF$1,0))*1,0),
_xlpm._合計,_xlpm._一般検索+_xlpm._法人検索,
IF(_xlpm._合計=0,"",_xlpm._合計)
)</f>
        <v/>
      </c>
      <c r="BA77" s="224" t="str">
        <f>_xlfn.LET(
_xlpm._一般検索,IFERROR(INDEX('在庫使用計画 (一般)'!$A$1:$BF$391,MATCH($C77,'在庫使用計画 (一般)'!$C$1:$C$391,0),MATCH(BA$1,'在庫使用計画 (一般)'!$A$1:$BF$1,0))*1,0),
_xlpm._法人検索,IFERROR(INDEX('在庫使用計画 (法人)'!$A$1:$BF$391,MATCH($C77,'在庫使用計画 (法人)'!$C$1:$C$391,0),MATCH(BA$1,'在庫使用計画 (法人)'!$A$1:$BF$1,0))*1,0),
_xlpm._合計,_xlpm._一般検索+_xlpm._法人検索,
IF(_xlpm._合計=0,"",_xlpm._合計)
)</f>
        <v/>
      </c>
      <c r="BB77" s="224" t="str">
        <f>_xlfn.LET(
_xlpm._一般検索,IFERROR(INDEX('在庫使用計画 (一般)'!$A$1:$BF$391,MATCH($C77,'在庫使用計画 (一般)'!$C$1:$C$391,0),MATCH(BB$1,'在庫使用計画 (一般)'!$A$1:$BF$1,0))*1,0),
_xlpm._法人検索,IFERROR(INDEX('在庫使用計画 (法人)'!$A$1:$BF$391,MATCH($C77,'在庫使用計画 (法人)'!$C$1:$C$391,0),MATCH(BB$1,'在庫使用計画 (法人)'!$A$1:$BF$1,0))*1,0),
_xlpm._合計,_xlpm._一般検索+_xlpm._法人検索,
IF(_xlpm._合計=0,"",_xlpm._合計)
)</f>
        <v/>
      </c>
      <c r="BC77" s="224" t="str">
        <f>_xlfn.LET(
_xlpm._一般検索,IFERROR(INDEX('在庫使用計画 (一般)'!$A$1:$BF$391,MATCH($C77,'在庫使用計画 (一般)'!$C$1:$C$391,0),MATCH(BC$1,'在庫使用計画 (一般)'!$A$1:$BF$1,0))*1,0),
_xlpm._法人検索,IFERROR(INDEX('在庫使用計画 (法人)'!$A$1:$BF$391,MATCH($C77,'在庫使用計画 (法人)'!$C$1:$C$391,0),MATCH(BC$1,'在庫使用計画 (法人)'!$A$1:$BF$1,0))*1,0),
_xlpm._合計,_xlpm._一般検索+_xlpm._法人検索,
IF(_xlpm._合計=0,"",_xlpm._合計)
)</f>
        <v/>
      </c>
      <c r="BD77" s="224" t="str">
        <f>_xlfn.LET(
_xlpm._一般検索,IFERROR(INDEX('在庫使用計画 (一般)'!$A$1:$BF$391,MATCH($C77,'在庫使用計画 (一般)'!$C$1:$C$391,0),MATCH(BD$1,'在庫使用計画 (一般)'!$A$1:$BF$1,0))*1,0),
_xlpm._法人検索,IFERROR(INDEX('在庫使用計画 (法人)'!$A$1:$BF$391,MATCH($C77,'在庫使用計画 (法人)'!$C$1:$C$391,0),MATCH(BD$1,'在庫使用計画 (法人)'!$A$1:$BF$1,0))*1,0),
_xlpm._合計,_xlpm._一般検索+_xlpm._法人検索,
IF(_xlpm._合計=0,"",_xlpm._合計)
)</f>
        <v/>
      </c>
      <c r="BE77" s="224" t="str">
        <f>_xlfn.LET(
_xlpm._一般検索,IFERROR(INDEX('在庫使用計画 (一般)'!$A$1:$BF$391,MATCH($C77,'在庫使用計画 (一般)'!$C$1:$C$391,0),MATCH(BE$1,'在庫使用計画 (一般)'!$A$1:$BF$1,0))*1,0),
_xlpm._法人検索,IFERROR(INDEX('在庫使用計画 (法人)'!$A$1:$BF$391,MATCH($C77,'在庫使用計画 (法人)'!$C$1:$C$391,0),MATCH(BE$1,'在庫使用計画 (法人)'!$A$1:$BF$1,0))*1,0),
_xlpm._合計,_xlpm._一般検索+_xlpm._法人検索,
IF(_xlpm._合計=0,"",_xlpm._合計)
)</f>
        <v/>
      </c>
      <c r="BF77" s="224" t="str">
        <f>_xlfn.LET(
_xlpm._一般検索,IFERROR(INDEX('在庫使用計画 (一般)'!$A$1:$BF$391,MATCH($C77,'在庫使用計画 (一般)'!$C$1:$C$391,0),MATCH(BF$1,'在庫使用計画 (一般)'!$A$1:$BF$1,0))*1,0),
_xlpm._法人検索,IFERROR(INDEX('在庫使用計画 (法人)'!$A$1:$BF$391,MATCH($C77,'在庫使用計画 (法人)'!$C$1:$C$391,0),MATCH(BF$1,'在庫使用計画 (法人)'!$A$1:$BF$1,0))*1,0),
_xlpm._合計,_xlpm._一般検索+_xlpm._法人検索,
IF(_xlpm._合計=0,"",_xlpm._合計)
)</f>
        <v/>
      </c>
      <c r="BG77" s="237" t="str">
        <f>_xlfn.LET(
_xlpm._一般検索,IFERROR(INDEX('在庫使用計画 (一般)'!$A$1:$BF$391,MATCH($C77,'在庫使用計画 (一般)'!$C$1:$C$391,0),MATCH(BG$1,'在庫使用計画 (一般)'!$A$1:$BF$1,0))*1,0),
_xlpm._法人検索,IFERROR(INDEX('在庫使用計画 (法人)'!$A$1:$BF$391,MATCH($C77,'在庫使用計画 (法人)'!$C$1:$C$391,0),MATCH(BG$1,'在庫使用計画 (法人)'!$A$1:$BF$1,0))*1,0),
_xlpm._合計,_xlpm._一般検索+_xlpm._法人検索,
IF(_xlpm._合計=0,"",_xlpm._合計)
)</f>
        <v/>
      </c>
      <c r="BH77" s="804" t="str">
        <f>_xlfn.LET(
_xlpm._一般検索,IFERROR(INDEX('在庫使用計画 (一般)'!$A$1:$BF$391,MATCH($C77,'在庫使用計画 (一般)'!$C$1:$C$391,0),MATCH(BH$1,'在庫使用計画 (一般)'!$A$1:$BF$1,0))*1,0),
_xlpm._法人検索,IFERROR(INDEX('在庫使用計画 (法人)'!$A$1:$BF$391,MATCH($C77,'在庫使用計画 (法人)'!$C$1:$C$391,0),MATCH(BH$1,'在庫使用計画 (法人)'!$A$1:$BF$1,0))*1,0),
_xlpm._合計,_xlpm._一般検索+_xlpm._法人検索,
IF(_xlpm._合計=0,"",_xlpm._合計)
)</f>
        <v/>
      </c>
      <c r="BI77" s="224" t="str">
        <f>_xlfn.LET(
_xlpm._一般検索,IFERROR(INDEX('在庫使用計画 (一般)'!$A$1:$BF$391,MATCH($C77,'在庫使用計画 (一般)'!$C$1:$C$391,0),MATCH(BI$1,'在庫使用計画 (一般)'!$A$1:$BF$1,0))*1,0),
_xlpm._法人検索,IFERROR(INDEX('在庫使用計画 (法人)'!$A$1:$BF$391,MATCH($C77,'在庫使用計画 (法人)'!$C$1:$C$391,0),MATCH(BI$1,'在庫使用計画 (法人)'!$A$1:$BF$1,0))*1,0),
_xlpm._合計,_xlpm._一般検索+_xlpm._法人検索,
IF(_xlpm._合計=0,"",_xlpm._合計)
)</f>
        <v/>
      </c>
      <c r="BJ77" s="224" t="str">
        <f>_xlfn.LET(
_xlpm._一般検索,IFERROR(INDEX('在庫使用計画 (一般)'!$A$1:$BF$391,MATCH($C77,'在庫使用計画 (一般)'!$C$1:$C$391,0),MATCH(BJ$1,'在庫使用計画 (一般)'!$A$1:$BF$1,0))*1,0),
_xlpm._法人検索,IFERROR(INDEX('在庫使用計画 (法人)'!$A$1:$BF$391,MATCH($C77,'在庫使用計画 (法人)'!$C$1:$C$391,0),MATCH(BJ$1,'在庫使用計画 (法人)'!$A$1:$BF$1,0))*1,0),
_xlpm._合計,_xlpm._一般検索+_xlpm._法人検索,
IF(_xlpm._合計=0,"",_xlpm._合計)
)</f>
        <v/>
      </c>
      <c r="BK77" s="224" t="str">
        <f>_xlfn.LET(
_xlpm._一般検索,IFERROR(INDEX('在庫使用計画 (一般)'!$A$1:$BF$391,MATCH($C77,'在庫使用計画 (一般)'!$C$1:$C$391,0),MATCH(BK$1,'在庫使用計画 (一般)'!$A$1:$BF$1,0))*1,0),
_xlpm._法人検索,IFERROR(INDEX('在庫使用計画 (法人)'!$A$1:$BF$391,MATCH($C77,'在庫使用計画 (法人)'!$C$1:$C$391,0),MATCH(BK$1,'在庫使用計画 (法人)'!$A$1:$BF$1,0))*1,0),
_xlpm._合計,_xlpm._一般検索+_xlpm._法人検索,
IF(_xlpm._合計=0,"",_xlpm._合計)
)</f>
        <v/>
      </c>
      <c r="BL77" s="224" t="str">
        <f>_xlfn.LET(
_xlpm._一般検索,IFERROR(INDEX('在庫使用計画 (一般)'!$A$1:$BF$391,MATCH($C77,'在庫使用計画 (一般)'!$C$1:$C$391,0),MATCH(BL$1,'在庫使用計画 (一般)'!$A$1:$BF$1,0))*1,0),
_xlpm._法人検索,IFERROR(INDEX('在庫使用計画 (法人)'!$A$1:$BF$391,MATCH($C77,'在庫使用計画 (法人)'!$C$1:$C$391,0),MATCH(BL$1,'在庫使用計画 (法人)'!$A$1:$BF$1,0))*1,0),
_xlpm._合計,_xlpm._一般検索+_xlpm._法人検索,
IF(_xlpm._合計=0,"",_xlpm._合計)
)</f>
        <v/>
      </c>
      <c r="BM77" s="224" t="str">
        <f>_xlfn.LET(
_xlpm._一般検索,IFERROR(INDEX('在庫使用計画 (一般)'!$A$1:$BF$391,MATCH($C77,'在庫使用計画 (一般)'!$C$1:$C$391,0),MATCH(BM$1,'在庫使用計画 (一般)'!$A$1:$BF$1,0))*1,0),
_xlpm._法人検索,IFERROR(INDEX('在庫使用計画 (法人)'!$A$1:$BF$391,MATCH($C77,'在庫使用計画 (法人)'!$C$1:$C$391,0),MATCH(BM$1,'在庫使用計画 (法人)'!$A$1:$BF$1,0))*1,0),
_xlpm._合計,_xlpm._一般検索+_xlpm._法人検索,
IF(_xlpm._合計=0,"",_xlpm._合計)
)</f>
        <v/>
      </c>
      <c r="BN77" s="224" t="str">
        <f>_xlfn.LET(
_xlpm._一般検索,IFERROR(INDEX('在庫使用計画 (一般)'!$A$1:$BF$391,MATCH($C77,'在庫使用計画 (一般)'!$C$1:$C$391,0),MATCH(BN$1,'在庫使用計画 (一般)'!$A$1:$BF$1,0))*1,0),
_xlpm._法人検索,IFERROR(INDEX('在庫使用計画 (法人)'!$A$1:$BF$391,MATCH($C77,'在庫使用計画 (法人)'!$C$1:$C$391,0),MATCH(BN$1,'在庫使用計画 (法人)'!$A$1:$BF$1,0))*1,0),
_xlpm._合計,_xlpm._一般検索+_xlpm._法人検索,
IF(_xlpm._合計=0,"",_xlpm._合計)
)</f>
        <v/>
      </c>
      <c r="BO77" s="224" t="str">
        <f>_xlfn.LET(
_xlpm._一般検索,IFERROR(INDEX('在庫使用計画 (一般)'!$A$1:$BF$391,MATCH($C77,'在庫使用計画 (一般)'!$C$1:$C$391,0),MATCH(BO$1,'在庫使用計画 (一般)'!$A$1:$BF$1,0))*1,0),
_xlpm._法人検索,IFERROR(INDEX('在庫使用計画 (法人)'!$A$1:$BF$391,MATCH($C77,'在庫使用計画 (法人)'!$C$1:$C$391,0),MATCH(BO$1,'在庫使用計画 (法人)'!$A$1:$BF$1,0))*1,0),
_xlpm._合計,_xlpm._一般検索+_xlpm._法人検索,
IF(_xlpm._合計=0,"",_xlpm._合計)
)</f>
        <v/>
      </c>
      <c r="BP77" s="224" t="str">
        <f>_xlfn.LET(
_xlpm._一般検索,IFERROR(INDEX('在庫使用計画 (一般)'!$A$1:$BF$391,MATCH($C77,'在庫使用計画 (一般)'!$C$1:$C$391,0),MATCH(BP$1,'在庫使用計画 (一般)'!$A$1:$BF$1,0))*1,0),
_xlpm._法人検索,IFERROR(INDEX('在庫使用計画 (法人)'!$A$1:$BF$391,MATCH($C77,'在庫使用計画 (法人)'!$C$1:$C$391,0),MATCH(BP$1,'在庫使用計画 (法人)'!$A$1:$BF$1,0))*1,0),
_xlpm._合計,_xlpm._一般検索+_xlpm._法人検索,
IF(_xlpm._合計=0,"",_xlpm._合計)
)</f>
        <v/>
      </c>
      <c r="BQ77" s="224" t="str">
        <f>_xlfn.LET(
_xlpm._一般検索,IFERROR(INDEX('在庫使用計画 (一般)'!$A$1:$BF$391,MATCH($C77,'在庫使用計画 (一般)'!$C$1:$C$391,0),MATCH(BQ$1,'在庫使用計画 (一般)'!$A$1:$BF$1,0))*1,0),
_xlpm._法人検索,IFERROR(INDEX('在庫使用計画 (法人)'!$A$1:$BF$391,MATCH($C77,'在庫使用計画 (法人)'!$C$1:$C$391,0),MATCH(BQ$1,'在庫使用計画 (法人)'!$A$1:$BF$1,0))*1,0),
_xlpm._合計,_xlpm._一般検索+_xlpm._法人検索,
IF(_xlpm._合計=0,"",_xlpm._合計)
)</f>
        <v/>
      </c>
      <c r="BR77" s="224" t="str">
        <f>_xlfn.LET(
_xlpm._一般検索,IFERROR(INDEX('在庫使用計画 (一般)'!$A$1:$BF$391,MATCH($C77,'在庫使用計画 (一般)'!$C$1:$C$391,0),MATCH(BR$1,'在庫使用計画 (一般)'!$A$1:$BF$1,0))*1,0),
_xlpm._法人検索,IFERROR(INDEX('在庫使用計画 (法人)'!$A$1:$BF$391,MATCH($C77,'在庫使用計画 (法人)'!$C$1:$C$391,0),MATCH(BR$1,'在庫使用計画 (法人)'!$A$1:$BF$1,0))*1,0),
_xlpm._合計,_xlpm._一般検索+_xlpm._法人検索,
IF(_xlpm._合計=0,"",_xlpm._合計)
)</f>
        <v/>
      </c>
      <c r="BS77" s="805" t="str">
        <f>_xlfn.LET(
_xlpm._一般検索,IFERROR(INDEX('在庫使用計画 (一般)'!$A$1:$BF$391,MATCH($C77,'在庫使用計画 (一般)'!$C$1:$C$391,0),MATCH(BS$1,'在庫使用計画 (一般)'!$A$1:$BF$1,0))*1,0),
_xlpm._法人検索,IFERROR(INDEX('在庫使用計画 (法人)'!$A$1:$BF$391,MATCH($C77,'在庫使用計画 (法人)'!$C$1:$C$391,0),MATCH(BS$1,'在庫使用計画 (法人)'!$A$1:$BF$1,0))*1,0),
_xlpm._合計,_xlpm._一般検索+_xlpm._法人検索,
IF(_xlpm._合計=0,"",_xlpm._合計)
)</f>
        <v/>
      </c>
      <c r="BT77" s="70"/>
    </row>
    <row r="78" spans="1:72" customFormat="1" ht="18.75" customHeight="1">
      <c r="A78" s="2069" t="s">
        <v>1473</v>
      </c>
      <c r="B78" s="300" t="str">
        <v>CLE-L24-226V-UMA-16G-L7 Thirdwave</v>
      </c>
      <c r="C78" s="194" t="s">
        <v>781</v>
      </c>
      <c r="D78" s="2156">
        <v>2900</v>
      </c>
      <c r="E78" s="194" t="s">
        <v>1738</v>
      </c>
      <c r="F78" s="195"/>
      <c r="G78" s="74">
        <v>625</v>
      </c>
      <c r="H78" s="38">
        <v>625</v>
      </c>
      <c r="I78" s="38" cm="1">
        <f t="array" ref="I78">IF($C78="","",
_xlfn.LET(
  _xlpm._見出し,$A$1:$BT$1,
  _xlpm._行,$A78:$BT78,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540</v>
      </c>
      <c r="J78" s="74" cm="1">
        <f t="array" ref="J78">_xlfn.LET(
  _xlpm._見出し,$A$1:$BS$1,
  _xlpm._行,$A78:$BS78,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IF($C78="","",_xlpm._四点五月計画合計)
)</f>
        <v>295</v>
      </c>
      <c r="K78" s="1458" cm="1">
        <f t="array" ref="K78">_xlfn.IFS(
  $C78="","",
  $G78="","発売前？",
  $G78=0,"在庫なし",
  TRUE,
  IFERROR(
    _xlfn.LET(
      _xlpm._在庫注残,     $G78,
      _xlpm._しきい値,     _xlpm._在庫注残 * 0.75,
      _xlpm._見出し元,     $L$1:$BU$1,
      _xlpm._計画,         $L78:$BU78,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46204</v>
      </c>
      <c r="L78" s="319"/>
      <c r="M78" s="319"/>
      <c r="N78" s="319"/>
      <c r="O78" s="320"/>
      <c r="P78" s="311" t="s">
        <v>21</v>
      </c>
      <c r="Q78" s="311" t="s">
        <v>21</v>
      </c>
      <c r="R78" s="311" t="s">
        <v>21</v>
      </c>
      <c r="S78" s="311" t="s">
        <v>21</v>
      </c>
      <c r="T78" s="298" t="s">
        <v>21</v>
      </c>
      <c r="U78" s="219">
        <v>30</v>
      </c>
      <c r="V78" s="219">
        <v>80</v>
      </c>
      <c r="W78" s="219">
        <v>94</v>
      </c>
      <c r="X78" s="219">
        <v>76</v>
      </c>
      <c r="Y78" s="219">
        <v>115</v>
      </c>
      <c r="Z78" s="219">
        <v>218</v>
      </c>
      <c r="AA78" s="219">
        <v>155</v>
      </c>
      <c r="AB78" s="219">
        <v>150</v>
      </c>
      <c r="AC78" s="219">
        <v>170</v>
      </c>
      <c r="AD78" s="219">
        <v>230</v>
      </c>
      <c r="AE78" s="219">
        <v>113</v>
      </c>
      <c r="AF78" s="219">
        <v>160</v>
      </c>
      <c r="AG78" s="219">
        <v>110</v>
      </c>
      <c r="AH78" s="224">
        <v>75</v>
      </c>
      <c r="AI78" s="480">
        <v>104</v>
      </c>
      <c r="AJ78" s="804">
        <v>77</v>
      </c>
      <c r="AK78" s="224">
        <v>54</v>
      </c>
      <c r="AL78" s="224">
        <v>160</v>
      </c>
      <c r="AM78" s="224">
        <v>255</v>
      </c>
      <c r="AN78" s="224">
        <f>_xlfn.LET(
_xlpm._一般検索,IFERROR(INDEX('在庫使用計画 (一般)'!$A$1:$BF$391,MATCH($C78,'在庫使用計画 (一般)'!$C$1:$C$391,0),MATCH(AN$1,'在庫使用計画 (一般)'!$A$1:$BF$1,0))*1,0),
_xlpm._法人検索,IFERROR(INDEX('在庫使用計画 (法人)'!$A$1:$BF$391,MATCH($C78,'在庫使用計画 (法人)'!$C$1:$C$391,0),MATCH(AN$1,'在庫使用計画 (法人)'!$A$1:$BF$1,0))*1,0),
_xlpm._合計,_xlpm._一般検索+_xlpm._法人検索,
IF(_xlpm._合計=0,"",_xlpm._合計)
)</f>
        <v>150</v>
      </c>
      <c r="AO78" s="224">
        <f>_xlfn.LET(
_xlpm._一般検索,IFERROR(INDEX('在庫使用計画 (一般)'!$A$1:$BF$391,MATCH($C78,'在庫使用計画 (一般)'!$C$1:$C$391,0),MATCH(AO$1,'在庫使用計画 (一般)'!$A$1:$BF$1,0))*1,0),
_xlpm._法人検索,IFERROR(INDEX('在庫使用計画 (法人)'!$A$1:$BF$391,MATCH($C78,'在庫使用計画 (法人)'!$C$1:$C$391,0),MATCH(AO$1,'在庫使用計画 (法人)'!$A$1:$BF$1,0))*1,0),
_xlpm._合計,_xlpm._一般検索+_xlpm._法人検索,
IF(_xlpm._合計=0,"",_xlpm._合計)
)</f>
        <v>85</v>
      </c>
      <c r="AP78" s="224">
        <f>_xlfn.LET(
_xlpm._一般検索,IFERROR(INDEX('在庫使用計画 (一般)'!$A$1:$BF$391,MATCH($C78,'在庫使用計画 (一般)'!$C$1:$C$391,0),MATCH(AP$1,'在庫使用計画 (一般)'!$A$1:$BF$1,0))*1,0),
_xlpm._法人検索,IFERROR(INDEX('在庫使用計画 (法人)'!$A$1:$BF$391,MATCH($C78,'在庫使用計画 (法人)'!$C$1:$C$391,0),MATCH(AP$1,'在庫使用計画 (法人)'!$A$1:$BF$1,0))*1,0),
_xlpm._合計,_xlpm._一般検索+_xlpm._法人検索,
IF(_xlpm._合計=0,"",_xlpm._合計)
)</f>
        <v>490</v>
      </c>
      <c r="AQ78" s="224">
        <f>_xlfn.LET(
_xlpm._一般検索,IFERROR(INDEX('在庫使用計画 (一般)'!$A$1:$BF$391,MATCH($C78,'在庫使用計画 (一般)'!$C$1:$C$391,0),MATCH(AQ$1,'在庫使用計画 (一般)'!$A$1:$BF$1,0))*1,0),
_xlpm._法人検索,IFERROR(INDEX('在庫使用計画 (法人)'!$A$1:$BF$391,MATCH($C78,'在庫使用計画 (法人)'!$C$1:$C$391,0),MATCH(AQ$1,'在庫使用計画 (法人)'!$A$1:$BF$1,0))*1,0),
_xlpm._合計,_xlpm._一般検索+_xlpm._法人検索,
IF(_xlpm._合計=0,"",_xlpm._合計)
)</f>
        <v>40</v>
      </c>
      <c r="AR78" s="224">
        <f>_xlfn.LET(
_xlpm._一般検索,IFERROR(INDEX('在庫使用計画 (一般)'!$A$1:$BF$391,MATCH($C78,'在庫使用計画 (一般)'!$C$1:$C$391,0),MATCH(AR$1,'在庫使用計画 (一般)'!$A$1:$BF$1,0))*1,0),
_xlpm._法人検索,IFERROR(INDEX('在庫使用計画 (法人)'!$A$1:$BF$391,MATCH($C78,'在庫使用計画 (法人)'!$C$1:$C$391,0),MATCH(AR$1,'在庫使用計画 (法人)'!$A$1:$BF$1,0))*1,0),
_xlpm._合計,_xlpm._一般検索+_xlpm._法人検索,
IF(_xlpm._合計=0,"",_xlpm._合計)
)</f>
        <v>10</v>
      </c>
      <c r="AS78" s="224" t="str">
        <f>_xlfn.LET(
_xlpm._一般検索,IFERROR(INDEX('在庫使用計画 (一般)'!$A$1:$BF$391,MATCH($C78,'在庫使用計画 (一般)'!$C$1:$C$391,0),MATCH(AS$1,'在庫使用計画 (一般)'!$A$1:$BF$1,0))*1,0),
_xlpm._法人検索,IFERROR(INDEX('在庫使用計画 (法人)'!$A$1:$BF$391,MATCH($C78,'在庫使用計画 (法人)'!$C$1:$C$391,0),MATCH(AS$1,'在庫使用計画 (法人)'!$A$1:$BF$1,0))*1,0),
_xlpm._合計,_xlpm._一般検索+_xlpm._法人検索,
IF(_xlpm._合計=0,"",_xlpm._合計)
)</f>
        <v/>
      </c>
      <c r="AT78" s="224" t="str">
        <f>_xlfn.LET(
_xlpm._一般検索,IFERROR(INDEX('在庫使用計画 (一般)'!$A$1:$BF$391,MATCH($C78,'在庫使用計画 (一般)'!$C$1:$C$391,0),MATCH(AT$1,'在庫使用計画 (一般)'!$A$1:$BF$1,0))*1,0),
_xlpm._法人検索,IFERROR(INDEX('在庫使用計画 (法人)'!$A$1:$BF$391,MATCH($C78,'在庫使用計画 (法人)'!$C$1:$C$391,0),MATCH(AT$1,'在庫使用計画 (法人)'!$A$1:$BF$1,0))*1,0),
_xlpm._合計,_xlpm._一般検索+_xlpm._法人検索,
IF(_xlpm._合計=0,"",_xlpm._合計)
)</f>
        <v/>
      </c>
      <c r="AU78" s="805" t="str">
        <f>_xlfn.LET(
_xlpm._一般検索,IFERROR(INDEX('在庫使用計画 (一般)'!$A$1:$BF$391,MATCH($C78,'在庫使用計画 (一般)'!$C$1:$C$391,0),MATCH(AU$1,'在庫使用計画 (一般)'!$A$1:$BF$1,0))*1,0),
_xlpm._法人検索,IFERROR(INDEX('在庫使用計画 (法人)'!$A$1:$BF$391,MATCH($C78,'在庫使用計画 (法人)'!$C$1:$C$391,0),MATCH(AU$1,'在庫使用計画 (法人)'!$A$1:$BF$1,0))*1,0),
_xlpm._合計,_xlpm._一般検索+_xlpm._法人検索,
IF(_xlpm._合計=0,"",_xlpm._合計)
)</f>
        <v/>
      </c>
      <c r="AV78" s="244" t="str">
        <f>_xlfn.LET(
_xlpm._一般検索,IFERROR(INDEX('在庫使用計画 (一般)'!$A$1:$BF$391,MATCH($C78,'在庫使用計画 (一般)'!$C$1:$C$391,0),MATCH(AV$1,'在庫使用計画 (一般)'!$A$1:$BF$1,0))*1,0),
_xlpm._法人検索,IFERROR(INDEX('在庫使用計画 (法人)'!$A$1:$BF$391,MATCH($C78,'在庫使用計画 (法人)'!$C$1:$C$391,0),MATCH(AV$1,'在庫使用計画 (法人)'!$A$1:$BF$1,0))*1,0),
_xlpm._合計,_xlpm._一般検索+_xlpm._法人検索,
IF(_xlpm._合計=0,"",_xlpm._合計)
)</f>
        <v/>
      </c>
      <c r="AW78" s="224" t="str">
        <f>_xlfn.LET(
_xlpm._一般検索,IFERROR(INDEX('在庫使用計画 (一般)'!$A$1:$BF$391,MATCH($C78,'在庫使用計画 (一般)'!$C$1:$C$391,0),MATCH(AW$1,'在庫使用計画 (一般)'!$A$1:$BF$1,0))*1,0),
_xlpm._法人検索,IFERROR(INDEX('在庫使用計画 (法人)'!$A$1:$BF$391,MATCH($C78,'在庫使用計画 (法人)'!$C$1:$C$391,0),MATCH(AW$1,'在庫使用計画 (法人)'!$A$1:$BF$1,0))*1,0),
_xlpm._合計,_xlpm._一般検索+_xlpm._法人検索,
IF(_xlpm._合計=0,"",_xlpm._合計)
)</f>
        <v/>
      </c>
      <c r="AX78" s="224" t="str">
        <f>_xlfn.LET(
_xlpm._一般検索,IFERROR(INDEX('在庫使用計画 (一般)'!$A$1:$BF$391,MATCH($C78,'在庫使用計画 (一般)'!$C$1:$C$391,0),MATCH(AX$1,'在庫使用計画 (一般)'!$A$1:$BF$1,0))*1,0),
_xlpm._法人検索,IFERROR(INDEX('在庫使用計画 (法人)'!$A$1:$BF$391,MATCH($C78,'在庫使用計画 (法人)'!$C$1:$C$391,0),MATCH(AX$1,'在庫使用計画 (法人)'!$A$1:$BF$1,0))*1,0),
_xlpm._合計,_xlpm._一般検索+_xlpm._法人検索,
IF(_xlpm._合計=0,"",_xlpm._合計)
)</f>
        <v/>
      </c>
      <c r="AY78" s="224" t="str">
        <f>_xlfn.LET(
_xlpm._一般検索,IFERROR(INDEX('在庫使用計画 (一般)'!$A$1:$BF$391,MATCH($C78,'在庫使用計画 (一般)'!$C$1:$C$391,0),MATCH(AY$1,'在庫使用計画 (一般)'!$A$1:$BF$1,0))*1,0),
_xlpm._法人検索,IFERROR(INDEX('在庫使用計画 (法人)'!$A$1:$BF$391,MATCH($C78,'在庫使用計画 (法人)'!$C$1:$C$391,0),MATCH(AY$1,'在庫使用計画 (法人)'!$A$1:$BF$1,0))*1,0),
_xlpm._合計,_xlpm._一般検索+_xlpm._法人検索,
IF(_xlpm._合計=0,"",_xlpm._合計)
)</f>
        <v/>
      </c>
      <c r="AZ78" s="224" t="str">
        <f>_xlfn.LET(
_xlpm._一般検索,IFERROR(INDEX('在庫使用計画 (一般)'!$A$1:$BF$391,MATCH($C78,'在庫使用計画 (一般)'!$C$1:$C$391,0),MATCH(AZ$1,'在庫使用計画 (一般)'!$A$1:$BF$1,0))*1,0),
_xlpm._法人検索,IFERROR(INDEX('在庫使用計画 (法人)'!$A$1:$BF$391,MATCH($C78,'在庫使用計画 (法人)'!$C$1:$C$391,0),MATCH(AZ$1,'在庫使用計画 (法人)'!$A$1:$BF$1,0))*1,0),
_xlpm._合計,_xlpm._一般検索+_xlpm._法人検索,
IF(_xlpm._合計=0,"",_xlpm._合計)
)</f>
        <v/>
      </c>
      <c r="BA78" s="224" t="str">
        <f>_xlfn.LET(
_xlpm._一般検索,IFERROR(INDEX('在庫使用計画 (一般)'!$A$1:$BF$391,MATCH($C78,'在庫使用計画 (一般)'!$C$1:$C$391,0),MATCH(BA$1,'在庫使用計画 (一般)'!$A$1:$BF$1,0))*1,0),
_xlpm._法人検索,IFERROR(INDEX('在庫使用計画 (法人)'!$A$1:$BF$391,MATCH($C78,'在庫使用計画 (法人)'!$C$1:$C$391,0),MATCH(BA$1,'在庫使用計画 (法人)'!$A$1:$BF$1,0))*1,0),
_xlpm._合計,_xlpm._一般検索+_xlpm._法人検索,
IF(_xlpm._合計=0,"",_xlpm._合計)
)</f>
        <v/>
      </c>
      <c r="BB78" s="224" t="str">
        <f>_xlfn.LET(
_xlpm._一般検索,IFERROR(INDEX('在庫使用計画 (一般)'!$A$1:$BF$391,MATCH($C78,'在庫使用計画 (一般)'!$C$1:$C$391,0),MATCH(BB$1,'在庫使用計画 (一般)'!$A$1:$BF$1,0))*1,0),
_xlpm._法人検索,IFERROR(INDEX('在庫使用計画 (法人)'!$A$1:$BF$391,MATCH($C78,'在庫使用計画 (法人)'!$C$1:$C$391,0),MATCH(BB$1,'在庫使用計画 (法人)'!$A$1:$BF$1,0))*1,0),
_xlpm._合計,_xlpm._一般検索+_xlpm._法人検索,
IF(_xlpm._合計=0,"",_xlpm._合計)
)</f>
        <v/>
      </c>
      <c r="BC78" s="224" t="str">
        <f>_xlfn.LET(
_xlpm._一般検索,IFERROR(INDEX('在庫使用計画 (一般)'!$A$1:$BF$391,MATCH($C78,'在庫使用計画 (一般)'!$C$1:$C$391,0),MATCH(BC$1,'在庫使用計画 (一般)'!$A$1:$BF$1,0))*1,0),
_xlpm._法人検索,IFERROR(INDEX('在庫使用計画 (法人)'!$A$1:$BF$391,MATCH($C78,'在庫使用計画 (法人)'!$C$1:$C$391,0),MATCH(BC$1,'在庫使用計画 (法人)'!$A$1:$BF$1,0))*1,0),
_xlpm._合計,_xlpm._一般検索+_xlpm._法人検索,
IF(_xlpm._合計=0,"",_xlpm._合計)
)</f>
        <v/>
      </c>
      <c r="BD78" s="224" t="str">
        <f>_xlfn.LET(
_xlpm._一般検索,IFERROR(INDEX('在庫使用計画 (一般)'!$A$1:$BF$391,MATCH($C78,'在庫使用計画 (一般)'!$C$1:$C$391,0),MATCH(BD$1,'在庫使用計画 (一般)'!$A$1:$BF$1,0))*1,0),
_xlpm._法人検索,IFERROR(INDEX('在庫使用計画 (法人)'!$A$1:$BF$391,MATCH($C78,'在庫使用計画 (法人)'!$C$1:$C$391,0),MATCH(BD$1,'在庫使用計画 (法人)'!$A$1:$BF$1,0))*1,0),
_xlpm._合計,_xlpm._一般検索+_xlpm._法人検索,
IF(_xlpm._合計=0,"",_xlpm._合計)
)</f>
        <v/>
      </c>
      <c r="BE78" s="224" t="str">
        <f>_xlfn.LET(
_xlpm._一般検索,IFERROR(INDEX('在庫使用計画 (一般)'!$A$1:$BF$391,MATCH($C78,'在庫使用計画 (一般)'!$C$1:$C$391,0),MATCH(BE$1,'在庫使用計画 (一般)'!$A$1:$BF$1,0))*1,0),
_xlpm._法人検索,IFERROR(INDEX('在庫使用計画 (法人)'!$A$1:$BF$391,MATCH($C78,'在庫使用計画 (法人)'!$C$1:$C$391,0),MATCH(BE$1,'在庫使用計画 (法人)'!$A$1:$BF$1,0))*1,0),
_xlpm._合計,_xlpm._一般検索+_xlpm._法人検索,
IF(_xlpm._合計=0,"",_xlpm._合計)
)</f>
        <v/>
      </c>
      <c r="BF78" s="224" t="str">
        <f>_xlfn.LET(
_xlpm._一般検索,IFERROR(INDEX('在庫使用計画 (一般)'!$A$1:$BF$391,MATCH($C78,'在庫使用計画 (一般)'!$C$1:$C$391,0),MATCH(BF$1,'在庫使用計画 (一般)'!$A$1:$BF$1,0))*1,0),
_xlpm._法人検索,IFERROR(INDEX('在庫使用計画 (法人)'!$A$1:$BF$391,MATCH($C78,'在庫使用計画 (法人)'!$C$1:$C$391,0),MATCH(BF$1,'在庫使用計画 (法人)'!$A$1:$BF$1,0))*1,0),
_xlpm._合計,_xlpm._一般検索+_xlpm._法人検索,
IF(_xlpm._合計=0,"",_xlpm._合計)
)</f>
        <v/>
      </c>
      <c r="BG78" s="237" t="str">
        <f>_xlfn.LET(
_xlpm._一般検索,IFERROR(INDEX('在庫使用計画 (一般)'!$A$1:$BF$391,MATCH($C78,'在庫使用計画 (一般)'!$C$1:$C$391,0),MATCH(BG$1,'在庫使用計画 (一般)'!$A$1:$BF$1,0))*1,0),
_xlpm._法人検索,IFERROR(INDEX('在庫使用計画 (法人)'!$A$1:$BF$391,MATCH($C78,'在庫使用計画 (法人)'!$C$1:$C$391,0),MATCH(BG$1,'在庫使用計画 (法人)'!$A$1:$BF$1,0))*1,0),
_xlpm._合計,_xlpm._一般検索+_xlpm._法人検索,
IF(_xlpm._合計=0,"",_xlpm._合計)
)</f>
        <v/>
      </c>
      <c r="BH78" s="804" t="str">
        <f>_xlfn.LET(
_xlpm._一般検索,IFERROR(INDEX('在庫使用計画 (一般)'!$A$1:$BF$391,MATCH($C78,'在庫使用計画 (一般)'!$C$1:$C$391,0),MATCH(BH$1,'在庫使用計画 (一般)'!$A$1:$BF$1,0))*1,0),
_xlpm._法人検索,IFERROR(INDEX('在庫使用計画 (法人)'!$A$1:$BF$391,MATCH($C78,'在庫使用計画 (法人)'!$C$1:$C$391,0),MATCH(BH$1,'在庫使用計画 (法人)'!$A$1:$BF$1,0))*1,0),
_xlpm._合計,_xlpm._一般検索+_xlpm._法人検索,
IF(_xlpm._合計=0,"",_xlpm._合計)
)</f>
        <v/>
      </c>
      <c r="BI78" s="224" t="str">
        <f>_xlfn.LET(
_xlpm._一般検索,IFERROR(INDEX('在庫使用計画 (一般)'!$A$1:$BF$391,MATCH($C78,'在庫使用計画 (一般)'!$C$1:$C$391,0),MATCH(BI$1,'在庫使用計画 (一般)'!$A$1:$BF$1,0))*1,0),
_xlpm._法人検索,IFERROR(INDEX('在庫使用計画 (法人)'!$A$1:$BF$391,MATCH($C78,'在庫使用計画 (法人)'!$C$1:$C$391,0),MATCH(BI$1,'在庫使用計画 (法人)'!$A$1:$BF$1,0))*1,0),
_xlpm._合計,_xlpm._一般検索+_xlpm._法人検索,
IF(_xlpm._合計=0,"",_xlpm._合計)
)</f>
        <v/>
      </c>
      <c r="BJ78" s="224" t="str">
        <f>_xlfn.LET(
_xlpm._一般検索,IFERROR(INDEX('在庫使用計画 (一般)'!$A$1:$BF$391,MATCH($C78,'在庫使用計画 (一般)'!$C$1:$C$391,0),MATCH(BJ$1,'在庫使用計画 (一般)'!$A$1:$BF$1,0))*1,0),
_xlpm._法人検索,IFERROR(INDEX('在庫使用計画 (法人)'!$A$1:$BF$391,MATCH($C78,'在庫使用計画 (法人)'!$C$1:$C$391,0),MATCH(BJ$1,'在庫使用計画 (法人)'!$A$1:$BF$1,0))*1,0),
_xlpm._合計,_xlpm._一般検索+_xlpm._法人検索,
IF(_xlpm._合計=0,"",_xlpm._合計)
)</f>
        <v/>
      </c>
      <c r="BK78" s="224" t="str">
        <f>_xlfn.LET(
_xlpm._一般検索,IFERROR(INDEX('在庫使用計画 (一般)'!$A$1:$BF$391,MATCH($C78,'在庫使用計画 (一般)'!$C$1:$C$391,0),MATCH(BK$1,'在庫使用計画 (一般)'!$A$1:$BF$1,0))*1,0),
_xlpm._法人検索,IFERROR(INDEX('在庫使用計画 (法人)'!$A$1:$BF$391,MATCH($C78,'在庫使用計画 (法人)'!$C$1:$C$391,0),MATCH(BK$1,'在庫使用計画 (法人)'!$A$1:$BF$1,0))*1,0),
_xlpm._合計,_xlpm._一般検索+_xlpm._法人検索,
IF(_xlpm._合計=0,"",_xlpm._合計)
)</f>
        <v/>
      </c>
      <c r="BL78" s="224" t="str">
        <f>_xlfn.LET(
_xlpm._一般検索,IFERROR(INDEX('在庫使用計画 (一般)'!$A$1:$BF$391,MATCH($C78,'在庫使用計画 (一般)'!$C$1:$C$391,0),MATCH(BL$1,'在庫使用計画 (一般)'!$A$1:$BF$1,0))*1,0),
_xlpm._法人検索,IFERROR(INDEX('在庫使用計画 (法人)'!$A$1:$BF$391,MATCH($C78,'在庫使用計画 (法人)'!$C$1:$C$391,0),MATCH(BL$1,'在庫使用計画 (法人)'!$A$1:$BF$1,0))*1,0),
_xlpm._合計,_xlpm._一般検索+_xlpm._法人検索,
IF(_xlpm._合計=0,"",_xlpm._合計)
)</f>
        <v/>
      </c>
      <c r="BM78" s="224" t="str">
        <f>_xlfn.LET(
_xlpm._一般検索,IFERROR(INDEX('在庫使用計画 (一般)'!$A$1:$BF$391,MATCH($C78,'在庫使用計画 (一般)'!$C$1:$C$391,0),MATCH(BM$1,'在庫使用計画 (一般)'!$A$1:$BF$1,0))*1,0),
_xlpm._法人検索,IFERROR(INDEX('在庫使用計画 (法人)'!$A$1:$BF$391,MATCH($C78,'在庫使用計画 (法人)'!$C$1:$C$391,0),MATCH(BM$1,'在庫使用計画 (法人)'!$A$1:$BF$1,0))*1,0),
_xlpm._合計,_xlpm._一般検索+_xlpm._法人検索,
IF(_xlpm._合計=0,"",_xlpm._合計)
)</f>
        <v/>
      </c>
      <c r="BN78" s="224" t="str">
        <f>_xlfn.LET(
_xlpm._一般検索,IFERROR(INDEX('在庫使用計画 (一般)'!$A$1:$BF$391,MATCH($C78,'在庫使用計画 (一般)'!$C$1:$C$391,0),MATCH(BN$1,'在庫使用計画 (一般)'!$A$1:$BF$1,0))*1,0),
_xlpm._法人検索,IFERROR(INDEX('在庫使用計画 (法人)'!$A$1:$BF$391,MATCH($C78,'在庫使用計画 (法人)'!$C$1:$C$391,0),MATCH(BN$1,'在庫使用計画 (法人)'!$A$1:$BF$1,0))*1,0),
_xlpm._合計,_xlpm._一般検索+_xlpm._法人検索,
IF(_xlpm._合計=0,"",_xlpm._合計)
)</f>
        <v/>
      </c>
      <c r="BO78" s="224" t="str">
        <f>_xlfn.LET(
_xlpm._一般検索,IFERROR(INDEX('在庫使用計画 (一般)'!$A$1:$BF$391,MATCH($C78,'在庫使用計画 (一般)'!$C$1:$C$391,0),MATCH(BO$1,'在庫使用計画 (一般)'!$A$1:$BF$1,0))*1,0),
_xlpm._法人検索,IFERROR(INDEX('在庫使用計画 (法人)'!$A$1:$BF$391,MATCH($C78,'在庫使用計画 (法人)'!$C$1:$C$391,0),MATCH(BO$1,'在庫使用計画 (法人)'!$A$1:$BF$1,0))*1,0),
_xlpm._合計,_xlpm._一般検索+_xlpm._法人検索,
IF(_xlpm._合計=0,"",_xlpm._合計)
)</f>
        <v/>
      </c>
      <c r="BP78" s="224" t="str">
        <f>_xlfn.LET(
_xlpm._一般検索,IFERROR(INDEX('在庫使用計画 (一般)'!$A$1:$BF$391,MATCH($C78,'在庫使用計画 (一般)'!$C$1:$C$391,0),MATCH(BP$1,'在庫使用計画 (一般)'!$A$1:$BF$1,0))*1,0),
_xlpm._法人検索,IFERROR(INDEX('在庫使用計画 (法人)'!$A$1:$BF$391,MATCH($C78,'在庫使用計画 (法人)'!$C$1:$C$391,0),MATCH(BP$1,'在庫使用計画 (法人)'!$A$1:$BF$1,0))*1,0),
_xlpm._合計,_xlpm._一般検索+_xlpm._法人検索,
IF(_xlpm._合計=0,"",_xlpm._合計)
)</f>
        <v/>
      </c>
      <c r="BQ78" s="224" t="str">
        <f>_xlfn.LET(
_xlpm._一般検索,IFERROR(INDEX('在庫使用計画 (一般)'!$A$1:$BF$391,MATCH($C78,'在庫使用計画 (一般)'!$C$1:$C$391,0),MATCH(BQ$1,'在庫使用計画 (一般)'!$A$1:$BF$1,0))*1,0),
_xlpm._法人検索,IFERROR(INDEX('在庫使用計画 (法人)'!$A$1:$BF$391,MATCH($C78,'在庫使用計画 (法人)'!$C$1:$C$391,0),MATCH(BQ$1,'在庫使用計画 (法人)'!$A$1:$BF$1,0))*1,0),
_xlpm._合計,_xlpm._一般検索+_xlpm._法人検索,
IF(_xlpm._合計=0,"",_xlpm._合計)
)</f>
        <v/>
      </c>
      <c r="BR78" s="224" t="str">
        <f>_xlfn.LET(
_xlpm._一般検索,IFERROR(INDEX('在庫使用計画 (一般)'!$A$1:$BF$391,MATCH($C78,'在庫使用計画 (一般)'!$C$1:$C$391,0),MATCH(BR$1,'在庫使用計画 (一般)'!$A$1:$BF$1,0))*1,0),
_xlpm._法人検索,IFERROR(INDEX('在庫使用計画 (法人)'!$A$1:$BF$391,MATCH($C78,'在庫使用計画 (法人)'!$C$1:$C$391,0),MATCH(BR$1,'在庫使用計画 (法人)'!$A$1:$BF$1,0))*1,0),
_xlpm._合計,_xlpm._一般検索+_xlpm._法人検索,
IF(_xlpm._合計=0,"",_xlpm._合計)
)</f>
        <v/>
      </c>
      <c r="BS78" s="805" t="str">
        <f>_xlfn.LET(
_xlpm._一般検索,IFERROR(INDEX('在庫使用計画 (一般)'!$A$1:$BF$391,MATCH($C78,'在庫使用計画 (一般)'!$C$1:$C$391,0),MATCH(BS$1,'在庫使用計画 (一般)'!$A$1:$BF$1,0))*1,0),
_xlpm._法人検索,IFERROR(INDEX('在庫使用計画 (法人)'!$A$1:$BF$391,MATCH($C78,'在庫使用計画 (法人)'!$C$1:$C$391,0),MATCH(BS$1,'在庫使用計画 (法人)'!$A$1:$BF$1,0))*1,0),
_xlpm._合計,_xlpm._一般検索+_xlpm._法人検索,
IF(_xlpm._合計=0,"",_xlpm._合計)
)</f>
        <v/>
      </c>
      <c r="BT78" s="70"/>
    </row>
    <row r="79" spans="1:72" customFormat="1" ht="18.75" customHeight="1">
      <c r="A79" s="2069" t="s">
        <v>1473</v>
      </c>
      <c r="B79" s="712" t="str">
        <v>CLE-L24-U7-355-UMA-32G-L7 Thirdwave</v>
      </c>
      <c r="C79" s="713" t="s">
        <v>718</v>
      </c>
      <c r="D79" s="2166">
        <v>1160</v>
      </c>
      <c r="E79" s="713" t="s">
        <v>1448</v>
      </c>
      <c r="F79" s="714"/>
      <c r="G79" s="74">
        <v>1001</v>
      </c>
      <c r="H79" s="38">
        <v>301</v>
      </c>
      <c r="I79" s="38" cm="1">
        <f t="array" ref="I79">IF($C79="","",
_xlfn.LET(
  _xlpm._見出し,$A$1:$BT$1,
  _xlpm._行,$A79:$BT79,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868</v>
      </c>
      <c r="J79" s="74" cm="1">
        <f t="array" ref="J79">_xlfn.LET(
  _xlpm._見出し,$A$1:$BS$1,
  _xlpm._行,$A79:$BS79,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IF($C79="","",_xlpm._四点五月計画合計)
)</f>
        <v>824.5</v>
      </c>
      <c r="K79" s="1458" cm="1">
        <f t="array" ref="K79">_xlfn.IFS(
  $C79="","",
  $G79="","発売前？",
  $G79=0,"在庫なし",
  TRUE,
  IFERROR(
    _xlfn.LET(
      _xlpm._在庫注残,     $G79,
      _xlpm._しきい値,     _xlpm._在庫注残 * 0.75,
      _xlpm._見出し元,     $L$1:$BU$1,
      _xlpm._計画,         $L79:$BU79,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46296</v>
      </c>
      <c r="L79" s="109"/>
      <c r="M79" s="109"/>
      <c r="N79" s="196"/>
      <c r="O79" s="423"/>
      <c r="P79" s="423"/>
      <c r="Q79" s="423"/>
      <c r="R79" s="423"/>
      <c r="S79" s="423"/>
      <c r="T79" s="423"/>
      <c r="U79" s="423"/>
      <c r="V79" s="423"/>
      <c r="W79" s="516"/>
      <c r="X79" s="516"/>
      <c r="Y79" s="516"/>
      <c r="Z79" s="516"/>
      <c r="AA79" s="516"/>
      <c r="AB79" s="516"/>
      <c r="AC79" s="516"/>
      <c r="AD79" s="516"/>
      <c r="AE79" s="219"/>
      <c r="AF79" s="219"/>
      <c r="AG79" s="219" t="s">
        <v>21</v>
      </c>
      <c r="AH79" s="224" t="s">
        <v>21</v>
      </c>
      <c r="AI79" s="480" t="s">
        <v>21</v>
      </c>
      <c r="AJ79" s="804" t="s">
        <v>21</v>
      </c>
      <c r="AK79" s="224">
        <v>20</v>
      </c>
      <c r="AL79" s="224">
        <v>31</v>
      </c>
      <c r="AM79" s="224">
        <v>72</v>
      </c>
      <c r="AN79" s="224">
        <f>_xlfn.LET(
_xlpm._一般検索,IFERROR(INDEX('在庫使用計画 (一般)'!$A$1:$BF$391,MATCH($C79,'在庫使用計画 (一般)'!$C$1:$C$391,0),MATCH(AN$1,'在庫使用計画 (一般)'!$A$1:$BF$1,0))*1,0),
_xlpm._法人検索,IFERROR(INDEX('在庫使用計画 (法人)'!$A$1:$BF$391,MATCH($C79,'在庫使用計画 (法人)'!$C$1:$C$391,0),MATCH(AN$1,'在庫使用計画 (法人)'!$A$1:$BF$1,0))*1,0),
_xlpm._合計,_xlpm._一般検索+_xlpm._法人検索,
IF(_xlpm._合計=0,"",_xlpm._合計)
)</f>
        <v>55</v>
      </c>
      <c r="AO79" s="224">
        <f>_xlfn.LET(
_xlpm._一般検索,IFERROR(INDEX('在庫使用計画 (一般)'!$A$1:$BF$391,MATCH($C79,'在庫使用計画 (一般)'!$C$1:$C$391,0),MATCH(AO$1,'在庫使用計画 (一般)'!$A$1:$BF$1,0))*1,0),
_xlpm._法人検索,IFERROR(INDEX('在庫使用計画 (法人)'!$A$1:$BF$391,MATCH($C79,'在庫使用計画 (法人)'!$C$1:$C$391,0),MATCH(AO$1,'在庫使用計画 (法人)'!$A$1:$BF$1,0))*1,0),
_xlpm._合計,_xlpm._一般検索+_xlpm._法人検索,
IF(_xlpm._合計=0,"",_xlpm._合計)
)</f>
        <v>38</v>
      </c>
      <c r="AP79" s="224">
        <f>_xlfn.LET(
_xlpm._一般検索,IFERROR(INDEX('在庫使用計画 (一般)'!$A$1:$BF$391,MATCH($C79,'在庫使用計画 (一般)'!$C$1:$C$391,0),MATCH(AP$1,'在庫使用計画 (一般)'!$A$1:$BF$1,0))*1,0),
_xlpm._法人検索,IFERROR(INDEX('在庫使用計画 (法人)'!$A$1:$BF$391,MATCH($C79,'在庫使用計画 (法人)'!$C$1:$C$391,0),MATCH(AP$1,'在庫使用計画 (法人)'!$A$1:$BF$1,0))*1,0),
_xlpm._合計,_xlpm._一般検索+_xlpm._法人検索,
IF(_xlpm._合計=0,"",_xlpm._合計)
)</f>
        <v>365</v>
      </c>
      <c r="AQ79" s="224">
        <f>_xlfn.LET(
_xlpm._一般検索,IFERROR(INDEX('在庫使用計画 (一般)'!$A$1:$BF$391,MATCH($C79,'在庫使用計画 (一般)'!$C$1:$C$391,0),MATCH(AQ$1,'在庫使用計画 (一般)'!$A$1:$BF$1,0))*1,0),
_xlpm._法人検索,IFERROR(INDEX('在庫使用計画 (法人)'!$A$1:$BF$391,MATCH($C79,'在庫使用計画 (法人)'!$C$1:$C$391,0),MATCH(AQ$1,'在庫使用計画 (法人)'!$A$1:$BF$1,0))*1,0),
_xlpm._合計,_xlpm._一般検索+_xlpm._法人検索,
IF(_xlpm._合計=0,"",_xlpm._合計)
)</f>
        <v>113</v>
      </c>
      <c r="AR79" s="224">
        <f>_xlfn.LET(
_xlpm._一般検索,IFERROR(INDEX('在庫使用計画 (一般)'!$A$1:$BF$391,MATCH($C79,'在庫使用計画 (一般)'!$C$1:$C$391,0),MATCH(AR$1,'在庫使用計画 (一般)'!$A$1:$BF$1,0))*1,0),
_xlpm._法人検索,IFERROR(INDEX('在庫使用計画 (法人)'!$A$1:$BF$391,MATCH($C79,'在庫使用計画 (法人)'!$C$1:$C$391,0),MATCH(AR$1,'在庫使用計画 (法人)'!$A$1:$BF$1,0))*1,0),
_xlpm._合計,_xlpm._一般検索+_xlpm._法人検索,
IF(_xlpm._合計=0,"",_xlpm._合計)
)</f>
        <v>110</v>
      </c>
      <c r="AS79" s="224">
        <f>_xlfn.LET(
_xlpm._一般検索,IFERROR(INDEX('在庫使用計画 (一般)'!$A$1:$BF$391,MATCH($C79,'在庫使用計画 (一般)'!$C$1:$C$391,0),MATCH(AS$1,'在庫使用計画 (一般)'!$A$1:$BF$1,0))*1,0),
_xlpm._法人検索,IFERROR(INDEX('在庫使用計画 (法人)'!$A$1:$BF$391,MATCH($C79,'在庫使用計画 (法人)'!$C$1:$C$391,0),MATCH(AS$1,'在庫使用計画 (法人)'!$A$1:$BF$1,0))*1,0),
_xlpm._合計,_xlpm._一般検索+_xlpm._法人検索,
IF(_xlpm._合計=0,"",_xlpm._合計)
)</f>
        <v>280</v>
      </c>
      <c r="AT79" s="224">
        <f>_xlfn.LET(
_xlpm._一般検索,IFERROR(INDEX('在庫使用計画 (一般)'!$A$1:$BF$391,MATCH($C79,'在庫使用計画 (一般)'!$C$1:$C$391,0),MATCH(AT$1,'在庫使用計画 (一般)'!$A$1:$BF$1,0))*1,0),
_xlpm._法人検索,IFERROR(INDEX('在庫使用計画 (法人)'!$A$1:$BF$391,MATCH($C79,'在庫使用計画 (法人)'!$C$1:$C$391,0),MATCH(AT$1,'在庫使用計画 (法人)'!$A$1:$BF$1,0))*1,0),
_xlpm._合計,_xlpm._一般検索+_xlpm._法人検索,
IF(_xlpm._合計=0,"",_xlpm._合計)
)</f>
        <v>139</v>
      </c>
      <c r="AU79" s="805">
        <f>_xlfn.LET(
_xlpm._一般検索,IFERROR(INDEX('在庫使用計画 (一般)'!$A$1:$BF$391,MATCH($C79,'在庫使用計画 (一般)'!$C$1:$C$391,0),MATCH(AU$1,'在庫使用計画 (一般)'!$A$1:$BF$1,0))*1,0),
_xlpm._法人検索,IFERROR(INDEX('在庫使用計画 (法人)'!$A$1:$BF$391,MATCH($C79,'在庫使用計画 (法人)'!$C$1:$C$391,0),MATCH(AU$1,'在庫使用計画 (法人)'!$A$1:$BF$1,0))*1,0),
_xlpm._合計,_xlpm._一般検索+_xlpm._法人検索,
IF(_xlpm._合計=0,"",_xlpm._合計)
)</f>
        <v>143</v>
      </c>
      <c r="AV79" s="244">
        <f>_xlfn.LET(
_xlpm._一般検索,IFERROR(INDEX('在庫使用計画 (一般)'!$A$1:$BF$391,MATCH($C79,'在庫使用計画 (一般)'!$C$1:$C$391,0),MATCH(AV$1,'在庫使用計画 (一般)'!$A$1:$BF$1,0))*1,0),
_xlpm._法人検索,IFERROR(INDEX('在庫使用計画 (法人)'!$A$1:$BF$391,MATCH($C79,'在庫使用計画 (法人)'!$C$1:$C$391,0),MATCH(AV$1,'在庫使用計画 (法人)'!$A$1:$BF$1,0))*1,0),
_xlpm._合計,_xlpm._一般検索+_xlpm._法人検索,
IF(_xlpm._合計=0,"",_xlpm._合計)
)</f>
        <v>174</v>
      </c>
      <c r="AW79" s="224">
        <f>_xlfn.LET(
_xlpm._一般検索,IFERROR(INDEX('在庫使用計画 (一般)'!$A$1:$BF$391,MATCH($C79,'在庫使用計画 (一般)'!$C$1:$C$391,0),MATCH(AW$1,'在庫使用計画 (一般)'!$A$1:$BF$1,0))*1,0),
_xlpm._法人検索,IFERROR(INDEX('在庫使用計画 (法人)'!$A$1:$BF$391,MATCH($C79,'在庫使用計画 (法人)'!$C$1:$C$391,0),MATCH(AW$1,'在庫使用計画 (法人)'!$A$1:$BF$1,0))*1,0),
_xlpm._合計,_xlpm._一般検索+_xlpm._法人検索,
IF(_xlpm._合計=0,"",_xlpm._合計)
)</f>
        <v>230</v>
      </c>
      <c r="AX79" s="224">
        <f>_xlfn.LET(
_xlpm._一般検索,IFERROR(INDEX('在庫使用計画 (一般)'!$A$1:$BF$391,MATCH($C79,'在庫使用計画 (一般)'!$C$1:$C$391,0),MATCH(AX$1,'在庫使用計画 (一般)'!$A$1:$BF$1,0))*1,0),
_xlpm._法人検索,IFERROR(INDEX('在庫使用計画 (法人)'!$A$1:$BF$391,MATCH($C79,'在庫使用計画 (法人)'!$C$1:$C$391,0),MATCH(AX$1,'在庫使用計画 (法人)'!$A$1:$BF$1,0))*1,0),
_xlpm._合計,_xlpm._一般検索+_xlpm._法人検索,
IF(_xlpm._合計=0,"",_xlpm._合計)
)</f>
        <v>235</v>
      </c>
      <c r="AY79" s="224">
        <f>_xlfn.LET(
_xlpm._一般検索,IFERROR(INDEX('在庫使用計画 (一般)'!$A$1:$BF$391,MATCH($C79,'在庫使用計画 (一般)'!$C$1:$C$391,0),MATCH(AY$1,'在庫使用計画 (一般)'!$A$1:$BF$1,0))*1,0),
_xlpm._法人検索,IFERROR(INDEX('在庫使用計画 (法人)'!$A$1:$BF$391,MATCH($C79,'在庫使用計画 (法人)'!$C$1:$C$391,0),MATCH(AY$1,'在庫使用計画 (法人)'!$A$1:$BF$1,0))*1,0),
_xlpm._合計,_xlpm._一般検索+_xlpm._法人検索,
IF(_xlpm._合計=0,"",_xlpm._合計)
)</f>
        <v>140</v>
      </c>
      <c r="AZ79" s="224">
        <f>_xlfn.LET(
_xlpm._一般検索,IFERROR(INDEX('在庫使用計画 (一般)'!$A$1:$BF$391,MATCH($C79,'在庫使用計画 (一般)'!$C$1:$C$391,0),MATCH(AZ$1,'在庫使用計画 (一般)'!$A$1:$BF$1,0))*1,0),
_xlpm._法人検索,IFERROR(INDEX('在庫使用計画 (法人)'!$A$1:$BF$391,MATCH($C79,'在庫使用計画 (法人)'!$C$1:$C$391,0),MATCH(AZ$1,'在庫使用計画 (法人)'!$A$1:$BF$1,0))*1,0),
_xlpm._合計,_xlpm._一般検索+_xlpm._法人検索,
IF(_xlpm._合計=0,"",_xlpm._合計)
)</f>
        <v>130</v>
      </c>
      <c r="BA79" s="224">
        <f>_xlfn.LET(
_xlpm._一般検索,IFERROR(INDEX('在庫使用計画 (一般)'!$A$1:$BF$391,MATCH($C79,'在庫使用計画 (一般)'!$C$1:$C$391,0),MATCH(BA$1,'在庫使用計画 (一般)'!$A$1:$BF$1,0))*1,0),
_xlpm._法人検索,IFERROR(INDEX('在庫使用計画 (法人)'!$A$1:$BF$391,MATCH($C79,'在庫使用計画 (法人)'!$C$1:$C$391,0),MATCH(BA$1,'在庫使用計画 (法人)'!$A$1:$BF$1,0))*1,0),
_xlpm._合計,_xlpm._一般検索+_xlpm._法人検索,
IF(_xlpm._合計=0,"",_xlpm._合計)
)</f>
        <v>130</v>
      </c>
      <c r="BB79" s="224">
        <f>_xlfn.LET(
_xlpm._一般検索,IFERROR(INDEX('在庫使用計画 (一般)'!$A$1:$BF$391,MATCH($C79,'在庫使用計画 (一般)'!$C$1:$C$391,0),MATCH(BB$1,'在庫使用計画 (一般)'!$A$1:$BF$1,0))*1,0),
_xlpm._法人検索,IFERROR(INDEX('在庫使用計画 (法人)'!$A$1:$BF$391,MATCH($C79,'在庫使用計画 (法人)'!$C$1:$C$391,0),MATCH(BB$1,'在庫使用計画 (法人)'!$A$1:$BF$1,0))*1,0),
_xlpm._合計,_xlpm._一般検索+_xlpm._法人検索,
IF(_xlpm._合計=0,"",_xlpm._合計)
)</f>
        <v>130</v>
      </c>
      <c r="BC79" s="224">
        <f>_xlfn.LET(
_xlpm._一般検索,IFERROR(INDEX('在庫使用計画 (一般)'!$A$1:$BF$391,MATCH($C79,'在庫使用計画 (一般)'!$C$1:$C$391,0),MATCH(BC$1,'在庫使用計画 (一般)'!$A$1:$BF$1,0))*1,0),
_xlpm._法人検索,IFERROR(INDEX('在庫使用計画 (法人)'!$A$1:$BF$391,MATCH($C79,'在庫使用計画 (法人)'!$C$1:$C$391,0),MATCH(BC$1,'在庫使用計画 (法人)'!$A$1:$BF$1,0))*1,0),
_xlpm._合計,_xlpm._一般検索+_xlpm._法人検索,
IF(_xlpm._合計=0,"",_xlpm._合計)
)</f>
        <v>130</v>
      </c>
      <c r="BD79" s="224" t="str">
        <f>_xlfn.LET(
_xlpm._一般検索,IFERROR(INDEX('在庫使用計画 (一般)'!$A$1:$BF$391,MATCH($C79,'在庫使用計画 (一般)'!$C$1:$C$391,0),MATCH(BD$1,'在庫使用計画 (一般)'!$A$1:$BF$1,0))*1,0),
_xlpm._法人検索,IFERROR(INDEX('在庫使用計画 (法人)'!$A$1:$BF$391,MATCH($C79,'在庫使用計画 (法人)'!$C$1:$C$391,0),MATCH(BD$1,'在庫使用計画 (法人)'!$A$1:$BF$1,0))*1,0),
_xlpm._合計,_xlpm._一般検索+_xlpm._法人検索,
IF(_xlpm._合計=0,"",_xlpm._合計)
)</f>
        <v/>
      </c>
      <c r="BE79" s="224" t="str">
        <f>_xlfn.LET(
_xlpm._一般検索,IFERROR(INDEX('在庫使用計画 (一般)'!$A$1:$BF$391,MATCH($C79,'在庫使用計画 (一般)'!$C$1:$C$391,0),MATCH(BE$1,'在庫使用計画 (一般)'!$A$1:$BF$1,0))*1,0),
_xlpm._法人検索,IFERROR(INDEX('在庫使用計画 (法人)'!$A$1:$BF$391,MATCH($C79,'在庫使用計画 (法人)'!$C$1:$C$391,0),MATCH(BE$1,'在庫使用計画 (法人)'!$A$1:$BF$1,0))*1,0),
_xlpm._合計,_xlpm._一般検索+_xlpm._法人検索,
IF(_xlpm._合計=0,"",_xlpm._合計)
)</f>
        <v/>
      </c>
      <c r="BF79" s="224" t="str">
        <f>_xlfn.LET(
_xlpm._一般検索,IFERROR(INDEX('在庫使用計画 (一般)'!$A$1:$BF$391,MATCH($C79,'在庫使用計画 (一般)'!$C$1:$C$391,0),MATCH(BF$1,'在庫使用計画 (一般)'!$A$1:$BF$1,0))*1,0),
_xlpm._法人検索,IFERROR(INDEX('在庫使用計画 (法人)'!$A$1:$BF$391,MATCH($C79,'在庫使用計画 (法人)'!$C$1:$C$391,0),MATCH(BF$1,'在庫使用計画 (法人)'!$A$1:$BF$1,0))*1,0),
_xlpm._合計,_xlpm._一般検索+_xlpm._法人検索,
IF(_xlpm._合計=0,"",_xlpm._合計)
)</f>
        <v/>
      </c>
      <c r="BG79" s="237" t="str">
        <f>_xlfn.LET(
_xlpm._一般検索,IFERROR(INDEX('在庫使用計画 (一般)'!$A$1:$BF$391,MATCH($C79,'在庫使用計画 (一般)'!$C$1:$C$391,0),MATCH(BG$1,'在庫使用計画 (一般)'!$A$1:$BF$1,0))*1,0),
_xlpm._法人検索,IFERROR(INDEX('在庫使用計画 (法人)'!$A$1:$BF$391,MATCH($C79,'在庫使用計画 (法人)'!$C$1:$C$391,0),MATCH(BG$1,'在庫使用計画 (法人)'!$A$1:$BF$1,0))*1,0),
_xlpm._合計,_xlpm._一般検索+_xlpm._法人検索,
IF(_xlpm._合計=0,"",_xlpm._合計)
)</f>
        <v/>
      </c>
      <c r="BH79" s="804" t="str">
        <f>_xlfn.LET(
_xlpm._一般検索,IFERROR(INDEX('在庫使用計画 (一般)'!$A$1:$BF$391,MATCH($C79,'在庫使用計画 (一般)'!$C$1:$C$391,0),MATCH(BH$1,'在庫使用計画 (一般)'!$A$1:$BF$1,0))*1,0),
_xlpm._法人検索,IFERROR(INDEX('在庫使用計画 (法人)'!$A$1:$BF$391,MATCH($C79,'在庫使用計画 (法人)'!$C$1:$C$391,0),MATCH(BH$1,'在庫使用計画 (法人)'!$A$1:$BF$1,0))*1,0),
_xlpm._合計,_xlpm._一般検索+_xlpm._法人検索,
IF(_xlpm._合計=0,"",_xlpm._合計)
)</f>
        <v/>
      </c>
      <c r="BI79" s="224" t="str">
        <f>_xlfn.LET(
_xlpm._一般検索,IFERROR(INDEX('在庫使用計画 (一般)'!$A$1:$BF$391,MATCH($C79,'在庫使用計画 (一般)'!$C$1:$C$391,0),MATCH(BI$1,'在庫使用計画 (一般)'!$A$1:$BF$1,0))*1,0),
_xlpm._法人検索,IFERROR(INDEX('在庫使用計画 (法人)'!$A$1:$BF$391,MATCH($C79,'在庫使用計画 (法人)'!$C$1:$C$391,0),MATCH(BI$1,'在庫使用計画 (法人)'!$A$1:$BF$1,0))*1,0),
_xlpm._合計,_xlpm._一般検索+_xlpm._法人検索,
IF(_xlpm._合計=0,"",_xlpm._合計)
)</f>
        <v/>
      </c>
      <c r="BJ79" s="224" t="str">
        <f>_xlfn.LET(
_xlpm._一般検索,IFERROR(INDEX('在庫使用計画 (一般)'!$A$1:$BF$391,MATCH($C79,'在庫使用計画 (一般)'!$C$1:$C$391,0),MATCH(BJ$1,'在庫使用計画 (一般)'!$A$1:$BF$1,0))*1,0),
_xlpm._法人検索,IFERROR(INDEX('在庫使用計画 (法人)'!$A$1:$BF$391,MATCH($C79,'在庫使用計画 (法人)'!$C$1:$C$391,0),MATCH(BJ$1,'在庫使用計画 (法人)'!$A$1:$BF$1,0))*1,0),
_xlpm._合計,_xlpm._一般検索+_xlpm._法人検索,
IF(_xlpm._合計=0,"",_xlpm._合計)
)</f>
        <v/>
      </c>
      <c r="BK79" s="224" t="str">
        <f>_xlfn.LET(
_xlpm._一般検索,IFERROR(INDEX('在庫使用計画 (一般)'!$A$1:$BF$391,MATCH($C79,'在庫使用計画 (一般)'!$C$1:$C$391,0),MATCH(BK$1,'在庫使用計画 (一般)'!$A$1:$BF$1,0))*1,0),
_xlpm._法人検索,IFERROR(INDEX('在庫使用計画 (法人)'!$A$1:$BF$391,MATCH($C79,'在庫使用計画 (法人)'!$C$1:$C$391,0),MATCH(BK$1,'在庫使用計画 (法人)'!$A$1:$BF$1,0))*1,0),
_xlpm._合計,_xlpm._一般検索+_xlpm._法人検索,
IF(_xlpm._合計=0,"",_xlpm._合計)
)</f>
        <v/>
      </c>
      <c r="BL79" s="224" t="str">
        <f>_xlfn.LET(
_xlpm._一般検索,IFERROR(INDEX('在庫使用計画 (一般)'!$A$1:$BF$391,MATCH($C79,'在庫使用計画 (一般)'!$C$1:$C$391,0),MATCH(BL$1,'在庫使用計画 (一般)'!$A$1:$BF$1,0))*1,0),
_xlpm._法人検索,IFERROR(INDEX('在庫使用計画 (法人)'!$A$1:$BF$391,MATCH($C79,'在庫使用計画 (法人)'!$C$1:$C$391,0),MATCH(BL$1,'在庫使用計画 (法人)'!$A$1:$BF$1,0))*1,0),
_xlpm._合計,_xlpm._一般検索+_xlpm._法人検索,
IF(_xlpm._合計=0,"",_xlpm._合計)
)</f>
        <v/>
      </c>
      <c r="BM79" s="224" t="str">
        <f>_xlfn.LET(
_xlpm._一般検索,IFERROR(INDEX('在庫使用計画 (一般)'!$A$1:$BF$391,MATCH($C79,'在庫使用計画 (一般)'!$C$1:$C$391,0),MATCH(BM$1,'在庫使用計画 (一般)'!$A$1:$BF$1,0))*1,0),
_xlpm._法人検索,IFERROR(INDEX('在庫使用計画 (法人)'!$A$1:$BF$391,MATCH($C79,'在庫使用計画 (法人)'!$C$1:$C$391,0),MATCH(BM$1,'在庫使用計画 (法人)'!$A$1:$BF$1,0))*1,0),
_xlpm._合計,_xlpm._一般検索+_xlpm._法人検索,
IF(_xlpm._合計=0,"",_xlpm._合計)
)</f>
        <v/>
      </c>
      <c r="BN79" s="224" t="str">
        <f>_xlfn.LET(
_xlpm._一般検索,IFERROR(INDEX('在庫使用計画 (一般)'!$A$1:$BF$391,MATCH($C79,'在庫使用計画 (一般)'!$C$1:$C$391,0),MATCH(BN$1,'在庫使用計画 (一般)'!$A$1:$BF$1,0))*1,0),
_xlpm._法人検索,IFERROR(INDEX('在庫使用計画 (法人)'!$A$1:$BF$391,MATCH($C79,'在庫使用計画 (法人)'!$C$1:$C$391,0),MATCH(BN$1,'在庫使用計画 (法人)'!$A$1:$BF$1,0))*1,0),
_xlpm._合計,_xlpm._一般検索+_xlpm._法人検索,
IF(_xlpm._合計=0,"",_xlpm._合計)
)</f>
        <v/>
      </c>
      <c r="BO79" s="224" t="str">
        <f>_xlfn.LET(
_xlpm._一般検索,IFERROR(INDEX('在庫使用計画 (一般)'!$A$1:$BF$391,MATCH($C79,'在庫使用計画 (一般)'!$C$1:$C$391,0),MATCH(BO$1,'在庫使用計画 (一般)'!$A$1:$BF$1,0))*1,0),
_xlpm._法人検索,IFERROR(INDEX('在庫使用計画 (法人)'!$A$1:$BF$391,MATCH($C79,'在庫使用計画 (法人)'!$C$1:$C$391,0),MATCH(BO$1,'在庫使用計画 (法人)'!$A$1:$BF$1,0))*1,0),
_xlpm._合計,_xlpm._一般検索+_xlpm._法人検索,
IF(_xlpm._合計=0,"",_xlpm._合計)
)</f>
        <v/>
      </c>
      <c r="BP79" s="224" t="str">
        <f>_xlfn.LET(
_xlpm._一般検索,IFERROR(INDEX('在庫使用計画 (一般)'!$A$1:$BF$391,MATCH($C79,'在庫使用計画 (一般)'!$C$1:$C$391,0),MATCH(BP$1,'在庫使用計画 (一般)'!$A$1:$BF$1,0))*1,0),
_xlpm._法人検索,IFERROR(INDEX('在庫使用計画 (法人)'!$A$1:$BF$391,MATCH($C79,'在庫使用計画 (法人)'!$C$1:$C$391,0),MATCH(BP$1,'在庫使用計画 (法人)'!$A$1:$BF$1,0))*1,0),
_xlpm._合計,_xlpm._一般検索+_xlpm._法人検索,
IF(_xlpm._合計=0,"",_xlpm._合計)
)</f>
        <v/>
      </c>
      <c r="BQ79" s="224" t="str">
        <f>_xlfn.LET(
_xlpm._一般検索,IFERROR(INDEX('在庫使用計画 (一般)'!$A$1:$BF$391,MATCH($C79,'在庫使用計画 (一般)'!$C$1:$C$391,0),MATCH(BQ$1,'在庫使用計画 (一般)'!$A$1:$BF$1,0))*1,0),
_xlpm._法人検索,IFERROR(INDEX('在庫使用計画 (法人)'!$A$1:$BF$391,MATCH($C79,'在庫使用計画 (法人)'!$C$1:$C$391,0),MATCH(BQ$1,'在庫使用計画 (法人)'!$A$1:$BF$1,0))*1,0),
_xlpm._合計,_xlpm._一般検索+_xlpm._法人検索,
IF(_xlpm._合計=0,"",_xlpm._合計)
)</f>
        <v/>
      </c>
      <c r="BR79" s="224" t="str">
        <f>_xlfn.LET(
_xlpm._一般検索,IFERROR(INDEX('在庫使用計画 (一般)'!$A$1:$BF$391,MATCH($C79,'在庫使用計画 (一般)'!$C$1:$C$391,0),MATCH(BR$1,'在庫使用計画 (一般)'!$A$1:$BF$1,0))*1,0),
_xlpm._法人検索,IFERROR(INDEX('在庫使用計画 (法人)'!$A$1:$BF$391,MATCH($C79,'在庫使用計画 (法人)'!$C$1:$C$391,0),MATCH(BR$1,'在庫使用計画 (法人)'!$A$1:$BF$1,0))*1,0),
_xlpm._合計,_xlpm._一般検索+_xlpm._法人検索,
IF(_xlpm._合計=0,"",_xlpm._合計)
)</f>
        <v/>
      </c>
      <c r="BS79" s="805" t="str">
        <f>_xlfn.LET(
_xlpm._一般検索,IFERROR(INDEX('在庫使用計画 (一般)'!$A$1:$BF$391,MATCH($C79,'在庫使用計画 (一般)'!$C$1:$C$391,0),MATCH(BS$1,'在庫使用計画 (一般)'!$A$1:$BF$1,0))*1,0),
_xlpm._法人検索,IFERROR(INDEX('在庫使用計画 (法人)'!$A$1:$BF$391,MATCH($C79,'在庫使用計画 (法人)'!$C$1:$C$391,0),MATCH(BS$1,'在庫使用計画 (法人)'!$A$1:$BF$1,0))*1,0),
_xlpm._合計,_xlpm._一般検索+_xlpm._法人検索,
IF(_xlpm._合計=0,"",_xlpm._合計)
)</f>
        <v/>
      </c>
      <c r="BT79" s="21"/>
    </row>
    <row r="80" spans="1:72" customFormat="1" ht="18.75" customHeight="1">
      <c r="A80" s="2069" t="s">
        <v>1473</v>
      </c>
      <c r="B80" s="712" t="str">
        <v>CLE-L24-U5-325-UMA-16G-L7 Thirdwave</v>
      </c>
      <c r="C80" s="713" t="s">
        <v>771</v>
      </c>
      <c r="D80" s="2166">
        <v>1440</v>
      </c>
      <c r="E80" s="713" t="s">
        <v>1450</v>
      </c>
      <c r="F80" s="714"/>
      <c r="G80" s="74">
        <v>1247</v>
      </c>
      <c r="H80" s="38">
        <v>247</v>
      </c>
      <c r="I80" s="38" cm="1">
        <f t="array" ref="I80">IF($C80="","",
_xlfn.LET(
  _xlpm._見出し,$A$1:$BT$1,
  _xlpm._行,$A80:$BT80,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1109</v>
      </c>
      <c r="J80" s="74" cm="1">
        <f t="array" ref="J80">_xlfn.LET(
  _xlpm._見出し,$A$1:$BS$1,
  _xlpm._行,$A80:$BS80,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IF($C80="","",_xlpm._四点五月計画合計)
)</f>
        <v>1103.5</v>
      </c>
      <c r="K80" s="1458" cm="1">
        <f t="array" ref="K80">_xlfn.IFS(
  $C80="","",
  $G80="","発売前？",
  $G80=0,"在庫なし",
  TRUE,
  IFERROR(
    _xlfn.LET(
      _xlpm._在庫注残,     $G80,
      _xlpm._しきい値,     _xlpm._在庫注残 * 0.75,
      _xlpm._見出し元,     $L$1:$BU$1,
      _xlpm._計画,         $L80:$BU80,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46296</v>
      </c>
      <c r="L80" s="109"/>
      <c r="M80" s="109"/>
      <c r="N80" s="196"/>
      <c r="O80" s="423"/>
      <c r="P80" s="423"/>
      <c r="Q80" s="423"/>
      <c r="R80" s="423"/>
      <c r="S80" s="423"/>
      <c r="T80" s="423"/>
      <c r="U80" s="423"/>
      <c r="V80" s="423"/>
      <c r="W80" s="516"/>
      <c r="X80" s="516"/>
      <c r="Y80" s="516"/>
      <c r="Z80" s="516"/>
      <c r="AA80" s="516"/>
      <c r="AB80" s="516"/>
      <c r="AC80" s="516"/>
      <c r="AD80" s="516"/>
      <c r="AE80" s="219"/>
      <c r="AF80" s="219"/>
      <c r="AG80" s="219" t="s">
        <v>21</v>
      </c>
      <c r="AH80" s="224" t="s">
        <v>21</v>
      </c>
      <c r="AI80" s="480" t="s">
        <v>21</v>
      </c>
      <c r="AJ80" s="804" t="s">
        <v>21</v>
      </c>
      <c r="AK80" s="224">
        <v>30</v>
      </c>
      <c r="AL80" s="224">
        <v>40</v>
      </c>
      <c r="AM80" s="224">
        <v>18</v>
      </c>
      <c r="AN80" s="224">
        <f>_xlfn.LET(
_xlpm._一般検索,IFERROR(INDEX('在庫使用計画 (一般)'!$A$1:$BF$391,MATCH($C80,'在庫使用計画 (一般)'!$C$1:$C$391,0),MATCH(AN$1,'在庫使用計画 (一般)'!$A$1:$BF$1,0))*1,0),
_xlpm._法人検索,IFERROR(INDEX('在庫使用計画 (法人)'!$A$1:$BF$391,MATCH($C80,'在庫使用計画 (法人)'!$C$1:$C$391,0),MATCH(AN$1,'在庫使用計画 (法人)'!$A$1:$BF$1,0))*1,0),
_xlpm._合計,_xlpm._一般検索+_xlpm._法人検索,
IF(_xlpm._合計=0,"",_xlpm._合計)
)</f>
        <v>73</v>
      </c>
      <c r="AO80" s="224">
        <f>_xlfn.LET(
_xlpm._一般検索,IFERROR(INDEX('在庫使用計画 (一般)'!$A$1:$BF$391,MATCH($C80,'在庫使用計画 (一般)'!$C$1:$C$391,0),MATCH(AO$1,'在庫使用計画 (一般)'!$A$1:$BF$1,0))*1,0),
_xlpm._法人検索,IFERROR(INDEX('在庫使用計画 (法人)'!$A$1:$BF$391,MATCH($C80,'在庫使用計画 (法人)'!$C$1:$C$391,0),MATCH(AO$1,'在庫使用計画 (法人)'!$A$1:$BF$1,0))*1,0),
_xlpm._合計,_xlpm._一般検索+_xlpm._法人検索,
IF(_xlpm._合計=0,"",_xlpm._合計)
)</f>
        <v>303</v>
      </c>
      <c r="AP80" s="224">
        <f>_xlfn.LET(
_xlpm._一般検索,IFERROR(INDEX('在庫使用計画 (一般)'!$A$1:$BF$391,MATCH($C80,'在庫使用計画 (一般)'!$C$1:$C$391,0),MATCH(AP$1,'在庫使用計画 (一般)'!$A$1:$BF$1,0))*1,0),
_xlpm._法人検索,IFERROR(INDEX('在庫使用計画 (法人)'!$A$1:$BF$391,MATCH($C80,'在庫使用計画 (法人)'!$C$1:$C$391,0),MATCH(AP$1,'在庫使用計画 (法人)'!$A$1:$BF$1,0))*1,0),
_xlpm._合計,_xlpm._一般検索+_xlpm._法人検索,
IF(_xlpm._合計=0,"",_xlpm._合計)
)</f>
        <v>505</v>
      </c>
      <c r="AQ80" s="224">
        <f>_xlfn.LET(
_xlpm._一般検索,IFERROR(INDEX('在庫使用計画 (一般)'!$A$1:$BF$391,MATCH($C80,'在庫使用計画 (一般)'!$C$1:$C$391,0),MATCH(AQ$1,'在庫使用計画 (一般)'!$A$1:$BF$1,0))*1,0),
_xlpm._法人検索,IFERROR(INDEX('在庫使用計画 (法人)'!$A$1:$BF$391,MATCH($C80,'在庫使用計画 (法人)'!$C$1:$C$391,0),MATCH(AQ$1,'在庫使用計画 (法人)'!$A$1:$BF$1,0))*1,0),
_xlpm._合計,_xlpm._一般検索+_xlpm._法人検索,
IF(_xlpm._合計=0,"",_xlpm._合計)
)</f>
        <v>168</v>
      </c>
      <c r="AR80" s="224">
        <f>_xlfn.LET(
_xlpm._一般検索,IFERROR(INDEX('在庫使用計画 (一般)'!$A$1:$BF$391,MATCH($C80,'在庫使用計画 (一般)'!$C$1:$C$391,0),MATCH(AR$1,'在庫使用計画 (一般)'!$A$1:$BF$1,0))*1,0),
_xlpm._法人検索,IFERROR(INDEX('在庫使用計画 (法人)'!$A$1:$BF$391,MATCH($C80,'在庫使用計画 (法人)'!$C$1:$C$391,0),MATCH(AR$1,'在庫使用計画 (法人)'!$A$1:$BF$1,0))*1,0),
_xlpm._合計,_xlpm._一般検索+_xlpm._法人検索,
IF(_xlpm._合計=0,"",_xlpm._合計)
)</f>
        <v>168</v>
      </c>
      <c r="AS80" s="224">
        <f>_xlfn.LET(
_xlpm._一般検索,IFERROR(INDEX('在庫使用計画 (一般)'!$A$1:$BF$391,MATCH($C80,'在庫使用計画 (一般)'!$C$1:$C$391,0),MATCH(AS$1,'在庫使用計画 (一般)'!$A$1:$BF$1,0))*1,0),
_xlpm._法人検索,IFERROR(INDEX('在庫使用計画 (法人)'!$A$1:$BF$391,MATCH($C80,'在庫使用計画 (法人)'!$C$1:$C$391,0),MATCH(AS$1,'在庫使用計画 (法人)'!$A$1:$BF$1,0))*1,0),
_xlpm._合計,_xlpm._一般検索+_xlpm._法人検索,
IF(_xlpm._合計=0,"",_xlpm._合計)
)</f>
        <v>268</v>
      </c>
      <c r="AT80" s="224">
        <f>_xlfn.LET(
_xlpm._一般検索,IFERROR(INDEX('在庫使用計画 (一般)'!$A$1:$BF$391,MATCH($C80,'在庫使用計画 (一般)'!$C$1:$C$391,0),MATCH(AT$1,'在庫使用計画 (一般)'!$A$1:$BF$1,0))*1,0),
_xlpm._法人検索,IFERROR(INDEX('在庫使用計画 (法人)'!$A$1:$BF$391,MATCH($C80,'在庫使用計画 (法人)'!$C$1:$C$391,0),MATCH(AT$1,'在庫使用計画 (法人)'!$A$1:$BF$1,0))*1,0),
_xlpm._合計,_xlpm._一般検索+_xlpm._法人検索,
IF(_xlpm._合計=0,"",_xlpm._合計)
)</f>
        <v>247</v>
      </c>
      <c r="AU80" s="805">
        <f>_xlfn.LET(
_xlpm._一般検索,IFERROR(INDEX('在庫使用計画 (一般)'!$A$1:$BF$391,MATCH($C80,'在庫使用計画 (一般)'!$C$1:$C$391,0),MATCH(AU$1,'在庫使用計画 (一般)'!$A$1:$BF$1,0))*1,0),
_xlpm._法人検索,IFERROR(INDEX('在庫使用計画 (法人)'!$A$1:$BF$391,MATCH($C80,'在庫使用計画 (法人)'!$C$1:$C$391,0),MATCH(AU$1,'在庫使用計画 (法人)'!$A$1:$BF$1,0))*1,0),
_xlpm._合計,_xlpm._一般検索+_xlpm._法人検索,
IF(_xlpm._合計=0,"",_xlpm._合計)
)</f>
        <v>210</v>
      </c>
      <c r="AV80" s="244">
        <f>_xlfn.LET(
_xlpm._一般検索,IFERROR(INDEX('在庫使用計画 (一般)'!$A$1:$BF$391,MATCH($C80,'在庫使用計画 (一般)'!$C$1:$C$391,0),MATCH(AV$1,'在庫使用計画 (一般)'!$A$1:$BF$1,0))*1,0),
_xlpm._法人検索,IFERROR(INDEX('在庫使用計画 (法人)'!$A$1:$BF$391,MATCH($C80,'在庫使用計画 (法人)'!$C$1:$C$391,0),MATCH(AV$1,'在庫使用計画 (法人)'!$A$1:$BF$1,0))*1,0),
_xlpm._合計,_xlpm._一般検索+_xlpm._法人検索,
IF(_xlpm._合計=0,"",_xlpm._合計)
)</f>
        <v>231</v>
      </c>
      <c r="AW80" s="224">
        <f>_xlfn.LET(
_xlpm._一般検索,IFERROR(INDEX('在庫使用計画 (一般)'!$A$1:$BF$391,MATCH($C80,'在庫使用計画 (一般)'!$C$1:$C$391,0),MATCH(AW$1,'在庫使用計画 (一般)'!$A$1:$BF$1,0))*1,0),
_xlpm._法人検索,IFERROR(INDEX('在庫使用計画 (法人)'!$A$1:$BF$391,MATCH($C80,'在庫使用計画 (法人)'!$C$1:$C$391,0),MATCH(AW$1,'在庫使用計画 (法人)'!$A$1:$BF$1,0))*1,0),
_xlpm._合計,_xlpm._一般検索+_xlpm._法人検索,
IF(_xlpm._合計=0,"",_xlpm._合計)
)</f>
        <v>429</v>
      </c>
      <c r="AX80" s="224">
        <f>_xlfn.LET(
_xlpm._一般検索,IFERROR(INDEX('在庫使用計画 (一般)'!$A$1:$BF$391,MATCH($C80,'在庫使用計画 (一般)'!$C$1:$C$391,0),MATCH(AX$1,'在庫使用計画 (一般)'!$A$1:$BF$1,0))*1,0),
_xlpm._法人検索,IFERROR(INDEX('在庫使用計画 (法人)'!$A$1:$BF$391,MATCH($C80,'在庫使用計画 (法人)'!$C$1:$C$391,0),MATCH(AX$1,'在庫使用計画 (法人)'!$A$1:$BF$1,0))*1,0),
_xlpm._合計,_xlpm._一般検索+_xlpm._法人検索,
IF(_xlpm._合計=0,"",_xlpm._合計)
)</f>
        <v>432</v>
      </c>
      <c r="AY80" s="224">
        <f>_xlfn.LET(
_xlpm._一般検索,IFERROR(INDEX('在庫使用計画 (一般)'!$A$1:$BF$391,MATCH($C80,'在庫使用計画 (一般)'!$C$1:$C$391,0),MATCH(AY$1,'在庫使用計画 (一般)'!$A$1:$BF$1,0))*1,0),
_xlpm._法人検索,IFERROR(INDEX('在庫使用計画 (法人)'!$A$1:$BF$391,MATCH($C80,'在庫使用計画 (法人)'!$C$1:$C$391,0),MATCH(AY$1,'在庫使用計画 (法人)'!$A$1:$BF$1,0))*1,0),
_xlpm._合計,_xlpm._一般検索+_xlpm._法人検索,
IF(_xlpm._合計=0,"",_xlpm._合計)
)</f>
        <v>270</v>
      </c>
      <c r="AZ80" s="224">
        <f>_xlfn.LET(
_xlpm._一般検索,IFERROR(INDEX('在庫使用計画 (一般)'!$A$1:$BF$391,MATCH($C80,'在庫使用計画 (一般)'!$C$1:$C$391,0),MATCH(AZ$1,'在庫使用計画 (一般)'!$A$1:$BF$1,0))*1,0),
_xlpm._法人検索,IFERROR(INDEX('在庫使用計画 (法人)'!$A$1:$BF$391,MATCH($C80,'在庫使用計画 (法人)'!$C$1:$C$391,0),MATCH(AZ$1,'在庫使用計画 (法人)'!$A$1:$BF$1,0))*1,0),
_xlpm._合計,_xlpm._一般検索+_xlpm._法人検索,
IF(_xlpm._合計=0,"",_xlpm._合計)
)</f>
        <v>240</v>
      </c>
      <c r="BA80" s="224">
        <f>_xlfn.LET(
_xlpm._一般検索,IFERROR(INDEX('在庫使用計画 (一般)'!$A$1:$BF$391,MATCH($C80,'在庫使用計画 (一般)'!$C$1:$C$391,0),MATCH(BA$1,'在庫使用計画 (一般)'!$A$1:$BF$1,0))*1,0),
_xlpm._法人検索,IFERROR(INDEX('在庫使用計画 (法人)'!$A$1:$BF$391,MATCH($C80,'在庫使用計画 (法人)'!$C$1:$C$391,0),MATCH(BA$1,'在庫使用計画 (法人)'!$A$1:$BF$1,0))*1,0),
_xlpm._合計,_xlpm._一般検索+_xlpm._法人検索,
IF(_xlpm._合計=0,"",_xlpm._合計)
)</f>
        <v>220</v>
      </c>
      <c r="BB80" s="224">
        <f>_xlfn.LET(
_xlpm._一般検索,IFERROR(INDEX('在庫使用計画 (一般)'!$A$1:$BF$391,MATCH($C80,'在庫使用計画 (一般)'!$C$1:$C$391,0),MATCH(BB$1,'在庫使用計画 (一般)'!$A$1:$BF$1,0))*1,0),
_xlpm._法人検索,IFERROR(INDEX('在庫使用計画 (法人)'!$A$1:$BF$391,MATCH($C80,'在庫使用計画 (法人)'!$C$1:$C$391,0),MATCH(BB$1,'在庫使用計画 (法人)'!$A$1:$BF$1,0))*1,0),
_xlpm._合計,_xlpm._一般検索+_xlpm._法人検索,
IF(_xlpm._合計=0,"",_xlpm._合計)
)</f>
        <v>270</v>
      </c>
      <c r="BC80" s="224">
        <f>_xlfn.LET(
_xlpm._一般検索,IFERROR(INDEX('在庫使用計画 (一般)'!$A$1:$BF$391,MATCH($C80,'在庫使用計画 (一般)'!$C$1:$C$391,0),MATCH(BC$1,'在庫使用計画 (一般)'!$A$1:$BF$1,0))*1,0),
_xlpm._法人検索,IFERROR(INDEX('在庫使用計画 (法人)'!$A$1:$BF$391,MATCH($C80,'在庫使用計画 (法人)'!$C$1:$C$391,0),MATCH(BC$1,'在庫使用計画 (法人)'!$A$1:$BF$1,0))*1,0),
_xlpm._合計,_xlpm._一般検索+_xlpm._法人検索,
IF(_xlpm._合計=0,"",_xlpm._合計)
)</f>
        <v>210</v>
      </c>
      <c r="BD80" s="224" t="str">
        <f>_xlfn.LET(
_xlpm._一般検索,IFERROR(INDEX('在庫使用計画 (一般)'!$A$1:$BF$391,MATCH($C80,'在庫使用計画 (一般)'!$C$1:$C$391,0),MATCH(BD$1,'在庫使用計画 (一般)'!$A$1:$BF$1,0))*1,0),
_xlpm._法人検索,IFERROR(INDEX('在庫使用計画 (法人)'!$A$1:$BF$391,MATCH($C80,'在庫使用計画 (法人)'!$C$1:$C$391,0),MATCH(BD$1,'在庫使用計画 (法人)'!$A$1:$BF$1,0))*1,0),
_xlpm._合計,_xlpm._一般検索+_xlpm._法人検索,
IF(_xlpm._合計=0,"",_xlpm._合計)
)</f>
        <v/>
      </c>
      <c r="BE80" s="224" t="str">
        <f>_xlfn.LET(
_xlpm._一般検索,IFERROR(INDEX('在庫使用計画 (一般)'!$A$1:$BF$391,MATCH($C80,'在庫使用計画 (一般)'!$C$1:$C$391,0),MATCH(BE$1,'在庫使用計画 (一般)'!$A$1:$BF$1,0))*1,0),
_xlpm._法人検索,IFERROR(INDEX('在庫使用計画 (法人)'!$A$1:$BF$391,MATCH($C80,'在庫使用計画 (法人)'!$C$1:$C$391,0),MATCH(BE$1,'在庫使用計画 (法人)'!$A$1:$BF$1,0))*1,0),
_xlpm._合計,_xlpm._一般検索+_xlpm._法人検索,
IF(_xlpm._合計=0,"",_xlpm._合計)
)</f>
        <v/>
      </c>
      <c r="BF80" s="224" t="str">
        <f>_xlfn.LET(
_xlpm._一般検索,IFERROR(INDEX('在庫使用計画 (一般)'!$A$1:$BF$391,MATCH($C80,'在庫使用計画 (一般)'!$C$1:$C$391,0),MATCH(BF$1,'在庫使用計画 (一般)'!$A$1:$BF$1,0))*1,0),
_xlpm._法人検索,IFERROR(INDEX('在庫使用計画 (法人)'!$A$1:$BF$391,MATCH($C80,'在庫使用計画 (法人)'!$C$1:$C$391,0),MATCH(BF$1,'在庫使用計画 (法人)'!$A$1:$BF$1,0))*1,0),
_xlpm._合計,_xlpm._一般検索+_xlpm._法人検索,
IF(_xlpm._合計=0,"",_xlpm._合計)
)</f>
        <v/>
      </c>
      <c r="BG80" s="237" t="str">
        <f>_xlfn.LET(
_xlpm._一般検索,IFERROR(INDEX('在庫使用計画 (一般)'!$A$1:$BF$391,MATCH($C80,'在庫使用計画 (一般)'!$C$1:$C$391,0),MATCH(BG$1,'在庫使用計画 (一般)'!$A$1:$BF$1,0))*1,0),
_xlpm._法人検索,IFERROR(INDEX('在庫使用計画 (法人)'!$A$1:$BF$391,MATCH($C80,'在庫使用計画 (法人)'!$C$1:$C$391,0),MATCH(BG$1,'在庫使用計画 (法人)'!$A$1:$BF$1,0))*1,0),
_xlpm._合計,_xlpm._一般検索+_xlpm._法人検索,
IF(_xlpm._合計=0,"",_xlpm._合計)
)</f>
        <v/>
      </c>
      <c r="BH80" s="804" t="str">
        <f>_xlfn.LET(
_xlpm._一般検索,IFERROR(INDEX('在庫使用計画 (一般)'!$A$1:$BF$391,MATCH($C80,'在庫使用計画 (一般)'!$C$1:$C$391,0),MATCH(BH$1,'在庫使用計画 (一般)'!$A$1:$BF$1,0))*1,0),
_xlpm._法人検索,IFERROR(INDEX('在庫使用計画 (法人)'!$A$1:$BF$391,MATCH($C80,'在庫使用計画 (法人)'!$C$1:$C$391,0),MATCH(BH$1,'在庫使用計画 (法人)'!$A$1:$BF$1,0))*1,0),
_xlpm._合計,_xlpm._一般検索+_xlpm._法人検索,
IF(_xlpm._合計=0,"",_xlpm._合計)
)</f>
        <v/>
      </c>
      <c r="BI80" s="224" t="str">
        <f>_xlfn.LET(
_xlpm._一般検索,IFERROR(INDEX('在庫使用計画 (一般)'!$A$1:$BF$391,MATCH($C80,'在庫使用計画 (一般)'!$C$1:$C$391,0),MATCH(BI$1,'在庫使用計画 (一般)'!$A$1:$BF$1,0))*1,0),
_xlpm._法人検索,IFERROR(INDEX('在庫使用計画 (法人)'!$A$1:$BF$391,MATCH($C80,'在庫使用計画 (法人)'!$C$1:$C$391,0),MATCH(BI$1,'在庫使用計画 (法人)'!$A$1:$BF$1,0))*1,0),
_xlpm._合計,_xlpm._一般検索+_xlpm._法人検索,
IF(_xlpm._合計=0,"",_xlpm._合計)
)</f>
        <v/>
      </c>
      <c r="BJ80" s="224" t="str">
        <f>_xlfn.LET(
_xlpm._一般検索,IFERROR(INDEX('在庫使用計画 (一般)'!$A$1:$BF$391,MATCH($C80,'在庫使用計画 (一般)'!$C$1:$C$391,0),MATCH(BJ$1,'在庫使用計画 (一般)'!$A$1:$BF$1,0))*1,0),
_xlpm._法人検索,IFERROR(INDEX('在庫使用計画 (法人)'!$A$1:$BF$391,MATCH($C80,'在庫使用計画 (法人)'!$C$1:$C$391,0),MATCH(BJ$1,'在庫使用計画 (法人)'!$A$1:$BF$1,0))*1,0),
_xlpm._合計,_xlpm._一般検索+_xlpm._法人検索,
IF(_xlpm._合計=0,"",_xlpm._合計)
)</f>
        <v/>
      </c>
      <c r="BK80" s="224" t="str">
        <f>_xlfn.LET(
_xlpm._一般検索,IFERROR(INDEX('在庫使用計画 (一般)'!$A$1:$BF$391,MATCH($C80,'在庫使用計画 (一般)'!$C$1:$C$391,0),MATCH(BK$1,'在庫使用計画 (一般)'!$A$1:$BF$1,0))*1,0),
_xlpm._法人検索,IFERROR(INDEX('在庫使用計画 (法人)'!$A$1:$BF$391,MATCH($C80,'在庫使用計画 (法人)'!$C$1:$C$391,0),MATCH(BK$1,'在庫使用計画 (法人)'!$A$1:$BF$1,0))*1,0),
_xlpm._合計,_xlpm._一般検索+_xlpm._法人検索,
IF(_xlpm._合計=0,"",_xlpm._合計)
)</f>
        <v/>
      </c>
      <c r="BL80" s="224" t="str">
        <f>_xlfn.LET(
_xlpm._一般検索,IFERROR(INDEX('在庫使用計画 (一般)'!$A$1:$BF$391,MATCH($C80,'在庫使用計画 (一般)'!$C$1:$C$391,0),MATCH(BL$1,'在庫使用計画 (一般)'!$A$1:$BF$1,0))*1,0),
_xlpm._法人検索,IFERROR(INDEX('在庫使用計画 (法人)'!$A$1:$BF$391,MATCH($C80,'在庫使用計画 (法人)'!$C$1:$C$391,0),MATCH(BL$1,'在庫使用計画 (法人)'!$A$1:$BF$1,0))*1,0),
_xlpm._合計,_xlpm._一般検索+_xlpm._法人検索,
IF(_xlpm._合計=0,"",_xlpm._合計)
)</f>
        <v/>
      </c>
      <c r="BM80" s="224" t="str">
        <f>_xlfn.LET(
_xlpm._一般検索,IFERROR(INDEX('在庫使用計画 (一般)'!$A$1:$BF$391,MATCH($C80,'在庫使用計画 (一般)'!$C$1:$C$391,0),MATCH(BM$1,'在庫使用計画 (一般)'!$A$1:$BF$1,0))*1,0),
_xlpm._法人検索,IFERROR(INDEX('在庫使用計画 (法人)'!$A$1:$BF$391,MATCH($C80,'在庫使用計画 (法人)'!$C$1:$C$391,0),MATCH(BM$1,'在庫使用計画 (法人)'!$A$1:$BF$1,0))*1,0),
_xlpm._合計,_xlpm._一般検索+_xlpm._法人検索,
IF(_xlpm._合計=0,"",_xlpm._合計)
)</f>
        <v/>
      </c>
      <c r="BN80" s="224" t="str">
        <f>_xlfn.LET(
_xlpm._一般検索,IFERROR(INDEX('在庫使用計画 (一般)'!$A$1:$BF$391,MATCH($C80,'在庫使用計画 (一般)'!$C$1:$C$391,0),MATCH(BN$1,'在庫使用計画 (一般)'!$A$1:$BF$1,0))*1,0),
_xlpm._法人検索,IFERROR(INDEX('在庫使用計画 (法人)'!$A$1:$BF$391,MATCH($C80,'在庫使用計画 (法人)'!$C$1:$C$391,0),MATCH(BN$1,'在庫使用計画 (法人)'!$A$1:$BF$1,0))*1,0),
_xlpm._合計,_xlpm._一般検索+_xlpm._法人検索,
IF(_xlpm._合計=0,"",_xlpm._合計)
)</f>
        <v/>
      </c>
      <c r="BO80" s="224" t="str">
        <f>_xlfn.LET(
_xlpm._一般検索,IFERROR(INDEX('在庫使用計画 (一般)'!$A$1:$BF$391,MATCH($C80,'在庫使用計画 (一般)'!$C$1:$C$391,0),MATCH(BO$1,'在庫使用計画 (一般)'!$A$1:$BF$1,0))*1,0),
_xlpm._法人検索,IFERROR(INDEX('在庫使用計画 (法人)'!$A$1:$BF$391,MATCH($C80,'在庫使用計画 (法人)'!$C$1:$C$391,0),MATCH(BO$1,'在庫使用計画 (法人)'!$A$1:$BF$1,0))*1,0),
_xlpm._合計,_xlpm._一般検索+_xlpm._法人検索,
IF(_xlpm._合計=0,"",_xlpm._合計)
)</f>
        <v/>
      </c>
      <c r="BP80" s="224" t="str">
        <f>_xlfn.LET(
_xlpm._一般検索,IFERROR(INDEX('在庫使用計画 (一般)'!$A$1:$BF$391,MATCH($C80,'在庫使用計画 (一般)'!$C$1:$C$391,0),MATCH(BP$1,'在庫使用計画 (一般)'!$A$1:$BF$1,0))*1,0),
_xlpm._法人検索,IFERROR(INDEX('在庫使用計画 (法人)'!$A$1:$BF$391,MATCH($C80,'在庫使用計画 (法人)'!$C$1:$C$391,0),MATCH(BP$1,'在庫使用計画 (法人)'!$A$1:$BF$1,0))*1,0),
_xlpm._合計,_xlpm._一般検索+_xlpm._法人検索,
IF(_xlpm._合計=0,"",_xlpm._合計)
)</f>
        <v/>
      </c>
      <c r="BQ80" s="224" t="str">
        <f>_xlfn.LET(
_xlpm._一般検索,IFERROR(INDEX('在庫使用計画 (一般)'!$A$1:$BF$391,MATCH($C80,'在庫使用計画 (一般)'!$C$1:$C$391,0),MATCH(BQ$1,'在庫使用計画 (一般)'!$A$1:$BF$1,0))*1,0),
_xlpm._法人検索,IFERROR(INDEX('在庫使用計画 (法人)'!$A$1:$BF$391,MATCH($C80,'在庫使用計画 (法人)'!$C$1:$C$391,0),MATCH(BQ$1,'在庫使用計画 (法人)'!$A$1:$BF$1,0))*1,0),
_xlpm._合計,_xlpm._一般検索+_xlpm._法人検索,
IF(_xlpm._合計=0,"",_xlpm._合計)
)</f>
        <v/>
      </c>
      <c r="BR80" s="224" t="str">
        <f>_xlfn.LET(
_xlpm._一般検索,IFERROR(INDEX('在庫使用計画 (一般)'!$A$1:$BF$391,MATCH($C80,'在庫使用計画 (一般)'!$C$1:$C$391,0),MATCH(BR$1,'在庫使用計画 (一般)'!$A$1:$BF$1,0))*1,0),
_xlpm._法人検索,IFERROR(INDEX('在庫使用計画 (法人)'!$A$1:$BF$391,MATCH($C80,'在庫使用計画 (法人)'!$C$1:$C$391,0),MATCH(BR$1,'在庫使用計画 (法人)'!$A$1:$BF$1,0))*1,0),
_xlpm._合計,_xlpm._一般検索+_xlpm._法人検索,
IF(_xlpm._合計=0,"",_xlpm._合計)
)</f>
        <v/>
      </c>
      <c r="BS80" s="805" t="str">
        <f>_xlfn.LET(
_xlpm._一般検索,IFERROR(INDEX('在庫使用計画 (一般)'!$A$1:$BF$391,MATCH($C80,'在庫使用計画 (一般)'!$C$1:$C$391,0),MATCH(BS$1,'在庫使用計画 (一般)'!$A$1:$BF$1,0))*1,0),
_xlpm._法人検索,IFERROR(INDEX('在庫使用計画 (法人)'!$A$1:$BF$391,MATCH($C80,'在庫使用計画 (法人)'!$C$1:$C$391,0),MATCH(BS$1,'在庫使用計画 (法人)'!$A$1:$BF$1,0))*1,0),
_xlpm._合計,_xlpm._一般検索+_xlpm._法人検索,
IF(_xlpm._合計=0,"",_xlpm._合計)
)</f>
        <v/>
      </c>
      <c r="BT80" s="21"/>
    </row>
    <row r="81" spans="1:72" customFormat="1" ht="18.75" customHeight="1">
      <c r="A81" s="1071"/>
      <c r="B81" s="300" t="str">
        <v/>
      </c>
      <c r="C81" s="194"/>
      <c r="D81" s="2156" t="str">
        <v/>
      </c>
      <c r="E81" s="194"/>
      <c r="F81" s="195"/>
      <c r="G81" s="74" t="str">
        <v/>
      </c>
      <c r="H81" s="38" t="str">
        <v/>
      </c>
      <c r="I81" s="38" t="str" cm="1">
        <f t="array" ref="I81">IF($C81="","",
_xlfn.LET(
  _xlpm._見出し,$A$1:$BT$1,
  _xlpm._行,$A81:$BT81,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
      </c>
      <c r="J81" s="74" t="str" cm="1">
        <f t="array" ref="J81">_xlfn.LET(
  _xlpm._見出し,$A$1:$BS$1,
  _xlpm._行,$A81:$BS81,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IF($C81="","",_xlpm._四点五月計画合計)
)</f>
        <v/>
      </c>
      <c r="K81" s="1458" t="str" cm="1">
        <f t="array" ref="K81">_xlfn.IFS(
  $C81="","",
  $G81="","発売前？",
  $G81=0,"在庫なし",
  TRUE,
  IFERROR(
    _xlfn.LET(
      _xlpm._在庫注残,     $G81,
      _xlpm._しきい値,     _xlpm._在庫注残 * 0.75,
      _xlpm._見出し元,     $L$1:$BU$1,
      _xlpm._計画,         $L81:$BU81,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
      </c>
      <c r="L81" s="319"/>
      <c r="M81" s="319"/>
      <c r="N81" s="319"/>
      <c r="O81" s="320"/>
      <c r="P81" s="311"/>
      <c r="Q81" s="311"/>
      <c r="R81" s="311"/>
      <c r="S81" s="311"/>
      <c r="T81" s="298"/>
      <c r="U81" s="219"/>
      <c r="V81" s="219"/>
      <c r="W81" s="219"/>
      <c r="X81" s="219"/>
      <c r="Y81" s="480"/>
      <c r="Z81" s="219"/>
      <c r="AA81" s="219"/>
      <c r="AB81" s="219"/>
      <c r="AC81" s="219"/>
      <c r="AD81" s="219"/>
      <c r="AE81" s="219"/>
      <c r="AF81" s="219"/>
      <c r="AG81" s="219"/>
      <c r="AH81" s="224" t="s">
        <v>21</v>
      </c>
      <c r="AI81" s="480" t="s">
        <v>21</v>
      </c>
      <c r="AJ81" s="804" t="s">
        <v>21</v>
      </c>
      <c r="AK81" s="224" t="s">
        <v>21</v>
      </c>
      <c r="AL81" s="224" t="s">
        <v>21</v>
      </c>
      <c r="AM81" s="224" t="s">
        <v>21</v>
      </c>
      <c r="AN81" s="224" t="str">
        <f>_xlfn.LET(
_xlpm._一般検索,IFERROR(INDEX('在庫使用計画 (一般)'!$A$1:$BF$391,MATCH($C81,'在庫使用計画 (一般)'!$C$1:$C$391,0),MATCH(AN$1,'在庫使用計画 (一般)'!$A$1:$BF$1,0))*1,0),
_xlpm._法人検索,IFERROR(INDEX('在庫使用計画 (法人)'!$A$1:$BF$391,MATCH($C81,'在庫使用計画 (法人)'!$C$1:$C$391,0),MATCH(AN$1,'在庫使用計画 (法人)'!$A$1:$BF$1,0))*1,0),
_xlpm._合計,_xlpm._一般検索+_xlpm._法人検索,
IF(_xlpm._合計=0,"",_xlpm._合計)
)</f>
        <v/>
      </c>
      <c r="AO81" s="224" t="str">
        <f>_xlfn.LET(
_xlpm._一般検索,IFERROR(INDEX('在庫使用計画 (一般)'!$A$1:$BF$391,MATCH($C81,'在庫使用計画 (一般)'!$C$1:$C$391,0),MATCH(AO$1,'在庫使用計画 (一般)'!$A$1:$BF$1,0))*1,0),
_xlpm._法人検索,IFERROR(INDEX('在庫使用計画 (法人)'!$A$1:$BF$391,MATCH($C81,'在庫使用計画 (法人)'!$C$1:$C$391,0),MATCH(AO$1,'在庫使用計画 (法人)'!$A$1:$BF$1,0))*1,0),
_xlpm._合計,_xlpm._一般検索+_xlpm._法人検索,
IF(_xlpm._合計=0,"",_xlpm._合計)
)</f>
        <v/>
      </c>
      <c r="AP81" s="224" t="str">
        <f>_xlfn.LET(
_xlpm._一般検索,IFERROR(INDEX('在庫使用計画 (一般)'!$A$1:$BF$391,MATCH($C81,'在庫使用計画 (一般)'!$C$1:$C$391,0),MATCH(AP$1,'在庫使用計画 (一般)'!$A$1:$BF$1,0))*1,0),
_xlpm._法人検索,IFERROR(INDEX('在庫使用計画 (法人)'!$A$1:$BF$391,MATCH($C81,'在庫使用計画 (法人)'!$C$1:$C$391,0),MATCH(AP$1,'在庫使用計画 (法人)'!$A$1:$BF$1,0))*1,0),
_xlpm._合計,_xlpm._一般検索+_xlpm._法人検索,
IF(_xlpm._合計=0,"",_xlpm._合計)
)</f>
        <v/>
      </c>
      <c r="AQ81" s="224" t="str">
        <f>_xlfn.LET(
_xlpm._一般検索,IFERROR(INDEX('在庫使用計画 (一般)'!$A$1:$BF$391,MATCH($C81,'在庫使用計画 (一般)'!$C$1:$C$391,0),MATCH(AQ$1,'在庫使用計画 (一般)'!$A$1:$BF$1,0))*1,0),
_xlpm._法人検索,IFERROR(INDEX('在庫使用計画 (法人)'!$A$1:$BF$391,MATCH($C81,'在庫使用計画 (法人)'!$C$1:$C$391,0),MATCH(AQ$1,'在庫使用計画 (法人)'!$A$1:$BF$1,0))*1,0),
_xlpm._合計,_xlpm._一般検索+_xlpm._法人検索,
IF(_xlpm._合計=0,"",_xlpm._合計)
)</f>
        <v/>
      </c>
      <c r="AR81" s="224" t="str">
        <f>_xlfn.LET(
_xlpm._一般検索,IFERROR(INDEX('在庫使用計画 (一般)'!$A$1:$BF$391,MATCH($C81,'在庫使用計画 (一般)'!$C$1:$C$391,0),MATCH(AR$1,'在庫使用計画 (一般)'!$A$1:$BF$1,0))*1,0),
_xlpm._法人検索,IFERROR(INDEX('在庫使用計画 (法人)'!$A$1:$BF$391,MATCH($C81,'在庫使用計画 (法人)'!$C$1:$C$391,0),MATCH(AR$1,'在庫使用計画 (法人)'!$A$1:$BF$1,0))*1,0),
_xlpm._合計,_xlpm._一般検索+_xlpm._法人検索,
IF(_xlpm._合計=0,"",_xlpm._合計)
)</f>
        <v/>
      </c>
      <c r="AS81" s="224" t="str">
        <f>_xlfn.LET(
_xlpm._一般検索,IFERROR(INDEX('在庫使用計画 (一般)'!$A$1:$BF$391,MATCH($C81,'在庫使用計画 (一般)'!$C$1:$C$391,0),MATCH(AS$1,'在庫使用計画 (一般)'!$A$1:$BF$1,0))*1,0),
_xlpm._法人検索,IFERROR(INDEX('在庫使用計画 (法人)'!$A$1:$BF$391,MATCH($C81,'在庫使用計画 (法人)'!$C$1:$C$391,0),MATCH(AS$1,'在庫使用計画 (法人)'!$A$1:$BF$1,0))*1,0),
_xlpm._合計,_xlpm._一般検索+_xlpm._法人検索,
IF(_xlpm._合計=0,"",_xlpm._合計)
)</f>
        <v/>
      </c>
      <c r="AT81" s="224" t="str">
        <f>_xlfn.LET(
_xlpm._一般検索,IFERROR(INDEX('在庫使用計画 (一般)'!$A$1:$BF$391,MATCH($C81,'在庫使用計画 (一般)'!$C$1:$C$391,0),MATCH(AT$1,'在庫使用計画 (一般)'!$A$1:$BF$1,0))*1,0),
_xlpm._法人検索,IFERROR(INDEX('在庫使用計画 (法人)'!$A$1:$BF$391,MATCH($C81,'在庫使用計画 (法人)'!$C$1:$C$391,0),MATCH(AT$1,'在庫使用計画 (法人)'!$A$1:$BF$1,0))*1,0),
_xlpm._合計,_xlpm._一般検索+_xlpm._法人検索,
IF(_xlpm._合計=0,"",_xlpm._合計)
)</f>
        <v/>
      </c>
      <c r="AU81" s="805" t="str">
        <f>_xlfn.LET(
_xlpm._一般検索,IFERROR(INDEX('在庫使用計画 (一般)'!$A$1:$BF$391,MATCH($C81,'在庫使用計画 (一般)'!$C$1:$C$391,0),MATCH(AU$1,'在庫使用計画 (一般)'!$A$1:$BF$1,0))*1,0),
_xlpm._法人検索,IFERROR(INDEX('在庫使用計画 (法人)'!$A$1:$BF$391,MATCH($C81,'在庫使用計画 (法人)'!$C$1:$C$391,0),MATCH(AU$1,'在庫使用計画 (法人)'!$A$1:$BF$1,0))*1,0),
_xlpm._合計,_xlpm._一般検索+_xlpm._法人検索,
IF(_xlpm._合計=0,"",_xlpm._合計)
)</f>
        <v/>
      </c>
      <c r="AV81" s="244" t="str">
        <f>_xlfn.LET(
_xlpm._一般検索,IFERROR(INDEX('在庫使用計画 (一般)'!$A$1:$BF$391,MATCH($C81,'在庫使用計画 (一般)'!$C$1:$C$391,0),MATCH(AV$1,'在庫使用計画 (一般)'!$A$1:$BF$1,0))*1,0),
_xlpm._法人検索,IFERROR(INDEX('在庫使用計画 (法人)'!$A$1:$BF$391,MATCH($C81,'在庫使用計画 (法人)'!$C$1:$C$391,0),MATCH(AV$1,'在庫使用計画 (法人)'!$A$1:$BF$1,0))*1,0),
_xlpm._合計,_xlpm._一般検索+_xlpm._法人検索,
IF(_xlpm._合計=0,"",_xlpm._合計)
)</f>
        <v/>
      </c>
      <c r="AW81" s="224" t="str">
        <f>_xlfn.LET(
_xlpm._一般検索,IFERROR(INDEX('在庫使用計画 (一般)'!$A$1:$BF$391,MATCH($C81,'在庫使用計画 (一般)'!$C$1:$C$391,0),MATCH(AW$1,'在庫使用計画 (一般)'!$A$1:$BF$1,0))*1,0),
_xlpm._法人検索,IFERROR(INDEX('在庫使用計画 (法人)'!$A$1:$BF$391,MATCH($C81,'在庫使用計画 (法人)'!$C$1:$C$391,0),MATCH(AW$1,'在庫使用計画 (法人)'!$A$1:$BF$1,0))*1,0),
_xlpm._合計,_xlpm._一般検索+_xlpm._法人検索,
IF(_xlpm._合計=0,"",_xlpm._合計)
)</f>
        <v/>
      </c>
      <c r="AX81" s="224" t="str">
        <f>_xlfn.LET(
_xlpm._一般検索,IFERROR(INDEX('在庫使用計画 (一般)'!$A$1:$BF$391,MATCH($C81,'在庫使用計画 (一般)'!$C$1:$C$391,0),MATCH(AX$1,'在庫使用計画 (一般)'!$A$1:$BF$1,0))*1,0),
_xlpm._法人検索,IFERROR(INDEX('在庫使用計画 (法人)'!$A$1:$BF$391,MATCH($C81,'在庫使用計画 (法人)'!$C$1:$C$391,0),MATCH(AX$1,'在庫使用計画 (法人)'!$A$1:$BF$1,0))*1,0),
_xlpm._合計,_xlpm._一般検索+_xlpm._法人検索,
IF(_xlpm._合計=0,"",_xlpm._合計)
)</f>
        <v/>
      </c>
      <c r="AY81" s="224" t="str">
        <f>_xlfn.LET(
_xlpm._一般検索,IFERROR(INDEX('在庫使用計画 (一般)'!$A$1:$BF$391,MATCH($C81,'在庫使用計画 (一般)'!$C$1:$C$391,0),MATCH(AY$1,'在庫使用計画 (一般)'!$A$1:$BF$1,0))*1,0),
_xlpm._法人検索,IFERROR(INDEX('在庫使用計画 (法人)'!$A$1:$BF$391,MATCH($C81,'在庫使用計画 (法人)'!$C$1:$C$391,0),MATCH(AY$1,'在庫使用計画 (法人)'!$A$1:$BF$1,0))*1,0),
_xlpm._合計,_xlpm._一般検索+_xlpm._法人検索,
IF(_xlpm._合計=0,"",_xlpm._合計)
)</f>
        <v/>
      </c>
      <c r="AZ81" s="224" t="str">
        <f>_xlfn.LET(
_xlpm._一般検索,IFERROR(INDEX('在庫使用計画 (一般)'!$A$1:$BF$391,MATCH($C81,'在庫使用計画 (一般)'!$C$1:$C$391,0),MATCH(AZ$1,'在庫使用計画 (一般)'!$A$1:$BF$1,0))*1,0),
_xlpm._法人検索,IFERROR(INDEX('在庫使用計画 (法人)'!$A$1:$BF$391,MATCH($C81,'在庫使用計画 (法人)'!$C$1:$C$391,0),MATCH(AZ$1,'在庫使用計画 (法人)'!$A$1:$BF$1,0))*1,0),
_xlpm._合計,_xlpm._一般検索+_xlpm._法人検索,
IF(_xlpm._合計=0,"",_xlpm._合計)
)</f>
        <v/>
      </c>
      <c r="BA81" s="224" t="str">
        <f>_xlfn.LET(
_xlpm._一般検索,IFERROR(INDEX('在庫使用計画 (一般)'!$A$1:$BF$391,MATCH($C81,'在庫使用計画 (一般)'!$C$1:$C$391,0),MATCH(BA$1,'在庫使用計画 (一般)'!$A$1:$BF$1,0))*1,0),
_xlpm._法人検索,IFERROR(INDEX('在庫使用計画 (法人)'!$A$1:$BF$391,MATCH($C81,'在庫使用計画 (法人)'!$C$1:$C$391,0),MATCH(BA$1,'在庫使用計画 (法人)'!$A$1:$BF$1,0))*1,0),
_xlpm._合計,_xlpm._一般検索+_xlpm._法人検索,
IF(_xlpm._合計=0,"",_xlpm._合計)
)</f>
        <v/>
      </c>
      <c r="BB81" s="224" t="str">
        <f>_xlfn.LET(
_xlpm._一般検索,IFERROR(INDEX('在庫使用計画 (一般)'!$A$1:$BF$391,MATCH($C81,'在庫使用計画 (一般)'!$C$1:$C$391,0),MATCH(BB$1,'在庫使用計画 (一般)'!$A$1:$BF$1,0))*1,0),
_xlpm._法人検索,IFERROR(INDEX('在庫使用計画 (法人)'!$A$1:$BF$391,MATCH($C81,'在庫使用計画 (法人)'!$C$1:$C$391,0),MATCH(BB$1,'在庫使用計画 (法人)'!$A$1:$BF$1,0))*1,0),
_xlpm._合計,_xlpm._一般検索+_xlpm._法人検索,
IF(_xlpm._合計=0,"",_xlpm._合計)
)</f>
        <v/>
      </c>
      <c r="BC81" s="224" t="str">
        <f>_xlfn.LET(
_xlpm._一般検索,IFERROR(INDEX('在庫使用計画 (一般)'!$A$1:$BF$391,MATCH($C81,'在庫使用計画 (一般)'!$C$1:$C$391,0),MATCH(BC$1,'在庫使用計画 (一般)'!$A$1:$BF$1,0))*1,0),
_xlpm._法人検索,IFERROR(INDEX('在庫使用計画 (法人)'!$A$1:$BF$391,MATCH($C81,'在庫使用計画 (法人)'!$C$1:$C$391,0),MATCH(BC$1,'在庫使用計画 (法人)'!$A$1:$BF$1,0))*1,0),
_xlpm._合計,_xlpm._一般検索+_xlpm._法人検索,
IF(_xlpm._合計=0,"",_xlpm._合計)
)</f>
        <v/>
      </c>
      <c r="BD81" s="224" t="str">
        <f>_xlfn.LET(
_xlpm._一般検索,IFERROR(INDEX('在庫使用計画 (一般)'!$A$1:$BF$391,MATCH($C81,'在庫使用計画 (一般)'!$C$1:$C$391,0),MATCH(BD$1,'在庫使用計画 (一般)'!$A$1:$BF$1,0))*1,0),
_xlpm._法人検索,IFERROR(INDEX('在庫使用計画 (法人)'!$A$1:$BF$391,MATCH($C81,'在庫使用計画 (法人)'!$C$1:$C$391,0),MATCH(BD$1,'在庫使用計画 (法人)'!$A$1:$BF$1,0))*1,0),
_xlpm._合計,_xlpm._一般検索+_xlpm._法人検索,
IF(_xlpm._合計=0,"",_xlpm._合計)
)</f>
        <v/>
      </c>
      <c r="BE81" s="224" t="str">
        <f>_xlfn.LET(
_xlpm._一般検索,IFERROR(INDEX('在庫使用計画 (一般)'!$A$1:$BF$391,MATCH($C81,'在庫使用計画 (一般)'!$C$1:$C$391,0),MATCH(BE$1,'在庫使用計画 (一般)'!$A$1:$BF$1,0))*1,0),
_xlpm._法人検索,IFERROR(INDEX('在庫使用計画 (法人)'!$A$1:$BF$391,MATCH($C81,'在庫使用計画 (法人)'!$C$1:$C$391,0),MATCH(BE$1,'在庫使用計画 (法人)'!$A$1:$BF$1,0))*1,0),
_xlpm._合計,_xlpm._一般検索+_xlpm._法人検索,
IF(_xlpm._合計=0,"",_xlpm._合計)
)</f>
        <v/>
      </c>
      <c r="BF81" s="224" t="str">
        <f>_xlfn.LET(
_xlpm._一般検索,IFERROR(INDEX('在庫使用計画 (一般)'!$A$1:$BF$391,MATCH($C81,'在庫使用計画 (一般)'!$C$1:$C$391,0),MATCH(BF$1,'在庫使用計画 (一般)'!$A$1:$BF$1,0))*1,0),
_xlpm._法人検索,IFERROR(INDEX('在庫使用計画 (法人)'!$A$1:$BF$391,MATCH($C81,'在庫使用計画 (法人)'!$C$1:$C$391,0),MATCH(BF$1,'在庫使用計画 (法人)'!$A$1:$BF$1,0))*1,0),
_xlpm._合計,_xlpm._一般検索+_xlpm._法人検索,
IF(_xlpm._合計=0,"",_xlpm._合計)
)</f>
        <v/>
      </c>
      <c r="BG81" s="237" t="str">
        <f>_xlfn.LET(
_xlpm._一般検索,IFERROR(INDEX('在庫使用計画 (一般)'!$A$1:$BF$391,MATCH($C81,'在庫使用計画 (一般)'!$C$1:$C$391,0),MATCH(BG$1,'在庫使用計画 (一般)'!$A$1:$BF$1,0))*1,0),
_xlpm._法人検索,IFERROR(INDEX('在庫使用計画 (法人)'!$A$1:$BF$391,MATCH($C81,'在庫使用計画 (法人)'!$C$1:$C$391,0),MATCH(BG$1,'在庫使用計画 (法人)'!$A$1:$BF$1,0))*1,0),
_xlpm._合計,_xlpm._一般検索+_xlpm._法人検索,
IF(_xlpm._合計=0,"",_xlpm._合計)
)</f>
        <v/>
      </c>
      <c r="BH81" s="804" t="str">
        <f>_xlfn.LET(
_xlpm._一般検索,IFERROR(INDEX('在庫使用計画 (一般)'!$A$1:$BF$391,MATCH($C81,'在庫使用計画 (一般)'!$C$1:$C$391,0),MATCH(BH$1,'在庫使用計画 (一般)'!$A$1:$BF$1,0))*1,0),
_xlpm._法人検索,IFERROR(INDEX('在庫使用計画 (法人)'!$A$1:$BF$391,MATCH($C81,'在庫使用計画 (法人)'!$C$1:$C$391,0),MATCH(BH$1,'在庫使用計画 (法人)'!$A$1:$BF$1,0))*1,0),
_xlpm._合計,_xlpm._一般検索+_xlpm._法人検索,
IF(_xlpm._合計=0,"",_xlpm._合計)
)</f>
        <v/>
      </c>
      <c r="BI81" s="224" t="str">
        <f>_xlfn.LET(
_xlpm._一般検索,IFERROR(INDEX('在庫使用計画 (一般)'!$A$1:$BF$391,MATCH($C81,'在庫使用計画 (一般)'!$C$1:$C$391,0),MATCH(BI$1,'在庫使用計画 (一般)'!$A$1:$BF$1,0))*1,0),
_xlpm._法人検索,IFERROR(INDEX('在庫使用計画 (法人)'!$A$1:$BF$391,MATCH($C81,'在庫使用計画 (法人)'!$C$1:$C$391,0),MATCH(BI$1,'在庫使用計画 (法人)'!$A$1:$BF$1,0))*1,0),
_xlpm._合計,_xlpm._一般検索+_xlpm._法人検索,
IF(_xlpm._合計=0,"",_xlpm._合計)
)</f>
        <v/>
      </c>
      <c r="BJ81" s="224" t="str">
        <f>_xlfn.LET(
_xlpm._一般検索,IFERROR(INDEX('在庫使用計画 (一般)'!$A$1:$BF$391,MATCH($C81,'在庫使用計画 (一般)'!$C$1:$C$391,0),MATCH(BJ$1,'在庫使用計画 (一般)'!$A$1:$BF$1,0))*1,0),
_xlpm._法人検索,IFERROR(INDEX('在庫使用計画 (法人)'!$A$1:$BF$391,MATCH($C81,'在庫使用計画 (法人)'!$C$1:$C$391,0),MATCH(BJ$1,'在庫使用計画 (法人)'!$A$1:$BF$1,0))*1,0),
_xlpm._合計,_xlpm._一般検索+_xlpm._法人検索,
IF(_xlpm._合計=0,"",_xlpm._合計)
)</f>
        <v/>
      </c>
      <c r="BK81" s="224" t="str">
        <f>_xlfn.LET(
_xlpm._一般検索,IFERROR(INDEX('在庫使用計画 (一般)'!$A$1:$BF$391,MATCH($C81,'在庫使用計画 (一般)'!$C$1:$C$391,0),MATCH(BK$1,'在庫使用計画 (一般)'!$A$1:$BF$1,0))*1,0),
_xlpm._法人検索,IFERROR(INDEX('在庫使用計画 (法人)'!$A$1:$BF$391,MATCH($C81,'在庫使用計画 (法人)'!$C$1:$C$391,0),MATCH(BK$1,'在庫使用計画 (法人)'!$A$1:$BF$1,0))*1,0),
_xlpm._合計,_xlpm._一般検索+_xlpm._法人検索,
IF(_xlpm._合計=0,"",_xlpm._合計)
)</f>
        <v/>
      </c>
      <c r="BL81" s="224" t="str">
        <f>_xlfn.LET(
_xlpm._一般検索,IFERROR(INDEX('在庫使用計画 (一般)'!$A$1:$BF$391,MATCH($C81,'在庫使用計画 (一般)'!$C$1:$C$391,0),MATCH(BL$1,'在庫使用計画 (一般)'!$A$1:$BF$1,0))*1,0),
_xlpm._法人検索,IFERROR(INDEX('在庫使用計画 (法人)'!$A$1:$BF$391,MATCH($C81,'在庫使用計画 (法人)'!$C$1:$C$391,0),MATCH(BL$1,'在庫使用計画 (法人)'!$A$1:$BF$1,0))*1,0),
_xlpm._合計,_xlpm._一般検索+_xlpm._法人検索,
IF(_xlpm._合計=0,"",_xlpm._合計)
)</f>
        <v/>
      </c>
      <c r="BM81" s="224" t="str">
        <f>_xlfn.LET(
_xlpm._一般検索,IFERROR(INDEX('在庫使用計画 (一般)'!$A$1:$BF$391,MATCH($C81,'在庫使用計画 (一般)'!$C$1:$C$391,0),MATCH(BM$1,'在庫使用計画 (一般)'!$A$1:$BF$1,0))*1,0),
_xlpm._法人検索,IFERROR(INDEX('在庫使用計画 (法人)'!$A$1:$BF$391,MATCH($C81,'在庫使用計画 (法人)'!$C$1:$C$391,0),MATCH(BM$1,'在庫使用計画 (法人)'!$A$1:$BF$1,0))*1,0),
_xlpm._合計,_xlpm._一般検索+_xlpm._法人検索,
IF(_xlpm._合計=0,"",_xlpm._合計)
)</f>
        <v/>
      </c>
      <c r="BN81" s="224" t="str">
        <f>_xlfn.LET(
_xlpm._一般検索,IFERROR(INDEX('在庫使用計画 (一般)'!$A$1:$BF$391,MATCH($C81,'在庫使用計画 (一般)'!$C$1:$C$391,0),MATCH(BN$1,'在庫使用計画 (一般)'!$A$1:$BF$1,0))*1,0),
_xlpm._法人検索,IFERROR(INDEX('在庫使用計画 (法人)'!$A$1:$BF$391,MATCH($C81,'在庫使用計画 (法人)'!$C$1:$C$391,0),MATCH(BN$1,'在庫使用計画 (法人)'!$A$1:$BF$1,0))*1,0),
_xlpm._合計,_xlpm._一般検索+_xlpm._法人検索,
IF(_xlpm._合計=0,"",_xlpm._合計)
)</f>
        <v/>
      </c>
      <c r="BO81" s="224" t="str">
        <f>_xlfn.LET(
_xlpm._一般検索,IFERROR(INDEX('在庫使用計画 (一般)'!$A$1:$BF$391,MATCH($C81,'在庫使用計画 (一般)'!$C$1:$C$391,0),MATCH(BO$1,'在庫使用計画 (一般)'!$A$1:$BF$1,0))*1,0),
_xlpm._法人検索,IFERROR(INDEX('在庫使用計画 (法人)'!$A$1:$BF$391,MATCH($C81,'在庫使用計画 (法人)'!$C$1:$C$391,0),MATCH(BO$1,'在庫使用計画 (法人)'!$A$1:$BF$1,0))*1,0),
_xlpm._合計,_xlpm._一般検索+_xlpm._法人検索,
IF(_xlpm._合計=0,"",_xlpm._合計)
)</f>
        <v/>
      </c>
      <c r="BP81" s="224" t="str">
        <f>_xlfn.LET(
_xlpm._一般検索,IFERROR(INDEX('在庫使用計画 (一般)'!$A$1:$BF$391,MATCH($C81,'在庫使用計画 (一般)'!$C$1:$C$391,0),MATCH(BP$1,'在庫使用計画 (一般)'!$A$1:$BF$1,0))*1,0),
_xlpm._法人検索,IFERROR(INDEX('在庫使用計画 (法人)'!$A$1:$BF$391,MATCH($C81,'在庫使用計画 (法人)'!$C$1:$C$391,0),MATCH(BP$1,'在庫使用計画 (法人)'!$A$1:$BF$1,0))*1,0),
_xlpm._合計,_xlpm._一般検索+_xlpm._法人検索,
IF(_xlpm._合計=0,"",_xlpm._合計)
)</f>
        <v/>
      </c>
      <c r="BQ81" s="224" t="str">
        <f>_xlfn.LET(
_xlpm._一般検索,IFERROR(INDEX('在庫使用計画 (一般)'!$A$1:$BF$391,MATCH($C81,'在庫使用計画 (一般)'!$C$1:$C$391,0),MATCH(BQ$1,'在庫使用計画 (一般)'!$A$1:$BF$1,0))*1,0),
_xlpm._法人検索,IFERROR(INDEX('在庫使用計画 (法人)'!$A$1:$BF$391,MATCH($C81,'在庫使用計画 (法人)'!$C$1:$C$391,0),MATCH(BQ$1,'在庫使用計画 (法人)'!$A$1:$BF$1,0))*1,0),
_xlpm._合計,_xlpm._一般検索+_xlpm._法人検索,
IF(_xlpm._合計=0,"",_xlpm._合計)
)</f>
        <v/>
      </c>
      <c r="BR81" s="224" t="str">
        <f>_xlfn.LET(
_xlpm._一般検索,IFERROR(INDEX('在庫使用計画 (一般)'!$A$1:$BF$391,MATCH($C81,'在庫使用計画 (一般)'!$C$1:$C$391,0),MATCH(BR$1,'在庫使用計画 (一般)'!$A$1:$BF$1,0))*1,0),
_xlpm._法人検索,IFERROR(INDEX('在庫使用計画 (法人)'!$A$1:$BF$391,MATCH($C81,'在庫使用計画 (法人)'!$C$1:$C$391,0),MATCH(BR$1,'在庫使用計画 (法人)'!$A$1:$BF$1,0))*1,0),
_xlpm._合計,_xlpm._一般検索+_xlpm._法人検索,
IF(_xlpm._合計=0,"",_xlpm._合計)
)</f>
        <v/>
      </c>
      <c r="BS81" s="805" t="str">
        <f>_xlfn.LET(
_xlpm._一般検索,IFERROR(INDEX('在庫使用計画 (一般)'!$A$1:$BF$391,MATCH($C81,'在庫使用計画 (一般)'!$C$1:$C$391,0),MATCH(BS$1,'在庫使用計画 (一般)'!$A$1:$BF$1,0))*1,0),
_xlpm._法人検索,IFERROR(INDEX('在庫使用計画 (法人)'!$A$1:$BF$391,MATCH($C81,'在庫使用計画 (法人)'!$C$1:$C$391,0),MATCH(BS$1,'在庫使用計画 (法人)'!$A$1:$BF$1,0))*1,0),
_xlpm._合計,_xlpm._一般検索+_xlpm._法人検索,
IF(_xlpm._合計=0,"",_xlpm._合計)
)</f>
        <v/>
      </c>
      <c r="BT81" s="70"/>
    </row>
    <row r="82" spans="1:72" customFormat="1" ht="18.75" customHeight="1">
      <c r="A82" s="2064" t="s">
        <v>1473</v>
      </c>
      <c r="B82" s="26" t="str">
        <v>CLE-L240-125U-UMA-L6 Thirdwave</v>
      </c>
      <c r="C82" s="24" t="s">
        <v>860</v>
      </c>
      <c r="D82" s="2156">
        <v>800</v>
      </c>
      <c r="E82" s="72" t="s">
        <v>1739</v>
      </c>
      <c r="F82" s="68" t="s">
        <v>20</v>
      </c>
      <c r="G82" s="74">
        <v>0</v>
      </c>
      <c r="H82" s="38">
        <v>0</v>
      </c>
      <c r="I82" s="38" cm="1">
        <f t="array" ref="I82">IF($C82="","",
_xlfn.LET(
  _xlpm._見出し,$A$1:$BT$1,
  _xlpm._行,$A82:$BT82,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0</v>
      </c>
      <c r="J82" s="74" cm="1">
        <f t="array" ref="J82">_xlfn.LET(
  _xlpm._見出し,$A$1:$BS$1,
  _xlpm._行,$A82:$BS82,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IF($C82="","",_xlpm._四点五月計画合計)
)</f>
        <v>0</v>
      </c>
      <c r="K82" s="1458" t="str" cm="1">
        <f t="array" ref="K82">_xlfn.IFS(
  $C82="","",
  $G82="","発売前？",
  $G82=0,"在庫なし",
  TRUE,
  IFERROR(
    _xlfn.LET(
      _xlpm._在庫注残,     $G82,
      _xlpm._しきい値,     _xlpm._在庫注残 * 0.75,
      _xlpm._見出し元,     $L$1:$BU$1,
      _xlpm._計画,         $L82:$BU82,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在庫なし</v>
      </c>
      <c r="L82" s="311" t="s">
        <v>21</v>
      </c>
      <c r="M82" s="311" t="s">
        <v>21</v>
      </c>
      <c r="N82" s="311" t="s">
        <v>21</v>
      </c>
      <c r="O82" s="311" t="s">
        <v>21</v>
      </c>
      <c r="P82" s="38">
        <v>40</v>
      </c>
      <c r="Q82" s="38">
        <v>70</v>
      </c>
      <c r="R82" s="38">
        <v>138</v>
      </c>
      <c r="S82" s="38">
        <v>118</v>
      </c>
      <c r="T82" s="219">
        <v>118</v>
      </c>
      <c r="U82" s="219">
        <v>124</v>
      </c>
      <c r="V82" s="219">
        <v>153</v>
      </c>
      <c r="W82" s="219">
        <v>183</v>
      </c>
      <c r="X82" s="224">
        <v>183</v>
      </c>
      <c r="Y82" s="237">
        <v>160</v>
      </c>
      <c r="Z82" s="224">
        <v>60</v>
      </c>
      <c r="AA82" s="299">
        <v>45</v>
      </c>
      <c r="AB82" s="299">
        <v>30</v>
      </c>
      <c r="AC82" s="299">
        <v>30</v>
      </c>
      <c r="AD82" s="299">
        <v>30</v>
      </c>
      <c r="AE82" s="299">
        <v>30</v>
      </c>
      <c r="AF82" s="299" t="s">
        <v>21</v>
      </c>
      <c r="AG82" s="299" t="s">
        <v>21</v>
      </c>
      <c r="AH82" s="224">
        <v>15</v>
      </c>
      <c r="AI82" s="343" t="s">
        <v>21</v>
      </c>
      <c r="AJ82" s="804" t="s">
        <v>21</v>
      </c>
      <c r="AK82" s="224" t="s">
        <v>21</v>
      </c>
      <c r="AL82" s="224">
        <v>5</v>
      </c>
      <c r="AM82" s="224">
        <v>10</v>
      </c>
      <c r="AN82" s="224">
        <f>_xlfn.LET(
_xlpm._一般検索,IFERROR(INDEX('在庫使用計画 (一般)'!$A$1:$BF$391,MATCH($C82,'在庫使用計画 (一般)'!$C$1:$C$391,0),MATCH(AN$1,'在庫使用計画 (一般)'!$A$1:$BF$1,0))*1,0),
_xlpm._法人検索,IFERROR(INDEX('在庫使用計画 (法人)'!$A$1:$BF$391,MATCH($C82,'在庫使用計画 (法人)'!$C$1:$C$391,0),MATCH(AN$1,'在庫使用計画 (法人)'!$A$1:$BF$1,0))*1,0),
_xlpm._合計,_xlpm._一般検索+_xlpm._法人検索,
IF(_xlpm._合計=0,"",_xlpm._合計)
)</f>
        <v>8</v>
      </c>
      <c r="AO82" s="224" t="str">
        <f>_xlfn.LET(
_xlpm._一般検索,IFERROR(INDEX('在庫使用計画 (一般)'!$A$1:$BF$391,MATCH($C82,'在庫使用計画 (一般)'!$C$1:$C$391,0),MATCH(AO$1,'在庫使用計画 (一般)'!$A$1:$BF$1,0))*1,0),
_xlpm._法人検索,IFERROR(INDEX('在庫使用計画 (法人)'!$A$1:$BF$391,MATCH($C82,'在庫使用計画 (法人)'!$C$1:$C$391,0),MATCH(AO$1,'在庫使用計画 (法人)'!$A$1:$BF$1,0))*1,0),
_xlpm._合計,_xlpm._一般検索+_xlpm._法人検索,
IF(_xlpm._合計=0,"",_xlpm._合計)
)</f>
        <v/>
      </c>
      <c r="AP82" s="224" t="str">
        <f>_xlfn.LET(
_xlpm._一般検索,IFERROR(INDEX('在庫使用計画 (一般)'!$A$1:$BF$391,MATCH($C82,'在庫使用計画 (一般)'!$C$1:$C$391,0),MATCH(AP$1,'在庫使用計画 (一般)'!$A$1:$BF$1,0))*1,0),
_xlpm._法人検索,IFERROR(INDEX('在庫使用計画 (法人)'!$A$1:$BF$391,MATCH($C82,'在庫使用計画 (法人)'!$C$1:$C$391,0),MATCH(AP$1,'在庫使用計画 (法人)'!$A$1:$BF$1,0))*1,0),
_xlpm._合計,_xlpm._一般検索+_xlpm._法人検索,
IF(_xlpm._合計=0,"",_xlpm._合計)
)</f>
        <v/>
      </c>
      <c r="AQ82" s="224" t="str">
        <f>_xlfn.LET(
_xlpm._一般検索,IFERROR(INDEX('在庫使用計画 (一般)'!$A$1:$BF$391,MATCH($C82,'在庫使用計画 (一般)'!$C$1:$C$391,0),MATCH(AQ$1,'在庫使用計画 (一般)'!$A$1:$BF$1,0))*1,0),
_xlpm._法人検索,IFERROR(INDEX('在庫使用計画 (法人)'!$A$1:$BF$391,MATCH($C82,'在庫使用計画 (法人)'!$C$1:$C$391,0),MATCH(AQ$1,'在庫使用計画 (法人)'!$A$1:$BF$1,0))*1,0),
_xlpm._合計,_xlpm._一般検索+_xlpm._法人検索,
IF(_xlpm._合計=0,"",_xlpm._合計)
)</f>
        <v/>
      </c>
      <c r="AR82" s="224" t="str">
        <f>_xlfn.LET(
_xlpm._一般検索,IFERROR(INDEX('在庫使用計画 (一般)'!$A$1:$BF$391,MATCH($C82,'在庫使用計画 (一般)'!$C$1:$C$391,0),MATCH(AR$1,'在庫使用計画 (一般)'!$A$1:$BF$1,0))*1,0),
_xlpm._法人検索,IFERROR(INDEX('在庫使用計画 (法人)'!$A$1:$BF$391,MATCH($C82,'在庫使用計画 (法人)'!$C$1:$C$391,0),MATCH(AR$1,'在庫使用計画 (法人)'!$A$1:$BF$1,0))*1,0),
_xlpm._合計,_xlpm._一般検索+_xlpm._法人検索,
IF(_xlpm._合計=0,"",_xlpm._合計)
)</f>
        <v/>
      </c>
      <c r="AS82" s="224" t="str">
        <f>_xlfn.LET(
_xlpm._一般検索,IFERROR(INDEX('在庫使用計画 (一般)'!$A$1:$BF$391,MATCH($C82,'在庫使用計画 (一般)'!$C$1:$C$391,0),MATCH(AS$1,'在庫使用計画 (一般)'!$A$1:$BF$1,0))*1,0),
_xlpm._法人検索,IFERROR(INDEX('在庫使用計画 (法人)'!$A$1:$BF$391,MATCH($C82,'在庫使用計画 (法人)'!$C$1:$C$391,0),MATCH(AS$1,'在庫使用計画 (法人)'!$A$1:$BF$1,0))*1,0),
_xlpm._合計,_xlpm._一般検索+_xlpm._法人検索,
IF(_xlpm._合計=0,"",_xlpm._合計)
)</f>
        <v/>
      </c>
      <c r="AT82" s="224" t="str">
        <f>_xlfn.LET(
_xlpm._一般検索,IFERROR(INDEX('在庫使用計画 (一般)'!$A$1:$BF$391,MATCH($C82,'在庫使用計画 (一般)'!$C$1:$C$391,0),MATCH(AT$1,'在庫使用計画 (一般)'!$A$1:$BF$1,0))*1,0),
_xlpm._法人検索,IFERROR(INDEX('在庫使用計画 (法人)'!$A$1:$BF$391,MATCH($C82,'在庫使用計画 (法人)'!$C$1:$C$391,0),MATCH(AT$1,'在庫使用計画 (法人)'!$A$1:$BF$1,0))*1,0),
_xlpm._合計,_xlpm._一般検索+_xlpm._法人検索,
IF(_xlpm._合計=0,"",_xlpm._合計)
)</f>
        <v/>
      </c>
      <c r="AU82" s="805" t="str">
        <f>_xlfn.LET(
_xlpm._一般検索,IFERROR(INDEX('在庫使用計画 (一般)'!$A$1:$BF$391,MATCH($C82,'在庫使用計画 (一般)'!$C$1:$C$391,0),MATCH(AU$1,'在庫使用計画 (一般)'!$A$1:$BF$1,0))*1,0),
_xlpm._法人検索,IFERROR(INDEX('在庫使用計画 (法人)'!$A$1:$BF$391,MATCH($C82,'在庫使用計画 (法人)'!$C$1:$C$391,0),MATCH(AU$1,'在庫使用計画 (法人)'!$A$1:$BF$1,0))*1,0),
_xlpm._合計,_xlpm._一般検索+_xlpm._法人検索,
IF(_xlpm._合計=0,"",_xlpm._合計)
)</f>
        <v/>
      </c>
      <c r="AV82" s="244" t="str">
        <f>_xlfn.LET(
_xlpm._一般検索,IFERROR(INDEX('在庫使用計画 (一般)'!$A$1:$BF$391,MATCH($C82,'在庫使用計画 (一般)'!$C$1:$C$391,0),MATCH(AV$1,'在庫使用計画 (一般)'!$A$1:$BF$1,0))*1,0),
_xlpm._法人検索,IFERROR(INDEX('在庫使用計画 (法人)'!$A$1:$BF$391,MATCH($C82,'在庫使用計画 (法人)'!$C$1:$C$391,0),MATCH(AV$1,'在庫使用計画 (法人)'!$A$1:$BF$1,0))*1,0),
_xlpm._合計,_xlpm._一般検索+_xlpm._法人検索,
IF(_xlpm._合計=0,"",_xlpm._合計)
)</f>
        <v/>
      </c>
      <c r="AW82" s="224" t="str">
        <f>_xlfn.LET(
_xlpm._一般検索,IFERROR(INDEX('在庫使用計画 (一般)'!$A$1:$BF$391,MATCH($C82,'在庫使用計画 (一般)'!$C$1:$C$391,0),MATCH(AW$1,'在庫使用計画 (一般)'!$A$1:$BF$1,0))*1,0),
_xlpm._法人検索,IFERROR(INDEX('在庫使用計画 (法人)'!$A$1:$BF$391,MATCH($C82,'在庫使用計画 (法人)'!$C$1:$C$391,0),MATCH(AW$1,'在庫使用計画 (法人)'!$A$1:$BF$1,0))*1,0),
_xlpm._合計,_xlpm._一般検索+_xlpm._法人検索,
IF(_xlpm._合計=0,"",_xlpm._合計)
)</f>
        <v/>
      </c>
      <c r="AX82" s="224" t="str">
        <f>_xlfn.LET(
_xlpm._一般検索,IFERROR(INDEX('在庫使用計画 (一般)'!$A$1:$BF$391,MATCH($C82,'在庫使用計画 (一般)'!$C$1:$C$391,0),MATCH(AX$1,'在庫使用計画 (一般)'!$A$1:$BF$1,0))*1,0),
_xlpm._法人検索,IFERROR(INDEX('在庫使用計画 (法人)'!$A$1:$BF$391,MATCH($C82,'在庫使用計画 (法人)'!$C$1:$C$391,0),MATCH(AX$1,'在庫使用計画 (法人)'!$A$1:$BF$1,0))*1,0),
_xlpm._合計,_xlpm._一般検索+_xlpm._法人検索,
IF(_xlpm._合計=0,"",_xlpm._合計)
)</f>
        <v/>
      </c>
      <c r="AY82" s="224" t="str">
        <f>_xlfn.LET(
_xlpm._一般検索,IFERROR(INDEX('在庫使用計画 (一般)'!$A$1:$BF$391,MATCH($C82,'在庫使用計画 (一般)'!$C$1:$C$391,0),MATCH(AY$1,'在庫使用計画 (一般)'!$A$1:$BF$1,0))*1,0),
_xlpm._法人検索,IFERROR(INDEX('在庫使用計画 (法人)'!$A$1:$BF$391,MATCH($C82,'在庫使用計画 (法人)'!$C$1:$C$391,0),MATCH(AY$1,'在庫使用計画 (法人)'!$A$1:$BF$1,0))*1,0),
_xlpm._合計,_xlpm._一般検索+_xlpm._法人検索,
IF(_xlpm._合計=0,"",_xlpm._合計)
)</f>
        <v/>
      </c>
      <c r="AZ82" s="224" t="str">
        <f>_xlfn.LET(
_xlpm._一般検索,IFERROR(INDEX('在庫使用計画 (一般)'!$A$1:$BF$391,MATCH($C82,'在庫使用計画 (一般)'!$C$1:$C$391,0),MATCH(AZ$1,'在庫使用計画 (一般)'!$A$1:$BF$1,0))*1,0),
_xlpm._法人検索,IFERROR(INDEX('在庫使用計画 (法人)'!$A$1:$BF$391,MATCH($C82,'在庫使用計画 (法人)'!$C$1:$C$391,0),MATCH(AZ$1,'在庫使用計画 (法人)'!$A$1:$BF$1,0))*1,0),
_xlpm._合計,_xlpm._一般検索+_xlpm._法人検索,
IF(_xlpm._合計=0,"",_xlpm._合計)
)</f>
        <v/>
      </c>
      <c r="BA82" s="224" t="str">
        <f>_xlfn.LET(
_xlpm._一般検索,IFERROR(INDEX('在庫使用計画 (一般)'!$A$1:$BF$391,MATCH($C82,'在庫使用計画 (一般)'!$C$1:$C$391,0),MATCH(BA$1,'在庫使用計画 (一般)'!$A$1:$BF$1,0))*1,0),
_xlpm._法人検索,IFERROR(INDEX('在庫使用計画 (法人)'!$A$1:$BF$391,MATCH($C82,'在庫使用計画 (法人)'!$C$1:$C$391,0),MATCH(BA$1,'在庫使用計画 (法人)'!$A$1:$BF$1,0))*1,0),
_xlpm._合計,_xlpm._一般検索+_xlpm._法人検索,
IF(_xlpm._合計=0,"",_xlpm._合計)
)</f>
        <v/>
      </c>
      <c r="BB82" s="224" t="str">
        <f>_xlfn.LET(
_xlpm._一般検索,IFERROR(INDEX('在庫使用計画 (一般)'!$A$1:$BF$391,MATCH($C82,'在庫使用計画 (一般)'!$C$1:$C$391,0),MATCH(BB$1,'在庫使用計画 (一般)'!$A$1:$BF$1,0))*1,0),
_xlpm._法人検索,IFERROR(INDEX('在庫使用計画 (法人)'!$A$1:$BF$391,MATCH($C82,'在庫使用計画 (法人)'!$C$1:$C$391,0),MATCH(BB$1,'在庫使用計画 (法人)'!$A$1:$BF$1,0))*1,0),
_xlpm._合計,_xlpm._一般検索+_xlpm._法人検索,
IF(_xlpm._合計=0,"",_xlpm._合計)
)</f>
        <v/>
      </c>
      <c r="BC82" s="224" t="str">
        <f>_xlfn.LET(
_xlpm._一般検索,IFERROR(INDEX('在庫使用計画 (一般)'!$A$1:$BF$391,MATCH($C82,'在庫使用計画 (一般)'!$C$1:$C$391,0),MATCH(BC$1,'在庫使用計画 (一般)'!$A$1:$BF$1,0))*1,0),
_xlpm._法人検索,IFERROR(INDEX('在庫使用計画 (法人)'!$A$1:$BF$391,MATCH($C82,'在庫使用計画 (法人)'!$C$1:$C$391,0),MATCH(BC$1,'在庫使用計画 (法人)'!$A$1:$BF$1,0))*1,0),
_xlpm._合計,_xlpm._一般検索+_xlpm._法人検索,
IF(_xlpm._合計=0,"",_xlpm._合計)
)</f>
        <v/>
      </c>
      <c r="BD82" s="224" t="str">
        <f>_xlfn.LET(
_xlpm._一般検索,IFERROR(INDEX('在庫使用計画 (一般)'!$A$1:$BF$391,MATCH($C82,'在庫使用計画 (一般)'!$C$1:$C$391,0),MATCH(BD$1,'在庫使用計画 (一般)'!$A$1:$BF$1,0))*1,0),
_xlpm._法人検索,IFERROR(INDEX('在庫使用計画 (法人)'!$A$1:$BF$391,MATCH($C82,'在庫使用計画 (法人)'!$C$1:$C$391,0),MATCH(BD$1,'在庫使用計画 (法人)'!$A$1:$BF$1,0))*1,0),
_xlpm._合計,_xlpm._一般検索+_xlpm._法人検索,
IF(_xlpm._合計=0,"",_xlpm._合計)
)</f>
        <v/>
      </c>
      <c r="BE82" s="224" t="str">
        <f>_xlfn.LET(
_xlpm._一般検索,IFERROR(INDEX('在庫使用計画 (一般)'!$A$1:$BF$391,MATCH($C82,'在庫使用計画 (一般)'!$C$1:$C$391,0),MATCH(BE$1,'在庫使用計画 (一般)'!$A$1:$BF$1,0))*1,0),
_xlpm._法人検索,IFERROR(INDEX('在庫使用計画 (法人)'!$A$1:$BF$391,MATCH($C82,'在庫使用計画 (法人)'!$C$1:$C$391,0),MATCH(BE$1,'在庫使用計画 (法人)'!$A$1:$BF$1,0))*1,0),
_xlpm._合計,_xlpm._一般検索+_xlpm._法人検索,
IF(_xlpm._合計=0,"",_xlpm._合計)
)</f>
        <v/>
      </c>
      <c r="BF82" s="224" t="str">
        <f>_xlfn.LET(
_xlpm._一般検索,IFERROR(INDEX('在庫使用計画 (一般)'!$A$1:$BF$391,MATCH($C82,'在庫使用計画 (一般)'!$C$1:$C$391,0),MATCH(BF$1,'在庫使用計画 (一般)'!$A$1:$BF$1,0))*1,0),
_xlpm._法人検索,IFERROR(INDEX('在庫使用計画 (法人)'!$A$1:$BF$391,MATCH($C82,'在庫使用計画 (法人)'!$C$1:$C$391,0),MATCH(BF$1,'在庫使用計画 (法人)'!$A$1:$BF$1,0))*1,0),
_xlpm._合計,_xlpm._一般検索+_xlpm._法人検索,
IF(_xlpm._合計=0,"",_xlpm._合計)
)</f>
        <v/>
      </c>
      <c r="BG82" s="237" t="str">
        <f>_xlfn.LET(
_xlpm._一般検索,IFERROR(INDEX('在庫使用計画 (一般)'!$A$1:$BF$391,MATCH($C82,'在庫使用計画 (一般)'!$C$1:$C$391,0),MATCH(BG$1,'在庫使用計画 (一般)'!$A$1:$BF$1,0))*1,0),
_xlpm._法人検索,IFERROR(INDEX('在庫使用計画 (法人)'!$A$1:$BF$391,MATCH($C82,'在庫使用計画 (法人)'!$C$1:$C$391,0),MATCH(BG$1,'在庫使用計画 (法人)'!$A$1:$BF$1,0))*1,0),
_xlpm._合計,_xlpm._一般検索+_xlpm._法人検索,
IF(_xlpm._合計=0,"",_xlpm._合計)
)</f>
        <v/>
      </c>
      <c r="BH82" s="804" t="str">
        <f>_xlfn.LET(
_xlpm._一般検索,IFERROR(INDEX('在庫使用計画 (一般)'!$A$1:$BF$391,MATCH($C82,'在庫使用計画 (一般)'!$C$1:$C$391,0),MATCH(BH$1,'在庫使用計画 (一般)'!$A$1:$BF$1,0))*1,0),
_xlpm._法人検索,IFERROR(INDEX('在庫使用計画 (法人)'!$A$1:$BF$391,MATCH($C82,'在庫使用計画 (法人)'!$C$1:$C$391,0),MATCH(BH$1,'在庫使用計画 (法人)'!$A$1:$BF$1,0))*1,0),
_xlpm._合計,_xlpm._一般検索+_xlpm._法人検索,
IF(_xlpm._合計=0,"",_xlpm._合計)
)</f>
        <v/>
      </c>
      <c r="BI82" s="224" t="str">
        <f>_xlfn.LET(
_xlpm._一般検索,IFERROR(INDEX('在庫使用計画 (一般)'!$A$1:$BF$391,MATCH($C82,'在庫使用計画 (一般)'!$C$1:$C$391,0),MATCH(BI$1,'在庫使用計画 (一般)'!$A$1:$BF$1,0))*1,0),
_xlpm._法人検索,IFERROR(INDEX('在庫使用計画 (法人)'!$A$1:$BF$391,MATCH($C82,'在庫使用計画 (法人)'!$C$1:$C$391,0),MATCH(BI$1,'在庫使用計画 (法人)'!$A$1:$BF$1,0))*1,0),
_xlpm._合計,_xlpm._一般検索+_xlpm._法人検索,
IF(_xlpm._合計=0,"",_xlpm._合計)
)</f>
        <v/>
      </c>
      <c r="BJ82" s="224" t="str">
        <f>_xlfn.LET(
_xlpm._一般検索,IFERROR(INDEX('在庫使用計画 (一般)'!$A$1:$BF$391,MATCH($C82,'在庫使用計画 (一般)'!$C$1:$C$391,0),MATCH(BJ$1,'在庫使用計画 (一般)'!$A$1:$BF$1,0))*1,0),
_xlpm._法人検索,IFERROR(INDEX('在庫使用計画 (法人)'!$A$1:$BF$391,MATCH($C82,'在庫使用計画 (法人)'!$C$1:$C$391,0),MATCH(BJ$1,'在庫使用計画 (法人)'!$A$1:$BF$1,0))*1,0),
_xlpm._合計,_xlpm._一般検索+_xlpm._法人検索,
IF(_xlpm._合計=0,"",_xlpm._合計)
)</f>
        <v/>
      </c>
      <c r="BK82" s="224" t="str">
        <f>_xlfn.LET(
_xlpm._一般検索,IFERROR(INDEX('在庫使用計画 (一般)'!$A$1:$BF$391,MATCH($C82,'在庫使用計画 (一般)'!$C$1:$C$391,0),MATCH(BK$1,'在庫使用計画 (一般)'!$A$1:$BF$1,0))*1,0),
_xlpm._法人検索,IFERROR(INDEX('在庫使用計画 (法人)'!$A$1:$BF$391,MATCH($C82,'在庫使用計画 (法人)'!$C$1:$C$391,0),MATCH(BK$1,'在庫使用計画 (法人)'!$A$1:$BF$1,0))*1,0),
_xlpm._合計,_xlpm._一般検索+_xlpm._法人検索,
IF(_xlpm._合計=0,"",_xlpm._合計)
)</f>
        <v/>
      </c>
      <c r="BL82" s="224" t="str">
        <f>_xlfn.LET(
_xlpm._一般検索,IFERROR(INDEX('在庫使用計画 (一般)'!$A$1:$BF$391,MATCH($C82,'在庫使用計画 (一般)'!$C$1:$C$391,0),MATCH(BL$1,'在庫使用計画 (一般)'!$A$1:$BF$1,0))*1,0),
_xlpm._法人検索,IFERROR(INDEX('在庫使用計画 (法人)'!$A$1:$BF$391,MATCH($C82,'在庫使用計画 (法人)'!$C$1:$C$391,0),MATCH(BL$1,'在庫使用計画 (法人)'!$A$1:$BF$1,0))*1,0),
_xlpm._合計,_xlpm._一般検索+_xlpm._法人検索,
IF(_xlpm._合計=0,"",_xlpm._合計)
)</f>
        <v/>
      </c>
      <c r="BM82" s="224" t="str">
        <f>_xlfn.LET(
_xlpm._一般検索,IFERROR(INDEX('在庫使用計画 (一般)'!$A$1:$BF$391,MATCH($C82,'在庫使用計画 (一般)'!$C$1:$C$391,0),MATCH(BM$1,'在庫使用計画 (一般)'!$A$1:$BF$1,0))*1,0),
_xlpm._法人検索,IFERROR(INDEX('在庫使用計画 (法人)'!$A$1:$BF$391,MATCH($C82,'在庫使用計画 (法人)'!$C$1:$C$391,0),MATCH(BM$1,'在庫使用計画 (法人)'!$A$1:$BF$1,0))*1,0),
_xlpm._合計,_xlpm._一般検索+_xlpm._法人検索,
IF(_xlpm._合計=0,"",_xlpm._合計)
)</f>
        <v/>
      </c>
      <c r="BN82" s="224" t="str">
        <f>_xlfn.LET(
_xlpm._一般検索,IFERROR(INDEX('在庫使用計画 (一般)'!$A$1:$BF$391,MATCH($C82,'在庫使用計画 (一般)'!$C$1:$C$391,0),MATCH(BN$1,'在庫使用計画 (一般)'!$A$1:$BF$1,0))*1,0),
_xlpm._法人検索,IFERROR(INDEX('在庫使用計画 (法人)'!$A$1:$BF$391,MATCH($C82,'在庫使用計画 (法人)'!$C$1:$C$391,0),MATCH(BN$1,'在庫使用計画 (法人)'!$A$1:$BF$1,0))*1,0),
_xlpm._合計,_xlpm._一般検索+_xlpm._法人検索,
IF(_xlpm._合計=0,"",_xlpm._合計)
)</f>
        <v/>
      </c>
      <c r="BO82" s="224" t="str">
        <f>_xlfn.LET(
_xlpm._一般検索,IFERROR(INDEX('在庫使用計画 (一般)'!$A$1:$BF$391,MATCH($C82,'在庫使用計画 (一般)'!$C$1:$C$391,0),MATCH(BO$1,'在庫使用計画 (一般)'!$A$1:$BF$1,0))*1,0),
_xlpm._法人検索,IFERROR(INDEX('在庫使用計画 (法人)'!$A$1:$BF$391,MATCH($C82,'在庫使用計画 (法人)'!$C$1:$C$391,0),MATCH(BO$1,'在庫使用計画 (法人)'!$A$1:$BF$1,0))*1,0),
_xlpm._合計,_xlpm._一般検索+_xlpm._法人検索,
IF(_xlpm._合計=0,"",_xlpm._合計)
)</f>
        <v/>
      </c>
      <c r="BP82" s="224" t="str">
        <f>_xlfn.LET(
_xlpm._一般検索,IFERROR(INDEX('在庫使用計画 (一般)'!$A$1:$BF$391,MATCH($C82,'在庫使用計画 (一般)'!$C$1:$C$391,0),MATCH(BP$1,'在庫使用計画 (一般)'!$A$1:$BF$1,0))*1,0),
_xlpm._法人検索,IFERROR(INDEX('在庫使用計画 (法人)'!$A$1:$BF$391,MATCH($C82,'在庫使用計画 (法人)'!$C$1:$C$391,0),MATCH(BP$1,'在庫使用計画 (法人)'!$A$1:$BF$1,0))*1,0),
_xlpm._合計,_xlpm._一般検索+_xlpm._法人検索,
IF(_xlpm._合計=0,"",_xlpm._合計)
)</f>
        <v/>
      </c>
      <c r="BQ82" s="224" t="str">
        <f>_xlfn.LET(
_xlpm._一般検索,IFERROR(INDEX('在庫使用計画 (一般)'!$A$1:$BF$391,MATCH($C82,'在庫使用計画 (一般)'!$C$1:$C$391,0),MATCH(BQ$1,'在庫使用計画 (一般)'!$A$1:$BF$1,0))*1,0),
_xlpm._法人検索,IFERROR(INDEX('在庫使用計画 (法人)'!$A$1:$BF$391,MATCH($C82,'在庫使用計画 (法人)'!$C$1:$C$391,0),MATCH(BQ$1,'在庫使用計画 (法人)'!$A$1:$BF$1,0))*1,0),
_xlpm._合計,_xlpm._一般検索+_xlpm._法人検索,
IF(_xlpm._合計=0,"",_xlpm._合計)
)</f>
        <v/>
      </c>
      <c r="BR82" s="224" t="str">
        <f>_xlfn.LET(
_xlpm._一般検索,IFERROR(INDEX('在庫使用計画 (一般)'!$A$1:$BF$391,MATCH($C82,'在庫使用計画 (一般)'!$C$1:$C$391,0),MATCH(BR$1,'在庫使用計画 (一般)'!$A$1:$BF$1,0))*1,0),
_xlpm._法人検索,IFERROR(INDEX('在庫使用計画 (法人)'!$A$1:$BF$391,MATCH($C82,'在庫使用計画 (法人)'!$C$1:$C$391,0),MATCH(BR$1,'在庫使用計画 (法人)'!$A$1:$BF$1,0))*1,0),
_xlpm._合計,_xlpm._一般検索+_xlpm._法人検索,
IF(_xlpm._合計=0,"",_xlpm._合計)
)</f>
        <v/>
      </c>
      <c r="BS82" s="805" t="str">
        <f>_xlfn.LET(
_xlpm._一般検索,IFERROR(INDEX('在庫使用計画 (一般)'!$A$1:$BF$391,MATCH($C82,'在庫使用計画 (一般)'!$C$1:$C$391,0),MATCH(BS$1,'在庫使用計画 (一般)'!$A$1:$BF$1,0))*1,0),
_xlpm._法人検索,IFERROR(INDEX('在庫使用計画 (法人)'!$A$1:$BF$391,MATCH($C82,'在庫使用計画 (法人)'!$C$1:$C$391,0),MATCH(BS$1,'在庫使用計画 (法人)'!$A$1:$BF$1,0))*1,0),
_xlpm._合計,_xlpm._一般検索+_xlpm._法人検索,
IF(_xlpm._合計=0,"",_xlpm._合計)
)</f>
        <v/>
      </c>
      <c r="BT82" s="70"/>
    </row>
    <row r="83" spans="1:72" customFormat="1" ht="18.75" customHeight="1">
      <c r="A83" s="2064" t="s">
        <v>1473</v>
      </c>
      <c r="B83" s="26" t="str">
        <v>CLE-NL45-150U-UMA-L6-TPM Thirdwave</v>
      </c>
      <c r="C83" s="24" t="s">
        <v>707</v>
      </c>
      <c r="D83" s="2156">
        <v>306</v>
      </c>
      <c r="E83" s="72" t="s">
        <v>1459</v>
      </c>
      <c r="F83" s="68" t="s">
        <v>1725</v>
      </c>
      <c r="G83" s="74">
        <v>63</v>
      </c>
      <c r="H83" s="38">
        <v>63</v>
      </c>
      <c r="I83" s="38" cm="1">
        <f t="array" ref="I83">IF($C83="","",
_xlfn.LET(
  _xlpm._見出し,$A$1:$BT$1,
  _xlpm._行,$A83:$BT83,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0</v>
      </c>
      <c r="J83" s="74" cm="1">
        <f t="array" ref="J83">_xlfn.LET(
  _xlpm._見出し,$A$1:$BS$1,
  _xlpm._行,$A83:$BS83,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IF($C83="","",_xlpm._四点五月計画合計)
)</f>
        <v>0</v>
      </c>
      <c r="K83" s="1458" t="str" cm="1">
        <f t="array" ref="K83">_xlfn.IFS(
  $C83="","",
  $G83="","発売前？",
  $G83=0,"在庫なし",
  TRUE,
  IFERROR(
    _xlfn.LET(
      _xlpm._在庫注残,     $G83,
      _xlpm._しきい値,     _xlpm._在庫注残 * 0.75,
      _xlpm._見出し元,     $L$1:$BU$1,
      _xlpm._計画,         $L83:$BU83,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計画なし</v>
      </c>
      <c r="L83" s="311"/>
      <c r="M83" s="311"/>
      <c r="N83" s="311"/>
      <c r="O83" s="311"/>
      <c r="P83" s="38"/>
      <c r="Q83" s="38"/>
      <c r="R83" s="38"/>
      <c r="S83" s="38"/>
      <c r="T83" s="219"/>
      <c r="U83" s="219"/>
      <c r="V83" s="219"/>
      <c r="W83" s="219"/>
      <c r="X83" s="224"/>
      <c r="Y83" s="237"/>
      <c r="Z83" s="224"/>
      <c r="AA83" s="299"/>
      <c r="AB83" s="299"/>
      <c r="AC83" s="219" t="s">
        <v>21</v>
      </c>
      <c r="AD83" s="219" t="s">
        <v>21</v>
      </c>
      <c r="AE83" s="219" t="s">
        <v>21</v>
      </c>
      <c r="AF83" s="219" t="s">
        <v>21</v>
      </c>
      <c r="AG83" s="219" t="s">
        <v>21</v>
      </c>
      <c r="AH83" s="224" t="s">
        <v>21</v>
      </c>
      <c r="AI83" s="480" t="s">
        <v>21</v>
      </c>
      <c r="AJ83" s="804">
        <v>5</v>
      </c>
      <c r="AK83" s="224">
        <v>17</v>
      </c>
      <c r="AL83" s="224">
        <v>155</v>
      </c>
      <c r="AM83" s="224">
        <v>6</v>
      </c>
      <c r="AN83" s="224">
        <f>_xlfn.LET(
_xlpm._一般検索,IFERROR(INDEX('在庫使用計画 (一般)'!$A$1:$BF$391,MATCH($C83,'在庫使用計画 (一般)'!$C$1:$C$391,0),MATCH(AN$1,'在庫使用計画 (一般)'!$A$1:$BF$1,0))*1,0),
_xlpm._法人検索,IFERROR(INDEX('在庫使用計画 (法人)'!$A$1:$BF$391,MATCH($C83,'在庫使用計画 (法人)'!$C$1:$C$391,0),MATCH(AN$1,'在庫使用計画 (法人)'!$A$1:$BF$1,0))*1,0),
_xlpm._合計,_xlpm._一般検索+_xlpm._法人検索,
IF(_xlpm._合計=0,"",_xlpm._合計)
)</f>
        <v>45</v>
      </c>
      <c r="AO83" s="224">
        <f>_xlfn.LET(
_xlpm._一般検索,IFERROR(INDEX('在庫使用計画 (一般)'!$A$1:$BF$391,MATCH($C83,'在庫使用計画 (一般)'!$C$1:$C$391,0),MATCH(AO$1,'在庫使用計画 (一般)'!$A$1:$BF$1,0))*1,0),
_xlpm._法人検索,IFERROR(INDEX('在庫使用計画 (法人)'!$A$1:$BF$391,MATCH($C83,'在庫使用計画 (法人)'!$C$1:$C$391,0),MATCH(AO$1,'在庫使用計画 (法人)'!$A$1:$BF$1,0))*1,0),
_xlpm._合計,_xlpm._一般検索+_xlpm._法人検索,
IF(_xlpm._合計=0,"",_xlpm._合計)
)</f>
        <v>53</v>
      </c>
      <c r="AP83" s="224" t="str">
        <f>_xlfn.LET(
_xlpm._一般検索,IFERROR(INDEX('在庫使用計画 (一般)'!$A$1:$BF$391,MATCH($C83,'在庫使用計画 (一般)'!$C$1:$C$391,0),MATCH(AP$1,'在庫使用計画 (一般)'!$A$1:$BF$1,0))*1,0),
_xlpm._法人検索,IFERROR(INDEX('在庫使用計画 (法人)'!$A$1:$BF$391,MATCH($C83,'在庫使用計画 (法人)'!$C$1:$C$391,0),MATCH(AP$1,'在庫使用計画 (法人)'!$A$1:$BF$1,0))*1,0),
_xlpm._合計,_xlpm._一般検索+_xlpm._法人検索,
IF(_xlpm._合計=0,"",_xlpm._合計)
)</f>
        <v/>
      </c>
      <c r="AQ83" s="224" t="str">
        <f>_xlfn.LET(
_xlpm._一般検索,IFERROR(INDEX('在庫使用計画 (一般)'!$A$1:$BF$391,MATCH($C83,'在庫使用計画 (一般)'!$C$1:$C$391,0),MATCH(AQ$1,'在庫使用計画 (一般)'!$A$1:$BF$1,0))*1,0),
_xlpm._法人検索,IFERROR(INDEX('在庫使用計画 (法人)'!$A$1:$BF$391,MATCH($C83,'在庫使用計画 (法人)'!$C$1:$C$391,0),MATCH(AQ$1,'在庫使用計画 (法人)'!$A$1:$BF$1,0))*1,0),
_xlpm._合計,_xlpm._一般検索+_xlpm._法人検索,
IF(_xlpm._合計=0,"",_xlpm._合計)
)</f>
        <v/>
      </c>
      <c r="AR83" s="224" t="str">
        <f>_xlfn.LET(
_xlpm._一般検索,IFERROR(INDEX('在庫使用計画 (一般)'!$A$1:$BF$391,MATCH($C83,'在庫使用計画 (一般)'!$C$1:$C$391,0),MATCH(AR$1,'在庫使用計画 (一般)'!$A$1:$BF$1,0))*1,0),
_xlpm._法人検索,IFERROR(INDEX('在庫使用計画 (法人)'!$A$1:$BF$391,MATCH($C83,'在庫使用計画 (法人)'!$C$1:$C$391,0),MATCH(AR$1,'在庫使用計画 (法人)'!$A$1:$BF$1,0))*1,0),
_xlpm._合計,_xlpm._一般検索+_xlpm._法人検索,
IF(_xlpm._合計=0,"",_xlpm._合計)
)</f>
        <v/>
      </c>
      <c r="AS83" s="224" t="str">
        <f>_xlfn.LET(
_xlpm._一般検索,IFERROR(INDEX('在庫使用計画 (一般)'!$A$1:$BF$391,MATCH($C83,'在庫使用計画 (一般)'!$C$1:$C$391,0),MATCH(AS$1,'在庫使用計画 (一般)'!$A$1:$BF$1,0))*1,0),
_xlpm._法人検索,IFERROR(INDEX('在庫使用計画 (法人)'!$A$1:$BF$391,MATCH($C83,'在庫使用計画 (法人)'!$C$1:$C$391,0),MATCH(AS$1,'在庫使用計画 (法人)'!$A$1:$BF$1,0))*1,0),
_xlpm._合計,_xlpm._一般検索+_xlpm._法人検索,
IF(_xlpm._合計=0,"",_xlpm._合計)
)</f>
        <v/>
      </c>
      <c r="AT83" s="224" t="str">
        <f>_xlfn.LET(
_xlpm._一般検索,IFERROR(INDEX('在庫使用計画 (一般)'!$A$1:$BF$391,MATCH($C83,'在庫使用計画 (一般)'!$C$1:$C$391,0),MATCH(AT$1,'在庫使用計画 (一般)'!$A$1:$BF$1,0))*1,0),
_xlpm._法人検索,IFERROR(INDEX('在庫使用計画 (法人)'!$A$1:$BF$391,MATCH($C83,'在庫使用計画 (法人)'!$C$1:$C$391,0),MATCH(AT$1,'在庫使用計画 (法人)'!$A$1:$BF$1,0))*1,0),
_xlpm._合計,_xlpm._一般検索+_xlpm._法人検索,
IF(_xlpm._合計=0,"",_xlpm._合計)
)</f>
        <v/>
      </c>
      <c r="AU83" s="805" t="str">
        <f>_xlfn.LET(
_xlpm._一般検索,IFERROR(INDEX('在庫使用計画 (一般)'!$A$1:$BF$391,MATCH($C83,'在庫使用計画 (一般)'!$C$1:$C$391,0),MATCH(AU$1,'在庫使用計画 (一般)'!$A$1:$BF$1,0))*1,0),
_xlpm._法人検索,IFERROR(INDEX('在庫使用計画 (法人)'!$A$1:$BF$391,MATCH($C83,'在庫使用計画 (法人)'!$C$1:$C$391,0),MATCH(AU$1,'在庫使用計画 (法人)'!$A$1:$BF$1,0))*1,0),
_xlpm._合計,_xlpm._一般検索+_xlpm._法人検索,
IF(_xlpm._合計=0,"",_xlpm._合計)
)</f>
        <v/>
      </c>
      <c r="AV83" s="244" t="str">
        <f>_xlfn.LET(
_xlpm._一般検索,IFERROR(INDEX('在庫使用計画 (一般)'!$A$1:$BF$391,MATCH($C83,'在庫使用計画 (一般)'!$C$1:$C$391,0),MATCH(AV$1,'在庫使用計画 (一般)'!$A$1:$BF$1,0))*1,0),
_xlpm._法人検索,IFERROR(INDEX('在庫使用計画 (法人)'!$A$1:$BF$391,MATCH($C83,'在庫使用計画 (法人)'!$C$1:$C$391,0),MATCH(AV$1,'在庫使用計画 (法人)'!$A$1:$BF$1,0))*1,0),
_xlpm._合計,_xlpm._一般検索+_xlpm._法人検索,
IF(_xlpm._合計=0,"",_xlpm._合計)
)</f>
        <v/>
      </c>
      <c r="AW83" s="224" t="str">
        <f>_xlfn.LET(
_xlpm._一般検索,IFERROR(INDEX('在庫使用計画 (一般)'!$A$1:$BF$391,MATCH($C83,'在庫使用計画 (一般)'!$C$1:$C$391,0),MATCH(AW$1,'在庫使用計画 (一般)'!$A$1:$BF$1,0))*1,0),
_xlpm._法人検索,IFERROR(INDEX('在庫使用計画 (法人)'!$A$1:$BF$391,MATCH($C83,'在庫使用計画 (法人)'!$C$1:$C$391,0),MATCH(AW$1,'在庫使用計画 (法人)'!$A$1:$BF$1,0))*1,0),
_xlpm._合計,_xlpm._一般検索+_xlpm._法人検索,
IF(_xlpm._合計=0,"",_xlpm._合計)
)</f>
        <v/>
      </c>
      <c r="AX83" s="224" t="str">
        <f>_xlfn.LET(
_xlpm._一般検索,IFERROR(INDEX('在庫使用計画 (一般)'!$A$1:$BF$391,MATCH($C83,'在庫使用計画 (一般)'!$C$1:$C$391,0),MATCH(AX$1,'在庫使用計画 (一般)'!$A$1:$BF$1,0))*1,0),
_xlpm._法人検索,IFERROR(INDEX('在庫使用計画 (法人)'!$A$1:$BF$391,MATCH($C83,'在庫使用計画 (法人)'!$C$1:$C$391,0),MATCH(AX$1,'在庫使用計画 (法人)'!$A$1:$BF$1,0))*1,0),
_xlpm._合計,_xlpm._一般検索+_xlpm._法人検索,
IF(_xlpm._合計=0,"",_xlpm._合計)
)</f>
        <v/>
      </c>
      <c r="AY83" s="224" t="str">
        <f>_xlfn.LET(
_xlpm._一般検索,IFERROR(INDEX('在庫使用計画 (一般)'!$A$1:$BF$391,MATCH($C83,'在庫使用計画 (一般)'!$C$1:$C$391,0),MATCH(AY$1,'在庫使用計画 (一般)'!$A$1:$BF$1,0))*1,0),
_xlpm._法人検索,IFERROR(INDEX('在庫使用計画 (法人)'!$A$1:$BF$391,MATCH($C83,'在庫使用計画 (法人)'!$C$1:$C$391,0),MATCH(AY$1,'在庫使用計画 (法人)'!$A$1:$BF$1,0))*1,0),
_xlpm._合計,_xlpm._一般検索+_xlpm._法人検索,
IF(_xlpm._合計=0,"",_xlpm._合計)
)</f>
        <v/>
      </c>
      <c r="AZ83" s="224" t="str">
        <f>_xlfn.LET(
_xlpm._一般検索,IFERROR(INDEX('在庫使用計画 (一般)'!$A$1:$BF$391,MATCH($C83,'在庫使用計画 (一般)'!$C$1:$C$391,0),MATCH(AZ$1,'在庫使用計画 (一般)'!$A$1:$BF$1,0))*1,0),
_xlpm._法人検索,IFERROR(INDEX('在庫使用計画 (法人)'!$A$1:$BF$391,MATCH($C83,'在庫使用計画 (法人)'!$C$1:$C$391,0),MATCH(AZ$1,'在庫使用計画 (法人)'!$A$1:$BF$1,0))*1,0),
_xlpm._合計,_xlpm._一般検索+_xlpm._法人検索,
IF(_xlpm._合計=0,"",_xlpm._合計)
)</f>
        <v/>
      </c>
      <c r="BA83" s="224" t="str">
        <f>_xlfn.LET(
_xlpm._一般検索,IFERROR(INDEX('在庫使用計画 (一般)'!$A$1:$BF$391,MATCH($C83,'在庫使用計画 (一般)'!$C$1:$C$391,0),MATCH(BA$1,'在庫使用計画 (一般)'!$A$1:$BF$1,0))*1,0),
_xlpm._法人検索,IFERROR(INDEX('在庫使用計画 (法人)'!$A$1:$BF$391,MATCH($C83,'在庫使用計画 (法人)'!$C$1:$C$391,0),MATCH(BA$1,'在庫使用計画 (法人)'!$A$1:$BF$1,0))*1,0),
_xlpm._合計,_xlpm._一般検索+_xlpm._法人検索,
IF(_xlpm._合計=0,"",_xlpm._合計)
)</f>
        <v/>
      </c>
      <c r="BB83" s="224" t="str">
        <f>_xlfn.LET(
_xlpm._一般検索,IFERROR(INDEX('在庫使用計画 (一般)'!$A$1:$BF$391,MATCH($C83,'在庫使用計画 (一般)'!$C$1:$C$391,0),MATCH(BB$1,'在庫使用計画 (一般)'!$A$1:$BF$1,0))*1,0),
_xlpm._法人検索,IFERROR(INDEX('在庫使用計画 (法人)'!$A$1:$BF$391,MATCH($C83,'在庫使用計画 (法人)'!$C$1:$C$391,0),MATCH(BB$1,'在庫使用計画 (法人)'!$A$1:$BF$1,0))*1,0),
_xlpm._合計,_xlpm._一般検索+_xlpm._法人検索,
IF(_xlpm._合計=0,"",_xlpm._合計)
)</f>
        <v/>
      </c>
      <c r="BC83" s="224" t="str">
        <f>_xlfn.LET(
_xlpm._一般検索,IFERROR(INDEX('在庫使用計画 (一般)'!$A$1:$BF$391,MATCH($C83,'在庫使用計画 (一般)'!$C$1:$C$391,0),MATCH(BC$1,'在庫使用計画 (一般)'!$A$1:$BF$1,0))*1,0),
_xlpm._法人検索,IFERROR(INDEX('在庫使用計画 (法人)'!$A$1:$BF$391,MATCH($C83,'在庫使用計画 (法人)'!$C$1:$C$391,0),MATCH(BC$1,'在庫使用計画 (法人)'!$A$1:$BF$1,0))*1,0),
_xlpm._合計,_xlpm._一般検索+_xlpm._法人検索,
IF(_xlpm._合計=0,"",_xlpm._合計)
)</f>
        <v/>
      </c>
      <c r="BD83" s="224" t="str">
        <f>_xlfn.LET(
_xlpm._一般検索,IFERROR(INDEX('在庫使用計画 (一般)'!$A$1:$BF$391,MATCH($C83,'在庫使用計画 (一般)'!$C$1:$C$391,0),MATCH(BD$1,'在庫使用計画 (一般)'!$A$1:$BF$1,0))*1,0),
_xlpm._法人検索,IFERROR(INDEX('在庫使用計画 (法人)'!$A$1:$BF$391,MATCH($C83,'在庫使用計画 (法人)'!$C$1:$C$391,0),MATCH(BD$1,'在庫使用計画 (法人)'!$A$1:$BF$1,0))*1,0),
_xlpm._合計,_xlpm._一般検索+_xlpm._法人検索,
IF(_xlpm._合計=0,"",_xlpm._合計)
)</f>
        <v/>
      </c>
      <c r="BE83" s="224" t="str">
        <f>_xlfn.LET(
_xlpm._一般検索,IFERROR(INDEX('在庫使用計画 (一般)'!$A$1:$BF$391,MATCH($C83,'在庫使用計画 (一般)'!$C$1:$C$391,0),MATCH(BE$1,'在庫使用計画 (一般)'!$A$1:$BF$1,0))*1,0),
_xlpm._法人検索,IFERROR(INDEX('在庫使用計画 (法人)'!$A$1:$BF$391,MATCH($C83,'在庫使用計画 (法人)'!$C$1:$C$391,0),MATCH(BE$1,'在庫使用計画 (法人)'!$A$1:$BF$1,0))*1,0),
_xlpm._合計,_xlpm._一般検索+_xlpm._法人検索,
IF(_xlpm._合計=0,"",_xlpm._合計)
)</f>
        <v/>
      </c>
      <c r="BF83" s="224" t="str">
        <f>_xlfn.LET(
_xlpm._一般検索,IFERROR(INDEX('在庫使用計画 (一般)'!$A$1:$BF$391,MATCH($C83,'在庫使用計画 (一般)'!$C$1:$C$391,0),MATCH(BF$1,'在庫使用計画 (一般)'!$A$1:$BF$1,0))*1,0),
_xlpm._法人検索,IFERROR(INDEX('在庫使用計画 (法人)'!$A$1:$BF$391,MATCH($C83,'在庫使用計画 (法人)'!$C$1:$C$391,0),MATCH(BF$1,'在庫使用計画 (法人)'!$A$1:$BF$1,0))*1,0),
_xlpm._合計,_xlpm._一般検索+_xlpm._法人検索,
IF(_xlpm._合計=0,"",_xlpm._合計)
)</f>
        <v/>
      </c>
      <c r="BG83" s="237" t="str">
        <f>_xlfn.LET(
_xlpm._一般検索,IFERROR(INDEX('在庫使用計画 (一般)'!$A$1:$BF$391,MATCH($C83,'在庫使用計画 (一般)'!$C$1:$C$391,0),MATCH(BG$1,'在庫使用計画 (一般)'!$A$1:$BF$1,0))*1,0),
_xlpm._法人検索,IFERROR(INDEX('在庫使用計画 (法人)'!$A$1:$BF$391,MATCH($C83,'在庫使用計画 (法人)'!$C$1:$C$391,0),MATCH(BG$1,'在庫使用計画 (法人)'!$A$1:$BF$1,0))*1,0),
_xlpm._合計,_xlpm._一般検索+_xlpm._法人検索,
IF(_xlpm._合計=0,"",_xlpm._合計)
)</f>
        <v/>
      </c>
      <c r="BH83" s="804" t="str">
        <f>_xlfn.LET(
_xlpm._一般検索,IFERROR(INDEX('在庫使用計画 (一般)'!$A$1:$BF$391,MATCH($C83,'在庫使用計画 (一般)'!$C$1:$C$391,0),MATCH(BH$1,'在庫使用計画 (一般)'!$A$1:$BF$1,0))*1,0),
_xlpm._法人検索,IFERROR(INDEX('在庫使用計画 (法人)'!$A$1:$BF$391,MATCH($C83,'在庫使用計画 (法人)'!$C$1:$C$391,0),MATCH(BH$1,'在庫使用計画 (法人)'!$A$1:$BF$1,0))*1,0),
_xlpm._合計,_xlpm._一般検索+_xlpm._法人検索,
IF(_xlpm._合計=0,"",_xlpm._合計)
)</f>
        <v/>
      </c>
      <c r="BI83" s="224" t="str">
        <f>_xlfn.LET(
_xlpm._一般検索,IFERROR(INDEX('在庫使用計画 (一般)'!$A$1:$BF$391,MATCH($C83,'在庫使用計画 (一般)'!$C$1:$C$391,0),MATCH(BI$1,'在庫使用計画 (一般)'!$A$1:$BF$1,0))*1,0),
_xlpm._法人検索,IFERROR(INDEX('在庫使用計画 (法人)'!$A$1:$BF$391,MATCH($C83,'在庫使用計画 (法人)'!$C$1:$C$391,0),MATCH(BI$1,'在庫使用計画 (法人)'!$A$1:$BF$1,0))*1,0),
_xlpm._合計,_xlpm._一般検索+_xlpm._法人検索,
IF(_xlpm._合計=0,"",_xlpm._合計)
)</f>
        <v/>
      </c>
      <c r="BJ83" s="224" t="str">
        <f>_xlfn.LET(
_xlpm._一般検索,IFERROR(INDEX('在庫使用計画 (一般)'!$A$1:$BF$391,MATCH($C83,'在庫使用計画 (一般)'!$C$1:$C$391,0),MATCH(BJ$1,'在庫使用計画 (一般)'!$A$1:$BF$1,0))*1,0),
_xlpm._法人検索,IFERROR(INDEX('在庫使用計画 (法人)'!$A$1:$BF$391,MATCH($C83,'在庫使用計画 (法人)'!$C$1:$C$391,0),MATCH(BJ$1,'在庫使用計画 (法人)'!$A$1:$BF$1,0))*1,0),
_xlpm._合計,_xlpm._一般検索+_xlpm._法人検索,
IF(_xlpm._合計=0,"",_xlpm._合計)
)</f>
        <v/>
      </c>
      <c r="BK83" s="224" t="str">
        <f>_xlfn.LET(
_xlpm._一般検索,IFERROR(INDEX('在庫使用計画 (一般)'!$A$1:$BF$391,MATCH($C83,'在庫使用計画 (一般)'!$C$1:$C$391,0),MATCH(BK$1,'在庫使用計画 (一般)'!$A$1:$BF$1,0))*1,0),
_xlpm._法人検索,IFERROR(INDEX('在庫使用計画 (法人)'!$A$1:$BF$391,MATCH($C83,'在庫使用計画 (法人)'!$C$1:$C$391,0),MATCH(BK$1,'在庫使用計画 (法人)'!$A$1:$BF$1,0))*1,0),
_xlpm._合計,_xlpm._一般検索+_xlpm._法人検索,
IF(_xlpm._合計=0,"",_xlpm._合計)
)</f>
        <v/>
      </c>
      <c r="BL83" s="224" t="str">
        <f>_xlfn.LET(
_xlpm._一般検索,IFERROR(INDEX('在庫使用計画 (一般)'!$A$1:$BF$391,MATCH($C83,'在庫使用計画 (一般)'!$C$1:$C$391,0),MATCH(BL$1,'在庫使用計画 (一般)'!$A$1:$BF$1,0))*1,0),
_xlpm._法人検索,IFERROR(INDEX('在庫使用計画 (法人)'!$A$1:$BF$391,MATCH($C83,'在庫使用計画 (法人)'!$C$1:$C$391,0),MATCH(BL$1,'在庫使用計画 (法人)'!$A$1:$BF$1,0))*1,0),
_xlpm._合計,_xlpm._一般検索+_xlpm._法人検索,
IF(_xlpm._合計=0,"",_xlpm._合計)
)</f>
        <v/>
      </c>
      <c r="BM83" s="224" t="str">
        <f>_xlfn.LET(
_xlpm._一般検索,IFERROR(INDEX('在庫使用計画 (一般)'!$A$1:$BF$391,MATCH($C83,'在庫使用計画 (一般)'!$C$1:$C$391,0),MATCH(BM$1,'在庫使用計画 (一般)'!$A$1:$BF$1,0))*1,0),
_xlpm._法人検索,IFERROR(INDEX('在庫使用計画 (法人)'!$A$1:$BF$391,MATCH($C83,'在庫使用計画 (法人)'!$C$1:$C$391,0),MATCH(BM$1,'在庫使用計画 (法人)'!$A$1:$BF$1,0))*1,0),
_xlpm._合計,_xlpm._一般検索+_xlpm._法人検索,
IF(_xlpm._合計=0,"",_xlpm._合計)
)</f>
        <v/>
      </c>
      <c r="BN83" s="224" t="str">
        <f>_xlfn.LET(
_xlpm._一般検索,IFERROR(INDEX('在庫使用計画 (一般)'!$A$1:$BF$391,MATCH($C83,'在庫使用計画 (一般)'!$C$1:$C$391,0),MATCH(BN$1,'在庫使用計画 (一般)'!$A$1:$BF$1,0))*1,0),
_xlpm._法人検索,IFERROR(INDEX('在庫使用計画 (法人)'!$A$1:$BF$391,MATCH($C83,'在庫使用計画 (法人)'!$C$1:$C$391,0),MATCH(BN$1,'在庫使用計画 (法人)'!$A$1:$BF$1,0))*1,0),
_xlpm._合計,_xlpm._一般検索+_xlpm._法人検索,
IF(_xlpm._合計=0,"",_xlpm._合計)
)</f>
        <v/>
      </c>
      <c r="BO83" s="224" t="str">
        <f>_xlfn.LET(
_xlpm._一般検索,IFERROR(INDEX('在庫使用計画 (一般)'!$A$1:$BF$391,MATCH($C83,'在庫使用計画 (一般)'!$C$1:$C$391,0),MATCH(BO$1,'在庫使用計画 (一般)'!$A$1:$BF$1,0))*1,0),
_xlpm._法人検索,IFERROR(INDEX('在庫使用計画 (法人)'!$A$1:$BF$391,MATCH($C83,'在庫使用計画 (法人)'!$C$1:$C$391,0),MATCH(BO$1,'在庫使用計画 (法人)'!$A$1:$BF$1,0))*1,0),
_xlpm._合計,_xlpm._一般検索+_xlpm._法人検索,
IF(_xlpm._合計=0,"",_xlpm._合計)
)</f>
        <v/>
      </c>
      <c r="BP83" s="224" t="str">
        <f>_xlfn.LET(
_xlpm._一般検索,IFERROR(INDEX('在庫使用計画 (一般)'!$A$1:$BF$391,MATCH($C83,'在庫使用計画 (一般)'!$C$1:$C$391,0),MATCH(BP$1,'在庫使用計画 (一般)'!$A$1:$BF$1,0))*1,0),
_xlpm._法人検索,IFERROR(INDEX('在庫使用計画 (法人)'!$A$1:$BF$391,MATCH($C83,'在庫使用計画 (法人)'!$C$1:$C$391,0),MATCH(BP$1,'在庫使用計画 (法人)'!$A$1:$BF$1,0))*1,0),
_xlpm._合計,_xlpm._一般検索+_xlpm._法人検索,
IF(_xlpm._合計=0,"",_xlpm._合計)
)</f>
        <v/>
      </c>
      <c r="BQ83" s="224" t="str">
        <f>_xlfn.LET(
_xlpm._一般検索,IFERROR(INDEX('在庫使用計画 (一般)'!$A$1:$BF$391,MATCH($C83,'在庫使用計画 (一般)'!$C$1:$C$391,0),MATCH(BQ$1,'在庫使用計画 (一般)'!$A$1:$BF$1,0))*1,0),
_xlpm._法人検索,IFERROR(INDEX('在庫使用計画 (法人)'!$A$1:$BF$391,MATCH($C83,'在庫使用計画 (法人)'!$C$1:$C$391,0),MATCH(BQ$1,'在庫使用計画 (法人)'!$A$1:$BF$1,0))*1,0),
_xlpm._合計,_xlpm._一般検索+_xlpm._法人検索,
IF(_xlpm._合計=0,"",_xlpm._合計)
)</f>
        <v/>
      </c>
      <c r="BR83" s="224" t="str">
        <f>_xlfn.LET(
_xlpm._一般検索,IFERROR(INDEX('在庫使用計画 (一般)'!$A$1:$BF$391,MATCH($C83,'在庫使用計画 (一般)'!$C$1:$C$391,0),MATCH(BR$1,'在庫使用計画 (一般)'!$A$1:$BF$1,0))*1,0),
_xlpm._法人検索,IFERROR(INDEX('在庫使用計画 (法人)'!$A$1:$BF$391,MATCH($C83,'在庫使用計画 (法人)'!$C$1:$C$391,0),MATCH(BR$1,'在庫使用計画 (法人)'!$A$1:$BF$1,0))*1,0),
_xlpm._合計,_xlpm._一般検索+_xlpm._法人検索,
IF(_xlpm._合計=0,"",_xlpm._合計)
)</f>
        <v/>
      </c>
      <c r="BS83" s="805" t="str">
        <f>_xlfn.LET(
_xlpm._一般検索,IFERROR(INDEX('在庫使用計画 (一般)'!$A$1:$BF$391,MATCH($C83,'在庫使用計画 (一般)'!$C$1:$C$391,0),MATCH(BS$1,'在庫使用計画 (一般)'!$A$1:$BF$1,0))*1,0),
_xlpm._法人検索,IFERROR(INDEX('在庫使用計画 (法人)'!$A$1:$BF$391,MATCH($C83,'在庫使用計画 (法人)'!$C$1:$C$391,0),MATCH(BS$1,'在庫使用計画 (法人)'!$A$1:$BF$1,0))*1,0),
_xlpm._合計,_xlpm._一般検索+_xlpm._法人検索,
IF(_xlpm._合計=0,"",_xlpm._合計)
)</f>
        <v/>
      </c>
      <c r="BT83" s="70"/>
    </row>
    <row r="84" spans="1:72" customFormat="1" ht="18.75" customHeight="1">
      <c r="A84" s="2064" t="s">
        <v>1473</v>
      </c>
      <c r="B84" s="26" t="str">
        <v>CLE-NL45-120U-UMA-L6-TPM Thirdwave</v>
      </c>
      <c r="C84" s="24" t="s">
        <v>763</v>
      </c>
      <c r="D84" s="2156">
        <v>706</v>
      </c>
      <c r="E84" s="72" t="s">
        <v>1460</v>
      </c>
      <c r="F84" s="68" t="s">
        <v>1725</v>
      </c>
      <c r="G84" s="74">
        <v>362</v>
      </c>
      <c r="H84" s="38">
        <v>362</v>
      </c>
      <c r="I84" s="38" cm="1">
        <f t="array" ref="I84">IF($C84="","",
_xlfn.LET(
  _xlpm._見出し,$A$1:$BT$1,
  _xlpm._行,$A84:$BT84,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270</v>
      </c>
      <c r="J84" s="74" cm="1">
        <f t="array" ref="J84">_xlfn.LET(
  _xlpm._見出し,$A$1:$BS$1,
  _xlpm._行,$A84:$BS84,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IF($C84="","",_xlpm._四点五月計画合計)
)</f>
        <v>135</v>
      </c>
      <c r="K84" s="1458" t="str" cm="1">
        <f t="array" ref="K84">_xlfn.IFS(
  $C84="","",
  $G84="","発売前？",
  $G84=0,"在庫なし",
  TRUE,
  IFERROR(
    _xlfn.LET(
      _xlpm._在庫注残,     $G84,
      _xlpm._しきい値,     _xlpm._在庫注残 * 0.75,
      _xlpm._見出し元,     $L$1:$BU$1,
      _xlpm._計画,         $L84:$BU84,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合計261、在庫+注残362のため不足</v>
      </c>
      <c r="L84" s="311"/>
      <c r="M84" s="311"/>
      <c r="N84" s="311"/>
      <c r="O84" s="311"/>
      <c r="P84" s="38"/>
      <c r="Q84" s="38"/>
      <c r="R84" s="38"/>
      <c r="S84" s="38"/>
      <c r="T84" s="219"/>
      <c r="U84" s="219"/>
      <c r="V84" s="219"/>
      <c r="W84" s="219"/>
      <c r="X84" s="224"/>
      <c r="Y84" s="237"/>
      <c r="Z84" s="224"/>
      <c r="AA84" s="299"/>
      <c r="AB84" s="299"/>
      <c r="AC84" s="219" t="s">
        <v>21</v>
      </c>
      <c r="AD84" s="219" t="s">
        <v>21</v>
      </c>
      <c r="AE84" s="219" t="s">
        <v>21</v>
      </c>
      <c r="AF84" s="219" t="s">
        <v>21</v>
      </c>
      <c r="AG84" s="219" t="s">
        <v>21</v>
      </c>
      <c r="AH84" s="224" t="s">
        <v>21</v>
      </c>
      <c r="AI84" s="480">
        <v>1</v>
      </c>
      <c r="AJ84" s="804">
        <v>17</v>
      </c>
      <c r="AK84" s="224">
        <v>102</v>
      </c>
      <c r="AL84" s="224">
        <v>24</v>
      </c>
      <c r="AM84" s="224">
        <v>10</v>
      </c>
      <c r="AN84" s="224">
        <f>_xlfn.LET(
_xlpm._一般検索,IFERROR(INDEX('在庫使用計画 (一般)'!$A$1:$BF$391,MATCH($C84,'在庫使用計画 (一般)'!$C$1:$C$391,0),MATCH(AN$1,'在庫使用計画 (一般)'!$A$1:$BF$1,0))*1,0),
_xlpm._法人検索,IFERROR(INDEX('在庫使用計画 (法人)'!$A$1:$BF$391,MATCH($C84,'在庫使用計画 (法人)'!$C$1:$C$391,0),MATCH(AN$1,'在庫使用計画 (法人)'!$A$1:$BF$1,0))*1,0),
_xlpm._合計,_xlpm._一般検索+_xlpm._法人検索,
IF(_xlpm._合計=0,"",_xlpm._合計)
)</f>
        <v>101</v>
      </c>
      <c r="AO84" s="224">
        <f>_xlfn.LET(
_xlpm._一般検索,IFERROR(INDEX('在庫使用計画 (一般)'!$A$1:$BF$391,MATCH($C84,'在庫使用計画 (一般)'!$C$1:$C$391,0),MATCH(AO$1,'在庫使用計画 (一般)'!$A$1:$BF$1,0))*1,0),
_xlpm._法人検索,IFERROR(INDEX('在庫使用計画 (法人)'!$A$1:$BF$391,MATCH($C84,'在庫使用計画 (法人)'!$C$1:$C$391,0),MATCH(AO$1,'在庫使用計画 (法人)'!$A$1:$BF$1,0))*1,0),
_xlpm._合計,_xlpm._一般検索+_xlpm._法人検索,
IF(_xlpm._合計=0,"",_xlpm._合計)
)</f>
        <v>270</v>
      </c>
      <c r="AP84" s="224">
        <f>_xlfn.LET(
_xlpm._一般検索,IFERROR(INDEX('在庫使用計画 (一般)'!$A$1:$BF$391,MATCH($C84,'在庫使用計画 (一般)'!$C$1:$C$391,0),MATCH(AP$1,'在庫使用計画 (一般)'!$A$1:$BF$1,0))*1,0),
_xlpm._法人検索,IFERROR(INDEX('在庫使用計画 (法人)'!$A$1:$BF$391,MATCH($C84,'在庫使用計画 (法人)'!$C$1:$C$391,0),MATCH(AP$1,'在庫使用計画 (法人)'!$A$1:$BF$1,0))*1,0),
_xlpm._合計,_xlpm._一般検索+_xlpm._法人検索,
IF(_xlpm._合計=0,"",_xlpm._合計)
)</f>
        <v>270</v>
      </c>
      <c r="AQ84" s="224" t="str">
        <f>_xlfn.LET(
_xlpm._一般検索,IFERROR(INDEX('在庫使用計画 (一般)'!$A$1:$BF$391,MATCH($C84,'在庫使用計画 (一般)'!$C$1:$C$391,0),MATCH(AQ$1,'在庫使用計画 (一般)'!$A$1:$BF$1,0))*1,0),
_xlpm._法人検索,IFERROR(INDEX('在庫使用計画 (法人)'!$A$1:$BF$391,MATCH($C84,'在庫使用計画 (法人)'!$C$1:$C$391,0),MATCH(AQ$1,'在庫使用計画 (法人)'!$A$1:$BF$1,0))*1,0),
_xlpm._合計,_xlpm._一般検索+_xlpm._法人検索,
IF(_xlpm._合計=0,"",_xlpm._合計)
)</f>
        <v/>
      </c>
      <c r="AR84" s="224" t="str">
        <f>_xlfn.LET(
_xlpm._一般検索,IFERROR(INDEX('在庫使用計画 (一般)'!$A$1:$BF$391,MATCH($C84,'在庫使用計画 (一般)'!$C$1:$C$391,0),MATCH(AR$1,'在庫使用計画 (一般)'!$A$1:$BF$1,0))*1,0),
_xlpm._法人検索,IFERROR(INDEX('在庫使用計画 (法人)'!$A$1:$BF$391,MATCH($C84,'在庫使用計画 (法人)'!$C$1:$C$391,0),MATCH(AR$1,'在庫使用計画 (法人)'!$A$1:$BF$1,0))*1,0),
_xlpm._合計,_xlpm._一般検索+_xlpm._法人検索,
IF(_xlpm._合計=0,"",_xlpm._合計)
)</f>
        <v/>
      </c>
      <c r="AS84" s="224" t="str">
        <f>_xlfn.LET(
_xlpm._一般検索,IFERROR(INDEX('在庫使用計画 (一般)'!$A$1:$BF$391,MATCH($C84,'在庫使用計画 (一般)'!$C$1:$C$391,0),MATCH(AS$1,'在庫使用計画 (一般)'!$A$1:$BF$1,0))*1,0),
_xlpm._法人検索,IFERROR(INDEX('在庫使用計画 (法人)'!$A$1:$BF$391,MATCH($C84,'在庫使用計画 (法人)'!$C$1:$C$391,0),MATCH(AS$1,'在庫使用計画 (法人)'!$A$1:$BF$1,0))*1,0),
_xlpm._合計,_xlpm._一般検索+_xlpm._法人検索,
IF(_xlpm._合計=0,"",_xlpm._合計)
)</f>
        <v/>
      </c>
      <c r="AT84" s="224" t="str">
        <f>_xlfn.LET(
_xlpm._一般検索,IFERROR(INDEX('在庫使用計画 (一般)'!$A$1:$BF$391,MATCH($C84,'在庫使用計画 (一般)'!$C$1:$C$391,0),MATCH(AT$1,'在庫使用計画 (一般)'!$A$1:$BF$1,0))*1,0),
_xlpm._法人検索,IFERROR(INDEX('在庫使用計画 (法人)'!$A$1:$BF$391,MATCH($C84,'在庫使用計画 (法人)'!$C$1:$C$391,0),MATCH(AT$1,'在庫使用計画 (法人)'!$A$1:$BF$1,0))*1,0),
_xlpm._合計,_xlpm._一般検索+_xlpm._法人検索,
IF(_xlpm._合計=0,"",_xlpm._合計)
)</f>
        <v/>
      </c>
      <c r="AU84" s="805" t="str">
        <f>_xlfn.LET(
_xlpm._一般検索,IFERROR(INDEX('在庫使用計画 (一般)'!$A$1:$BF$391,MATCH($C84,'在庫使用計画 (一般)'!$C$1:$C$391,0),MATCH(AU$1,'在庫使用計画 (一般)'!$A$1:$BF$1,0))*1,0),
_xlpm._法人検索,IFERROR(INDEX('在庫使用計画 (法人)'!$A$1:$BF$391,MATCH($C84,'在庫使用計画 (法人)'!$C$1:$C$391,0),MATCH(AU$1,'在庫使用計画 (法人)'!$A$1:$BF$1,0))*1,0),
_xlpm._合計,_xlpm._一般検索+_xlpm._法人検索,
IF(_xlpm._合計=0,"",_xlpm._合計)
)</f>
        <v/>
      </c>
      <c r="AV84" s="244" t="str">
        <f>_xlfn.LET(
_xlpm._一般検索,IFERROR(INDEX('在庫使用計画 (一般)'!$A$1:$BF$391,MATCH($C84,'在庫使用計画 (一般)'!$C$1:$C$391,0),MATCH(AV$1,'在庫使用計画 (一般)'!$A$1:$BF$1,0))*1,0),
_xlpm._法人検索,IFERROR(INDEX('在庫使用計画 (法人)'!$A$1:$BF$391,MATCH($C84,'在庫使用計画 (法人)'!$C$1:$C$391,0),MATCH(AV$1,'在庫使用計画 (法人)'!$A$1:$BF$1,0))*1,0),
_xlpm._合計,_xlpm._一般検索+_xlpm._法人検索,
IF(_xlpm._合計=0,"",_xlpm._合計)
)</f>
        <v/>
      </c>
      <c r="AW84" s="224" t="str">
        <f>_xlfn.LET(
_xlpm._一般検索,IFERROR(INDEX('在庫使用計画 (一般)'!$A$1:$BF$391,MATCH($C84,'在庫使用計画 (一般)'!$C$1:$C$391,0),MATCH(AW$1,'在庫使用計画 (一般)'!$A$1:$BF$1,0))*1,0),
_xlpm._法人検索,IFERROR(INDEX('在庫使用計画 (法人)'!$A$1:$BF$391,MATCH($C84,'在庫使用計画 (法人)'!$C$1:$C$391,0),MATCH(AW$1,'在庫使用計画 (法人)'!$A$1:$BF$1,0))*1,0),
_xlpm._合計,_xlpm._一般検索+_xlpm._法人検索,
IF(_xlpm._合計=0,"",_xlpm._合計)
)</f>
        <v/>
      </c>
      <c r="AX84" s="224" t="str">
        <f>_xlfn.LET(
_xlpm._一般検索,IFERROR(INDEX('在庫使用計画 (一般)'!$A$1:$BF$391,MATCH($C84,'在庫使用計画 (一般)'!$C$1:$C$391,0),MATCH(AX$1,'在庫使用計画 (一般)'!$A$1:$BF$1,0))*1,0),
_xlpm._法人検索,IFERROR(INDEX('在庫使用計画 (法人)'!$A$1:$BF$391,MATCH($C84,'在庫使用計画 (法人)'!$C$1:$C$391,0),MATCH(AX$1,'在庫使用計画 (法人)'!$A$1:$BF$1,0))*1,0),
_xlpm._合計,_xlpm._一般検索+_xlpm._法人検索,
IF(_xlpm._合計=0,"",_xlpm._合計)
)</f>
        <v/>
      </c>
      <c r="AY84" s="224" t="str">
        <f>_xlfn.LET(
_xlpm._一般検索,IFERROR(INDEX('在庫使用計画 (一般)'!$A$1:$BF$391,MATCH($C84,'在庫使用計画 (一般)'!$C$1:$C$391,0),MATCH(AY$1,'在庫使用計画 (一般)'!$A$1:$BF$1,0))*1,0),
_xlpm._法人検索,IFERROR(INDEX('在庫使用計画 (法人)'!$A$1:$BF$391,MATCH($C84,'在庫使用計画 (法人)'!$C$1:$C$391,0),MATCH(AY$1,'在庫使用計画 (法人)'!$A$1:$BF$1,0))*1,0),
_xlpm._合計,_xlpm._一般検索+_xlpm._法人検索,
IF(_xlpm._合計=0,"",_xlpm._合計)
)</f>
        <v/>
      </c>
      <c r="AZ84" s="224" t="str">
        <f>_xlfn.LET(
_xlpm._一般検索,IFERROR(INDEX('在庫使用計画 (一般)'!$A$1:$BF$391,MATCH($C84,'在庫使用計画 (一般)'!$C$1:$C$391,0),MATCH(AZ$1,'在庫使用計画 (一般)'!$A$1:$BF$1,0))*1,0),
_xlpm._法人検索,IFERROR(INDEX('在庫使用計画 (法人)'!$A$1:$BF$391,MATCH($C84,'在庫使用計画 (法人)'!$C$1:$C$391,0),MATCH(AZ$1,'在庫使用計画 (法人)'!$A$1:$BF$1,0))*1,0),
_xlpm._合計,_xlpm._一般検索+_xlpm._法人検索,
IF(_xlpm._合計=0,"",_xlpm._合計)
)</f>
        <v/>
      </c>
      <c r="BA84" s="224" t="str">
        <f>_xlfn.LET(
_xlpm._一般検索,IFERROR(INDEX('在庫使用計画 (一般)'!$A$1:$BF$391,MATCH($C84,'在庫使用計画 (一般)'!$C$1:$C$391,0),MATCH(BA$1,'在庫使用計画 (一般)'!$A$1:$BF$1,0))*1,0),
_xlpm._法人検索,IFERROR(INDEX('在庫使用計画 (法人)'!$A$1:$BF$391,MATCH($C84,'在庫使用計画 (法人)'!$C$1:$C$391,0),MATCH(BA$1,'在庫使用計画 (法人)'!$A$1:$BF$1,0))*1,0),
_xlpm._合計,_xlpm._一般検索+_xlpm._法人検索,
IF(_xlpm._合計=0,"",_xlpm._合計)
)</f>
        <v/>
      </c>
      <c r="BB84" s="224" t="str">
        <f>_xlfn.LET(
_xlpm._一般検索,IFERROR(INDEX('在庫使用計画 (一般)'!$A$1:$BF$391,MATCH($C84,'在庫使用計画 (一般)'!$C$1:$C$391,0),MATCH(BB$1,'在庫使用計画 (一般)'!$A$1:$BF$1,0))*1,0),
_xlpm._法人検索,IFERROR(INDEX('在庫使用計画 (法人)'!$A$1:$BF$391,MATCH($C84,'在庫使用計画 (法人)'!$C$1:$C$391,0),MATCH(BB$1,'在庫使用計画 (法人)'!$A$1:$BF$1,0))*1,0),
_xlpm._合計,_xlpm._一般検索+_xlpm._法人検索,
IF(_xlpm._合計=0,"",_xlpm._合計)
)</f>
        <v/>
      </c>
      <c r="BC84" s="224" t="str">
        <f>_xlfn.LET(
_xlpm._一般検索,IFERROR(INDEX('在庫使用計画 (一般)'!$A$1:$BF$391,MATCH($C84,'在庫使用計画 (一般)'!$C$1:$C$391,0),MATCH(BC$1,'在庫使用計画 (一般)'!$A$1:$BF$1,0))*1,0),
_xlpm._法人検索,IFERROR(INDEX('在庫使用計画 (法人)'!$A$1:$BF$391,MATCH($C84,'在庫使用計画 (法人)'!$C$1:$C$391,0),MATCH(BC$1,'在庫使用計画 (法人)'!$A$1:$BF$1,0))*1,0),
_xlpm._合計,_xlpm._一般検索+_xlpm._法人検索,
IF(_xlpm._合計=0,"",_xlpm._合計)
)</f>
        <v/>
      </c>
      <c r="BD84" s="224" t="str">
        <f>_xlfn.LET(
_xlpm._一般検索,IFERROR(INDEX('在庫使用計画 (一般)'!$A$1:$BF$391,MATCH($C84,'在庫使用計画 (一般)'!$C$1:$C$391,0),MATCH(BD$1,'在庫使用計画 (一般)'!$A$1:$BF$1,0))*1,0),
_xlpm._法人検索,IFERROR(INDEX('在庫使用計画 (法人)'!$A$1:$BF$391,MATCH($C84,'在庫使用計画 (法人)'!$C$1:$C$391,0),MATCH(BD$1,'在庫使用計画 (法人)'!$A$1:$BF$1,0))*1,0),
_xlpm._合計,_xlpm._一般検索+_xlpm._法人検索,
IF(_xlpm._合計=0,"",_xlpm._合計)
)</f>
        <v/>
      </c>
      <c r="BE84" s="224" t="str">
        <f>_xlfn.LET(
_xlpm._一般検索,IFERROR(INDEX('在庫使用計画 (一般)'!$A$1:$BF$391,MATCH($C84,'在庫使用計画 (一般)'!$C$1:$C$391,0),MATCH(BE$1,'在庫使用計画 (一般)'!$A$1:$BF$1,0))*1,0),
_xlpm._法人検索,IFERROR(INDEX('在庫使用計画 (法人)'!$A$1:$BF$391,MATCH($C84,'在庫使用計画 (法人)'!$C$1:$C$391,0),MATCH(BE$1,'在庫使用計画 (法人)'!$A$1:$BF$1,0))*1,0),
_xlpm._合計,_xlpm._一般検索+_xlpm._法人検索,
IF(_xlpm._合計=0,"",_xlpm._合計)
)</f>
        <v/>
      </c>
      <c r="BF84" s="224" t="str">
        <f>_xlfn.LET(
_xlpm._一般検索,IFERROR(INDEX('在庫使用計画 (一般)'!$A$1:$BF$391,MATCH($C84,'在庫使用計画 (一般)'!$C$1:$C$391,0),MATCH(BF$1,'在庫使用計画 (一般)'!$A$1:$BF$1,0))*1,0),
_xlpm._法人検索,IFERROR(INDEX('在庫使用計画 (法人)'!$A$1:$BF$391,MATCH($C84,'在庫使用計画 (法人)'!$C$1:$C$391,0),MATCH(BF$1,'在庫使用計画 (法人)'!$A$1:$BF$1,0))*1,0),
_xlpm._合計,_xlpm._一般検索+_xlpm._法人検索,
IF(_xlpm._合計=0,"",_xlpm._合計)
)</f>
        <v/>
      </c>
      <c r="BG84" s="237" t="str">
        <f>_xlfn.LET(
_xlpm._一般検索,IFERROR(INDEX('在庫使用計画 (一般)'!$A$1:$BF$391,MATCH($C84,'在庫使用計画 (一般)'!$C$1:$C$391,0),MATCH(BG$1,'在庫使用計画 (一般)'!$A$1:$BF$1,0))*1,0),
_xlpm._法人検索,IFERROR(INDEX('在庫使用計画 (法人)'!$A$1:$BF$391,MATCH($C84,'在庫使用計画 (法人)'!$C$1:$C$391,0),MATCH(BG$1,'在庫使用計画 (法人)'!$A$1:$BF$1,0))*1,0),
_xlpm._合計,_xlpm._一般検索+_xlpm._法人検索,
IF(_xlpm._合計=0,"",_xlpm._合計)
)</f>
        <v/>
      </c>
      <c r="BH84" s="804" t="str">
        <f>_xlfn.LET(
_xlpm._一般検索,IFERROR(INDEX('在庫使用計画 (一般)'!$A$1:$BF$391,MATCH($C84,'在庫使用計画 (一般)'!$C$1:$C$391,0),MATCH(BH$1,'在庫使用計画 (一般)'!$A$1:$BF$1,0))*1,0),
_xlpm._法人検索,IFERROR(INDEX('在庫使用計画 (法人)'!$A$1:$BF$391,MATCH($C84,'在庫使用計画 (法人)'!$C$1:$C$391,0),MATCH(BH$1,'在庫使用計画 (法人)'!$A$1:$BF$1,0))*1,0),
_xlpm._合計,_xlpm._一般検索+_xlpm._法人検索,
IF(_xlpm._合計=0,"",_xlpm._合計)
)</f>
        <v/>
      </c>
      <c r="BI84" s="224" t="str">
        <f>_xlfn.LET(
_xlpm._一般検索,IFERROR(INDEX('在庫使用計画 (一般)'!$A$1:$BF$391,MATCH($C84,'在庫使用計画 (一般)'!$C$1:$C$391,0),MATCH(BI$1,'在庫使用計画 (一般)'!$A$1:$BF$1,0))*1,0),
_xlpm._法人検索,IFERROR(INDEX('在庫使用計画 (法人)'!$A$1:$BF$391,MATCH($C84,'在庫使用計画 (法人)'!$C$1:$C$391,0),MATCH(BI$1,'在庫使用計画 (法人)'!$A$1:$BF$1,0))*1,0),
_xlpm._合計,_xlpm._一般検索+_xlpm._法人検索,
IF(_xlpm._合計=0,"",_xlpm._合計)
)</f>
        <v/>
      </c>
      <c r="BJ84" s="224" t="str">
        <f>_xlfn.LET(
_xlpm._一般検索,IFERROR(INDEX('在庫使用計画 (一般)'!$A$1:$BF$391,MATCH($C84,'在庫使用計画 (一般)'!$C$1:$C$391,0),MATCH(BJ$1,'在庫使用計画 (一般)'!$A$1:$BF$1,0))*1,0),
_xlpm._法人検索,IFERROR(INDEX('在庫使用計画 (法人)'!$A$1:$BF$391,MATCH($C84,'在庫使用計画 (法人)'!$C$1:$C$391,0),MATCH(BJ$1,'在庫使用計画 (法人)'!$A$1:$BF$1,0))*1,0),
_xlpm._合計,_xlpm._一般検索+_xlpm._法人検索,
IF(_xlpm._合計=0,"",_xlpm._合計)
)</f>
        <v/>
      </c>
      <c r="BK84" s="224" t="str">
        <f>_xlfn.LET(
_xlpm._一般検索,IFERROR(INDEX('在庫使用計画 (一般)'!$A$1:$BF$391,MATCH($C84,'在庫使用計画 (一般)'!$C$1:$C$391,0),MATCH(BK$1,'在庫使用計画 (一般)'!$A$1:$BF$1,0))*1,0),
_xlpm._法人検索,IFERROR(INDEX('在庫使用計画 (法人)'!$A$1:$BF$391,MATCH($C84,'在庫使用計画 (法人)'!$C$1:$C$391,0),MATCH(BK$1,'在庫使用計画 (法人)'!$A$1:$BF$1,0))*1,0),
_xlpm._合計,_xlpm._一般検索+_xlpm._法人検索,
IF(_xlpm._合計=0,"",_xlpm._合計)
)</f>
        <v/>
      </c>
      <c r="BL84" s="224" t="str">
        <f>_xlfn.LET(
_xlpm._一般検索,IFERROR(INDEX('在庫使用計画 (一般)'!$A$1:$BF$391,MATCH($C84,'在庫使用計画 (一般)'!$C$1:$C$391,0),MATCH(BL$1,'在庫使用計画 (一般)'!$A$1:$BF$1,0))*1,0),
_xlpm._法人検索,IFERROR(INDEX('在庫使用計画 (法人)'!$A$1:$BF$391,MATCH($C84,'在庫使用計画 (法人)'!$C$1:$C$391,0),MATCH(BL$1,'在庫使用計画 (法人)'!$A$1:$BF$1,0))*1,0),
_xlpm._合計,_xlpm._一般検索+_xlpm._法人検索,
IF(_xlpm._合計=0,"",_xlpm._合計)
)</f>
        <v/>
      </c>
      <c r="BM84" s="224" t="str">
        <f>_xlfn.LET(
_xlpm._一般検索,IFERROR(INDEX('在庫使用計画 (一般)'!$A$1:$BF$391,MATCH($C84,'在庫使用計画 (一般)'!$C$1:$C$391,0),MATCH(BM$1,'在庫使用計画 (一般)'!$A$1:$BF$1,0))*1,0),
_xlpm._法人検索,IFERROR(INDEX('在庫使用計画 (法人)'!$A$1:$BF$391,MATCH($C84,'在庫使用計画 (法人)'!$C$1:$C$391,0),MATCH(BM$1,'在庫使用計画 (法人)'!$A$1:$BF$1,0))*1,0),
_xlpm._合計,_xlpm._一般検索+_xlpm._法人検索,
IF(_xlpm._合計=0,"",_xlpm._合計)
)</f>
        <v/>
      </c>
      <c r="BN84" s="224" t="str">
        <f>_xlfn.LET(
_xlpm._一般検索,IFERROR(INDEX('在庫使用計画 (一般)'!$A$1:$BF$391,MATCH($C84,'在庫使用計画 (一般)'!$C$1:$C$391,0),MATCH(BN$1,'在庫使用計画 (一般)'!$A$1:$BF$1,0))*1,0),
_xlpm._法人検索,IFERROR(INDEX('在庫使用計画 (法人)'!$A$1:$BF$391,MATCH($C84,'在庫使用計画 (法人)'!$C$1:$C$391,0),MATCH(BN$1,'在庫使用計画 (法人)'!$A$1:$BF$1,0))*1,0),
_xlpm._合計,_xlpm._一般検索+_xlpm._法人検索,
IF(_xlpm._合計=0,"",_xlpm._合計)
)</f>
        <v/>
      </c>
      <c r="BO84" s="224" t="str">
        <f>_xlfn.LET(
_xlpm._一般検索,IFERROR(INDEX('在庫使用計画 (一般)'!$A$1:$BF$391,MATCH($C84,'在庫使用計画 (一般)'!$C$1:$C$391,0),MATCH(BO$1,'在庫使用計画 (一般)'!$A$1:$BF$1,0))*1,0),
_xlpm._法人検索,IFERROR(INDEX('在庫使用計画 (法人)'!$A$1:$BF$391,MATCH($C84,'在庫使用計画 (法人)'!$C$1:$C$391,0),MATCH(BO$1,'在庫使用計画 (法人)'!$A$1:$BF$1,0))*1,0),
_xlpm._合計,_xlpm._一般検索+_xlpm._法人検索,
IF(_xlpm._合計=0,"",_xlpm._合計)
)</f>
        <v/>
      </c>
      <c r="BP84" s="224" t="str">
        <f>_xlfn.LET(
_xlpm._一般検索,IFERROR(INDEX('在庫使用計画 (一般)'!$A$1:$BF$391,MATCH($C84,'在庫使用計画 (一般)'!$C$1:$C$391,0),MATCH(BP$1,'在庫使用計画 (一般)'!$A$1:$BF$1,0))*1,0),
_xlpm._法人検索,IFERROR(INDEX('在庫使用計画 (法人)'!$A$1:$BF$391,MATCH($C84,'在庫使用計画 (法人)'!$C$1:$C$391,0),MATCH(BP$1,'在庫使用計画 (法人)'!$A$1:$BF$1,0))*1,0),
_xlpm._合計,_xlpm._一般検索+_xlpm._法人検索,
IF(_xlpm._合計=0,"",_xlpm._合計)
)</f>
        <v/>
      </c>
      <c r="BQ84" s="224" t="str">
        <f>_xlfn.LET(
_xlpm._一般検索,IFERROR(INDEX('在庫使用計画 (一般)'!$A$1:$BF$391,MATCH($C84,'在庫使用計画 (一般)'!$C$1:$C$391,0),MATCH(BQ$1,'在庫使用計画 (一般)'!$A$1:$BF$1,0))*1,0),
_xlpm._法人検索,IFERROR(INDEX('在庫使用計画 (法人)'!$A$1:$BF$391,MATCH($C84,'在庫使用計画 (法人)'!$C$1:$C$391,0),MATCH(BQ$1,'在庫使用計画 (法人)'!$A$1:$BF$1,0))*1,0),
_xlpm._合計,_xlpm._一般検索+_xlpm._法人検索,
IF(_xlpm._合計=0,"",_xlpm._合計)
)</f>
        <v/>
      </c>
      <c r="BR84" s="224" t="str">
        <f>_xlfn.LET(
_xlpm._一般検索,IFERROR(INDEX('在庫使用計画 (一般)'!$A$1:$BF$391,MATCH($C84,'在庫使用計画 (一般)'!$C$1:$C$391,0),MATCH(BR$1,'在庫使用計画 (一般)'!$A$1:$BF$1,0))*1,0),
_xlpm._法人検索,IFERROR(INDEX('在庫使用計画 (法人)'!$A$1:$BF$391,MATCH($C84,'在庫使用計画 (法人)'!$C$1:$C$391,0),MATCH(BR$1,'在庫使用計画 (法人)'!$A$1:$BF$1,0))*1,0),
_xlpm._合計,_xlpm._一般検索+_xlpm._法人検索,
IF(_xlpm._合計=0,"",_xlpm._合計)
)</f>
        <v/>
      </c>
      <c r="BS84" s="805" t="str">
        <f>_xlfn.LET(
_xlpm._一般検索,IFERROR(INDEX('在庫使用計画 (一般)'!$A$1:$BF$391,MATCH($C84,'在庫使用計画 (一般)'!$C$1:$C$391,0),MATCH(BS$1,'在庫使用計画 (一般)'!$A$1:$BF$1,0))*1,0),
_xlpm._法人検索,IFERROR(INDEX('在庫使用計画 (法人)'!$A$1:$BF$391,MATCH($C84,'在庫使用計画 (法人)'!$C$1:$C$391,0),MATCH(BS$1,'在庫使用計画 (法人)'!$A$1:$BF$1,0))*1,0),
_xlpm._合計,_xlpm._一般検索+_xlpm._法人検索,
IF(_xlpm._合計=0,"",_xlpm._合計)
)</f>
        <v/>
      </c>
      <c r="BT84" s="70"/>
    </row>
    <row r="85" spans="1:72" customFormat="1" ht="18.75" customHeight="1">
      <c r="A85" s="2064" t="s">
        <v>1473</v>
      </c>
      <c r="B85" s="14" t="str">
        <v>CLE-NL45-150U-UMA-L6-TPM DDR5 Thirdwave</v>
      </c>
      <c r="C85" s="701" t="s">
        <v>700</v>
      </c>
      <c r="D85" s="2166">
        <v>690</v>
      </c>
      <c r="E85" s="506" t="s">
        <v>1459</v>
      </c>
      <c r="F85" s="704" t="s">
        <v>20</v>
      </c>
      <c r="G85" s="74">
        <v>648</v>
      </c>
      <c r="H85" s="38">
        <v>648</v>
      </c>
      <c r="I85" s="74" cm="1">
        <f t="array" ref="I85">IF($C85="","",
_xlfn.LET(
  _xlpm._見出し,$A$1:$BT$1,
  _xlpm._行,$A85:$BT85,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578</v>
      </c>
      <c r="J85" s="74" cm="1">
        <f t="array" ref="J85">_xlfn.LET(
  _xlpm._見出し,$A$1:$BS$1,
  _xlpm._行,$A85:$BS85,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IF($C85="","",_xlpm._四点五月計画合計)
)</f>
        <v>348</v>
      </c>
      <c r="K85" s="1458" cm="1">
        <f t="array" ref="K85">_xlfn.IFS(
  $C85="","",
  $G85="","発売前？",
  $G85=0,"在庫なし",
  TRUE,
  IFERROR(
    _xlfn.LET(
      _xlpm._在庫注残,     $G85,
      _xlpm._しきい値,     _xlpm._在庫注残 * 0.75,
      _xlpm._見出し元,     $L$1:$BU$1,
      _xlpm._計画,         $L85:$BU85,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46266</v>
      </c>
      <c r="L85" s="705"/>
      <c r="M85" s="705"/>
      <c r="N85" s="705"/>
      <c r="O85" s="705"/>
      <c r="P85" s="705"/>
      <c r="Q85" s="705"/>
      <c r="R85" s="705"/>
      <c r="S85" s="706"/>
      <c r="T85" s="351"/>
      <c r="U85" s="351"/>
      <c r="V85" s="707"/>
      <c r="W85" s="349"/>
      <c r="X85" s="708"/>
      <c r="Y85" s="708"/>
      <c r="Z85" s="709"/>
      <c r="AA85" s="709"/>
      <c r="AB85" s="709"/>
      <c r="AC85" s="710"/>
      <c r="AD85" s="709"/>
      <c r="AE85" s="224"/>
      <c r="AF85" s="224" t="s">
        <v>21</v>
      </c>
      <c r="AG85" s="224" t="s">
        <v>21</v>
      </c>
      <c r="AH85" s="224" t="s">
        <v>21</v>
      </c>
      <c r="AI85" s="237" t="s">
        <v>21</v>
      </c>
      <c r="AJ85" s="804" t="s">
        <v>21</v>
      </c>
      <c r="AK85" s="224">
        <v>7</v>
      </c>
      <c r="AL85" s="224">
        <v>14</v>
      </c>
      <c r="AM85" s="224">
        <v>11</v>
      </c>
      <c r="AN85" s="224">
        <f>_xlfn.LET(
_xlpm._一般検索,IFERROR(INDEX('在庫使用計画 (一般)'!$A$1:$BF$391,MATCH($C85,'在庫使用計画 (一般)'!$C$1:$C$391,0),MATCH(AN$1,'在庫使用計画 (一般)'!$A$1:$BF$1,0))*1,0),
_xlpm._法人検索,IFERROR(INDEX('在庫使用計画 (法人)'!$A$1:$BF$391,MATCH($C85,'在庫使用計画 (法人)'!$C$1:$C$391,0),MATCH(AN$1,'在庫使用計画 (法人)'!$A$1:$BF$1,0))*1,0),
_xlpm._合計,_xlpm._一般検索+_xlpm._法人検索,
IF(_xlpm._合計=0,"",_xlpm._合計)
)</f>
        <v>100</v>
      </c>
      <c r="AO85" s="224">
        <f>_xlfn.LET(
_xlpm._一般検索,IFERROR(INDEX('在庫使用計画 (一般)'!$A$1:$BF$391,MATCH($C85,'在庫使用計画 (一般)'!$C$1:$C$391,0),MATCH(AO$1,'在庫使用計画 (一般)'!$A$1:$BF$1,0))*1,0),
_xlpm._法人検索,IFERROR(INDEX('在庫使用計画 (法人)'!$A$1:$BF$391,MATCH($C85,'在庫使用計画 (法人)'!$C$1:$C$391,0),MATCH(AO$1,'在庫使用計画 (法人)'!$A$1:$BF$1,0))*1,0),
_xlpm._合計,_xlpm._一般検索+_xlpm._法人検索,
IF(_xlpm._合計=0,"",_xlpm._合計)
)</f>
        <v>45</v>
      </c>
      <c r="AP85" s="224">
        <f>_xlfn.LET(
_xlpm._一般検索,IFERROR(INDEX('在庫使用計画 (一般)'!$A$1:$BF$391,MATCH($C85,'在庫使用計画 (一般)'!$C$1:$C$391,0),MATCH(AP$1,'在庫使用計画 (一般)'!$A$1:$BF$1,0))*1,0),
_xlpm._法人検索,IFERROR(INDEX('在庫使用計画 (法人)'!$A$1:$BF$391,MATCH($C85,'在庫使用計画 (法人)'!$C$1:$C$391,0),MATCH(AP$1,'在庫使用計画 (法人)'!$A$1:$BF$1,0))*1,0),
_xlpm._合計,_xlpm._一般検索+_xlpm._法人検索,
IF(_xlpm._合計=0,"",_xlpm._合計)
)</f>
        <v>460</v>
      </c>
      <c r="AQ85" s="224">
        <f>_xlfn.LET(
_xlpm._一般検索,IFERROR(INDEX('在庫使用計画 (一般)'!$A$1:$BF$391,MATCH($C85,'在庫使用計画 (一般)'!$C$1:$C$391,0),MATCH(AQ$1,'在庫使用計画 (一般)'!$A$1:$BF$1,0))*1,0),
_xlpm._法人検索,IFERROR(INDEX('在庫使用計画 (法人)'!$A$1:$BF$391,MATCH($C85,'在庫使用計画 (法人)'!$C$1:$C$391,0),MATCH(AQ$1,'在庫使用計画 (法人)'!$A$1:$BF$1,0))*1,0),
_xlpm._合計,_xlpm._一般検索+_xlpm._法人検索,
IF(_xlpm._合計=0,"",_xlpm._合計)
)</f>
        <v>40</v>
      </c>
      <c r="AR85" s="224">
        <f>_xlfn.LET(
_xlpm._一般検索,IFERROR(INDEX('在庫使用計画 (一般)'!$A$1:$BF$391,MATCH($C85,'在庫使用計画 (一般)'!$C$1:$C$391,0),MATCH(AR$1,'在庫使用計画 (一般)'!$A$1:$BF$1,0))*1,0),
_xlpm._法人検索,IFERROR(INDEX('在庫使用計画 (法人)'!$A$1:$BF$391,MATCH($C85,'在庫使用計画 (法人)'!$C$1:$C$391,0),MATCH(AR$1,'在庫使用計画 (法人)'!$A$1:$BF$1,0))*1,0),
_xlpm._合計,_xlpm._一般検索+_xlpm._法人検索,
IF(_xlpm._合計=0,"",_xlpm._合計)
)</f>
        <v>40</v>
      </c>
      <c r="AS85" s="224">
        <f>_xlfn.LET(
_xlpm._一般検索,IFERROR(INDEX('在庫使用計画 (一般)'!$A$1:$BF$391,MATCH($C85,'在庫使用計画 (一般)'!$C$1:$C$391,0),MATCH(AS$1,'在庫使用計画 (一般)'!$A$1:$BF$1,0))*1,0),
_xlpm._法人検索,IFERROR(INDEX('在庫使用計画 (法人)'!$A$1:$BF$391,MATCH($C85,'在庫使用計画 (法人)'!$C$1:$C$391,0),MATCH(AS$1,'在庫使用計画 (法人)'!$A$1:$BF$1,0))*1,0),
_xlpm._合計,_xlpm._一般検索+_xlpm._法人検索,
IF(_xlpm._合計=0,"",_xlpm._合計)
)</f>
        <v>38</v>
      </c>
      <c r="AT85" s="224" t="str">
        <f>_xlfn.LET(
_xlpm._一般検索,IFERROR(INDEX('在庫使用計画 (一般)'!$A$1:$BF$391,MATCH($C85,'在庫使用計画 (一般)'!$C$1:$C$391,0),MATCH(AT$1,'在庫使用計画 (一般)'!$A$1:$BF$1,0))*1,0),
_xlpm._法人検索,IFERROR(INDEX('在庫使用計画 (法人)'!$A$1:$BF$391,MATCH($C85,'在庫使用計画 (法人)'!$C$1:$C$391,0),MATCH(AT$1,'在庫使用計画 (法人)'!$A$1:$BF$1,0))*1,0),
_xlpm._合計,_xlpm._一般検索+_xlpm._法人検索,
IF(_xlpm._合計=0,"",_xlpm._合計)
)</f>
        <v/>
      </c>
      <c r="AU85" s="805" t="str">
        <f>_xlfn.LET(
_xlpm._一般検索,IFERROR(INDEX('在庫使用計画 (一般)'!$A$1:$BF$391,MATCH($C85,'在庫使用計画 (一般)'!$C$1:$C$391,0),MATCH(AU$1,'在庫使用計画 (一般)'!$A$1:$BF$1,0))*1,0),
_xlpm._法人検索,IFERROR(INDEX('在庫使用計画 (法人)'!$A$1:$BF$391,MATCH($C85,'在庫使用計画 (法人)'!$C$1:$C$391,0),MATCH(AU$1,'在庫使用計画 (法人)'!$A$1:$BF$1,0))*1,0),
_xlpm._合計,_xlpm._一般検索+_xlpm._法人検索,
IF(_xlpm._合計=0,"",_xlpm._合計)
)</f>
        <v/>
      </c>
      <c r="AV85" s="244" t="str">
        <f>_xlfn.LET(
_xlpm._一般検索,IFERROR(INDEX('在庫使用計画 (一般)'!$A$1:$BF$391,MATCH($C85,'在庫使用計画 (一般)'!$C$1:$C$391,0),MATCH(AV$1,'在庫使用計画 (一般)'!$A$1:$BF$1,0))*1,0),
_xlpm._法人検索,IFERROR(INDEX('在庫使用計画 (法人)'!$A$1:$BF$391,MATCH($C85,'在庫使用計画 (法人)'!$C$1:$C$391,0),MATCH(AV$1,'在庫使用計画 (法人)'!$A$1:$BF$1,0))*1,0),
_xlpm._合計,_xlpm._一般検索+_xlpm._法人検索,
IF(_xlpm._合計=0,"",_xlpm._合計)
)</f>
        <v/>
      </c>
      <c r="AW85" s="224" t="str">
        <f>_xlfn.LET(
_xlpm._一般検索,IFERROR(INDEX('在庫使用計画 (一般)'!$A$1:$BF$391,MATCH($C85,'在庫使用計画 (一般)'!$C$1:$C$391,0),MATCH(AW$1,'在庫使用計画 (一般)'!$A$1:$BF$1,0))*1,0),
_xlpm._法人検索,IFERROR(INDEX('在庫使用計画 (法人)'!$A$1:$BF$391,MATCH($C85,'在庫使用計画 (法人)'!$C$1:$C$391,0),MATCH(AW$1,'在庫使用計画 (法人)'!$A$1:$BF$1,0))*1,0),
_xlpm._合計,_xlpm._一般検索+_xlpm._法人検索,
IF(_xlpm._合計=0,"",_xlpm._合計)
)</f>
        <v/>
      </c>
      <c r="AX85" s="224" t="str">
        <f>_xlfn.LET(
_xlpm._一般検索,IFERROR(INDEX('在庫使用計画 (一般)'!$A$1:$BF$391,MATCH($C85,'在庫使用計画 (一般)'!$C$1:$C$391,0),MATCH(AX$1,'在庫使用計画 (一般)'!$A$1:$BF$1,0))*1,0),
_xlpm._法人検索,IFERROR(INDEX('在庫使用計画 (法人)'!$A$1:$BF$391,MATCH($C85,'在庫使用計画 (法人)'!$C$1:$C$391,0),MATCH(AX$1,'在庫使用計画 (法人)'!$A$1:$BF$1,0))*1,0),
_xlpm._合計,_xlpm._一般検索+_xlpm._法人検索,
IF(_xlpm._合計=0,"",_xlpm._合計)
)</f>
        <v/>
      </c>
      <c r="AY85" s="224" t="str">
        <f>_xlfn.LET(
_xlpm._一般検索,IFERROR(INDEX('在庫使用計画 (一般)'!$A$1:$BF$391,MATCH($C85,'在庫使用計画 (一般)'!$C$1:$C$391,0),MATCH(AY$1,'在庫使用計画 (一般)'!$A$1:$BF$1,0))*1,0),
_xlpm._法人検索,IFERROR(INDEX('在庫使用計画 (法人)'!$A$1:$BF$391,MATCH($C85,'在庫使用計画 (法人)'!$C$1:$C$391,0),MATCH(AY$1,'在庫使用計画 (法人)'!$A$1:$BF$1,0))*1,0),
_xlpm._合計,_xlpm._一般検索+_xlpm._法人検索,
IF(_xlpm._合計=0,"",_xlpm._合計)
)</f>
        <v/>
      </c>
      <c r="AZ85" s="224" t="str">
        <f>_xlfn.LET(
_xlpm._一般検索,IFERROR(INDEX('在庫使用計画 (一般)'!$A$1:$BF$391,MATCH($C85,'在庫使用計画 (一般)'!$C$1:$C$391,0),MATCH(AZ$1,'在庫使用計画 (一般)'!$A$1:$BF$1,0))*1,0),
_xlpm._法人検索,IFERROR(INDEX('在庫使用計画 (法人)'!$A$1:$BF$391,MATCH($C85,'在庫使用計画 (法人)'!$C$1:$C$391,0),MATCH(AZ$1,'在庫使用計画 (法人)'!$A$1:$BF$1,0))*1,0),
_xlpm._合計,_xlpm._一般検索+_xlpm._法人検索,
IF(_xlpm._合計=0,"",_xlpm._合計)
)</f>
        <v/>
      </c>
      <c r="BA85" s="224" t="str">
        <f>_xlfn.LET(
_xlpm._一般検索,IFERROR(INDEX('在庫使用計画 (一般)'!$A$1:$BF$391,MATCH($C85,'在庫使用計画 (一般)'!$C$1:$C$391,0),MATCH(BA$1,'在庫使用計画 (一般)'!$A$1:$BF$1,0))*1,0),
_xlpm._法人検索,IFERROR(INDEX('在庫使用計画 (法人)'!$A$1:$BF$391,MATCH($C85,'在庫使用計画 (法人)'!$C$1:$C$391,0),MATCH(BA$1,'在庫使用計画 (法人)'!$A$1:$BF$1,0))*1,0),
_xlpm._合計,_xlpm._一般検索+_xlpm._法人検索,
IF(_xlpm._合計=0,"",_xlpm._合計)
)</f>
        <v/>
      </c>
      <c r="BB85" s="224" t="str">
        <f>_xlfn.LET(
_xlpm._一般検索,IFERROR(INDEX('在庫使用計画 (一般)'!$A$1:$BF$391,MATCH($C85,'在庫使用計画 (一般)'!$C$1:$C$391,0),MATCH(BB$1,'在庫使用計画 (一般)'!$A$1:$BF$1,0))*1,0),
_xlpm._法人検索,IFERROR(INDEX('在庫使用計画 (法人)'!$A$1:$BF$391,MATCH($C85,'在庫使用計画 (法人)'!$C$1:$C$391,0),MATCH(BB$1,'在庫使用計画 (法人)'!$A$1:$BF$1,0))*1,0),
_xlpm._合計,_xlpm._一般検索+_xlpm._法人検索,
IF(_xlpm._合計=0,"",_xlpm._合計)
)</f>
        <v/>
      </c>
      <c r="BC85" s="224" t="str">
        <f>_xlfn.LET(
_xlpm._一般検索,IFERROR(INDEX('在庫使用計画 (一般)'!$A$1:$BF$391,MATCH($C85,'在庫使用計画 (一般)'!$C$1:$C$391,0),MATCH(BC$1,'在庫使用計画 (一般)'!$A$1:$BF$1,0))*1,0),
_xlpm._法人検索,IFERROR(INDEX('在庫使用計画 (法人)'!$A$1:$BF$391,MATCH($C85,'在庫使用計画 (法人)'!$C$1:$C$391,0),MATCH(BC$1,'在庫使用計画 (法人)'!$A$1:$BF$1,0))*1,0),
_xlpm._合計,_xlpm._一般検索+_xlpm._法人検索,
IF(_xlpm._合計=0,"",_xlpm._合計)
)</f>
        <v/>
      </c>
      <c r="BD85" s="224" t="str">
        <f>_xlfn.LET(
_xlpm._一般検索,IFERROR(INDEX('在庫使用計画 (一般)'!$A$1:$BF$391,MATCH($C85,'在庫使用計画 (一般)'!$C$1:$C$391,0),MATCH(BD$1,'在庫使用計画 (一般)'!$A$1:$BF$1,0))*1,0),
_xlpm._法人検索,IFERROR(INDEX('在庫使用計画 (法人)'!$A$1:$BF$391,MATCH($C85,'在庫使用計画 (法人)'!$C$1:$C$391,0),MATCH(BD$1,'在庫使用計画 (法人)'!$A$1:$BF$1,0))*1,0),
_xlpm._合計,_xlpm._一般検索+_xlpm._法人検索,
IF(_xlpm._合計=0,"",_xlpm._合計)
)</f>
        <v/>
      </c>
      <c r="BE85" s="224" t="str">
        <f>_xlfn.LET(
_xlpm._一般検索,IFERROR(INDEX('在庫使用計画 (一般)'!$A$1:$BF$391,MATCH($C85,'在庫使用計画 (一般)'!$C$1:$C$391,0),MATCH(BE$1,'在庫使用計画 (一般)'!$A$1:$BF$1,0))*1,0),
_xlpm._法人検索,IFERROR(INDEX('在庫使用計画 (法人)'!$A$1:$BF$391,MATCH($C85,'在庫使用計画 (法人)'!$C$1:$C$391,0),MATCH(BE$1,'在庫使用計画 (法人)'!$A$1:$BF$1,0))*1,0),
_xlpm._合計,_xlpm._一般検索+_xlpm._法人検索,
IF(_xlpm._合計=0,"",_xlpm._合計)
)</f>
        <v/>
      </c>
      <c r="BF85" s="224" t="str">
        <f>_xlfn.LET(
_xlpm._一般検索,IFERROR(INDEX('在庫使用計画 (一般)'!$A$1:$BF$391,MATCH($C85,'在庫使用計画 (一般)'!$C$1:$C$391,0),MATCH(BF$1,'在庫使用計画 (一般)'!$A$1:$BF$1,0))*1,0),
_xlpm._法人検索,IFERROR(INDEX('在庫使用計画 (法人)'!$A$1:$BF$391,MATCH($C85,'在庫使用計画 (法人)'!$C$1:$C$391,0),MATCH(BF$1,'在庫使用計画 (法人)'!$A$1:$BF$1,0))*1,0),
_xlpm._合計,_xlpm._一般検索+_xlpm._法人検索,
IF(_xlpm._合計=0,"",_xlpm._合計)
)</f>
        <v/>
      </c>
      <c r="BG85" s="237" t="str">
        <f>_xlfn.LET(
_xlpm._一般検索,IFERROR(INDEX('在庫使用計画 (一般)'!$A$1:$BF$391,MATCH($C85,'在庫使用計画 (一般)'!$C$1:$C$391,0),MATCH(BG$1,'在庫使用計画 (一般)'!$A$1:$BF$1,0))*1,0),
_xlpm._法人検索,IFERROR(INDEX('在庫使用計画 (法人)'!$A$1:$BF$391,MATCH($C85,'在庫使用計画 (法人)'!$C$1:$C$391,0),MATCH(BG$1,'在庫使用計画 (法人)'!$A$1:$BF$1,0))*1,0),
_xlpm._合計,_xlpm._一般検索+_xlpm._法人検索,
IF(_xlpm._合計=0,"",_xlpm._合計)
)</f>
        <v/>
      </c>
      <c r="BH85" s="804" t="str">
        <f>_xlfn.LET(
_xlpm._一般検索,IFERROR(INDEX('在庫使用計画 (一般)'!$A$1:$BF$391,MATCH($C85,'在庫使用計画 (一般)'!$C$1:$C$391,0),MATCH(BH$1,'在庫使用計画 (一般)'!$A$1:$BF$1,0))*1,0),
_xlpm._法人検索,IFERROR(INDEX('在庫使用計画 (法人)'!$A$1:$BF$391,MATCH($C85,'在庫使用計画 (法人)'!$C$1:$C$391,0),MATCH(BH$1,'在庫使用計画 (法人)'!$A$1:$BF$1,0))*1,0),
_xlpm._合計,_xlpm._一般検索+_xlpm._法人検索,
IF(_xlpm._合計=0,"",_xlpm._合計)
)</f>
        <v/>
      </c>
      <c r="BI85" s="224" t="str">
        <f>_xlfn.LET(
_xlpm._一般検索,IFERROR(INDEX('在庫使用計画 (一般)'!$A$1:$BF$391,MATCH($C85,'在庫使用計画 (一般)'!$C$1:$C$391,0),MATCH(BI$1,'在庫使用計画 (一般)'!$A$1:$BF$1,0))*1,0),
_xlpm._法人検索,IFERROR(INDEX('在庫使用計画 (法人)'!$A$1:$BF$391,MATCH($C85,'在庫使用計画 (法人)'!$C$1:$C$391,0),MATCH(BI$1,'在庫使用計画 (法人)'!$A$1:$BF$1,0))*1,0),
_xlpm._合計,_xlpm._一般検索+_xlpm._法人検索,
IF(_xlpm._合計=0,"",_xlpm._合計)
)</f>
        <v/>
      </c>
      <c r="BJ85" s="224" t="str">
        <f>_xlfn.LET(
_xlpm._一般検索,IFERROR(INDEX('在庫使用計画 (一般)'!$A$1:$BF$391,MATCH($C85,'在庫使用計画 (一般)'!$C$1:$C$391,0),MATCH(BJ$1,'在庫使用計画 (一般)'!$A$1:$BF$1,0))*1,0),
_xlpm._法人検索,IFERROR(INDEX('在庫使用計画 (法人)'!$A$1:$BF$391,MATCH($C85,'在庫使用計画 (法人)'!$C$1:$C$391,0),MATCH(BJ$1,'在庫使用計画 (法人)'!$A$1:$BF$1,0))*1,0),
_xlpm._合計,_xlpm._一般検索+_xlpm._法人検索,
IF(_xlpm._合計=0,"",_xlpm._合計)
)</f>
        <v/>
      </c>
      <c r="BK85" s="224" t="str">
        <f>_xlfn.LET(
_xlpm._一般検索,IFERROR(INDEX('在庫使用計画 (一般)'!$A$1:$BF$391,MATCH($C85,'在庫使用計画 (一般)'!$C$1:$C$391,0),MATCH(BK$1,'在庫使用計画 (一般)'!$A$1:$BF$1,0))*1,0),
_xlpm._法人検索,IFERROR(INDEX('在庫使用計画 (法人)'!$A$1:$BF$391,MATCH($C85,'在庫使用計画 (法人)'!$C$1:$C$391,0),MATCH(BK$1,'在庫使用計画 (法人)'!$A$1:$BF$1,0))*1,0),
_xlpm._合計,_xlpm._一般検索+_xlpm._法人検索,
IF(_xlpm._合計=0,"",_xlpm._合計)
)</f>
        <v/>
      </c>
      <c r="BL85" s="224" t="str">
        <f>_xlfn.LET(
_xlpm._一般検索,IFERROR(INDEX('在庫使用計画 (一般)'!$A$1:$BF$391,MATCH($C85,'在庫使用計画 (一般)'!$C$1:$C$391,0),MATCH(BL$1,'在庫使用計画 (一般)'!$A$1:$BF$1,0))*1,0),
_xlpm._法人検索,IFERROR(INDEX('在庫使用計画 (法人)'!$A$1:$BF$391,MATCH($C85,'在庫使用計画 (法人)'!$C$1:$C$391,0),MATCH(BL$1,'在庫使用計画 (法人)'!$A$1:$BF$1,0))*1,0),
_xlpm._合計,_xlpm._一般検索+_xlpm._法人検索,
IF(_xlpm._合計=0,"",_xlpm._合計)
)</f>
        <v/>
      </c>
      <c r="BM85" s="224" t="str">
        <f>_xlfn.LET(
_xlpm._一般検索,IFERROR(INDEX('在庫使用計画 (一般)'!$A$1:$BF$391,MATCH($C85,'在庫使用計画 (一般)'!$C$1:$C$391,0),MATCH(BM$1,'在庫使用計画 (一般)'!$A$1:$BF$1,0))*1,0),
_xlpm._法人検索,IFERROR(INDEX('在庫使用計画 (法人)'!$A$1:$BF$391,MATCH($C85,'在庫使用計画 (法人)'!$C$1:$C$391,0),MATCH(BM$1,'在庫使用計画 (法人)'!$A$1:$BF$1,0))*1,0),
_xlpm._合計,_xlpm._一般検索+_xlpm._法人検索,
IF(_xlpm._合計=0,"",_xlpm._合計)
)</f>
        <v/>
      </c>
      <c r="BN85" s="224" t="str">
        <f>_xlfn.LET(
_xlpm._一般検索,IFERROR(INDEX('在庫使用計画 (一般)'!$A$1:$BF$391,MATCH($C85,'在庫使用計画 (一般)'!$C$1:$C$391,0),MATCH(BN$1,'在庫使用計画 (一般)'!$A$1:$BF$1,0))*1,0),
_xlpm._法人検索,IFERROR(INDEX('在庫使用計画 (法人)'!$A$1:$BF$391,MATCH($C85,'在庫使用計画 (法人)'!$C$1:$C$391,0),MATCH(BN$1,'在庫使用計画 (法人)'!$A$1:$BF$1,0))*1,0),
_xlpm._合計,_xlpm._一般検索+_xlpm._法人検索,
IF(_xlpm._合計=0,"",_xlpm._合計)
)</f>
        <v/>
      </c>
      <c r="BO85" s="224" t="str">
        <f>_xlfn.LET(
_xlpm._一般検索,IFERROR(INDEX('在庫使用計画 (一般)'!$A$1:$BF$391,MATCH($C85,'在庫使用計画 (一般)'!$C$1:$C$391,0),MATCH(BO$1,'在庫使用計画 (一般)'!$A$1:$BF$1,0))*1,0),
_xlpm._法人検索,IFERROR(INDEX('在庫使用計画 (法人)'!$A$1:$BF$391,MATCH($C85,'在庫使用計画 (法人)'!$C$1:$C$391,0),MATCH(BO$1,'在庫使用計画 (法人)'!$A$1:$BF$1,0))*1,0),
_xlpm._合計,_xlpm._一般検索+_xlpm._法人検索,
IF(_xlpm._合計=0,"",_xlpm._合計)
)</f>
        <v/>
      </c>
      <c r="BP85" s="224" t="str">
        <f>_xlfn.LET(
_xlpm._一般検索,IFERROR(INDEX('在庫使用計画 (一般)'!$A$1:$BF$391,MATCH($C85,'在庫使用計画 (一般)'!$C$1:$C$391,0),MATCH(BP$1,'在庫使用計画 (一般)'!$A$1:$BF$1,0))*1,0),
_xlpm._法人検索,IFERROR(INDEX('在庫使用計画 (法人)'!$A$1:$BF$391,MATCH($C85,'在庫使用計画 (法人)'!$C$1:$C$391,0),MATCH(BP$1,'在庫使用計画 (法人)'!$A$1:$BF$1,0))*1,0),
_xlpm._合計,_xlpm._一般検索+_xlpm._法人検索,
IF(_xlpm._合計=0,"",_xlpm._合計)
)</f>
        <v/>
      </c>
      <c r="BQ85" s="224" t="str">
        <f>_xlfn.LET(
_xlpm._一般検索,IFERROR(INDEX('在庫使用計画 (一般)'!$A$1:$BF$391,MATCH($C85,'在庫使用計画 (一般)'!$C$1:$C$391,0),MATCH(BQ$1,'在庫使用計画 (一般)'!$A$1:$BF$1,0))*1,0),
_xlpm._法人検索,IFERROR(INDEX('在庫使用計画 (法人)'!$A$1:$BF$391,MATCH($C85,'在庫使用計画 (法人)'!$C$1:$C$391,0),MATCH(BQ$1,'在庫使用計画 (法人)'!$A$1:$BF$1,0))*1,0),
_xlpm._合計,_xlpm._一般検索+_xlpm._法人検索,
IF(_xlpm._合計=0,"",_xlpm._合計)
)</f>
        <v/>
      </c>
      <c r="BR85" s="224" t="str">
        <f>_xlfn.LET(
_xlpm._一般検索,IFERROR(INDEX('在庫使用計画 (一般)'!$A$1:$BF$391,MATCH($C85,'在庫使用計画 (一般)'!$C$1:$C$391,0),MATCH(BR$1,'在庫使用計画 (一般)'!$A$1:$BF$1,0))*1,0),
_xlpm._法人検索,IFERROR(INDEX('在庫使用計画 (法人)'!$A$1:$BF$391,MATCH($C85,'在庫使用計画 (法人)'!$C$1:$C$391,0),MATCH(BR$1,'在庫使用計画 (法人)'!$A$1:$BF$1,0))*1,0),
_xlpm._合計,_xlpm._一般検索+_xlpm._法人検索,
IF(_xlpm._合計=0,"",_xlpm._合計)
)</f>
        <v/>
      </c>
      <c r="BS85" s="805" t="str">
        <f>_xlfn.LET(
_xlpm._一般検索,IFERROR(INDEX('在庫使用計画 (一般)'!$A$1:$BF$391,MATCH($C85,'在庫使用計画 (一般)'!$C$1:$C$391,0),MATCH(BS$1,'在庫使用計画 (一般)'!$A$1:$BF$1,0))*1,0),
_xlpm._法人検索,IFERROR(INDEX('在庫使用計画 (法人)'!$A$1:$BF$391,MATCH($C85,'在庫使用計画 (法人)'!$C$1:$C$391,0),MATCH(BS$1,'在庫使用計画 (法人)'!$A$1:$BF$1,0))*1,0),
_xlpm._合計,_xlpm._一般検索+_xlpm._法人検索,
IF(_xlpm._合計=0,"",_xlpm._合計)
)</f>
        <v/>
      </c>
      <c r="BT85" s="77"/>
    </row>
    <row r="86" spans="1:72" customFormat="1" ht="18.75" customHeight="1">
      <c r="A86" s="2064" t="s">
        <v>1473</v>
      </c>
      <c r="B86" s="14" t="str">
        <v>CLE-NL45-120U-UMA-L6-TPM DDR5 Thirdwave</v>
      </c>
      <c r="C86" s="701" t="s">
        <v>756</v>
      </c>
      <c r="D86" s="2166">
        <v>2300</v>
      </c>
      <c r="E86" s="506" t="s">
        <v>1460</v>
      </c>
      <c r="F86" s="704" t="s">
        <v>20</v>
      </c>
      <c r="G86" s="74">
        <v>1460</v>
      </c>
      <c r="H86" s="38">
        <v>1460</v>
      </c>
      <c r="I86" s="74" cm="1">
        <f t="array" ref="I86">IF($C86="","",
_xlfn.LET(
  _xlpm._見出し,$A$1:$BT$1,
  _xlpm._行,$A86:$BT86,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919</v>
      </c>
      <c r="J86" s="74" cm="1">
        <f t="array" ref="J86">_xlfn.LET(
  _xlpm._見出し,$A$1:$BS$1,
  _xlpm._行,$A86:$BS86,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IF($C86="","",_xlpm._四点五月計画合計)
)</f>
        <v>809</v>
      </c>
      <c r="K86" s="1458" t="str" cm="1">
        <f t="array" ref="K86">_xlfn.IFS(
  $C86="","",
  $G86="","発売前？",
  $G86=0,"在庫なし",
  TRUE,
  IFERROR(
    _xlfn.LET(
      _xlpm._在庫注残,     $G86,
      _xlpm._しきい値,     _xlpm._在庫注残 * 0.75,
      _xlpm._見出し元,     $L$1:$BU$1,
      _xlpm._計画,         $L86:$BU86,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合計1,052、在庫+注残1,460のため不足</v>
      </c>
      <c r="L86" s="705"/>
      <c r="M86" s="705"/>
      <c r="N86" s="705"/>
      <c r="O86" s="705"/>
      <c r="P86" s="705"/>
      <c r="Q86" s="705"/>
      <c r="R86" s="705"/>
      <c r="S86" s="706"/>
      <c r="T86" s="351"/>
      <c r="U86" s="351"/>
      <c r="V86" s="707"/>
      <c r="W86" s="349"/>
      <c r="X86" s="708"/>
      <c r="Y86" s="708"/>
      <c r="Z86" s="709"/>
      <c r="AA86" s="709"/>
      <c r="AB86" s="709"/>
      <c r="AC86" s="710"/>
      <c r="AD86" s="709"/>
      <c r="AE86" s="224"/>
      <c r="AF86" s="224" t="s">
        <v>21</v>
      </c>
      <c r="AG86" s="224" t="s">
        <v>21</v>
      </c>
      <c r="AH86" s="224" t="s">
        <v>21</v>
      </c>
      <c r="AI86" s="237" t="s">
        <v>21</v>
      </c>
      <c r="AJ86" s="804" t="s">
        <v>21</v>
      </c>
      <c r="AK86" s="224">
        <v>33</v>
      </c>
      <c r="AL86" s="224">
        <v>153</v>
      </c>
      <c r="AM86" s="224">
        <v>500</v>
      </c>
      <c r="AN86" s="224">
        <f>_xlfn.LET(
_xlpm._一般検索,IFERROR(INDEX('在庫使用計画 (一般)'!$A$1:$BF$391,MATCH($C86,'在庫使用計画 (一般)'!$C$1:$C$391,0),MATCH(AN$1,'在庫使用計画 (一般)'!$A$1:$BF$1,0))*1,0),
_xlpm._法人検索,IFERROR(INDEX('在庫使用計画 (法人)'!$A$1:$BF$391,MATCH($C86,'在庫使用計画 (法人)'!$C$1:$C$391,0),MATCH(AN$1,'在庫使用計画 (法人)'!$A$1:$BF$1,0))*1,0),
_xlpm._合計,_xlpm._一般検索+_xlpm._法人検索,
IF(_xlpm._合計=0,"",_xlpm._合計)
)</f>
        <v>270</v>
      </c>
      <c r="AO86" s="224">
        <f>_xlfn.LET(
_xlpm._一般検索,IFERROR(INDEX('在庫使用計画 (一般)'!$A$1:$BF$391,MATCH($C86,'在庫使用計画 (一般)'!$C$1:$C$391,0),MATCH(AO$1,'在庫使用計画 (一般)'!$A$1:$BF$1,0))*1,0),
_xlpm._法人検索,IFERROR(INDEX('在庫使用計画 (法人)'!$A$1:$BF$391,MATCH($C86,'在庫使用計画 (法人)'!$C$1:$C$391,0),MATCH(AO$1,'在庫使用計画 (法人)'!$A$1:$BF$1,0))*1,0),
_xlpm._合計,_xlpm._一般検索+_xlpm._法人検索,
IF(_xlpm._合計=0,"",_xlpm._合計)
)</f>
        <v>320</v>
      </c>
      <c r="AP86" s="224">
        <f>_xlfn.LET(
_xlpm._一般検索,IFERROR(INDEX('在庫使用計画 (一般)'!$A$1:$BF$391,MATCH($C86,'在庫使用計画 (一般)'!$C$1:$C$391,0),MATCH(AP$1,'在庫使用計画 (一般)'!$A$1:$BF$1,0))*1,0),
_xlpm._法人検索,IFERROR(INDEX('在庫使用計画 (法人)'!$A$1:$BF$391,MATCH($C86,'在庫使用計画 (法人)'!$C$1:$C$391,0),MATCH(AP$1,'在庫使用計画 (法人)'!$A$1:$BF$1,0))*1,0),
_xlpm._合計,_xlpm._一般検索+_xlpm._法人検索,
IF(_xlpm._合計=0,"",_xlpm._合計)
)</f>
        <v>520</v>
      </c>
      <c r="AQ86" s="224">
        <f>_xlfn.LET(
_xlpm._一般検索,IFERROR(INDEX('在庫使用計画 (一般)'!$A$1:$BF$391,MATCH($C86,'在庫使用計画 (一般)'!$C$1:$C$391,0),MATCH(AQ$1,'在庫使用計画 (一般)'!$A$1:$BF$1,0))*1,0),
_xlpm._法人検索,IFERROR(INDEX('在庫使用計画 (法人)'!$A$1:$BF$391,MATCH($C86,'在庫使用計画 (法人)'!$C$1:$C$391,0),MATCH(AQ$1,'在庫使用計画 (法人)'!$A$1:$BF$1,0))*1,0),
_xlpm._合計,_xlpm._一般検索+_xlpm._法人検索,
IF(_xlpm._合計=0,"",_xlpm._合計)
)</f>
        <v>99</v>
      </c>
      <c r="AR86" s="224">
        <f>_xlfn.LET(
_xlpm._一般検索,IFERROR(INDEX('在庫使用計画 (一般)'!$A$1:$BF$391,MATCH($C86,'在庫使用計画 (一般)'!$C$1:$C$391,0),MATCH(AR$1,'在庫使用計画 (一般)'!$A$1:$BF$1,0))*1,0),
_xlpm._法人検索,IFERROR(INDEX('在庫使用計画 (法人)'!$A$1:$BF$391,MATCH($C86,'在庫使用計画 (法人)'!$C$1:$C$391,0),MATCH(AR$1,'在庫使用計画 (法人)'!$A$1:$BF$1,0))*1,0),
_xlpm._合計,_xlpm._一般検索+_xlpm._法人検索,
IF(_xlpm._合計=0,"",_xlpm._合計)
)</f>
        <v>150</v>
      </c>
      <c r="AS86" s="224">
        <f>_xlfn.LET(
_xlpm._一般検索,IFERROR(INDEX('在庫使用計画 (一般)'!$A$1:$BF$391,MATCH($C86,'在庫使用計画 (一般)'!$C$1:$C$391,0),MATCH(AS$1,'在庫使用計画 (一般)'!$A$1:$BF$1,0))*1,0),
_xlpm._法人検索,IFERROR(INDEX('在庫使用計画 (法人)'!$A$1:$BF$391,MATCH($C86,'在庫使用計画 (法人)'!$C$1:$C$391,0),MATCH(AS$1,'在庫使用計画 (法人)'!$A$1:$BF$1,0))*1,0),
_xlpm._合計,_xlpm._一般検索+_xlpm._法人検索,
IF(_xlpm._合計=0,"",_xlpm._合計)
)</f>
        <v>150</v>
      </c>
      <c r="AT86" s="224">
        <f>_xlfn.LET(
_xlpm._一般検索,IFERROR(INDEX('在庫使用計画 (一般)'!$A$1:$BF$391,MATCH($C86,'在庫使用計画 (一般)'!$C$1:$C$391,0),MATCH(AT$1,'在庫使用計画 (一般)'!$A$1:$BF$1,0))*1,0),
_xlpm._法人検索,IFERROR(INDEX('在庫使用計画 (法人)'!$A$1:$BF$391,MATCH($C86,'在庫使用計画 (法人)'!$C$1:$C$391,0),MATCH(AT$1,'在庫使用計画 (法人)'!$A$1:$BF$1,0))*1,0),
_xlpm._合計,_xlpm._一般検索+_xlpm._法人検索,
IF(_xlpm._合計=0,"",_xlpm._合計)
)</f>
        <v>150</v>
      </c>
      <c r="AU86" s="805" t="str">
        <f>_xlfn.LET(
_xlpm._一般検索,IFERROR(INDEX('在庫使用計画 (一般)'!$A$1:$BF$391,MATCH($C86,'在庫使用計画 (一般)'!$C$1:$C$391,0),MATCH(AU$1,'在庫使用計画 (一般)'!$A$1:$BF$1,0))*1,0),
_xlpm._法人検索,IFERROR(INDEX('在庫使用計画 (法人)'!$A$1:$BF$391,MATCH($C86,'在庫使用計画 (法人)'!$C$1:$C$391,0),MATCH(AU$1,'在庫使用計画 (法人)'!$A$1:$BF$1,0))*1,0),
_xlpm._合計,_xlpm._一般検索+_xlpm._法人検索,
IF(_xlpm._合計=0,"",_xlpm._合計)
)</f>
        <v/>
      </c>
      <c r="AV86" s="244" t="str">
        <f>_xlfn.LET(
_xlpm._一般検索,IFERROR(INDEX('在庫使用計画 (一般)'!$A$1:$BF$391,MATCH($C86,'在庫使用計画 (一般)'!$C$1:$C$391,0),MATCH(AV$1,'在庫使用計画 (一般)'!$A$1:$BF$1,0))*1,0),
_xlpm._法人検索,IFERROR(INDEX('在庫使用計画 (法人)'!$A$1:$BF$391,MATCH($C86,'在庫使用計画 (法人)'!$C$1:$C$391,0),MATCH(AV$1,'在庫使用計画 (法人)'!$A$1:$BF$1,0))*1,0),
_xlpm._合計,_xlpm._一般検索+_xlpm._法人検索,
IF(_xlpm._合計=0,"",_xlpm._合計)
)</f>
        <v/>
      </c>
      <c r="AW86" s="224" t="str">
        <f>_xlfn.LET(
_xlpm._一般検索,IFERROR(INDEX('在庫使用計画 (一般)'!$A$1:$BF$391,MATCH($C86,'在庫使用計画 (一般)'!$C$1:$C$391,0),MATCH(AW$1,'在庫使用計画 (一般)'!$A$1:$BF$1,0))*1,0),
_xlpm._法人検索,IFERROR(INDEX('在庫使用計画 (法人)'!$A$1:$BF$391,MATCH($C86,'在庫使用計画 (法人)'!$C$1:$C$391,0),MATCH(AW$1,'在庫使用計画 (法人)'!$A$1:$BF$1,0))*1,0),
_xlpm._合計,_xlpm._一般検索+_xlpm._法人検索,
IF(_xlpm._合計=0,"",_xlpm._合計)
)</f>
        <v/>
      </c>
      <c r="AX86" s="224" t="str">
        <f>_xlfn.LET(
_xlpm._一般検索,IFERROR(INDEX('在庫使用計画 (一般)'!$A$1:$BF$391,MATCH($C86,'在庫使用計画 (一般)'!$C$1:$C$391,0),MATCH(AX$1,'在庫使用計画 (一般)'!$A$1:$BF$1,0))*1,0),
_xlpm._法人検索,IFERROR(INDEX('在庫使用計画 (法人)'!$A$1:$BF$391,MATCH($C86,'在庫使用計画 (法人)'!$C$1:$C$391,0),MATCH(AX$1,'在庫使用計画 (法人)'!$A$1:$BF$1,0))*1,0),
_xlpm._合計,_xlpm._一般検索+_xlpm._法人検索,
IF(_xlpm._合計=0,"",_xlpm._合計)
)</f>
        <v/>
      </c>
      <c r="AY86" s="224" t="str">
        <f>_xlfn.LET(
_xlpm._一般検索,IFERROR(INDEX('在庫使用計画 (一般)'!$A$1:$BF$391,MATCH($C86,'在庫使用計画 (一般)'!$C$1:$C$391,0),MATCH(AY$1,'在庫使用計画 (一般)'!$A$1:$BF$1,0))*1,0),
_xlpm._法人検索,IFERROR(INDEX('在庫使用計画 (法人)'!$A$1:$BF$391,MATCH($C86,'在庫使用計画 (法人)'!$C$1:$C$391,0),MATCH(AY$1,'在庫使用計画 (法人)'!$A$1:$BF$1,0))*1,0),
_xlpm._合計,_xlpm._一般検索+_xlpm._法人検索,
IF(_xlpm._合計=0,"",_xlpm._合計)
)</f>
        <v/>
      </c>
      <c r="AZ86" s="224" t="str">
        <f>_xlfn.LET(
_xlpm._一般検索,IFERROR(INDEX('在庫使用計画 (一般)'!$A$1:$BF$391,MATCH($C86,'在庫使用計画 (一般)'!$C$1:$C$391,0),MATCH(AZ$1,'在庫使用計画 (一般)'!$A$1:$BF$1,0))*1,0),
_xlpm._法人検索,IFERROR(INDEX('在庫使用計画 (法人)'!$A$1:$BF$391,MATCH($C86,'在庫使用計画 (法人)'!$C$1:$C$391,0),MATCH(AZ$1,'在庫使用計画 (法人)'!$A$1:$BF$1,0))*1,0),
_xlpm._合計,_xlpm._一般検索+_xlpm._法人検索,
IF(_xlpm._合計=0,"",_xlpm._合計)
)</f>
        <v/>
      </c>
      <c r="BA86" s="224" t="str">
        <f>_xlfn.LET(
_xlpm._一般検索,IFERROR(INDEX('在庫使用計画 (一般)'!$A$1:$BF$391,MATCH($C86,'在庫使用計画 (一般)'!$C$1:$C$391,0),MATCH(BA$1,'在庫使用計画 (一般)'!$A$1:$BF$1,0))*1,0),
_xlpm._法人検索,IFERROR(INDEX('在庫使用計画 (法人)'!$A$1:$BF$391,MATCH($C86,'在庫使用計画 (法人)'!$C$1:$C$391,0),MATCH(BA$1,'在庫使用計画 (法人)'!$A$1:$BF$1,0))*1,0),
_xlpm._合計,_xlpm._一般検索+_xlpm._法人検索,
IF(_xlpm._合計=0,"",_xlpm._合計)
)</f>
        <v/>
      </c>
      <c r="BB86" s="224" t="str">
        <f>_xlfn.LET(
_xlpm._一般検索,IFERROR(INDEX('在庫使用計画 (一般)'!$A$1:$BF$391,MATCH($C86,'在庫使用計画 (一般)'!$C$1:$C$391,0),MATCH(BB$1,'在庫使用計画 (一般)'!$A$1:$BF$1,0))*1,0),
_xlpm._法人検索,IFERROR(INDEX('在庫使用計画 (法人)'!$A$1:$BF$391,MATCH($C86,'在庫使用計画 (法人)'!$C$1:$C$391,0),MATCH(BB$1,'在庫使用計画 (法人)'!$A$1:$BF$1,0))*1,0),
_xlpm._合計,_xlpm._一般検索+_xlpm._法人検索,
IF(_xlpm._合計=0,"",_xlpm._合計)
)</f>
        <v/>
      </c>
      <c r="BC86" s="224" t="str">
        <f>_xlfn.LET(
_xlpm._一般検索,IFERROR(INDEX('在庫使用計画 (一般)'!$A$1:$BF$391,MATCH($C86,'在庫使用計画 (一般)'!$C$1:$C$391,0),MATCH(BC$1,'在庫使用計画 (一般)'!$A$1:$BF$1,0))*1,0),
_xlpm._法人検索,IFERROR(INDEX('在庫使用計画 (法人)'!$A$1:$BF$391,MATCH($C86,'在庫使用計画 (法人)'!$C$1:$C$391,0),MATCH(BC$1,'在庫使用計画 (法人)'!$A$1:$BF$1,0))*1,0),
_xlpm._合計,_xlpm._一般検索+_xlpm._法人検索,
IF(_xlpm._合計=0,"",_xlpm._合計)
)</f>
        <v/>
      </c>
      <c r="BD86" s="224" t="str">
        <f>_xlfn.LET(
_xlpm._一般検索,IFERROR(INDEX('在庫使用計画 (一般)'!$A$1:$BF$391,MATCH($C86,'在庫使用計画 (一般)'!$C$1:$C$391,0),MATCH(BD$1,'在庫使用計画 (一般)'!$A$1:$BF$1,0))*1,0),
_xlpm._法人検索,IFERROR(INDEX('在庫使用計画 (法人)'!$A$1:$BF$391,MATCH($C86,'在庫使用計画 (法人)'!$C$1:$C$391,0),MATCH(BD$1,'在庫使用計画 (法人)'!$A$1:$BF$1,0))*1,0),
_xlpm._合計,_xlpm._一般検索+_xlpm._法人検索,
IF(_xlpm._合計=0,"",_xlpm._合計)
)</f>
        <v/>
      </c>
      <c r="BE86" s="224" t="str">
        <f>_xlfn.LET(
_xlpm._一般検索,IFERROR(INDEX('在庫使用計画 (一般)'!$A$1:$BF$391,MATCH($C86,'在庫使用計画 (一般)'!$C$1:$C$391,0),MATCH(BE$1,'在庫使用計画 (一般)'!$A$1:$BF$1,0))*1,0),
_xlpm._法人検索,IFERROR(INDEX('在庫使用計画 (法人)'!$A$1:$BF$391,MATCH($C86,'在庫使用計画 (法人)'!$C$1:$C$391,0),MATCH(BE$1,'在庫使用計画 (法人)'!$A$1:$BF$1,0))*1,0),
_xlpm._合計,_xlpm._一般検索+_xlpm._法人検索,
IF(_xlpm._合計=0,"",_xlpm._合計)
)</f>
        <v/>
      </c>
      <c r="BF86" s="224" t="str">
        <f>_xlfn.LET(
_xlpm._一般検索,IFERROR(INDEX('在庫使用計画 (一般)'!$A$1:$BF$391,MATCH($C86,'在庫使用計画 (一般)'!$C$1:$C$391,0),MATCH(BF$1,'在庫使用計画 (一般)'!$A$1:$BF$1,0))*1,0),
_xlpm._法人検索,IFERROR(INDEX('在庫使用計画 (法人)'!$A$1:$BF$391,MATCH($C86,'在庫使用計画 (法人)'!$C$1:$C$391,0),MATCH(BF$1,'在庫使用計画 (法人)'!$A$1:$BF$1,0))*1,0),
_xlpm._合計,_xlpm._一般検索+_xlpm._法人検索,
IF(_xlpm._合計=0,"",_xlpm._合計)
)</f>
        <v/>
      </c>
      <c r="BG86" s="237" t="str">
        <f>_xlfn.LET(
_xlpm._一般検索,IFERROR(INDEX('在庫使用計画 (一般)'!$A$1:$BF$391,MATCH($C86,'在庫使用計画 (一般)'!$C$1:$C$391,0),MATCH(BG$1,'在庫使用計画 (一般)'!$A$1:$BF$1,0))*1,0),
_xlpm._法人検索,IFERROR(INDEX('在庫使用計画 (法人)'!$A$1:$BF$391,MATCH($C86,'在庫使用計画 (法人)'!$C$1:$C$391,0),MATCH(BG$1,'在庫使用計画 (法人)'!$A$1:$BF$1,0))*1,0),
_xlpm._合計,_xlpm._一般検索+_xlpm._法人検索,
IF(_xlpm._合計=0,"",_xlpm._合計)
)</f>
        <v/>
      </c>
      <c r="BH86" s="804" t="str">
        <f>_xlfn.LET(
_xlpm._一般検索,IFERROR(INDEX('在庫使用計画 (一般)'!$A$1:$BF$391,MATCH($C86,'在庫使用計画 (一般)'!$C$1:$C$391,0),MATCH(BH$1,'在庫使用計画 (一般)'!$A$1:$BF$1,0))*1,0),
_xlpm._法人検索,IFERROR(INDEX('在庫使用計画 (法人)'!$A$1:$BF$391,MATCH($C86,'在庫使用計画 (法人)'!$C$1:$C$391,0),MATCH(BH$1,'在庫使用計画 (法人)'!$A$1:$BF$1,0))*1,0),
_xlpm._合計,_xlpm._一般検索+_xlpm._法人検索,
IF(_xlpm._合計=0,"",_xlpm._合計)
)</f>
        <v/>
      </c>
      <c r="BI86" s="224" t="str">
        <f>_xlfn.LET(
_xlpm._一般検索,IFERROR(INDEX('在庫使用計画 (一般)'!$A$1:$BF$391,MATCH($C86,'在庫使用計画 (一般)'!$C$1:$C$391,0),MATCH(BI$1,'在庫使用計画 (一般)'!$A$1:$BF$1,0))*1,0),
_xlpm._法人検索,IFERROR(INDEX('在庫使用計画 (法人)'!$A$1:$BF$391,MATCH($C86,'在庫使用計画 (法人)'!$C$1:$C$391,0),MATCH(BI$1,'在庫使用計画 (法人)'!$A$1:$BF$1,0))*1,0),
_xlpm._合計,_xlpm._一般検索+_xlpm._法人検索,
IF(_xlpm._合計=0,"",_xlpm._合計)
)</f>
        <v/>
      </c>
      <c r="BJ86" s="224" t="str">
        <f>_xlfn.LET(
_xlpm._一般検索,IFERROR(INDEX('在庫使用計画 (一般)'!$A$1:$BF$391,MATCH($C86,'在庫使用計画 (一般)'!$C$1:$C$391,0),MATCH(BJ$1,'在庫使用計画 (一般)'!$A$1:$BF$1,0))*1,0),
_xlpm._法人検索,IFERROR(INDEX('在庫使用計画 (法人)'!$A$1:$BF$391,MATCH($C86,'在庫使用計画 (法人)'!$C$1:$C$391,0),MATCH(BJ$1,'在庫使用計画 (法人)'!$A$1:$BF$1,0))*1,0),
_xlpm._合計,_xlpm._一般検索+_xlpm._法人検索,
IF(_xlpm._合計=0,"",_xlpm._合計)
)</f>
        <v/>
      </c>
      <c r="BK86" s="224" t="str">
        <f>_xlfn.LET(
_xlpm._一般検索,IFERROR(INDEX('在庫使用計画 (一般)'!$A$1:$BF$391,MATCH($C86,'在庫使用計画 (一般)'!$C$1:$C$391,0),MATCH(BK$1,'在庫使用計画 (一般)'!$A$1:$BF$1,0))*1,0),
_xlpm._法人検索,IFERROR(INDEX('在庫使用計画 (法人)'!$A$1:$BF$391,MATCH($C86,'在庫使用計画 (法人)'!$C$1:$C$391,0),MATCH(BK$1,'在庫使用計画 (法人)'!$A$1:$BF$1,0))*1,0),
_xlpm._合計,_xlpm._一般検索+_xlpm._法人検索,
IF(_xlpm._合計=0,"",_xlpm._合計)
)</f>
        <v/>
      </c>
      <c r="BL86" s="224" t="str">
        <f>_xlfn.LET(
_xlpm._一般検索,IFERROR(INDEX('在庫使用計画 (一般)'!$A$1:$BF$391,MATCH($C86,'在庫使用計画 (一般)'!$C$1:$C$391,0),MATCH(BL$1,'在庫使用計画 (一般)'!$A$1:$BF$1,0))*1,0),
_xlpm._法人検索,IFERROR(INDEX('在庫使用計画 (法人)'!$A$1:$BF$391,MATCH($C86,'在庫使用計画 (法人)'!$C$1:$C$391,0),MATCH(BL$1,'在庫使用計画 (法人)'!$A$1:$BF$1,0))*1,0),
_xlpm._合計,_xlpm._一般検索+_xlpm._法人検索,
IF(_xlpm._合計=0,"",_xlpm._合計)
)</f>
        <v/>
      </c>
      <c r="BM86" s="224" t="str">
        <f>_xlfn.LET(
_xlpm._一般検索,IFERROR(INDEX('在庫使用計画 (一般)'!$A$1:$BF$391,MATCH($C86,'在庫使用計画 (一般)'!$C$1:$C$391,0),MATCH(BM$1,'在庫使用計画 (一般)'!$A$1:$BF$1,0))*1,0),
_xlpm._法人検索,IFERROR(INDEX('在庫使用計画 (法人)'!$A$1:$BF$391,MATCH($C86,'在庫使用計画 (法人)'!$C$1:$C$391,0),MATCH(BM$1,'在庫使用計画 (法人)'!$A$1:$BF$1,0))*1,0),
_xlpm._合計,_xlpm._一般検索+_xlpm._法人検索,
IF(_xlpm._合計=0,"",_xlpm._合計)
)</f>
        <v/>
      </c>
      <c r="BN86" s="224" t="str">
        <f>_xlfn.LET(
_xlpm._一般検索,IFERROR(INDEX('在庫使用計画 (一般)'!$A$1:$BF$391,MATCH($C86,'在庫使用計画 (一般)'!$C$1:$C$391,0),MATCH(BN$1,'在庫使用計画 (一般)'!$A$1:$BF$1,0))*1,0),
_xlpm._法人検索,IFERROR(INDEX('在庫使用計画 (法人)'!$A$1:$BF$391,MATCH($C86,'在庫使用計画 (法人)'!$C$1:$C$391,0),MATCH(BN$1,'在庫使用計画 (法人)'!$A$1:$BF$1,0))*1,0),
_xlpm._合計,_xlpm._一般検索+_xlpm._法人検索,
IF(_xlpm._合計=0,"",_xlpm._合計)
)</f>
        <v/>
      </c>
      <c r="BO86" s="224" t="str">
        <f>_xlfn.LET(
_xlpm._一般検索,IFERROR(INDEX('在庫使用計画 (一般)'!$A$1:$BF$391,MATCH($C86,'在庫使用計画 (一般)'!$C$1:$C$391,0),MATCH(BO$1,'在庫使用計画 (一般)'!$A$1:$BF$1,0))*1,0),
_xlpm._法人検索,IFERROR(INDEX('在庫使用計画 (法人)'!$A$1:$BF$391,MATCH($C86,'在庫使用計画 (法人)'!$C$1:$C$391,0),MATCH(BO$1,'在庫使用計画 (法人)'!$A$1:$BF$1,0))*1,0),
_xlpm._合計,_xlpm._一般検索+_xlpm._法人検索,
IF(_xlpm._合計=0,"",_xlpm._合計)
)</f>
        <v/>
      </c>
      <c r="BP86" s="224" t="str">
        <f>_xlfn.LET(
_xlpm._一般検索,IFERROR(INDEX('在庫使用計画 (一般)'!$A$1:$BF$391,MATCH($C86,'在庫使用計画 (一般)'!$C$1:$C$391,0),MATCH(BP$1,'在庫使用計画 (一般)'!$A$1:$BF$1,0))*1,0),
_xlpm._法人検索,IFERROR(INDEX('在庫使用計画 (法人)'!$A$1:$BF$391,MATCH($C86,'在庫使用計画 (法人)'!$C$1:$C$391,0),MATCH(BP$1,'在庫使用計画 (法人)'!$A$1:$BF$1,0))*1,0),
_xlpm._合計,_xlpm._一般検索+_xlpm._法人検索,
IF(_xlpm._合計=0,"",_xlpm._合計)
)</f>
        <v/>
      </c>
      <c r="BQ86" s="224" t="str">
        <f>_xlfn.LET(
_xlpm._一般検索,IFERROR(INDEX('在庫使用計画 (一般)'!$A$1:$BF$391,MATCH($C86,'在庫使用計画 (一般)'!$C$1:$C$391,0),MATCH(BQ$1,'在庫使用計画 (一般)'!$A$1:$BF$1,0))*1,0),
_xlpm._法人検索,IFERROR(INDEX('在庫使用計画 (法人)'!$A$1:$BF$391,MATCH($C86,'在庫使用計画 (法人)'!$C$1:$C$391,0),MATCH(BQ$1,'在庫使用計画 (法人)'!$A$1:$BF$1,0))*1,0),
_xlpm._合計,_xlpm._一般検索+_xlpm._法人検索,
IF(_xlpm._合計=0,"",_xlpm._合計)
)</f>
        <v/>
      </c>
      <c r="BR86" s="224" t="str">
        <f>_xlfn.LET(
_xlpm._一般検索,IFERROR(INDEX('在庫使用計画 (一般)'!$A$1:$BF$391,MATCH($C86,'在庫使用計画 (一般)'!$C$1:$C$391,0),MATCH(BR$1,'在庫使用計画 (一般)'!$A$1:$BF$1,0))*1,0),
_xlpm._法人検索,IFERROR(INDEX('在庫使用計画 (法人)'!$A$1:$BF$391,MATCH($C86,'在庫使用計画 (法人)'!$C$1:$C$391,0),MATCH(BR$1,'在庫使用計画 (法人)'!$A$1:$BF$1,0))*1,0),
_xlpm._合計,_xlpm._一般検索+_xlpm._法人検索,
IF(_xlpm._合計=0,"",_xlpm._合計)
)</f>
        <v/>
      </c>
      <c r="BS86" s="805" t="str">
        <f>_xlfn.LET(
_xlpm._一般検索,IFERROR(INDEX('在庫使用計画 (一般)'!$A$1:$BF$391,MATCH($C86,'在庫使用計画 (一般)'!$C$1:$C$391,0),MATCH(BS$1,'在庫使用計画 (一般)'!$A$1:$BF$1,0))*1,0),
_xlpm._法人検索,IFERROR(INDEX('在庫使用計画 (法人)'!$A$1:$BF$391,MATCH($C86,'在庫使用計画 (法人)'!$C$1:$C$391,0),MATCH(BS$1,'在庫使用計画 (法人)'!$A$1:$BF$1,0))*1,0),
_xlpm._合計,_xlpm._一般検索+_xlpm._法人検索,
IF(_xlpm._合計=0,"",_xlpm._合計)
)</f>
        <v/>
      </c>
      <c r="BT86" s="77"/>
    </row>
    <row r="87" spans="1:72" customFormat="1" ht="18.75" customHeight="1">
      <c r="A87" s="1061" t="s">
        <v>1473</v>
      </c>
      <c r="B87" s="26" t="str">
        <v>CLE-NL45-1355U-UMA-L6-TPM Thirdwave</v>
      </c>
      <c r="C87" s="57" t="s">
        <v>691</v>
      </c>
      <c r="D87" s="2153">
        <v>1632</v>
      </c>
      <c r="E87" s="24" t="s">
        <v>1426</v>
      </c>
      <c r="F87" s="26" t="s">
        <v>1725</v>
      </c>
      <c r="G87" s="74">
        <v>1</v>
      </c>
      <c r="H87" s="38">
        <v>1</v>
      </c>
      <c r="I87" s="38" cm="1">
        <f t="array" ref="I87">IF($C87="","",
_xlfn.LET(
  _xlpm._見出し,$A$1:$BT$1,
  _xlpm._行,$A87:$BT87,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0</v>
      </c>
      <c r="J87" s="74" cm="1">
        <f t="array" ref="J87">_xlfn.LET(
  _xlpm._見出し,$A$1:$BS$1,
  _xlpm._行,$A87:$BS87,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IF($C87="","",_xlpm._四点五月計画合計)
)</f>
        <v>0</v>
      </c>
      <c r="K87" s="1458" t="str" cm="1">
        <f t="array" ref="K87">_xlfn.IFS(
  $C87="","",
  $G87="","発売前？",
  $G87=0,"在庫なし",
  TRUE,
  IFERROR(
    _xlfn.LET(
      _xlpm._在庫注残,     $G87,
      _xlpm._しきい値,     _xlpm._在庫注残 * 0.75,
      _xlpm._見出し元,     $L$1:$BU$1,
      _xlpm._計画,         $L87:$BU87,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計画なし</v>
      </c>
      <c r="L87" s="311"/>
      <c r="M87" s="311"/>
      <c r="N87" s="311"/>
      <c r="O87" s="311"/>
      <c r="P87" s="311"/>
      <c r="Q87" s="180"/>
      <c r="R87" s="311"/>
      <c r="S87" s="311"/>
      <c r="T87" s="298" t="s">
        <v>21</v>
      </c>
      <c r="U87" s="298" t="s">
        <v>21</v>
      </c>
      <c r="V87" s="298" t="s">
        <v>21</v>
      </c>
      <c r="W87" s="298" t="s">
        <v>21</v>
      </c>
      <c r="X87" s="299" t="s">
        <v>21</v>
      </c>
      <c r="Y87" s="343" t="s">
        <v>21</v>
      </c>
      <c r="Z87" s="299" t="s">
        <v>21</v>
      </c>
      <c r="AA87" s="224">
        <v>205</v>
      </c>
      <c r="AB87" s="224">
        <v>185</v>
      </c>
      <c r="AC87" s="224">
        <v>195</v>
      </c>
      <c r="AD87" s="224">
        <v>242</v>
      </c>
      <c r="AE87" s="224">
        <v>153</v>
      </c>
      <c r="AF87" s="224">
        <v>216</v>
      </c>
      <c r="AG87" s="224">
        <v>245</v>
      </c>
      <c r="AH87" s="224">
        <v>160</v>
      </c>
      <c r="AI87" s="237">
        <v>121</v>
      </c>
      <c r="AJ87" s="804">
        <v>136</v>
      </c>
      <c r="AK87" s="224">
        <v>102</v>
      </c>
      <c r="AL87" s="224">
        <v>120</v>
      </c>
      <c r="AM87" s="224" t="s">
        <v>21</v>
      </c>
      <c r="AN87" s="224" t="str">
        <f>_xlfn.LET(
_xlpm._一般検索,IFERROR(INDEX('在庫使用計画 (一般)'!$A$1:$BF$391,MATCH($C87,'在庫使用計画 (一般)'!$C$1:$C$391,0),MATCH(AN$1,'在庫使用計画 (一般)'!$A$1:$BF$1,0))*1,0),
_xlpm._法人検索,IFERROR(INDEX('在庫使用計画 (法人)'!$A$1:$BF$391,MATCH($C87,'在庫使用計画 (法人)'!$C$1:$C$391,0),MATCH(AN$1,'在庫使用計画 (法人)'!$A$1:$BF$1,0))*1,0),
_xlpm._合計,_xlpm._一般検索+_xlpm._法人検索,
IF(_xlpm._合計=0,"",_xlpm._合計)
)</f>
        <v/>
      </c>
      <c r="AO87" s="224" t="str">
        <f>_xlfn.LET(
_xlpm._一般検索,IFERROR(INDEX('在庫使用計画 (一般)'!$A$1:$BF$391,MATCH($C87,'在庫使用計画 (一般)'!$C$1:$C$391,0),MATCH(AO$1,'在庫使用計画 (一般)'!$A$1:$BF$1,0))*1,0),
_xlpm._法人検索,IFERROR(INDEX('在庫使用計画 (法人)'!$A$1:$BF$391,MATCH($C87,'在庫使用計画 (法人)'!$C$1:$C$391,0),MATCH(AO$1,'在庫使用計画 (法人)'!$A$1:$BF$1,0))*1,0),
_xlpm._合計,_xlpm._一般検索+_xlpm._法人検索,
IF(_xlpm._合計=0,"",_xlpm._合計)
)</f>
        <v/>
      </c>
      <c r="AP87" s="224" t="str">
        <f>_xlfn.LET(
_xlpm._一般検索,IFERROR(INDEX('在庫使用計画 (一般)'!$A$1:$BF$391,MATCH($C87,'在庫使用計画 (一般)'!$C$1:$C$391,0),MATCH(AP$1,'在庫使用計画 (一般)'!$A$1:$BF$1,0))*1,0),
_xlpm._法人検索,IFERROR(INDEX('在庫使用計画 (法人)'!$A$1:$BF$391,MATCH($C87,'在庫使用計画 (法人)'!$C$1:$C$391,0),MATCH(AP$1,'在庫使用計画 (法人)'!$A$1:$BF$1,0))*1,0),
_xlpm._合計,_xlpm._一般検索+_xlpm._法人検索,
IF(_xlpm._合計=0,"",_xlpm._合計)
)</f>
        <v/>
      </c>
      <c r="AQ87" s="224" t="str">
        <f>_xlfn.LET(
_xlpm._一般検索,IFERROR(INDEX('在庫使用計画 (一般)'!$A$1:$BF$391,MATCH($C87,'在庫使用計画 (一般)'!$C$1:$C$391,0),MATCH(AQ$1,'在庫使用計画 (一般)'!$A$1:$BF$1,0))*1,0),
_xlpm._法人検索,IFERROR(INDEX('在庫使用計画 (法人)'!$A$1:$BF$391,MATCH($C87,'在庫使用計画 (法人)'!$C$1:$C$391,0),MATCH(AQ$1,'在庫使用計画 (法人)'!$A$1:$BF$1,0))*1,0),
_xlpm._合計,_xlpm._一般検索+_xlpm._法人検索,
IF(_xlpm._合計=0,"",_xlpm._合計)
)</f>
        <v/>
      </c>
      <c r="AR87" s="224" t="str">
        <f>_xlfn.LET(
_xlpm._一般検索,IFERROR(INDEX('在庫使用計画 (一般)'!$A$1:$BF$391,MATCH($C87,'在庫使用計画 (一般)'!$C$1:$C$391,0),MATCH(AR$1,'在庫使用計画 (一般)'!$A$1:$BF$1,0))*1,0),
_xlpm._法人検索,IFERROR(INDEX('在庫使用計画 (法人)'!$A$1:$BF$391,MATCH($C87,'在庫使用計画 (法人)'!$C$1:$C$391,0),MATCH(AR$1,'在庫使用計画 (法人)'!$A$1:$BF$1,0))*1,0),
_xlpm._合計,_xlpm._一般検索+_xlpm._法人検索,
IF(_xlpm._合計=0,"",_xlpm._合計)
)</f>
        <v/>
      </c>
      <c r="AS87" s="224" t="str">
        <f>_xlfn.LET(
_xlpm._一般検索,IFERROR(INDEX('在庫使用計画 (一般)'!$A$1:$BF$391,MATCH($C87,'在庫使用計画 (一般)'!$C$1:$C$391,0),MATCH(AS$1,'在庫使用計画 (一般)'!$A$1:$BF$1,0))*1,0),
_xlpm._法人検索,IFERROR(INDEX('在庫使用計画 (法人)'!$A$1:$BF$391,MATCH($C87,'在庫使用計画 (法人)'!$C$1:$C$391,0),MATCH(AS$1,'在庫使用計画 (法人)'!$A$1:$BF$1,0))*1,0),
_xlpm._合計,_xlpm._一般検索+_xlpm._法人検索,
IF(_xlpm._合計=0,"",_xlpm._合計)
)</f>
        <v/>
      </c>
      <c r="AT87" s="224" t="str">
        <f>_xlfn.LET(
_xlpm._一般検索,IFERROR(INDEX('在庫使用計画 (一般)'!$A$1:$BF$391,MATCH($C87,'在庫使用計画 (一般)'!$C$1:$C$391,0),MATCH(AT$1,'在庫使用計画 (一般)'!$A$1:$BF$1,0))*1,0),
_xlpm._法人検索,IFERROR(INDEX('在庫使用計画 (法人)'!$A$1:$BF$391,MATCH($C87,'在庫使用計画 (法人)'!$C$1:$C$391,0),MATCH(AT$1,'在庫使用計画 (法人)'!$A$1:$BF$1,0))*1,0),
_xlpm._合計,_xlpm._一般検索+_xlpm._法人検索,
IF(_xlpm._合計=0,"",_xlpm._合計)
)</f>
        <v/>
      </c>
      <c r="AU87" s="805" t="str">
        <f>_xlfn.LET(
_xlpm._一般検索,IFERROR(INDEX('在庫使用計画 (一般)'!$A$1:$BF$391,MATCH($C87,'在庫使用計画 (一般)'!$C$1:$C$391,0),MATCH(AU$1,'在庫使用計画 (一般)'!$A$1:$BF$1,0))*1,0),
_xlpm._法人検索,IFERROR(INDEX('在庫使用計画 (法人)'!$A$1:$BF$391,MATCH($C87,'在庫使用計画 (法人)'!$C$1:$C$391,0),MATCH(AU$1,'在庫使用計画 (法人)'!$A$1:$BF$1,0))*1,0),
_xlpm._合計,_xlpm._一般検索+_xlpm._法人検索,
IF(_xlpm._合計=0,"",_xlpm._合計)
)</f>
        <v/>
      </c>
      <c r="AV87" s="244" t="str">
        <f>_xlfn.LET(
_xlpm._一般検索,IFERROR(INDEX('在庫使用計画 (一般)'!$A$1:$BF$391,MATCH($C87,'在庫使用計画 (一般)'!$C$1:$C$391,0),MATCH(AV$1,'在庫使用計画 (一般)'!$A$1:$BF$1,0))*1,0),
_xlpm._法人検索,IFERROR(INDEX('在庫使用計画 (法人)'!$A$1:$BF$391,MATCH($C87,'在庫使用計画 (法人)'!$C$1:$C$391,0),MATCH(AV$1,'在庫使用計画 (法人)'!$A$1:$BF$1,0))*1,0),
_xlpm._合計,_xlpm._一般検索+_xlpm._法人検索,
IF(_xlpm._合計=0,"",_xlpm._合計)
)</f>
        <v/>
      </c>
      <c r="AW87" s="224" t="str">
        <f>_xlfn.LET(
_xlpm._一般検索,IFERROR(INDEX('在庫使用計画 (一般)'!$A$1:$BF$391,MATCH($C87,'在庫使用計画 (一般)'!$C$1:$C$391,0),MATCH(AW$1,'在庫使用計画 (一般)'!$A$1:$BF$1,0))*1,0),
_xlpm._法人検索,IFERROR(INDEX('在庫使用計画 (法人)'!$A$1:$BF$391,MATCH($C87,'在庫使用計画 (法人)'!$C$1:$C$391,0),MATCH(AW$1,'在庫使用計画 (法人)'!$A$1:$BF$1,0))*1,0),
_xlpm._合計,_xlpm._一般検索+_xlpm._法人検索,
IF(_xlpm._合計=0,"",_xlpm._合計)
)</f>
        <v/>
      </c>
      <c r="AX87" s="224" t="str">
        <f>_xlfn.LET(
_xlpm._一般検索,IFERROR(INDEX('在庫使用計画 (一般)'!$A$1:$BF$391,MATCH($C87,'在庫使用計画 (一般)'!$C$1:$C$391,0),MATCH(AX$1,'在庫使用計画 (一般)'!$A$1:$BF$1,0))*1,0),
_xlpm._法人検索,IFERROR(INDEX('在庫使用計画 (法人)'!$A$1:$BF$391,MATCH($C87,'在庫使用計画 (法人)'!$C$1:$C$391,0),MATCH(AX$1,'在庫使用計画 (法人)'!$A$1:$BF$1,0))*1,0),
_xlpm._合計,_xlpm._一般検索+_xlpm._法人検索,
IF(_xlpm._合計=0,"",_xlpm._合計)
)</f>
        <v/>
      </c>
      <c r="AY87" s="224" t="str">
        <f>_xlfn.LET(
_xlpm._一般検索,IFERROR(INDEX('在庫使用計画 (一般)'!$A$1:$BF$391,MATCH($C87,'在庫使用計画 (一般)'!$C$1:$C$391,0),MATCH(AY$1,'在庫使用計画 (一般)'!$A$1:$BF$1,0))*1,0),
_xlpm._法人検索,IFERROR(INDEX('在庫使用計画 (法人)'!$A$1:$BF$391,MATCH($C87,'在庫使用計画 (法人)'!$C$1:$C$391,0),MATCH(AY$1,'在庫使用計画 (法人)'!$A$1:$BF$1,0))*1,0),
_xlpm._合計,_xlpm._一般検索+_xlpm._法人検索,
IF(_xlpm._合計=0,"",_xlpm._合計)
)</f>
        <v/>
      </c>
      <c r="AZ87" s="224" t="str">
        <f>_xlfn.LET(
_xlpm._一般検索,IFERROR(INDEX('在庫使用計画 (一般)'!$A$1:$BF$391,MATCH($C87,'在庫使用計画 (一般)'!$C$1:$C$391,0),MATCH(AZ$1,'在庫使用計画 (一般)'!$A$1:$BF$1,0))*1,0),
_xlpm._法人検索,IFERROR(INDEX('在庫使用計画 (法人)'!$A$1:$BF$391,MATCH($C87,'在庫使用計画 (法人)'!$C$1:$C$391,0),MATCH(AZ$1,'在庫使用計画 (法人)'!$A$1:$BF$1,0))*1,0),
_xlpm._合計,_xlpm._一般検索+_xlpm._法人検索,
IF(_xlpm._合計=0,"",_xlpm._合計)
)</f>
        <v/>
      </c>
      <c r="BA87" s="224" t="str">
        <f>_xlfn.LET(
_xlpm._一般検索,IFERROR(INDEX('在庫使用計画 (一般)'!$A$1:$BF$391,MATCH($C87,'在庫使用計画 (一般)'!$C$1:$C$391,0),MATCH(BA$1,'在庫使用計画 (一般)'!$A$1:$BF$1,0))*1,0),
_xlpm._法人検索,IFERROR(INDEX('在庫使用計画 (法人)'!$A$1:$BF$391,MATCH($C87,'在庫使用計画 (法人)'!$C$1:$C$391,0),MATCH(BA$1,'在庫使用計画 (法人)'!$A$1:$BF$1,0))*1,0),
_xlpm._合計,_xlpm._一般検索+_xlpm._法人検索,
IF(_xlpm._合計=0,"",_xlpm._合計)
)</f>
        <v/>
      </c>
      <c r="BB87" s="224" t="str">
        <f>_xlfn.LET(
_xlpm._一般検索,IFERROR(INDEX('在庫使用計画 (一般)'!$A$1:$BF$391,MATCH($C87,'在庫使用計画 (一般)'!$C$1:$C$391,0),MATCH(BB$1,'在庫使用計画 (一般)'!$A$1:$BF$1,0))*1,0),
_xlpm._法人検索,IFERROR(INDEX('在庫使用計画 (法人)'!$A$1:$BF$391,MATCH($C87,'在庫使用計画 (法人)'!$C$1:$C$391,0),MATCH(BB$1,'在庫使用計画 (法人)'!$A$1:$BF$1,0))*1,0),
_xlpm._合計,_xlpm._一般検索+_xlpm._法人検索,
IF(_xlpm._合計=0,"",_xlpm._合計)
)</f>
        <v/>
      </c>
      <c r="BC87" s="224" t="str">
        <f>_xlfn.LET(
_xlpm._一般検索,IFERROR(INDEX('在庫使用計画 (一般)'!$A$1:$BF$391,MATCH($C87,'在庫使用計画 (一般)'!$C$1:$C$391,0),MATCH(BC$1,'在庫使用計画 (一般)'!$A$1:$BF$1,0))*1,0),
_xlpm._法人検索,IFERROR(INDEX('在庫使用計画 (法人)'!$A$1:$BF$391,MATCH($C87,'在庫使用計画 (法人)'!$C$1:$C$391,0),MATCH(BC$1,'在庫使用計画 (法人)'!$A$1:$BF$1,0))*1,0),
_xlpm._合計,_xlpm._一般検索+_xlpm._法人検索,
IF(_xlpm._合計=0,"",_xlpm._合計)
)</f>
        <v/>
      </c>
      <c r="BD87" s="224" t="str">
        <f>_xlfn.LET(
_xlpm._一般検索,IFERROR(INDEX('在庫使用計画 (一般)'!$A$1:$BF$391,MATCH($C87,'在庫使用計画 (一般)'!$C$1:$C$391,0),MATCH(BD$1,'在庫使用計画 (一般)'!$A$1:$BF$1,0))*1,0),
_xlpm._法人検索,IFERROR(INDEX('在庫使用計画 (法人)'!$A$1:$BF$391,MATCH($C87,'在庫使用計画 (法人)'!$C$1:$C$391,0),MATCH(BD$1,'在庫使用計画 (法人)'!$A$1:$BF$1,0))*1,0),
_xlpm._合計,_xlpm._一般検索+_xlpm._法人検索,
IF(_xlpm._合計=0,"",_xlpm._合計)
)</f>
        <v/>
      </c>
      <c r="BE87" s="224" t="str">
        <f>_xlfn.LET(
_xlpm._一般検索,IFERROR(INDEX('在庫使用計画 (一般)'!$A$1:$BF$391,MATCH($C87,'在庫使用計画 (一般)'!$C$1:$C$391,0),MATCH(BE$1,'在庫使用計画 (一般)'!$A$1:$BF$1,0))*1,0),
_xlpm._法人検索,IFERROR(INDEX('在庫使用計画 (法人)'!$A$1:$BF$391,MATCH($C87,'在庫使用計画 (法人)'!$C$1:$C$391,0),MATCH(BE$1,'在庫使用計画 (法人)'!$A$1:$BF$1,0))*1,0),
_xlpm._合計,_xlpm._一般検索+_xlpm._法人検索,
IF(_xlpm._合計=0,"",_xlpm._合計)
)</f>
        <v/>
      </c>
      <c r="BF87" s="224" t="str">
        <f>_xlfn.LET(
_xlpm._一般検索,IFERROR(INDEX('在庫使用計画 (一般)'!$A$1:$BF$391,MATCH($C87,'在庫使用計画 (一般)'!$C$1:$C$391,0),MATCH(BF$1,'在庫使用計画 (一般)'!$A$1:$BF$1,0))*1,0),
_xlpm._法人検索,IFERROR(INDEX('在庫使用計画 (法人)'!$A$1:$BF$391,MATCH($C87,'在庫使用計画 (法人)'!$C$1:$C$391,0),MATCH(BF$1,'在庫使用計画 (法人)'!$A$1:$BF$1,0))*1,0),
_xlpm._合計,_xlpm._一般検索+_xlpm._法人検索,
IF(_xlpm._合計=0,"",_xlpm._合計)
)</f>
        <v/>
      </c>
      <c r="BG87" s="237" t="str">
        <f>_xlfn.LET(
_xlpm._一般検索,IFERROR(INDEX('在庫使用計画 (一般)'!$A$1:$BF$391,MATCH($C87,'在庫使用計画 (一般)'!$C$1:$C$391,0),MATCH(BG$1,'在庫使用計画 (一般)'!$A$1:$BF$1,0))*1,0),
_xlpm._法人検索,IFERROR(INDEX('在庫使用計画 (法人)'!$A$1:$BF$391,MATCH($C87,'在庫使用計画 (法人)'!$C$1:$C$391,0),MATCH(BG$1,'在庫使用計画 (法人)'!$A$1:$BF$1,0))*1,0),
_xlpm._合計,_xlpm._一般検索+_xlpm._法人検索,
IF(_xlpm._合計=0,"",_xlpm._合計)
)</f>
        <v/>
      </c>
      <c r="BH87" s="804" t="str">
        <f>_xlfn.LET(
_xlpm._一般検索,IFERROR(INDEX('在庫使用計画 (一般)'!$A$1:$BF$391,MATCH($C87,'在庫使用計画 (一般)'!$C$1:$C$391,0),MATCH(BH$1,'在庫使用計画 (一般)'!$A$1:$BF$1,0))*1,0),
_xlpm._法人検索,IFERROR(INDEX('在庫使用計画 (法人)'!$A$1:$BF$391,MATCH($C87,'在庫使用計画 (法人)'!$C$1:$C$391,0),MATCH(BH$1,'在庫使用計画 (法人)'!$A$1:$BF$1,0))*1,0),
_xlpm._合計,_xlpm._一般検索+_xlpm._法人検索,
IF(_xlpm._合計=0,"",_xlpm._合計)
)</f>
        <v/>
      </c>
      <c r="BI87" s="224" t="str">
        <f>_xlfn.LET(
_xlpm._一般検索,IFERROR(INDEX('在庫使用計画 (一般)'!$A$1:$BF$391,MATCH($C87,'在庫使用計画 (一般)'!$C$1:$C$391,0),MATCH(BI$1,'在庫使用計画 (一般)'!$A$1:$BF$1,0))*1,0),
_xlpm._法人検索,IFERROR(INDEX('在庫使用計画 (法人)'!$A$1:$BF$391,MATCH($C87,'在庫使用計画 (法人)'!$C$1:$C$391,0),MATCH(BI$1,'在庫使用計画 (法人)'!$A$1:$BF$1,0))*1,0),
_xlpm._合計,_xlpm._一般検索+_xlpm._法人検索,
IF(_xlpm._合計=0,"",_xlpm._合計)
)</f>
        <v/>
      </c>
      <c r="BJ87" s="224" t="str">
        <f>_xlfn.LET(
_xlpm._一般検索,IFERROR(INDEX('在庫使用計画 (一般)'!$A$1:$BF$391,MATCH($C87,'在庫使用計画 (一般)'!$C$1:$C$391,0),MATCH(BJ$1,'在庫使用計画 (一般)'!$A$1:$BF$1,0))*1,0),
_xlpm._法人検索,IFERROR(INDEX('在庫使用計画 (法人)'!$A$1:$BF$391,MATCH($C87,'在庫使用計画 (法人)'!$C$1:$C$391,0),MATCH(BJ$1,'在庫使用計画 (法人)'!$A$1:$BF$1,0))*1,0),
_xlpm._合計,_xlpm._一般検索+_xlpm._法人検索,
IF(_xlpm._合計=0,"",_xlpm._合計)
)</f>
        <v/>
      </c>
      <c r="BK87" s="224" t="str">
        <f>_xlfn.LET(
_xlpm._一般検索,IFERROR(INDEX('在庫使用計画 (一般)'!$A$1:$BF$391,MATCH($C87,'在庫使用計画 (一般)'!$C$1:$C$391,0),MATCH(BK$1,'在庫使用計画 (一般)'!$A$1:$BF$1,0))*1,0),
_xlpm._法人検索,IFERROR(INDEX('在庫使用計画 (法人)'!$A$1:$BF$391,MATCH($C87,'在庫使用計画 (法人)'!$C$1:$C$391,0),MATCH(BK$1,'在庫使用計画 (法人)'!$A$1:$BF$1,0))*1,0),
_xlpm._合計,_xlpm._一般検索+_xlpm._法人検索,
IF(_xlpm._合計=0,"",_xlpm._合計)
)</f>
        <v/>
      </c>
      <c r="BL87" s="224" t="str">
        <f>_xlfn.LET(
_xlpm._一般検索,IFERROR(INDEX('在庫使用計画 (一般)'!$A$1:$BF$391,MATCH($C87,'在庫使用計画 (一般)'!$C$1:$C$391,0),MATCH(BL$1,'在庫使用計画 (一般)'!$A$1:$BF$1,0))*1,0),
_xlpm._法人検索,IFERROR(INDEX('在庫使用計画 (法人)'!$A$1:$BF$391,MATCH($C87,'在庫使用計画 (法人)'!$C$1:$C$391,0),MATCH(BL$1,'在庫使用計画 (法人)'!$A$1:$BF$1,0))*1,0),
_xlpm._合計,_xlpm._一般検索+_xlpm._法人検索,
IF(_xlpm._合計=0,"",_xlpm._合計)
)</f>
        <v/>
      </c>
      <c r="BM87" s="224" t="str">
        <f>_xlfn.LET(
_xlpm._一般検索,IFERROR(INDEX('在庫使用計画 (一般)'!$A$1:$BF$391,MATCH($C87,'在庫使用計画 (一般)'!$C$1:$C$391,0),MATCH(BM$1,'在庫使用計画 (一般)'!$A$1:$BF$1,0))*1,0),
_xlpm._法人検索,IFERROR(INDEX('在庫使用計画 (法人)'!$A$1:$BF$391,MATCH($C87,'在庫使用計画 (法人)'!$C$1:$C$391,0),MATCH(BM$1,'在庫使用計画 (法人)'!$A$1:$BF$1,0))*1,0),
_xlpm._合計,_xlpm._一般検索+_xlpm._法人検索,
IF(_xlpm._合計=0,"",_xlpm._合計)
)</f>
        <v/>
      </c>
      <c r="BN87" s="224" t="str">
        <f>_xlfn.LET(
_xlpm._一般検索,IFERROR(INDEX('在庫使用計画 (一般)'!$A$1:$BF$391,MATCH($C87,'在庫使用計画 (一般)'!$C$1:$C$391,0),MATCH(BN$1,'在庫使用計画 (一般)'!$A$1:$BF$1,0))*1,0),
_xlpm._法人検索,IFERROR(INDEX('在庫使用計画 (法人)'!$A$1:$BF$391,MATCH($C87,'在庫使用計画 (法人)'!$C$1:$C$391,0),MATCH(BN$1,'在庫使用計画 (法人)'!$A$1:$BF$1,0))*1,0),
_xlpm._合計,_xlpm._一般検索+_xlpm._法人検索,
IF(_xlpm._合計=0,"",_xlpm._合計)
)</f>
        <v/>
      </c>
      <c r="BO87" s="224" t="str">
        <f>_xlfn.LET(
_xlpm._一般検索,IFERROR(INDEX('在庫使用計画 (一般)'!$A$1:$BF$391,MATCH($C87,'在庫使用計画 (一般)'!$C$1:$C$391,0),MATCH(BO$1,'在庫使用計画 (一般)'!$A$1:$BF$1,0))*1,0),
_xlpm._法人検索,IFERROR(INDEX('在庫使用計画 (法人)'!$A$1:$BF$391,MATCH($C87,'在庫使用計画 (法人)'!$C$1:$C$391,0),MATCH(BO$1,'在庫使用計画 (法人)'!$A$1:$BF$1,0))*1,0),
_xlpm._合計,_xlpm._一般検索+_xlpm._法人検索,
IF(_xlpm._合計=0,"",_xlpm._合計)
)</f>
        <v/>
      </c>
      <c r="BP87" s="224" t="str">
        <f>_xlfn.LET(
_xlpm._一般検索,IFERROR(INDEX('在庫使用計画 (一般)'!$A$1:$BF$391,MATCH($C87,'在庫使用計画 (一般)'!$C$1:$C$391,0),MATCH(BP$1,'在庫使用計画 (一般)'!$A$1:$BF$1,0))*1,0),
_xlpm._法人検索,IFERROR(INDEX('在庫使用計画 (法人)'!$A$1:$BF$391,MATCH($C87,'在庫使用計画 (法人)'!$C$1:$C$391,0),MATCH(BP$1,'在庫使用計画 (法人)'!$A$1:$BF$1,0))*1,0),
_xlpm._合計,_xlpm._一般検索+_xlpm._法人検索,
IF(_xlpm._合計=0,"",_xlpm._合計)
)</f>
        <v/>
      </c>
      <c r="BQ87" s="224" t="str">
        <f>_xlfn.LET(
_xlpm._一般検索,IFERROR(INDEX('在庫使用計画 (一般)'!$A$1:$BF$391,MATCH($C87,'在庫使用計画 (一般)'!$C$1:$C$391,0),MATCH(BQ$1,'在庫使用計画 (一般)'!$A$1:$BF$1,0))*1,0),
_xlpm._法人検索,IFERROR(INDEX('在庫使用計画 (法人)'!$A$1:$BF$391,MATCH($C87,'在庫使用計画 (法人)'!$C$1:$C$391,0),MATCH(BQ$1,'在庫使用計画 (法人)'!$A$1:$BF$1,0))*1,0),
_xlpm._合計,_xlpm._一般検索+_xlpm._法人検索,
IF(_xlpm._合計=0,"",_xlpm._合計)
)</f>
        <v/>
      </c>
      <c r="BR87" s="224" t="str">
        <f>_xlfn.LET(
_xlpm._一般検索,IFERROR(INDEX('在庫使用計画 (一般)'!$A$1:$BF$391,MATCH($C87,'在庫使用計画 (一般)'!$C$1:$C$391,0),MATCH(BR$1,'在庫使用計画 (一般)'!$A$1:$BF$1,0))*1,0),
_xlpm._法人検索,IFERROR(INDEX('在庫使用計画 (法人)'!$A$1:$BF$391,MATCH($C87,'在庫使用計画 (法人)'!$C$1:$C$391,0),MATCH(BR$1,'在庫使用計画 (法人)'!$A$1:$BF$1,0))*1,0),
_xlpm._合計,_xlpm._一般検索+_xlpm._法人検索,
IF(_xlpm._合計=0,"",_xlpm._合計)
)</f>
        <v/>
      </c>
      <c r="BS87" s="805" t="str">
        <f>_xlfn.LET(
_xlpm._一般検索,IFERROR(INDEX('在庫使用計画 (一般)'!$A$1:$BF$391,MATCH($C87,'在庫使用計画 (一般)'!$C$1:$C$391,0),MATCH(BS$1,'在庫使用計画 (一般)'!$A$1:$BF$1,0))*1,0),
_xlpm._法人検索,IFERROR(INDEX('在庫使用計画 (法人)'!$A$1:$BF$391,MATCH($C87,'在庫使用計画 (法人)'!$C$1:$C$391,0),MATCH(BS$1,'在庫使用計画 (法人)'!$A$1:$BF$1,0))*1,0),
_xlpm._合計,_xlpm._一般検索+_xlpm._法人検索,
IF(_xlpm._合計=0,"",_xlpm._合計)
)</f>
        <v/>
      </c>
      <c r="BT87" s="21"/>
    </row>
    <row r="88" spans="1:72" customFormat="1" ht="18.75" customHeight="1">
      <c r="A88" s="2064" t="s">
        <v>1473</v>
      </c>
      <c r="B88" s="14" t="str">
        <v>CLE-NL45-1355U-UMA-L6-TPM DDR5 Thirdwave</v>
      </c>
      <c r="C88" s="701" t="s">
        <v>685</v>
      </c>
      <c r="D88" s="2166">
        <v>290</v>
      </c>
      <c r="E88" s="702" t="s">
        <v>1466</v>
      </c>
      <c r="F88" s="704" t="s">
        <v>20</v>
      </c>
      <c r="G88" s="74">
        <v>152</v>
      </c>
      <c r="H88" s="38">
        <v>152</v>
      </c>
      <c r="I88" s="74" cm="1">
        <f t="array" ref="I88">IF($C88="","",
_xlfn.LET(
  _xlpm._見出し,$A$1:$BT$1,
  _xlpm._行,$A88:$BT88,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113</v>
      </c>
      <c r="J88" s="74" cm="1">
        <f t="array" ref="J88">_xlfn.LET(
  _xlpm._見出し,$A$1:$BS$1,
  _xlpm._行,$A88:$BS88,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IF($C88="","",_xlpm._四点五月計画合計)
)</f>
        <v>82.5</v>
      </c>
      <c r="K88" s="1458" t="str" cm="1">
        <f t="array" ref="K88">_xlfn.IFS(
  $C88="","",
  $G88="","発売前？",
  $G88=0,"在庫なし",
  TRUE,
  IFERROR(
    _xlfn.LET(
      _xlpm._在庫注残,     $G88,
      _xlpm._しきい値,     _xlpm._在庫注残 * 0.75,
      _xlpm._見出し元,     $L$1:$BU$1,
      _xlpm._計画,         $L88:$BU88,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合計111、在庫+注残152のため不足</v>
      </c>
      <c r="L88" s="705"/>
      <c r="M88" s="705"/>
      <c r="N88" s="705"/>
      <c r="O88" s="705"/>
      <c r="P88" s="705"/>
      <c r="Q88" s="705"/>
      <c r="R88" s="705"/>
      <c r="S88" s="706"/>
      <c r="T88" s="351"/>
      <c r="U88" s="351"/>
      <c r="V88" s="707"/>
      <c r="W88" s="349"/>
      <c r="X88" s="708"/>
      <c r="Y88" s="708"/>
      <c r="Z88" s="709"/>
      <c r="AA88" s="709"/>
      <c r="AB88" s="709"/>
      <c r="AC88" s="710"/>
      <c r="AD88" s="709"/>
      <c r="AE88" s="224"/>
      <c r="AF88" s="224" t="s">
        <v>21</v>
      </c>
      <c r="AG88" s="224" t="s">
        <v>21</v>
      </c>
      <c r="AH88" s="224" t="s">
        <v>21</v>
      </c>
      <c r="AI88" s="237" t="s">
        <v>21</v>
      </c>
      <c r="AJ88" s="804" t="s">
        <v>21</v>
      </c>
      <c r="AK88" s="224" t="s">
        <v>21</v>
      </c>
      <c r="AL88" s="224" t="s">
        <v>21</v>
      </c>
      <c r="AM88" s="224">
        <v>60</v>
      </c>
      <c r="AN88" s="224">
        <f>_xlfn.LET(
_xlpm._一般検索,IFERROR(INDEX('在庫使用計画 (一般)'!$A$1:$BF$391,MATCH($C88,'在庫使用計画 (一般)'!$C$1:$C$391,0),MATCH(AN$1,'在庫使用計画 (一般)'!$A$1:$BF$1,0))*1,0),
_xlpm._法人検索,IFERROR(INDEX('在庫使用計画 (法人)'!$A$1:$BF$391,MATCH($C88,'在庫使用計画 (法人)'!$C$1:$C$391,0),MATCH(AN$1,'在庫使用計画 (法人)'!$A$1:$BF$1,0))*1,0),
_xlpm._合計,_xlpm._一般検索+_xlpm._法人検索,
IF(_xlpm._合計=0,"",_xlpm._合計)
)</f>
        <v>50</v>
      </c>
      <c r="AO88" s="224">
        <f>_xlfn.LET(
_xlpm._一般検索,IFERROR(INDEX('在庫使用計画 (一般)'!$A$1:$BF$391,MATCH($C88,'在庫使用計画 (一般)'!$C$1:$C$391,0),MATCH(AO$1,'在庫使用計画 (一般)'!$A$1:$BF$1,0))*1,0),
_xlpm._法人検索,IFERROR(INDEX('在庫使用計画 (法人)'!$A$1:$BF$391,MATCH($C88,'在庫使用計画 (法人)'!$C$1:$C$391,0),MATCH(AO$1,'在庫使用計画 (法人)'!$A$1:$BF$1,0))*1,0),
_xlpm._合計,_xlpm._一般検索+_xlpm._法人検索,
IF(_xlpm._合計=0,"",_xlpm._合計)
)</f>
        <v>48</v>
      </c>
      <c r="AP88" s="224">
        <f>_xlfn.LET(
_xlpm._一般検索,IFERROR(INDEX('在庫使用計画 (一般)'!$A$1:$BF$391,MATCH($C88,'在庫使用計画 (一般)'!$C$1:$C$391,0),MATCH(AP$1,'在庫使用計画 (一般)'!$A$1:$BF$1,0))*1,0),
_xlpm._法人検索,IFERROR(INDEX('在庫使用計画 (法人)'!$A$1:$BF$391,MATCH($C88,'在庫使用計画 (法人)'!$C$1:$C$391,0),MATCH(AP$1,'在庫使用計画 (法人)'!$A$1:$BF$1,0))*1,0),
_xlpm._合計,_xlpm._一般検索+_xlpm._法人検索,
IF(_xlpm._合計=0,"",_xlpm._合計)
)</f>
        <v>61</v>
      </c>
      <c r="AQ88" s="224">
        <f>_xlfn.LET(
_xlpm._一般検索,IFERROR(INDEX('在庫使用計画 (一般)'!$A$1:$BF$391,MATCH($C88,'在庫使用計画 (一般)'!$C$1:$C$391,0),MATCH(AQ$1,'在庫使用計画 (一般)'!$A$1:$BF$1,0))*1,0),
_xlpm._法人検索,IFERROR(INDEX('在庫使用計画 (法人)'!$A$1:$BF$391,MATCH($C88,'在庫使用計画 (法人)'!$C$1:$C$391,0),MATCH(AQ$1,'在庫使用計画 (法人)'!$A$1:$BF$1,0))*1,0),
_xlpm._合計,_xlpm._一般検索+_xlpm._法人検索,
IF(_xlpm._合計=0,"",_xlpm._合計)
)</f>
        <v>52</v>
      </c>
      <c r="AR88" s="224" t="str">
        <f>_xlfn.LET(
_xlpm._一般検索,IFERROR(INDEX('在庫使用計画 (一般)'!$A$1:$BF$391,MATCH($C88,'在庫使用計画 (一般)'!$C$1:$C$391,0),MATCH(AR$1,'在庫使用計画 (一般)'!$A$1:$BF$1,0))*1,0),
_xlpm._法人検索,IFERROR(INDEX('在庫使用計画 (法人)'!$A$1:$BF$391,MATCH($C88,'在庫使用計画 (法人)'!$C$1:$C$391,0),MATCH(AR$1,'在庫使用計画 (法人)'!$A$1:$BF$1,0))*1,0),
_xlpm._合計,_xlpm._一般検索+_xlpm._法人検索,
IF(_xlpm._合計=0,"",_xlpm._合計)
)</f>
        <v/>
      </c>
      <c r="AS88" s="224" t="str">
        <f>_xlfn.LET(
_xlpm._一般検索,IFERROR(INDEX('在庫使用計画 (一般)'!$A$1:$BF$391,MATCH($C88,'在庫使用計画 (一般)'!$C$1:$C$391,0),MATCH(AS$1,'在庫使用計画 (一般)'!$A$1:$BF$1,0))*1,0),
_xlpm._法人検索,IFERROR(INDEX('在庫使用計画 (法人)'!$A$1:$BF$391,MATCH($C88,'在庫使用計画 (法人)'!$C$1:$C$391,0),MATCH(AS$1,'在庫使用計画 (法人)'!$A$1:$BF$1,0))*1,0),
_xlpm._合計,_xlpm._一般検索+_xlpm._法人検索,
IF(_xlpm._合計=0,"",_xlpm._合計)
)</f>
        <v/>
      </c>
      <c r="AT88" s="224" t="str">
        <f>_xlfn.LET(
_xlpm._一般検索,IFERROR(INDEX('在庫使用計画 (一般)'!$A$1:$BF$391,MATCH($C88,'在庫使用計画 (一般)'!$C$1:$C$391,0),MATCH(AT$1,'在庫使用計画 (一般)'!$A$1:$BF$1,0))*1,0),
_xlpm._法人検索,IFERROR(INDEX('在庫使用計画 (法人)'!$A$1:$BF$391,MATCH($C88,'在庫使用計画 (法人)'!$C$1:$C$391,0),MATCH(AT$1,'在庫使用計画 (法人)'!$A$1:$BF$1,0))*1,0),
_xlpm._合計,_xlpm._一般検索+_xlpm._法人検索,
IF(_xlpm._合計=0,"",_xlpm._合計)
)</f>
        <v/>
      </c>
      <c r="AU88" s="805" t="str">
        <f>_xlfn.LET(
_xlpm._一般検索,IFERROR(INDEX('在庫使用計画 (一般)'!$A$1:$BF$391,MATCH($C88,'在庫使用計画 (一般)'!$C$1:$C$391,0),MATCH(AU$1,'在庫使用計画 (一般)'!$A$1:$BF$1,0))*1,0),
_xlpm._法人検索,IFERROR(INDEX('在庫使用計画 (法人)'!$A$1:$BF$391,MATCH($C88,'在庫使用計画 (法人)'!$C$1:$C$391,0),MATCH(AU$1,'在庫使用計画 (法人)'!$A$1:$BF$1,0))*1,0),
_xlpm._合計,_xlpm._一般検索+_xlpm._法人検索,
IF(_xlpm._合計=0,"",_xlpm._合計)
)</f>
        <v/>
      </c>
      <c r="AV88" s="244" t="str">
        <f>_xlfn.LET(
_xlpm._一般検索,IFERROR(INDEX('在庫使用計画 (一般)'!$A$1:$BF$391,MATCH($C88,'在庫使用計画 (一般)'!$C$1:$C$391,0),MATCH(AV$1,'在庫使用計画 (一般)'!$A$1:$BF$1,0))*1,0),
_xlpm._法人検索,IFERROR(INDEX('在庫使用計画 (法人)'!$A$1:$BF$391,MATCH($C88,'在庫使用計画 (法人)'!$C$1:$C$391,0),MATCH(AV$1,'在庫使用計画 (法人)'!$A$1:$BF$1,0))*1,0),
_xlpm._合計,_xlpm._一般検索+_xlpm._法人検索,
IF(_xlpm._合計=0,"",_xlpm._合計)
)</f>
        <v/>
      </c>
      <c r="AW88" s="224" t="str">
        <f>_xlfn.LET(
_xlpm._一般検索,IFERROR(INDEX('在庫使用計画 (一般)'!$A$1:$BF$391,MATCH($C88,'在庫使用計画 (一般)'!$C$1:$C$391,0),MATCH(AW$1,'在庫使用計画 (一般)'!$A$1:$BF$1,0))*1,0),
_xlpm._法人検索,IFERROR(INDEX('在庫使用計画 (法人)'!$A$1:$BF$391,MATCH($C88,'在庫使用計画 (法人)'!$C$1:$C$391,0),MATCH(AW$1,'在庫使用計画 (法人)'!$A$1:$BF$1,0))*1,0),
_xlpm._合計,_xlpm._一般検索+_xlpm._法人検索,
IF(_xlpm._合計=0,"",_xlpm._合計)
)</f>
        <v/>
      </c>
      <c r="AX88" s="224" t="str">
        <f>_xlfn.LET(
_xlpm._一般検索,IFERROR(INDEX('在庫使用計画 (一般)'!$A$1:$BF$391,MATCH($C88,'在庫使用計画 (一般)'!$C$1:$C$391,0),MATCH(AX$1,'在庫使用計画 (一般)'!$A$1:$BF$1,0))*1,0),
_xlpm._法人検索,IFERROR(INDEX('在庫使用計画 (法人)'!$A$1:$BF$391,MATCH($C88,'在庫使用計画 (法人)'!$C$1:$C$391,0),MATCH(AX$1,'在庫使用計画 (法人)'!$A$1:$BF$1,0))*1,0),
_xlpm._合計,_xlpm._一般検索+_xlpm._法人検索,
IF(_xlpm._合計=0,"",_xlpm._合計)
)</f>
        <v/>
      </c>
      <c r="AY88" s="224" t="str">
        <f>_xlfn.LET(
_xlpm._一般検索,IFERROR(INDEX('在庫使用計画 (一般)'!$A$1:$BF$391,MATCH($C88,'在庫使用計画 (一般)'!$C$1:$C$391,0),MATCH(AY$1,'在庫使用計画 (一般)'!$A$1:$BF$1,0))*1,0),
_xlpm._法人検索,IFERROR(INDEX('在庫使用計画 (法人)'!$A$1:$BF$391,MATCH($C88,'在庫使用計画 (法人)'!$C$1:$C$391,0),MATCH(AY$1,'在庫使用計画 (法人)'!$A$1:$BF$1,0))*1,0),
_xlpm._合計,_xlpm._一般検索+_xlpm._法人検索,
IF(_xlpm._合計=0,"",_xlpm._合計)
)</f>
        <v/>
      </c>
      <c r="AZ88" s="224" t="str">
        <f>_xlfn.LET(
_xlpm._一般検索,IFERROR(INDEX('在庫使用計画 (一般)'!$A$1:$BF$391,MATCH($C88,'在庫使用計画 (一般)'!$C$1:$C$391,0),MATCH(AZ$1,'在庫使用計画 (一般)'!$A$1:$BF$1,0))*1,0),
_xlpm._法人検索,IFERROR(INDEX('在庫使用計画 (法人)'!$A$1:$BF$391,MATCH($C88,'在庫使用計画 (法人)'!$C$1:$C$391,0),MATCH(AZ$1,'在庫使用計画 (法人)'!$A$1:$BF$1,0))*1,0),
_xlpm._合計,_xlpm._一般検索+_xlpm._法人検索,
IF(_xlpm._合計=0,"",_xlpm._合計)
)</f>
        <v/>
      </c>
      <c r="BA88" s="224" t="str">
        <f>_xlfn.LET(
_xlpm._一般検索,IFERROR(INDEX('在庫使用計画 (一般)'!$A$1:$BF$391,MATCH($C88,'在庫使用計画 (一般)'!$C$1:$C$391,0),MATCH(BA$1,'在庫使用計画 (一般)'!$A$1:$BF$1,0))*1,0),
_xlpm._法人検索,IFERROR(INDEX('在庫使用計画 (法人)'!$A$1:$BF$391,MATCH($C88,'在庫使用計画 (法人)'!$C$1:$C$391,0),MATCH(BA$1,'在庫使用計画 (法人)'!$A$1:$BF$1,0))*1,0),
_xlpm._合計,_xlpm._一般検索+_xlpm._法人検索,
IF(_xlpm._合計=0,"",_xlpm._合計)
)</f>
        <v/>
      </c>
      <c r="BB88" s="224" t="str">
        <f>_xlfn.LET(
_xlpm._一般検索,IFERROR(INDEX('在庫使用計画 (一般)'!$A$1:$BF$391,MATCH($C88,'在庫使用計画 (一般)'!$C$1:$C$391,0),MATCH(BB$1,'在庫使用計画 (一般)'!$A$1:$BF$1,0))*1,0),
_xlpm._法人検索,IFERROR(INDEX('在庫使用計画 (法人)'!$A$1:$BF$391,MATCH($C88,'在庫使用計画 (法人)'!$C$1:$C$391,0),MATCH(BB$1,'在庫使用計画 (法人)'!$A$1:$BF$1,0))*1,0),
_xlpm._合計,_xlpm._一般検索+_xlpm._法人検索,
IF(_xlpm._合計=0,"",_xlpm._合計)
)</f>
        <v/>
      </c>
      <c r="BC88" s="224" t="str">
        <f>_xlfn.LET(
_xlpm._一般検索,IFERROR(INDEX('在庫使用計画 (一般)'!$A$1:$BF$391,MATCH($C88,'在庫使用計画 (一般)'!$C$1:$C$391,0),MATCH(BC$1,'在庫使用計画 (一般)'!$A$1:$BF$1,0))*1,0),
_xlpm._法人検索,IFERROR(INDEX('在庫使用計画 (法人)'!$A$1:$BF$391,MATCH($C88,'在庫使用計画 (法人)'!$C$1:$C$391,0),MATCH(BC$1,'在庫使用計画 (法人)'!$A$1:$BF$1,0))*1,0),
_xlpm._合計,_xlpm._一般検索+_xlpm._法人検索,
IF(_xlpm._合計=0,"",_xlpm._合計)
)</f>
        <v/>
      </c>
      <c r="BD88" s="224" t="str">
        <f>_xlfn.LET(
_xlpm._一般検索,IFERROR(INDEX('在庫使用計画 (一般)'!$A$1:$BF$391,MATCH($C88,'在庫使用計画 (一般)'!$C$1:$C$391,0),MATCH(BD$1,'在庫使用計画 (一般)'!$A$1:$BF$1,0))*1,0),
_xlpm._法人検索,IFERROR(INDEX('在庫使用計画 (法人)'!$A$1:$BF$391,MATCH($C88,'在庫使用計画 (法人)'!$C$1:$C$391,0),MATCH(BD$1,'在庫使用計画 (法人)'!$A$1:$BF$1,0))*1,0),
_xlpm._合計,_xlpm._一般検索+_xlpm._法人検索,
IF(_xlpm._合計=0,"",_xlpm._合計)
)</f>
        <v/>
      </c>
      <c r="BE88" s="224" t="str">
        <f>_xlfn.LET(
_xlpm._一般検索,IFERROR(INDEX('在庫使用計画 (一般)'!$A$1:$BF$391,MATCH($C88,'在庫使用計画 (一般)'!$C$1:$C$391,0),MATCH(BE$1,'在庫使用計画 (一般)'!$A$1:$BF$1,0))*1,0),
_xlpm._法人検索,IFERROR(INDEX('在庫使用計画 (法人)'!$A$1:$BF$391,MATCH($C88,'在庫使用計画 (法人)'!$C$1:$C$391,0),MATCH(BE$1,'在庫使用計画 (法人)'!$A$1:$BF$1,0))*1,0),
_xlpm._合計,_xlpm._一般検索+_xlpm._法人検索,
IF(_xlpm._合計=0,"",_xlpm._合計)
)</f>
        <v/>
      </c>
      <c r="BF88" s="224" t="str">
        <f>_xlfn.LET(
_xlpm._一般検索,IFERROR(INDEX('在庫使用計画 (一般)'!$A$1:$BF$391,MATCH($C88,'在庫使用計画 (一般)'!$C$1:$C$391,0),MATCH(BF$1,'在庫使用計画 (一般)'!$A$1:$BF$1,0))*1,0),
_xlpm._法人検索,IFERROR(INDEX('在庫使用計画 (法人)'!$A$1:$BF$391,MATCH($C88,'在庫使用計画 (法人)'!$C$1:$C$391,0),MATCH(BF$1,'在庫使用計画 (法人)'!$A$1:$BF$1,0))*1,0),
_xlpm._合計,_xlpm._一般検索+_xlpm._法人検索,
IF(_xlpm._合計=0,"",_xlpm._合計)
)</f>
        <v/>
      </c>
      <c r="BG88" s="237" t="str">
        <f>_xlfn.LET(
_xlpm._一般検索,IFERROR(INDEX('在庫使用計画 (一般)'!$A$1:$BF$391,MATCH($C88,'在庫使用計画 (一般)'!$C$1:$C$391,0),MATCH(BG$1,'在庫使用計画 (一般)'!$A$1:$BF$1,0))*1,0),
_xlpm._法人検索,IFERROR(INDEX('在庫使用計画 (法人)'!$A$1:$BF$391,MATCH($C88,'在庫使用計画 (法人)'!$C$1:$C$391,0),MATCH(BG$1,'在庫使用計画 (法人)'!$A$1:$BF$1,0))*1,0),
_xlpm._合計,_xlpm._一般検索+_xlpm._法人検索,
IF(_xlpm._合計=0,"",_xlpm._合計)
)</f>
        <v/>
      </c>
      <c r="BH88" s="804" t="str">
        <f>_xlfn.LET(
_xlpm._一般検索,IFERROR(INDEX('在庫使用計画 (一般)'!$A$1:$BF$391,MATCH($C88,'在庫使用計画 (一般)'!$C$1:$C$391,0),MATCH(BH$1,'在庫使用計画 (一般)'!$A$1:$BF$1,0))*1,0),
_xlpm._法人検索,IFERROR(INDEX('在庫使用計画 (法人)'!$A$1:$BF$391,MATCH($C88,'在庫使用計画 (法人)'!$C$1:$C$391,0),MATCH(BH$1,'在庫使用計画 (法人)'!$A$1:$BF$1,0))*1,0),
_xlpm._合計,_xlpm._一般検索+_xlpm._法人検索,
IF(_xlpm._合計=0,"",_xlpm._合計)
)</f>
        <v/>
      </c>
      <c r="BI88" s="224" t="str">
        <f>_xlfn.LET(
_xlpm._一般検索,IFERROR(INDEX('在庫使用計画 (一般)'!$A$1:$BF$391,MATCH($C88,'在庫使用計画 (一般)'!$C$1:$C$391,0),MATCH(BI$1,'在庫使用計画 (一般)'!$A$1:$BF$1,0))*1,0),
_xlpm._法人検索,IFERROR(INDEX('在庫使用計画 (法人)'!$A$1:$BF$391,MATCH($C88,'在庫使用計画 (法人)'!$C$1:$C$391,0),MATCH(BI$1,'在庫使用計画 (法人)'!$A$1:$BF$1,0))*1,0),
_xlpm._合計,_xlpm._一般検索+_xlpm._法人検索,
IF(_xlpm._合計=0,"",_xlpm._合計)
)</f>
        <v/>
      </c>
      <c r="BJ88" s="224" t="str">
        <f>_xlfn.LET(
_xlpm._一般検索,IFERROR(INDEX('在庫使用計画 (一般)'!$A$1:$BF$391,MATCH($C88,'在庫使用計画 (一般)'!$C$1:$C$391,0),MATCH(BJ$1,'在庫使用計画 (一般)'!$A$1:$BF$1,0))*1,0),
_xlpm._法人検索,IFERROR(INDEX('在庫使用計画 (法人)'!$A$1:$BF$391,MATCH($C88,'在庫使用計画 (法人)'!$C$1:$C$391,0),MATCH(BJ$1,'在庫使用計画 (法人)'!$A$1:$BF$1,0))*1,0),
_xlpm._合計,_xlpm._一般検索+_xlpm._法人検索,
IF(_xlpm._合計=0,"",_xlpm._合計)
)</f>
        <v/>
      </c>
      <c r="BK88" s="224" t="str">
        <f>_xlfn.LET(
_xlpm._一般検索,IFERROR(INDEX('在庫使用計画 (一般)'!$A$1:$BF$391,MATCH($C88,'在庫使用計画 (一般)'!$C$1:$C$391,0),MATCH(BK$1,'在庫使用計画 (一般)'!$A$1:$BF$1,0))*1,0),
_xlpm._法人検索,IFERROR(INDEX('在庫使用計画 (法人)'!$A$1:$BF$391,MATCH($C88,'在庫使用計画 (法人)'!$C$1:$C$391,0),MATCH(BK$1,'在庫使用計画 (法人)'!$A$1:$BF$1,0))*1,0),
_xlpm._合計,_xlpm._一般検索+_xlpm._法人検索,
IF(_xlpm._合計=0,"",_xlpm._合計)
)</f>
        <v/>
      </c>
      <c r="BL88" s="224" t="str">
        <f>_xlfn.LET(
_xlpm._一般検索,IFERROR(INDEX('在庫使用計画 (一般)'!$A$1:$BF$391,MATCH($C88,'在庫使用計画 (一般)'!$C$1:$C$391,0),MATCH(BL$1,'在庫使用計画 (一般)'!$A$1:$BF$1,0))*1,0),
_xlpm._法人検索,IFERROR(INDEX('在庫使用計画 (法人)'!$A$1:$BF$391,MATCH($C88,'在庫使用計画 (法人)'!$C$1:$C$391,0),MATCH(BL$1,'在庫使用計画 (法人)'!$A$1:$BF$1,0))*1,0),
_xlpm._合計,_xlpm._一般検索+_xlpm._法人検索,
IF(_xlpm._合計=0,"",_xlpm._合計)
)</f>
        <v/>
      </c>
      <c r="BM88" s="224" t="str">
        <f>_xlfn.LET(
_xlpm._一般検索,IFERROR(INDEX('在庫使用計画 (一般)'!$A$1:$BF$391,MATCH($C88,'在庫使用計画 (一般)'!$C$1:$C$391,0),MATCH(BM$1,'在庫使用計画 (一般)'!$A$1:$BF$1,0))*1,0),
_xlpm._法人検索,IFERROR(INDEX('在庫使用計画 (法人)'!$A$1:$BF$391,MATCH($C88,'在庫使用計画 (法人)'!$C$1:$C$391,0),MATCH(BM$1,'在庫使用計画 (法人)'!$A$1:$BF$1,0))*1,0),
_xlpm._合計,_xlpm._一般検索+_xlpm._法人検索,
IF(_xlpm._合計=0,"",_xlpm._合計)
)</f>
        <v/>
      </c>
      <c r="BN88" s="224" t="str">
        <f>_xlfn.LET(
_xlpm._一般検索,IFERROR(INDEX('在庫使用計画 (一般)'!$A$1:$BF$391,MATCH($C88,'在庫使用計画 (一般)'!$C$1:$C$391,0),MATCH(BN$1,'在庫使用計画 (一般)'!$A$1:$BF$1,0))*1,0),
_xlpm._法人検索,IFERROR(INDEX('在庫使用計画 (法人)'!$A$1:$BF$391,MATCH($C88,'在庫使用計画 (法人)'!$C$1:$C$391,0),MATCH(BN$1,'在庫使用計画 (法人)'!$A$1:$BF$1,0))*1,0),
_xlpm._合計,_xlpm._一般検索+_xlpm._法人検索,
IF(_xlpm._合計=0,"",_xlpm._合計)
)</f>
        <v/>
      </c>
      <c r="BO88" s="224" t="str">
        <f>_xlfn.LET(
_xlpm._一般検索,IFERROR(INDEX('在庫使用計画 (一般)'!$A$1:$BF$391,MATCH($C88,'在庫使用計画 (一般)'!$C$1:$C$391,0),MATCH(BO$1,'在庫使用計画 (一般)'!$A$1:$BF$1,0))*1,0),
_xlpm._法人検索,IFERROR(INDEX('在庫使用計画 (法人)'!$A$1:$BF$391,MATCH($C88,'在庫使用計画 (法人)'!$C$1:$C$391,0),MATCH(BO$1,'在庫使用計画 (法人)'!$A$1:$BF$1,0))*1,0),
_xlpm._合計,_xlpm._一般検索+_xlpm._法人検索,
IF(_xlpm._合計=0,"",_xlpm._合計)
)</f>
        <v/>
      </c>
      <c r="BP88" s="224" t="str">
        <f>_xlfn.LET(
_xlpm._一般検索,IFERROR(INDEX('在庫使用計画 (一般)'!$A$1:$BF$391,MATCH($C88,'在庫使用計画 (一般)'!$C$1:$C$391,0),MATCH(BP$1,'在庫使用計画 (一般)'!$A$1:$BF$1,0))*1,0),
_xlpm._法人検索,IFERROR(INDEX('在庫使用計画 (法人)'!$A$1:$BF$391,MATCH($C88,'在庫使用計画 (法人)'!$C$1:$C$391,0),MATCH(BP$1,'在庫使用計画 (法人)'!$A$1:$BF$1,0))*1,0),
_xlpm._合計,_xlpm._一般検索+_xlpm._法人検索,
IF(_xlpm._合計=0,"",_xlpm._合計)
)</f>
        <v/>
      </c>
      <c r="BQ88" s="224" t="str">
        <f>_xlfn.LET(
_xlpm._一般検索,IFERROR(INDEX('在庫使用計画 (一般)'!$A$1:$BF$391,MATCH($C88,'在庫使用計画 (一般)'!$C$1:$C$391,0),MATCH(BQ$1,'在庫使用計画 (一般)'!$A$1:$BF$1,0))*1,0),
_xlpm._法人検索,IFERROR(INDEX('在庫使用計画 (法人)'!$A$1:$BF$391,MATCH($C88,'在庫使用計画 (法人)'!$C$1:$C$391,0),MATCH(BQ$1,'在庫使用計画 (法人)'!$A$1:$BF$1,0))*1,0),
_xlpm._合計,_xlpm._一般検索+_xlpm._法人検索,
IF(_xlpm._合計=0,"",_xlpm._合計)
)</f>
        <v/>
      </c>
      <c r="BR88" s="224" t="str">
        <f>_xlfn.LET(
_xlpm._一般検索,IFERROR(INDEX('在庫使用計画 (一般)'!$A$1:$BF$391,MATCH($C88,'在庫使用計画 (一般)'!$C$1:$C$391,0),MATCH(BR$1,'在庫使用計画 (一般)'!$A$1:$BF$1,0))*1,0),
_xlpm._法人検索,IFERROR(INDEX('在庫使用計画 (法人)'!$A$1:$BF$391,MATCH($C88,'在庫使用計画 (法人)'!$C$1:$C$391,0),MATCH(BR$1,'在庫使用計画 (法人)'!$A$1:$BF$1,0))*1,0),
_xlpm._合計,_xlpm._一般検索+_xlpm._法人検索,
IF(_xlpm._合計=0,"",_xlpm._合計)
)</f>
        <v/>
      </c>
      <c r="BS88" s="805" t="str">
        <f>_xlfn.LET(
_xlpm._一般検索,IFERROR(INDEX('在庫使用計画 (一般)'!$A$1:$BF$391,MATCH($C88,'在庫使用計画 (一般)'!$C$1:$C$391,0),MATCH(BS$1,'在庫使用計画 (一般)'!$A$1:$BF$1,0))*1,0),
_xlpm._法人検索,IFERROR(INDEX('在庫使用計画 (法人)'!$A$1:$BF$391,MATCH($C88,'在庫使用計画 (法人)'!$C$1:$C$391,0),MATCH(BS$1,'在庫使用計画 (法人)'!$A$1:$BF$1,0))*1,0),
_xlpm._合計,_xlpm._一般検索+_xlpm._法人検索,
IF(_xlpm._合計=0,"",_xlpm._合計)
)</f>
        <v/>
      </c>
      <c r="BT88" s="77"/>
    </row>
    <row r="89" spans="1:72" customFormat="1" ht="18.75" customHeight="1">
      <c r="A89" s="1061"/>
      <c r="B89" s="28" t="str">
        <v/>
      </c>
      <c r="C89" s="86"/>
      <c r="D89" s="2153" t="str">
        <v/>
      </c>
      <c r="E89" s="62"/>
      <c r="F89" s="26"/>
      <c r="G89" s="74" t="str">
        <v/>
      </c>
      <c r="H89" s="38" t="str">
        <v/>
      </c>
      <c r="I89" s="38" t="str" cm="1">
        <f t="array" ref="I89">IF($C89="","",
_xlfn.LET(
  _xlpm._見出し,$A$1:$BT$1,
  _xlpm._行,$A89:$BT89,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
      </c>
      <c r="J89" s="74" t="str" cm="1">
        <f t="array" ref="J89">_xlfn.LET(
  _xlpm._見出し,$A$1:$BS$1,
  _xlpm._行,$A89:$BS89,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IF($C89="","",_xlpm._四点五月計画合計)
)</f>
        <v/>
      </c>
      <c r="K89" s="1458" t="str" cm="1">
        <f t="array" ref="K89">_xlfn.IFS(
  $C89="","",
  $G89="","発売前？",
  $G89=0,"在庫なし",
  TRUE,
  IFERROR(
    _xlfn.LET(
      _xlpm._在庫注残,     $G89,
      _xlpm._しきい値,     _xlpm._在庫注残 * 0.75,
      _xlpm._見出し元,     $L$1:$BU$1,
      _xlpm._計画,         $L89:$BU89,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
      </c>
      <c r="L89" s="311"/>
      <c r="M89" s="311"/>
      <c r="N89" s="311"/>
      <c r="O89" s="311"/>
      <c r="P89" s="311"/>
      <c r="Q89" s="311"/>
      <c r="R89" s="311"/>
      <c r="S89" s="311"/>
      <c r="T89" s="298"/>
      <c r="U89" s="219"/>
      <c r="V89" s="219"/>
      <c r="W89" s="219"/>
      <c r="X89" s="219"/>
      <c r="Y89" s="219"/>
      <c r="Z89" s="219"/>
      <c r="AA89" s="219"/>
      <c r="AB89" s="219"/>
      <c r="AC89" s="219"/>
      <c r="AD89" s="219" t="s">
        <v>21</v>
      </c>
      <c r="AE89" s="219" t="s">
        <v>21</v>
      </c>
      <c r="AF89" s="219" t="s">
        <v>21</v>
      </c>
      <c r="AG89" s="219" t="s">
        <v>21</v>
      </c>
      <c r="AH89" s="224" t="s">
        <v>21</v>
      </c>
      <c r="AI89" s="237" t="s">
        <v>21</v>
      </c>
      <c r="AJ89" s="804" t="s">
        <v>21</v>
      </c>
      <c r="AK89" s="224" t="s">
        <v>21</v>
      </c>
      <c r="AL89" s="224" t="s">
        <v>21</v>
      </c>
      <c r="AM89" s="224" t="s">
        <v>21</v>
      </c>
      <c r="AN89" s="224" t="str">
        <f>_xlfn.LET(
_xlpm._一般検索,IFERROR(INDEX('在庫使用計画 (一般)'!$A$1:$BF$391,MATCH($C89,'在庫使用計画 (一般)'!$C$1:$C$391,0),MATCH(AN$1,'在庫使用計画 (一般)'!$A$1:$BF$1,0))*1,0),
_xlpm._法人検索,IFERROR(INDEX('在庫使用計画 (法人)'!$A$1:$BF$391,MATCH($C89,'在庫使用計画 (法人)'!$C$1:$C$391,0),MATCH(AN$1,'在庫使用計画 (法人)'!$A$1:$BF$1,0))*1,0),
_xlpm._合計,_xlpm._一般検索+_xlpm._法人検索,
IF(_xlpm._合計=0,"",_xlpm._合計)
)</f>
        <v/>
      </c>
      <c r="AO89" s="224" t="str">
        <f>_xlfn.LET(
_xlpm._一般検索,IFERROR(INDEX('在庫使用計画 (一般)'!$A$1:$BF$391,MATCH($C89,'在庫使用計画 (一般)'!$C$1:$C$391,0),MATCH(AO$1,'在庫使用計画 (一般)'!$A$1:$BF$1,0))*1,0),
_xlpm._法人検索,IFERROR(INDEX('在庫使用計画 (法人)'!$A$1:$BF$391,MATCH($C89,'在庫使用計画 (法人)'!$C$1:$C$391,0),MATCH(AO$1,'在庫使用計画 (法人)'!$A$1:$BF$1,0))*1,0),
_xlpm._合計,_xlpm._一般検索+_xlpm._法人検索,
IF(_xlpm._合計=0,"",_xlpm._合計)
)</f>
        <v/>
      </c>
      <c r="AP89" s="224" t="str">
        <f>_xlfn.LET(
_xlpm._一般検索,IFERROR(INDEX('在庫使用計画 (一般)'!$A$1:$BF$391,MATCH($C89,'在庫使用計画 (一般)'!$C$1:$C$391,0),MATCH(AP$1,'在庫使用計画 (一般)'!$A$1:$BF$1,0))*1,0),
_xlpm._法人検索,IFERROR(INDEX('在庫使用計画 (法人)'!$A$1:$BF$391,MATCH($C89,'在庫使用計画 (法人)'!$C$1:$C$391,0),MATCH(AP$1,'在庫使用計画 (法人)'!$A$1:$BF$1,0))*1,0),
_xlpm._合計,_xlpm._一般検索+_xlpm._法人検索,
IF(_xlpm._合計=0,"",_xlpm._合計)
)</f>
        <v/>
      </c>
      <c r="AQ89" s="224" t="str">
        <f>_xlfn.LET(
_xlpm._一般検索,IFERROR(INDEX('在庫使用計画 (一般)'!$A$1:$BF$391,MATCH($C89,'在庫使用計画 (一般)'!$C$1:$C$391,0),MATCH(AQ$1,'在庫使用計画 (一般)'!$A$1:$BF$1,0))*1,0),
_xlpm._法人検索,IFERROR(INDEX('在庫使用計画 (法人)'!$A$1:$BF$391,MATCH($C89,'在庫使用計画 (法人)'!$C$1:$C$391,0),MATCH(AQ$1,'在庫使用計画 (法人)'!$A$1:$BF$1,0))*1,0),
_xlpm._合計,_xlpm._一般検索+_xlpm._法人検索,
IF(_xlpm._合計=0,"",_xlpm._合計)
)</f>
        <v/>
      </c>
      <c r="AR89" s="224" t="str">
        <f>_xlfn.LET(
_xlpm._一般検索,IFERROR(INDEX('在庫使用計画 (一般)'!$A$1:$BF$391,MATCH($C89,'在庫使用計画 (一般)'!$C$1:$C$391,0),MATCH(AR$1,'在庫使用計画 (一般)'!$A$1:$BF$1,0))*1,0),
_xlpm._法人検索,IFERROR(INDEX('在庫使用計画 (法人)'!$A$1:$BF$391,MATCH($C89,'在庫使用計画 (法人)'!$C$1:$C$391,0),MATCH(AR$1,'在庫使用計画 (法人)'!$A$1:$BF$1,0))*1,0),
_xlpm._合計,_xlpm._一般検索+_xlpm._法人検索,
IF(_xlpm._合計=0,"",_xlpm._合計)
)</f>
        <v/>
      </c>
      <c r="AS89" s="224" t="str">
        <f>_xlfn.LET(
_xlpm._一般検索,IFERROR(INDEX('在庫使用計画 (一般)'!$A$1:$BF$391,MATCH($C89,'在庫使用計画 (一般)'!$C$1:$C$391,0),MATCH(AS$1,'在庫使用計画 (一般)'!$A$1:$BF$1,0))*1,0),
_xlpm._法人検索,IFERROR(INDEX('在庫使用計画 (法人)'!$A$1:$BF$391,MATCH($C89,'在庫使用計画 (法人)'!$C$1:$C$391,0),MATCH(AS$1,'在庫使用計画 (法人)'!$A$1:$BF$1,0))*1,0),
_xlpm._合計,_xlpm._一般検索+_xlpm._法人検索,
IF(_xlpm._合計=0,"",_xlpm._合計)
)</f>
        <v/>
      </c>
      <c r="AT89" s="224" t="str">
        <f>_xlfn.LET(
_xlpm._一般検索,IFERROR(INDEX('在庫使用計画 (一般)'!$A$1:$BF$391,MATCH($C89,'在庫使用計画 (一般)'!$C$1:$C$391,0),MATCH(AT$1,'在庫使用計画 (一般)'!$A$1:$BF$1,0))*1,0),
_xlpm._法人検索,IFERROR(INDEX('在庫使用計画 (法人)'!$A$1:$BF$391,MATCH($C89,'在庫使用計画 (法人)'!$C$1:$C$391,0),MATCH(AT$1,'在庫使用計画 (法人)'!$A$1:$BF$1,0))*1,0),
_xlpm._合計,_xlpm._一般検索+_xlpm._法人検索,
IF(_xlpm._合計=0,"",_xlpm._合計)
)</f>
        <v/>
      </c>
      <c r="AU89" s="805" t="str">
        <f>_xlfn.LET(
_xlpm._一般検索,IFERROR(INDEX('在庫使用計画 (一般)'!$A$1:$BF$391,MATCH($C89,'在庫使用計画 (一般)'!$C$1:$C$391,0),MATCH(AU$1,'在庫使用計画 (一般)'!$A$1:$BF$1,0))*1,0),
_xlpm._法人検索,IFERROR(INDEX('在庫使用計画 (法人)'!$A$1:$BF$391,MATCH($C89,'在庫使用計画 (法人)'!$C$1:$C$391,0),MATCH(AU$1,'在庫使用計画 (法人)'!$A$1:$BF$1,0))*1,0),
_xlpm._合計,_xlpm._一般検索+_xlpm._法人検索,
IF(_xlpm._合計=0,"",_xlpm._合計)
)</f>
        <v/>
      </c>
      <c r="AV89" s="244" t="str">
        <f>_xlfn.LET(
_xlpm._一般検索,IFERROR(INDEX('在庫使用計画 (一般)'!$A$1:$BF$391,MATCH($C89,'在庫使用計画 (一般)'!$C$1:$C$391,0),MATCH(AV$1,'在庫使用計画 (一般)'!$A$1:$BF$1,0))*1,0),
_xlpm._法人検索,IFERROR(INDEX('在庫使用計画 (法人)'!$A$1:$BF$391,MATCH($C89,'在庫使用計画 (法人)'!$C$1:$C$391,0),MATCH(AV$1,'在庫使用計画 (法人)'!$A$1:$BF$1,0))*1,0),
_xlpm._合計,_xlpm._一般検索+_xlpm._法人検索,
IF(_xlpm._合計=0,"",_xlpm._合計)
)</f>
        <v/>
      </c>
      <c r="AW89" s="224" t="str">
        <f>_xlfn.LET(
_xlpm._一般検索,IFERROR(INDEX('在庫使用計画 (一般)'!$A$1:$BF$391,MATCH($C89,'在庫使用計画 (一般)'!$C$1:$C$391,0),MATCH(AW$1,'在庫使用計画 (一般)'!$A$1:$BF$1,0))*1,0),
_xlpm._法人検索,IFERROR(INDEX('在庫使用計画 (法人)'!$A$1:$BF$391,MATCH($C89,'在庫使用計画 (法人)'!$C$1:$C$391,0),MATCH(AW$1,'在庫使用計画 (法人)'!$A$1:$BF$1,0))*1,0),
_xlpm._合計,_xlpm._一般検索+_xlpm._法人検索,
IF(_xlpm._合計=0,"",_xlpm._合計)
)</f>
        <v/>
      </c>
      <c r="AX89" s="224" t="str">
        <f>_xlfn.LET(
_xlpm._一般検索,IFERROR(INDEX('在庫使用計画 (一般)'!$A$1:$BF$391,MATCH($C89,'在庫使用計画 (一般)'!$C$1:$C$391,0),MATCH(AX$1,'在庫使用計画 (一般)'!$A$1:$BF$1,0))*1,0),
_xlpm._法人検索,IFERROR(INDEX('在庫使用計画 (法人)'!$A$1:$BF$391,MATCH($C89,'在庫使用計画 (法人)'!$C$1:$C$391,0),MATCH(AX$1,'在庫使用計画 (法人)'!$A$1:$BF$1,0))*1,0),
_xlpm._合計,_xlpm._一般検索+_xlpm._法人検索,
IF(_xlpm._合計=0,"",_xlpm._合計)
)</f>
        <v/>
      </c>
      <c r="AY89" s="224" t="str">
        <f>_xlfn.LET(
_xlpm._一般検索,IFERROR(INDEX('在庫使用計画 (一般)'!$A$1:$BF$391,MATCH($C89,'在庫使用計画 (一般)'!$C$1:$C$391,0),MATCH(AY$1,'在庫使用計画 (一般)'!$A$1:$BF$1,0))*1,0),
_xlpm._法人検索,IFERROR(INDEX('在庫使用計画 (法人)'!$A$1:$BF$391,MATCH($C89,'在庫使用計画 (法人)'!$C$1:$C$391,0),MATCH(AY$1,'在庫使用計画 (法人)'!$A$1:$BF$1,0))*1,0),
_xlpm._合計,_xlpm._一般検索+_xlpm._法人検索,
IF(_xlpm._合計=0,"",_xlpm._合計)
)</f>
        <v/>
      </c>
      <c r="AZ89" s="224" t="str">
        <f>_xlfn.LET(
_xlpm._一般検索,IFERROR(INDEX('在庫使用計画 (一般)'!$A$1:$BF$391,MATCH($C89,'在庫使用計画 (一般)'!$C$1:$C$391,0),MATCH(AZ$1,'在庫使用計画 (一般)'!$A$1:$BF$1,0))*1,0),
_xlpm._法人検索,IFERROR(INDEX('在庫使用計画 (法人)'!$A$1:$BF$391,MATCH($C89,'在庫使用計画 (法人)'!$C$1:$C$391,0),MATCH(AZ$1,'在庫使用計画 (法人)'!$A$1:$BF$1,0))*1,0),
_xlpm._合計,_xlpm._一般検索+_xlpm._法人検索,
IF(_xlpm._合計=0,"",_xlpm._合計)
)</f>
        <v/>
      </c>
      <c r="BA89" s="224" t="str">
        <f>_xlfn.LET(
_xlpm._一般検索,IFERROR(INDEX('在庫使用計画 (一般)'!$A$1:$BF$391,MATCH($C89,'在庫使用計画 (一般)'!$C$1:$C$391,0),MATCH(BA$1,'在庫使用計画 (一般)'!$A$1:$BF$1,0))*1,0),
_xlpm._法人検索,IFERROR(INDEX('在庫使用計画 (法人)'!$A$1:$BF$391,MATCH($C89,'在庫使用計画 (法人)'!$C$1:$C$391,0),MATCH(BA$1,'在庫使用計画 (法人)'!$A$1:$BF$1,0))*1,0),
_xlpm._合計,_xlpm._一般検索+_xlpm._法人検索,
IF(_xlpm._合計=0,"",_xlpm._合計)
)</f>
        <v/>
      </c>
      <c r="BB89" s="224" t="str">
        <f>_xlfn.LET(
_xlpm._一般検索,IFERROR(INDEX('在庫使用計画 (一般)'!$A$1:$BF$391,MATCH($C89,'在庫使用計画 (一般)'!$C$1:$C$391,0),MATCH(BB$1,'在庫使用計画 (一般)'!$A$1:$BF$1,0))*1,0),
_xlpm._法人検索,IFERROR(INDEX('在庫使用計画 (法人)'!$A$1:$BF$391,MATCH($C89,'在庫使用計画 (法人)'!$C$1:$C$391,0),MATCH(BB$1,'在庫使用計画 (法人)'!$A$1:$BF$1,0))*1,0),
_xlpm._合計,_xlpm._一般検索+_xlpm._法人検索,
IF(_xlpm._合計=0,"",_xlpm._合計)
)</f>
        <v/>
      </c>
      <c r="BC89" s="224" t="str">
        <f>_xlfn.LET(
_xlpm._一般検索,IFERROR(INDEX('在庫使用計画 (一般)'!$A$1:$BF$391,MATCH($C89,'在庫使用計画 (一般)'!$C$1:$C$391,0),MATCH(BC$1,'在庫使用計画 (一般)'!$A$1:$BF$1,0))*1,0),
_xlpm._法人検索,IFERROR(INDEX('在庫使用計画 (法人)'!$A$1:$BF$391,MATCH($C89,'在庫使用計画 (法人)'!$C$1:$C$391,0),MATCH(BC$1,'在庫使用計画 (法人)'!$A$1:$BF$1,0))*1,0),
_xlpm._合計,_xlpm._一般検索+_xlpm._法人検索,
IF(_xlpm._合計=0,"",_xlpm._合計)
)</f>
        <v/>
      </c>
      <c r="BD89" s="224" t="str">
        <f>_xlfn.LET(
_xlpm._一般検索,IFERROR(INDEX('在庫使用計画 (一般)'!$A$1:$BF$391,MATCH($C89,'在庫使用計画 (一般)'!$C$1:$C$391,0),MATCH(BD$1,'在庫使用計画 (一般)'!$A$1:$BF$1,0))*1,0),
_xlpm._法人検索,IFERROR(INDEX('在庫使用計画 (法人)'!$A$1:$BF$391,MATCH($C89,'在庫使用計画 (法人)'!$C$1:$C$391,0),MATCH(BD$1,'在庫使用計画 (法人)'!$A$1:$BF$1,0))*1,0),
_xlpm._合計,_xlpm._一般検索+_xlpm._法人検索,
IF(_xlpm._合計=0,"",_xlpm._合計)
)</f>
        <v/>
      </c>
      <c r="BE89" s="224" t="str">
        <f>_xlfn.LET(
_xlpm._一般検索,IFERROR(INDEX('在庫使用計画 (一般)'!$A$1:$BF$391,MATCH($C89,'在庫使用計画 (一般)'!$C$1:$C$391,0),MATCH(BE$1,'在庫使用計画 (一般)'!$A$1:$BF$1,0))*1,0),
_xlpm._法人検索,IFERROR(INDEX('在庫使用計画 (法人)'!$A$1:$BF$391,MATCH($C89,'在庫使用計画 (法人)'!$C$1:$C$391,0),MATCH(BE$1,'在庫使用計画 (法人)'!$A$1:$BF$1,0))*1,0),
_xlpm._合計,_xlpm._一般検索+_xlpm._法人検索,
IF(_xlpm._合計=0,"",_xlpm._合計)
)</f>
        <v/>
      </c>
      <c r="BF89" s="224" t="str">
        <f>_xlfn.LET(
_xlpm._一般検索,IFERROR(INDEX('在庫使用計画 (一般)'!$A$1:$BF$391,MATCH($C89,'在庫使用計画 (一般)'!$C$1:$C$391,0),MATCH(BF$1,'在庫使用計画 (一般)'!$A$1:$BF$1,0))*1,0),
_xlpm._法人検索,IFERROR(INDEX('在庫使用計画 (法人)'!$A$1:$BF$391,MATCH($C89,'在庫使用計画 (法人)'!$C$1:$C$391,0),MATCH(BF$1,'在庫使用計画 (法人)'!$A$1:$BF$1,0))*1,0),
_xlpm._合計,_xlpm._一般検索+_xlpm._法人検索,
IF(_xlpm._合計=0,"",_xlpm._合計)
)</f>
        <v/>
      </c>
      <c r="BG89" s="237" t="str">
        <f>_xlfn.LET(
_xlpm._一般検索,IFERROR(INDEX('在庫使用計画 (一般)'!$A$1:$BF$391,MATCH($C89,'在庫使用計画 (一般)'!$C$1:$C$391,0),MATCH(BG$1,'在庫使用計画 (一般)'!$A$1:$BF$1,0))*1,0),
_xlpm._法人検索,IFERROR(INDEX('在庫使用計画 (法人)'!$A$1:$BF$391,MATCH($C89,'在庫使用計画 (法人)'!$C$1:$C$391,0),MATCH(BG$1,'在庫使用計画 (法人)'!$A$1:$BF$1,0))*1,0),
_xlpm._合計,_xlpm._一般検索+_xlpm._法人検索,
IF(_xlpm._合計=0,"",_xlpm._合計)
)</f>
        <v/>
      </c>
      <c r="BH89" s="804" t="str">
        <f>_xlfn.LET(
_xlpm._一般検索,IFERROR(INDEX('在庫使用計画 (一般)'!$A$1:$BF$391,MATCH($C89,'在庫使用計画 (一般)'!$C$1:$C$391,0),MATCH(BH$1,'在庫使用計画 (一般)'!$A$1:$BF$1,0))*1,0),
_xlpm._法人検索,IFERROR(INDEX('在庫使用計画 (法人)'!$A$1:$BF$391,MATCH($C89,'在庫使用計画 (法人)'!$C$1:$C$391,0),MATCH(BH$1,'在庫使用計画 (法人)'!$A$1:$BF$1,0))*1,0),
_xlpm._合計,_xlpm._一般検索+_xlpm._法人検索,
IF(_xlpm._合計=0,"",_xlpm._合計)
)</f>
        <v/>
      </c>
      <c r="BI89" s="224" t="str">
        <f>_xlfn.LET(
_xlpm._一般検索,IFERROR(INDEX('在庫使用計画 (一般)'!$A$1:$BF$391,MATCH($C89,'在庫使用計画 (一般)'!$C$1:$C$391,0),MATCH(BI$1,'在庫使用計画 (一般)'!$A$1:$BF$1,0))*1,0),
_xlpm._法人検索,IFERROR(INDEX('在庫使用計画 (法人)'!$A$1:$BF$391,MATCH($C89,'在庫使用計画 (法人)'!$C$1:$C$391,0),MATCH(BI$1,'在庫使用計画 (法人)'!$A$1:$BF$1,0))*1,0),
_xlpm._合計,_xlpm._一般検索+_xlpm._法人検索,
IF(_xlpm._合計=0,"",_xlpm._合計)
)</f>
        <v/>
      </c>
      <c r="BJ89" s="224" t="str">
        <f>_xlfn.LET(
_xlpm._一般検索,IFERROR(INDEX('在庫使用計画 (一般)'!$A$1:$BF$391,MATCH($C89,'在庫使用計画 (一般)'!$C$1:$C$391,0),MATCH(BJ$1,'在庫使用計画 (一般)'!$A$1:$BF$1,0))*1,0),
_xlpm._法人検索,IFERROR(INDEX('在庫使用計画 (法人)'!$A$1:$BF$391,MATCH($C89,'在庫使用計画 (法人)'!$C$1:$C$391,0),MATCH(BJ$1,'在庫使用計画 (法人)'!$A$1:$BF$1,0))*1,0),
_xlpm._合計,_xlpm._一般検索+_xlpm._法人検索,
IF(_xlpm._合計=0,"",_xlpm._合計)
)</f>
        <v/>
      </c>
      <c r="BK89" s="224" t="str">
        <f>_xlfn.LET(
_xlpm._一般検索,IFERROR(INDEX('在庫使用計画 (一般)'!$A$1:$BF$391,MATCH($C89,'在庫使用計画 (一般)'!$C$1:$C$391,0),MATCH(BK$1,'在庫使用計画 (一般)'!$A$1:$BF$1,0))*1,0),
_xlpm._法人検索,IFERROR(INDEX('在庫使用計画 (法人)'!$A$1:$BF$391,MATCH($C89,'在庫使用計画 (法人)'!$C$1:$C$391,0),MATCH(BK$1,'在庫使用計画 (法人)'!$A$1:$BF$1,0))*1,0),
_xlpm._合計,_xlpm._一般検索+_xlpm._法人検索,
IF(_xlpm._合計=0,"",_xlpm._合計)
)</f>
        <v/>
      </c>
      <c r="BL89" s="224" t="str">
        <f>_xlfn.LET(
_xlpm._一般検索,IFERROR(INDEX('在庫使用計画 (一般)'!$A$1:$BF$391,MATCH($C89,'在庫使用計画 (一般)'!$C$1:$C$391,0),MATCH(BL$1,'在庫使用計画 (一般)'!$A$1:$BF$1,0))*1,0),
_xlpm._法人検索,IFERROR(INDEX('在庫使用計画 (法人)'!$A$1:$BF$391,MATCH($C89,'在庫使用計画 (法人)'!$C$1:$C$391,0),MATCH(BL$1,'在庫使用計画 (法人)'!$A$1:$BF$1,0))*1,0),
_xlpm._合計,_xlpm._一般検索+_xlpm._法人検索,
IF(_xlpm._合計=0,"",_xlpm._合計)
)</f>
        <v/>
      </c>
      <c r="BM89" s="224" t="str">
        <f>_xlfn.LET(
_xlpm._一般検索,IFERROR(INDEX('在庫使用計画 (一般)'!$A$1:$BF$391,MATCH($C89,'在庫使用計画 (一般)'!$C$1:$C$391,0),MATCH(BM$1,'在庫使用計画 (一般)'!$A$1:$BF$1,0))*1,0),
_xlpm._法人検索,IFERROR(INDEX('在庫使用計画 (法人)'!$A$1:$BF$391,MATCH($C89,'在庫使用計画 (法人)'!$C$1:$C$391,0),MATCH(BM$1,'在庫使用計画 (法人)'!$A$1:$BF$1,0))*1,0),
_xlpm._合計,_xlpm._一般検索+_xlpm._法人検索,
IF(_xlpm._合計=0,"",_xlpm._合計)
)</f>
        <v/>
      </c>
      <c r="BN89" s="224" t="str">
        <f>_xlfn.LET(
_xlpm._一般検索,IFERROR(INDEX('在庫使用計画 (一般)'!$A$1:$BF$391,MATCH($C89,'在庫使用計画 (一般)'!$C$1:$C$391,0),MATCH(BN$1,'在庫使用計画 (一般)'!$A$1:$BF$1,0))*1,0),
_xlpm._法人検索,IFERROR(INDEX('在庫使用計画 (法人)'!$A$1:$BF$391,MATCH($C89,'在庫使用計画 (法人)'!$C$1:$C$391,0),MATCH(BN$1,'在庫使用計画 (法人)'!$A$1:$BF$1,0))*1,0),
_xlpm._合計,_xlpm._一般検索+_xlpm._法人検索,
IF(_xlpm._合計=0,"",_xlpm._合計)
)</f>
        <v/>
      </c>
      <c r="BO89" s="224" t="str">
        <f>_xlfn.LET(
_xlpm._一般検索,IFERROR(INDEX('在庫使用計画 (一般)'!$A$1:$BF$391,MATCH($C89,'在庫使用計画 (一般)'!$C$1:$C$391,0),MATCH(BO$1,'在庫使用計画 (一般)'!$A$1:$BF$1,0))*1,0),
_xlpm._法人検索,IFERROR(INDEX('在庫使用計画 (法人)'!$A$1:$BF$391,MATCH($C89,'在庫使用計画 (法人)'!$C$1:$C$391,0),MATCH(BO$1,'在庫使用計画 (法人)'!$A$1:$BF$1,0))*1,0),
_xlpm._合計,_xlpm._一般検索+_xlpm._法人検索,
IF(_xlpm._合計=0,"",_xlpm._合計)
)</f>
        <v/>
      </c>
      <c r="BP89" s="224" t="str">
        <f>_xlfn.LET(
_xlpm._一般検索,IFERROR(INDEX('在庫使用計画 (一般)'!$A$1:$BF$391,MATCH($C89,'在庫使用計画 (一般)'!$C$1:$C$391,0),MATCH(BP$1,'在庫使用計画 (一般)'!$A$1:$BF$1,0))*1,0),
_xlpm._法人検索,IFERROR(INDEX('在庫使用計画 (法人)'!$A$1:$BF$391,MATCH($C89,'在庫使用計画 (法人)'!$C$1:$C$391,0),MATCH(BP$1,'在庫使用計画 (法人)'!$A$1:$BF$1,0))*1,0),
_xlpm._合計,_xlpm._一般検索+_xlpm._法人検索,
IF(_xlpm._合計=0,"",_xlpm._合計)
)</f>
        <v/>
      </c>
      <c r="BQ89" s="224" t="str">
        <f>_xlfn.LET(
_xlpm._一般検索,IFERROR(INDEX('在庫使用計画 (一般)'!$A$1:$BF$391,MATCH($C89,'在庫使用計画 (一般)'!$C$1:$C$391,0),MATCH(BQ$1,'在庫使用計画 (一般)'!$A$1:$BF$1,0))*1,0),
_xlpm._法人検索,IFERROR(INDEX('在庫使用計画 (法人)'!$A$1:$BF$391,MATCH($C89,'在庫使用計画 (法人)'!$C$1:$C$391,0),MATCH(BQ$1,'在庫使用計画 (法人)'!$A$1:$BF$1,0))*1,0),
_xlpm._合計,_xlpm._一般検索+_xlpm._法人検索,
IF(_xlpm._合計=0,"",_xlpm._合計)
)</f>
        <v/>
      </c>
      <c r="BR89" s="224" t="str">
        <f>_xlfn.LET(
_xlpm._一般検索,IFERROR(INDEX('在庫使用計画 (一般)'!$A$1:$BF$391,MATCH($C89,'在庫使用計画 (一般)'!$C$1:$C$391,0),MATCH(BR$1,'在庫使用計画 (一般)'!$A$1:$BF$1,0))*1,0),
_xlpm._法人検索,IFERROR(INDEX('在庫使用計画 (法人)'!$A$1:$BF$391,MATCH($C89,'在庫使用計画 (法人)'!$C$1:$C$391,0),MATCH(BR$1,'在庫使用計画 (法人)'!$A$1:$BF$1,0))*1,0),
_xlpm._合計,_xlpm._一般検索+_xlpm._法人検索,
IF(_xlpm._合計=0,"",_xlpm._合計)
)</f>
        <v/>
      </c>
      <c r="BS89" s="805" t="str">
        <f>_xlfn.LET(
_xlpm._一般検索,IFERROR(INDEX('在庫使用計画 (一般)'!$A$1:$BF$391,MATCH($C89,'在庫使用計画 (一般)'!$C$1:$C$391,0),MATCH(BS$1,'在庫使用計画 (一般)'!$A$1:$BF$1,0))*1,0),
_xlpm._法人検索,IFERROR(INDEX('在庫使用計画 (法人)'!$A$1:$BF$391,MATCH($C89,'在庫使用計画 (法人)'!$C$1:$C$391,0),MATCH(BS$1,'在庫使用計画 (法人)'!$A$1:$BF$1,0))*1,0),
_xlpm._合計,_xlpm._一般検索+_xlpm._法人検索,
IF(_xlpm._合計=0,"",_xlpm._合計)
)</f>
        <v/>
      </c>
      <c r="BT89" s="21"/>
    </row>
    <row r="90" spans="1:72" customFormat="1" ht="18.75" customHeight="1">
      <c r="A90" s="2064" t="s">
        <v>1473</v>
      </c>
      <c r="B90" s="55" t="str">
        <v>CLE-NL45-1334U-UMA-L6 Thirdwave</v>
      </c>
      <c r="C90" s="57" t="s">
        <v>746</v>
      </c>
      <c r="D90" s="2168">
        <v>7419</v>
      </c>
      <c r="E90" s="57" t="s">
        <v>1405</v>
      </c>
      <c r="F90" s="26" t="s">
        <v>1725</v>
      </c>
      <c r="G90" s="74">
        <v>15</v>
      </c>
      <c r="H90" s="38">
        <v>15</v>
      </c>
      <c r="I90" s="38" cm="1">
        <f t="array" ref="I90">IF($C90="","",
_xlfn.LET(
  _xlpm._見出し,$A$1:$BT$1,
  _xlpm._行,$A90:$BT90,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0</v>
      </c>
      <c r="J90" s="74" cm="1">
        <f t="array" ref="J90">_xlfn.LET(
  _xlpm._見出し,$A$1:$BS$1,
  _xlpm._行,$A90:$BS90,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IF($C90="","",_xlpm._四点五月計画合計)
)</f>
        <v>0</v>
      </c>
      <c r="K90" s="1458" t="str" cm="1">
        <f t="array" ref="K90">_xlfn.IFS(
  $C90="","",
  $G90="","発売前？",
  $G90=0,"在庫なし",
  TRUE,
  IFERROR(
    _xlfn.LET(
      _xlpm._在庫注残,     $G90,
      _xlpm._しきい値,     _xlpm._在庫注残 * 0.75,
      _xlpm._見出し元,     $L$1:$BU$1,
      _xlpm._計画,         $L90:$BU90,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計画なし</v>
      </c>
      <c r="L90" s="311"/>
      <c r="M90" s="311"/>
      <c r="N90" s="311"/>
      <c r="O90" s="311"/>
      <c r="P90" s="311"/>
      <c r="Q90" s="180"/>
      <c r="R90" s="311"/>
      <c r="S90" s="311"/>
      <c r="T90" s="298" t="s">
        <v>21</v>
      </c>
      <c r="U90" s="298" t="s">
        <v>21</v>
      </c>
      <c r="V90" s="298" t="s">
        <v>21</v>
      </c>
      <c r="W90" s="219">
        <v>150</v>
      </c>
      <c r="X90" s="224">
        <v>1010</v>
      </c>
      <c r="Y90" s="237">
        <v>1360</v>
      </c>
      <c r="Z90" s="237">
        <v>1250</v>
      </c>
      <c r="AA90" s="237">
        <v>690</v>
      </c>
      <c r="AB90" s="237">
        <v>520</v>
      </c>
      <c r="AC90" s="237">
        <v>480</v>
      </c>
      <c r="AD90" s="237">
        <v>590</v>
      </c>
      <c r="AE90" s="237">
        <v>377</v>
      </c>
      <c r="AF90" s="237">
        <v>542</v>
      </c>
      <c r="AG90" s="237">
        <v>600</v>
      </c>
      <c r="AH90" s="224">
        <v>455</v>
      </c>
      <c r="AI90" s="237">
        <v>389</v>
      </c>
      <c r="AJ90" s="804">
        <v>180</v>
      </c>
      <c r="AK90" s="224">
        <v>54</v>
      </c>
      <c r="AL90" s="224">
        <v>30</v>
      </c>
      <c r="AM90" s="224" t="s">
        <v>21</v>
      </c>
      <c r="AN90" s="224">
        <f>_xlfn.LET(
_xlpm._一般検索,IFERROR(INDEX('在庫使用計画 (一般)'!$A$1:$BF$391,MATCH($C90,'在庫使用計画 (一般)'!$C$1:$C$391,0),MATCH(AN$1,'在庫使用計画 (一般)'!$A$1:$BF$1,0))*1,0),
_xlpm._法人検索,IFERROR(INDEX('在庫使用計画 (法人)'!$A$1:$BF$391,MATCH($C90,'在庫使用計画 (法人)'!$C$1:$C$391,0),MATCH(AN$1,'在庫使用計画 (法人)'!$A$1:$BF$1,0))*1,0),
_xlpm._合計,_xlpm._一般検索+_xlpm._法人検索,
IF(_xlpm._合計=0,"",_xlpm._合計)
)</f>
        <v>31</v>
      </c>
      <c r="AO90" s="224" t="str">
        <f>_xlfn.LET(
_xlpm._一般検索,IFERROR(INDEX('在庫使用計画 (一般)'!$A$1:$BF$391,MATCH($C90,'在庫使用計画 (一般)'!$C$1:$C$391,0),MATCH(AO$1,'在庫使用計画 (一般)'!$A$1:$BF$1,0))*1,0),
_xlpm._法人検索,IFERROR(INDEX('在庫使用計画 (法人)'!$A$1:$BF$391,MATCH($C90,'在庫使用計画 (法人)'!$C$1:$C$391,0),MATCH(AO$1,'在庫使用計画 (法人)'!$A$1:$BF$1,0))*1,0),
_xlpm._合計,_xlpm._一般検索+_xlpm._法人検索,
IF(_xlpm._合計=0,"",_xlpm._合計)
)</f>
        <v/>
      </c>
      <c r="AP90" s="224" t="str">
        <f>_xlfn.LET(
_xlpm._一般検索,IFERROR(INDEX('在庫使用計画 (一般)'!$A$1:$BF$391,MATCH($C90,'在庫使用計画 (一般)'!$C$1:$C$391,0),MATCH(AP$1,'在庫使用計画 (一般)'!$A$1:$BF$1,0))*1,0),
_xlpm._法人検索,IFERROR(INDEX('在庫使用計画 (法人)'!$A$1:$BF$391,MATCH($C90,'在庫使用計画 (法人)'!$C$1:$C$391,0),MATCH(AP$1,'在庫使用計画 (法人)'!$A$1:$BF$1,0))*1,0),
_xlpm._合計,_xlpm._一般検索+_xlpm._法人検索,
IF(_xlpm._合計=0,"",_xlpm._合計)
)</f>
        <v/>
      </c>
      <c r="AQ90" s="224" t="str">
        <f>_xlfn.LET(
_xlpm._一般検索,IFERROR(INDEX('在庫使用計画 (一般)'!$A$1:$BF$391,MATCH($C90,'在庫使用計画 (一般)'!$C$1:$C$391,0),MATCH(AQ$1,'在庫使用計画 (一般)'!$A$1:$BF$1,0))*1,0),
_xlpm._法人検索,IFERROR(INDEX('在庫使用計画 (法人)'!$A$1:$BF$391,MATCH($C90,'在庫使用計画 (法人)'!$C$1:$C$391,0),MATCH(AQ$1,'在庫使用計画 (法人)'!$A$1:$BF$1,0))*1,0),
_xlpm._合計,_xlpm._一般検索+_xlpm._法人検索,
IF(_xlpm._合計=0,"",_xlpm._合計)
)</f>
        <v/>
      </c>
      <c r="AR90" s="224" t="str">
        <f>_xlfn.LET(
_xlpm._一般検索,IFERROR(INDEX('在庫使用計画 (一般)'!$A$1:$BF$391,MATCH($C90,'在庫使用計画 (一般)'!$C$1:$C$391,0),MATCH(AR$1,'在庫使用計画 (一般)'!$A$1:$BF$1,0))*1,0),
_xlpm._法人検索,IFERROR(INDEX('在庫使用計画 (法人)'!$A$1:$BF$391,MATCH($C90,'在庫使用計画 (法人)'!$C$1:$C$391,0),MATCH(AR$1,'在庫使用計画 (法人)'!$A$1:$BF$1,0))*1,0),
_xlpm._合計,_xlpm._一般検索+_xlpm._法人検索,
IF(_xlpm._合計=0,"",_xlpm._合計)
)</f>
        <v/>
      </c>
      <c r="AS90" s="224" t="str">
        <f>_xlfn.LET(
_xlpm._一般検索,IFERROR(INDEX('在庫使用計画 (一般)'!$A$1:$BF$391,MATCH($C90,'在庫使用計画 (一般)'!$C$1:$C$391,0),MATCH(AS$1,'在庫使用計画 (一般)'!$A$1:$BF$1,0))*1,0),
_xlpm._法人検索,IFERROR(INDEX('在庫使用計画 (法人)'!$A$1:$BF$391,MATCH($C90,'在庫使用計画 (法人)'!$C$1:$C$391,0),MATCH(AS$1,'在庫使用計画 (法人)'!$A$1:$BF$1,0))*1,0),
_xlpm._合計,_xlpm._一般検索+_xlpm._法人検索,
IF(_xlpm._合計=0,"",_xlpm._合計)
)</f>
        <v/>
      </c>
      <c r="AT90" s="224" t="str">
        <f>_xlfn.LET(
_xlpm._一般検索,IFERROR(INDEX('在庫使用計画 (一般)'!$A$1:$BF$391,MATCH($C90,'在庫使用計画 (一般)'!$C$1:$C$391,0),MATCH(AT$1,'在庫使用計画 (一般)'!$A$1:$BF$1,0))*1,0),
_xlpm._法人検索,IFERROR(INDEX('在庫使用計画 (法人)'!$A$1:$BF$391,MATCH($C90,'在庫使用計画 (法人)'!$C$1:$C$391,0),MATCH(AT$1,'在庫使用計画 (法人)'!$A$1:$BF$1,0))*1,0),
_xlpm._合計,_xlpm._一般検索+_xlpm._法人検索,
IF(_xlpm._合計=0,"",_xlpm._合計)
)</f>
        <v/>
      </c>
      <c r="AU90" s="805" t="str">
        <f>_xlfn.LET(
_xlpm._一般検索,IFERROR(INDEX('在庫使用計画 (一般)'!$A$1:$BF$391,MATCH($C90,'在庫使用計画 (一般)'!$C$1:$C$391,0),MATCH(AU$1,'在庫使用計画 (一般)'!$A$1:$BF$1,0))*1,0),
_xlpm._法人検索,IFERROR(INDEX('在庫使用計画 (法人)'!$A$1:$BF$391,MATCH($C90,'在庫使用計画 (法人)'!$C$1:$C$391,0),MATCH(AU$1,'在庫使用計画 (法人)'!$A$1:$BF$1,0))*1,0),
_xlpm._合計,_xlpm._一般検索+_xlpm._法人検索,
IF(_xlpm._合計=0,"",_xlpm._合計)
)</f>
        <v/>
      </c>
      <c r="AV90" s="244" t="str">
        <f>_xlfn.LET(
_xlpm._一般検索,IFERROR(INDEX('在庫使用計画 (一般)'!$A$1:$BF$391,MATCH($C90,'在庫使用計画 (一般)'!$C$1:$C$391,0),MATCH(AV$1,'在庫使用計画 (一般)'!$A$1:$BF$1,0))*1,0),
_xlpm._法人検索,IFERROR(INDEX('在庫使用計画 (法人)'!$A$1:$BF$391,MATCH($C90,'在庫使用計画 (法人)'!$C$1:$C$391,0),MATCH(AV$1,'在庫使用計画 (法人)'!$A$1:$BF$1,0))*1,0),
_xlpm._合計,_xlpm._一般検索+_xlpm._法人検索,
IF(_xlpm._合計=0,"",_xlpm._合計)
)</f>
        <v/>
      </c>
      <c r="AW90" s="224" t="str">
        <f>_xlfn.LET(
_xlpm._一般検索,IFERROR(INDEX('在庫使用計画 (一般)'!$A$1:$BF$391,MATCH($C90,'在庫使用計画 (一般)'!$C$1:$C$391,0),MATCH(AW$1,'在庫使用計画 (一般)'!$A$1:$BF$1,0))*1,0),
_xlpm._法人検索,IFERROR(INDEX('在庫使用計画 (法人)'!$A$1:$BF$391,MATCH($C90,'在庫使用計画 (法人)'!$C$1:$C$391,0),MATCH(AW$1,'在庫使用計画 (法人)'!$A$1:$BF$1,0))*1,0),
_xlpm._合計,_xlpm._一般検索+_xlpm._法人検索,
IF(_xlpm._合計=0,"",_xlpm._合計)
)</f>
        <v/>
      </c>
      <c r="AX90" s="224" t="str">
        <f>_xlfn.LET(
_xlpm._一般検索,IFERROR(INDEX('在庫使用計画 (一般)'!$A$1:$BF$391,MATCH($C90,'在庫使用計画 (一般)'!$C$1:$C$391,0),MATCH(AX$1,'在庫使用計画 (一般)'!$A$1:$BF$1,0))*1,0),
_xlpm._法人検索,IFERROR(INDEX('在庫使用計画 (法人)'!$A$1:$BF$391,MATCH($C90,'在庫使用計画 (法人)'!$C$1:$C$391,0),MATCH(AX$1,'在庫使用計画 (法人)'!$A$1:$BF$1,0))*1,0),
_xlpm._合計,_xlpm._一般検索+_xlpm._法人検索,
IF(_xlpm._合計=0,"",_xlpm._合計)
)</f>
        <v/>
      </c>
      <c r="AY90" s="224" t="str">
        <f>_xlfn.LET(
_xlpm._一般検索,IFERROR(INDEX('在庫使用計画 (一般)'!$A$1:$BF$391,MATCH($C90,'在庫使用計画 (一般)'!$C$1:$C$391,0),MATCH(AY$1,'在庫使用計画 (一般)'!$A$1:$BF$1,0))*1,0),
_xlpm._法人検索,IFERROR(INDEX('在庫使用計画 (法人)'!$A$1:$BF$391,MATCH($C90,'在庫使用計画 (法人)'!$C$1:$C$391,0),MATCH(AY$1,'在庫使用計画 (法人)'!$A$1:$BF$1,0))*1,0),
_xlpm._合計,_xlpm._一般検索+_xlpm._法人検索,
IF(_xlpm._合計=0,"",_xlpm._合計)
)</f>
        <v/>
      </c>
      <c r="AZ90" s="224" t="str">
        <f>_xlfn.LET(
_xlpm._一般検索,IFERROR(INDEX('在庫使用計画 (一般)'!$A$1:$BF$391,MATCH($C90,'在庫使用計画 (一般)'!$C$1:$C$391,0),MATCH(AZ$1,'在庫使用計画 (一般)'!$A$1:$BF$1,0))*1,0),
_xlpm._法人検索,IFERROR(INDEX('在庫使用計画 (法人)'!$A$1:$BF$391,MATCH($C90,'在庫使用計画 (法人)'!$C$1:$C$391,0),MATCH(AZ$1,'在庫使用計画 (法人)'!$A$1:$BF$1,0))*1,0),
_xlpm._合計,_xlpm._一般検索+_xlpm._法人検索,
IF(_xlpm._合計=0,"",_xlpm._合計)
)</f>
        <v/>
      </c>
      <c r="BA90" s="224" t="str">
        <f>_xlfn.LET(
_xlpm._一般検索,IFERROR(INDEX('在庫使用計画 (一般)'!$A$1:$BF$391,MATCH($C90,'在庫使用計画 (一般)'!$C$1:$C$391,0),MATCH(BA$1,'在庫使用計画 (一般)'!$A$1:$BF$1,0))*1,0),
_xlpm._法人検索,IFERROR(INDEX('在庫使用計画 (法人)'!$A$1:$BF$391,MATCH($C90,'在庫使用計画 (法人)'!$C$1:$C$391,0),MATCH(BA$1,'在庫使用計画 (法人)'!$A$1:$BF$1,0))*1,0),
_xlpm._合計,_xlpm._一般検索+_xlpm._法人検索,
IF(_xlpm._合計=0,"",_xlpm._合計)
)</f>
        <v/>
      </c>
      <c r="BB90" s="224" t="str">
        <f>_xlfn.LET(
_xlpm._一般検索,IFERROR(INDEX('在庫使用計画 (一般)'!$A$1:$BF$391,MATCH($C90,'在庫使用計画 (一般)'!$C$1:$C$391,0),MATCH(BB$1,'在庫使用計画 (一般)'!$A$1:$BF$1,0))*1,0),
_xlpm._法人検索,IFERROR(INDEX('在庫使用計画 (法人)'!$A$1:$BF$391,MATCH($C90,'在庫使用計画 (法人)'!$C$1:$C$391,0),MATCH(BB$1,'在庫使用計画 (法人)'!$A$1:$BF$1,0))*1,0),
_xlpm._合計,_xlpm._一般検索+_xlpm._法人検索,
IF(_xlpm._合計=0,"",_xlpm._合計)
)</f>
        <v/>
      </c>
      <c r="BC90" s="224" t="str">
        <f>_xlfn.LET(
_xlpm._一般検索,IFERROR(INDEX('在庫使用計画 (一般)'!$A$1:$BF$391,MATCH($C90,'在庫使用計画 (一般)'!$C$1:$C$391,0),MATCH(BC$1,'在庫使用計画 (一般)'!$A$1:$BF$1,0))*1,0),
_xlpm._法人検索,IFERROR(INDEX('在庫使用計画 (法人)'!$A$1:$BF$391,MATCH($C90,'在庫使用計画 (法人)'!$C$1:$C$391,0),MATCH(BC$1,'在庫使用計画 (法人)'!$A$1:$BF$1,0))*1,0),
_xlpm._合計,_xlpm._一般検索+_xlpm._法人検索,
IF(_xlpm._合計=0,"",_xlpm._合計)
)</f>
        <v/>
      </c>
      <c r="BD90" s="224" t="str">
        <f>_xlfn.LET(
_xlpm._一般検索,IFERROR(INDEX('在庫使用計画 (一般)'!$A$1:$BF$391,MATCH($C90,'在庫使用計画 (一般)'!$C$1:$C$391,0),MATCH(BD$1,'在庫使用計画 (一般)'!$A$1:$BF$1,0))*1,0),
_xlpm._法人検索,IFERROR(INDEX('在庫使用計画 (法人)'!$A$1:$BF$391,MATCH($C90,'在庫使用計画 (法人)'!$C$1:$C$391,0),MATCH(BD$1,'在庫使用計画 (法人)'!$A$1:$BF$1,0))*1,0),
_xlpm._合計,_xlpm._一般検索+_xlpm._法人検索,
IF(_xlpm._合計=0,"",_xlpm._合計)
)</f>
        <v/>
      </c>
      <c r="BE90" s="224" t="str">
        <f>_xlfn.LET(
_xlpm._一般検索,IFERROR(INDEX('在庫使用計画 (一般)'!$A$1:$BF$391,MATCH($C90,'在庫使用計画 (一般)'!$C$1:$C$391,0),MATCH(BE$1,'在庫使用計画 (一般)'!$A$1:$BF$1,0))*1,0),
_xlpm._法人検索,IFERROR(INDEX('在庫使用計画 (法人)'!$A$1:$BF$391,MATCH($C90,'在庫使用計画 (法人)'!$C$1:$C$391,0),MATCH(BE$1,'在庫使用計画 (法人)'!$A$1:$BF$1,0))*1,0),
_xlpm._合計,_xlpm._一般検索+_xlpm._法人検索,
IF(_xlpm._合計=0,"",_xlpm._合計)
)</f>
        <v/>
      </c>
      <c r="BF90" s="224" t="str">
        <f>_xlfn.LET(
_xlpm._一般検索,IFERROR(INDEX('在庫使用計画 (一般)'!$A$1:$BF$391,MATCH($C90,'在庫使用計画 (一般)'!$C$1:$C$391,0),MATCH(BF$1,'在庫使用計画 (一般)'!$A$1:$BF$1,0))*1,0),
_xlpm._法人検索,IFERROR(INDEX('在庫使用計画 (法人)'!$A$1:$BF$391,MATCH($C90,'在庫使用計画 (法人)'!$C$1:$C$391,0),MATCH(BF$1,'在庫使用計画 (法人)'!$A$1:$BF$1,0))*1,0),
_xlpm._合計,_xlpm._一般検索+_xlpm._法人検索,
IF(_xlpm._合計=0,"",_xlpm._合計)
)</f>
        <v/>
      </c>
      <c r="BG90" s="237" t="str">
        <f>_xlfn.LET(
_xlpm._一般検索,IFERROR(INDEX('在庫使用計画 (一般)'!$A$1:$BF$391,MATCH($C90,'在庫使用計画 (一般)'!$C$1:$C$391,0),MATCH(BG$1,'在庫使用計画 (一般)'!$A$1:$BF$1,0))*1,0),
_xlpm._法人検索,IFERROR(INDEX('在庫使用計画 (法人)'!$A$1:$BF$391,MATCH($C90,'在庫使用計画 (法人)'!$C$1:$C$391,0),MATCH(BG$1,'在庫使用計画 (法人)'!$A$1:$BF$1,0))*1,0),
_xlpm._合計,_xlpm._一般検索+_xlpm._法人検索,
IF(_xlpm._合計=0,"",_xlpm._合計)
)</f>
        <v/>
      </c>
      <c r="BH90" s="804" t="str">
        <f>_xlfn.LET(
_xlpm._一般検索,IFERROR(INDEX('在庫使用計画 (一般)'!$A$1:$BF$391,MATCH($C90,'在庫使用計画 (一般)'!$C$1:$C$391,0),MATCH(BH$1,'在庫使用計画 (一般)'!$A$1:$BF$1,0))*1,0),
_xlpm._法人検索,IFERROR(INDEX('在庫使用計画 (法人)'!$A$1:$BF$391,MATCH($C90,'在庫使用計画 (法人)'!$C$1:$C$391,0),MATCH(BH$1,'在庫使用計画 (法人)'!$A$1:$BF$1,0))*1,0),
_xlpm._合計,_xlpm._一般検索+_xlpm._法人検索,
IF(_xlpm._合計=0,"",_xlpm._合計)
)</f>
        <v/>
      </c>
      <c r="BI90" s="224" t="str">
        <f>_xlfn.LET(
_xlpm._一般検索,IFERROR(INDEX('在庫使用計画 (一般)'!$A$1:$BF$391,MATCH($C90,'在庫使用計画 (一般)'!$C$1:$C$391,0),MATCH(BI$1,'在庫使用計画 (一般)'!$A$1:$BF$1,0))*1,0),
_xlpm._法人検索,IFERROR(INDEX('在庫使用計画 (法人)'!$A$1:$BF$391,MATCH($C90,'在庫使用計画 (法人)'!$C$1:$C$391,0),MATCH(BI$1,'在庫使用計画 (法人)'!$A$1:$BF$1,0))*1,0),
_xlpm._合計,_xlpm._一般検索+_xlpm._法人検索,
IF(_xlpm._合計=0,"",_xlpm._合計)
)</f>
        <v/>
      </c>
      <c r="BJ90" s="224" t="str">
        <f>_xlfn.LET(
_xlpm._一般検索,IFERROR(INDEX('在庫使用計画 (一般)'!$A$1:$BF$391,MATCH($C90,'在庫使用計画 (一般)'!$C$1:$C$391,0),MATCH(BJ$1,'在庫使用計画 (一般)'!$A$1:$BF$1,0))*1,0),
_xlpm._法人検索,IFERROR(INDEX('在庫使用計画 (法人)'!$A$1:$BF$391,MATCH($C90,'在庫使用計画 (法人)'!$C$1:$C$391,0),MATCH(BJ$1,'在庫使用計画 (法人)'!$A$1:$BF$1,0))*1,0),
_xlpm._合計,_xlpm._一般検索+_xlpm._法人検索,
IF(_xlpm._合計=0,"",_xlpm._合計)
)</f>
        <v/>
      </c>
      <c r="BK90" s="224" t="str">
        <f>_xlfn.LET(
_xlpm._一般検索,IFERROR(INDEX('在庫使用計画 (一般)'!$A$1:$BF$391,MATCH($C90,'在庫使用計画 (一般)'!$C$1:$C$391,0),MATCH(BK$1,'在庫使用計画 (一般)'!$A$1:$BF$1,0))*1,0),
_xlpm._法人検索,IFERROR(INDEX('在庫使用計画 (法人)'!$A$1:$BF$391,MATCH($C90,'在庫使用計画 (法人)'!$C$1:$C$391,0),MATCH(BK$1,'在庫使用計画 (法人)'!$A$1:$BF$1,0))*1,0),
_xlpm._合計,_xlpm._一般検索+_xlpm._法人検索,
IF(_xlpm._合計=0,"",_xlpm._合計)
)</f>
        <v/>
      </c>
      <c r="BL90" s="224" t="str">
        <f>_xlfn.LET(
_xlpm._一般検索,IFERROR(INDEX('在庫使用計画 (一般)'!$A$1:$BF$391,MATCH($C90,'在庫使用計画 (一般)'!$C$1:$C$391,0),MATCH(BL$1,'在庫使用計画 (一般)'!$A$1:$BF$1,0))*1,0),
_xlpm._法人検索,IFERROR(INDEX('在庫使用計画 (法人)'!$A$1:$BF$391,MATCH($C90,'在庫使用計画 (法人)'!$C$1:$C$391,0),MATCH(BL$1,'在庫使用計画 (法人)'!$A$1:$BF$1,0))*1,0),
_xlpm._合計,_xlpm._一般検索+_xlpm._法人検索,
IF(_xlpm._合計=0,"",_xlpm._合計)
)</f>
        <v/>
      </c>
      <c r="BM90" s="224" t="str">
        <f>_xlfn.LET(
_xlpm._一般検索,IFERROR(INDEX('在庫使用計画 (一般)'!$A$1:$BF$391,MATCH($C90,'在庫使用計画 (一般)'!$C$1:$C$391,0),MATCH(BM$1,'在庫使用計画 (一般)'!$A$1:$BF$1,0))*1,0),
_xlpm._法人検索,IFERROR(INDEX('在庫使用計画 (法人)'!$A$1:$BF$391,MATCH($C90,'在庫使用計画 (法人)'!$C$1:$C$391,0),MATCH(BM$1,'在庫使用計画 (法人)'!$A$1:$BF$1,0))*1,0),
_xlpm._合計,_xlpm._一般検索+_xlpm._法人検索,
IF(_xlpm._合計=0,"",_xlpm._合計)
)</f>
        <v/>
      </c>
      <c r="BN90" s="224" t="str">
        <f>_xlfn.LET(
_xlpm._一般検索,IFERROR(INDEX('在庫使用計画 (一般)'!$A$1:$BF$391,MATCH($C90,'在庫使用計画 (一般)'!$C$1:$C$391,0),MATCH(BN$1,'在庫使用計画 (一般)'!$A$1:$BF$1,0))*1,0),
_xlpm._法人検索,IFERROR(INDEX('在庫使用計画 (法人)'!$A$1:$BF$391,MATCH($C90,'在庫使用計画 (法人)'!$C$1:$C$391,0),MATCH(BN$1,'在庫使用計画 (法人)'!$A$1:$BF$1,0))*1,0),
_xlpm._合計,_xlpm._一般検索+_xlpm._法人検索,
IF(_xlpm._合計=0,"",_xlpm._合計)
)</f>
        <v/>
      </c>
      <c r="BO90" s="224" t="str">
        <f>_xlfn.LET(
_xlpm._一般検索,IFERROR(INDEX('在庫使用計画 (一般)'!$A$1:$BF$391,MATCH($C90,'在庫使用計画 (一般)'!$C$1:$C$391,0),MATCH(BO$1,'在庫使用計画 (一般)'!$A$1:$BF$1,0))*1,0),
_xlpm._法人検索,IFERROR(INDEX('在庫使用計画 (法人)'!$A$1:$BF$391,MATCH($C90,'在庫使用計画 (法人)'!$C$1:$C$391,0),MATCH(BO$1,'在庫使用計画 (法人)'!$A$1:$BF$1,0))*1,0),
_xlpm._合計,_xlpm._一般検索+_xlpm._法人検索,
IF(_xlpm._合計=0,"",_xlpm._合計)
)</f>
        <v/>
      </c>
      <c r="BP90" s="224" t="str">
        <f>_xlfn.LET(
_xlpm._一般検索,IFERROR(INDEX('在庫使用計画 (一般)'!$A$1:$BF$391,MATCH($C90,'在庫使用計画 (一般)'!$C$1:$C$391,0),MATCH(BP$1,'在庫使用計画 (一般)'!$A$1:$BF$1,0))*1,0),
_xlpm._法人検索,IFERROR(INDEX('在庫使用計画 (法人)'!$A$1:$BF$391,MATCH($C90,'在庫使用計画 (法人)'!$C$1:$C$391,0),MATCH(BP$1,'在庫使用計画 (法人)'!$A$1:$BF$1,0))*1,0),
_xlpm._合計,_xlpm._一般検索+_xlpm._法人検索,
IF(_xlpm._合計=0,"",_xlpm._合計)
)</f>
        <v/>
      </c>
      <c r="BQ90" s="224" t="str">
        <f>_xlfn.LET(
_xlpm._一般検索,IFERROR(INDEX('在庫使用計画 (一般)'!$A$1:$BF$391,MATCH($C90,'在庫使用計画 (一般)'!$C$1:$C$391,0),MATCH(BQ$1,'在庫使用計画 (一般)'!$A$1:$BF$1,0))*1,0),
_xlpm._法人検索,IFERROR(INDEX('在庫使用計画 (法人)'!$A$1:$BF$391,MATCH($C90,'在庫使用計画 (法人)'!$C$1:$C$391,0),MATCH(BQ$1,'在庫使用計画 (法人)'!$A$1:$BF$1,0))*1,0),
_xlpm._合計,_xlpm._一般検索+_xlpm._法人検索,
IF(_xlpm._合計=0,"",_xlpm._合計)
)</f>
        <v/>
      </c>
      <c r="BR90" s="224" t="str">
        <f>_xlfn.LET(
_xlpm._一般検索,IFERROR(INDEX('在庫使用計画 (一般)'!$A$1:$BF$391,MATCH($C90,'在庫使用計画 (一般)'!$C$1:$C$391,0),MATCH(BR$1,'在庫使用計画 (一般)'!$A$1:$BF$1,0))*1,0),
_xlpm._法人検索,IFERROR(INDEX('在庫使用計画 (法人)'!$A$1:$BF$391,MATCH($C90,'在庫使用計画 (法人)'!$C$1:$C$391,0),MATCH(BR$1,'在庫使用計画 (法人)'!$A$1:$BF$1,0))*1,0),
_xlpm._合計,_xlpm._一般検索+_xlpm._法人検索,
IF(_xlpm._合計=0,"",_xlpm._合計)
)</f>
        <v/>
      </c>
      <c r="BS90" s="805" t="str">
        <f>_xlfn.LET(
_xlpm._一般検索,IFERROR(INDEX('在庫使用計画 (一般)'!$A$1:$BF$391,MATCH($C90,'在庫使用計画 (一般)'!$C$1:$C$391,0),MATCH(BS$1,'在庫使用計画 (一般)'!$A$1:$BF$1,0))*1,0),
_xlpm._法人検索,IFERROR(INDEX('在庫使用計画 (法人)'!$A$1:$BF$391,MATCH($C90,'在庫使用計画 (法人)'!$C$1:$C$391,0),MATCH(BS$1,'在庫使用計画 (法人)'!$A$1:$BF$1,0))*1,0),
_xlpm._合計,_xlpm._一般検索+_xlpm._法人検索,
IF(_xlpm._合計=0,"",_xlpm._合計)
)</f>
        <v/>
      </c>
      <c r="BT90" s="21"/>
    </row>
    <row r="91" spans="1:72" customFormat="1" ht="18.75" customHeight="1">
      <c r="A91" s="2064" t="s">
        <v>1473</v>
      </c>
      <c r="B91" s="55" t="str">
        <v>CLE-NL45-1335U-UMA-L6-TPM Thirdwave</v>
      </c>
      <c r="C91" s="86" t="s">
        <v>739</v>
      </c>
      <c r="D91" s="2153">
        <v>1100</v>
      </c>
      <c r="E91" s="62" t="s">
        <v>1732</v>
      </c>
      <c r="F91" s="26" t="s">
        <v>1725</v>
      </c>
      <c r="G91" s="74">
        <v>2</v>
      </c>
      <c r="H91" s="38">
        <v>2</v>
      </c>
      <c r="I91" s="38" cm="1">
        <f t="array" ref="I91">IF($C91="","",
_xlfn.LET(
  _xlpm._見出し,$A$1:$BT$1,
  _xlpm._行,$A91:$BT91,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0</v>
      </c>
      <c r="J91" s="74" cm="1">
        <f t="array" ref="J91">_xlfn.LET(
  _xlpm._見出し,$A$1:$BS$1,
  _xlpm._行,$A91:$BS91,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IF($C91="","",_xlpm._四点五月計画合計)
)</f>
        <v>0</v>
      </c>
      <c r="K91" s="1458" t="str" cm="1">
        <f t="array" ref="K91">_xlfn.IFS(
  $C91="","",
  $G91="","発売前？",
  $G91=0,"在庫なし",
  TRUE,
  IFERROR(
    _xlfn.LET(
      _xlpm._在庫注残,     $G91,
      _xlpm._しきい値,     _xlpm._在庫注残 * 0.75,
      _xlpm._見出し元,     $L$1:$BU$1,
      _xlpm._計画,         $L91:$BU91,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計画なし</v>
      </c>
      <c r="L91" s="311"/>
      <c r="M91" s="311"/>
      <c r="N91" s="311"/>
      <c r="O91" s="311"/>
      <c r="P91" s="311"/>
      <c r="Q91" s="180"/>
      <c r="R91" s="311"/>
      <c r="S91" s="311"/>
      <c r="T91" s="298"/>
      <c r="U91" s="298"/>
      <c r="V91" s="298"/>
      <c r="W91" s="298"/>
      <c r="X91" s="299" t="s">
        <v>21</v>
      </c>
      <c r="Y91" s="343" t="s">
        <v>21</v>
      </c>
      <c r="Z91" s="299" t="s">
        <v>21</v>
      </c>
      <c r="AA91" s="224" t="s">
        <v>21</v>
      </c>
      <c r="AB91" s="237" t="s">
        <v>21</v>
      </c>
      <c r="AC91" s="237" t="s">
        <v>21</v>
      </c>
      <c r="AD91" s="237" t="s">
        <v>21</v>
      </c>
      <c r="AE91" s="237" t="s">
        <v>21</v>
      </c>
      <c r="AF91" s="237" t="s">
        <v>21</v>
      </c>
      <c r="AG91" s="237" t="s">
        <v>21</v>
      </c>
      <c r="AH91" s="224">
        <v>220</v>
      </c>
      <c r="AI91" s="237">
        <v>320</v>
      </c>
      <c r="AJ91" s="804">
        <v>90</v>
      </c>
      <c r="AK91" s="224">
        <v>100</v>
      </c>
      <c r="AL91" s="224">
        <v>153</v>
      </c>
      <c r="AM91" s="224">
        <v>223</v>
      </c>
      <c r="AN91" s="224">
        <f>_xlfn.LET(
_xlpm._一般検索,IFERROR(INDEX('在庫使用計画 (一般)'!$A$1:$BF$391,MATCH($C91,'在庫使用計画 (一般)'!$C$1:$C$391,0),MATCH(AN$1,'在庫使用計画 (一般)'!$A$1:$BF$1,0))*1,0),
_xlpm._法人検索,IFERROR(INDEX('在庫使用計画 (法人)'!$A$1:$BF$391,MATCH($C91,'在庫使用計画 (法人)'!$C$1:$C$391,0),MATCH(AN$1,'在庫使用計画 (法人)'!$A$1:$BF$1,0))*1,0),
_xlpm._合計,_xlpm._一般検索+_xlpm._法人検索,
IF(_xlpm._合計=0,"",_xlpm._合計)
)</f>
        <v>90</v>
      </c>
      <c r="AO91" s="224" t="str">
        <f>_xlfn.LET(
_xlpm._一般検索,IFERROR(INDEX('在庫使用計画 (一般)'!$A$1:$BF$391,MATCH($C91,'在庫使用計画 (一般)'!$C$1:$C$391,0),MATCH(AO$1,'在庫使用計画 (一般)'!$A$1:$BF$1,0))*1,0),
_xlpm._法人検索,IFERROR(INDEX('在庫使用計画 (法人)'!$A$1:$BF$391,MATCH($C91,'在庫使用計画 (法人)'!$C$1:$C$391,0),MATCH(AO$1,'在庫使用計画 (法人)'!$A$1:$BF$1,0))*1,0),
_xlpm._合計,_xlpm._一般検索+_xlpm._法人検索,
IF(_xlpm._合計=0,"",_xlpm._合計)
)</f>
        <v/>
      </c>
      <c r="AP91" s="224" t="str">
        <f>_xlfn.LET(
_xlpm._一般検索,IFERROR(INDEX('在庫使用計画 (一般)'!$A$1:$BF$391,MATCH($C91,'在庫使用計画 (一般)'!$C$1:$C$391,0),MATCH(AP$1,'在庫使用計画 (一般)'!$A$1:$BF$1,0))*1,0),
_xlpm._法人検索,IFERROR(INDEX('在庫使用計画 (法人)'!$A$1:$BF$391,MATCH($C91,'在庫使用計画 (法人)'!$C$1:$C$391,0),MATCH(AP$1,'在庫使用計画 (法人)'!$A$1:$BF$1,0))*1,0),
_xlpm._合計,_xlpm._一般検索+_xlpm._法人検索,
IF(_xlpm._合計=0,"",_xlpm._合計)
)</f>
        <v/>
      </c>
      <c r="AQ91" s="224" t="str">
        <f>_xlfn.LET(
_xlpm._一般検索,IFERROR(INDEX('在庫使用計画 (一般)'!$A$1:$BF$391,MATCH($C91,'在庫使用計画 (一般)'!$C$1:$C$391,0),MATCH(AQ$1,'在庫使用計画 (一般)'!$A$1:$BF$1,0))*1,0),
_xlpm._法人検索,IFERROR(INDEX('在庫使用計画 (法人)'!$A$1:$BF$391,MATCH($C91,'在庫使用計画 (法人)'!$C$1:$C$391,0),MATCH(AQ$1,'在庫使用計画 (法人)'!$A$1:$BF$1,0))*1,0),
_xlpm._合計,_xlpm._一般検索+_xlpm._法人検索,
IF(_xlpm._合計=0,"",_xlpm._合計)
)</f>
        <v/>
      </c>
      <c r="AR91" s="224" t="str">
        <f>_xlfn.LET(
_xlpm._一般検索,IFERROR(INDEX('在庫使用計画 (一般)'!$A$1:$BF$391,MATCH($C91,'在庫使用計画 (一般)'!$C$1:$C$391,0),MATCH(AR$1,'在庫使用計画 (一般)'!$A$1:$BF$1,0))*1,0),
_xlpm._法人検索,IFERROR(INDEX('在庫使用計画 (法人)'!$A$1:$BF$391,MATCH($C91,'在庫使用計画 (法人)'!$C$1:$C$391,0),MATCH(AR$1,'在庫使用計画 (法人)'!$A$1:$BF$1,0))*1,0),
_xlpm._合計,_xlpm._一般検索+_xlpm._法人検索,
IF(_xlpm._合計=0,"",_xlpm._合計)
)</f>
        <v/>
      </c>
      <c r="AS91" s="224" t="str">
        <f>_xlfn.LET(
_xlpm._一般検索,IFERROR(INDEX('在庫使用計画 (一般)'!$A$1:$BF$391,MATCH($C91,'在庫使用計画 (一般)'!$C$1:$C$391,0),MATCH(AS$1,'在庫使用計画 (一般)'!$A$1:$BF$1,0))*1,0),
_xlpm._法人検索,IFERROR(INDEX('在庫使用計画 (法人)'!$A$1:$BF$391,MATCH($C91,'在庫使用計画 (法人)'!$C$1:$C$391,0),MATCH(AS$1,'在庫使用計画 (法人)'!$A$1:$BF$1,0))*1,0),
_xlpm._合計,_xlpm._一般検索+_xlpm._法人検索,
IF(_xlpm._合計=0,"",_xlpm._合計)
)</f>
        <v/>
      </c>
      <c r="AT91" s="224" t="str">
        <f>_xlfn.LET(
_xlpm._一般検索,IFERROR(INDEX('在庫使用計画 (一般)'!$A$1:$BF$391,MATCH($C91,'在庫使用計画 (一般)'!$C$1:$C$391,0),MATCH(AT$1,'在庫使用計画 (一般)'!$A$1:$BF$1,0))*1,0),
_xlpm._法人検索,IFERROR(INDEX('在庫使用計画 (法人)'!$A$1:$BF$391,MATCH($C91,'在庫使用計画 (法人)'!$C$1:$C$391,0),MATCH(AT$1,'在庫使用計画 (法人)'!$A$1:$BF$1,0))*1,0),
_xlpm._合計,_xlpm._一般検索+_xlpm._法人検索,
IF(_xlpm._合計=0,"",_xlpm._合計)
)</f>
        <v/>
      </c>
      <c r="AU91" s="805" t="str">
        <f>_xlfn.LET(
_xlpm._一般検索,IFERROR(INDEX('在庫使用計画 (一般)'!$A$1:$BF$391,MATCH($C91,'在庫使用計画 (一般)'!$C$1:$C$391,0),MATCH(AU$1,'在庫使用計画 (一般)'!$A$1:$BF$1,0))*1,0),
_xlpm._法人検索,IFERROR(INDEX('在庫使用計画 (法人)'!$A$1:$BF$391,MATCH($C91,'在庫使用計画 (法人)'!$C$1:$C$391,0),MATCH(AU$1,'在庫使用計画 (法人)'!$A$1:$BF$1,0))*1,0),
_xlpm._合計,_xlpm._一般検索+_xlpm._法人検索,
IF(_xlpm._合計=0,"",_xlpm._合計)
)</f>
        <v/>
      </c>
      <c r="AV91" s="244" t="str">
        <f>_xlfn.LET(
_xlpm._一般検索,IFERROR(INDEX('在庫使用計画 (一般)'!$A$1:$BF$391,MATCH($C91,'在庫使用計画 (一般)'!$C$1:$C$391,0),MATCH(AV$1,'在庫使用計画 (一般)'!$A$1:$BF$1,0))*1,0),
_xlpm._法人検索,IFERROR(INDEX('在庫使用計画 (法人)'!$A$1:$BF$391,MATCH($C91,'在庫使用計画 (法人)'!$C$1:$C$391,0),MATCH(AV$1,'在庫使用計画 (法人)'!$A$1:$BF$1,0))*1,0),
_xlpm._合計,_xlpm._一般検索+_xlpm._法人検索,
IF(_xlpm._合計=0,"",_xlpm._合計)
)</f>
        <v/>
      </c>
      <c r="AW91" s="224" t="str">
        <f>_xlfn.LET(
_xlpm._一般検索,IFERROR(INDEX('在庫使用計画 (一般)'!$A$1:$BF$391,MATCH($C91,'在庫使用計画 (一般)'!$C$1:$C$391,0),MATCH(AW$1,'在庫使用計画 (一般)'!$A$1:$BF$1,0))*1,0),
_xlpm._法人検索,IFERROR(INDEX('在庫使用計画 (法人)'!$A$1:$BF$391,MATCH($C91,'在庫使用計画 (法人)'!$C$1:$C$391,0),MATCH(AW$1,'在庫使用計画 (法人)'!$A$1:$BF$1,0))*1,0),
_xlpm._合計,_xlpm._一般検索+_xlpm._法人検索,
IF(_xlpm._合計=0,"",_xlpm._合計)
)</f>
        <v/>
      </c>
      <c r="AX91" s="224" t="str">
        <f>_xlfn.LET(
_xlpm._一般検索,IFERROR(INDEX('在庫使用計画 (一般)'!$A$1:$BF$391,MATCH($C91,'在庫使用計画 (一般)'!$C$1:$C$391,0),MATCH(AX$1,'在庫使用計画 (一般)'!$A$1:$BF$1,0))*1,0),
_xlpm._法人検索,IFERROR(INDEX('在庫使用計画 (法人)'!$A$1:$BF$391,MATCH($C91,'在庫使用計画 (法人)'!$C$1:$C$391,0),MATCH(AX$1,'在庫使用計画 (法人)'!$A$1:$BF$1,0))*1,0),
_xlpm._合計,_xlpm._一般検索+_xlpm._法人検索,
IF(_xlpm._合計=0,"",_xlpm._合計)
)</f>
        <v/>
      </c>
      <c r="AY91" s="224" t="str">
        <f>_xlfn.LET(
_xlpm._一般検索,IFERROR(INDEX('在庫使用計画 (一般)'!$A$1:$BF$391,MATCH($C91,'在庫使用計画 (一般)'!$C$1:$C$391,0),MATCH(AY$1,'在庫使用計画 (一般)'!$A$1:$BF$1,0))*1,0),
_xlpm._法人検索,IFERROR(INDEX('在庫使用計画 (法人)'!$A$1:$BF$391,MATCH($C91,'在庫使用計画 (法人)'!$C$1:$C$391,0),MATCH(AY$1,'在庫使用計画 (法人)'!$A$1:$BF$1,0))*1,0),
_xlpm._合計,_xlpm._一般検索+_xlpm._法人検索,
IF(_xlpm._合計=0,"",_xlpm._合計)
)</f>
        <v/>
      </c>
      <c r="AZ91" s="224" t="str">
        <f>_xlfn.LET(
_xlpm._一般検索,IFERROR(INDEX('在庫使用計画 (一般)'!$A$1:$BF$391,MATCH($C91,'在庫使用計画 (一般)'!$C$1:$C$391,0),MATCH(AZ$1,'在庫使用計画 (一般)'!$A$1:$BF$1,0))*1,0),
_xlpm._法人検索,IFERROR(INDEX('在庫使用計画 (法人)'!$A$1:$BF$391,MATCH($C91,'在庫使用計画 (法人)'!$C$1:$C$391,0),MATCH(AZ$1,'在庫使用計画 (法人)'!$A$1:$BF$1,0))*1,0),
_xlpm._合計,_xlpm._一般検索+_xlpm._法人検索,
IF(_xlpm._合計=0,"",_xlpm._合計)
)</f>
        <v/>
      </c>
      <c r="BA91" s="224" t="str">
        <f>_xlfn.LET(
_xlpm._一般検索,IFERROR(INDEX('在庫使用計画 (一般)'!$A$1:$BF$391,MATCH($C91,'在庫使用計画 (一般)'!$C$1:$C$391,0),MATCH(BA$1,'在庫使用計画 (一般)'!$A$1:$BF$1,0))*1,0),
_xlpm._法人検索,IFERROR(INDEX('在庫使用計画 (法人)'!$A$1:$BF$391,MATCH($C91,'在庫使用計画 (法人)'!$C$1:$C$391,0),MATCH(BA$1,'在庫使用計画 (法人)'!$A$1:$BF$1,0))*1,0),
_xlpm._合計,_xlpm._一般検索+_xlpm._法人検索,
IF(_xlpm._合計=0,"",_xlpm._合計)
)</f>
        <v/>
      </c>
      <c r="BB91" s="224" t="str">
        <f>_xlfn.LET(
_xlpm._一般検索,IFERROR(INDEX('在庫使用計画 (一般)'!$A$1:$BF$391,MATCH($C91,'在庫使用計画 (一般)'!$C$1:$C$391,0),MATCH(BB$1,'在庫使用計画 (一般)'!$A$1:$BF$1,0))*1,0),
_xlpm._法人検索,IFERROR(INDEX('在庫使用計画 (法人)'!$A$1:$BF$391,MATCH($C91,'在庫使用計画 (法人)'!$C$1:$C$391,0),MATCH(BB$1,'在庫使用計画 (法人)'!$A$1:$BF$1,0))*1,0),
_xlpm._合計,_xlpm._一般検索+_xlpm._法人検索,
IF(_xlpm._合計=0,"",_xlpm._合計)
)</f>
        <v/>
      </c>
      <c r="BC91" s="224" t="str">
        <f>_xlfn.LET(
_xlpm._一般検索,IFERROR(INDEX('在庫使用計画 (一般)'!$A$1:$BF$391,MATCH($C91,'在庫使用計画 (一般)'!$C$1:$C$391,0),MATCH(BC$1,'在庫使用計画 (一般)'!$A$1:$BF$1,0))*1,0),
_xlpm._法人検索,IFERROR(INDEX('在庫使用計画 (法人)'!$A$1:$BF$391,MATCH($C91,'在庫使用計画 (法人)'!$C$1:$C$391,0),MATCH(BC$1,'在庫使用計画 (法人)'!$A$1:$BF$1,0))*1,0),
_xlpm._合計,_xlpm._一般検索+_xlpm._法人検索,
IF(_xlpm._合計=0,"",_xlpm._合計)
)</f>
        <v/>
      </c>
      <c r="BD91" s="224" t="str">
        <f>_xlfn.LET(
_xlpm._一般検索,IFERROR(INDEX('在庫使用計画 (一般)'!$A$1:$BF$391,MATCH($C91,'在庫使用計画 (一般)'!$C$1:$C$391,0),MATCH(BD$1,'在庫使用計画 (一般)'!$A$1:$BF$1,0))*1,0),
_xlpm._法人検索,IFERROR(INDEX('在庫使用計画 (法人)'!$A$1:$BF$391,MATCH($C91,'在庫使用計画 (法人)'!$C$1:$C$391,0),MATCH(BD$1,'在庫使用計画 (法人)'!$A$1:$BF$1,0))*1,0),
_xlpm._合計,_xlpm._一般検索+_xlpm._法人検索,
IF(_xlpm._合計=0,"",_xlpm._合計)
)</f>
        <v/>
      </c>
      <c r="BE91" s="224" t="str">
        <f>_xlfn.LET(
_xlpm._一般検索,IFERROR(INDEX('在庫使用計画 (一般)'!$A$1:$BF$391,MATCH($C91,'在庫使用計画 (一般)'!$C$1:$C$391,0),MATCH(BE$1,'在庫使用計画 (一般)'!$A$1:$BF$1,0))*1,0),
_xlpm._法人検索,IFERROR(INDEX('在庫使用計画 (法人)'!$A$1:$BF$391,MATCH($C91,'在庫使用計画 (法人)'!$C$1:$C$391,0),MATCH(BE$1,'在庫使用計画 (法人)'!$A$1:$BF$1,0))*1,0),
_xlpm._合計,_xlpm._一般検索+_xlpm._法人検索,
IF(_xlpm._合計=0,"",_xlpm._合計)
)</f>
        <v/>
      </c>
      <c r="BF91" s="224" t="str">
        <f>_xlfn.LET(
_xlpm._一般検索,IFERROR(INDEX('在庫使用計画 (一般)'!$A$1:$BF$391,MATCH($C91,'在庫使用計画 (一般)'!$C$1:$C$391,0),MATCH(BF$1,'在庫使用計画 (一般)'!$A$1:$BF$1,0))*1,0),
_xlpm._法人検索,IFERROR(INDEX('在庫使用計画 (法人)'!$A$1:$BF$391,MATCH($C91,'在庫使用計画 (法人)'!$C$1:$C$391,0),MATCH(BF$1,'在庫使用計画 (法人)'!$A$1:$BF$1,0))*1,0),
_xlpm._合計,_xlpm._一般検索+_xlpm._法人検索,
IF(_xlpm._合計=0,"",_xlpm._合計)
)</f>
        <v/>
      </c>
      <c r="BG91" s="237" t="str">
        <f>_xlfn.LET(
_xlpm._一般検索,IFERROR(INDEX('在庫使用計画 (一般)'!$A$1:$BF$391,MATCH($C91,'在庫使用計画 (一般)'!$C$1:$C$391,0),MATCH(BG$1,'在庫使用計画 (一般)'!$A$1:$BF$1,0))*1,0),
_xlpm._法人検索,IFERROR(INDEX('在庫使用計画 (法人)'!$A$1:$BF$391,MATCH($C91,'在庫使用計画 (法人)'!$C$1:$C$391,0),MATCH(BG$1,'在庫使用計画 (法人)'!$A$1:$BF$1,0))*1,0),
_xlpm._合計,_xlpm._一般検索+_xlpm._法人検索,
IF(_xlpm._合計=0,"",_xlpm._合計)
)</f>
        <v/>
      </c>
      <c r="BH91" s="804" t="str">
        <f>_xlfn.LET(
_xlpm._一般検索,IFERROR(INDEX('在庫使用計画 (一般)'!$A$1:$BF$391,MATCH($C91,'在庫使用計画 (一般)'!$C$1:$C$391,0),MATCH(BH$1,'在庫使用計画 (一般)'!$A$1:$BF$1,0))*1,0),
_xlpm._法人検索,IFERROR(INDEX('在庫使用計画 (法人)'!$A$1:$BF$391,MATCH($C91,'在庫使用計画 (法人)'!$C$1:$C$391,0),MATCH(BH$1,'在庫使用計画 (法人)'!$A$1:$BF$1,0))*1,0),
_xlpm._合計,_xlpm._一般検索+_xlpm._法人検索,
IF(_xlpm._合計=0,"",_xlpm._合計)
)</f>
        <v/>
      </c>
      <c r="BI91" s="224" t="str">
        <f>_xlfn.LET(
_xlpm._一般検索,IFERROR(INDEX('在庫使用計画 (一般)'!$A$1:$BF$391,MATCH($C91,'在庫使用計画 (一般)'!$C$1:$C$391,0),MATCH(BI$1,'在庫使用計画 (一般)'!$A$1:$BF$1,0))*1,0),
_xlpm._法人検索,IFERROR(INDEX('在庫使用計画 (法人)'!$A$1:$BF$391,MATCH($C91,'在庫使用計画 (法人)'!$C$1:$C$391,0),MATCH(BI$1,'在庫使用計画 (法人)'!$A$1:$BF$1,0))*1,0),
_xlpm._合計,_xlpm._一般検索+_xlpm._法人検索,
IF(_xlpm._合計=0,"",_xlpm._合計)
)</f>
        <v/>
      </c>
      <c r="BJ91" s="224" t="str">
        <f>_xlfn.LET(
_xlpm._一般検索,IFERROR(INDEX('在庫使用計画 (一般)'!$A$1:$BF$391,MATCH($C91,'在庫使用計画 (一般)'!$C$1:$C$391,0),MATCH(BJ$1,'在庫使用計画 (一般)'!$A$1:$BF$1,0))*1,0),
_xlpm._法人検索,IFERROR(INDEX('在庫使用計画 (法人)'!$A$1:$BF$391,MATCH($C91,'在庫使用計画 (法人)'!$C$1:$C$391,0),MATCH(BJ$1,'在庫使用計画 (法人)'!$A$1:$BF$1,0))*1,0),
_xlpm._合計,_xlpm._一般検索+_xlpm._法人検索,
IF(_xlpm._合計=0,"",_xlpm._合計)
)</f>
        <v/>
      </c>
      <c r="BK91" s="224" t="str">
        <f>_xlfn.LET(
_xlpm._一般検索,IFERROR(INDEX('在庫使用計画 (一般)'!$A$1:$BF$391,MATCH($C91,'在庫使用計画 (一般)'!$C$1:$C$391,0),MATCH(BK$1,'在庫使用計画 (一般)'!$A$1:$BF$1,0))*1,0),
_xlpm._法人検索,IFERROR(INDEX('在庫使用計画 (法人)'!$A$1:$BF$391,MATCH($C91,'在庫使用計画 (法人)'!$C$1:$C$391,0),MATCH(BK$1,'在庫使用計画 (法人)'!$A$1:$BF$1,0))*1,0),
_xlpm._合計,_xlpm._一般検索+_xlpm._法人検索,
IF(_xlpm._合計=0,"",_xlpm._合計)
)</f>
        <v/>
      </c>
      <c r="BL91" s="224" t="str">
        <f>_xlfn.LET(
_xlpm._一般検索,IFERROR(INDEX('在庫使用計画 (一般)'!$A$1:$BF$391,MATCH($C91,'在庫使用計画 (一般)'!$C$1:$C$391,0),MATCH(BL$1,'在庫使用計画 (一般)'!$A$1:$BF$1,0))*1,0),
_xlpm._法人検索,IFERROR(INDEX('在庫使用計画 (法人)'!$A$1:$BF$391,MATCH($C91,'在庫使用計画 (法人)'!$C$1:$C$391,0),MATCH(BL$1,'在庫使用計画 (法人)'!$A$1:$BF$1,0))*1,0),
_xlpm._合計,_xlpm._一般検索+_xlpm._法人検索,
IF(_xlpm._合計=0,"",_xlpm._合計)
)</f>
        <v/>
      </c>
      <c r="BM91" s="224" t="str">
        <f>_xlfn.LET(
_xlpm._一般検索,IFERROR(INDEX('在庫使用計画 (一般)'!$A$1:$BF$391,MATCH($C91,'在庫使用計画 (一般)'!$C$1:$C$391,0),MATCH(BM$1,'在庫使用計画 (一般)'!$A$1:$BF$1,0))*1,0),
_xlpm._法人検索,IFERROR(INDEX('在庫使用計画 (法人)'!$A$1:$BF$391,MATCH($C91,'在庫使用計画 (法人)'!$C$1:$C$391,0),MATCH(BM$1,'在庫使用計画 (法人)'!$A$1:$BF$1,0))*1,0),
_xlpm._合計,_xlpm._一般検索+_xlpm._法人検索,
IF(_xlpm._合計=0,"",_xlpm._合計)
)</f>
        <v/>
      </c>
      <c r="BN91" s="224" t="str">
        <f>_xlfn.LET(
_xlpm._一般検索,IFERROR(INDEX('在庫使用計画 (一般)'!$A$1:$BF$391,MATCH($C91,'在庫使用計画 (一般)'!$C$1:$C$391,0),MATCH(BN$1,'在庫使用計画 (一般)'!$A$1:$BF$1,0))*1,0),
_xlpm._法人検索,IFERROR(INDEX('在庫使用計画 (法人)'!$A$1:$BF$391,MATCH($C91,'在庫使用計画 (法人)'!$C$1:$C$391,0),MATCH(BN$1,'在庫使用計画 (法人)'!$A$1:$BF$1,0))*1,0),
_xlpm._合計,_xlpm._一般検索+_xlpm._法人検索,
IF(_xlpm._合計=0,"",_xlpm._合計)
)</f>
        <v/>
      </c>
      <c r="BO91" s="224" t="str">
        <f>_xlfn.LET(
_xlpm._一般検索,IFERROR(INDEX('在庫使用計画 (一般)'!$A$1:$BF$391,MATCH($C91,'在庫使用計画 (一般)'!$C$1:$C$391,0),MATCH(BO$1,'在庫使用計画 (一般)'!$A$1:$BF$1,0))*1,0),
_xlpm._法人検索,IFERROR(INDEX('在庫使用計画 (法人)'!$A$1:$BF$391,MATCH($C91,'在庫使用計画 (法人)'!$C$1:$C$391,0),MATCH(BO$1,'在庫使用計画 (法人)'!$A$1:$BF$1,0))*1,0),
_xlpm._合計,_xlpm._一般検索+_xlpm._法人検索,
IF(_xlpm._合計=0,"",_xlpm._合計)
)</f>
        <v/>
      </c>
      <c r="BP91" s="224" t="str">
        <f>_xlfn.LET(
_xlpm._一般検索,IFERROR(INDEX('在庫使用計画 (一般)'!$A$1:$BF$391,MATCH($C91,'在庫使用計画 (一般)'!$C$1:$C$391,0),MATCH(BP$1,'在庫使用計画 (一般)'!$A$1:$BF$1,0))*1,0),
_xlpm._法人検索,IFERROR(INDEX('在庫使用計画 (法人)'!$A$1:$BF$391,MATCH($C91,'在庫使用計画 (法人)'!$C$1:$C$391,0),MATCH(BP$1,'在庫使用計画 (法人)'!$A$1:$BF$1,0))*1,0),
_xlpm._合計,_xlpm._一般検索+_xlpm._法人検索,
IF(_xlpm._合計=0,"",_xlpm._合計)
)</f>
        <v/>
      </c>
      <c r="BQ91" s="224" t="str">
        <f>_xlfn.LET(
_xlpm._一般検索,IFERROR(INDEX('在庫使用計画 (一般)'!$A$1:$BF$391,MATCH($C91,'在庫使用計画 (一般)'!$C$1:$C$391,0),MATCH(BQ$1,'在庫使用計画 (一般)'!$A$1:$BF$1,0))*1,0),
_xlpm._法人検索,IFERROR(INDEX('在庫使用計画 (法人)'!$A$1:$BF$391,MATCH($C91,'在庫使用計画 (法人)'!$C$1:$C$391,0),MATCH(BQ$1,'在庫使用計画 (法人)'!$A$1:$BF$1,0))*1,0),
_xlpm._合計,_xlpm._一般検索+_xlpm._法人検索,
IF(_xlpm._合計=0,"",_xlpm._合計)
)</f>
        <v/>
      </c>
      <c r="BR91" s="224" t="str">
        <f>_xlfn.LET(
_xlpm._一般検索,IFERROR(INDEX('在庫使用計画 (一般)'!$A$1:$BF$391,MATCH($C91,'在庫使用計画 (一般)'!$C$1:$C$391,0),MATCH(BR$1,'在庫使用計画 (一般)'!$A$1:$BF$1,0))*1,0),
_xlpm._法人検索,IFERROR(INDEX('在庫使用計画 (法人)'!$A$1:$BF$391,MATCH($C91,'在庫使用計画 (法人)'!$C$1:$C$391,0),MATCH(BR$1,'在庫使用計画 (法人)'!$A$1:$BF$1,0))*1,0),
_xlpm._合計,_xlpm._一般検索+_xlpm._法人検索,
IF(_xlpm._合計=0,"",_xlpm._合計)
)</f>
        <v/>
      </c>
      <c r="BS91" s="805" t="str">
        <f>_xlfn.LET(
_xlpm._一般検索,IFERROR(INDEX('在庫使用計画 (一般)'!$A$1:$BF$391,MATCH($C91,'在庫使用計画 (一般)'!$C$1:$C$391,0),MATCH(BS$1,'在庫使用計画 (一般)'!$A$1:$BF$1,0))*1,0),
_xlpm._法人検索,IFERROR(INDEX('在庫使用計画 (法人)'!$A$1:$BF$391,MATCH($C91,'在庫使用計画 (法人)'!$C$1:$C$391,0),MATCH(BS$1,'在庫使用計画 (法人)'!$A$1:$BF$1,0))*1,0),
_xlpm._合計,_xlpm._一般検索+_xlpm._法人検索,
IF(_xlpm._合計=0,"",_xlpm._合計)
)</f>
        <v/>
      </c>
      <c r="BT91" s="21"/>
    </row>
    <row r="92" spans="1:72" customFormat="1" ht="18.75" customHeight="1">
      <c r="A92" s="2064" t="s">
        <v>1473</v>
      </c>
      <c r="B92" s="14" t="str">
        <v>CLE-NL45-1334U-UMA-L6-TPM DDR5 Thirdwave</v>
      </c>
      <c r="C92" s="701" t="s">
        <v>733</v>
      </c>
      <c r="D92" s="2166">
        <v>432</v>
      </c>
      <c r="E92" s="702" t="s">
        <v>1472</v>
      </c>
      <c r="F92" s="704" t="s">
        <v>20</v>
      </c>
      <c r="G92" s="74">
        <v>259</v>
      </c>
      <c r="H92" s="38">
        <v>259</v>
      </c>
      <c r="I92" s="74" cm="1">
        <f t="array" ref="I92">IF($C92="","",
_xlfn.LET(
  _xlpm._見出し,$A$1:$BT$1,
  _xlpm._行,$A92:$BT92,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254</v>
      </c>
      <c r="J92" s="74" cm="1">
        <f t="array" ref="J92">_xlfn.LET(
  _xlpm._見出し,$A$1:$BS$1,
  _xlpm._行,$A92:$BS92,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IF($C92="","",_xlpm._四点五月計画合計)
)</f>
        <v>194</v>
      </c>
      <c r="K92" s="1458" cm="1">
        <f t="array" ref="K92">_xlfn.IFS(
  $C92="","",
  $G92="","発売前？",
  $G92=0,"在庫なし",
  TRUE,
  IFERROR(
    _xlfn.LET(
      _xlpm._在庫注残,     $G92,
      _xlpm._しきい値,     _xlpm._在庫注残 * 0.75,
      _xlpm._見出し元,     $L$1:$BU$1,
      _xlpm._計画,         $L92:$BU92,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46235</v>
      </c>
      <c r="L92" s="705"/>
      <c r="M92" s="705"/>
      <c r="N92" s="705"/>
      <c r="O92" s="705"/>
      <c r="P92" s="705"/>
      <c r="Q92" s="705"/>
      <c r="R92" s="705"/>
      <c r="S92" s="706"/>
      <c r="T92" s="351"/>
      <c r="U92" s="351"/>
      <c r="V92" s="707"/>
      <c r="W92" s="349"/>
      <c r="X92" s="708"/>
      <c r="Y92" s="708"/>
      <c r="Z92" s="709"/>
      <c r="AA92" s="709"/>
      <c r="AB92" s="709"/>
      <c r="AC92" s="710"/>
      <c r="AD92" s="709"/>
      <c r="AE92" s="224"/>
      <c r="AF92" s="224" t="s">
        <v>21</v>
      </c>
      <c r="AG92" s="224" t="s">
        <v>21</v>
      </c>
      <c r="AH92" s="224" t="s">
        <v>21</v>
      </c>
      <c r="AI92" s="237" t="s">
        <v>21</v>
      </c>
      <c r="AJ92" s="804" t="s">
        <v>21</v>
      </c>
      <c r="AK92" s="224" t="s">
        <v>21</v>
      </c>
      <c r="AL92" s="224" t="s">
        <v>21</v>
      </c>
      <c r="AM92" s="224" t="s">
        <v>21</v>
      </c>
      <c r="AN92" s="224">
        <f>_xlfn.LET(
_xlpm._一般検索,IFERROR(INDEX('在庫使用計画 (一般)'!$A$1:$BF$391,MATCH($C92,'在庫使用計画 (一般)'!$C$1:$C$391,0),MATCH(AN$1,'在庫使用計画 (一般)'!$A$1:$BF$1,0))*1,0),
_xlpm._法人検索,IFERROR(INDEX('在庫使用計画 (法人)'!$A$1:$BF$391,MATCH($C92,'在庫使用計画 (法人)'!$C$1:$C$391,0),MATCH(AN$1,'在庫使用計画 (法人)'!$A$1:$BF$1,0))*1,0),
_xlpm._合計,_xlpm._一般検索+_xlpm._法人検索,
IF(_xlpm._合計=0,"",_xlpm._合計)
)</f>
        <v>30</v>
      </c>
      <c r="AO92" s="224">
        <f>_xlfn.LET(
_xlpm._一般検索,IFERROR(INDEX('在庫使用計画 (一般)'!$A$1:$BF$391,MATCH($C92,'在庫使用計画 (一般)'!$C$1:$C$391,0),MATCH(AO$1,'在庫使用計画 (一般)'!$A$1:$BF$1,0))*1,0),
_xlpm._法人検索,IFERROR(INDEX('在庫使用計画 (法人)'!$A$1:$BF$391,MATCH($C92,'在庫使用計画 (法人)'!$C$1:$C$391,0),MATCH(AO$1,'在庫使用計画 (法人)'!$A$1:$BF$1,0))*1,0),
_xlpm._合計,_xlpm._一般検索+_xlpm._法人検索,
IF(_xlpm._合計=0,"",_xlpm._合計)
)</f>
        <v>140</v>
      </c>
      <c r="AP92" s="224">
        <f>_xlfn.LET(
_xlpm._一般検索,IFERROR(INDEX('在庫使用計画 (一般)'!$A$1:$BF$391,MATCH($C92,'在庫使用計画 (一般)'!$C$1:$C$391,0),MATCH(AP$1,'在庫使用計画 (一般)'!$A$1:$BF$1,0))*1,0),
_xlpm._法人検索,IFERROR(INDEX('在庫使用計画 (法人)'!$A$1:$BF$391,MATCH($C92,'在庫使用計画 (法人)'!$C$1:$C$391,0),MATCH(AP$1,'在庫使用計画 (法人)'!$A$1:$BF$1,0))*1,0),
_xlpm._合計,_xlpm._一般検索+_xlpm._法人検索,
IF(_xlpm._合計=0,"",_xlpm._合計)
)</f>
        <v>120</v>
      </c>
      <c r="AQ92" s="224">
        <f>_xlfn.LET(
_xlpm._一般検索,IFERROR(INDEX('在庫使用計画 (一般)'!$A$1:$BF$391,MATCH($C92,'在庫使用計画 (一般)'!$C$1:$C$391,0),MATCH(AQ$1,'在庫使用計画 (一般)'!$A$1:$BF$1,0))*1,0),
_xlpm._法人検索,IFERROR(INDEX('在庫使用計画 (法人)'!$A$1:$BF$391,MATCH($C92,'在庫使用計画 (法人)'!$C$1:$C$391,0),MATCH(AQ$1,'在庫使用計画 (法人)'!$A$1:$BF$1,0))*1,0),
_xlpm._合計,_xlpm._一般検索+_xlpm._法人検索,
IF(_xlpm._合計=0,"",_xlpm._合計)
)</f>
        <v>124</v>
      </c>
      <c r="AR92" s="224">
        <f>_xlfn.LET(
_xlpm._一般検索,IFERROR(INDEX('在庫使用計画 (一般)'!$A$1:$BF$391,MATCH($C92,'在庫使用計画 (一般)'!$C$1:$C$391,0),MATCH(AR$1,'在庫使用計画 (一般)'!$A$1:$BF$1,0))*1,0),
_xlpm._法人検索,IFERROR(INDEX('在庫使用計画 (法人)'!$A$1:$BF$391,MATCH($C92,'在庫使用計画 (法人)'!$C$1:$C$391,0),MATCH(AR$1,'在庫使用計画 (法人)'!$A$1:$BF$1,0))*1,0),
_xlpm._合計,_xlpm._一般検索+_xlpm._法人検索,
IF(_xlpm._合計=0,"",_xlpm._合計)
)</f>
        <v>10</v>
      </c>
      <c r="AS92" s="224" t="str">
        <f>_xlfn.LET(
_xlpm._一般検索,IFERROR(INDEX('在庫使用計画 (一般)'!$A$1:$BF$391,MATCH($C92,'在庫使用計画 (一般)'!$C$1:$C$391,0),MATCH(AS$1,'在庫使用計画 (一般)'!$A$1:$BF$1,0))*1,0),
_xlpm._法人検索,IFERROR(INDEX('在庫使用計画 (法人)'!$A$1:$BF$391,MATCH($C92,'在庫使用計画 (法人)'!$C$1:$C$391,0),MATCH(AS$1,'在庫使用計画 (法人)'!$A$1:$BF$1,0))*1,0),
_xlpm._合計,_xlpm._一般検索+_xlpm._法人検索,
IF(_xlpm._合計=0,"",_xlpm._合計)
)</f>
        <v/>
      </c>
      <c r="AT92" s="224" t="str">
        <f>_xlfn.LET(
_xlpm._一般検索,IFERROR(INDEX('在庫使用計画 (一般)'!$A$1:$BF$391,MATCH($C92,'在庫使用計画 (一般)'!$C$1:$C$391,0),MATCH(AT$1,'在庫使用計画 (一般)'!$A$1:$BF$1,0))*1,0),
_xlpm._法人検索,IFERROR(INDEX('在庫使用計画 (法人)'!$A$1:$BF$391,MATCH($C92,'在庫使用計画 (法人)'!$C$1:$C$391,0),MATCH(AT$1,'在庫使用計画 (法人)'!$A$1:$BF$1,0))*1,0),
_xlpm._合計,_xlpm._一般検索+_xlpm._法人検索,
IF(_xlpm._合計=0,"",_xlpm._合計)
)</f>
        <v/>
      </c>
      <c r="AU92" s="805" t="str">
        <f>_xlfn.LET(
_xlpm._一般検索,IFERROR(INDEX('在庫使用計画 (一般)'!$A$1:$BF$391,MATCH($C92,'在庫使用計画 (一般)'!$C$1:$C$391,0),MATCH(AU$1,'在庫使用計画 (一般)'!$A$1:$BF$1,0))*1,0),
_xlpm._法人検索,IFERROR(INDEX('在庫使用計画 (法人)'!$A$1:$BF$391,MATCH($C92,'在庫使用計画 (法人)'!$C$1:$C$391,0),MATCH(AU$1,'在庫使用計画 (法人)'!$A$1:$BF$1,0))*1,0),
_xlpm._合計,_xlpm._一般検索+_xlpm._法人検索,
IF(_xlpm._合計=0,"",_xlpm._合計)
)</f>
        <v/>
      </c>
      <c r="AV92" s="244" t="str">
        <f>_xlfn.LET(
_xlpm._一般検索,IFERROR(INDEX('在庫使用計画 (一般)'!$A$1:$BF$391,MATCH($C92,'在庫使用計画 (一般)'!$C$1:$C$391,0),MATCH(AV$1,'在庫使用計画 (一般)'!$A$1:$BF$1,0))*1,0),
_xlpm._法人検索,IFERROR(INDEX('在庫使用計画 (法人)'!$A$1:$BF$391,MATCH($C92,'在庫使用計画 (法人)'!$C$1:$C$391,0),MATCH(AV$1,'在庫使用計画 (法人)'!$A$1:$BF$1,0))*1,0),
_xlpm._合計,_xlpm._一般検索+_xlpm._法人検索,
IF(_xlpm._合計=0,"",_xlpm._合計)
)</f>
        <v/>
      </c>
      <c r="AW92" s="224" t="str">
        <f>_xlfn.LET(
_xlpm._一般検索,IFERROR(INDEX('在庫使用計画 (一般)'!$A$1:$BF$391,MATCH($C92,'在庫使用計画 (一般)'!$C$1:$C$391,0),MATCH(AW$1,'在庫使用計画 (一般)'!$A$1:$BF$1,0))*1,0),
_xlpm._法人検索,IFERROR(INDEX('在庫使用計画 (法人)'!$A$1:$BF$391,MATCH($C92,'在庫使用計画 (法人)'!$C$1:$C$391,0),MATCH(AW$1,'在庫使用計画 (法人)'!$A$1:$BF$1,0))*1,0),
_xlpm._合計,_xlpm._一般検索+_xlpm._法人検索,
IF(_xlpm._合計=0,"",_xlpm._合計)
)</f>
        <v/>
      </c>
      <c r="AX92" s="224" t="str">
        <f>_xlfn.LET(
_xlpm._一般検索,IFERROR(INDEX('在庫使用計画 (一般)'!$A$1:$BF$391,MATCH($C92,'在庫使用計画 (一般)'!$C$1:$C$391,0),MATCH(AX$1,'在庫使用計画 (一般)'!$A$1:$BF$1,0))*1,0),
_xlpm._法人検索,IFERROR(INDEX('在庫使用計画 (法人)'!$A$1:$BF$391,MATCH($C92,'在庫使用計画 (法人)'!$C$1:$C$391,0),MATCH(AX$1,'在庫使用計画 (法人)'!$A$1:$BF$1,0))*1,0),
_xlpm._合計,_xlpm._一般検索+_xlpm._法人検索,
IF(_xlpm._合計=0,"",_xlpm._合計)
)</f>
        <v/>
      </c>
      <c r="AY92" s="224" t="str">
        <f>_xlfn.LET(
_xlpm._一般検索,IFERROR(INDEX('在庫使用計画 (一般)'!$A$1:$BF$391,MATCH($C92,'在庫使用計画 (一般)'!$C$1:$C$391,0),MATCH(AY$1,'在庫使用計画 (一般)'!$A$1:$BF$1,0))*1,0),
_xlpm._法人検索,IFERROR(INDEX('在庫使用計画 (法人)'!$A$1:$BF$391,MATCH($C92,'在庫使用計画 (法人)'!$C$1:$C$391,0),MATCH(AY$1,'在庫使用計画 (法人)'!$A$1:$BF$1,0))*1,0),
_xlpm._合計,_xlpm._一般検索+_xlpm._法人検索,
IF(_xlpm._合計=0,"",_xlpm._合計)
)</f>
        <v/>
      </c>
      <c r="AZ92" s="224" t="str">
        <f>_xlfn.LET(
_xlpm._一般検索,IFERROR(INDEX('在庫使用計画 (一般)'!$A$1:$BF$391,MATCH($C92,'在庫使用計画 (一般)'!$C$1:$C$391,0),MATCH(AZ$1,'在庫使用計画 (一般)'!$A$1:$BF$1,0))*1,0),
_xlpm._法人検索,IFERROR(INDEX('在庫使用計画 (法人)'!$A$1:$BF$391,MATCH($C92,'在庫使用計画 (法人)'!$C$1:$C$391,0),MATCH(AZ$1,'在庫使用計画 (法人)'!$A$1:$BF$1,0))*1,0),
_xlpm._合計,_xlpm._一般検索+_xlpm._法人検索,
IF(_xlpm._合計=0,"",_xlpm._合計)
)</f>
        <v/>
      </c>
      <c r="BA92" s="224" t="str">
        <f>_xlfn.LET(
_xlpm._一般検索,IFERROR(INDEX('在庫使用計画 (一般)'!$A$1:$BF$391,MATCH($C92,'在庫使用計画 (一般)'!$C$1:$C$391,0),MATCH(BA$1,'在庫使用計画 (一般)'!$A$1:$BF$1,0))*1,0),
_xlpm._法人検索,IFERROR(INDEX('在庫使用計画 (法人)'!$A$1:$BF$391,MATCH($C92,'在庫使用計画 (法人)'!$C$1:$C$391,0),MATCH(BA$1,'在庫使用計画 (法人)'!$A$1:$BF$1,0))*1,0),
_xlpm._合計,_xlpm._一般検索+_xlpm._法人検索,
IF(_xlpm._合計=0,"",_xlpm._合計)
)</f>
        <v/>
      </c>
      <c r="BB92" s="224" t="str">
        <f>_xlfn.LET(
_xlpm._一般検索,IFERROR(INDEX('在庫使用計画 (一般)'!$A$1:$BF$391,MATCH($C92,'在庫使用計画 (一般)'!$C$1:$C$391,0),MATCH(BB$1,'在庫使用計画 (一般)'!$A$1:$BF$1,0))*1,0),
_xlpm._法人検索,IFERROR(INDEX('在庫使用計画 (法人)'!$A$1:$BF$391,MATCH($C92,'在庫使用計画 (法人)'!$C$1:$C$391,0),MATCH(BB$1,'在庫使用計画 (法人)'!$A$1:$BF$1,0))*1,0),
_xlpm._合計,_xlpm._一般検索+_xlpm._法人検索,
IF(_xlpm._合計=0,"",_xlpm._合計)
)</f>
        <v/>
      </c>
      <c r="BC92" s="224" t="str">
        <f>_xlfn.LET(
_xlpm._一般検索,IFERROR(INDEX('在庫使用計画 (一般)'!$A$1:$BF$391,MATCH($C92,'在庫使用計画 (一般)'!$C$1:$C$391,0),MATCH(BC$1,'在庫使用計画 (一般)'!$A$1:$BF$1,0))*1,0),
_xlpm._法人検索,IFERROR(INDEX('在庫使用計画 (法人)'!$A$1:$BF$391,MATCH($C92,'在庫使用計画 (法人)'!$C$1:$C$391,0),MATCH(BC$1,'在庫使用計画 (法人)'!$A$1:$BF$1,0))*1,0),
_xlpm._合計,_xlpm._一般検索+_xlpm._法人検索,
IF(_xlpm._合計=0,"",_xlpm._合計)
)</f>
        <v/>
      </c>
      <c r="BD92" s="224" t="str">
        <f>_xlfn.LET(
_xlpm._一般検索,IFERROR(INDEX('在庫使用計画 (一般)'!$A$1:$BF$391,MATCH($C92,'在庫使用計画 (一般)'!$C$1:$C$391,0),MATCH(BD$1,'在庫使用計画 (一般)'!$A$1:$BF$1,0))*1,0),
_xlpm._法人検索,IFERROR(INDEX('在庫使用計画 (法人)'!$A$1:$BF$391,MATCH($C92,'在庫使用計画 (法人)'!$C$1:$C$391,0),MATCH(BD$1,'在庫使用計画 (法人)'!$A$1:$BF$1,0))*1,0),
_xlpm._合計,_xlpm._一般検索+_xlpm._法人検索,
IF(_xlpm._合計=0,"",_xlpm._合計)
)</f>
        <v/>
      </c>
      <c r="BE92" s="224" t="str">
        <f>_xlfn.LET(
_xlpm._一般検索,IFERROR(INDEX('在庫使用計画 (一般)'!$A$1:$BF$391,MATCH($C92,'在庫使用計画 (一般)'!$C$1:$C$391,0),MATCH(BE$1,'在庫使用計画 (一般)'!$A$1:$BF$1,0))*1,0),
_xlpm._法人検索,IFERROR(INDEX('在庫使用計画 (法人)'!$A$1:$BF$391,MATCH($C92,'在庫使用計画 (法人)'!$C$1:$C$391,0),MATCH(BE$1,'在庫使用計画 (法人)'!$A$1:$BF$1,0))*1,0),
_xlpm._合計,_xlpm._一般検索+_xlpm._法人検索,
IF(_xlpm._合計=0,"",_xlpm._合計)
)</f>
        <v/>
      </c>
      <c r="BF92" s="224" t="str">
        <f>_xlfn.LET(
_xlpm._一般検索,IFERROR(INDEX('在庫使用計画 (一般)'!$A$1:$BF$391,MATCH($C92,'在庫使用計画 (一般)'!$C$1:$C$391,0),MATCH(BF$1,'在庫使用計画 (一般)'!$A$1:$BF$1,0))*1,0),
_xlpm._法人検索,IFERROR(INDEX('在庫使用計画 (法人)'!$A$1:$BF$391,MATCH($C92,'在庫使用計画 (法人)'!$C$1:$C$391,0),MATCH(BF$1,'在庫使用計画 (法人)'!$A$1:$BF$1,0))*1,0),
_xlpm._合計,_xlpm._一般検索+_xlpm._法人検索,
IF(_xlpm._合計=0,"",_xlpm._合計)
)</f>
        <v/>
      </c>
      <c r="BG92" s="237" t="str">
        <f>_xlfn.LET(
_xlpm._一般検索,IFERROR(INDEX('在庫使用計画 (一般)'!$A$1:$BF$391,MATCH($C92,'在庫使用計画 (一般)'!$C$1:$C$391,0),MATCH(BG$1,'在庫使用計画 (一般)'!$A$1:$BF$1,0))*1,0),
_xlpm._法人検索,IFERROR(INDEX('在庫使用計画 (法人)'!$A$1:$BF$391,MATCH($C92,'在庫使用計画 (法人)'!$C$1:$C$391,0),MATCH(BG$1,'在庫使用計画 (法人)'!$A$1:$BF$1,0))*1,0),
_xlpm._合計,_xlpm._一般検索+_xlpm._法人検索,
IF(_xlpm._合計=0,"",_xlpm._合計)
)</f>
        <v/>
      </c>
      <c r="BH92" s="804" t="str">
        <f>_xlfn.LET(
_xlpm._一般検索,IFERROR(INDEX('在庫使用計画 (一般)'!$A$1:$BF$391,MATCH($C92,'在庫使用計画 (一般)'!$C$1:$C$391,0),MATCH(BH$1,'在庫使用計画 (一般)'!$A$1:$BF$1,0))*1,0),
_xlpm._法人検索,IFERROR(INDEX('在庫使用計画 (法人)'!$A$1:$BF$391,MATCH($C92,'在庫使用計画 (法人)'!$C$1:$C$391,0),MATCH(BH$1,'在庫使用計画 (法人)'!$A$1:$BF$1,0))*1,0),
_xlpm._合計,_xlpm._一般検索+_xlpm._法人検索,
IF(_xlpm._合計=0,"",_xlpm._合計)
)</f>
        <v/>
      </c>
      <c r="BI92" s="224" t="str">
        <f>_xlfn.LET(
_xlpm._一般検索,IFERROR(INDEX('在庫使用計画 (一般)'!$A$1:$BF$391,MATCH($C92,'在庫使用計画 (一般)'!$C$1:$C$391,0),MATCH(BI$1,'在庫使用計画 (一般)'!$A$1:$BF$1,0))*1,0),
_xlpm._法人検索,IFERROR(INDEX('在庫使用計画 (法人)'!$A$1:$BF$391,MATCH($C92,'在庫使用計画 (法人)'!$C$1:$C$391,0),MATCH(BI$1,'在庫使用計画 (法人)'!$A$1:$BF$1,0))*1,0),
_xlpm._合計,_xlpm._一般検索+_xlpm._法人検索,
IF(_xlpm._合計=0,"",_xlpm._合計)
)</f>
        <v/>
      </c>
      <c r="BJ92" s="224" t="str">
        <f>_xlfn.LET(
_xlpm._一般検索,IFERROR(INDEX('在庫使用計画 (一般)'!$A$1:$BF$391,MATCH($C92,'在庫使用計画 (一般)'!$C$1:$C$391,0),MATCH(BJ$1,'在庫使用計画 (一般)'!$A$1:$BF$1,0))*1,0),
_xlpm._法人検索,IFERROR(INDEX('在庫使用計画 (法人)'!$A$1:$BF$391,MATCH($C92,'在庫使用計画 (法人)'!$C$1:$C$391,0),MATCH(BJ$1,'在庫使用計画 (法人)'!$A$1:$BF$1,0))*1,0),
_xlpm._合計,_xlpm._一般検索+_xlpm._法人検索,
IF(_xlpm._合計=0,"",_xlpm._合計)
)</f>
        <v/>
      </c>
      <c r="BK92" s="224" t="str">
        <f>_xlfn.LET(
_xlpm._一般検索,IFERROR(INDEX('在庫使用計画 (一般)'!$A$1:$BF$391,MATCH($C92,'在庫使用計画 (一般)'!$C$1:$C$391,0),MATCH(BK$1,'在庫使用計画 (一般)'!$A$1:$BF$1,0))*1,0),
_xlpm._法人検索,IFERROR(INDEX('在庫使用計画 (法人)'!$A$1:$BF$391,MATCH($C92,'在庫使用計画 (法人)'!$C$1:$C$391,0),MATCH(BK$1,'在庫使用計画 (法人)'!$A$1:$BF$1,0))*1,0),
_xlpm._合計,_xlpm._一般検索+_xlpm._法人検索,
IF(_xlpm._合計=0,"",_xlpm._合計)
)</f>
        <v/>
      </c>
      <c r="BL92" s="224" t="str">
        <f>_xlfn.LET(
_xlpm._一般検索,IFERROR(INDEX('在庫使用計画 (一般)'!$A$1:$BF$391,MATCH($C92,'在庫使用計画 (一般)'!$C$1:$C$391,0),MATCH(BL$1,'在庫使用計画 (一般)'!$A$1:$BF$1,0))*1,0),
_xlpm._法人検索,IFERROR(INDEX('在庫使用計画 (法人)'!$A$1:$BF$391,MATCH($C92,'在庫使用計画 (法人)'!$C$1:$C$391,0),MATCH(BL$1,'在庫使用計画 (法人)'!$A$1:$BF$1,0))*1,0),
_xlpm._合計,_xlpm._一般検索+_xlpm._法人検索,
IF(_xlpm._合計=0,"",_xlpm._合計)
)</f>
        <v/>
      </c>
      <c r="BM92" s="224" t="str">
        <f>_xlfn.LET(
_xlpm._一般検索,IFERROR(INDEX('在庫使用計画 (一般)'!$A$1:$BF$391,MATCH($C92,'在庫使用計画 (一般)'!$C$1:$C$391,0),MATCH(BM$1,'在庫使用計画 (一般)'!$A$1:$BF$1,0))*1,0),
_xlpm._法人検索,IFERROR(INDEX('在庫使用計画 (法人)'!$A$1:$BF$391,MATCH($C92,'在庫使用計画 (法人)'!$C$1:$C$391,0),MATCH(BM$1,'在庫使用計画 (法人)'!$A$1:$BF$1,0))*1,0),
_xlpm._合計,_xlpm._一般検索+_xlpm._法人検索,
IF(_xlpm._合計=0,"",_xlpm._合計)
)</f>
        <v/>
      </c>
      <c r="BN92" s="224" t="str">
        <f>_xlfn.LET(
_xlpm._一般検索,IFERROR(INDEX('在庫使用計画 (一般)'!$A$1:$BF$391,MATCH($C92,'在庫使用計画 (一般)'!$C$1:$C$391,0),MATCH(BN$1,'在庫使用計画 (一般)'!$A$1:$BF$1,0))*1,0),
_xlpm._法人検索,IFERROR(INDEX('在庫使用計画 (法人)'!$A$1:$BF$391,MATCH($C92,'在庫使用計画 (法人)'!$C$1:$C$391,0),MATCH(BN$1,'在庫使用計画 (法人)'!$A$1:$BF$1,0))*1,0),
_xlpm._合計,_xlpm._一般検索+_xlpm._法人検索,
IF(_xlpm._合計=0,"",_xlpm._合計)
)</f>
        <v/>
      </c>
      <c r="BO92" s="224" t="str">
        <f>_xlfn.LET(
_xlpm._一般検索,IFERROR(INDEX('在庫使用計画 (一般)'!$A$1:$BF$391,MATCH($C92,'在庫使用計画 (一般)'!$C$1:$C$391,0),MATCH(BO$1,'在庫使用計画 (一般)'!$A$1:$BF$1,0))*1,0),
_xlpm._法人検索,IFERROR(INDEX('在庫使用計画 (法人)'!$A$1:$BF$391,MATCH($C92,'在庫使用計画 (法人)'!$C$1:$C$391,0),MATCH(BO$1,'在庫使用計画 (法人)'!$A$1:$BF$1,0))*1,0),
_xlpm._合計,_xlpm._一般検索+_xlpm._法人検索,
IF(_xlpm._合計=0,"",_xlpm._合計)
)</f>
        <v/>
      </c>
      <c r="BP92" s="224" t="str">
        <f>_xlfn.LET(
_xlpm._一般検索,IFERROR(INDEX('在庫使用計画 (一般)'!$A$1:$BF$391,MATCH($C92,'在庫使用計画 (一般)'!$C$1:$C$391,0),MATCH(BP$1,'在庫使用計画 (一般)'!$A$1:$BF$1,0))*1,0),
_xlpm._法人検索,IFERROR(INDEX('在庫使用計画 (法人)'!$A$1:$BF$391,MATCH($C92,'在庫使用計画 (法人)'!$C$1:$C$391,0),MATCH(BP$1,'在庫使用計画 (法人)'!$A$1:$BF$1,0))*1,0),
_xlpm._合計,_xlpm._一般検索+_xlpm._法人検索,
IF(_xlpm._合計=0,"",_xlpm._合計)
)</f>
        <v/>
      </c>
      <c r="BQ92" s="224" t="str">
        <f>_xlfn.LET(
_xlpm._一般検索,IFERROR(INDEX('在庫使用計画 (一般)'!$A$1:$BF$391,MATCH($C92,'在庫使用計画 (一般)'!$C$1:$C$391,0),MATCH(BQ$1,'在庫使用計画 (一般)'!$A$1:$BF$1,0))*1,0),
_xlpm._法人検索,IFERROR(INDEX('在庫使用計画 (法人)'!$A$1:$BF$391,MATCH($C92,'在庫使用計画 (法人)'!$C$1:$C$391,0),MATCH(BQ$1,'在庫使用計画 (法人)'!$A$1:$BF$1,0))*1,0),
_xlpm._合計,_xlpm._一般検索+_xlpm._法人検索,
IF(_xlpm._合計=0,"",_xlpm._合計)
)</f>
        <v/>
      </c>
      <c r="BR92" s="224" t="str">
        <f>_xlfn.LET(
_xlpm._一般検索,IFERROR(INDEX('在庫使用計画 (一般)'!$A$1:$BF$391,MATCH($C92,'在庫使用計画 (一般)'!$C$1:$C$391,0),MATCH(BR$1,'在庫使用計画 (一般)'!$A$1:$BF$1,0))*1,0),
_xlpm._法人検索,IFERROR(INDEX('在庫使用計画 (法人)'!$A$1:$BF$391,MATCH($C92,'在庫使用計画 (法人)'!$C$1:$C$391,0),MATCH(BR$1,'在庫使用計画 (法人)'!$A$1:$BF$1,0))*1,0),
_xlpm._合計,_xlpm._一般検索+_xlpm._法人検索,
IF(_xlpm._合計=0,"",_xlpm._合計)
)</f>
        <v/>
      </c>
      <c r="BS92" s="805" t="str">
        <f>_xlfn.LET(
_xlpm._一般検索,IFERROR(INDEX('在庫使用計画 (一般)'!$A$1:$BF$391,MATCH($C92,'在庫使用計画 (一般)'!$C$1:$C$391,0),MATCH(BS$1,'在庫使用計画 (一般)'!$A$1:$BF$1,0))*1,0),
_xlpm._法人検索,IFERROR(INDEX('在庫使用計画 (法人)'!$A$1:$BF$391,MATCH($C92,'在庫使用計画 (法人)'!$C$1:$C$391,0),MATCH(BS$1,'在庫使用計画 (法人)'!$A$1:$BF$1,0))*1,0),
_xlpm._合計,_xlpm._一般検索+_xlpm._法人検索,
IF(_xlpm._合計=0,"",_xlpm._合計)
)</f>
        <v/>
      </c>
      <c r="BT92" s="77"/>
    </row>
    <row r="93" spans="1:72" customFormat="1" ht="18.75" customHeight="1">
      <c r="A93" s="2068" t="s">
        <v>1473</v>
      </c>
      <c r="B93" s="28" t="str">
        <v>CLE-NL45-7430U-UMA-L6-TPM Thirdwave</v>
      </c>
      <c r="C93" s="500" t="s">
        <v>839</v>
      </c>
      <c r="D93" s="2169">
        <v>2707</v>
      </c>
      <c r="E93" s="491" t="s">
        <v>842</v>
      </c>
      <c r="F93" s="380" t="s">
        <v>1725</v>
      </c>
      <c r="G93" s="74">
        <v>670</v>
      </c>
      <c r="H93" s="38">
        <v>670</v>
      </c>
      <c r="I93" s="38" cm="1">
        <f t="array" ref="I93">IF($C93="","",
_xlfn.LET(
  _xlpm._見出し,$A$1:$BT$1,
  _xlpm._行,$A93:$BT93,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473</v>
      </c>
      <c r="J93" s="74" cm="1">
        <f t="array" ref="J93">_xlfn.LET(
  _xlpm._見出し,$A$1:$BS$1,
  _xlpm._行,$A93:$BS93,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IF($C93="","",_xlpm._四点五月計画合計)
)</f>
        <v>321.5</v>
      </c>
      <c r="K93" s="1458" t="str" cm="1">
        <f t="array" ref="K93">_xlfn.IFS(
  $C93="","",
  $G93="","発売前？",
  $G93=0,"在庫なし",
  TRUE,
  IFERROR(
    _xlfn.LET(
      _xlpm._在庫注残,     $G93,
      _xlpm._しきい値,     _xlpm._在庫注残 * 0.75,
      _xlpm._見出し元,     $L$1:$BU$1,
      _xlpm._計画,         $L93:$BU93,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合計463、在庫+注残670のため不足</v>
      </c>
      <c r="L93" s="501"/>
      <c r="M93" s="501"/>
      <c r="N93" s="501"/>
      <c r="O93" s="502" t="s">
        <v>21</v>
      </c>
      <c r="P93" s="502" t="s">
        <v>21</v>
      </c>
      <c r="Q93" s="502" t="s">
        <v>21</v>
      </c>
      <c r="R93" s="502" t="s">
        <v>21</v>
      </c>
      <c r="S93" s="502" t="s">
        <v>21</v>
      </c>
      <c r="T93" s="417" t="s">
        <v>21</v>
      </c>
      <c r="U93" s="503" t="s">
        <v>21</v>
      </c>
      <c r="V93" s="503" t="s">
        <v>21</v>
      </c>
      <c r="W93" s="504" t="s">
        <v>21</v>
      </c>
      <c r="X93" s="503" t="s">
        <v>21</v>
      </c>
      <c r="Y93" s="505" t="s">
        <v>21</v>
      </c>
      <c r="Z93" s="505" t="s">
        <v>21</v>
      </c>
      <c r="AA93" s="505" t="s">
        <v>21</v>
      </c>
      <c r="AB93" s="505" t="s">
        <v>21</v>
      </c>
      <c r="AC93" s="505" t="s">
        <v>21</v>
      </c>
      <c r="AD93" s="505" t="s">
        <v>21</v>
      </c>
      <c r="AE93" s="505" t="s">
        <v>21</v>
      </c>
      <c r="AF93" s="505" t="s">
        <v>21</v>
      </c>
      <c r="AG93" s="505" t="s">
        <v>21</v>
      </c>
      <c r="AH93" s="379">
        <v>80</v>
      </c>
      <c r="AI93" s="827">
        <v>209</v>
      </c>
      <c r="AJ93" s="804">
        <v>192</v>
      </c>
      <c r="AK93" s="224">
        <v>158</v>
      </c>
      <c r="AL93" s="224">
        <v>232</v>
      </c>
      <c r="AM93" s="224">
        <v>165</v>
      </c>
      <c r="AN93" s="224">
        <f>_xlfn.LET(
_xlpm._一般検索,IFERROR(INDEX('在庫使用計画 (一般)'!$A$1:$BF$391,MATCH($C93,'在庫使用計画 (一般)'!$C$1:$C$391,0),MATCH(AN$1,'在庫使用計画 (一般)'!$A$1:$BF$1,0))*1,0),
_xlpm._法人検索,IFERROR(INDEX('在庫使用計画 (法人)'!$A$1:$BF$391,MATCH($C93,'在庫使用計画 (法人)'!$C$1:$C$391,0),MATCH(AN$1,'在庫使用計画 (法人)'!$A$1:$BF$1,0))*1,0),
_xlpm._合計,_xlpm._一般検索+_xlpm._法人検索,
IF(_xlpm._合計=0,"",_xlpm._合計)
)</f>
        <v>243</v>
      </c>
      <c r="AO93" s="224">
        <f>_xlfn.LET(
_xlpm._一般検索,IFERROR(INDEX('在庫使用計画 (一般)'!$A$1:$BF$391,MATCH($C93,'在庫使用計画 (一般)'!$C$1:$C$391,0),MATCH(AO$1,'在庫使用計画 (一般)'!$A$1:$BF$1,0))*1,0),
_xlpm._法人検索,IFERROR(INDEX('在庫使用計画 (法人)'!$A$1:$BF$391,MATCH($C93,'在庫使用計画 (法人)'!$C$1:$C$391,0),MATCH(AO$1,'在庫使用計画 (法人)'!$A$1:$BF$1,0))*1,0),
_xlpm._合計,_xlpm._一般検索+_xlpm._法人検索,
IF(_xlpm._合計=0,"",_xlpm._合計)
)</f>
        <v>243</v>
      </c>
      <c r="AP93" s="224">
        <f>_xlfn.LET(
_xlpm._一般検索,IFERROR(INDEX('在庫使用計画 (一般)'!$A$1:$BF$391,MATCH($C93,'在庫使用計画 (一般)'!$C$1:$C$391,0),MATCH(AP$1,'在庫使用計画 (一般)'!$A$1:$BF$1,0))*1,0),
_xlpm._法人検索,IFERROR(INDEX('在庫使用計画 (法人)'!$A$1:$BF$391,MATCH($C93,'在庫使用計画 (法人)'!$C$1:$C$391,0),MATCH(AP$1,'在庫使用計画 (法人)'!$A$1:$BF$1,0))*1,0),
_xlpm._合計,_xlpm._一般検索+_xlpm._法人検索,
IF(_xlpm._合計=0,"",_xlpm._合計)
)</f>
        <v>303</v>
      </c>
      <c r="AQ93" s="224">
        <f>_xlfn.LET(
_xlpm._一般検索,IFERROR(INDEX('在庫使用計画 (一般)'!$A$1:$BF$391,MATCH($C93,'在庫使用計画 (一般)'!$C$1:$C$391,0),MATCH(AQ$1,'在庫使用計画 (一般)'!$A$1:$BF$1,0))*1,0),
_xlpm._法人検索,IFERROR(INDEX('在庫使用計画 (法人)'!$A$1:$BF$391,MATCH($C93,'在庫使用計画 (法人)'!$C$1:$C$391,0),MATCH(AQ$1,'在庫使用計画 (法人)'!$A$1:$BF$1,0))*1,0),
_xlpm._合計,_xlpm._一般検索+_xlpm._法人検索,
IF(_xlpm._合計=0,"",_xlpm._合計)
)</f>
        <v>170</v>
      </c>
      <c r="AR93" s="224" t="str">
        <f>_xlfn.LET(
_xlpm._一般検索,IFERROR(INDEX('在庫使用計画 (一般)'!$A$1:$BF$391,MATCH($C93,'在庫使用計画 (一般)'!$C$1:$C$391,0),MATCH(AR$1,'在庫使用計画 (一般)'!$A$1:$BF$1,0))*1,0),
_xlpm._法人検索,IFERROR(INDEX('在庫使用計画 (法人)'!$A$1:$BF$391,MATCH($C93,'在庫使用計画 (法人)'!$C$1:$C$391,0),MATCH(AR$1,'在庫使用計画 (法人)'!$A$1:$BF$1,0))*1,0),
_xlpm._合計,_xlpm._一般検索+_xlpm._法人検索,
IF(_xlpm._合計=0,"",_xlpm._合計)
)</f>
        <v/>
      </c>
      <c r="AS93" s="224" t="str">
        <f>_xlfn.LET(
_xlpm._一般検索,IFERROR(INDEX('在庫使用計画 (一般)'!$A$1:$BF$391,MATCH($C93,'在庫使用計画 (一般)'!$C$1:$C$391,0),MATCH(AS$1,'在庫使用計画 (一般)'!$A$1:$BF$1,0))*1,0),
_xlpm._法人検索,IFERROR(INDEX('在庫使用計画 (法人)'!$A$1:$BF$391,MATCH($C93,'在庫使用計画 (法人)'!$C$1:$C$391,0),MATCH(AS$1,'在庫使用計画 (法人)'!$A$1:$BF$1,0))*1,0),
_xlpm._合計,_xlpm._一般検索+_xlpm._法人検索,
IF(_xlpm._合計=0,"",_xlpm._合計)
)</f>
        <v/>
      </c>
      <c r="AT93" s="224" t="str">
        <f>_xlfn.LET(
_xlpm._一般検索,IFERROR(INDEX('在庫使用計画 (一般)'!$A$1:$BF$391,MATCH($C93,'在庫使用計画 (一般)'!$C$1:$C$391,0),MATCH(AT$1,'在庫使用計画 (一般)'!$A$1:$BF$1,0))*1,0),
_xlpm._法人検索,IFERROR(INDEX('在庫使用計画 (法人)'!$A$1:$BF$391,MATCH($C93,'在庫使用計画 (法人)'!$C$1:$C$391,0),MATCH(AT$1,'在庫使用計画 (法人)'!$A$1:$BF$1,0))*1,0),
_xlpm._合計,_xlpm._一般検索+_xlpm._法人検索,
IF(_xlpm._合計=0,"",_xlpm._合計)
)</f>
        <v/>
      </c>
      <c r="AU93" s="805" t="str">
        <f>_xlfn.LET(
_xlpm._一般検索,IFERROR(INDEX('在庫使用計画 (一般)'!$A$1:$BF$391,MATCH($C93,'在庫使用計画 (一般)'!$C$1:$C$391,0),MATCH(AU$1,'在庫使用計画 (一般)'!$A$1:$BF$1,0))*1,0),
_xlpm._法人検索,IFERROR(INDEX('在庫使用計画 (法人)'!$A$1:$BF$391,MATCH($C93,'在庫使用計画 (法人)'!$C$1:$C$391,0),MATCH(AU$1,'在庫使用計画 (法人)'!$A$1:$BF$1,0))*1,0),
_xlpm._合計,_xlpm._一般検索+_xlpm._法人検索,
IF(_xlpm._合計=0,"",_xlpm._合計)
)</f>
        <v/>
      </c>
      <c r="AV93" s="244" t="str">
        <f>_xlfn.LET(
_xlpm._一般検索,IFERROR(INDEX('在庫使用計画 (一般)'!$A$1:$BF$391,MATCH($C93,'在庫使用計画 (一般)'!$C$1:$C$391,0),MATCH(AV$1,'在庫使用計画 (一般)'!$A$1:$BF$1,0))*1,0),
_xlpm._法人検索,IFERROR(INDEX('在庫使用計画 (法人)'!$A$1:$BF$391,MATCH($C93,'在庫使用計画 (法人)'!$C$1:$C$391,0),MATCH(AV$1,'在庫使用計画 (法人)'!$A$1:$BF$1,0))*1,0),
_xlpm._合計,_xlpm._一般検索+_xlpm._法人検索,
IF(_xlpm._合計=0,"",_xlpm._合計)
)</f>
        <v/>
      </c>
      <c r="AW93" s="224" t="str">
        <f>_xlfn.LET(
_xlpm._一般検索,IFERROR(INDEX('在庫使用計画 (一般)'!$A$1:$BF$391,MATCH($C93,'在庫使用計画 (一般)'!$C$1:$C$391,0),MATCH(AW$1,'在庫使用計画 (一般)'!$A$1:$BF$1,0))*1,0),
_xlpm._法人検索,IFERROR(INDEX('在庫使用計画 (法人)'!$A$1:$BF$391,MATCH($C93,'在庫使用計画 (法人)'!$C$1:$C$391,0),MATCH(AW$1,'在庫使用計画 (法人)'!$A$1:$BF$1,0))*1,0),
_xlpm._合計,_xlpm._一般検索+_xlpm._法人検索,
IF(_xlpm._合計=0,"",_xlpm._合計)
)</f>
        <v/>
      </c>
      <c r="AX93" s="224" t="str">
        <f>_xlfn.LET(
_xlpm._一般検索,IFERROR(INDEX('在庫使用計画 (一般)'!$A$1:$BF$391,MATCH($C93,'在庫使用計画 (一般)'!$C$1:$C$391,0),MATCH(AX$1,'在庫使用計画 (一般)'!$A$1:$BF$1,0))*1,0),
_xlpm._法人検索,IFERROR(INDEX('在庫使用計画 (法人)'!$A$1:$BF$391,MATCH($C93,'在庫使用計画 (法人)'!$C$1:$C$391,0),MATCH(AX$1,'在庫使用計画 (法人)'!$A$1:$BF$1,0))*1,0),
_xlpm._合計,_xlpm._一般検索+_xlpm._法人検索,
IF(_xlpm._合計=0,"",_xlpm._合計)
)</f>
        <v/>
      </c>
      <c r="AY93" s="224" t="str">
        <f>_xlfn.LET(
_xlpm._一般検索,IFERROR(INDEX('在庫使用計画 (一般)'!$A$1:$BF$391,MATCH($C93,'在庫使用計画 (一般)'!$C$1:$C$391,0),MATCH(AY$1,'在庫使用計画 (一般)'!$A$1:$BF$1,0))*1,0),
_xlpm._法人検索,IFERROR(INDEX('在庫使用計画 (法人)'!$A$1:$BF$391,MATCH($C93,'在庫使用計画 (法人)'!$C$1:$C$391,0),MATCH(AY$1,'在庫使用計画 (法人)'!$A$1:$BF$1,0))*1,0),
_xlpm._合計,_xlpm._一般検索+_xlpm._法人検索,
IF(_xlpm._合計=0,"",_xlpm._合計)
)</f>
        <v/>
      </c>
      <c r="AZ93" s="224" t="str">
        <f>_xlfn.LET(
_xlpm._一般検索,IFERROR(INDEX('在庫使用計画 (一般)'!$A$1:$BF$391,MATCH($C93,'在庫使用計画 (一般)'!$C$1:$C$391,0),MATCH(AZ$1,'在庫使用計画 (一般)'!$A$1:$BF$1,0))*1,0),
_xlpm._法人検索,IFERROR(INDEX('在庫使用計画 (法人)'!$A$1:$BF$391,MATCH($C93,'在庫使用計画 (法人)'!$C$1:$C$391,0),MATCH(AZ$1,'在庫使用計画 (法人)'!$A$1:$BF$1,0))*1,0),
_xlpm._合計,_xlpm._一般検索+_xlpm._法人検索,
IF(_xlpm._合計=0,"",_xlpm._合計)
)</f>
        <v/>
      </c>
      <c r="BA93" s="224" t="str">
        <f>_xlfn.LET(
_xlpm._一般検索,IFERROR(INDEX('在庫使用計画 (一般)'!$A$1:$BF$391,MATCH($C93,'在庫使用計画 (一般)'!$C$1:$C$391,0),MATCH(BA$1,'在庫使用計画 (一般)'!$A$1:$BF$1,0))*1,0),
_xlpm._法人検索,IFERROR(INDEX('在庫使用計画 (法人)'!$A$1:$BF$391,MATCH($C93,'在庫使用計画 (法人)'!$C$1:$C$391,0),MATCH(BA$1,'在庫使用計画 (法人)'!$A$1:$BF$1,0))*1,0),
_xlpm._合計,_xlpm._一般検索+_xlpm._法人検索,
IF(_xlpm._合計=0,"",_xlpm._合計)
)</f>
        <v/>
      </c>
      <c r="BB93" s="224" t="str">
        <f>_xlfn.LET(
_xlpm._一般検索,IFERROR(INDEX('在庫使用計画 (一般)'!$A$1:$BF$391,MATCH($C93,'在庫使用計画 (一般)'!$C$1:$C$391,0),MATCH(BB$1,'在庫使用計画 (一般)'!$A$1:$BF$1,0))*1,0),
_xlpm._法人検索,IFERROR(INDEX('在庫使用計画 (法人)'!$A$1:$BF$391,MATCH($C93,'在庫使用計画 (法人)'!$C$1:$C$391,0),MATCH(BB$1,'在庫使用計画 (法人)'!$A$1:$BF$1,0))*1,0),
_xlpm._合計,_xlpm._一般検索+_xlpm._法人検索,
IF(_xlpm._合計=0,"",_xlpm._合計)
)</f>
        <v/>
      </c>
      <c r="BC93" s="224" t="str">
        <f>_xlfn.LET(
_xlpm._一般検索,IFERROR(INDEX('在庫使用計画 (一般)'!$A$1:$BF$391,MATCH($C93,'在庫使用計画 (一般)'!$C$1:$C$391,0),MATCH(BC$1,'在庫使用計画 (一般)'!$A$1:$BF$1,0))*1,0),
_xlpm._法人検索,IFERROR(INDEX('在庫使用計画 (法人)'!$A$1:$BF$391,MATCH($C93,'在庫使用計画 (法人)'!$C$1:$C$391,0),MATCH(BC$1,'在庫使用計画 (法人)'!$A$1:$BF$1,0))*1,0),
_xlpm._合計,_xlpm._一般検索+_xlpm._法人検索,
IF(_xlpm._合計=0,"",_xlpm._合計)
)</f>
        <v/>
      </c>
      <c r="BD93" s="224" t="str">
        <f>_xlfn.LET(
_xlpm._一般検索,IFERROR(INDEX('在庫使用計画 (一般)'!$A$1:$BF$391,MATCH($C93,'在庫使用計画 (一般)'!$C$1:$C$391,0),MATCH(BD$1,'在庫使用計画 (一般)'!$A$1:$BF$1,0))*1,0),
_xlpm._法人検索,IFERROR(INDEX('在庫使用計画 (法人)'!$A$1:$BF$391,MATCH($C93,'在庫使用計画 (法人)'!$C$1:$C$391,0),MATCH(BD$1,'在庫使用計画 (法人)'!$A$1:$BF$1,0))*1,0),
_xlpm._合計,_xlpm._一般検索+_xlpm._法人検索,
IF(_xlpm._合計=0,"",_xlpm._合計)
)</f>
        <v/>
      </c>
      <c r="BE93" s="224" t="str">
        <f>_xlfn.LET(
_xlpm._一般検索,IFERROR(INDEX('在庫使用計画 (一般)'!$A$1:$BF$391,MATCH($C93,'在庫使用計画 (一般)'!$C$1:$C$391,0),MATCH(BE$1,'在庫使用計画 (一般)'!$A$1:$BF$1,0))*1,0),
_xlpm._法人検索,IFERROR(INDEX('在庫使用計画 (法人)'!$A$1:$BF$391,MATCH($C93,'在庫使用計画 (法人)'!$C$1:$C$391,0),MATCH(BE$1,'在庫使用計画 (法人)'!$A$1:$BF$1,0))*1,0),
_xlpm._合計,_xlpm._一般検索+_xlpm._法人検索,
IF(_xlpm._合計=0,"",_xlpm._合計)
)</f>
        <v/>
      </c>
      <c r="BF93" s="224" t="str">
        <f>_xlfn.LET(
_xlpm._一般検索,IFERROR(INDEX('在庫使用計画 (一般)'!$A$1:$BF$391,MATCH($C93,'在庫使用計画 (一般)'!$C$1:$C$391,0),MATCH(BF$1,'在庫使用計画 (一般)'!$A$1:$BF$1,0))*1,0),
_xlpm._法人検索,IFERROR(INDEX('在庫使用計画 (法人)'!$A$1:$BF$391,MATCH($C93,'在庫使用計画 (法人)'!$C$1:$C$391,0),MATCH(BF$1,'在庫使用計画 (法人)'!$A$1:$BF$1,0))*1,0),
_xlpm._合計,_xlpm._一般検索+_xlpm._法人検索,
IF(_xlpm._合計=0,"",_xlpm._合計)
)</f>
        <v/>
      </c>
      <c r="BG93" s="237" t="str">
        <f>_xlfn.LET(
_xlpm._一般検索,IFERROR(INDEX('在庫使用計画 (一般)'!$A$1:$BF$391,MATCH($C93,'在庫使用計画 (一般)'!$C$1:$C$391,0),MATCH(BG$1,'在庫使用計画 (一般)'!$A$1:$BF$1,0))*1,0),
_xlpm._法人検索,IFERROR(INDEX('在庫使用計画 (法人)'!$A$1:$BF$391,MATCH($C93,'在庫使用計画 (法人)'!$C$1:$C$391,0),MATCH(BG$1,'在庫使用計画 (法人)'!$A$1:$BF$1,0))*1,0),
_xlpm._合計,_xlpm._一般検索+_xlpm._法人検索,
IF(_xlpm._合計=0,"",_xlpm._合計)
)</f>
        <v/>
      </c>
      <c r="BH93" s="804" t="str">
        <f>_xlfn.LET(
_xlpm._一般検索,IFERROR(INDEX('在庫使用計画 (一般)'!$A$1:$BF$391,MATCH($C93,'在庫使用計画 (一般)'!$C$1:$C$391,0),MATCH(BH$1,'在庫使用計画 (一般)'!$A$1:$BF$1,0))*1,0),
_xlpm._法人検索,IFERROR(INDEX('在庫使用計画 (法人)'!$A$1:$BF$391,MATCH($C93,'在庫使用計画 (法人)'!$C$1:$C$391,0),MATCH(BH$1,'在庫使用計画 (法人)'!$A$1:$BF$1,0))*1,0),
_xlpm._合計,_xlpm._一般検索+_xlpm._法人検索,
IF(_xlpm._合計=0,"",_xlpm._合計)
)</f>
        <v/>
      </c>
      <c r="BI93" s="224" t="str">
        <f>_xlfn.LET(
_xlpm._一般検索,IFERROR(INDEX('在庫使用計画 (一般)'!$A$1:$BF$391,MATCH($C93,'在庫使用計画 (一般)'!$C$1:$C$391,0),MATCH(BI$1,'在庫使用計画 (一般)'!$A$1:$BF$1,0))*1,0),
_xlpm._法人検索,IFERROR(INDEX('在庫使用計画 (法人)'!$A$1:$BF$391,MATCH($C93,'在庫使用計画 (法人)'!$C$1:$C$391,0),MATCH(BI$1,'在庫使用計画 (法人)'!$A$1:$BF$1,0))*1,0),
_xlpm._合計,_xlpm._一般検索+_xlpm._法人検索,
IF(_xlpm._合計=0,"",_xlpm._合計)
)</f>
        <v/>
      </c>
      <c r="BJ93" s="224" t="str">
        <f>_xlfn.LET(
_xlpm._一般検索,IFERROR(INDEX('在庫使用計画 (一般)'!$A$1:$BF$391,MATCH($C93,'在庫使用計画 (一般)'!$C$1:$C$391,0),MATCH(BJ$1,'在庫使用計画 (一般)'!$A$1:$BF$1,0))*1,0),
_xlpm._法人検索,IFERROR(INDEX('在庫使用計画 (法人)'!$A$1:$BF$391,MATCH($C93,'在庫使用計画 (法人)'!$C$1:$C$391,0),MATCH(BJ$1,'在庫使用計画 (法人)'!$A$1:$BF$1,0))*1,0),
_xlpm._合計,_xlpm._一般検索+_xlpm._法人検索,
IF(_xlpm._合計=0,"",_xlpm._合計)
)</f>
        <v/>
      </c>
      <c r="BK93" s="224" t="str">
        <f>_xlfn.LET(
_xlpm._一般検索,IFERROR(INDEX('在庫使用計画 (一般)'!$A$1:$BF$391,MATCH($C93,'在庫使用計画 (一般)'!$C$1:$C$391,0),MATCH(BK$1,'在庫使用計画 (一般)'!$A$1:$BF$1,0))*1,0),
_xlpm._法人検索,IFERROR(INDEX('在庫使用計画 (法人)'!$A$1:$BF$391,MATCH($C93,'在庫使用計画 (法人)'!$C$1:$C$391,0),MATCH(BK$1,'在庫使用計画 (法人)'!$A$1:$BF$1,0))*1,0),
_xlpm._合計,_xlpm._一般検索+_xlpm._法人検索,
IF(_xlpm._合計=0,"",_xlpm._合計)
)</f>
        <v/>
      </c>
      <c r="BL93" s="224" t="str">
        <f>_xlfn.LET(
_xlpm._一般検索,IFERROR(INDEX('在庫使用計画 (一般)'!$A$1:$BF$391,MATCH($C93,'在庫使用計画 (一般)'!$C$1:$C$391,0),MATCH(BL$1,'在庫使用計画 (一般)'!$A$1:$BF$1,0))*1,0),
_xlpm._法人検索,IFERROR(INDEX('在庫使用計画 (法人)'!$A$1:$BF$391,MATCH($C93,'在庫使用計画 (法人)'!$C$1:$C$391,0),MATCH(BL$1,'在庫使用計画 (法人)'!$A$1:$BF$1,0))*1,0),
_xlpm._合計,_xlpm._一般検索+_xlpm._法人検索,
IF(_xlpm._合計=0,"",_xlpm._合計)
)</f>
        <v/>
      </c>
      <c r="BM93" s="224" t="str">
        <f>_xlfn.LET(
_xlpm._一般検索,IFERROR(INDEX('在庫使用計画 (一般)'!$A$1:$BF$391,MATCH($C93,'在庫使用計画 (一般)'!$C$1:$C$391,0),MATCH(BM$1,'在庫使用計画 (一般)'!$A$1:$BF$1,0))*1,0),
_xlpm._法人検索,IFERROR(INDEX('在庫使用計画 (法人)'!$A$1:$BF$391,MATCH($C93,'在庫使用計画 (法人)'!$C$1:$C$391,0),MATCH(BM$1,'在庫使用計画 (法人)'!$A$1:$BF$1,0))*1,0),
_xlpm._合計,_xlpm._一般検索+_xlpm._法人検索,
IF(_xlpm._合計=0,"",_xlpm._合計)
)</f>
        <v/>
      </c>
      <c r="BN93" s="224" t="str">
        <f>_xlfn.LET(
_xlpm._一般検索,IFERROR(INDEX('在庫使用計画 (一般)'!$A$1:$BF$391,MATCH($C93,'在庫使用計画 (一般)'!$C$1:$C$391,0),MATCH(BN$1,'在庫使用計画 (一般)'!$A$1:$BF$1,0))*1,0),
_xlpm._法人検索,IFERROR(INDEX('在庫使用計画 (法人)'!$A$1:$BF$391,MATCH($C93,'在庫使用計画 (法人)'!$C$1:$C$391,0),MATCH(BN$1,'在庫使用計画 (法人)'!$A$1:$BF$1,0))*1,0),
_xlpm._合計,_xlpm._一般検索+_xlpm._法人検索,
IF(_xlpm._合計=0,"",_xlpm._合計)
)</f>
        <v/>
      </c>
      <c r="BO93" s="224" t="str">
        <f>_xlfn.LET(
_xlpm._一般検索,IFERROR(INDEX('在庫使用計画 (一般)'!$A$1:$BF$391,MATCH($C93,'在庫使用計画 (一般)'!$C$1:$C$391,0),MATCH(BO$1,'在庫使用計画 (一般)'!$A$1:$BF$1,0))*1,0),
_xlpm._法人検索,IFERROR(INDEX('在庫使用計画 (法人)'!$A$1:$BF$391,MATCH($C93,'在庫使用計画 (法人)'!$C$1:$C$391,0),MATCH(BO$1,'在庫使用計画 (法人)'!$A$1:$BF$1,0))*1,0),
_xlpm._合計,_xlpm._一般検索+_xlpm._法人検索,
IF(_xlpm._合計=0,"",_xlpm._合計)
)</f>
        <v/>
      </c>
      <c r="BP93" s="224" t="str">
        <f>_xlfn.LET(
_xlpm._一般検索,IFERROR(INDEX('在庫使用計画 (一般)'!$A$1:$BF$391,MATCH($C93,'在庫使用計画 (一般)'!$C$1:$C$391,0),MATCH(BP$1,'在庫使用計画 (一般)'!$A$1:$BF$1,0))*1,0),
_xlpm._法人検索,IFERROR(INDEX('在庫使用計画 (法人)'!$A$1:$BF$391,MATCH($C93,'在庫使用計画 (法人)'!$C$1:$C$391,0),MATCH(BP$1,'在庫使用計画 (法人)'!$A$1:$BF$1,0))*1,0),
_xlpm._合計,_xlpm._一般検索+_xlpm._法人検索,
IF(_xlpm._合計=0,"",_xlpm._合計)
)</f>
        <v/>
      </c>
      <c r="BQ93" s="224" t="str">
        <f>_xlfn.LET(
_xlpm._一般検索,IFERROR(INDEX('在庫使用計画 (一般)'!$A$1:$BF$391,MATCH($C93,'在庫使用計画 (一般)'!$C$1:$C$391,0),MATCH(BQ$1,'在庫使用計画 (一般)'!$A$1:$BF$1,0))*1,0),
_xlpm._法人検索,IFERROR(INDEX('在庫使用計画 (法人)'!$A$1:$BF$391,MATCH($C93,'在庫使用計画 (法人)'!$C$1:$C$391,0),MATCH(BQ$1,'在庫使用計画 (法人)'!$A$1:$BF$1,0))*1,0),
_xlpm._合計,_xlpm._一般検索+_xlpm._法人検索,
IF(_xlpm._合計=0,"",_xlpm._合計)
)</f>
        <v/>
      </c>
      <c r="BR93" s="224" t="str">
        <f>_xlfn.LET(
_xlpm._一般検索,IFERROR(INDEX('在庫使用計画 (一般)'!$A$1:$BF$391,MATCH($C93,'在庫使用計画 (一般)'!$C$1:$C$391,0),MATCH(BR$1,'在庫使用計画 (一般)'!$A$1:$BF$1,0))*1,0),
_xlpm._法人検索,IFERROR(INDEX('在庫使用計画 (法人)'!$A$1:$BF$391,MATCH($C93,'在庫使用計画 (法人)'!$C$1:$C$391,0),MATCH(BR$1,'在庫使用計画 (法人)'!$A$1:$BF$1,0))*1,0),
_xlpm._合計,_xlpm._一般検索+_xlpm._法人検索,
IF(_xlpm._合計=0,"",_xlpm._合計)
)</f>
        <v/>
      </c>
      <c r="BS93" s="805" t="str">
        <f>_xlfn.LET(
_xlpm._一般検索,IFERROR(INDEX('在庫使用計画 (一般)'!$A$1:$BF$391,MATCH($C93,'在庫使用計画 (一般)'!$C$1:$C$391,0),MATCH(BS$1,'在庫使用計画 (一般)'!$A$1:$BF$1,0))*1,0),
_xlpm._法人検索,IFERROR(INDEX('在庫使用計画 (法人)'!$A$1:$BF$391,MATCH($C93,'在庫使用計画 (法人)'!$C$1:$C$391,0),MATCH(BS$1,'在庫使用計画 (法人)'!$A$1:$BF$1,0))*1,0),
_xlpm._合計,_xlpm._一般検索+_xlpm._法人検索,
IF(_xlpm._合計=0,"",_xlpm._合計)
)</f>
        <v/>
      </c>
      <c r="BT93" s="21"/>
    </row>
    <row r="94" spans="1:72" customFormat="1" ht="18.75" customHeight="1" thickBot="1">
      <c r="A94" s="1072"/>
      <c r="B94" s="28" t="str">
        <v/>
      </c>
      <c r="C94" s="500"/>
      <c r="D94" s="2169" t="str">
        <v/>
      </c>
      <c r="E94" s="491"/>
      <c r="F94" s="380"/>
      <c r="G94" s="74" t="str">
        <v/>
      </c>
      <c r="H94" s="38" t="str">
        <v/>
      </c>
      <c r="I94" s="38" t="str" cm="1">
        <f t="array" ref="I94">IF($C94="","",
_xlfn.LET(
  _xlpm._見出し,$A$1:$BT$1,
  _xlpm._行,$A94:$BT94,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
      </c>
      <c r="J94" s="74" t="str" cm="1">
        <f t="array" ref="J94">_xlfn.LET(
  _xlpm._見出し,$A$1:$BS$1,
  _xlpm._行,$A94:$BS94,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IF($C94="","",_xlpm._四点五月計画合計)
)</f>
        <v/>
      </c>
      <c r="K94" s="1458" t="str" cm="1">
        <f t="array" ref="K94">_xlfn.IFS(
  $C94="","",
  $G94="","発売前？",
  $G94=0,"在庫なし",
  TRUE,
  IFERROR(
    _xlfn.LET(
      _xlpm._在庫注残,     $G94,
      _xlpm._しきい値,     _xlpm._在庫注残 * 0.75,
      _xlpm._見出し元,     $L$1:$BU$1,
      _xlpm._計画,         $L94:$BU94,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
      </c>
      <c r="L94" s="38"/>
      <c r="M94" s="1046"/>
      <c r="N94" s="1046"/>
      <c r="O94" s="382"/>
      <c r="P94" s="382"/>
      <c r="Q94" s="382"/>
      <c r="R94" s="382"/>
      <c r="S94" s="382"/>
      <c r="T94" s="503"/>
      <c r="U94" s="503"/>
      <c r="V94" s="503"/>
      <c r="W94" s="504"/>
      <c r="X94" s="503"/>
      <c r="Y94" s="532"/>
      <c r="Z94" s="532"/>
      <c r="AA94" s="532"/>
      <c r="AB94" s="532"/>
      <c r="AC94" s="532"/>
      <c r="AD94" s="532"/>
      <c r="AE94" s="532"/>
      <c r="AF94" s="532"/>
      <c r="AG94" s="532"/>
      <c r="AH94" s="379"/>
      <c r="AI94" s="237"/>
      <c r="AJ94" s="804" t="s">
        <v>21</v>
      </c>
      <c r="AK94" s="224" t="s">
        <v>21</v>
      </c>
      <c r="AL94" s="224" t="s">
        <v>21</v>
      </c>
      <c r="AM94" s="224" t="s">
        <v>21</v>
      </c>
      <c r="AN94" s="224" t="str">
        <f>_xlfn.LET(
_xlpm._一般検索,IFERROR(INDEX('在庫使用計画 (一般)'!$A$1:$BF$391,MATCH($C94,'在庫使用計画 (一般)'!$C$1:$C$391,0),MATCH(AN$1,'在庫使用計画 (一般)'!$A$1:$BF$1,0))*1,0),
_xlpm._法人検索,IFERROR(INDEX('在庫使用計画 (法人)'!$A$1:$BF$391,MATCH($C94,'在庫使用計画 (法人)'!$C$1:$C$391,0),MATCH(AN$1,'在庫使用計画 (法人)'!$A$1:$BF$1,0))*1,0),
_xlpm._合計,_xlpm._一般検索+_xlpm._法人検索,
IF(_xlpm._合計=0,"",_xlpm._合計)
)</f>
        <v/>
      </c>
      <c r="AO94" s="224" t="str">
        <f>_xlfn.LET(
_xlpm._一般検索,IFERROR(INDEX('在庫使用計画 (一般)'!$A$1:$BF$391,MATCH($C94,'在庫使用計画 (一般)'!$C$1:$C$391,0),MATCH(AO$1,'在庫使用計画 (一般)'!$A$1:$BF$1,0))*1,0),
_xlpm._法人検索,IFERROR(INDEX('在庫使用計画 (法人)'!$A$1:$BF$391,MATCH($C94,'在庫使用計画 (法人)'!$C$1:$C$391,0),MATCH(AO$1,'在庫使用計画 (法人)'!$A$1:$BF$1,0))*1,0),
_xlpm._合計,_xlpm._一般検索+_xlpm._法人検索,
IF(_xlpm._合計=0,"",_xlpm._合計)
)</f>
        <v/>
      </c>
      <c r="AP94" s="224" t="str">
        <f>_xlfn.LET(
_xlpm._一般検索,IFERROR(INDEX('在庫使用計画 (一般)'!$A$1:$BF$391,MATCH($C94,'在庫使用計画 (一般)'!$C$1:$C$391,0),MATCH(AP$1,'在庫使用計画 (一般)'!$A$1:$BF$1,0))*1,0),
_xlpm._法人検索,IFERROR(INDEX('在庫使用計画 (法人)'!$A$1:$BF$391,MATCH($C94,'在庫使用計画 (法人)'!$C$1:$C$391,0),MATCH(AP$1,'在庫使用計画 (法人)'!$A$1:$BF$1,0))*1,0),
_xlpm._合計,_xlpm._一般検索+_xlpm._法人検索,
IF(_xlpm._合計=0,"",_xlpm._合計)
)</f>
        <v/>
      </c>
      <c r="AQ94" s="224" t="str">
        <f>_xlfn.LET(
_xlpm._一般検索,IFERROR(INDEX('在庫使用計画 (一般)'!$A$1:$BF$391,MATCH($C94,'在庫使用計画 (一般)'!$C$1:$C$391,0),MATCH(AQ$1,'在庫使用計画 (一般)'!$A$1:$BF$1,0))*1,0),
_xlpm._法人検索,IFERROR(INDEX('在庫使用計画 (法人)'!$A$1:$BF$391,MATCH($C94,'在庫使用計画 (法人)'!$C$1:$C$391,0),MATCH(AQ$1,'在庫使用計画 (法人)'!$A$1:$BF$1,0))*1,0),
_xlpm._合計,_xlpm._一般検索+_xlpm._法人検索,
IF(_xlpm._合計=0,"",_xlpm._合計)
)</f>
        <v/>
      </c>
      <c r="AR94" s="224" t="str">
        <f>_xlfn.LET(
_xlpm._一般検索,IFERROR(INDEX('在庫使用計画 (一般)'!$A$1:$BF$391,MATCH($C94,'在庫使用計画 (一般)'!$C$1:$C$391,0),MATCH(AR$1,'在庫使用計画 (一般)'!$A$1:$BF$1,0))*1,0),
_xlpm._法人検索,IFERROR(INDEX('在庫使用計画 (法人)'!$A$1:$BF$391,MATCH($C94,'在庫使用計画 (法人)'!$C$1:$C$391,0),MATCH(AR$1,'在庫使用計画 (法人)'!$A$1:$BF$1,0))*1,0),
_xlpm._合計,_xlpm._一般検索+_xlpm._法人検索,
IF(_xlpm._合計=0,"",_xlpm._合計)
)</f>
        <v/>
      </c>
      <c r="AS94" s="224" t="str">
        <f>_xlfn.LET(
_xlpm._一般検索,IFERROR(INDEX('在庫使用計画 (一般)'!$A$1:$BF$391,MATCH($C94,'在庫使用計画 (一般)'!$C$1:$C$391,0),MATCH(AS$1,'在庫使用計画 (一般)'!$A$1:$BF$1,0))*1,0),
_xlpm._法人検索,IFERROR(INDEX('在庫使用計画 (法人)'!$A$1:$BF$391,MATCH($C94,'在庫使用計画 (法人)'!$C$1:$C$391,0),MATCH(AS$1,'在庫使用計画 (法人)'!$A$1:$BF$1,0))*1,0),
_xlpm._合計,_xlpm._一般検索+_xlpm._法人検索,
IF(_xlpm._合計=0,"",_xlpm._合計)
)</f>
        <v/>
      </c>
      <c r="AT94" s="224" t="str">
        <f>_xlfn.LET(
_xlpm._一般検索,IFERROR(INDEX('在庫使用計画 (一般)'!$A$1:$BF$391,MATCH($C94,'在庫使用計画 (一般)'!$C$1:$C$391,0),MATCH(AT$1,'在庫使用計画 (一般)'!$A$1:$BF$1,0))*1,0),
_xlpm._法人検索,IFERROR(INDEX('在庫使用計画 (法人)'!$A$1:$BF$391,MATCH($C94,'在庫使用計画 (法人)'!$C$1:$C$391,0),MATCH(AT$1,'在庫使用計画 (法人)'!$A$1:$BF$1,0))*1,0),
_xlpm._合計,_xlpm._一般検索+_xlpm._法人検索,
IF(_xlpm._合計=0,"",_xlpm._合計)
)</f>
        <v/>
      </c>
      <c r="AU94" s="805" t="str">
        <f>_xlfn.LET(
_xlpm._一般検索,IFERROR(INDEX('在庫使用計画 (一般)'!$A$1:$BF$391,MATCH($C94,'在庫使用計画 (一般)'!$C$1:$C$391,0),MATCH(AU$1,'在庫使用計画 (一般)'!$A$1:$BF$1,0))*1,0),
_xlpm._法人検索,IFERROR(INDEX('在庫使用計画 (法人)'!$A$1:$BF$391,MATCH($C94,'在庫使用計画 (法人)'!$C$1:$C$391,0),MATCH(AU$1,'在庫使用計画 (法人)'!$A$1:$BF$1,0))*1,0),
_xlpm._合計,_xlpm._一般検索+_xlpm._法人検索,
IF(_xlpm._合計=0,"",_xlpm._合計)
)</f>
        <v/>
      </c>
      <c r="AV94" s="244" t="str">
        <f>_xlfn.LET(
_xlpm._一般検索,IFERROR(INDEX('在庫使用計画 (一般)'!$A$1:$BF$391,MATCH($C94,'在庫使用計画 (一般)'!$C$1:$C$391,0),MATCH(AV$1,'在庫使用計画 (一般)'!$A$1:$BF$1,0))*1,0),
_xlpm._法人検索,IFERROR(INDEX('在庫使用計画 (法人)'!$A$1:$BF$391,MATCH($C94,'在庫使用計画 (法人)'!$C$1:$C$391,0),MATCH(AV$1,'在庫使用計画 (法人)'!$A$1:$BF$1,0))*1,0),
_xlpm._合計,_xlpm._一般検索+_xlpm._法人検索,
IF(_xlpm._合計=0,"",_xlpm._合計)
)</f>
        <v/>
      </c>
      <c r="AW94" s="224" t="str">
        <f>_xlfn.LET(
_xlpm._一般検索,IFERROR(INDEX('在庫使用計画 (一般)'!$A$1:$BF$391,MATCH($C94,'在庫使用計画 (一般)'!$C$1:$C$391,0),MATCH(AW$1,'在庫使用計画 (一般)'!$A$1:$BF$1,0))*1,0),
_xlpm._法人検索,IFERROR(INDEX('在庫使用計画 (法人)'!$A$1:$BF$391,MATCH($C94,'在庫使用計画 (法人)'!$C$1:$C$391,0),MATCH(AW$1,'在庫使用計画 (法人)'!$A$1:$BF$1,0))*1,0),
_xlpm._合計,_xlpm._一般検索+_xlpm._法人検索,
IF(_xlpm._合計=0,"",_xlpm._合計)
)</f>
        <v/>
      </c>
      <c r="AX94" s="224" t="str">
        <f>_xlfn.LET(
_xlpm._一般検索,IFERROR(INDEX('在庫使用計画 (一般)'!$A$1:$BF$391,MATCH($C94,'在庫使用計画 (一般)'!$C$1:$C$391,0),MATCH(AX$1,'在庫使用計画 (一般)'!$A$1:$BF$1,0))*1,0),
_xlpm._法人検索,IFERROR(INDEX('在庫使用計画 (法人)'!$A$1:$BF$391,MATCH($C94,'在庫使用計画 (法人)'!$C$1:$C$391,0),MATCH(AX$1,'在庫使用計画 (法人)'!$A$1:$BF$1,0))*1,0),
_xlpm._合計,_xlpm._一般検索+_xlpm._法人検索,
IF(_xlpm._合計=0,"",_xlpm._合計)
)</f>
        <v/>
      </c>
      <c r="AY94" s="224" t="str">
        <f>_xlfn.LET(
_xlpm._一般検索,IFERROR(INDEX('在庫使用計画 (一般)'!$A$1:$BF$391,MATCH($C94,'在庫使用計画 (一般)'!$C$1:$C$391,0),MATCH(AY$1,'在庫使用計画 (一般)'!$A$1:$BF$1,0))*1,0),
_xlpm._法人検索,IFERROR(INDEX('在庫使用計画 (法人)'!$A$1:$BF$391,MATCH($C94,'在庫使用計画 (法人)'!$C$1:$C$391,0),MATCH(AY$1,'在庫使用計画 (法人)'!$A$1:$BF$1,0))*1,0),
_xlpm._合計,_xlpm._一般検索+_xlpm._法人検索,
IF(_xlpm._合計=0,"",_xlpm._合計)
)</f>
        <v/>
      </c>
      <c r="AZ94" s="224" t="str">
        <f>_xlfn.LET(
_xlpm._一般検索,IFERROR(INDEX('在庫使用計画 (一般)'!$A$1:$BF$391,MATCH($C94,'在庫使用計画 (一般)'!$C$1:$C$391,0),MATCH(AZ$1,'在庫使用計画 (一般)'!$A$1:$BF$1,0))*1,0),
_xlpm._法人検索,IFERROR(INDEX('在庫使用計画 (法人)'!$A$1:$BF$391,MATCH($C94,'在庫使用計画 (法人)'!$C$1:$C$391,0),MATCH(AZ$1,'在庫使用計画 (法人)'!$A$1:$BF$1,0))*1,0),
_xlpm._合計,_xlpm._一般検索+_xlpm._法人検索,
IF(_xlpm._合計=0,"",_xlpm._合計)
)</f>
        <v/>
      </c>
      <c r="BA94" s="224" t="str">
        <f>_xlfn.LET(
_xlpm._一般検索,IFERROR(INDEX('在庫使用計画 (一般)'!$A$1:$BF$391,MATCH($C94,'在庫使用計画 (一般)'!$C$1:$C$391,0),MATCH(BA$1,'在庫使用計画 (一般)'!$A$1:$BF$1,0))*1,0),
_xlpm._法人検索,IFERROR(INDEX('在庫使用計画 (法人)'!$A$1:$BF$391,MATCH($C94,'在庫使用計画 (法人)'!$C$1:$C$391,0),MATCH(BA$1,'在庫使用計画 (法人)'!$A$1:$BF$1,0))*1,0),
_xlpm._合計,_xlpm._一般検索+_xlpm._法人検索,
IF(_xlpm._合計=0,"",_xlpm._合計)
)</f>
        <v/>
      </c>
      <c r="BB94" s="224" t="str">
        <f>_xlfn.LET(
_xlpm._一般検索,IFERROR(INDEX('在庫使用計画 (一般)'!$A$1:$BF$391,MATCH($C94,'在庫使用計画 (一般)'!$C$1:$C$391,0),MATCH(BB$1,'在庫使用計画 (一般)'!$A$1:$BF$1,0))*1,0),
_xlpm._法人検索,IFERROR(INDEX('在庫使用計画 (法人)'!$A$1:$BF$391,MATCH($C94,'在庫使用計画 (法人)'!$C$1:$C$391,0),MATCH(BB$1,'在庫使用計画 (法人)'!$A$1:$BF$1,0))*1,0),
_xlpm._合計,_xlpm._一般検索+_xlpm._法人検索,
IF(_xlpm._合計=0,"",_xlpm._合計)
)</f>
        <v/>
      </c>
      <c r="BC94" s="224" t="str">
        <f>_xlfn.LET(
_xlpm._一般検索,IFERROR(INDEX('在庫使用計画 (一般)'!$A$1:$BF$391,MATCH($C94,'在庫使用計画 (一般)'!$C$1:$C$391,0),MATCH(BC$1,'在庫使用計画 (一般)'!$A$1:$BF$1,0))*1,0),
_xlpm._法人検索,IFERROR(INDEX('在庫使用計画 (法人)'!$A$1:$BF$391,MATCH($C94,'在庫使用計画 (法人)'!$C$1:$C$391,0),MATCH(BC$1,'在庫使用計画 (法人)'!$A$1:$BF$1,0))*1,0),
_xlpm._合計,_xlpm._一般検索+_xlpm._法人検索,
IF(_xlpm._合計=0,"",_xlpm._合計)
)</f>
        <v/>
      </c>
      <c r="BD94" s="224" t="str">
        <f>_xlfn.LET(
_xlpm._一般検索,IFERROR(INDEX('在庫使用計画 (一般)'!$A$1:$BF$391,MATCH($C94,'在庫使用計画 (一般)'!$C$1:$C$391,0),MATCH(BD$1,'在庫使用計画 (一般)'!$A$1:$BF$1,0))*1,0),
_xlpm._法人検索,IFERROR(INDEX('在庫使用計画 (法人)'!$A$1:$BF$391,MATCH($C94,'在庫使用計画 (法人)'!$C$1:$C$391,0),MATCH(BD$1,'在庫使用計画 (法人)'!$A$1:$BF$1,0))*1,0),
_xlpm._合計,_xlpm._一般検索+_xlpm._法人検索,
IF(_xlpm._合計=0,"",_xlpm._合計)
)</f>
        <v/>
      </c>
      <c r="BE94" s="224" t="str">
        <f>_xlfn.LET(
_xlpm._一般検索,IFERROR(INDEX('在庫使用計画 (一般)'!$A$1:$BF$391,MATCH($C94,'在庫使用計画 (一般)'!$C$1:$C$391,0),MATCH(BE$1,'在庫使用計画 (一般)'!$A$1:$BF$1,0))*1,0),
_xlpm._法人検索,IFERROR(INDEX('在庫使用計画 (法人)'!$A$1:$BF$391,MATCH($C94,'在庫使用計画 (法人)'!$C$1:$C$391,0),MATCH(BE$1,'在庫使用計画 (法人)'!$A$1:$BF$1,0))*1,0),
_xlpm._合計,_xlpm._一般検索+_xlpm._法人検索,
IF(_xlpm._合計=0,"",_xlpm._合計)
)</f>
        <v/>
      </c>
      <c r="BF94" s="224" t="str">
        <f>_xlfn.LET(
_xlpm._一般検索,IFERROR(INDEX('在庫使用計画 (一般)'!$A$1:$BF$391,MATCH($C94,'在庫使用計画 (一般)'!$C$1:$C$391,0),MATCH(BF$1,'在庫使用計画 (一般)'!$A$1:$BF$1,0))*1,0),
_xlpm._法人検索,IFERROR(INDEX('在庫使用計画 (法人)'!$A$1:$BF$391,MATCH($C94,'在庫使用計画 (法人)'!$C$1:$C$391,0),MATCH(BF$1,'在庫使用計画 (法人)'!$A$1:$BF$1,0))*1,0),
_xlpm._合計,_xlpm._一般検索+_xlpm._法人検索,
IF(_xlpm._合計=0,"",_xlpm._合計)
)</f>
        <v/>
      </c>
      <c r="BG94" s="237" t="str">
        <f>_xlfn.LET(
_xlpm._一般検索,IFERROR(INDEX('在庫使用計画 (一般)'!$A$1:$BF$391,MATCH($C94,'在庫使用計画 (一般)'!$C$1:$C$391,0),MATCH(BG$1,'在庫使用計画 (一般)'!$A$1:$BF$1,0))*1,0),
_xlpm._法人検索,IFERROR(INDEX('在庫使用計画 (法人)'!$A$1:$BF$391,MATCH($C94,'在庫使用計画 (法人)'!$C$1:$C$391,0),MATCH(BG$1,'在庫使用計画 (法人)'!$A$1:$BF$1,0))*1,0),
_xlpm._合計,_xlpm._一般検索+_xlpm._法人検索,
IF(_xlpm._合計=0,"",_xlpm._合計)
)</f>
        <v/>
      </c>
      <c r="BH94" s="804" t="str">
        <f>_xlfn.LET(
_xlpm._一般検索,IFERROR(INDEX('在庫使用計画 (一般)'!$A$1:$BF$391,MATCH($C94,'在庫使用計画 (一般)'!$C$1:$C$391,0),MATCH(BH$1,'在庫使用計画 (一般)'!$A$1:$BF$1,0))*1,0),
_xlpm._法人検索,IFERROR(INDEX('在庫使用計画 (法人)'!$A$1:$BF$391,MATCH($C94,'在庫使用計画 (法人)'!$C$1:$C$391,0),MATCH(BH$1,'在庫使用計画 (法人)'!$A$1:$BF$1,0))*1,0),
_xlpm._合計,_xlpm._一般検索+_xlpm._法人検索,
IF(_xlpm._合計=0,"",_xlpm._合計)
)</f>
        <v/>
      </c>
      <c r="BI94" s="224" t="str">
        <f>_xlfn.LET(
_xlpm._一般検索,IFERROR(INDEX('在庫使用計画 (一般)'!$A$1:$BF$391,MATCH($C94,'在庫使用計画 (一般)'!$C$1:$C$391,0),MATCH(BI$1,'在庫使用計画 (一般)'!$A$1:$BF$1,0))*1,0),
_xlpm._法人検索,IFERROR(INDEX('在庫使用計画 (法人)'!$A$1:$BF$391,MATCH($C94,'在庫使用計画 (法人)'!$C$1:$C$391,0),MATCH(BI$1,'在庫使用計画 (法人)'!$A$1:$BF$1,0))*1,0),
_xlpm._合計,_xlpm._一般検索+_xlpm._法人検索,
IF(_xlpm._合計=0,"",_xlpm._合計)
)</f>
        <v/>
      </c>
      <c r="BJ94" s="224" t="str">
        <f>_xlfn.LET(
_xlpm._一般検索,IFERROR(INDEX('在庫使用計画 (一般)'!$A$1:$BF$391,MATCH($C94,'在庫使用計画 (一般)'!$C$1:$C$391,0),MATCH(BJ$1,'在庫使用計画 (一般)'!$A$1:$BF$1,0))*1,0),
_xlpm._法人検索,IFERROR(INDEX('在庫使用計画 (法人)'!$A$1:$BF$391,MATCH($C94,'在庫使用計画 (法人)'!$C$1:$C$391,0),MATCH(BJ$1,'在庫使用計画 (法人)'!$A$1:$BF$1,0))*1,0),
_xlpm._合計,_xlpm._一般検索+_xlpm._法人検索,
IF(_xlpm._合計=0,"",_xlpm._合計)
)</f>
        <v/>
      </c>
      <c r="BK94" s="224" t="str">
        <f>_xlfn.LET(
_xlpm._一般検索,IFERROR(INDEX('在庫使用計画 (一般)'!$A$1:$BF$391,MATCH($C94,'在庫使用計画 (一般)'!$C$1:$C$391,0),MATCH(BK$1,'在庫使用計画 (一般)'!$A$1:$BF$1,0))*1,0),
_xlpm._法人検索,IFERROR(INDEX('在庫使用計画 (法人)'!$A$1:$BF$391,MATCH($C94,'在庫使用計画 (法人)'!$C$1:$C$391,0),MATCH(BK$1,'在庫使用計画 (法人)'!$A$1:$BF$1,0))*1,0),
_xlpm._合計,_xlpm._一般検索+_xlpm._法人検索,
IF(_xlpm._合計=0,"",_xlpm._合計)
)</f>
        <v/>
      </c>
      <c r="BL94" s="224" t="str">
        <f>_xlfn.LET(
_xlpm._一般検索,IFERROR(INDEX('在庫使用計画 (一般)'!$A$1:$BF$391,MATCH($C94,'在庫使用計画 (一般)'!$C$1:$C$391,0),MATCH(BL$1,'在庫使用計画 (一般)'!$A$1:$BF$1,0))*1,0),
_xlpm._法人検索,IFERROR(INDEX('在庫使用計画 (法人)'!$A$1:$BF$391,MATCH($C94,'在庫使用計画 (法人)'!$C$1:$C$391,0),MATCH(BL$1,'在庫使用計画 (法人)'!$A$1:$BF$1,0))*1,0),
_xlpm._合計,_xlpm._一般検索+_xlpm._法人検索,
IF(_xlpm._合計=0,"",_xlpm._合計)
)</f>
        <v/>
      </c>
      <c r="BM94" s="224" t="str">
        <f>_xlfn.LET(
_xlpm._一般検索,IFERROR(INDEX('在庫使用計画 (一般)'!$A$1:$BF$391,MATCH($C94,'在庫使用計画 (一般)'!$C$1:$C$391,0),MATCH(BM$1,'在庫使用計画 (一般)'!$A$1:$BF$1,0))*1,0),
_xlpm._法人検索,IFERROR(INDEX('在庫使用計画 (法人)'!$A$1:$BF$391,MATCH($C94,'在庫使用計画 (法人)'!$C$1:$C$391,0),MATCH(BM$1,'在庫使用計画 (法人)'!$A$1:$BF$1,0))*1,0),
_xlpm._合計,_xlpm._一般検索+_xlpm._法人検索,
IF(_xlpm._合計=0,"",_xlpm._合計)
)</f>
        <v/>
      </c>
      <c r="BN94" s="224" t="str">
        <f>_xlfn.LET(
_xlpm._一般検索,IFERROR(INDEX('在庫使用計画 (一般)'!$A$1:$BF$391,MATCH($C94,'在庫使用計画 (一般)'!$C$1:$C$391,0),MATCH(BN$1,'在庫使用計画 (一般)'!$A$1:$BF$1,0))*1,0),
_xlpm._法人検索,IFERROR(INDEX('在庫使用計画 (法人)'!$A$1:$BF$391,MATCH($C94,'在庫使用計画 (法人)'!$C$1:$C$391,0),MATCH(BN$1,'在庫使用計画 (法人)'!$A$1:$BF$1,0))*1,0),
_xlpm._合計,_xlpm._一般検索+_xlpm._法人検索,
IF(_xlpm._合計=0,"",_xlpm._合計)
)</f>
        <v/>
      </c>
      <c r="BO94" s="224" t="str">
        <f>_xlfn.LET(
_xlpm._一般検索,IFERROR(INDEX('在庫使用計画 (一般)'!$A$1:$BF$391,MATCH($C94,'在庫使用計画 (一般)'!$C$1:$C$391,0),MATCH(BO$1,'在庫使用計画 (一般)'!$A$1:$BF$1,0))*1,0),
_xlpm._法人検索,IFERROR(INDEX('在庫使用計画 (法人)'!$A$1:$BF$391,MATCH($C94,'在庫使用計画 (法人)'!$C$1:$C$391,0),MATCH(BO$1,'在庫使用計画 (法人)'!$A$1:$BF$1,0))*1,0),
_xlpm._合計,_xlpm._一般検索+_xlpm._法人検索,
IF(_xlpm._合計=0,"",_xlpm._合計)
)</f>
        <v/>
      </c>
      <c r="BP94" s="224" t="str">
        <f>_xlfn.LET(
_xlpm._一般検索,IFERROR(INDEX('在庫使用計画 (一般)'!$A$1:$BF$391,MATCH($C94,'在庫使用計画 (一般)'!$C$1:$C$391,0),MATCH(BP$1,'在庫使用計画 (一般)'!$A$1:$BF$1,0))*1,0),
_xlpm._法人検索,IFERROR(INDEX('在庫使用計画 (法人)'!$A$1:$BF$391,MATCH($C94,'在庫使用計画 (法人)'!$C$1:$C$391,0),MATCH(BP$1,'在庫使用計画 (法人)'!$A$1:$BF$1,0))*1,0),
_xlpm._合計,_xlpm._一般検索+_xlpm._法人検索,
IF(_xlpm._合計=0,"",_xlpm._合計)
)</f>
        <v/>
      </c>
      <c r="BQ94" s="224" t="str">
        <f>_xlfn.LET(
_xlpm._一般検索,IFERROR(INDEX('在庫使用計画 (一般)'!$A$1:$BF$391,MATCH($C94,'在庫使用計画 (一般)'!$C$1:$C$391,0),MATCH(BQ$1,'在庫使用計画 (一般)'!$A$1:$BF$1,0))*1,0),
_xlpm._法人検索,IFERROR(INDEX('在庫使用計画 (法人)'!$A$1:$BF$391,MATCH($C94,'在庫使用計画 (法人)'!$C$1:$C$391,0),MATCH(BQ$1,'在庫使用計画 (法人)'!$A$1:$BF$1,0))*1,0),
_xlpm._合計,_xlpm._一般検索+_xlpm._法人検索,
IF(_xlpm._合計=0,"",_xlpm._合計)
)</f>
        <v/>
      </c>
      <c r="BR94" s="224" t="str">
        <f>_xlfn.LET(
_xlpm._一般検索,IFERROR(INDEX('在庫使用計画 (一般)'!$A$1:$BF$391,MATCH($C94,'在庫使用計画 (一般)'!$C$1:$C$391,0),MATCH(BR$1,'在庫使用計画 (一般)'!$A$1:$BF$1,0))*1,0),
_xlpm._法人検索,IFERROR(INDEX('在庫使用計画 (法人)'!$A$1:$BF$391,MATCH($C94,'在庫使用計画 (法人)'!$C$1:$C$391,0),MATCH(BR$1,'在庫使用計画 (法人)'!$A$1:$BF$1,0))*1,0),
_xlpm._合計,_xlpm._一般検索+_xlpm._法人検索,
IF(_xlpm._合計=0,"",_xlpm._合計)
)</f>
        <v/>
      </c>
      <c r="BS94" s="805" t="str">
        <f>_xlfn.LET(
_xlpm._一般検索,IFERROR(INDEX('在庫使用計画 (一般)'!$A$1:$BF$391,MATCH($C94,'在庫使用計画 (一般)'!$C$1:$C$391,0),MATCH(BS$1,'在庫使用計画 (一般)'!$A$1:$BF$1,0))*1,0),
_xlpm._法人検索,IFERROR(INDEX('在庫使用計画 (法人)'!$A$1:$BF$391,MATCH($C94,'在庫使用計画 (法人)'!$C$1:$C$391,0),MATCH(BS$1,'在庫使用計画 (法人)'!$A$1:$BF$1,0))*1,0),
_xlpm._合計,_xlpm._一般検索+_xlpm._法人検索,
IF(_xlpm._合計=0,"",_xlpm._合計)
)</f>
        <v/>
      </c>
      <c r="BT94" s="21"/>
    </row>
    <row r="95" spans="1:72" customFormat="1" ht="18.75" customHeight="1" thickBot="1">
      <c r="A95" s="1072" t="s">
        <v>1473</v>
      </c>
      <c r="B95" s="1122" t="str">
        <v>CLE-V74-U7-155U-L6-TPM-DDR5-TW-BK</v>
      </c>
      <c r="C95" s="1451" t="s">
        <v>809</v>
      </c>
      <c r="D95" s="2169">
        <v>410</v>
      </c>
      <c r="E95" s="1392"/>
      <c r="F95" s="380"/>
      <c r="G95" s="74">
        <v>410</v>
      </c>
      <c r="H95" s="38">
        <v>0</v>
      </c>
      <c r="I95" s="38" cm="1">
        <f t="array" ref="I95">IF($C95="","",
_xlfn.LET(
  _xlpm._見出し,$A$1:$BT$1,
  _xlpm._行,$A95:$BT95,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405</v>
      </c>
      <c r="J95" s="74" cm="1">
        <f t="array" ref="J95">_xlfn.LET(
  _xlpm._見出し,$A$1:$BS$1,
  _xlpm._行,$A95:$BS95,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IF($C95="","",_xlpm._四点五月計画合計)
)</f>
        <v>755</v>
      </c>
      <c r="K95" s="1458" cm="1">
        <f t="array" ref="K95">_xlfn.IFS(
  $C95="","",
  $G95="","発売前？",
  $G95=0,"在庫なし",
  TRUE,
  IFERROR(
    _xlfn.LET(
      _xlpm._在庫注残,     $G95,
      _xlpm._しきい値,     _xlpm._在庫注残 * 0.75,
      _xlpm._見出し元,     $L$1:$BU$1,
      _xlpm._計画,         $L95:$BU95,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46296</v>
      </c>
      <c r="L95" s="311"/>
      <c r="M95" s="311"/>
      <c r="N95" s="311"/>
      <c r="O95" s="311"/>
      <c r="P95" s="311"/>
      <c r="Q95" s="311"/>
      <c r="R95" s="311"/>
      <c r="S95" s="311"/>
      <c r="T95" s="298"/>
      <c r="U95" s="219"/>
      <c r="V95" s="219"/>
      <c r="W95" s="219"/>
      <c r="X95" s="219"/>
      <c r="Y95" s="1049"/>
      <c r="Z95" s="1049"/>
      <c r="AA95" s="1049"/>
      <c r="AB95" s="1049"/>
      <c r="AC95" s="1049"/>
      <c r="AD95" s="1049"/>
      <c r="AE95" s="1049"/>
      <c r="AF95" s="1049"/>
      <c r="AG95" s="1049"/>
      <c r="AH95" s="224"/>
      <c r="AI95" s="1050"/>
      <c r="AJ95" s="804" t="s">
        <v>21</v>
      </c>
      <c r="AK95" s="224" t="s">
        <v>21</v>
      </c>
      <c r="AL95" s="224" t="s">
        <v>21</v>
      </c>
      <c r="AM95" s="224" t="s">
        <v>21</v>
      </c>
      <c r="AN95" s="224" t="str">
        <f>_xlfn.LET(
_xlpm._一般検索,IFERROR(INDEX('在庫使用計画 (一般)'!$A$1:$BF$391,MATCH($C95,'在庫使用計画 (一般)'!$C$1:$C$391,0),MATCH(AN$1,'在庫使用計画 (一般)'!$A$1:$BF$1,0))*1,0),
_xlpm._法人検索,IFERROR(INDEX('在庫使用計画 (法人)'!$A$1:$BF$391,MATCH($C95,'在庫使用計画 (法人)'!$C$1:$C$391,0),MATCH(AN$1,'在庫使用計画 (法人)'!$A$1:$BF$1,0))*1,0),
_xlpm._合計,_xlpm._一般検索+_xlpm._法人検索,
IF(_xlpm._合計=0,"",_xlpm._合計)
)</f>
        <v/>
      </c>
      <c r="AO95" s="224" t="str">
        <f>_xlfn.LET(
_xlpm._一般検索,IFERROR(INDEX('在庫使用計画 (一般)'!$A$1:$BF$391,MATCH($C95,'在庫使用計画 (一般)'!$C$1:$C$391,0),MATCH(AO$1,'在庫使用計画 (一般)'!$A$1:$BF$1,0))*1,0),
_xlpm._法人検索,IFERROR(INDEX('在庫使用計画 (法人)'!$A$1:$BF$391,MATCH($C95,'在庫使用計画 (法人)'!$C$1:$C$391,0),MATCH(AO$1,'在庫使用計画 (法人)'!$A$1:$BF$1,0))*1,0),
_xlpm._合計,_xlpm._一般検索+_xlpm._法人検索,
IF(_xlpm._合計=0,"",_xlpm._合計)
)</f>
        <v/>
      </c>
      <c r="AP95" s="224" t="str">
        <f>_xlfn.LET(
_xlpm._一般検索,IFERROR(INDEX('在庫使用計画 (一般)'!$A$1:$BF$391,MATCH($C95,'在庫使用計画 (一般)'!$C$1:$C$391,0),MATCH(AP$1,'在庫使用計画 (一般)'!$A$1:$BF$1,0))*1,0),
_xlpm._法人検索,IFERROR(INDEX('在庫使用計画 (法人)'!$A$1:$BF$391,MATCH($C95,'在庫使用計画 (法人)'!$C$1:$C$391,0),MATCH(AP$1,'在庫使用計画 (法人)'!$A$1:$BF$1,0))*1,0),
_xlpm._合計,_xlpm._一般検索+_xlpm._法人検索,
IF(_xlpm._合計=0,"",_xlpm._合計)
)</f>
        <v/>
      </c>
      <c r="AQ95" s="224">
        <f>_xlfn.LET(
_xlpm._一般検索,IFERROR(INDEX('在庫使用計画 (一般)'!$A$1:$BF$391,MATCH($C95,'在庫使用計画 (一般)'!$C$1:$C$391,0),MATCH(AQ$1,'在庫使用計画 (一般)'!$A$1:$BF$1,0))*1,0),
_xlpm._法人検索,IFERROR(INDEX('在庫使用計画 (法人)'!$A$1:$BF$391,MATCH($C95,'在庫使用計画 (法人)'!$C$1:$C$391,0),MATCH(AQ$1,'在庫使用計画 (法人)'!$A$1:$BF$1,0))*1,0),
_xlpm._合計,_xlpm._一般検索+_xlpm._法人検索,
IF(_xlpm._合計=0,"",_xlpm._合計)
)</f>
        <v>3</v>
      </c>
      <c r="AR95" s="224">
        <f>_xlfn.LET(
_xlpm._一般検索,IFERROR(INDEX('在庫使用計画 (一般)'!$A$1:$BF$391,MATCH($C95,'在庫使用計画 (一般)'!$C$1:$C$391,0),MATCH(AR$1,'在庫使用計画 (一般)'!$A$1:$BF$1,0))*1,0),
_xlpm._法人検索,IFERROR(INDEX('在庫使用計画 (法人)'!$A$1:$BF$391,MATCH($C95,'在庫使用計画 (法人)'!$C$1:$C$391,0),MATCH(AR$1,'在庫使用計画 (法人)'!$A$1:$BF$1,0))*1,0),
_xlpm._合計,_xlpm._一般検索+_xlpm._法人検索,
IF(_xlpm._合計=0,"",_xlpm._合計)
)</f>
        <v>167</v>
      </c>
      <c r="AS95" s="224">
        <f>_xlfn.LET(
_xlpm._一般検索,IFERROR(INDEX('在庫使用計画 (一般)'!$A$1:$BF$391,MATCH($C95,'在庫使用計画 (一般)'!$C$1:$C$391,0),MATCH(AS$1,'在庫使用計画 (一般)'!$A$1:$BF$1,0))*1,0),
_xlpm._法人検索,IFERROR(INDEX('在庫使用計画 (法人)'!$A$1:$BF$391,MATCH($C95,'在庫使用計画 (法人)'!$C$1:$C$391,0),MATCH(AS$1,'在庫使用計画 (法人)'!$A$1:$BF$1,0))*1,0),
_xlpm._合計,_xlpm._一般検索+_xlpm._法人検索,
IF(_xlpm._合計=0,"",_xlpm._合計)
)</f>
        <v>235</v>
      </c>
      <c r="AT95" s="224">
        <f>_xlfn.LET(
_xlpm._一般検索,IFERROR(INDEX('在庫使用計画 (一般)'!$A$1:$BF$391,MATCH($C95,'在庫使用計画 (一般)'!$C$1:$C$391,0),MATCH(AT$1,'在庫使用計画 (一般)'!$A$1:$BF$1,0))*1,0),
_xlpm._法人検索,IFERROR(INDEX('在庫使用計画 (法人)'!$A$1:$BF$391,MATCH($C95,'在庫使用計画 (法人)'!$C$1:$C$391,0),MATCH(AT$1,'在庫使用計画 (法人)'!$A$1:$BF$1,0))*1,0),
_xlpm._合計,_xlpm._一般検索+_xlpm._法人検索,
IF(_xlpm._合計=0,"",_xlpm._合計)
)</f>
        <v>350</v>
      </c>
      <c r="AU95" s="805">
        <f>_xlfn.LET(
_xlpm._一般検索,IFERROR(INDEX('在庫使用計画 (一般)'!$A$1:$BF$391,MATCH($C95,'在庫使用計画 (一般)'!$C$1:$C$391,0),MATCH(AU$1,'在庫使用計画 (一般)'!$A$1:$BF$1,0))*1,0),
_xlpm._法人検索,IFERROR(INDEX('在庫使用計画 (法人)'!$A$1:$BF$391,MATCH($C95,'在庫使用計画 (法人)'!$C$1:$C$391,0),MATCH(AU$1,'在庫使用計画 (法人)'!$A$1:$BF$1,0))*1,0),
_xlpm._合計,_xlpm._一般検索+_xlpm._法人検索,
IF(_xlpm._合計=0,"",_xlpm._合計)
)</f>
        <v>295</v>
      </c>
      <c r="AV95" s="244">
        <f>_xlfn.LET(
_xlpm._一般検索,IFERROR(INDEX('在庫使用計画 (一般)'!$A$1:$BF$391,MATCH($C95,'在庫使用計画 (一般)'!$C$1:$C$391,0),MATCH(AV$1,'在庫使用計画 (一般)'!$A$1:$BF$1,0))*1,0),
_xlpm._法人検索,IFERROR(INDEX('在庫使用計画 (法人)'!$A$1:$BF$391,MATCH($C95,'在庫使用計画 (法人)'!$C$1:$C$391,0),MATCH(AV$1,'在庫使用計画 (法人)'!$A$1:$BF$1,0))*1,0),
_xlpm._合計,_xlpm._一般検索+_xlpm._法人検索,
IF(_xlpm._合計=0,"",_xlpm._合計)
)</f>
        <v>300</v>
      </c>
      <c r="AW95" s="224">
        <f>_xlfn.LET(
_xlpm._一般検索,IFERROR(INDEX('在庫使用計画 (一般)'!$A$1:$BF$391,MATCH($C95,'在庫使用計画 (一般)'!$C$1:$C$391,0),MATCH(AW$1,'在庫使用計画 (一般)'!$A$1:$BF$1,0))*1,0),
_xlpm._法人検索,IFERROR(INDEX('在庫使用計画 (法人)'!$A$1:$BF$391,MATCH($C95,'在庫使用計画 (法人)'!$C$1:$C$391,0),MATCH(AW$1,'在庫使用計画 (法人)'!$A$1:$BF$1,0))*1,0),
_xlpm._合計,_xlpm._一般検索+_xlpm._法人検索,
IF(_xlpm._合計=0,"",_xlpm._合計)
)</f>
        <v>332</v>
      </c>
      <c r="AX95" s="224">
        <f>_xlfn.LET(
_xlpm._一般検索,IFERROR(INDEX('在庫使用計画 (一般)'!$A$1:$BF$391,MATCH($C95,'在庫使用計画 (一般)'!$C$1:$C$391,0),MATCH(AX$1,'在庫使用計画 (一般)'!$A$1:$BF$1,0))*1,0),
_xlpm._法人検索,IFERROR(INDEX('在庫使用計画 (法人)'!$A$1:$BF$391,MATCH($C95,'在庫使用計画 (法人)'!$C$1:$C$391,0),MATCH(AX$1,'在庫使用計画 (法人)'!$A$1:$BF$1,0))*1,0),
_xlpm._合計,_xlpm._一般検索+_xlpm._法人検索,
IF(_xlpm._合計=0,"",_xlpm._合計)
)</f>
        <v>345</v>
      </c>
      <c r="AY95" s="224">
        <f>_xlfn.LET(
_xlpm._一般検索,IFERROR(INDEX('在庫使用計画 (一般)'!$A$1:$BF$391,MATCH($C95,'在庫使用計画 (一般)'!$C$1:$C$391,0),MATCH(AY$1,'在庫使用計画 (一般)'!$A$1:$BF$1,0))*1,0),
_xlpm._法人検索,IFERROR(INDEX('在庫使用計画 (法人)'!$A$1:$BF$391,MATCH($C95,'在庫使用計画 (法人)'!$C$1:$C$391,0),MATCH(AY$1,'在庫使用計画 (法人)'!$A$1:$BF$1,0))*1,0),
_xlpm._合計,_xlpm._一般検索+_xlpm._法人検索,
IF(_xlpm._合計=0,"",_xlpm._合計)
)</f>
        <v>261</v>
      </c>
      <c r="AZ95" s="224">
        <f>_xlfn.LET(
_xlpm._一般検索,IFERROR(INDEX('在庫使用計画 (一般)'!$A$1:$BF$391,MATCH($C95,'在庫使用計画 (一般)'!$C$1:$C$391,0),MATCH(AZ$1,'在庫使用計画 (一般)'!$A$1:$BF$1,0))*1,0),
_xlpm._法人検索,IFERROR(INDEX('在庫使用計画 (法人)'!$A$1:$BF$391,MATCH($C95,'在庫使用計画 (法人)'!$C$1:$C$391,0),MATCH(AZ$1,'在庫使用計画 (法人)'!$A$1:$BF$1,0))*1,0),
_xlpm._合計,_xlpm._一般検索+_xlpm._法人検索,
IF(_xlpm._合計=0,"",_xlpm._合計)
)</f>
        <v>256</v>
      </c>
      <c r="BA95" s="224">
        <f>_xlfn.LET(
_xlpm._一般検索,IFERROR(INDEX('在庫使用計画 (一般)'!$A$1:$BF$391,MATCH($C95,'在庫使用計画 (一般)'!$C$1:$C$391,0),MATCH(BA$1,'在庫使用計画 (一般)'!$A$1:$BF$1,0))*1,0),
_xlpm._法人検索,IFERROR(INDEX('在庫使用計画 (法人)'!$A$1:$BF$391,MATCH($C95,'在庫使用計画 (法人)'!$C$1:$C$391,0),MATCH(BA$1,'在庫使用計画 (法人)'!$A$1:$BF$1,0))*1,0),
_xlpm._合計,_xlpm._一般検索+_xlpm._法人検索,
IF(_xlpm._合計=0,"",_xlpm._合計)
)</f>
        <v>196</v>
      </c>
      <c r="BB95" s="224">
        <f>_xlfn.LET(
_xlpm._一般検索,IFERROR(INDEX('在庫使用計画 (一般)'!$A$1:$BF$391,MATCH($C95,'在庫使用計画 (一般)'!$C$1:$C$391,0),MATCH(BB$1,'在庫使用計画 (一般)'!$A$1:$BF$1,0))*1,0),
_xlpm._法人検索,IFERROR(INDEX('在庫使用計画 (法人)'!$A$1:$BF$391,MATCH($C95,'在庫使用計画 (法人)'!$C$1:$C$391,0),MATCH(BB$1,'在庫使用計画 (法人)'!$A$1:$BF$1,0))*1,0),
_xlpm._合計,_xlpm._一般検索+_xlpm._法人検索,
IF(_xlpm._合計=0,"",_xlpm._合計)
)</f>
        <v>261</v>
      </c>
      <c r="BC95" s="224">
        <f>_xlfn.LET(
_xlpm._一般検索,IFERROR(INDEX('在庫使用計画 (一般)'!$A$1:$BF$391,MATCH($C95,'在庫使用計画 (一般)'!$C$1:$C$391,0),MATCH(BC$1,'在庫使用計画 (一般)'!$A$1:$BF$1,0))*1,0),
_xlpm._法人検索,IFERROR(INDEX('在庫使用計画 (法人)'!$A$1:$BF$391,MATCH($C95,'在庫使用計画 (法人)'!$C$1:$C$391,0),MATCH(BC$1,'在庫使用計画 (法人)'!$A$1:$BF$1,0))*1,0),
_xlpm._合計,_xlpm._一般検索+_xlpm._法人検索,
IF(_xlpm._合計=0,"",_xlpm._合計)
)</f>
        <v>179</v>
      </c>
      <c r="BD95" s="224" t="str">
        <f>_xlfn.LET(
_xlpm._一般検索,IFERROR(INDEX('在庫使用計画 (一般)'!$A$1:$BF$391,MATCH($C95,'在庫使用計画 (一般)'!$C$1:$C$391,0),MATCH(BD$1,'在庫使用計画 (一般)'!$A$1:$BF$1,0))*1,0),
_xlpm._法人検索,IFERROR(INDEX('在庫使用計画 (法人)'!$A$1:$BF$391,MATCH($C95,'在庫使用計画 (法人)'!$C$1:$C$391,0),MATCH(BD$1,'在庫使用計画 (法人)'!$A$1:$BF$1,0))*1,0),
_xlpm._合計,_xlpm._一般検索+_xlpm._法人検索,
IF(_xlpm._合計=0,"",_xlpm._合計)
)</f>
        <v/>
      </c>
      <c r="BE95" s="224" t="str">
        <f>_xlfn.LET(
_xlpm._一般検索,IFERROR(INDEX('在庫使用計画 (一般)'!$A$1:$BF$391,MATCH($C95,'在庫使用計画 (一般)'!$C$1:$C$391,0),MATCH(BE$1,'在庫使用計画 (一般)'!$A$1:$BF$1,0))*1,0),
_xlpm._法人検索,IFERROR(INDEX('在庫使用計画 (法人)'!$A$1:$BF$391,MATCH($C95,'在庫使用計画 (法人)'!$C$1:$C$391,0),MATCH(BE$1,'在庫使用計画 (法人)'!$A$1:$BF$1,0))*1,0),
_xlpm._合計,_xlpm._一般検索+_xlpm._法人検索,
IF(_xlpm._合計=0,"",_xlpm._合計)
)</f>
        <v/>
      </c>
      <c r="BF95" s="224" t="str">
        <f>_xlfn.LET(
_xlpm._一般検索,IFERROR(INDEX('在庫使用計画 (一般)'!$A$1:$BF$391,MATCH($C95,'在庫使用計画 (一般)'!$C$1:$C$391,0),MATCH(BF$1,'在庫使用計画 (一般)'!$A$1:$BF$1,0))*1,0),
_xlpm._法人検索,IFERROR(INDEX('在庫使用計画 (法人)'!$A$1:$BF$391,MATCH($C95,'在庫使用計画 (法人)'!$C$1:$C$391,0),MATCH(BF$1,'在庫使用計画 (法人)'!$A$1:$BF$1,0))*1,0),
_xlpm._合計,_xlpm._一般検索+_xlpm._法人検索,
IF(_xlpm._合計=0,"",_xlpm._合計)
)</f>
        <v/>
      </c>
      <c r="BG95" s="237" t="str">
        <f>_xlfn.LET(
_xlpm._一般検索,IFERROR(INDEX('在庫使用計画 (一般)'!$A$1:$BF$391,MATCH($C95,'在庫使用計画 (一般)'!$C$1:$C$391,0),MATCH(BG$1,'在庫使用計画 (一般)'!$A$1:$BF$1,0))*1,0),
_xlpm._法人検索,IFERROR(INDEX('在庫使用計画 (法人)'!$A$1:$BF$391,MATCH($C95,'在庫使用計画 (法人)'!$C$1:$C$391,0),MATCH(BG$1,'在庫使用計画 (法人)'!$A$1:$BF$1,0))*1,0),
_xlpm._合計,_xlpm._一般検索+_xlpm._法人検索,
IF(_xlpm._合計=0,"",_xlpm._合計)
)</f>
        <v/>
      </c>
      <c r="BH95" s="804" t="str">
        <f>_xlfn.LET(
_xlpm._一般検索,IFERROR(INDEX('在庫使用計画 (一般)'!$A$1:$BF$391,MATCH($C95,'在庫使用計画 (一般)'!$C$1:$C$391,0),MATCH(BH$1,'在庫使用計画 (一般)'!$A$1:$BF$1,0))*1,0),
_xlpm._法人検索,IFERROR(INDEX('在庫使用計画 (法人)'!$A$1:$BF$391,MATCH($C95,'在庫使用計画 (法人)'!$C$1:$C$391,0),MATCH(BH$1,'在庫使用計画 (法人)'!$A$1:$BF$1,0))*1,0),
_xlpm._合計,_xlpm._一般検索+_xlpm._法人検索,
IF(_xlpm._合計=0,"",_xlpm._合計)
)</f>
        <v/>
      </c>
      <c r="BI95" s="224" t="str">
        <f>_xlfn.LET(
_xlpm._一般検索,IFERROR(INDEX('在庫使用計画 (一般)'!$A$1:$BF$391,MATCH($C95,'在庫使用計画 (一般)'!$C$1:$C$391,0),MATCH(BI$1,'在庫使用計画 (一般)'!$A$1:$BF$1,0))*1,0),
_xlpm._法人検索,IFERROR(INDEX('在庫使用計画 (法人)'!$A$1:$BF$391,MATCH($C95,'在庫使用計画 (法人)'!$C$1:$C$391,0),MATCH(BI$1,'在庫使用計画 (法人)'!$A$1:$BF$1,0))*1,0),
_xlpm._合計,_xlpm._一般検索+_xlpm._法人検索,
IF(_xlpm._合計=0,"",_xlpm._合計)
)</f>
        <v/>
      </c>
      <c r="BJ95" s="224" t="str">
        <f>_xlfn.LET(
_xlpm._一般検索,IFERROR(INDEX('在庫使用計画 (一般)'!$A$1:$BF$391,MATCH($C95,'在庫使用計画 (一般)'!$C$1:$C$391,0),MATCH(BJ$1,'在庫使用計画 (一般)'!$A$1:$BF$1,0))*1,0),
_xlpm._法人検索,IFERROR(INDEX('在庫使用計画 (法人)'!$A$1:$BF$391,MATCH($C95,'在庫使用計画 (法人)'!$C$1:$C$391,0),MATCH(BJ$1,'在庫使用計画 (法人)'!$A$1:$BF$1,0))*1,0),
_xlpm._合計,_xlpm._一般検索+_xlpm._法人検索,
IF(_xlpm._合計=0,"",_xlpm._合計)
)</f>
        <v/>
      </c>
      <c r="BK95" s="224" t="str">
        <f>_xlfn.LET(
_xlpm._一般検索,IFERROR(INDEX('在庫使用計画 (一般)'!$A$1:$BF$391,MATCH($C95,'在庫使用計画 (一般)'!$C$1:$C$391,0),MATCH(BK$1,'在庫使用計画 (一般)'!$A$1:$BF$1,0))*1,0),
_xlpm._法人検索,IFERROR(INDEX('在庫使用計画 (法人)'!$A$1:$BF$391,MATCH($C95,'在庫使用計画 (法人)'!$C$1:$C$391,0),MATCH(BK$1,'在庫使用計画 (法人)'!$A$1:$BF$1,0))*1,0),
_xlpm._合計,_xlpm._一般検索+_xlpm._法人検索,
IF(_xlpm._合計=0,"",_xlpm._合計)
)</f>
        <v/>
      </c>
      <c r="BL95" s="224" t="str">
        <f>_xlfn.LET(
_xlpm._一般検索,IFERROR(INDEX('在庫使用計画 (一般)'!$A$1:$BF$391,MATCH($C95,'在庫使用計画 (一般)'!$C$1:$C$391,0),MATCH(BL$1,'在庫使用計画 (一般)'!$A$1:$BF$1,0))*1,0),
_xlpm._法人検索,IFERROR(INDEX('在庫使用計画 (法人)'!$A$1:$BF$391,MATCH($C95,'在庫使用計画 (法人)'!$C$1:$C$391,0),MATCH(BL$1,'在庫使用計画 (法人)'!$A$1:$BF$1,0))*1,0),
_xlpm._合計,_xlpm._一般検索+_xlpm._法人検索,
IF(_xlpm._合計=0,"",_xlpm._合計)
)</f>
        <v/>
      </c>
      <c r="BM95" s="224" t="str">
        <f>_xlfn.LET(
_xlpm._一般検索,IFERROR(INDEX('在庫使用計画 (一般)'!$A$1:$BF$391,MATCH($C95,'在庫使用計画 (一般)'!$C$1:$C$391,0),MATCH(BM$1,'在庫使用計画 (一般)'!$A$1:$BF$1,0))*1,0),
_xlpm._法人検索,IFERROR(INDEX('在庫使用計画 (法人)'!$A$1:$BF$391,MATCH($C95,'在庫使用計画 (法人)'!$C$1:$C$391,0),MATCH(BM$1,'在庫使用計画 (法人)'!$A$1:$BF$1,0))*1,0),
_xlpm._合計,_xlpm._一般検索+_xlpm._法人検索,
IF(_xlpm._合計=0,"",_xlpm._合計)
)</f>
        <v/>
      </c>
      <c r="BN95" s="224" t="str">
        <f>_xlfn.LET(
_xlpm._一般検索,IFERROR(INDEX('在庫使用計画 (一般)'!$A$1:$BF$391,MATCH($C95,'在庫使用計画 (一般)'!$C$1:$C$391,0),MATCH(BN$1,'在庫使用計画 (一般)'!$A$1:$BF$1,0))*1,0),
_xlpm._法人検索,IFERROR(INDEX('在庫使用計画 (法人)'!$A$1:$BF$391,MATCH($C95,'在庫使用計画 (法人)'!$C$1:$C$391,0),MATCH(BN$1,'在庫使用計画 (法人)'!$A$1:$BF$1,0))*1,0),
_xlpm._合計,_xlpm._一般検索+_xlpm._法人検索,
IF(_xlpm._合計=0,"",_xlpm._合計)
)</f>
        <v/>
      </c>
      <c r="BO95" s="224" t="str">
        <f>_xlfn.LET(
_xlpm._一般検索,IFERROR(INDEX('在庫使用計画 (一般)'!$A$1:$BF$391,MATCH($C95,'在庫使用計画 (一般)'!$C$1:$C$391,0),MATCH(BO$1,'在庫使用計画 (一般)'!$A$1:$BF$1,0))*1,0),
_xlpm._法人検索,IFERROR(INDEX('在庫使用計画 (法人)'!$A$1:$BF$391,MATCH($C95,'在庫使用計画 (法人)'!$C$1:$C$391,0),MATCH(BO$1,'在庫使用計画 (法人)'!$A$1:$BF$1,0))*1,0),
_xlpm._合計,_xlpm._一般検索+_xlpm._法人検索,
IF(_xlpm._合計=0,"",_xlpm._合計)
)</f>
        <v/>
      </c>
      <c r="BP95" s="224" t="str">
        <f>_xlfn.LET(
_xlpm._一般検索,IFERROR(INDEX('在庫使用計画 (一般)'!$A$1:$BF$391,MATCH($C95,'在庫使用計画 (一般)'!$C$1:$C$391,0),MATCH(BP$1,'在庫使用計画 (一般)'!$A$1:$BF$1,0))*1,0),
_xlpm._法人検索,IFERROR(INDEX('在庫使用計画 (法人)'!$A$1:$BF$391,MATCH($C95,'在庫使用計画 (法人)'!$C$1:$C$391,0),MATCH(BP$1,'在庫使用計画 (法人)'!$A$1:$BF$1,0))*1,0),
_xlpm._合計,_xlpm._一般検索+_xlpm._法人検索,
IF(_xlpm._合計=0,"",_xlpm._合計)
)</f>
        <v/>
      </c>
      <c r="BQ95" s="224" t="str">
        <f>_xlfn.LET(
_xlpm._一般検索,IFERROR(INDEX('在庫使用計画 (一般)'!$A$1:$BF$391,MATCH($C95,'在庫使用計画 (一般)'!$C$1:$C$391,0),MATCH(BQ$1,'在庫使用計画 (一般)'!$A$1:$BF$1,0))*1,0),
_xlpm._法人検索,IFERROR(INDEX('在庫使用計画 (法人)'!$A$1:$BF$391,MATCH($C95,'在庫使用計画 (法人)'!$C$1:$C$391,0),MATCH(BQ$1,'在庫使用計画 (法人)'!$A$1:$BF$1,0))*1,0),
_xlpm._合計,_xlpm._一般検索+_xlpm._法人検索,
IF(_xlpm._合計=0,"",_xlpm._合計)
)</f>
        <v/>
      </c>
      <c r="BR95" s="224" t="str">
        <f>_xlfn.LET(
_xlpm._一般検索,IFERROR(INDEX('在庫使用計画 (一般)'!$A$1:$BF$391,MATCH($C95,'在庫使用計画 (一般)'!$C$1:$C$391,0),MATCH(BR$1,'在庫使用計画 (一般)'!$A$1:$BF$1,0))*1,0),
_xlpm._法人検索,IFERROR(INDEX('在庫使用計画 (法人)'!$A$1:$BF$391,MATCH($C95,'在庫使用計画 (法人)'!$C$1:$C$391,0),MATCH(BR$1,'在庫使用計画 (法人)'!$A$1:$BF$1,0))*1,0),
_xlpm._合計,_xlpm._一般検索+_xlpm._法人検索,
IF(_xlpm._合計=0,"",_xlpm._合計)
)</f>
        <v/>
      </c>
      <c r="BS95" s="805" t="str">
        <f>_xlfn.LET(
_xlpm._一般検索,IFERROR(INDEX('在庫使用計画 (一般)'!$A$1:$BF$391,MATCH($C95,'在庫使用計画 (一般)'!$C$1:$C$391,0),MATCH(BS$1,'在庫使用計画 (一般)'!$A$1:$BF$1,0))*1,0),
_xlpm._法人検索,IFERROR(INDEX('在庫使用計画 (法人)'!$A$1:$BF$391,MATCH($C95,'在庫使用計画 (法人)'!$C$1:$C$391,0),MATCH(BS$1,'在庫使用計画 (法人)'!$A$1:$BF$1,0))*1,0),
_xlpm._合計,_xlpm._一般検索+_xlpm._法人検索,
IF(_xlpm._合計=0,"",_xlpm._合計)
)</f>
        <v/>
      </c>
      <c r="BT95" s="21"/>
    </row>
    <row r="96" spans="1:72" customFormat="1" ht="18.75" customHeight="1" thickBot="1">
      <c r="A96" s="1073" t="s">
        <v>1473</v>
      </c>
      <c r="B96" s="1124" t="str">
        <v>CLE-V74-U7-155U-L6-TPM-DDR5-TW-BL</v>
      </c>
      <c r="C96" s="1451" t="s">
        <v>805</v>
      </c>
      <c r="D96" s="2170">
        <v>166</v>
      </c>
      <c r="E96" s="1392"/>
      <c r="F96" s="639"/>
      <c r="G96" s="74">
        <v>166</v>
      </c>
      <c r="H96" s="38">
        <v>0</v>
      </c>
      <c r="I96" s="38" cm="1">
        <f t="array" ref="I96">IF($C96="","",
_xlfn.LET(
  _xlpm._見出し,$A$1:$BT$1,
  _xlpm._行,$A96:$BT96,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107</v>
      </c>
      <c r="J96" s="74" cm="1">
        <f t="array" ref="J96">_xlfn.LET(
  _xlpm._見出し,$A$1:$BS$1,
  _xlpm._行,$A96:$BS96,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IF($C96="","",_xlpm._四点五月計画合計)
)</f>
        <v>157</v>
      </c>
      <c r="K96" s="1458" cm="1">
        <f t="array" ref="K96">_xlfn.IFS(
  $C96="","",
  $G96="","発売前？",
  $G96=0,"在庫なし",
  TRUE,
  IFERROR(
    _xlfn.LET(
      _xlpm._在庫注残,     $G96,
      _xlpm._しきい値,     _xlpm._在庫注残 * 0.75,
      _xlpm._見出し元,     $L$1:$BU$1,
      _xlpm._計画,         $L96:$BU96,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46327</v>
      </c>
      <c r="L96" s="180"/>
      <c r="M96" s="180"/>
      <c r="N96" s="180"/>
      <c r="O96" s="180"/>
      <c r="P96" s="180"/>
      <c r="Q96" s="180"/>
      <c r="R96" s="180"/>
      <c r="S96" s="180"/>
      <c r="T96" s="299"/>
      <c r="U96" s="224"/>
      <c r="V96" s="224"/>
      <c r="W96" s="224"/>
      <c r="X96" s="224"/>
      <c r="Y96" s="1050"/>
      <c r="Z96" s="1050"/>
      <c r="AA96" s="1050"/>
      <c r="AB96" s="1050"/>
      <c r="AC96" s="1050"/>
      <c r="AD96" s="1050"/>
      <c r="AE96" s="1050"/>
      <c r="AF96" s="1050"/>
      <c r="AG96" s="1050"/>
      <c r="AH96" s="224"/>
      <c r="AI96" s="1050"/>
      <c r="AJ96" s="804" t="s">
        <v>21</v>
      </c>
      <c r="AK96" s="224" t="s">
        <v>21</v>
      </c>
      <c r="AL96" s="224" t="s">
        <v>21</v>
      </c>
      <c r="AM96" s="224" t="s">
        <v>21</v>
      </c>
      <c r="AN96" s="224" t="str">
        <f>_xlfn.LET(
_xlpm._一般検索,IFERROR(INDEX('在庫使用計画 (一般)'!$A$1:$BF$391,MATCH($C96,'在庫使用計画 (一般)'!$C$1:$C$391,0),MATCH(AN$1,'在庫使用計画 (一般)'!$A$1:$BF$1,0))*1,0),
_xlpm._法人検索,IFERROR(INDEX('在庫使用計画 (法人)'!$A$1:$BF$391,MATCH($C96,'在庫使用計画 (法人)'!$C$1:$C$391,0),MATCH(AN$1,'在庫使用計画 (法人)'!$A$1:$BF$1,0))*1,0),
_xlpm._合計,_xlpm._一般検索+_xlpm._法人検索,
IF(_xlpm._合計=0,"",_xlpm._合計)
)</f>
        <v/>
      </c>
      <c r="AO96" s="224" t="str">
        <f>_xlfn.LET(
_xlpm._一般検索,IFERROR(INDEX('在庫使用計画 (一般)'!$A$1:$BF$391,MATCH($C96,'在庫使用計画 (一般)'!$C$1:$C$391,0),MATCH(AO$1,'在庫使用計画 (一般)'!$A$1:$BF$1,0))*1,0),
_xlpm._法人検索,IFERROR(INDEX('在庫使用計画 (法人)'!$A$1:$BF$391,MATCH($C96,'在庫使用計画 (法人)'!$C$1:$C$391,0),MATCH(AO$1,'在庫使用計画 (法人)'!$A$1:$BF$1,0))*1,0),
_xlpm._合計,_xlpm._一般検索+_xlpm._法人検索,
IF(_xlpm._合計=0,"",_xlpm._合計)
)</f>
        <v/>
      </c>
      <c r="AP96" s="224" t="str">
        <f>_xlfn.LET(
_xlpm._一般検索,IFERROR(INDEX('在庫使用計画 (一般)'!$A$1:$BF$391,MATCH($C96,'在庫使用計画 (一般)'!$C$1:$C$391,0),MATCH(AP$1,'在庫使用計画 (一般)'!$A$1:$BF$1,0))*1,0),
_xlpm._法人検索,IFERROR(INDEX('在庫使用計画 (法人)'!$A$1:$BF$391,MATCH($C96,'在庫使用計画 (法人)'!$C$1:$C$391,0),MATCH(AP$1,'在庫使用計画 (法人)'!$A$1:$BF$1,0))*1,0),
_xlpm._合計,_xlpm._一般検索+_xlpm._法人検索,
IF(_xlpm._合計=0,"",_xlpm._合計)
)</f>
        <v/>
      </c>
      <c r="AQ96" s="224" t="str">
        <f>_xlfn.LET(
_xlpm._一般検索,IFERROR(INDEX('在庫使用計画 (一般)'!$A$1:$BF$391,MATCH($C96,'在庫使用計画 (一般)'!$C$1:$C$391,0),MATCH(AQ$1,'在庫使用計画 (一般)'!$A$1:$BF$1,0))*1,0),
_xlpm._法人検索,IFERROR(INDEX('在庫使用計画 (法人)'!$A$1:$BF$391,MATCH($C96,'在庫使用計画 (法人)'!$C$1:$C$391,0),MATCH(AQ$1,'在庫使用計画 (法人)'!$A$1:$BF$1,0))*1,0),
_xlpm._合計,_xlpm._一般検索+_xlpm._法人検索,
IF(_xlpm._合計=0,"",_xlpm._合計)
)</f>
        <v/>
      </c>
      <c r="AR96" s="224">
        <f>_xlfn.LET(
_xlpm._一般検索,IFERROR(INDEX('在庫使用計画 (一般)'!$A$1:$BF$391,MATCH($C96,'在庫使用計画 (一般)'!$C$1:$C$391,0),MATCH(AR$1,'在庫使用計画 (一般)'!$A$1:$BF$1,0))*1,0),
_xlpm._法人検索,IFERROR(INDEX('在庫使用計画 (法人)'!$A$1:$BF$391,MATCH($C96,'在庫使用計画 (法人)'!$C$1:$C$391,0),MATCH(AR$1,'在庫使用計画 (法人)'!$A$1:$BF$1,0))*1,0),
_xlpm._合計,_xlpm._一般検索+_xlpm._法人検索,
IF(_xlpm._合計=0,"",_xlpm._合計)
)</f>
        <v>54</v>
      </c>
      <c r="AS96" s="224">
        <f>_xlfn.LET(
_xlpm._一般検索,IFERROR(INDEX('在庫使用計画 (一般)'!$A$1:$BF$391,MATCH($C96,'在庫使用計画 (一般)'!$C$1:$C$391,0),MATCH(AS$1,'在庫使用計画 (一般)'!$A$1:$BF$1,0))*1,0),
_xlpm._法人検索,IFERROR(INDEX('在庫使用計画 (法人)'!$A$1:$BF$391,MATCH($C96,'在庫使用計画 (法人)'!$C$1:$C$391,0),MATCH(AS$1,'在庫使用計画 (法人)'!$A$1:$BF$1,0))*1,0),
_xlpm._合計,_xlpm._一般検索+_xlpm._法人検索,
IF(_xlpm._合計=0,"",_xlpm._合計)
)</f>
        <v>53</v>
      </c>
      <c r="AT96" s="224">
        <f>_xlfn.LET(
_xlpm._一般検索,IFERROR(INDEX('在庫使用計画 (一般)'!$A$1:$BF$391,MATCH($C96,'在庫使用計画 (一般)'!$C$1:$C$391,0),MATCH(AT$1,'在庫使用計画 (一般)'!$A$1:$BF$1,0))*1,0),
_xlpm._法人検索,IFERROR(INDEX('在庫使用計画 (法人)'!$A$1:$BF$391,MATCH($C96,'在庫使用計画 (法人)'!$C$1:$C$391,0),MATCH(AT$1,'在庫使用計画 (法人)'!$A$1:$BF$1,0))*1,0),
_xlpm._合計,_xlpm._一般検索+_xlpm._法人検索,
IF(_xlpm._合計=0,"",_xlpm._合計)
)</f>
        <v>50</v>
      </c>
      <c r="AU96" s="805">
        <f>_xlfn.LET(
_xlpm._一般検索,IFERROR(INDEX('在庫使用計画 (一般)'!$A$1:$BF$391,MATCH($C96,'在庫使用計画 (一般)'!$C$1:$C$391,0),MATCH(AU$1,'在庫使用計画 (一般)'!$A$1:$BF$1,0))*1,0),
_xlpm._法人検索,IFERROR(INDEX('在庫使用計画 (法人)'!$A$1:$BF$391,MATCH($C96,'在庫使用計画 (法人)'!$C$1:$C$391,0),MATCH(AU$1,'在庫使用計画 (法人)'!$A$1:$BF$1,0))*1,0),
_xlpm._合計,_xlpm._一般検索+_xlpm._法人検索,
IF(_xlpm._合計=0,"",_xlpm._合計)
)</f>
        <v>66</v>
      </c>
      <c r="AV96" s="244">
        <f>_xlfn.LET(
_xlpm._一般検索,IFERROR(INDEX('在庫使用計画 (一般)'!$A$1:$BF$391,MATCH($C96,'在庫使用計画 (一般)'!$C$1:$C$391,0),MATCH(AV$1,'在庫使用計画 (一般)'!$A$1:$BF$1,0))*1,0),
_xlpm._法人検索,IFERROR(INDEX('在庫使用計画 (法人)'!$A$1:$BF$391,MATCH($C96,'在庫使用計画 (法人)'!$C$1:$C$391,0),MATCH(AV$1,'在庫使用計画 (法人)'!$A$1:$BF$1,0))*1,0),
_xlpm._合計,_xlpm._一般検索+_xlpm._法人検索,
IF(_xlpm._合計=0,"",_xlpm._合計)
)</f>
        <v>70</v>
      </c>
      <c r="AW96" s="224">
        <f>_xlfn.LET(
_xlpm._一般検索,IFERROR(INDEX('在庫使用計画 (一般)'!$A$1:$BF$391,MATCH($C96,'在庫使用計画 (一般)'!$C$1:$C$391,0),MATCH(AW$1,'在庫使用計画 (一般)'!$A$1:$BF$1,0))*1,0),
_xlpm._法人検索,IFERROR(INDEX('在庫使用計画 (法人)'!$A$1:$BF$391,MATCH($C96,'在庫使用計画 (法人)'!$C$1:$C$391,0),MATCH(AW$1,'在庫使用計画 (法人)'!$A$1:$BF$1,0))*1,0),
_xlpm._合計,_xlpm._一般検索+_xlpm._法人検索,
IF(_xlpm._合計=0,"",_xlpm._合計)
)</f>
        <v>57</v>
      </c>
      <c r="AX96" s="224">
        <f>_xlfn.LET(
_xlpm._一般検索,IFERROR(INDEX('在庫使用計画 (一般)'!$A$1:$BF$391,MATCH($C96,'在庫使用計画 (一般)'!$C$1:$C$391,0),MATCH(AX$1,'在庫使用計画 (一般)'!$A$1:$BF$1,0))*1,0),
_xlpm._法人検索,IFERROR(INDEX('在庫使用計画 (法人)'!$A$1:$BF$391,MATCH($C96,'在庫使用計画 (法人)'!$C$1:$C$391,0),MATCH(AX$1,'在庫使用計画 (法人)'!$A$1:$BF$1,0))*1,0),
_xlpm._合計,_xlpm._一般検索+_xlpm._法人検索,
IF(_xlpm._合計=0,"",_xlpm._合計)
)</f>
        <v>73</v>
      </c>
      <c r="AY96" s="224">
        <f>_xlfn.LET(
_xlpm._一般検索,IFERROR(INDEX('在庫使用計画 (一般)'!$A$1:$BF$391,MATCH($C96,'在庫使用計画 (一般)'!$C$1:$C$391,0),MATCH(AY$1,'在庫使用計画 (一般)'!$A$1:$BF$1,0))*1,0),
_xlpm._法人検索,IFERROR(INDEX('在庫使用計画 (法人)'!$A$1:$BF$391,MATCH($C96,'在庫使用計画 (法人)'!$C$1:$C$391,0),MATCH(AY$1,'在庫使用計画 (法人)'!$A$1:$BF$1,0))*1,0),
_xlpm._合計,_xlpm._一般検索+_xlpm._法人検索,
IF(_xlpm._合計=0,"",_xlpm._合計)
)</f>
        <v>64</v>
      </c>
      <c r="AZ96" s="224">
        <f>_xlfn.LET(
_xlpm._一般検索,IFERROR(INDEX('在庫使用計画 (一般)'!$A$1:$BF$391,MATCH($C96,'在庫使用計画 (一般)'!$C$1:$C$391,0),MATCH(AZ$1,'在庫使用計画 (一般)'!$A$1:$BF$1,0))*1,0),
_xlpm._法人検索,IFERROR(INDEX('在庫使用計画 (法人)'!$A$1:$BF$391,MATCH($C96,'在庫使用計画 (法人)'!$C$1:$C$391,0),MATCH(AZ$1,'在庫使用計画 (法人)'!$A$1:$BF$1,0))*1,0),
_xlpm._合計,_xlpm._一般検索+_xlpm._法人検索,
IF(_xlpm._合計=0,"",_xlpm._合計)
)</f>
        <v>54</v>
      </c>
      <c r="BA96" s="224">
        <f>_xlfn.LET(
_xlpm._一般検索,IFERROR(INDEX('在庫使用計画 (一般)'!$A$1:$BF$391,MATCH($C96,'在庫使用計画 (一般)'!$C$1:$C$391,0),MATCH(BA$1,'在庫使用計画 (一般)'!$A$1:$BF$1,0))*1,0),
_xlpm._法人検索,IFERROR(INDEX('在庫使用計画 (法人)'!$A$1:$BF$391,MATCH($C96,'在庫使用計画 (法人)'!$C$1:$C$391,0),MATCH(BA$1,'在庫使用計画 (法人)'!$A$1:$BF$1,0))*1,0),
_xlpm._合計,_xlpm._一般検索+_xlpm._法人検索,
IF(_xlpm._合計=0,"",_xlpm._合計)
)</f>
        <v>53</v>
      </c>
      <c r="BB96" s="224">
        <f>_xlfn.LET(
_xlpm._一般検索,IFERROR(INDEX('在庫使用計画 (一般)'!$A$1:$BF$391,MATCH($C96,'在庫使用計画 (一般)'!$C$1:$C$391,0),MATCH(BB$1,'在庫使用計画 (一般)'!$A$1:$BF$1,0))*1,0),
_xlpm._法人検索,IFERROR(INDEX('在庫使用計画 (法人)'!$A$1:$BF$391,MATCH($C96,'在庫使用計画 (法人)'!$C$1:$C$391,0),MATCH(BB$1,'在庫使用計画 (法人)'!$A$1:$BF$1,0))*1,0),
_xlpm._合計,_xlpm._一般検索+_xlpm._法人検索,
IF(_xlpm._合計=0,"",_xlpm._合計)
)</f>
        <v>64</v>
      </c>
      <c r="BC96" s="224">
        <f>_xlfn.LET(
_xlpm._一般検索,IFERROR(INDEX('在庫使用計画 (一般)'!$A$1:$BF$391,MATCH($C96,'在庫使用計画 (一般)'!$C$1:$C$391,0),MATCH(BC$1,'在庫使用計画 (一般)'!$A$1:$BF$1,0))*1,0),
_xlpm._法人検索,IFERROR(INDEX('在庫使用計画 (法人)'!$A$1:$BF$391,MATCH($C96,'在庫使用計画 (法人)'!$C$1:$C$391,0),MATCH(BC$1,'在庫使用計画 (法人)'!$A$1:$BF$1,0))*1,0),
_xlpm._合計,_xlpm._一般検索+_xlpm._法人検索,
IF(_xlpm._合計=0,"",_xlpm._合計)
)</f>
        <v>55</v>
      </c>
      <c r="BD96" s="224" t="str">
        <f>_xlfn.LET(
_xlpm._一般検索,IFERROR(INDEX('在庫使用計画 (一般)'!$A$1:$BF$391,MATCH($C96,'在庫使用計画 (一般)'!$C$1:$C$391,0),MATCH(BD$1,'在庫使用計画 (一般)'!$A$1:$BF$1,0))*1,0),
_xlpm._法人検索,IFERROR(INDEX('在庫使用計画 (法人)'!$A$1:$BF$391,MATCH($C96,'在庫使用計画 (法人)'!$C$1:$C$391,0),MATCH(BD$1,'在庫使用計画 (法人)'!$A$1:$BF$1,0))*1,0),
_xlpm._合計,_xlpm._一般検索+_xlpm._法人検索,
IF(_xlpm._合計=0,"",_xlpm._合計)
)</f>
        <v/>
      </c>
      <c r="BE96" s="224" t="str">
        <f>_xlfn.LET(
_xlpm._一般検索,IFERROR(INDEX('在庫使用計画 (一般)'!$A$1:$BF$391,MATCH($C96,'在庫使用計画 (一般)'!$C$1:$C$391,0),MATCH(BE$1,'在庫使用計画 (一般)'!$A$1:$BF$1,0))*1,0),
_xlpm._法人検索,IFERROR(INDEX('在庫使用計画 (法人)'!$A$1:$BF$391,MATCH($C96,'在庫使用計画 (法人)'!$C$1:$C$391,0),MATCH(BE$1,'在庫使用計画 (法人)'!$A$1:$BF$1,0))*1,0),
_xlpm._合計,_xlpm._一般検索+_xlpm._法人検索,
IF(_xlpm._合計=0,"",_xlpm._合計)
)</f>
        <v/>
      </c>
      <c r="BF96" s="224" t="str">
        <f>_xlfn.LET(
_xlpm._一般検索,IFERROR(INDEX('在庫使用計画 (一般)'!$A$1:$BF$391,MATCH($C96,'在庫使用計画 (一般)'!$C$1:$C$391,0),MATCH(BF$1,'在庫使用計画 (一般)'!$A$1:$BF$1,0))*1,0),
_xlpm._法人検索,IFERROR(INDEX('在庫使用計画 (法人)'!$A$1:$BF$391,MATCH($C96,'在庫使用計画 (法人)'!$C$1:$C$391,0),MATCH(BF$1,'在庫使用計画 (法人)'!$A$1:$BF$1,0))*1,0),
_xlpm._合計,_xlpm._一般検索+_xlpm._法人検索,
IF(_xlpm._合計=0,"",_xlpm._合計)
)</f>
        <v/>
      </c>
      <c r="BG96" s="237" t="str">
        <f>_xlfn.LET(
_xlpm._一般検索,IFERROR(INDEX('在庫使用計画 (一般)'!$A$1:$BF$391,MATCH($C96,'在庫使用計画 (一般)'!$C$1:$C$391,0),MATCH(BG$1,'在庫使用計画 (一般)'!$A$1:$BF$1,0))*1,0),
_xlpm._法人検索,IFERROR(INDEX('在庫使用計画 (法人)'!$A$1:$BF$391,MATCH($C96,'在庫使用計画 (法人)'!$C$1:$C$391,0),MATCH(BG$1,'在庫使用計画 (法人)'!$A$1:$BF$1,0))*1,0),
_xlpm._合計,_xlpm._一般検索+_xlpm._法人検索,
IF(_xlpm._合計=0,"",_xlpm._合計)
)</f>
        <v/>
      </c>
      <c r="BH96" s="804" t="str">
        <f>_xlfn.LET(
_xlpm._一般検索,IFERROR(INDEX('在庫使用計画 (一般)'!$A$1:$BF$391,MATCH($C96,'在庫使用計画 (一般)'!$C$1:$C$391,0),MATCH(BH$1,'在庫使用計画 (一般)'!$A$1:$BF$1,0))*1,0),
_xlpm._法人検索,IFERROR(INDEX('在庫使用計画 (法人)'!$A$1:$BF$391,MATCH($C96,'在庫使用計画 (法人)'!$C$1:$C$391,0),MATCH(BH$1,'在庫使用計画 (法人)'!$A$1:$BF$1,0))*1,0),
_xlpm._合計,_xlpm._一般検索+_xlpm._法人検索,
IF(_xlpm._合計=0,"",_xlpm._合計)
)</f>
        <v/>
      </c>
      <c r="BI96" s="224" t="str">
        <f>_xlfn.LET(
_xlpm._一般検索,IFERROR(INDEX('在庫使用計画 (一般)'!$A$1:$BF$391,MATCH($C96,'在庫使用計画 (一般)'!$C$1:$C$391,0),MATCH(BI$1,'在庫使用計画 (一般)'!$A$1:$BF$1,0))*1,0),
_xlpm._法人検索,IFERROR(INDEX('在庫使用計画 (法人)'!$A$1:$BF$391,MATCH($C96,'在庫使用計画 (法人)'!$C$1:$C$391,0),MATCH(BI$1,'在庫使用計画 (法人)'!$A$1:$BF$1,0))*1,0),
_xlpm._合計,_xlpm._一般検索+_xlpm._法人検索,
IF(_xlpm._合計=0,"",_xlpm._合計)
)</f>
        <v/>
      </c>
      <c r="BJ96" s="224" t="str">
        <f>_xlfn.LET(
_xlpm._一般検索,IFERROR(INDEX('在庫使用計画 (一般)'!$A$1:$BF$391,MATCH($C96,'在庫使用計画 (一般)'!$C$1:$C$391,0),MATCH(BJ$1,'在庫使用計画 (一般)'!$A$1:$BF$1,0))*1,0),
_xlpm._法人検索,IFERROR(INDEX('在庫使用計画 (法人)'!$A$1:$BF$391,MATCH($C96,'在庫使用計画 (法人)'!$C$1:$C$391,0),MATCH(BJ$1,'在庫使用計画 (法人)'!$A$1:$BF$1,0))*1,0),
_xlpm._合計,_xlpm._一般検索+_xlpm._法人検索,
IF(_xlpm._合計=0,"",_xlpm._合計)
)</f>
        <v/>
      </c>
      <c r="BK96" s="224" t="str">
        <f>_xlfn.LET(
_xlpm._一般検索,IFERROR(INDEX('在庫使用計画 (一般)'!$A$1:$BF$391,MATCH($C96,'在庫使用計画 (一般)'!$C$1:$C$391,0),MATCH(BK$1,'在庫使用計画 (一般)'!$A$1:$BF$1,0))*1,0),
_xlpm._法人検索,IFERROR(INDEX('在庫使用計画 (法人)'!$A$1:$BF$391,MATCH($C96,'在庫使用計画 (法人)'!$C$1:$C$391,0),MATCH(BK$1,'在庫使用計画 (法人)'!$A$1:$BF$1,0))*1,0),
_xlpm._合計,_xlpm._一般検索+_xlpm._法人検索,
IF(_xlpm._合計=0,"",_xlpm._合計)
)</f>
        <v/>
      </c>
      <c r="BL96" s="224" t="str">
        <f>_xlfn.LET(
_xlpm._一般検索,IFERROR(INDEX('在庫使用計画 (一般)'!$A$1:$BF$391,MATCH($C96,'在庫使用計画 (一般)'!$C$1:$C$391,0),MATCH(BL$1,'在庫使用計画 (一般)'!$A$1:$BF$1,0))*1,0),
_xlpm._法人検索,IFERROR(INDEX('在庫使用計画 (法人)'!$A$1:$BF$391,MATCH($C96,'在庫使用計画 (法人)'!$C$1:$C$391,0),MATCH(BL$1,'在庫使用計画 (法人)'!$A$1:$BF$1,0))*1,0),
_xlpm._合計,_xlpm._一般検索+_xlpm._法人検索,
IF(_xlpm._合計=0,"",_xlpm._合計)
)</f>
        <v/>
      </c>
      <c r="BM96" s="224" t="str">
        <f>_xlfn.LET(
_xlpm._一般検索,IFERROR(INDEX('在庫使用計画 (一般)'!$A$1:$BF$391,MATCH($C96,'在庫使用計画 (一般)'!$C$1:$C$391,0),MATCH(BM$1,'在庫使用計画 (一般)'!$A$1:$BF$1,0))*1,0),
_xlpm._法人検索,IFERROR(INDEX('在庫使用計画 (法人)'!$A$1:$BF$391,MATCH($C96,'在庫使用計画 (法人)'!$C$1:$C$391,0),MATCH(BM$1,'在庫使用計画 (法人)'!$A$1:$BF$1,0))*1,0),
_xlpm._合計,_xlpm._一般検索+_xlpm._法人検索,
IF(_xlpm._合計=0,"",_xlpm._合計)
)</f>
        <v/>
      </c>
      <c r="BN96" s="224" t="str">
        <f>_xlfn.LET(
_xlpm._一般検索,IFERROR(INDEX('在庫使用計画 (一般)'!$A$1:$BF$391,MATCH($C96,'在庫使用計画 (一般)'!$C$1:$C$391,0),MATCH(BN$1,'在庫使用計画 (一般)'!$A$1:$BF$1,0))*1,0),
_xlpm._法人検索,IFERROR(INDEX('在庫使用計画 (法人)'!$A$1:$BF$391,MATCH($C96,'在庫使用計画 (法人)'!$C$1:$C$391,0),MATCH(BN$1,'在庫使用計画 (法人)'!$A$1:$BF$1,0))*1,0),
_xlpm._合計,_xlpm._一般検索+_xlpm._法人検索,
IF(_xlpm._合計=0,"",_xlpm._合計)
)</f>
        <v/>
      </c>
      <c r="BO96" s="224" t="str">
        <f>_xlfn.LET(
_xlpm._一般検索,IFERROR(INDEX('在庫使用計画 (一般)'!$A$1:$BF$391,MATCH($C96,'在庫使用計画 (一般)'!$C$1:$C$391,0),MATCH(BO$1,'在庫使用計画 (一般)'!$A$1:$BF$1,0))*1,0),
_xlpm._法人検索,IFERROR(INDEX('在庫使用計画 (法人)'!$A$1:$BF$391,MATCH($C96,'在庫使用計画 (法人)'!$C$1:$C$391,0),MATCH(BO$1,'在庫使用計画 (法人)'!$A$1:$BF$1,0))*1,0),
_xlpm._合計,_xlpm._一般検索+_xlpm._法人検索,
IF(_xlpm._合計=0,"",_xlpm._合計)
)</f>
        <v/>
      </c>
      <c r="BP96" s="224" t="str">
        <f>_xlfn.LET(
_xlpm._一般検索,IFERROR(INDEX('在庫使用計画 (一般)'!$A$1:$BF$391,MATCH($C96,'在庫使用計画 (一般)'!$C$1:$C$391,0),MATCH(BP$1,'在庫使用計画 (一般)'!$A$1:$BF$1,0))*1,0),
_xlpm._法人検索,IFERROR(INDEX('在庫使用計画 (法人)'!$A$1:$BF$391,MATCH($C96,'在庫使用計画 (法人)'!$C$1:$C$391,0),MATCH(BP$1,'在庫使用計画 (法人)'!$A$1:$BF$1,0))*1,0),
_xlpm._合計,_xlpm._一般検索+_xlpm._法人検索,
IF(_xlpm._合計=0,"",_xlpm._合計)
)</f>
        <v/>
      </c>
      <c r="BQ96" s="224" t="str">
        <f>_xlfn.LET(
_xlpm._一般検索,IFERROR(INDEX('在庫使用計画 (一般)'!$A$1:$BF$391,MATCH($C96,'在庫使用計画 (一般)'!$C$1:$C$391,0),MATCH(BQ$1,'在庫使用計画 (一般)'!$A$1:$BF$1,0))*1,0),
_xlpm._法人検索,IFERROR(INDEX('在庫使用計画 (法人)'!$A$1:$BF$391,MATCH($C96,'在庫使用計画 (法人)'!$C$1:$C$391,0),MATCH(BQ$1,'在庫使用計画 (法人)'!$A$1:$BF$1,0))*1,0),
_xlpm._合計,_xlpm._一般検索+_xlpm._法人検索,
IF(_xlpm._合計=0,"",_xlpm._合計)
)</f>
        <v/>
      </c>
      <c r="BR96" s="224" t="str">
        <f>_xlfn.LET(
_xlpm._一般検索,IFERROR(INDEX('在庫使用計画 (一般)'!$A$1:$BF$391,MATCH($C96,'在庫使用計画 (一般)'!$C$1:$C$391,0),MATCH(BR$1,'在庫使用計画 (一般)'!$A$1:$BF$1,0))*1,0),
_xlpm._法人検索,IFERROR(INDEX('在庫使用計画 (法人)'!$A$1:$BF$391,MATCH($C96,'在庫使用計画 (法人)'!$C$1:$C$391,0),MATCH(BR$1,'在庫使用計画 (法人)'!$A$1:$BF$1,0))*1,0),
_xlpm._合計,_xlpm._一般検索+_xlpm._法人検索,
IF(_xlpm._合計=0,"",_xlpm._合計)
)</f>
        <v/>
      </c>
      <c r="BS96" s="805" t="str">
        <f>_xlfn.LET(
_xlpm._一般検索,IFERROR(INDEX('在庫使用計画 (一般)'!$A$1:$BF$391,MATCH($C96,'在庫使用計画 (一般)'!$C$1:$C$391,0),MATCH(BS$1,'在庫使用計画 (一般)'!$A$1:$BF$1,0))*1,0),
_xlpm._法人検索,IFERROR(INDEX('在庫使用計画 (法人)'!$A$1:$BF$391,MATCH($C96,'在庫使用計画 (法人)'!$C$1:$C$391,0),MATCH(BS$1,'在庫使用計画 (法人)'!$A$1:$BF$1,0))*1,0),
_xlpm._合計,_xlpm._一般検索+_xlpm._法人検索,
IF(_xlpm._合計=0,"",_xlpm._合計)
)</f>
        <v/>
      </c>
      <c r="BT96" s="77"/>
    </row>
    <row r="97" spans="1:72" customFormat="1" ht="18.75" customHeight="1" thickBot="1">
      <c r="A97" s="1073" t="s">
        <v>1473</v>
      </c>
      <c r="B97" s="1124" t="str">
        <v>CLE-V74-U7-155U-L6-TPM-DDR5-TW-RG</v>
      </c>
      <c r="C97" s="1451" t="s">
        <v>800</v>
      </c>
      <c r="D97" s="2170">
        <v>172</v>
      </c>
      <c r="E97" s="1392"/>
      <c r="F97" s="639"/>
      <c r="G97" s="74">
        <v>172</v>
      </c>
      <c r="H97" s="38">
        <v>0</v>
      </c>
      <c r="I97" s="38" cm="1">
        <f t="array" ref="I97">IF($C97="","",
_xlfn.LET(
  _xlpm._見出し,$A$1:$BT$1,
  _xlpm._行,$A97:$BT97,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111</v>
      </c>
      <c r="J97" s="74" cm="1">
        <f t="array" ref="J97">_xlfn.LET(
  _xlpm._見出し,$A$1:$BS$1,
  _xlpm._行,$A97:$BS97,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IF($C97="","",_xlpm._四点五月計画合計)
)</f>
        <v>160</v>
      </c>
      <c r="K97" s="1458" cm="1">
        <f t="array" ref="K97">_xlfn.IFS(
  $C97="","",
  $G97="","発売前？",
  $G97=0,"在庫なし",
  TRUE,
  IFERROR(
    _xlfn.LET(
      _xlpm._在庫注残,     $G97,
      _xlpm._しきい値,     _xlpm._在庫注残 * 0.75,
      _xlpm._見出し元,     $L$1:$BU$1,
      _xlpm._計画,         $L97:$BU97,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46327</v>
      </c>
      <c r="L97" s="180"/>
      <c r="M97" s="180"/>
      <c r="N97" s="180"/>
      <c r="O97" s="180"/>
      <c r="P97" s="180"/>
      <c r="Q97" s="180"/>
      <c r="R97" s="180"/>
      <c r="S97" s="180"/>
      <c r="T97" s="299"/>
      <c r="U97" s="224"/>
      <c r="V97" s="224"/>
      <c r="W97" s="224"/>
      <c r="X97" s="224"/>
      <c r="Y97" s="1050"/>
      <c r="Z97" s="1050"/>
      <c r="AA97" s="1050"/>
      <c r="AB97" s="1050"/>
      <c r="AC97" s="1050"/>
      <c r="AD97" s="1050"/>
      <c r="AE97" s="1050"/>
      <c r="AF97" s="1050"/>
      <c r="AG97" s="1050"/>
      <c r="AH97" s="224"/>
      <c r="AI97" s="1050"/>
      <c r="AJ97" s="804" t="s">
        <v>21</v>
      </c>
      <c r="AK97" s="224" t="s">
        <v>21</v>
      </c>
      <c r="AL97" s="224" t="s">
        <v>21</v>
      </c>
      <c r="AM97" s="224" t="s">
        <v>21</v>
      </c>
      <c r="AN97" s="224" t="str">
        <f>_xlfn.LET(
_xlpm._一般検索,IFERROR(INDEX('在庫使用計画 (一般)'!$A$1:$BF$391,MATCH($C97,'在庫使用計画 (一般)'!$C$1:$C$391,0),MATCH(AN$1,'在庫使用計画 (一般)'!$A$1:$BF$1,0))*1,0),
_xlpm._法人検索,IFERROR(INDEX('在庫使用計画 (法人)'!$A$1:$BF$391,MATCH($C97,'在庫使用計画 (法人)'!$C$1:$C$391,0),MATCH(AN$1,'在庫使用計画 (法人)'!$A$1:$BF$1,0))*1,0),
_xlpm._合計,_xlpm._一般検索+_xlpm._法人検索,
IF(_xlpm._合計=0,"",_xlpm._合計)
)</f>
        <v/>
      </c>
      <c r="AO97" s="224" t="str">
        <f>_xlfn.LET(
_xlpm._一般検索,IFERROR(INDEX('在庫使用計画 (一般)'!$A$1:$BF$391,MATCH($C97,'在庫使用計画 (一般)'!$C$1:$C$391,0),MATCH(AO$1,'在庫使用計画 (一般)'!$A$1:$BF$1,0))*1,0),
_xlpm._法人検索,IFERROR(INDEX('在庫使用計画 (法人)'!$A$1:$BF$391,MATCH($C97,'在庫使用計画 (法人)'!$C$1:$C$391,0),MATCH(AO$1,'在庫使用計画 (法人)'!$A$1:$BF$1,0))*1,0),
_xlpm._合計,_xlpm._一般検索+_xlpm._法人検索,
IF(_xlpm._合計=0,"",_xlpm._合計)
)</f>
        <v/>
      </c>
      <c r="AP97" s="224" t="str">
        <f>_xlfn.LET(
_xlpm._一般検索,IFERROR(INDEX('在庫使用計画 (一般)'!$A$1:$BF$391,MATCH($C97,'在庫使用計画 (一般)'!$C$1:$C$391,0),MATCH(AP$1,'在庫使用計画 (一般)'!$A$1:$BF$1,0))*1,0),
_xlpm._法人検索,IFERROR(INDEX('在庫使用計画 (法人)'!$A$1:$BF$391,MATCH($C97,'在庫使用計画 (法人)'!$C$1:$C$391,0),MATCH(AP$1,'在庫使用計画 (法人)'!$A$1:$BF$1,0))*1,0),
_xlpm._合計,_xlpm._一般検索+_xlpm._法人検索,
IF(_xlpm._合計=0,"",_xlpm._合計)
)</f>
        <v/>
      </c>
      <c r="AQ97" s="224" t="str">
        <f>_xlfn.LET(
_xlpm._一般検索,IFERROR(INDEX('在庫使用計画 (一般)'!$A$1:$BF$391,MATCH($C97,'在庫使用計画 (一般)'!$C$1:$C$391,0),MATCH(AQ$1,'在庫使用計画 (一般)'!$A$1:$BF$1,0))*1,0),
_xlpm._法人検索,IFERROR(INDEX('在庫使用計画 (法人)'!$A$1:$BF$391,MATCH($C97,'在庫使用計画 (法人)'!$C$1:$C$391,0),MATCH(AQ$1,'在庫使用計画 (法人)'!$A$1:$BF$1,0))*1,0),
_xlpm._合計,_xlpm._一般検索+_xlpm._法人検索,
IF(_xlpm._合計=0,"",_xlpm._合計)
)</f>
        <v/>
      </c>
      <c r="AR97" s="224">
        <f>_xlfn.LET(
_xlpm._一般検索,IFERROR(INDEX('在庫使用計画 (一般)'!$A$1:$BF$391,MATCH($C97,'在庫使用計画 (一般)'!$C$1:$C$391,0),MATCH(AR$1,'在庫使用計画 (一般)'!$A$1:$BF$1,0))*1,0),
_xlpm._法人検索,IFERROR(INDEX('在庫使用計画 (法人)'!$A$1:$BF$391,MATCH($C97,'在庫使用計画 (法人)'!$C$1:$C$391,0),MATCH(AR$1,'在庫使用計画 (法人)'!$A$1:$BF$1,0))*1,0),
_xlpm._合計,_xlpm._一般検索+_xlpm._法人検索,
IF(_xlpm._合計=0,"",_xlpm._合計)
)</f>
        <v>59</v>
      </c>
      <c r="AS97" s="224">
        <f>_xlfn.LET(
_xlpm._一般検索,IFERROR(INDEX('在庫使用計画 (一般)'!$A$1:$BF$391,MATCH($C97,'在庫使用計画 (一般)'!$C$1:$C$391,0),MATCH(AS$1,'在庫使用計画 (一般)'!$A$1:$BF$1,0))*1,0),
_xlpm._法人検索,IFERROR(INDEX('在庫使用計画 (法人)'!$A$1:$BF$391,MATCH($C97,'在庫使用計画 (法人)'!$C$1:$C$391,0),MATCH(AS$1,'在庫使用計画 (法人)'!$A$1:$BF$1,0))*1,0),
_xlpm._合計,_xlpm._一般検索+_xlpm._法人検索,
IF(_xlpm._合計=0,"",_xlpm._合計)
)</f>
        <v>52</v>
      </c>
      <c r="AT97" s="224">
        <f>_xlfn.LET(
_xlpm._一般検索,IFERROR(INDEX('在庫使用計画 (一般)'!$A$1:$BF$391,MATCH($C97,'在庫使用計画 (一般)'!$C$1:$C$391,0),MATCH(AT$1,'在庫使用計画 (一般)'!$A$1:$BF$1,0))*1,0),
_xlpm._法人検索,IFERROR(INDEX('在庫使用計画 (法人)'!$A$1:$BF$391,MATCH($C97,'在庫使用計画 (法人)'!$C$1:$C$391,0),MATCH(AT$1,'在庫使用計画 (法人)'!$A$1:$BF$1,0))*1,0),
_xlpm._合計,_xlpm._一般検索+_xlpm._法人検索,
IF(_xlpm._合計=0,"",_xlpm._合計)
)</f>
        <v>49</v>
      </c>
      <c r="AU97" s="805">
        <f>_xlfn.LET(
_xlpm._一般検索,IFERROR(INDEX('在庫使用計画 (一般)'!$A$1:$BF$391,MATCH($C97,'在庫使用計画 (一般)'!$C$1:$C$391,0),MATCH(AU$1,'在庫使用計画 (一般)'!$A$1:$BF$1,0))*1,0),
_xlpm._法人検索,IFERROR(INDEX('在庫使用計画 (法人)'!$A$1:$BF$391,MATCH($C97,'在庫使用計画 (法人)'!$C$1:$C$391,0),MATCH(AU$1,'在庫使用計画 (法人)'!$A$1:$BF$1,0))*1,0),
_xlpm._合計,_xlpm._一般検索+_xlpm._法人検索,
IF(_xlpm._合計=0,"",_xlpm._合計)
)</f>
        <v>65</v>
      </c>
      <c r="AV97" s="244">
        <f>_xlfn.LET(
_xlpm._一般検索,IFERROR(INDEX('在庫使用計画 (一般)'!$A$1:$BF$391,MATCH($C97,'在庫使用計画 (一般)'!$C$1:$C$391,0),MATCH(AV$1,'在庫使用計画 (一般)'!$A$1:$BF$1,0))*1,0),
_xlpm._法人検索,IFERROR(INDEX('在庫使用計画 (法人)'!$A$1:$BF$391,MATCH($C97,'在庫使用計画 (法人)'!$C$1:$C$391,0),MATCH(AV$1,'在庫使用計画 (法人)'!$A$1:$BF$1,0))*1,0),
_xlpm._合計,_xlpm._一般検索+_xlpm._法人検索,
IF(_xlpm._合計=0,"",_xlpm._合計)
)</f>
        <v>69</v>
      </c>
      <c r="AW97" s="224">
        <f>_xlfn.LET(
_xlpm._一般検索,IFERROR(INDEX('在庫使用計画 (一般)'!$A$1:$BF$391,MATCH($C97,'在庫使用計画 (一般)'!$C$1:$C$391,0),MATCH(AW$1,'在庫使用計画 (一般)'!$A$1:$BF$1,0))*1,0),
_xlpm._法人検索,IFERROR(INDEX('在庫使用計画 (法人)'!$A$1:$BF$391,MATCH($C97,'在庫使用計画 (法人)'!$C$1:$C$391,0),MATCH(AW$1,'在庫使用計画 (法人)'!$A$1:$BF$1,0))*1,0),
_xlpm._合計,_xlpm._一般検索+_xlpm._法人検索,
IF(_xlpm._合計=0,"",_xlpm._合計)
)</f>
        <v>57</v>
      </c>
      <c r="AX97" s="224">
        <f>_xlfn.LET(
_xlpm._一般検索,IFERROR(INDEX('在庫使用計画 (一般)'!$A$1:$BF$391,MATCH($C97,'在庫使用計画 (一般)'!$C$1:$C$391,0),MATCH(AX$1,'在庫使用計画 (一般)'!$A$1:$BF$1,0))*1,0),
_xlpm._法人検索,IFERROR(INDEX('在庫使用計画 (法人)'!$A$1:$BF$391,MATCH($C97,'在庫使用計画 (法人)'!$C$1:$C$391,0),MATCH(AX$1,'在庫使用計画 (法人)'!$A$1:$BF$1,0))*1,0),
_xlpm._合計,_xlpm._一般検索+_xlpm._法人検索,
IF(_xlpm._合計=0,"",_xlpm._合計)
)</f>
        <v>72</v>
      </c>
      <c r="AY97" s="224">
        <f>_xlfn.LET(
_xlpm._一般検索,IFERROR(INDEX('在庫使用計画 (一般)'!$A$1:$BF$391,MATCH($C97,'在庫使用計画 (一般)'!$C$1:$C$391,0),MATCH(AY$1,'在庫使用計画 (一般)'!$A$1:$BF$1,0))*1,0),
_xlpm._法人検索,IFERROR(INDEX('在庫使用計画 (法人)'!$A$1:$BF$391,MATCH($C97,'在庫使用計画 (法人)'!$C$1:$C$391,0),MATCH(AY$1,'在庫使用計画 (法人)'!$A$1:$BF$1,0))*1,0),
_xlpm._合計,_xlpm._一般検索+_xlpm._法人検索,
IF(_xlpm._合計=0,"",_xlpm._合計)
)</f>
        <v>63</v>
      </c>
      <c r="AZ97" s="224">
        <f>_xlfn.LET(
_xlpm._一般検索,IFERROR(INDEX('在庫使用計画 (一般)'!$A$1:$BF$391,MATCH($C97,'在庫使用計画 (一般)'!$C$1:$C$391,0),MATCH(AZ$1,'在庫使用計画 (一般)'!$A$1:$BF$1,0))*1,0),
_xlpm._法人検索,IFERROR(INDEX('在庫使用計画 (法人)'!$A$1:$BF$391,MATCH($C97,'在庫使用計画 (法人)'!$C$1:$C$391,0),MATCH(AZ$1,'在庫使用計画 (法人)'!$A$1:$BF$1,0))*1,0),
_xlpm._合計,_xlpm._一般検索+_xlpm._法人検索,
IF(_xlpm._合計=0,"",_xlpm._合計)
)</f>
        <v>53</v>
      </c>
      <c r="BA97" s="224">
        <f>_xlfn.LET(
_xlpm._一般検索,IFERROR(INDEX('在庫使用計画 (一般)'!$A$1:$BF$391,MATCH($C97,'在庫使用計画 (一般)'!$C$1:$C$391,0),MATCH(BA$1,'在庫使用計画 (一般)'!$A$1:$BF$1,0))*1,0),
_xlpm._法人検索,IFERROR(INDEX('在庫使用計画 (法人)'!$A$1:$BF$391,MATCH($C97,'在庫使用計画 (法人)'!$C$1:$C$391,0),MATCH(BA$1,'在庫使用計画 (法人)'!$A$1:$BF$1,0))*1,0),
_xlpm._合計,_xlpm._一般検索+_xlpm._法人検索,
IF(_xlpm._合計=0,"",_xlpm._合計)
)</f>
        <v>53</v>
      </c>
      <c r="BB97" s="224">
        <f>_xlfn.LET(
_xlpm._一般検索,IFERROR(INDEX('在庫使用計画 (一般)'!$A$1:$BF$391,MATCH($C97,'在庫使用計画 (一般)'!$C$1:$C$391,0),MATCH(BB$1,'在庫使用計画 (一般)'!$A$1:$BF$1,0))*1,0),
_xlpm._法人検索,IFERROR(INDEX('在庫使用計画 (法人)'!$A$1:$BF$391,MATCH($C97,'在庫使用計画 (法人)'!$C$1:$C$391,0),MATCH(BB$1,'在庫使用計画 (法人)'!$A$1:$BF$1,0))*1,0),
_xlpm._合計,_xlpm._一般検索+_xlpm._法人検索,
IF(_xlpm._合計=0,"",_xlpm._合計)
)</f>
        <v>63</v>
      </c>
      <c r="BC97" s="224">
        <f>_xlfn.LET(
_xlpm._一般検索,IFERROR(INDEX('在庫使用計画 (一般)'!$A$1:$BF$391,MATCH($C97,'在庫使用計画 (一般)'!$C$1:$C$391,0),MATCH(BC$1,'在庫使用計画 (一般)'!$A$1:$BF$1,0))*1,0),
_xlpm._法人検索,IFERROR(INDEX('在庫使用計画 (法人)'!$A$1:$BF$391,MATCH($C97,'在庫使用計画 (法人)'!$C$1:$C$391,0),MATCH(BC$1,'在庫使用計画 (法人)'!$A$1:$BF$1,0))*1,0),
_xlpm._合計,_xlpm._一般検索+_xlpm._法人検索,
IF(_xlpm._合計=0,"",_xlpm._合計)
)</f>
        <v>55</v>
      </c>
      <c r="BD97" s="224" t="str">
        <f>_xlfn.LET(
_xlpm._一般検索,IFERROR(INDEX('在庫使用計画 (一般)'!$A$1:$BF$391,MATCH($C97,'在庫使用計画 (一般)'!$C$1:$C$391,0),MATCH(BD$1,'在庫使用計画 (一般)'!$A$1:$BF$1,0))*1,0),
_xlpm._法人検索,IFERROR(INDEX('在庫使用計画 (法人)'!$A$1:$BF$391,MATCH($C97,'在庫使用計画 (法人)'!$C$1:$C$391,0),MATCH(BD$1,'在庫使用計画 (法人)'!$A$1:$BF$1,0))*1,0),
_xlpm._合計,_xlpm._一般検索+_xlpm._法人検索,
IF(_xlpm._合計=0,"",_xlpm._合計)
)</f>
        <v/>
      </c>
      <c r="BE97" s="224" t="str">
        <f>_xlfn.LET(
_xlpm._一般検索,IFERROR(INDEX('在庫使用計画 (一般)'!$A$1:$BF$391,MATCH($C97,'在庫使用計画 (一般)'!$C$1:$C$391,0),MATCH(BE$1,'在庫使用計画 (一般)'!$A$1:$BF$1,0))*1,0),
_xlpm._法人検索,IFERROR(INDEX('在庫使用計画 (法人)'!$A$1:$BF$391,MATCH($C97,'在庫使用計画 (法人)'!$C$1:$C$391,0),MATCH(BE$1,'在庫使用計画 (法人)'!$A$1:$BF$1,0))*1,0),
_xlpm._合計,_xlpm._一般検索+_xlpm._法人検索,
IF(_xlpm._合計=0,"",_xlpm._合計)
)</f>
        <v/>
      </c>
      <c r="BF97" s="224" t="str">
        <f>_xlfn.LET(
_xlpm._一般検索,IFERROR(INDEX('在庫使用計画 (一般)'!$A$1:$BF$391,MATCH($C97,'在庫使用計画 (一般)'!$C$1:$C$391,0),MATCH(BF$1,'在庫使用計画 (一般)'!$A$1:$BF$1,0))*1,0),
_xlpm._法人検索,IFERROR(INDEX('在庫使用計画 (法人)'!$A$1:$BF$391,MATCH($C97,'在庫使用計画 (法人)'!$C$1:$C$391,0),MATCH(BF$1,'在庫使用計画 (法人)'!$A$1:$BF$1,0))*1,0),
_xlpm._合計,_xlpm._一般検索+_xlpm._法人検索,
IF(_xlpm._合計=0,"",_xlpm._合計)
)</f>
        <v/>
      </c>
      <c r="BG97" s="237" t="str">
        <f>_xlfn.LET(
_xlpm._一般検索,IFERROR(INDEX('在庫使用計画 (一般)'!$A$1:$BF$391,MATCH($C97,'在庫使用計画 (一般)'!$C$1:$C$391,0),MATCH(BG$1,'在庫使用計画 (一般)'!$A$1:$BF$1,0))*1,0),
_xlpm._法人検索,IFERROR(INDEX('在庫使用計画 (法人)'!$A$1:$BF$391,MATCH($C97,'在庫使用計画 (法人)'!$C$1:$C$391,0),MATCH(BG$1,'在庫使用計画 (法人)'!$A$1:$BF$1,0))*1,0),
_xlpm._合計,_xlpm._一般検索+_xlpm._法人検索,
IF(_xlpm._合計=0,"",_xlpm._合計)
)</f>
        <v/>
      </c>
      <c r="BH97" s="804" t="str">
        <f>_xlfn.LET(
_xlpm._一般検索,IFERROR(INDEX('在庫使用計画 (一般)'!$A$1:$BF$391,MATCH($C97,'在庫使用計画 (一般)'!$C$1:$C$391,0),MATCH(BH$1,'在庫使用計画 (一般)'!$A$1:$BF$1,0))*1,0),
_xlpm._法人検索,IFERROR(INDEX('在庫使用計画 (法人)'!$A$1:$BF$391,MATCH($C97,'在庫使用計画 (法人)'!$C$1:$C$391,0),MATCH(BH$1,'在庫使用計画 (法人)'!$A$1:$BF$1,0))*1,0),
_xlpm._合計,_xlpm._一般検索+_xlpm._法人検索,
IF(_xlpm._合計=0,"",_xlpm._合計)
)</f>
        <v/>
      </c>
      <c r="BI97" s="224" t="str">
        <f>_xlfn.LET(
_xlpm._一般検索,IFERROR(INDEX('在庫使用計画 (一般)'!$A$1:$BF$391,MATCH($C97,'在庫使用計画 (一般)'!$C$1:$C$391,0),MATCH(BI$1,'在庫使用計画 (一般)'!$A$1:$BF$1,0))*1,0),
_xlpm._法人検索,IFERROR(INDEX('在庫使用計画 (法人)'!$A$1:$BF$391,MATCH($C97,'在庫使用計画 (法人)'!$C$1:$C$391,0),MATCH(BI$1,'在庫使用計画 (法人)'!$A$1:$BF$1,0))*1,0),
_xlpm._合計,_xlpm._一般検索+_xlpm._法人検索,
IF(_xlpm._合計=0,"",_xlpm._合計)
)</f>
        <v/>
      </c>
      <c r="BJ97" s="224" t="str">
        <f>_xlfn.LET(
_xlpm._一般検索,IFERROR(INDEX('在庫使用計画 (一般)'!$A$1:$BF$391,MATCH($C97,'在庫使用計画 (一般)'!$C$1:$C$391,0),MATCH(BJ$1,'在庫使用計画 (一般)'!$A$1:$BF$1,0))*1,0),
_xlpm._法人検索,IFERROR(INDEX('在庫使用計画 (法人)'!$A$1:$BF$391,MATCH($C97,'在庫使用計画 (法人)'!$C$1:$C$391,0),MATCH(BJ$1,'在庫使用計画 (法人)'!$A$1:$BF$1,0))*1,0),
_xlpm._合計,_xlpm._一般検索+_xlpm._法人検索,
IF(_xlpm._合計=0,"",_xlpm._合計)
)</f>
        <v/>
      </c>
      <c r="BK97" s="224" t="str">
        <f>_xlfn.LET(
_xlpm._一般検索,IFERROR(INDEX('在庫使用計画 (一般)'!$A$1:$BF$391,MATCH($C97,'在庫使用計画 (一般)'!$C$1:$C$391,0),MATCH(BK$1,'在庫使用計画 (一般)'!$A$1:$BF$1,0))*1,0),
_xlpm._法人検索,IFERROR(INDEX('在庫使用計画 (法人)'!$A$1:$BF$391,MATCH($C97,'在庫使用計画 (法人)'!$C$1:$C$391,0),MATCH(BK$1,'在庫使用計画 (法人)'!$A$1:$BF$1,0))*1,0),
_xlpm._合計,_xlpm._一般検索+_xlpm._法人検索,
IF(_xlpm._合計=0,"",_xlpm._合計)
)</f>
        <v/>
      </c>
      <c r="BL97" s="224" t="str">
        <f>_xlfn.LET(
_xlpm._一般検索,IFERROR(INDEX('在庫使用計画 (一般)'!$A$1:$BF$391,MATCH($C97,'在庫使用計画 (一般)'!$C$1:$C$391,0),MATCH(BL$1,'在庫使用計画 (一般)'!$A$1:$BF$1,0))*1,0),
_xlpm._法人検索,IFERROR(INDEX('在庫使用計画 (法人)'!$A$1:$BF$391,MATCH($C97,'在庫使用計画 (法人)'!$C$1:$C$391,0),MATCH(BL$1,'在庫使用計画 (法人)'!$A$1:$BF$1,0))*1,0),
_xlpm._合計,_xlpm._一般検索+_xlpm._法人検索,
IF(_xlpm._合計=0,"",_xlpm._合計)
)</f>
        <v/>
      </c>
      <c r="BM97" s="224" t="str">
        <f>_xlfn.LET(
_xlpm._一般検索,IFERROR(INDEX('在庫使用計画 (一般)'!$A$1:$BF$391,MATCH($C97,'在庫使用計画 (一般)'!$C$1:$C$391,0),MATCH(BM$1,'在庫使用計画 (一般)'!$A$1:$BF$1,0))*1,0),
_xlpm._法人検索,IFERROR(INDEX('在庫使用計画 (法人)'!$A$1:$BF$391,MATCH($C97,'在庫使用計画 (法人)'!$C$1:$C$391,0),MATCH(BM$1,'在庫使用計画 (法人)'!$A$1:$BF$1,0))*1,0),
_xlpm._合計,_xlpm._一般検索+_xlpm._法人検索,
IF(_xlpm._合計=0,"",_xlpm._合計)
)</f>
        <v/>
      </c>
      <c r="BN97" s="224" t="str">
        <f>_xlfn.LET(
_xlpm._一般検索,IFERROR(INDEX('在庫使用計画 (一般)'!$A$1:$BF$391,MATCH($C97,'在庫使用計画 (一般)'!$C$1:$C$391,0),MATCH(BN$1,'在庫使用計画 (一般)'!$A$1:$BF$1,0))*1,0),
_xlpm._法人検索,IFERROR(INDEX('在庫使用計画 (法人)'!$A$1:$BF$391,MATCH($C97,'在庫使用計画 (法人)'!$C$1:$C$391,0),MATCH(BN$1,'在庫使用計画 (法人)'!$A$1:$BF$1,0))*1,0),
_xlpm._合計,_xlpm._一般検索+_xlpm._法人検索,
IF(_xlpm._合計=0,"",_xlpm._合計)
)</f>
        <v/>
      </c>
      <c r="BO97" s="224" t="str">
        <f>_xlfn.LET(
_xlpm._一般検索,IFERROR(INDEX('在庫使用計画 (一般)'!$A$1:$BF$391,MATCH($C97,'在庫使用計画 (一般)'!$C$1:$C$391,0),MATCH(BO$1,'在庫使用計画 (一般)'!$A$1:$BF$1,0))*1,0),
_xlpm._法人検索,IFERROR(INDEX('在庫使用計画 (法人)'!$A$1:$BF$391,MATCH($C97,'在庫使用計画 (法人)'!$C$1:$C$391,0),MATCH(BO$1,'在庫使用計画 (法人)'!$A$1:$BF$1,0))*1,0),
_xlpm._合計,_xlpm._一般検索+_xlpm._法人検索,
IF(_xlpm._合計=0,"",_xlpm._合計)
)</f>
        <v/>
      </c>
      <c r="BP97" s="224" t="str">
        <f>_xlfn.LET(
_xlpm._一般検索,IFERROR(INDEX('在庫使用計画 (一般)'!$A$1:$BF$391,MATCH($C97,'在庫使用計画 (一般)'!$C$1:$C$391,0),MATCH(BP$1,'在庫使用計画 (一般)'!$A$1:$BF$1,0))*1,0),
_xlpm._法人検索,IFERROR(INDEX('在庫使用計画 (法人)'!$A$1:$BF$391,MATCH($C97,'在庫使用計画 (法人)'!$C$1:$C$391,0),MATCH(BP$1,'在庫使用計画 (法人)'!$A$1:$BF$1,0))*1,0),
_xlpm._合計,_xlpm._一般検索+_xlpm._法人検索,
IF(_xlpm._合計=0,"",_xlpm._合計)
)</f>
        <v/>
      </c>
      <c r="BQ97" s="224" t="str">
        <f>_xlfn.LET(
_xlpm._一般検索,IFERROR(INDEX('在庫使用計画 (一般)'!$A$1:$BF$391,MATCH($C97,'在庫使用計画 (一般)'!$C$1:$C$391,0),MATCH(BQ$1,'在庫使用計画 (一般)'!$A$1:$BF$1,0))*1,0),
_xlpm._法人検索,IFERROR(INDEX('在庫使用計画 (法人)'!$A$1:$BF$391,MATCH($C97,'在庫使用計画 (法人)'!$C$1:$C$391,0),MATCH(BQ$1,'在庫使用計画 (法人)'!$A$1:$BF$1,0))*1,0),
_xlpm._合計,_xlpm._一般検索+_xlpm._法人検索,
IF(_xlpm._合計=0,"",_xlpm._合計)
)</f>
        <v/>
      </c>
      <c r="BR97" s="224" t="str">
        <f>_xlfn.LET(
_xlpm._一般検索,IFERROR(INDEX('在庫使用計画 (一般)'!$A$1:$BF$391,MATCH($C97,'在庫使用計画 (一般)'!$C$1:$C$391,0),MATCH(BR$1,'在庫使用計画 (一般)'!$A$1:$BF$1,0))*1,0),
_xlpm._法人検索,IFERROR(INDEX('在庫使用計画 (法人)'!$A$1:$BF$391,MATCH($C97,'在庫使用計画 (法人)'!$C$1:$C$391,0),MATCH(BR$1,'在庫使用計画 (法人)'!$A$1:$BF$1,0))*1,0),
_xlpm._合計,_xlpm._一般検索+_xlpm._法人検索,
IF(_xlpm._合計=0,"",_xlpm._合計)
)</f>
        <v/>
      </c>
      <c r="BS97" s="805" t="str">
        <f>_xlfn.LET(
_xlpm._一般検索,IFERROR(INDEX('在庫使用計画 (一般)'!$A$1:$BF$391,MATCH($C97,'在庫使用計画 (一般)'!$C$1:$C$391,0),MATCH(BS$1,'在庫使用計画 (一般)'!$A$1:$BF$1,0))*1,0),
_xlpm._法人検索,IFERROR(INDEX('在庫使用計画 (法人)'!$A$1:$BF$391,MATCH($C97,'在庫使用計画 (法人)'!$C$1:$C$391,0),MATCH(BS$1,'在庫使用計画 (法人)'!$A$1:$BF$1,0))*1,0),
_xlpm._合計,_xlpm._一般検索+_xlpm._法人検索,
IF(_xlpm._合計=0,"",_xlpm._合計)
)</f>
        <v/>
      </c>
      <c r="BT97" s="77"/>
    </row>
    <row r="98" spans="1:72" customFormat="1" ht="18.75" customHeight="1" thickBot="1">
      <c r="A98" s="1072" t="s">
        <v>1473</v>
      </c>
      <c r="B98" s="1122" t="str">
        <v>CLE-V74-U5-125U-L6-TPM-DDR5-TW-BK</v>
      </c>
      <c r="C98" s="1451" t="s">
        <v>822</v>
      </c>
      <c r="D98" s="2169">
        <v>463</v>
      </c>
      <c r="E98" s="1392"/>
      <c r="F98" s="380"/>
      <c r="G98" s="74">
        <v>463</v>
      </c>
      <c r="H98" s="38">
        <v>0</v>
      </c>
      <c r="I98" s="38" cm="1">
        <f t="array" ref="I98">IF($C98="","",
_xlfn.LET(
  _xlpm._見出し,$A$1:$BT$1,
  _xlpm._行,$A98:$BT98,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880</v>
      </c>
      <c r="J98" s="74" cm="1">
        <f t="array" ref="J98">_xlfn.LET(
  _xlpm._見出し,$A$1:$BS$1,
  _xlpm._行,$A98:$BS98,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IF($C98="","",_xlpm._四点五月計画合計)
)</f>
        <v>1960</v>
      </c>
      <c r="K98" s="1458" cm="1">
        <f t="array" ref="K98">_xlfn.IFS(
  $C98="","",
  $G98="","発売前？",
  $G98=0,"在庫なし",
  TRUE,
  IFERROR(
    _xlfn.LET(
      _xlpm._在庫注残,     $G98,
      _xlpm._しきい値,     _xlpm._在庫注残 * 0.75,
      _xlpm._見出し元,     $L$1:$BU$1,
      _xlpm._計画,         $L98:$BU98,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46296</v>
      </c>
      <c r="L98" s="311"/>
      <c r="M98" s="311"/>
      <c r="N98" s="311"/>
      <c r="O98" s="311"/>
      <c r="P98" s="311"/>
      <c r="Q98" s="311"/>
      <c r="R98" s="311"/>
      <c r="S98" s="311"/>
      <c r="T98" s="298"/>
      <c r="U98" s="219"/>
      <c r="V98" s="219"/>
      <c r="W98" s="219"/>
      <c r="X98" s="219"/>
      <c r="Y98" s="1049"/>
      <c r="Z98" s="1049"/>
      <c r="AA98" s="1049"/>
      <c r="AB98" s="1049"/>
      <c r="AC98" s="1049"/>
      <c r="AD98" s="1049"/>
      <c r="AE98" s="1049"/>
      <c r="AF98" s="1049"/>
      <c r="AG98" s="1049"/>
      <c r="AH98" s="224"/>
      <c r="AI98" s="1050"/>
      <c r="AJ98" s="804" t="s">
        <v>21</v>
      </c>
      <c r="AK98" s="224" t="s">
        <v>21</v>
      </c>
      <c r="AL98" s="224" t="s">
        <v>21</v>
      </c>
      <c r="AM98" s="224" t="s">
        <v>21</v>
      </c>
      <c r="AN98" s="224" t="str">
        <f>_xlfn.LET(
_xlpm._一般検索,IFERROR(INDEX('在庫使用計画 (一般)'!$A$1:$BF$391,MATCH($C98,'在庫使用計画 (一般)'!$C$1:$C$391,0),MATCH(AN$1,'在庫使用計画 (一般)'!$A$1:$BF$1,0))*1,0),
_xlpm._法人検索,IFERROR(INDEX('在庫使用計画 (法人)'!$A$1:$BF$391,MATCH($C98,'在庫使用計画 (法人)'!$C$1:$C$391,0),MATCH(AN$1,'在庫使用計画 (法人)'!$A$1:$BF$1,0))*1,0),
_xlpm._合計,_xlpm._一般検索+_xlpm._法人検索,
IF(_xlpm._合計=0,"",_xlpm._合計)
)</f>
        <v/>
      </c>
      <c r="AO98" s="224" t="str">
        <f>_xlfn.LET(
_xlpm._一般検索,IFERROR(INDEX('在庫使用計画 (一般)'!$A$1:$BF$391,MATCH($C98,'在庫使用計画 (一般)'!$C$1:$C$391,0),MATCH(AO$1,'在庫使用計画 (一般)'!$A$1:$BF$1,0))*1,0),
_xlpm._法人検索,IFERROR(INDEX('在庫使用計画 (法人)'!$A$1:$BF$391,MATCH($C98,'在庫使用計画 (法人)'!$C$1:$C$391,0),MATCH(AO$1,'在庫使用計画 (法人)'!$A$1:$BF$1,0))*1,0),
_xlpm._合計,_xlpm._一般検索+_xlpm._法人検索,
IF(_xlpm._合計=0,"",_xlpm._合計)
)</f>
        <v/>
      </c>
      <c r="AP98" s="224" t="str">
        <f>_xlfn.LET(
_xlpm._一般検索,IFERROR(INDEX('在庫使用計画 (一般)'!$A$1:$BF$391,MATCH($C98,'在庫使用計画 (一般)'!$C$1:$C$391,0),MATCH(AP$1,'在庫使用計画 (一般)'!$A$1:$BF$1,0))*1,0),
_xlpm._法人検索,IFERROR(INDEX('在庫使用計画 (法人)'!$A$1:$BF$391,MATCH($C98,'在庫使用計画 (法人)'!$C$1:$C$391,0),MATCH(AP$1,'在庫使用計画 (法人)'!$A$1:$BF$1,0))*1,0),
_xlpm._合計,_xlpm._一般検索+_xlpm._法人検索,
IF(_xlpm._合計=0,"",_xlpm._合計)
)</f>
        <v/>
      </c>
      <c r="AQ98" s="224">
        <f>_xlfn.LET(
_xlpm._一般検索,IFERROR(INDEX('在庫使用計画 (一般)'!$A$1:$BF$391,MATCH($C98,'在庫使用計画 (一般)'!$C$1:$C$391,0),MATCH(AQ$1,'在庫使用計画 (一般)'!$A$1:$BF$1,0))*1,0),
_xlpm._法人検索,IFERROR(INDEX('在庫使用計画 (法人)'!$A$1:$BF$391,MATCH($C98,'在庫使用計画 (法人)'!$C$1:$C$391,0),MATCH(AQ$1,'在庫使用計画 (法人)'!$A$1:$BF$1,0))*1,0),
_xlpm._合計,_xlpm._一般検索+_xlpm._法人検索,
IF(_xlpm._合計=0,"",_xlpm._合計)
)</f>
        <v>3</v>
      </c>
      <c r="AR98" s="224">
        <f>_xlfn.LET(
_xlpm._一般検索,IFERROR(INDEX('在庫使用計画 (一般)'!$A$1:$BF$391,MATCH($C98,'在庫使用計画 (一般)'!$C$1:$C$391,0),MATCH(AR$1,'在庫使用計画 (一般)'!$A$1:$BF$1,0))*1,0),
_xlpm._法人検索,IFERROR(INDEX('在庫使用計画 (法人)'!$A$1:$BF$391,MATCH($C98,'在庫使用計画 (法人)'!$C$1:$C$391,0),MATCH(AR$1,'在庫使用計画 (法人)'!$A$1:$BF$1,0))*1,0),
_xlpm._合計,_xlpm._一般検索+_xlpm._法人検索,
IF(_xlpm._合計=0,"",_xlpm._合計)
)</f>
        <v>180</v>
      </c>
      <c r="AS98" s="224">
        <f>_xlfn.LET(
_xlpm._一般検索,IFERROR(INDEX('在庫使用計画 (一般)'!$A$1:$BF$391,MATCH($C98,'在庫使用計画 (一般)'!$C$1:$C$391,0),MATCH(AS$1,'在庫使用計画 (一般)'!$A$1:$BF$1,0))*1,0),
_xlpm._法人検索,IFERROR(INDEX('在庫使用計画 (法人)'!$A$1:$BF$391,MATCH($C98,'在庫使用計画 (法人)'!$C$1:$C$391,0),MATCH(AS$1,'在庫使用計画 (法人)'!$A$1:$BF$1,0))*1,0),
_xlpm._合計,_xlpm._一般検索+_xlpm._法人検索,
IF(_xlpm._合計=0,"",_xlpm._合計)
)</f>
        <v>697</v>
      </c>
      <c r="AT98" s="224">
        <f>_xlfn.LET(
_xlpm._一般検索,IFERROR(INDEX('在庫使用計画 (一般)'!$A$1:$BF$391,MATCH($C98,'在庫使用計画 (一般)'!$C$1:$C$391,0),MATCH(AT$1,'在庫使用計画 (一般)'!$A$1:$BF$1,0))*1,0),
_xlpm._法人検索,IFERROR(INDEX('在庫使用計画 (法人)'!$A$1:$BF$391,MATCH($C98,'在庫使用計画 (法人)'!$C$1:$C$391,0),MATCH(AT$1,'在庫使用計画 (法人)'!$A$1:$BF$1,0))*1,0),
_xlpm._合計,_xlpm._一般検索+_xlpm._法人検索,
IF(_xlpm._合計=0,"",_xlpm._合計)
)</f>
        <v>1080</v>
      </c>
      <c r="AU98" s="805">
        <f>_xlfn.LET(
_xlpm._一般検索,IFERROR(INDEX('在庫使用計画 (一般)'!$A$1:$BF$391,MATCH($C98,'在庫使用計画 (一般)'!$C$1:$C$391,0),MATCH(AU$1,'在庫使用計画 (一般)'!$A$1:$BF$1,0))*1,0),
_xlpm._法人検索,IFERROR(INDEX('在庫使用計画 (法人)'!$A$1:$BF$391,MATCH($C98,'在庫使用計画 (法人)'!$C$1:$C$391,0),MATCH(AU$1,'在庫使用計画 (法人)'!$A$1:$BF$1,0))*1,0),
_xlpm._合計,_xlpm._一般検索+_xlpm._法人検索,
IF(_xlpm._合計=0,"",_xlpm._合計)
)</f>
        <v>627</v>
      </c>
      <c r="AV98" s="244">
        <f>_xlfn.LET(
_xlpm._一般検索,IFERROR(INDEX('在庫使用計画 (一般)'!$A$1:$BF$391,MATCH($C98,'在庫使用計画 (一般)'!$C$1:$C$391,0),MATCH(AV$1,'在庫使用計画 (一般)'!$A$1:$BF$1,0))*1,0),
_xlpm._法人検索,IFERROR(INDEX('在庫使用計画 (法人)'!$A$1:$BF$391,MATCH($C98,'在庫使用計画 (法人)'!$C$1:$C$391,0),MATCH(AV$1,'在庫使用計画 (法人)'!$A$1:$BF$1,0))*1,0),
_xlpm._合計,_xlpm._一般検索+_xlpm._法人検索,
IF(_xlpm._合計=0,"",_xlpm._合計)
)</f>
        <v>705</v>
      </c>
      <c r="AW98" s="224">
        <f>_xlfn.LET(
_xlpm._一般検索,IFERROR(INDEX('在庫使用計画 (一般)'!$A$1:$BF$391,MATCH($C98,'在庫使用計画 (一般)'!$C$1:$C$391,0),MATCH(AW$1,'在庫使用計画 (一般)'!$A$1:$BF$1,0))*1,0),
_xlpm._法人検索,IFERROR(INDEX('在庫使用計画 (法人)'!$A$1:$BF$391,MATCH($C98,'在庫使用計画 (法人)'!$C$1:$C$391,0),MATCH(AW$1,'在庫使用計画 (法人)'!$A$1:$BF$1,0))*1,0),
_xlpm._合計,_xlpm._一般検索+_xlpm._法人検索,
IF(_xlpm._合計=0,"",_xlpm._合計)
)</f>
        <v>1137</v>
      </c>
      <c r="AX98" s="224">
        <f>_xlfn.LET(
_xlpm._一般検索,IFERROR(INDEX('在庫使用計画 (一般)'!$A$1:$BF$391,MATCH($C98,'在庫使用計画 (一般)'!$C$1:$C$391,0),MATCH(AX$1,'在庫使用計画 (一般)'!$A$1:$BF$1,0))*1,0),
_xlpm._法人検索,IFERROR(INDEX('在庫使用計画 (法人)'!$A$1:$BF$391,MATCH($C98,'在庫使用計画 (法人)'!$C$1:$C$391,0),MATCH(AX$1,'在庫使用計画 (法人)'!$A$1:$BF$1,0))*1,0),
_xlpm._合計,_xlpm._一般検索+_xlpm._法人検索,
IF(_xlpm._合計=0,"",_xlpm._合計)
)</f>
        <v>671</v>
      </c>
      <c r="AY98" s="224">
        <f>_xlfn.LET(
_xlpm._一般検索,IFERROR(INDEX('在庫使用計画 (一般)'!$A$1:$BF$391,MATCH($C98,'在庫使用計画 (一般)'!$C$1:$C$391,0),MATCH(AY$1,'在庫使用計画 (一般)'!$A$1:$BF$1,0))*1,0),
_xlpm._法人検索,IFERROR(INDEX('在庫使用計画 (法人)'!$A$1:$BF$391,MATCH($C98,'在庫使用計画 (法人)'!$C$1:$C$391,0),MATCH(AY$1,'在庫使用計画 (法人)'!$A$1:$BF$1,0))*1,0),
_xlpm._合計,_xlpm._一般検索+_xlpm._法人検索,
IF(_xlpm._合計=0,"",_xlpm._合計)
)</f>
        <v>581</v>
      </c>
      <c r="AZ98" s="224">
        <f>_xlfn.LET(
_xlpm._一般検索,IFERROR(INDEX('在庫使用計画 (一般)'!$A$1:$BF$391,MATCH($C98,'在庫使用計画 (一般)'!$C$1:$C$391,0),MATCH(AZ$1,'在庫使用計画 (一般)'!$A$1:$BF$1,0))*1,0),
_xlpm._法人検索,IFERROR(INDEX('在庫使用計画 (法人)'!$A$1:$BF$391,MATCH($C98,'在庫使用計画 (法人)'!$C$1:$C$391,0),MATCH(AZ$1,'在庫使用計画 (法人)'!$A$1:$BF$1,0))*1,0),
_xlpm._合計,_xlpm._一般検索+_xlpm._法人検索,
IF(_xlpm._合計=0,"",_xlpm._合計)
)</f>
        <v>1069</v>
      </c>
      <c r="BA98" s="224">
        <f>_xlfn.LET(
_xlpm._一般検索,IFERROR(INDEX('在庫使用計画 (一般)'!$A$1:$BF$391,MATCH($C98,'在庫使用計画 (一般)'!$C$1:$C$391,0),MATCH(BA$1,'在庫使用計画 (一般)'!$A$1:$BF$1,0))*1,0),
_xlpm._法人検索,IFERROR(INDEX('在庫使用計画 (法人)'!$A$1:$BF$391,MATCH($C98,'在庫使用計画 (法人)'!$C$1:$C$391,0),MATCH(BA$1,'在庫使用計画 (法人)'!$A$1:$BF$1,0))*1,0),
_xlpm._合計,_xlpm._一般検索+_xlpm._法人検索,
IF(_xlpm._合計=0,"",_xlpm._合計)
)</f>
        <v>568</v>
      </c>
      <c r="BB98" s="224">
        <f>_xlfn.LET(
_xlpm._一般検索,IFERROR(INDEX('在庫使用計画 (一般)'!$A$1:$BF$391,MATCH($C98,'在庫使用計画 (一般)'!$C$1:$C$391,0),MATCH(BB$1,'在庫使用計画 (一般)'!$A$1:$BF$1,0))*1,0),
_xlpm._法人検索,IFERROR(INDEX('在庫使用計画 (法人)'!$A$1:$BF$391,MATCH($C98,'在庫使用計画 (法人)'!$C$1:$C$391,0),MATCH(BB$1,'在庫使用計画 (法人)'!$A$1:$BF$1,0))*1,0),
_xlpm._合計,_xlpm._一般検索+_xlpm._法人検索,
IF(_xlpm._合計=0,"",_xlpm._合計)
)</f>
        <v>491</v>
      </c>
      <c r="BC98" s="224">
        <f>_xlfn.LET(
_xlpm._一般検索,IFERROR(INDEX('在庫使用計画 (一般)'!$A$1:$BF$391,MATCH($C98,'在庫使用計画 (一般)'!$C$1:$C$391,0),MATCH(BC$1,'在庫使用計画 (一般)'!$A$1:$BF$1,0))*1,0),
_xlpm._法人検索,IFERROR(INDEX('在庫使用計画 (法人)'!$A$1:$BF$391,MATCH($C98,'在庫使用計画 (法人)'!$C$1:$C$391,0),MATCH(BC$1,'在庫使用計画 (法人)'!$A$1:$BF$1,0))*1,0),
_xlpm._合計,_xlpm._一般検索+_xlpm._法人検索,
IF(_xlpm._合計=0,"",_xlpm._合計)
)</f>
        <v>473</v>
      </c>
      <c r="BD98" s="224" t="str">
        <f>_xlfn.LET(
_xlpm._一般検索,IFERROR(INDEX('在庫使用計画 (一般)'!$A$1:$BF$391,MATCH($C98,'在庫使用計画 (一般)'!$C$1:$C$391,0),MATCH(BD$1,'在庫使用計画 (一般)'!$A$1:$BF$1,0))*1,0),
_xlpm._法人検索,IFERROR(INDEX('在庫使用計画 (法人)'!$A$1:$BF$391,MATCH($C98,'在庫使用計画 (法人)'!$C$1:$C$391,0),MATCH(BD$1,'在庫使用計画 (法人)'!$A$1:$BF$1,0))*1,0),
_xlpm._合計,_xlpm._一般検索+_xlpm._法人検索,
IF(_xlpm._合計=0,"",_xlpm._合計)
)</f>
        <v/>
      </c>
      <c r="BE98" s="224" t="str">
        <f>_xlfn.LET(
_xlpm._一般検索,IFERROR(INDEX('在庫使用計画 (一般)'!$A$1:$BF$391,MATCH($C98,'在庫使用計画 (一般)'!$C$1:$C$391,0),MATCH(BE$1,'在庫使用計画 (一般)'!$A$1:$BF$1,0))*1,0),
_xlpm._法人検索,IFERROR(INDEX('在庫使用計画 (法人)'!$A$1:$BF$391,MATCH($C98,'在庫使用計画 (法人)'!$C$1:$C$391,0),MATCH(BE$1,'在庫使用計画 (法人)'!$A$1:$BF$1,0))*1,0),
_xlpm._合計,_xlpm._一般検索+_xlpm._法人検索,
IF(_xlpm._合計=0,"",_xlpm._合計)
)</f>
        <v/>
      </c>
      <c r="BF98" s="224" t="str">
        <f>_xlfn.LET(
_xlpm._一般検索,IFERROR(INDEX('在庫使用計画 (一般)'!$A$1:$BF$391,MATCH($C98,'在庫使用計画 (一般)'!$C$1:$C$391,0),MATCH(BF$1,'在庫使用計画 (一般)'!$A$1:$BF$1,0))*1,0),
_xlpm._法人検索,IFERROR(INDEX('在庫使用計画 (法人)'!$A$1:$BF$391,MATCH($C98,'在庫使用計画 (法人)'!$C$1:$C$391,0),MATCH(BF$1,'在庫使用計画 (法人)'!$A$1:$BF$1,0))*1,0),
_xlpm._合計,_xlpm._一般検索+_xlpm._法人検索,
IF(_xlpm._合計=0,"",_xlpm._合計)
)</f>
        <v/>
      </c>
      <c r="BG98" s="237" t="str">
        <f>_xlfn.LET(
_xlpm._一般検索,IFERROR(INDEX('在庫使用計画 (一般)'!$A$1:$BF$391,MATCH($C98,'在庫使用計画 (一般)'!$C$1:$C$391,0),MATCH(BG$1,'在庫使用計画 (一般)'!$A$1:$BF$1,0))*1,0),
_xlpm._法人検索,IFERROR(INDEX('在庫使用計画 (法人)'!$A$1:$BF$391,MATCH($C98,'在庫使用計画 (法人)'!$C$1:$C$391,0),MATCH(BG$1,'在庫使用計画 (法人)'!$A$1:$BF$1,0))*1,0),
_xlpm._合計,_xlpm._一般検索+_xlpm._法人検索,
IF(_xlpm._合計=0,"",_xlpm._合計)
)</f>
        <v/>
      </c>
      <c r="BH98" s="804" t="str">
        <f>_xlfn.LET(
_xlpm._一般検索,IFERROR(INDEX('在庫使用計画 (一般)'!$A$1:$BF$391,MATCH($C98,'在庫使用計画 (一般)'!$C$1:$C$391,0),MATCH(BH$1,'在庫使用計画 (一般)'!$A$1:$BF$1,0))*1,0),
_xlpm._法人検索,IFERROR(INDEX('在庫使用計画 (法人)'!$A$1:$BF$391,MATCH($C98,'在庫使用計画 (法人)'!$C$1:$C$391,0),MATCH(BH$1,'在庫使用計画 (法人)'!$A$1:$BF$1,0))*1,0),
_xlpm._合計,_xlpm._一般検索+_xlpm._法人検索,
IF(_xlpm._合計=0,"",_xlpm._合計)
)</f>
        <v/>
      </c>
      <c r="BI98" s="224" t="str">
        <f>_xlfn.LET(
_xlpm._一般検索,IFERROR(INDEX('在庫使用計画 (一般)'!$A$1:$BF$391,MATCH($C98,'在庫使用計画 (一般)'!$C$1:$C$391,0),MATCH(BI$1,'在庫使用計画 (一般)'!$A$1:$BF$1,0))*1,0),
_xlpm._法人検索,IFERROR(INDEX('在庫使用計画 (法人)'!$A$1:$BF$391,MATCH($C98,'在庫使用計画 (法人)'!$C$1:$C$391,0),MATCH(BI$1,'在庫使用計画 (法人)'!$A$1:$BF$1,0))*1,0),
_xlpm._合計,_xlpm._一般検索+_xlpm._法人検索,
IF(_xlpm._合計=0,"",_xlpm._合計)
)</f>
        <v/>
      </c>
      <c r="BJ98" s="224" t="str">
        <f>_xlfn.LET(
_xlpm._一般検索,IFERROR(INDEX('在庫使用計画 (一般)'!$A$1:$BF$391,MATCH($C98,'在庫使用計画 (一般)'!$C$1:$C$391,0),MATCH(BJ$1,'在庫使用計画 (一般)'!$A$1:$BF$1,0))*1,0),
_xlpm._法人検索,IFERROR(INDEX('在庫使用計画 (法人)'!$A$1:$BF$391,MATCH($C98,'在庫使用計画 (法人)'!$C$1:$C$391,0),MATCH(BJ$1,'在庫使用計画 (法人)'!$A$1:$BF$1,0))*1,0),
_xlpm._合計,_xlpm._一般検索+_xlpm._法人検索,
IF(_xlpm._合計=0,"",_xlpm._合計)
)</f>
        <v/>
      </c>
      <c r="BK98" s="224" t="str">
        <f>_xlfn.LET(
_xlpm._一般検索,IFERROR(INDEX('在庫使用計画 (一般)'!$A$1:$BF$391,MATCH($C98,'在庫使用計画 (一般)'!$C$1:$C$391,0),MATCH(BK$1,'在庫使用計画 (一般)'!$A$1:$BF$1,0))*1,0),
_xlpm._法人検索,IFERROR(INDEX('在庫使用計画 (法人)'!$A$1:$BF$391,MATCH($C98,'在庫使用計画 (法人)'!$C$1:$C$391,0),MATCH(BK$1,'在庫使用計画 (法人)'!$A$1:$BF$1,0))*1,0),
_xlpm._合計,_xlpm._一般検索+_xlpm._法人検索,
IF(_xlpm._合計=0,"",_xlpm._合計)
)</f>
        <v/>
      </c>
      <c r="BL98" s="224" t="str">
        <f>_xlfn.LET(
_xlpm._一般検索,IFERROR(INDEX('在庫使用計画 (一般)'!$A$1:$BF$391,MATCH($C98,'在庫使用計画 (一般)'!$C$1:$C$391,0),MATCH(BL$1,'在庫使用計画 (一般)'!$A$1:$BF$1,0))*1,0),
_xlpm._法人検索,IFERROR(INDEX('在庫使用計画 (法人)'!$A$1:$BF$391,MATCH($C98,'在庫使用計画 (法人)'!$C$1:$C$391,0),MATCH(BL$1,'在庫使用計画 (法人)'!$A$1:$BF$1,0))*1,0),
_xlpm._合計,_xlpm._一般検索+_xlpm._法人検索,
IF(_xlpm._合計=0,"",_xlpm._合計)
)</f>
        <v/>
      </c>
      <c r="BM98" s="224" t="str">
        <f>_xlfn.LET(
_xlpm._一般検索,IFERROR(INDEX('在庫使用計画 (一般)'!$A$1:$BF$391,MATCH($C98,'在庫使用計画 (一般)'!$C$1:$C$391,0),MATCH(BM$1,'在庫使用計画 (一般)'!$A$1:$BF$1,0))*1,0),
_xlpm._法人検索,IFERROR(INDEX('在庫使用計画 (法人)'!$A$1:$BF$391,MATCH($C98,'在庫使用計画 (法人)'!$C$1:$C$391,0),MATCH(BM$1,'在庫使用計画 (法人)'!$A$1:$BF$1,0))*1,0),
_xlpm._合計,_xlpm._一般検索+_xlpm._法人検索,
IF(_xlpm._合計=0,"",_xlpm._合計)
)</f>
        <v/>
      </c>
      <c r="BN98" s="224" t="str">
        <f>_xlfn.LET(
_xlpm._一般検索,IFERROR(INDEX('在庫使用計画 (一般)'!$A$1:$BF$391,MATCH($C98,'在庫使用計画 (一般)'!$C$1:$C$391,0),MATCH(BN$1,'在庫使用計画 (一般)'!$A$1:$BF$1,0))*1,0),
_xlpm._法人検索,IFERROR(INDEX('在庫使用計画 (法人)'!$A$1:$BF$391,MATCH($C98,'在庫使用計画 (法人)'!$C$1:$C$391,0),MATCH(BN$1,'在庫使用計画 (法人)'!$A$1:$BF$1,0))*1,0),
_xlpm._合計,_xlpm._一般検索+_xlpm._法人検索,
IF(_xlpm._合計=0,"",_xlpm._合計)
)</f>
        <v/>
      </c>
      <c r="BO98" s="224" t="str">
        <f>_xlfn.LET(
_xlpm._一般検索,IFERROR(INDEX('在庫使用計画 (一般)'!$A$1:$BF$391,MATCH($C98,'在庫使用計画 (一般)'!$C$1:$C$391,0),MATCH(BO$1,'在庫使用計画 (一般)'!$A$1:$BF$1,0))*1,0),
_xlpm._法人検索,IFERROR(INDEX('在庫使用計画 (法人)'!$A$1:$BF$391,MATCH($C98,'在庫使用計画 (法人)'!$C$1:$C$391,0),MATCH(BO$1,'在庫使用計画 (法人)'!$A$1:$BF$1,0))*1,0),
_xlpm._合計,_xlpm._一般検索+_xlpm._法人検索,
IF(_xlpm._合計=0,"",_xlpm._合計)
)</f>
        <v/>
      </c>
      <c r="BP98" s="224" t="str">
        <f>_xlfn.LET(
_xlpm._一般検索,IFERROR(INDEX('在庫使用計画 (一般)'!$A$1:$BF$391,MATCH($C98,'在庫使用計画 (一般)'!$C$1:$C$391,0),MATCH(BP$1,'在庫使用計画 (一般)'!$A$1:$BF$1,0))*1,0),
_xlpm._法人検索,IFERROR(INDEX('在庫使用計画 (法人)'!$A$1:$BF$391,MATCH($C98,'在庫使用計画 (法人)'!$C$1:$C$391,0),MATCH(BP$1,'在庫使用計画 (法人)'!$A$1:$BF$1,0))*1,0),
_xlpm._合計,_xlpm._一般検索+_xlpm._法人検索,
IF(_xlpm._合計=0,"",_xlpm._合計)
)</f>
        <v/>
      </c>
      <c r="BQ98" s="224" t="str">
        <f>_xlfn.LET(
_xlpm._一般検索,IFERROR(INDEX('在庫使用計画 (一般)'!$A$1:$BF$391,MATCH($C98,'在庫使用計画 (一般)'!$C$1:$C$391,0),MATCH(BQ$1,'在庫使用計画 (一般)'!$A$1:$BF$1,0))*1,0),
_xlpm._法人検索,IFERROR(INDEX('在庫使用計画 (法人)'!$A$1:$BF$391,MATCH($C98,'在庫使用計画 (法人)'!$C$1:$C$391,0),MATCH(BQ$1,'在庫使用計画 (法人)'!$A$1:$BF$1,0))*1,0),
_xlpm._合計,_xlpm._一般検索+_xlpm._法人検索,
IF(_xlpm._合計=0,"",_xlpm._合計)
)</f>
        <v/>
      </c>
      <c r="BR98" s="224" t="str">
        <f>_xlfn.LET(
_xlpm._一般検索,IFERROR(INDEX('在庫使用計画 (一般)'!$A$1:$BF$391,MATCH($C98,'在庫使用計画 (一般)'!$C$1:$C$391,0),MATCH(BR$1,'在庫使用計画 (一般)'!$A$1:$BF$1,0))*1,0),
_xlpm._法人検索,IFERROR(INDEX('在庫使用計画 (法人)'!$A$1:$BF$391,MATCH($C98,'在庫使用計画 (法人)'!$C$1:$C$391,0),MATCH(BR$1,'在庫使用計画 (法人)'!$A$1:$BF$1,0))*1,0),
_xlpm._合計,_xlpm._一般検索+_xlpm._法人検索,
IF(_xlpm._合計=0,"",_xlpm._合計)
)</f>
        <v/>
      </c>
      <c r="BS98" s="805" t="str">
        <f>_xlfn.LET(
_xlpm._一般検索,IFERROR(INDEX('在庫使用計画 (一般)'!$A$1:$BF$391,MATCH($C98,'在庫使用計画 (一般)'!$C$1:$C$391,0),MATCH(BS$1,'在庫使用計画 (一般)'!$A$1:$BF$1,0))*1,0),
_xlpm._法人検索,IFERROR(INDEX('在庫使用計画 (法人)'!$A$1:$BF$391,MATCH($C98,'在庫使用計画 (法人)'!$C$1:$C$391,0),MATCH(BS$1,'在庫使用計画 (法人)'!$A$1:$BF$1,0))*1,0),
_xlpm._合計,_xlpm._一般検索+_xlpm._法人検索,
IF(_xlpm._合計=0,"",_xlpm._合計)
)</f>
        <v/>
      </c>
      <c r="BT98" s="21"/>
    </row>
    <row r="99" spans="1:72" customFormat="1" ht="18.75" customHeight="1" thickBot="1">
      <c r="A99" s="1073" t="s">
        <v>1473</v>
      </c>
      <c r="B99" s="1124" t="str">
        <v>CLE-V74-U5-125U-L6-TPM-DDR5-TW-BL</v>
      </c>
      <c r="C99" s="1451" t="s">
        <v>818</v>
      </c>
      <c r="D99" s="2170">
        <v>222</v>
      </c>
      <c r="E99" s="1392"/>
      <c r="F99" s="639"/>
      <c r="G99" s="74">
        <v>222</v>
      </c>
      <c r="H99" s="38">
        <v>0</v>
      </c>
      <c r="I99" s="38" cm="1">
        <f t="array" ref="I99">IF($C99="","",
_xlfn.LET(
  _xlpm._見出し,$A$1:$BT$1,
  _xlpm._行,$A99:$BT99,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156</v>
      </c>
      <c r="J99" s="74" cm="1">
        <f t="array" ref="J99">_xlfn.LET(
  _xlpm._見出し,$A$1:$BS$1,
  _xlpm._行,$A99:$BS99,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IF($C99="","",_xlpm._四点五月計画合計)
)</f>
        <v>233</v>
      </c>
      <c r="K99" s="1458" cm="1">
        <f t="array" ref="K99">_xlfn.IFS(
  $C99="","",
  $G99="","発売前？",
  $G99=0,"在庫なし",
  TRUE,
  IFERROR(
    _xlfn.LET(
      _xlpm._在庫注残,     $G99,
      _xlpm._しきい値,     _xlpm._在庫注残 * 0.75,
      _xlpm._見出し元,     $L$1:$BU$1,
      _xlpm._計画,         $L99:$BU99,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46327</v>
      </c>
      <c r="L99" s="180"/>
      <c r="M99" s="180"/>
      <c r="N99" s="180"/>
      <c r="O99" s="180"/>
      <c r="P99" s="180"/>
      <c r="Q99" s="180"/>
      <c r="R99" s="180"/>
      <c r="S99" s="180"/>
      <c r="T99" s="299"/>
      <c r="U99" s="224"/>
      <c r="V99" s="224"/>
      <c r="W99" s="224"/>
      <c r="X99" s="224"/>
      <c r="Y99" s="1050"/>
      <c r="Z99" s="1050"/>
      <c r="AA99" s="1050"/>
      <c r="AB99" s="1050"/>
      <c r="AC99" s="1050"/>
      <c r="AD99" s="1050"/>
      <c r="AE99" s="1050"/>
      <c r="AF99" s="1050"/>
      <c r="AG99" s="1050"/>
      <c r="AH99" s="224"/>
      <c r="AI99" s="1050"/>
      <c r="AJ99" s="804" t="s">
        <v>21</v>
      </c>
      <c r="AK99" s="224" t="s">
        <v>21</v>
      </c>
      <c r="AL99" s="224" t="s">
        <v>21</v>
      </c>
      <c r="AM99" s="224" t="s">
        <v>21</v>
      </c>
      <c r="AN99" s="224" t="str">
        <f>_xlfn.LET(
_xlpm._一般検索,IFERROR(INDEX('在庫使用計画 (一般)'!$A$1:$BF$391,MATCH($C99,'在庫使用計画 (一般)'!$C$1:$C$391,0),MATCH(AN$1,'在庫使用計画 (一般)'!$A$1:$BF$1,0))*1,0),
_xlpm._法人検索,IFERROR(INDEX('在庫使用計画 (法人)'!$A$1:$BF$391,MATCH($C99,'在庫使用計画 (法人)'!$C$1:$C$391,0),MATCH(AN$1,'在庫使用計画 (法人)'!$A$1:$BF$1,0))*1,0),
_xlpm._合計,_xlpm._一般検索+_xlpm._法人検索,
IF(_xlpm._合計=0,"",_xlpm._合計)
)</f>
        <v/>
      </c>
      <c r="AO99" s="224" t="str">
        <f>_xlfn.LET(
_xlpm._一般検索,IFERROR(INDEX('在庫使用計画 (一般)'!$A$1:$BF$391,MATCH($C99,'在庫使用計画 (一般)'!$C$1:$C$391,0),MATCH(AO$1,'在庫使用計画 (一般)'!$A$1:$BF$1,0))*1,0),
_xlpm._法人検索,IFERROR(INDEX('在庫使用計画 (法人)'!$A$1:$BF$391,MATCH($C99,'在庫使用計画 (法人)'!$C$1:$C$391,0),MATCH(AO$1,'在庫使用計画 (法人)'!$A$1:$BF$1,0))*1,0),
_xlpm._合計,_xlpm._一般検索+_xlpm._法人検索,
IF(_xlpm._合計=0,"",_xlpm._合計)
)</f>
        <v/>
      </c>
      <c r="AP99" s="224" t="str">
        <f>_xlfn.LET(
_xlpm._一般検索,IFERROR(INDEX('在庫使用計画 (一般)'!$A$1:$BF$391,MATCH($C99,'在庫使用計画 (一般)'!$C$1:$C$391,0),MATCH(AP$1,'在庫使用計画 (一般)'!$A$1:$BF$1,0))*1,0),
_xlpm._法人検索,IFERROR(INDEX('在庫使用計画 (法人)'!$A$1:$BF$391,MATCH($C99,'在庫使用計画 (法人)'!$C$1:$C$391,0),MATCH(AP$1,'在庫使用計画 (法人)'!$A$1:$BF$1,0))*1,0),
_xlpm._合計,_xlpm._一般検索+_xlpm._法人検索,
IF(_xlpm._合計=0,"",_xlpm._合計)
)</f>
        <v/>
      </c>
      <c r="AQ99" s="224" t="str">
        <f>_xlfn.LET(
_xlpm._一般検索,IFERROR(INDEX('在庫使用計画 (一般)'!$A$1:$BF$391,MATCH($C99,'在庫使用計画 (一般)'!$C$1:$C$391,0),MATCH(AQ$1,'在庫使用計画 (一般)'!$A$1:$BF$1,0))*1,0),
_xlpm._法人検索,IFERROR(INDEX('在庫使用計画 (法人)'!$A$1:$BF$391,MATCH($C99,'在庫使用計画 (法人)'!$C$1:$C$391,0),MATCH(AQ$1,'在庫使用計画 (法人)'!$A$1:$BF$1,0))*1,0),
_xlpm._合計,_xlpm._一般検索+_xlpm._法人検索,
IF(_xlpm._合計=0,"",_xlpm._合計)
)</f>
        <v/>
      </c>
      <c r="AR99" s="224">
        <f>_xlfn.LET(
_xlpm._一般検索,IFERROR(INDEX('在庫使用計画 (一般)'!$A$1:$BF$391,MATCH($C99,'在庫使用計画 (一般)'!$C$1:$C$391,0),MATCH(AR$1,'在庫使用計画 (一般)'!$A$1:$BF$1,0))*1,0),
_xlpm._法人検索,IFERROR(INDEX('在庫使用計画 (法人)'!$A$1:$BF$391,MATCH($C99,'在庫使用計画 (法人)'!$C$1:$C$391,0),MATCH(AR$1,'在庫使用計画 (法人)'!$A$1:$BF$1,0))*1,0),
_xlpm._合計,_xlpm._一般検索+_xlpm._法人検索,
IF(_xlpm._合計=0,"",_xlpm._合計)
)</f>
        <v>74</v>
      </c>
      <c r="AS99" s="224">
        <f>_xlfn.LET(
_xlpm._一般検索,IFERROR(INDEX('在庫使用計画 (一般)'!$A$1:$BF$391,MATCH($C99,'在庫使用計画 (一般)'!$C$1:$C$391,0),MATCH(AS$1,'在庫使用計画 (一般)'!$A$1:$BF$1,0))*1,0),
_xlpm._法人検索,IFERROR(INDEX('在庫使用計画 (法人)'!$A$1:$BF$391,MATCH($C99,'在庫使用計画 (法人)'!$C$1:$C$391,0),MATCH(AS$1,'在庫使用計画 (法人)'!$A$1:$BF$1,0))*1,0),
_xlpm._合計,_xlpm._一般検索+_xlpm._法人検索,
IF(_xlpm._合計=0,"",_xlpm._合計)
)</f>
        <v>82</v>
      </c>
      <c r="AT99" s="224">
        <f>_xlfn.LET(
_xlpm._一般検索,IFERROR(INDEX('在庫使用計画 (一般)'!$A$1:$BF$391,MATCH($C99,'在庫使用計画 (一般)'!$C$1:$C$391,0),MATCH(AT$1,'在庫使用計画 (一般)'!$A$1:$BF$1,0))*1,0),
_xlpm._法人検索,IFERROR(INDEX('在庫使用計画 (法人)'!$A$1:$BF$391,MATCH($C99,'在庫使用計画 (法人)'!$C$1:$C$391,0),MATCH(AT$1,'在庫使用計画 (法人)'!$A$1:$BF$1,0))*1,0),
_xlpm._合計,_xlpm._一般検索+_xlpm._法人検索,
IF(_xlpm._合計=0,"",_xlpm._合計)
)</f>
        <v>77</v>
      </c>
      <c r="AU99" s="805">
        <f>_xlfn.LET(
_xlpm._一般検索,IFERROR(INDEX('在庫使用計画 (一般)'!$A$1:$BF$391,MATCH($C99,'在庫使用計画 (一般)'!$C$1:$C$391,0),MATCH(AU$1,'在庫使用計画 (一般)'!$A$1:$BF$1,0))*1,0),
_xlpm._法人検索,IFERROR(INDEX('在庫使用計画 (法人)'!$A$1:$BF$391,MATCH($C99,'在庫使用計画 (法人)'!$C$1:$C$391,0),MATCH(AU$1,'在庫使用計画 (法人)'!$A$1:$BF$1,0))*1,0),
_xlpm._合計,_xlpm._一般検索+_xlpm._法人検索,
IF(_xlpm._合計=0,"",_xlpm._合計)
)</f>
        <v>102</v>
      </c>
      <c r="AV99" s="244">
        <f>_xlfn.LET(
_xlpm._一般検索,IFERROR(INDEX('在庫使用計画 (一般)'!$A$1:$BF$391,MATCH($C99,'在庫使用計画 (一般)'!$C$1:$C$391,0),MATCH(AV$1,'在庫使用計画 (一般)'!$A$1:$BF$1,0))*1,0),
_xlpm._法人検索,IFERROR(INDEX('在庫使用計画 (法人)'!$A$1:$BF$391,MATCH($C99,'在庫使用計画 (法人)'!$C$1:$C$391,0),MATCH(AV$1,'在庫使用計画 (法人)'!$A$1:$BF$1,0))*1,0),
_xlpm._合計,_xlpm._一般検索+_xlpm._法人検索,
IF(_xlpm._合計=0,"",_xlpm._合計)
)</f>
        <v>108</v>
      </c>
      <c r="AW99" s="224">
        <f>_xlfn.LET(
_xlpm._一般検索,IFERROR(INDEX('在庫使用計画 (一般)'!$A$1:$BF$391,MATCH($C99,'在庫使用計画 (一般)'!$C$1:$C$391,0),MATCH(AW$1,'在庫使用計画 (一般)'!$A$1:$BF$1,0))*1,0),
_xlpm._法人検索,IFERROR(INDEX('在庫使用計画 (法人)'!$A$1:$BF$391,MATCH($C99,'在庫使用計画 (法人)'!$C$1:$C$391,0),MATCH(AW$1,'在庫使用計画 (法人)'!$A$1:$BF$1,0))*1,0),
_xlpm._合計,_xlpm._一般検索+_xlpm._法人検索,
IF(_xlpm._合計=0,"",_xlpm._合計)
)</f>
        <v>89</v>
      </c>
      <c r="AX99" s="224">
        <f>_xlfn.LET(
_xlpm._一般検索,IFERROR(INDEX('在庫使用計画 (一般)'!$A$1:$BF$391,MATCH($C99,'在庫使用計画 (一般)'!$C$1:$C$391,0),MATCH(AX$1,'在庫使用計画 (一般)'!$A$1:$BF$1,0))*1,0),
_xlpm._法人検索,IFERROR(INDEX('在庫使用計画 (法人)'!$A$1:$BF$391,MATCH($C99,'在庫使用計画 (法人)'!$C$1:$C$391,0),MATCH(AX$1,'在庫使用計画 (法人)'!$A$1:$BF$1,0))*1,0),
_xlpm._合計,_xlpm._一般検索+_xlpm._法人検索,
IF(_xlpm._合計=0,"",_xlpm._合計)
)</f>
        <v>112</v>
      </c>
      <c r="AY99" s="224">
        <f>_xlfn.LET(
_xlpm._一般検索,IFERROR(INDEX('在庫使用計画 (一般)'!$A$1:$BF$391,MATCH($C99,'在庫使用計画 (一般)'!$C$1:$C$391,0),MATCH(AY$1,'在庫使用計画 (一般)'!$A$1:$BF$1,0))*1,0),
_xlpm._法人検索,IFERROR(INDEX('在庫使用計画 (法人)'!$A$1:$BF$391,MATCH($C99,'在庫使用計画 (法人)'!$C$1:$C$391,0),MATCH(AY$1,'在庫使用計画 (法人)'!$A$1:$BF$1,0))*1,0),
_xlpm._合計,_xlpm._一般検索+_xlpm._法人検索,
IF(_xlpm._合計=0,"",_xlpm._合計)
)</f>
        <v>99</v>
      </c>
      <c r="AZ99" s="224">
        <f>_xlfn.LET(
_xlpm._一般検索,IFERROR(INDEX('在庫使用計画 (一般)'!$A$1:$BF$391,MATCH($C99,'在庫使用計画 (一般)'!$C$1:$C$391,0),MATCH(AZ$1,'在庫使用計画 (一般)'!$A$1:$BF$1,0))*1,0),
_xlpm._法人検索,IFERROR(INDEX('在庫使用計画 (法人)'!$A$1:$BF$391,MATCH($C99,'在庫使用計画 (法人)'!$C$1:$C$391,0),MATCH(AZ$1,'在庫使用計画 (法人)'!$A$1:$BF$1,0))*1,0),
_xlpm._合計,_xlpm._一般検索+_xlpm._法人検索,
IF(_xlpm._合計=0,"",_xlpm._合計)
)</f>
        <v>83</v>
      </c>
      <c r="BA99" s="224">
        <f>_xlfn.LET(
_xlpm._一般検索,IFERROR(INDEX('在庫使用計画 (一般)'!$A$1:$BF$391,MATCH($C99,'在庫使用計画 (一般)'!$C$1:$C$391,0),MATCH(BA$1,'在庫使用計画 (一般)'!$A$1:$BF$1,0))*1,0),
_xlpm._法人検索,IFERROR(INDEX('在庫使用計画 (法人)'!$A$1:$BF$391,MATCH($C99,'在庫使用計画 (法人)'!$C$1:$C$391,0),MATCH(BA$1,'在庫使用計画 (法人)'!$A$1:$BF$1,0))*1,0),
_xlpm._合計,_xlpm._一般検索+_xlpm._法人検索,
IF(_xlpm._合計=0,"",_xlpm._合計)
)</f>
        <v>83</v>
      </c>
      <c r="BB99" s="224">
        <f>_xlfn.LET(
_xlpm._一般検索,IFERROR(INDEX('在庫使用計画 (一般)'!$A$1:$BF$391,MATCH($C99,'在庫使用計画 (一般)'!$C$1:$C$391,0),MATCH(BB$1,'在庫使用計画 (一般)'!$A$1:$BF$1,0))*1,0),
_xlpm._法人検索,IFERROR(INDEX('在庫使用計画 (法人)'!$A$1:$BF$391,MATCH($C99,'在庫使用計画 (法人)'!$C$1:$C$391,0),MATCH(BB$1,'在庫使用計画 (法人)'!$A$1:$BF$1,0))*1,0),
_xlpm._合計,_xlpm._一般検索+_xlpm._法人検索,
IF(_xlpm._合計=0,"",_xlpm._合計)
)</f>
        <v>98</v>
      </c>
      <c r="BC99" s="224">
        <f>_xlfn.LET(
_xlpm._一般検索,IFERROR(INDEX('在庫使用計画 (一般)'!$A$1:$BF$391,MATCH($C99,'在庫使用計画 (一般)'!$C$1:$C$391,0),MATCH(BC$1,'在庫使用計画 (一般)'!$A$1:$BF$1,0))*1,0),
_xlpm._法人検索,IFERROR(INDEX('在庫使用計画 (法人)'!$A$1:$BF$391,MATCH($C99,'在庫使用計画 (法人)'!$C$1:$C$391,0),MATCH(BC$1,'在庫使用計画 (法人)'!$A$1:$BF$1,0))*1,0),
_xlpm._合計,_xlpm._一般検索+_xlpm._法人検索,
IF(_xlpm._合計=0,"",_xlpm._合計)
)</f>
        <v>86</v>
      </c>
      <c r="BD99" s="224" t="str">
        <f>_xlfn.LET(
_xlpm._一般検索,IFERROR(INDEX('在庫使用計画 (一般)'!$A$1:$BF$391,MATCH($C99,'在庫使用計画 (一般)'!$C$1:$C$391,0),MATCH(BD$1,'在庫使用計画 (一般)'!$A$1:$BF$1,0))*1,0),
_xlpm._法人検索,IFERROR(INDEX('在庫使用計画 (法人)'!$A$1:$BF$391,MATCH($C99,'在庫使用計画 (法人)'!$C$1:$C$391,0),MATCH(BD$1,'在庫使用計画 (法人)'!$A$1:$BF$1,0))*1,0),
_xlpm._合計,_xlpm._一般検索+_xlpm._法人検索,
IF(_xlpm._合計=0,"",_xlpm._合計)
)</f>
        <v/>
      </c>
      <c r="BE99" s="224" t="str">
        <f>_xlfn.LET(
_xlpm._一般検索,IFERROR(INDEX('在庫使用計画 (一般)'!$A$1:$BF$391,MATCH($C99,'在庫使用計画 (一般)'!$C$1:$C$391,0),MATCH(BE$1,'在庫使用計画 (一般)'!$A$1:$BF$1,0))*1,0),
_xlpm._法人検索,IFERROR(INDEX('在庫使用計画 (法人)'!$A$1:$BF$391,MATCH($C99,'在庫使用計画 (法人)'!$C$1:$C$391,0),MATCH(BE$1,'在庫使用計画 (法人)'!$A$1:$BF$1,0))*1,0),
_xlpm._合計,_xlpm._一般検索+_xlpm._法人検索,
IF(_xlpm._合計=0,"",_xlpm._合計)
)</f>
        <v/>
      </c>
      <c r="BF99" s="224" t="str">
        <f>_xlfn.LET(
_xlpm._一般検索,IFERROR(INDEX('在庫使用計画 (一般)'!$A$1:$BF$391,MATCH($C99,'在庫使用計画 (一般)'!$C$1:$C$391,0),MATCH(BF$1,'在庫使用計画 (一般)'!$A$1:$BF$1,0))*1,0),
_xlpm._法人検索,IFERROR(INDEX('在庫使用計画 (法人)'!$A$1:$BF$391,MATCH($C99,'在庫使用計画 (法人)'!$C$1:$C$391,0),MATCH(BF$1,'在庫使用計画 (法人)'!$A$1:$BF$1,0))*1,0),
_xlpm._合計,_xlpm._一般検索+_xlpm._法人検索,
IF(_xlpm._合計=0,"",_xlpm._合計)
)</f>
        <v/>
      </c>
      <c r="BG99" s="237" t="str">
        <f>_xlfn.LET(
_xlpm._一般検索,IFERROR(INDEX('在庫使用計画 (一般)'!$A$1:$BF$391,MATCH($C99,'在庫使用計画 (一般)'!$C$1:$C$391,0),MATCH(BG$1,'在庫使用計画 (一般)'!$A$1:$BF$1,0))*1,0),
_xlpm._法人検索,IFERROR(INDEX('在庫使用計画 (法人)'!$A$1:$BF$391,MATCH($C99,'在庫使用計画 (法人)'!$C$1:$C$391,0),MATCH(BG$1,'在庫使用計画 (法人)'!$A$1:$BF$1,0))*1,0),
_xlpm._合計,_xlpm._一般検索+_xlpm._法人検索,
IF(_xlpm._合計=0,"",_xlpm._合計)
)</f>
        <v/>
      </c>
      <c r="BH99" s="804" t="str">
        <f>_xlfn.LET(
_xlpm._一般検索,IFERROR(INDEX('在庫使用計画 (一般)'!$A$1:$BF$391,MATCH($C99,'在庫使用計画 (一般)'!$C$1:$C$391,0),MATCH(BH$1,'在庫使用計画 (一般)'!$A$1:$BF$1,0))*1,0),
_xlpm._法人検索,IFERROR(INDEX('在庫使用計画 (法人)'!$A$1:$BF$391,MATCH($C99,'在庫使用計画 (法人)'!$C$1:$C$391,0),MATCH(BH$1,'在庫使用計画 (法人)'!$A$1:$BF$1,0))*1,0),
_xlpm._合計,_xlpm._一般検索+_xlpm._法人検索,
IF(_xlpm._合計=0,"",_xlpm._合計)
)</f>
        <v/>
      </c>
      <c r="BI99" s="224" t="str">
        <f>_xlfn.LET(
_xlpm._一般検索,IFERROR(INDEX('在庫使用計画 (一般)'!$A$1:$BF$391,MATCH($C99,'在庫使用計画 (一般)'!$C$1:$C$391,0),MATCH(BI$1,'在庫使用計画 (一般)'!$A$1:$BF$1,0))*1,0),
_xlpm._法人検索,IFERROR(INDEX('在庫使用計画 (法人)'!$A$1:$BF$391,MATCH($C99,'在庫使用計画 (法人)'!$C$1:$C$391,0),MATCH(BI$1,'在庫使用計画 (法人)'!$A$1:$BF$1,0))*1,0),
_xlpm._合計,_xlpm._一般検索+_xlpm._法人検索,
IF(_xlpm._合計=0,"",_xlpm._合計)
)</f>
        <v/>
      </c>
      <c r="BJ99" s="224" t="str">
        <f>_xlfn.LET(
_xlpm._一般検索,IFERROR(INDEX('在庫使用計画 (一般)'!$A$1:$BF$391,MATCH($C99,'在庫使用計画 (一般)'!$C$1:$C$391,0),MATCH(BJ$1,'在庫使用計画 (一般)'!$A$1:$BF$1,0))*1,0),
_xlpm._法人検索,IFERROR(INDEX('在庫使用計画 (法人)'!$A$1:$BF$391,MATCH($C99,'在庫使用計画 (法人)'!$C$1:$C$391,0),MATCH(BJ$1,'在庫使用計画 (法人)'!$A$1:$BF$1,0))*1,0),
_xlpm._合計,_xlpm._一般検索+_xlpm._法人検索,
IF(_xlpm._合計=0,"",_xlpm._合計)
)</f>
        <v/>
      </c>
      <c r="BK99" s="224" t="str">
        <f>_xlfn.LET(
_xlpm._一般検索,IFERROR(INDEX('在庫使用計画 (一般)'!$A$1:$BF$391,MATCH($C99,'在庫使用計画 (一般)'!$C$1:$C$391,0),MATCH(BK$1,'在庫使用計画 (一般)'!$A$1:$BF$1,0))*1,0),
_xlpm._法人検索,IFERROR(INDEX('在庫使用計画 (法人)'!$A$1:$BF$391,MATCH($C99,'在庫使用計画 (法人)'!$C$1:$C$391,0),MATCH(BK$1,'在庫使用計画 (法人)'!$A$1:$BF$1,0))*1,0),
_xlpm._合計,_xlpm._一般検索+_xlpm._法人検索,
IF(_xlpm._合計=0,"",_xlpm._合計)
)</f>
        <v/>
      </c>
      <c r="BL99" s="224" t="str">
        <f>_xlfn.LET(
_xlpm._一般検索,IFERROR(INDEX('在庫使用計画 (一般)'!$A$1:$BF$391,MATCH($C99,'在庫使用計画 (一般)'!$C$1:$C$391,0),MATCH(BL$1,'在庫使用計画 (一般)'!$A$1:$BF$1,0))*1,0),
_xlpm._法人検索,IFERROR(INDEX('在庫使用計画 (法人)'!$A$1:$BF$391,MATCH($C99,'在庫使用計画 (法人)'!$C$1:$C$391,0),MATCH(BL$1,'在庫使用計画 (法人)'!$A$1:$BF$1,0))*1,0),
_xlpm._合計,_xlpm._一般検索+_xlpm._法人検索,
IF(_xlpm._合計=0,"",_xlpm._合計)
)</f>
        <v/>
      </c>
      <c r="BM99" s="224" t="str">
        <f>_xlfn.LET(
_xlpm._一般検索,IFERROR(INDEX('在庫使用計画 (一般)'!$A$1:$BF$391,MATCH($C99,'在庫使用計画 (一般)'!$C$1:$C$391,0),MATCH(BM$1,'在庫使用計画 (一般)'!$A$1:$BF$1,0))*1,0),
_xlpm._法人検索,IFERROR(INDEX('在庫使用計画 (法人)'!$A$1:$BF$391,MATCH($C99,'在庫使用計画 (法人)'!$C$1:$C$391,0),MATCH(BM$1,'在庫使用計画 (法人)'!$A$1:$BF$1,0))*1,0),
_xlpm._合計,_xlpm._一般検索+_xlpm._法人検索,
IF(_xlpm._合計=0,"",_xlpm._合計)
)</f>
        <v/>
      </c>
      <c r="BN99" s="224" t="str">
        <f>_xlfn.LET(
_xlpm._一般検索,IFERROR(INDEX('在庫使用計画 (一般)'!$A$1:$BF$391,MATCH($C99,'在庫使用計画 (一般)'!$C$1:$C$391,0),MATCH(BN$1,'在庫使用計画 (一般)'!$A$1:$BF$1,0))*1,0),
_xlpm._法人検索,IFERROR(INDEX('在庫使用計画 (法人)'!$A$1:$BF$391,MATCH($C99,'在庫使用計画 (法人)'!$C$1:$C$391,0),MATCH(BN$1,'在庫使用計画 (法人)'!$A$1:$BF$1,0))*1,0),
_xlpm._合計,_xlpm._一般検索+_xlpm._法人検索,
IF(_xlpm._合計=0,"",_xlpm._合計)
)</f>
        <v/>
      </c>
      <c r="BO99" s="224" t="str">
        <f>_xlfn.LET(
_xlpm._一般検索,IFERROR(INDEX('在庫使用計画 (一般)'!$A$1:$BF$391,MATCH($C99,'在庫使用計画 (一般)'!$C$1:$C$391,0),MATCH(BO$1,'在庫使用計画 (一般)'!$A$1:$BF$1,0))*1,0),
_xlpm._法人検索,IFERROR(INDEX('在庫使用計画 (法人)'!$A$1:$BF$391,MATCH($C99,'在庫使用計画 (法人)'!$C$1:$C$391,0),MATCH(BO$1,'在庫使用計画 (法人)'!$A$1:$BF$1,0))*1,0),
_xlpm._合計,_xlpm._一般検索+_xlpm._法人検索,
IF(_xlpm._合計=0,"",_xlpm._合計)
)</f>
        <v/>
      </c>
      <c r="BP99" s="224" t="str">
        <f>_xlfn.LET(
_xlpm._一般検索,IFERROR(INDEX('在庫使用計画 (一般)'!$A$1:$BF$391,MATCH($C99,'在庫使用計画 (一般)'!$C$1:$C$391,0),MATCH(BP$1,'在庫使用計画 (一般)'!$A$1:$BF$1,0))*1,0),
_xlpm._法人検索,IFERROR(INDEX('在庫使用計画 (法人)'!$A$1:$BF$391,MATCH($C99,'在庫使用計画 (法人)'!$C$1:$C$391,0),MATCH(BP$1,'在庫使用計画 (法人)'!$A$1:$BF$1,0))*1,0),
_xlpm._合計,_xlpm._一般検索+_xlpm._法人検索,
IF(_xlpm._合計=0,"",_xlpm._合計)
)</f>
        <v/>
      </c>
      <c r="BQ99" s="224" t="str">
        <f>_xlfn.LET(
_xlpm._一般検索,IFERROR(INDEX('在庫使用計画 (一般)'!$A$1:$BF$391,MATCH($C99,'在庫使用計画 (一般)'!$C$1:$C$391,0),MATCH(BQ$1,'在庫使用計画 (一般)'!$A$1:$BF$1,0))*1,0),
_xlpm._法人検索,IFERROR(INDEX('在庫使用計画 (法人)'!$A$1:$BF$391,MATCH($C99,'在庫使用計画 (法人)'!$C$1:$C$391,0),MATCH(BQ$1,'在庫使用計画 (法人)'!$A$1:$BF$1,0))*1,0),
_xlpm._合計,_xlpm._一般検索+_xlpm._法人検索,
IF(_xlpm._合計=0,"",_xlpm._合計)
)</f>
        <v/>
      </c>
      <c r="BR99" s="224" t="str">
        <f>_xlfn.LET(
_xlpm._一般検索,IFERROR(INDEX('在庫使用計画 (一般)'!$A$1:$BF$391,MATCH($C99,'在庫使用計画 (一般)'!$C$1:$C$391,0),MATCH(BR$1,'在庫使用計画 (一般)'!$A$1:$BF$1,0))*1,0),
_xlpm._法人検索,IFERROR(INDEX('在庫使用計画 (法人)'!$A$1:$BF$391,MATCH($C99,'在庫使用計画 (法人)'!$C$1:$C$391,0),MATCH(BR$1,'在庫使用計画 (法人)'!$A$1:$BF$1,0))*1,0),
_xlpm._合計,_xlpm._一般検索+_xlpm._法人検索,
IF(_xlpm._合計=0,"",_xlpm._合計)
)</f>
        <v/>
      </c>
      <c r="BS99" s="805" t="str">
        <f>_xlfn.LET(
_xlpm._一般検索,IFERROR(INDEX('在庫使用計画 (一般)'!$A$1:$BF$391,MATCH($C99,'在庫使用計画 (一般)'!$C$1:$C$391,0),MATCH(BS$1,'在庫使用計画 (一般)'!$A$1:$BF$1,0))*1,0),
_xlpm._法人検索,IFERROR(INDEX('在庫使用計画 (法人)'!$A$1:$BF$391,MATCH($C99,'在庫使用計画 (法人)'!$C$1:$C$391,0),MATCH(BS$1,'在庫使用計画 (法人)'!$A$1:$BF$1,0))*1,0),
_xlpm._合計,_xlpm._一般検索+_xlpm._法人検索,
IF(_xlpm._合計=0,"",_xlpm._合計)
)</f>
        <v/>
      </c>
      <c r="BT99" s="77"/>
    </row>
    <row r="100" spans="1:72" customFormat="1" ht="18.75" customHeight="1" thickBot="1">
      <c r="A100" s="1073" t="s">
        <v>1473</v>
      </c>
      <c r="B100" s="1124" t="str">
        <v>CLE-V74-U5-125U-L6-TPM-DDR5-TW-RG</v>
      </c>
      <c r="C100" s="1451" t="s">
        <v>813</v>
      </c>
      <c r="D100" s="2170">
        <v>227</v>
      </c>
      <c r="E100" s="1392"/>
      <c r="F100" s="639"/>
      <c r="G100" s="74">
        <v>227</v>
      </c>
      <c r="H100" s="38">
        <v>0</v>
      </c>
      <c r="I100" s="38" cm="1">
        <f t="array" ref="I100">IF($C100="","",
_xlfn.LET(
  _xlpm._見出し,$A$1:$BT$1,
  _xlpm._行,$A100:$BT100,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158</v>
      </c>
      <c r="J100" s="74" cm="1">
        <f t="array" ref="J100">_xlfn.LET(
  _xlpm._見出し,$A$1:$BS$1,
  _xlpm._行,$A100:$BS100,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IF($C100="","",_xlpm._四点五月計画合計)
)</f>
        <v>237</v>
      </c>
      <c r="K100" s="1458" cm="1">
        <f t="array" ref="K100">_xlfn.IFS(
  $C100="","",
  $G100="","発売前？",
  $G100=0,"在庫なし",
  TRUE,
  IFERROR(
    _xlfn.LET(
      _xlpm._在庫注残,     $G100,
      _xlpm._しきい値,     _xlpm._在庫注残 * 0.75,
      _xlpm._見出し元,     $L$1:$BU$1,
      _xlpm._計画,         $L100:$BU100,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46327</v>
      </c>
      <c r="L100" s="180"/>
      <c r="M100" s="180"/>
      <c r="N100" s="180"/>
      <c r="O100" s="180"/>
      <c r="P100" s="180"/>
      <c r="Q100" s="180"/>
      <c r="R100" s="180"/>
      <c r="S100" s="180"/>
      <c r="T100" s="299"/>
      <c r="U100" s="224"/>
      <c r="V100" s="224"/>
      <c r="W100" s="224"/>
      <c r="X100" s="224"/>
      <c r="Y100" s="1050"/>
      <c r="Z100" s="1050"/>
      <c r="AA100" s="1050"/>
      <c r="AB100" s="1050"/>
      <c r="AC100" s="1050"/>
      <c r="AD100" s="1050"/>
      <c r="AE100" s="1050"/>
      <c r="AF100" s="1050"/>
      <c r="AG100" s="1050"/>
      <c r="AH100" s="224"/>
      <c r="AI100" s="1050"/>
      <c r="AJ100" s="804" t="s">
        <v>21</v>
      </c>
      <c r="AK100" s="224" t="s">
        <v>21</v>
      </c>
      <c r="AL100" s="224" t="s">
        <v>21</v>
      </c>
      <c r="AM100" s="224" t="s">
        <v>21</v>
      </c>
      <c r="AN100" s="224" t="str">
        <f>_xlfn.LET(
_xlpm._一般検索,IFERROR(INDEX('在庫使用計画 (一般)'!$A$1:$BF$391,MATCH($C100,'在庫使用計画 (一般)'!$C$1:$C$391,0),MATCH(AN$1,'在庫使用計画 (一般)'!$A$1:$BF$1,0))*1,0),
_xlpm._法人検索,IFERROR(INDEX('在庫使用計画 (法人)'!$A$1:$BF$391,MATCH($C100,'在庫使用計画 (法人)'!$C$1:$C$391,0),MATCH(AN$1,'在庫使用計画 (法人)'!$A$1:$BF$1,0))*1,0),
_xlpm._合計,_xlpm._一般検索+_xlpm._法人検索,
IF(_xlpm._合計=0,"",_xlpm._合計)
)</f>
        <v/>
      </c>
      <c r="AO100" s="224" t="str">
        <f>_xlfn.LET(
_xlpm._一般検索,IFERROR(INDEX('在庫使用計画 (一般)'!$A$1:$BF$391,MATCH($C100,'在庫使用計画 (一般)'!$C$1:$C$391,0),MATCH(AO$1,'在庫使用計画 (一般)'!$A$1:$BF$1,0))*1,0),
_xlpm._法人検索,IFERROR(INDEX('在庫使用計画 (法人)'!$A$1:$BF$391,MATCH($C100,'在庫使用計画 (法人)'!$C$1:$C$391,0),MATCH(AO$1,'在庫使用計画 (法人)'!$A$1:$BF$1,0))*1,0),
_xlpm._合計,_xlpm._一般検索+_xlpm._法人検索,
IF(_xlpm._合計=0,"",_xlpm._合計)
)</f>
        <v/>
      </c>
      <c r="AP100" s="224" t="str">
        <f>_xlfn.LET(
_xlpm._一般検索,IFERROR(INDEX('在庫使用計画 (一般)'!$A$1:$BF$391,MATCH($C100,'在庫使用計画 (一般)'!$C$1:$C$391,0),MATCH(AP$1,'在庫使用計画 (一般)'!$A$1:$BF$1,0))*1,0),
_xlpm._法人検索,IFERROR(INDEX('在庫使用計画 (法人)'!$A$1:$BF$391,MATCH($C100,'在庫使用計画 (法人)'!$C$1:$C$391,0),MATCH(AP$1,'在庫使用計画 (法人)'!$A$1:$BF$1,0))*1,0),
_xlpm._合計,_xlpm._一般検索+_xlpm._法人検索,
IF(_xlpm._合計=0,"",_xlpm._合計)
)</f>
        <v/>
      </c>
      <c r="AQ100" s="224" t="str">
        <f>_xlfn.LET(
_xlpm._一般検索,IFERROR(INDEX('在庫使用計画 (一般)'!$A$1:$BF$391,MATCH($C100,'在庫使用計画 (一般)'!$C$1:$C$391,0),MATCH(AQ$1,'在庫使用計画 (一般)'!$A$1:$BF$1,0))*1,0),
_xlpm._法人検索,IFERROR(INDEX('在庫使用計画 (法人)'!$A$1:$BF$391,MATCH($C100,'在庫使用計画 (法人)'!$C$1:$C$391,0),MATCH(AQ$1,'在庫使用計画 (法人)'!$A$1:$BF$1,0))*1,0),
_xlpm._合計,_xlpm._一般検索+_xlpm._法人検索,
IF(_xlpm._合計=0,"",_xlpm._合計)
)</f>
        <v/>
      </c>
      <c r="AR100" s="224">
        <f>_xlfn.LET(
_xlpm._一般検索,IFERROR(INDEX('在庫使用計画 (一般)'!$A$1:$BF$391,MATCH($C100,'在庫使用計画 (一般)'!$C$1:$C$391,0),MATCH(AR$1,'在庫使用計画 (一般)'!$A$1:$BF$1,0))*1,0),
_xlpm._法人検索,IFERROR(INDEX('在庫使用計画 (法人)'!$A$1:$BF$391,MATCH($C100,'在庫使用計画 (法人)'!$C$1:$C$391,0),MATCH(AR$1,'在庫使用計画 (法人)'!$A$1:$BF$1,0))*1,0),
_xlpm._合計,_xlpm._一般検索+_xlpm._法人検索,
IF(_xlpm._合計=0,"",_xlpm._合計)
)</f>
        <v>75</v>
      </c>
      <c r="AS100" s="224">
        <f>_xlfn.LET(
_xlpm._一般検索,IFERROR(INDEX('在庫使用計画 (一般)'!$A$1:$BF$391,MATCH($C100,'在庫使用計画 (一般)'!$C$1:$C$391,0),MATCH(AS$1,'在庫使用計画 (一般)'!$A$1:$BF$1,0))*1,0),
_xlpm._法人検索,IFERROR(INDEX('在庫使用計画 (法人)'!$A$1:$BF$391,MATCH($C100,'在庫使用計画 (法人)'!$C$1:$C$391,0),MATCH(AS$1,'在庫使用計画 (法人)'!$A$1:$BF$1,0))*1,0),
_xlpm._合計,_xlpm._一般検索+_xlpm._法人検索,
IF(_xlpm._合計=0,"",_xlpm._合計)
)</f>
        <v>83</v>
      </c>
      <c r="AT100" s="224">
        <f>_xlfn.LET(
_xlpm._一般検索,IFERROR(INDEX('在庫使用計画 (一般)'!$A$1:$BF$391,MATCH($C100,'在庫使用計画 (一般)'!$C$1:$C$391,0),MATCH(AT$1,'在庫使用計画 (一般)'!$A$1:$BF$1,0))*1,0),
_xlpm._法人検索,IFERROR(INDEX('在庫使用計画 (法人)'!$A$1:$BF$391,MATCH($C100,'在庫使用計画 (法人)'!$C$1:$C$391,0),MATCH(AT$1,'在庫使用計画 (法人)'!$A$1:$BF$1,0))*1,0),
_xlpm._合計,_xlpm._一般検索+_xlpm._法人検索,
IF(_xlpm._合計=0,"",_xlpm._合計)
)</f>
        <v>79</v>
      </c>
      <c r="AU100" s="805">
        <f>_xlfn.LET(
_xlpm._一般検索,IFERROR(INDEX('在庫使用計画 (一般)'!$A$1:$BF$391,MATCH($C100,'在庫使用計画 (一般)'!$C$1:$C$391,0),MATCH(AU$1,'在庫使用計画 (一般)'!$A$1:$BF$1,0))*1,0),
_xlpm._法人検索,IFERROR(INDEX('在庫使用計画 (法人)'!$A$1:$BF$391,MATCH($C100,'在庫使用計画 (法人)'!$C$1:$C$391,0),MATCH(AU$1,'在庫使用計画 (法人)'!$A$1:$BF$1,0))*1,0),
_xlpm._合計,_xlpm._一般検索+_xlpm._法人検索,
IF(_xlpm._合計=0,"",_xlpm._合計)
)</f>
        <v>103</v>
      </c>
      <c r="AV100" s="244">
        <f>_xlfn.LET(
_xlpm._一般検索,IFERROR(INDEX('在庫使用計画 (一般)'!$A$1:$BF$391,MATCH($C100,'在庫使用計画 (一般)'!$C$1:$C$391,0),MATCH(AV$1,'在庫使用計画 (一般)'!$A$1:$BF$1,0))*1,0),
_xlpm._法人検索,IFERROR(INDEX('在庫使用計画 (法人)'!$A$1:$BF$391,MATCH($C100,'在庫使用計画 (法人)'!$C$1:$C$391,0),MATCH(AV$1,'在庫使用計画 (法人)'!$A$1:$BF$1,0))*1,0),
_xlpm._合計,_xlpm._一般検索+_xlpm._法人検索,
IF(_xlpm._合計=0,"",_xlpm._合計)
)</f>
        <v>108</v>
      </c>
      <c r="AW100" s="224">
        <f>_xlfn.LET(
_xlpm._一般検索,IFERROR(INDEX('在庫使用計画 (一般)'!$A$1:$BF$391,MATCH($C100,'在庫使用計画 (一般)'!$C$1:$C$391,0),MATCH(AW$1,'在庫使用計画 (一般)'!$A$1:$BF$1,0))*1,0),
_xlpm._法人検索,IFERROR(INDEX('在庫使用計画 (法人)'!$A$1:$BF$391,MATCH($C100,'在庫使用計画 (法人)'!$C$1:$C$391,0),MATCH(AW$1,'在庫使用計画 (法人)'!$A$1:$BF$1,0))*1,0),
_xlpm._合計,_xlpm._一般検索+_xlpm._法人検索,
IF(_xlpm._合計=0,"",_xlpm._合計)
)</f>
        <v>90</v>
      </c>
      <c r="AX100" s="224">
        <f>_xlfn.LET(
_xlpm._一般検索,IFERROR(INDEX('在庫使用計画 (一般)'!$A$1:$BF$391,MATCH($C100,'在庫使用計画 (一般)'!$C$1:$C$391,0),MATCH(AX$1,'在庫使用計画 (一般)'!$A$1:$BF$1,0))*1,0),
_xlpm._法人検索,IFERROR(INDEX('在庫使用計画 (法人)'!$A$1:$BF$391,MATCH($C100,'在庫使用計画 (法人)'!$C$1:$C$391,0),MATCH(AX$1,'在庫使用計画 (法人)'!$A$1:$BF$1,0))*1,0),
_xlpm._合計,_xlpm._一般検索+_xlpm._法人検索,
IF(_xlpm._合計=0,"",_xlpm._合計)
)</f>
        <v>112</v>
      </c>
      <c r="AY100" s="224">
        <f>_xlfn.LET(
_xlpm._一般検索,IFERROR(INDEX('在庫使用計画 (一般)'!$A$1:$BF$391,MATCH($C100,'在庫使用計画 (一般)'!$C$1:$C$391,0),MATCH(AY$1,'在庫使用計画 (一般)'!$A$1:$BF$1,0))*1,0),
_xlpm._法人検索,IFERROR(INDEX('在庫使用計画 (法人)'!$A$1:$BF$391,MATCH($C100,'在庫使用計画 (法人)'!$C$1:$C$391,0),MATCH(AY$1,'在庫使用計画 (法人)'!$A$1:$BF$1,0))*1,0),
_xlpm._合計,_xlpm._一般検索+_xlpm._法人検索,
IF(_xlpm._合計=0,"",_xlpm._合計)
)</f>
        <v>99</v>
      </c>
      <c r="AZ100" s="224">
        <f>_xlfn.LET(
_xlpm._一般検索,IFERROR(INDEX('在庫使用計画 (一般)'!$A$1:$BF$391,MATCH($C100,'在庫使用計画 (一般)'!$C$1:$C$391,0),MATCH(AZ$1,'在庫使用計画 (一般)'!$A$1:$BF$1,0))*1,0),
_xlpm._法人検索,IFERROR(INDEX('在庫使用計画 (法人)'!$A$1:$BF$391,MATCH($C100,'在庫使用計画 (法人)'!$C$1:$C$391,0),MATCH(AZ$1,'在庫使用計画 (法人)'!$A$1:$BF$1,0))*1,0),
_xlpm._合計,_xlpm._一般検索+_xlpm._法人検索,
IF(_xlpm._合計=0,"",_xlpm._合計)
)</f>
        <v>85</v>
      </c>
      <c r="BA100" s="224">
        <f>_xlfn.LET(
_xlpm._一般検索,IFERROR(INDEX('在庫使用計画 (一般)'!$A$1:$BF$391,MATCH($C100,'在庫使用計画 (一般)'!$C$1:$C$391,0),MATCH(BA$1,'在庫使用計画 (一般)'!$A$1:$BF$1,0))*1,0),
_xlpm._法人検索,IFERROR(INDEX('在庫使用計画 (法人)'!$A$1:$BF$391,MATCH($C100,'在庫使用計画 (法人)'!$C$1:$C$391,0),MATCH(BA$1,'在庫使用計画 (法人)'!$A$1:$BF$1,0))*1,0),
_xlpm._合計,_xlpm._一般検索+_xlpm._法人検索,
IF(_xlpm._合計=0,"",_xlpm._合計)
)</f>
        <v>84</v>
      </c>
      <c r="BB100" s="224">
        <f>_xlfn.LET(
_xlpm._一般検索,IFERROR(INDEX('在庫使用計画 (一般)'!$A$1:$BF$391,MATCH($C100,'在庫使用計画 (一般)'!$C$1:$C$391,0),MATCH(BB$1,'在庫使用計画 (一般)'!$A$1:$BF$1,0))*1,0),
_xlpm._法人検索,IFERROR(INDEX('在庫使用計画 (法人)'!$A$1:$BF$391,MATCH($C100,'在庫使用計画 (法人)'!$C$1:$C$391,0),MATCH(BB$1,'在庫使用計画 (法人)'!$A$1:$BF$1,0))*1,0),
_xlpm._合計,_xlpm._一般検索+_xlpm._法人検索,
IF(_xlpm._合計=0,"",_xlpm._合計)
)</f>
        <v>99</v>
      </c>
      <c r="BC100" s="224">
        <f>_xlfn.LET(
_xlpm._一般検索,IFERROR(INDEX('在庫使用計画 (一般)'!$A$1:$BF$391,MATCH($C100,'在庫使用計画 (一般)'!$C$1:$C$391,0),MATCH(BC$1,'在庫使用計画 (一般)'!$A$1:$BF$1,0))*1,0),
_xlpm._法人検索,IFERROR(INDEX('在庫使用計画 (法人)'!$A$1:$BF$391,MATCH($C100,'在庫使用計画 (法人)'!$C$1:$C$391,0),MATCH(BC$1,'在庫使用計画 (法人)'!$A$1:$BF$1,0))*1,0),
_xlpm._合計,_xlpm._一般検索+_xlpm._法人検索,
IF(_xlpm._合計=0,"",_xlpm._合計)
)</f>
        <v>87</v>
      </c>
      <c r="BD100" s="224" t="str">
        <f>_xlfn.LET(
_xlpm._一般検索,IFERROR(INDEX('在庫使用計画 (一般)'!$A$1:$BF$391,MATCH($C100,'在庫使用計画 (一般)'!$C$1:$C$391,0),MATCH(BD$1,'在庫使用計画 (一般)'!$A$1:$BF$1,0))*1,0),
_xlpm._法人検索,IFERROR(INDEX('在庫使用計画 (法人)'!$A$1:$BF$391,MATCH($C100,'在庫使用計画 (法人)'!$C$1:$C$391,0),MATCH(BD$1,'在庫使用計画 (法人)'!$A$1:$BF$1,0))*1,0),
_xlpm._合計,_xlpm._一般検索+_xlpm._法人検索,
IF(_xlpm._合計=0,"",_xlpm._合計)
)</f>
        <v/>
      </c>
      <c r="BE100" s="224" t="str">
        <f>_xlfn.LET(
_xlpm._一般検索,IFERROR(INDEX('在庫使用計画 (一般)'!$A$1:$BF$391,MATCH($C100,'在庫使用計画 (一般)'!$C$1:$C$391,0),MATCH(BE$1,'在庫使用計画 (一般)'!$A$1:$BF$1,0))*1,0),
_xlpm._法人検索,IFERROR(INDEX('在庫使用計画 (法人)'!$A$1:$BF$391,MATCH($C100,'在庫使用計画 (法人)'!$C$1:$C$391,0),MATCH(BE$1,'在庫使用計画 (法人)'!$A$1:$BF$1,0))*1,0),
_xlpm._合計,_xlpm._一般検索+_xlpm._法人検索,
IF(_xlpm._合計=0,"",_xlpm._合計)
)</f>
        <v/>
      </c>
      <c r="BF100" s="224" t="str">
        <f>_xlfn.LET(
_xlpm._一般検索,IFERROR(INDEX('在庫使用計画 (一般)'!$A$1:$BF$391,MATCH($C100,'在庫使用計画 (一般)'!$C$1:$C$391,0),MATCH(BF$1,'在庫使用計画 (一般)'!$A$1:$BF$1,0))*1,0),
_xlpm._法人検索,IFERROR(INDEX('在庫使用計画 (法人)'!$A$1:$BF$391,MATCH($C100,'在庫使用計画 (法人)'!$C$1:$C$391,0),MATCH(BF$1,'在庫使用計画 (法人)'!$A$1:$BF$1,0))*1,0),
_xlpm._合計,_xlpm._一般検索+_xlpm._法人検索,
IF(_xlpm._合計=0,"",_xlpm._合計)
)</f>
        <v/>
      </c>
      <c r="BG100" s="237" t="str">
        <f>_xlfn.LET(
_xlpm._一般検索,IFERROR(INDEX('在庫使用計画 (一般)'!$A$1:$BF$391,MATCH($C100,'在庫使用計画 (一般)'!$C$1:$C$391,0),MATCH(BG$1,'在庫使用計画 (一般)'!$A$1:$BF$1,0))*1,0),
_xlpm._法人検索,IFERROR(INDEX('在庫使用計画 (法人)'!$A$1:$BF$391,MATCH($C100,'在庫使用計画 (法人)'!$C$1:$C$391,0),MATCH(BG$1,'在庫使用計画 (法人)'!$A$1:$BF$1,0))*1,0),
_xlpm._合計,_xlpm._一般検索+_xlpm._法人検索,
IF(_xlpm._合計=0,"",_xlpm._合計)
)</f>
        <v/>
      </c>
      <c r="BH100" s="804" t="str">
        <f>_xlfn.LET(
_xlpm._一般検索,IFERROR(INDEX('在庫使用計画 (一般)'!$A$1:$BF$391,MATCH($C100,'在庫使用計画 (一般)'!$C$1:$C$391,0),MATCH(BH$1,'在庫使用計画 (一般)'!$A$1:$BF$1,0))*1,0),
_xlpm._法人検索,IFERROR(INDEX('在庫使用計画 (法人)'!$A$1:$BF$391,MATCH($C100,'在庫使用計画 (法人)'!$C$1:$C$391,0),MATCH(BH$1,'在庫使用計画 (法人)'!$A$1:$BF$1,0))*1,0),
_xlpm._合計,_xlpm._一般検索+_xlpm._法人検索,
IF(_xlpm._合計=0,"",_xlpm._合計)
)</f>
        <v/>
      </c>
      <c r="BI100" s="224" t="str">
        <f>_xlfn.LET(
_xlpm._一般検索,IFERROR(INDEX('在庫使用計画 (一般)'!$A$1:$BF$391,MATCH($C100,'在庫使用計画 (一般)'!$C$1:$C$391,0),MATCH(BI$1,'在庫使用計画 (一般)'!$A$1:$BF$1,0))*1,0),
_xlpm._法人検索,IFERROR(INDEX('在庫使用計画 (法人)'!$A$1:$BF$391,MATCH($C100,'在庫使用計画 (法人)'!$C$1:$C$391,0),MATCH(BI$1,'在庫使用計画 (法人)'!$A$1:$BF$1,0))*1,0),
_xlpm._合計,_xlpm._一般検索+_xlpm._法人検索,
IF(_xlpm._合計=0,"",_xlpm._合計)
)</f>
        <v/>
      </c>
      <c r="BJ100" s="224" t="str">
        <f>_xlfn.LET(
_xlpm._一般検索,IFERROR(INDEX('在庫使用計画 (一般)'!$A$1:$BF$391,MATCH($C100,'在庫使用計画 (一般)'!$C$1:$C$391,0),MATCH(BJ$1,'在庫使用計画 (一般)'!$A$1:$BF$1,0))*1,0),
_xlpm._法人検索,IFERROR(INDEX('在庫使用計画 (法人)'!$A$1:$BF$391,MATCH($C100,'在庫使用計画 (法人)'!$C$1:$C$391,0),MATCH(BJ$1,'在庫使用計画 (法人)'!$A$1:$BF$1,0))*1,0),
_xlpm._合計,_xlpm._一般検索+_xlpm._法人検索,
IF(_xlpm._合計=0,"",_xlpm._合計)
)</f>
        <v/>
      </c>
      <c r="BK100" s="224" t="str">
        <f>_xlfn.LET(
_xlpm._一般検索,IFERROR(INDEX('在庫使用計画 (一般)'!$A$1:$BF$391,MATCH($C100,'在庫使用計画 (一般)'!$C$1:$C$391,0),MATCH(BK$1,'在庫使用計画 (一般)'!$A$1:$BF$1,0))*1,0),
_xlpm._法人検索,IFERROR(INDEX('在庫使用計画 (法人)'!$A$1:$BF$391,MATCH($C100,'在庫使用計画 (法人)'!$C$1:$C$391,0),MATCH(BK$1,'在庫使用計画 (法人)'!$A$1:$BF$1,0))*1,0),
_xlpm._合計,_xlpm._一般検索+_xlpm._法人検索,
IF(_xlpm._合計=0,"",_xlpm._合計)
)</f>
        <v/>
      </c>
      <c r="BL100" s="224" t="str">
        <f>_xlfn.LET(
_xlpm._一般検索,IFERROR(INDEX('在庫使用計画 (一般)'!$A$1:$BF$391,MATCH($C100,'在庫使用計画 (一般)'!$C$1:$C$391,0),MATCH(BL$1,'在庫使用計画 (一般)'!$A$1:$BF$1,0))*1,0),
_xlpm._法人検索,IFERROR(INDEX('在庫使用計画 (法人)'!$A$1:$BF$391,MATCH($C100,'在庫使用計画 (法人)'!$C$1:$C$391,0),MATCH(BL$1,'在庫使用計画 (法人)'!$A$1:$BF$1,0))*1,0),
_xlpm._合計,_xlpm._一般検索+_xlpm._法人検索,
IF(_xlpm._合計=0,"",_xlpm._合計)
)</f>
        <v/>
      </c>
      <c r="BM100" s="224" t="str">
        <f>_xlfn.LET(
_xlpm._一般検索,IFERROR(INDEX('在庫使用計画 (一般)'!$A$1:$BF$391,MATCH($C100,'在庫使用計画 (一般)'!$C$1:$C$391,0),MATCH(BM$1,'在庫使用計画 (一般)'!$A$1:$BF$1,0))*1,0),
_xlpm._法人検索,IFERROR(INDEX('在庫使用計画 (法人)'!$A$1:$BF$391,MATCH($C100,'在庫使用計画 (法人)'!$C$1:$C$391,0),MATCH(BM$1,'在庫使用計画 (法人)'!$A$1:$BF$1,0))*1,0),
_xlpm._合計,_xlpm._一般検索+_xlpm._法人検索,
IF(_xlpm._合計=0,"",_xlpm._合計)
)</f>
        <v/>
      </c>
      <c r="BN100" s="224" t="str">
        <f>_xlfn.LET(
_xlpm._一般検索,IFERROR(INDEX('在庫使用計画 (一般)'!$A$1:$BF$391,MATCH($C100,'在庫使用計画 (一般)'!$C$1:$C$391,0),MATCH(BN$1,'在庫使用計画 (一般)'!$A$1:$BF$1,0))*1,0),
_xlpm._法人検索,IFERROR(INDEX('在庫使用計画 (法人)'!$A$1:$BF$391,MATCH($C100,'在庫使用計画 (法人)'!$C$1:$C$391,0),MATCH(BN$1,'在庫使用計画 (法人)'!$A$1:$BF$1,0))*1,0),
_xlpm._合計,_xlpm._一般検索+_xlpm._法人検索,
IF(_xlpm._合計=0,"",_xlpm._合計)
)</f>
        <v/>
      </c>
      <c r="BO100" s="224" t="str">
        <f>_xlfn.LET(
_xlpm._一般検索,IFERROR(INDEX('在庫使用計画 (一般)'!$A$1:$BF$391,MATCH($C100,'在庫使用計画 (一般)'!$C$1:$C$391,0),MATCH(BO$1,'在庫使用計画 (一般)'!$A$1:$BF$1,0))*1,0),
_xlpm._法人検索,IFERROR(INDEX('在庫使用計画 (法人)'!$A$1:$BF$391,MATCH($C100,'在庫使用計画 (法人)'!$C$1:$C$391,0),MATCH(BO$1,'在庫使用計画 (法人)'!$A$1:$BF$1,0))*1,0),
_xlpm._合計,_xlpm._一般検索+_xlpm._法人検索,
IF(_xlpm._合計=0,"",_xlpm._合計)
)</f>
        <v/>
      </c>
      <c r="BP100" s="224" t="str">
        <f>_xlfn.LET(
_xlpm._一般検索,IFERROR(INDEX('在庫使用計画 (一般)'!$A$1:$BF$391,MATCH($C100,'在庫使用計画 (一般)'!$C$1:$C$391,0),MATCH(BP$1,'在庫使用計画 (一般)'!$A$1:$BF$1,0))*1,0),
_xlpm._法人検索,IFERROR(INDEX('在庫使用計画 (法人)'!$A$1:$BF$391,MATCH($C100,'在庫使用計画 (法人)'!$C$1:$C$391,0),MATCH(BP$1,'在庫使用計画 (法人)'!$A$1:$BF$1,0))*1,0),
_xlpm._合計,_xlpm._一般検索+_xlpm._法人検索,
IF(_xlpm._合計=0,"",_xlpm._合計)
)</f>
        <v/>
      </c>
      <c r="BQ100" s="224" t="str">
        <f>_xlfn.LET(
_xlpm._一般検索,IFERROR(INDEX('在庫使用計画 (一般)'!$A$1:$BF$391,MATCH($C100,'在庫使用計画 (一般)'!$C$1:$C$391,0),MATCH(BQ$1,'在庫使用計画 (一般)'!$A$1:$BF$1,0))*1,0),
_xlpm._法人検索,IFERROR(INDEX('在庫使用計画 (法人)'!$A$1:$BF$391,MATCH($C100,'在庫使用計画 (法人)'!$C$1:$C$391,0),MATCH(BQ$1,'在庫使用計画 (法人)'!$A$1:$BF$1,0))*1,0),
_xlpm._合計,_xlpm._一般検索+_xlpm._法人検索,
IF(_xlpm._合計=0,"",_xlpm._合計)
)</f>
        <v/>
      </c>
      <c r="BR100" s="224" t="str">
        <f>_xlfn.LET(
_xlpm._一般検索,IFERROR(INDEX('在庫使用計画 (一般)'!$A$1:$BF$391,MATCH($C100,'在庫使用計画 (一般)'!$C$1:$C$391,0),MATCH(BR$1,'在庫使用計画 (一般)'!$A$1:$BF$1,0))*1,0),
_xlpm._法人検索,IFERROR(INDEX('在庫使用計画 (法人)'!$A$1:$BF$391,MATCH($C100,'在庫使用計画 (法人)'!$C$1:$C$391,0),MATCH(BR$1,'在庫使用計画 (法人)'!$A$1:$BF$1,0))*1,0),
_xlpm._合計,_xlpm._一般検索+_xlpm._法人検索,
IF(_xlpm._合計=0,"",_xlpm._合計)
)</f>
        <v/>
      </c>
      <c r="BS100" s="805" t="str">
        <f>_xlfn.LET(
_xlpm._一般検索,IFERROR(INDEX('在庫使用計画 (一般)'!$A$1:$BF$391,MATCH($C100,'在庫使用計画 (一般)'!$C$1:$C$391,0),MATCH(BS$1,'在庫使用計画 (一般)'!$A$1:$BF$1,0))*1,0),
_xlpm._法人検索,IFERROR(INDEX('在庫使用計画 (法人)'!$A$1:$BF$391,MATCH($C100,'在庫使用計画 (法人)'!$C$1:$C$391,0),MATCH(BS$1,'在庫使用計画 (法人)'!$A$1:$BF$1,0))*1,0),
_xlpm._合計,_xlpm._一般検索+_xlpm._法人検索,
IF(_xlpm._合計=0,"",_xlpm._合計)
)</f>
        <v/>
      </c>
      <c r="BT100" s="77"/>
    </row>
    <row r="101" spans="1:72" customFormat="1" ht="18.75" customHeight="1" thickBot="1">
      <c r="A101" s="1072" t="s">
        <v>1473</v>
      </c>
      <c r="B101" s="1122" t="str">
        <v>CLE-V74-R5-7535HS-L6-TPM-DDR5-TW-BK</v>
      </c>
      <c r="C101" s="1451" t="s">
        <v>1661</v>
      </c>
      <c r="D101" s="2169">
        <v>437</v>
      </c>
      <c r="E101" s="1392"/>
      <c r="F101" s="380"/>
      <c r="G101" s="74">
        <v>437</v>
      </c>
      <c r="H101" s="38">
        <v>0</v>
      </c>
      <c r="I101" s="38" cm="1">
        <f t="array" ref="I101">IF($C101="","",
_xlfn.LET(
  _xlpm._見出し,$A$1:$BT$1,
  _xlpm._行,$A101:$BT101,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349</v>
      </c>
      <c r="J101" s="74" cm="1">
        <f t="array" ref="J101">_xlfn.LET(
  _xlpm._見出し,$A$1:$BS$1,
  _xlpm._行,$A101:$BS101,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IF($C101="","",_xlpm._四点五月計画合計)
)</f>
        <v>575</v>
      </c>
      <c r="K101" s="1458" cm="1">
        <f t="array" ref="K101">_xlfn.IFS(
  $C101="","",
  $G101="","発売前？",
  $G101=0,"在庫なし",
  TRUE,
  IFERROR(
    _xlfn.LET(
      _xlpm._在庫注残,     $G101,
      _xlpm._しきい値,     _xlpm._在庫注残 * 0.75,
      _xlpm._見出し元,     $L$1:$BU$1,
      _xlpm._計画,         $L101:$BU101,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46296</v>
      </c>
      <c r="L101" s="311"/>
      <c r="M101" s="311"/>
      <c r="N101" s="311"/>
      <c r="O101" s="311"/>
      <c r="P101" s="311"/>
      <c r="Q101" s="311"/>
      <c r="R101" s="311"/>
      <c r="S101" s="311"/>
      <c r="T101" s="298"/>
      <c r="U101" s="219"/>
      <c r="V101" s="219"/>
      <c r="W101" s="219"/>
      <c r="X101" s="219"/>
      <c r="Y101" s="1049"/>
      <c r="Z101" s="1049"/>
      <c r="AA101" s="1049"/>
      <c r="AB101" s="1049"/>
      <c r="AC101" s="1049"/>
      <c r="AD101" s="1049"/>
      <c r="AE101" s="1049"/>
      <c r="AF101" s="1049"/>
      <c r="AG101" s="1049"/>
      <c r="AH101" s="224"/>
      <c r="AI101" s="1050"/>
      <c r="AJ101" s="804" t="s">
        <v>21</v>
      </c>
      <c r="AK101" s="224" t="s">
        <v>21</v>
      </c>
      <c r="AL101" s="224" t="s">
        <v>21</v>
      </c>
      <c r="AM101" s="224" t="s">
        <v>21</v>
      </c>
      <c r="AN101" s="224" t="str">
        <f>_xlfn.LET(
_xlpm._一般検索,IFERROR(INDEX('在庫使用計画 (一般)'!$A$1:$BF$391,MATCH($C101,'在庫使用計画 (一般)'!$C$1:$C$391,0),MATCH(AN$1,'在庫使用計画 (一般)'!$A$1:$BF$1,0))*1,0),
_xlpm._法人検索,IFERROR(INDEX('在庫使用計画 (法人)'!$A$1:$BF$391,MATCH($C101,'在庫使用計画 (法人)'!$C$1:$C$391,0),MATCH(AN$1,'在庫使用計画 (法人)'!$A$1:$BF$1,0))*1,0),
_xlpm._合計,_xlpm._一般検索+_xlpm._法人検索,
IF(_xlpm._合計=0,"",_xlpm._合計)
)</f>
        <v/>
      </c>
      <c r="AO101" s="224" t="str">
        <f>_xlfn.LET(
_xlpm._一般検索,IFERROR(INDEX('在庫使用計画 (一般)'!$A$1:$BF$391,MATCH($C101,'在庫使用計画 (一般)'!$C$1:$C$391,0),MATCH(AO$1,'在庫使用計画 (一般)'!$A$1:$BF$1,0))*1,0),
_xlpm._法人検索,IFERROR(INDEX('在庫使用計画 (法人)'!$A$1:$BF$391,MATCH($C101,'在庫使用計画 (法人)'!$C$1:$C$391,0),MATCH(AO$1,'在庫使用計画 (法人)'!$A$1:$BF$1,0))*1,0),
_xlpm._合計,_xlpm._一般検索+_xlpm._法人検索,
IF(_xlpm._合計=0,"",_xlpm._合計)
)</f>
        <v/>
      </c>
      <c r="AP101" s="224" t="str">
        <f>_xlfn.LET(
_xlpm._一般検索,IFERROR(INDEX('在庫使用計画 (一般)'!$A$1:$BF$391,MATCH($C101,'在庫使用計画 (一般)'!$C$1:$C$391,0),MATCH(AP$1,'在庫使用計画 (一般)'!$A$1:$BF$1,0))*1,0),
_xlpm._法人検索,IFERROR(INDEX('在庫使用計画 (法人)'!$A$1:$BF$391,MATCH($C101,'在庫使用計画 (法人)'!$C$1:$C$391,0),MATCH(AP$1,'在庫使用計画 (法人)'!$A$1:$BF$1,0))*1,0),
_xlpm._合計,_xlpm._一般検索+_xlpm._法人検索,
IF(_xlpm._合計=0,"",_xlpm._合計)
)</f>
        <v/>
      </c>
      <c r="AQ101" s="224" t="str">
        <f>_xlfn.LET(
_xlpm._一般検索,IFERROR(INDEX('在庫使用計画 (一般)'!$A$1:$BF$391,MATCH($C101,'在庫使用計画 (一般)'!$C$1:$C$391,0),MATCH(AQ$1,'在庫使用計画 (一般)'!$A$1:$BF$1,0))*1,0),
_xlpm._法人検索,IFERROR(INDEX('在庫使用計画 (法人)'!$A$1:$BF$391,MATCH($C101,'在庫使用計画 (法人)'!$C$1:$C$391,0),MATCH(AQ$1,'在庫使用計画 (法人)'!$A$1:$BF$1,0))*1,0),
_xlpm._合計,_xlpm._一般検索+_xlpm._法人検索,
IF(_xlpm._合計=0,"",_xlpm._合計)
)</f>
        <v/>
      </c>
      <c r="AR101" s="224">
        <f>_xlfn.LET(
_xlpm._一般検索,IFERROR(INDEX('在庫使用計画 (一般)'!$A$1:$BF$391,MATCH($C101,'在庫使用計画 (一般)'!$C$1:$C$391,0),MATCH(AR$1,'在庫使用計画 (一般)'!$A$1:$BF$1,0))*1,0),
_xlpm._法人検索,IFERROR(INDEX('在庫使用計画 (法人)'!$A$1:$BF$391,MATCH($C101,'在庫使用計画 (法人)'!$C$1:$C$391,0),MATCH(AR$1,'在庫使用計画 (法人)'!$A$1:$BF$1,0))*1,0),
_xlpm._合計,_xlpm._一般検索+_xlpm._法人検索,
IF(_xlpm._合計=0,"",_xlpm._合計)
)</f>
        <v>144</v>
      </c>
      <c r="AS101" s="224">
        <f>_xlfn.LET(
_xlpm._一般検索,IFERROR(INDEX('在庫使用計画 (一般)'!$A$1:$BF$391,MATCH($C101,'在庫使用計画 (一般)'!$C$1:$C$391,0),MATCH(AS$1,'在庫使用計画 (一般)'!$A$1:$BF$1,0))*1,0),
_xlpm._法人検索,IFERROR(INDEX('在庫使用計画 (法人)'!$A$1:$BF$391,MATCH($C101,'在庫使用計画 (法人)'!$C$1:$C$391,0),MATCH(AS$1,'在庫使用計画 (法人)'!$A$1:$BF$1,0))*1,0),
_xlpm._合計,_xlpm._一般検索+_xlpm._法人検索,
IF(_xlpm._合計=0,"",_xlpm._合計)
)</f>
        <v>205</v>
      </c>
      <c r="AT101" s="224">
        <f>_xlfn.LET(
_xlpm._一般検索,IFERROR(INDEX('在庫使用計画 (一般)'!$A$1:$BF$391,MATCH($C101,'在庫使用計画 (一般)'!$C$1:$C$391,0),MATCH(AT$1,'在庫使用計画 (一般)'!$A$1:$BF$1,0))*1,0),
_xlpm._法人検索,IFERROR(INDEX('在庫使用計画 (法人)'!$A$1:$BF$391,MATCH($C101,'在庫使用計画 (法人)'!$C$1:$C$391,0),MATCH(AT$1,'在庫使用計画 (法人)'!$A$1:$BF$1,0))*1,0),
_xlpm._合計,_xlpm._一般検索+_xlpm._法人検索,
IF(_xlpm._合計=0,"",_xlpm._合計)
)</f>
        <v>226</v>
      </c>
      <c r="AU101" s="805">
        <f>_xlfn.LET(
_xlpm._一般検索,IFERROR(INDEX('在庫使用計画 (一般)'!$A$1:$BF$391,MATCH($C101,'在庫使用計画 (一般)'!$C$1:$C$391,0),MATCH(AU$1,'在庫使用計画 (一般)'!$A$1:$BF$1,0))*1,0),
_xlpm._法人検索,IFERROR(INDEX('在庫使用計画 (法人)'!$A$1:$BF$391,MATCH($C101,'在庫使用計画 (法人)'!$C$1:$C$391,0),MATCH(AU$1,'在庫使用計画 (法人)'!$A$1:$BF$1,0))*1,0),
_xlpm._合計,_xlpm._一般検索+_xlpm._法人検索,
IF(_xlpm._合計=0,"",_xlpm._合計)
)</f>
        <v>295</v>
      </c>
      <c r="AV101" s="244">
        <f>_xlfn.LET(
_xlpm._一般検索,IFERROR(INDEX('在庫使用計画 (一般)'!$A$1:$BF$391,MATCH($C101,'在庫使用計画 (一般)'!$C$1:$C$391,0),MATCH(AV$1,'在庫使用計画 (一般)'!$A$1:$BF$1,0))*1,0),
_xlpm._法人検索,IFERROR(INDEX('在庫使用計画 (法人)'!$A$1:$BF$391,MATCH($C101,'在庫使用計画 (法人)'!$C$1:$C$391,0),MATCH(AV$1,'在庫使用計画 (法人)'!$A$1:$BF$1,0))*1,0),
_xlpm._合計,_xlpm._一般検索+_xlpm._法人検索,
IF(_xlpm._合計=0,"",_xlpm._合計)
)</f>
        <v>312</v>
      </c>
      <c r="AW101" s="224">
        <f>_xlfn.LET(
_xlpm._一般検索,IFERROR(INDEX('在庫使用計画 (一般)'!$A$1:$BF$391,MATCH($C101,'在庫使用計画 (一般)'!$C$1:$C$391,0),MATCH(AW$1,'在庫使用計画 (一般)'!$A$1:$BF$1,0))*1,0),
_xlpm._法人検索,IFERROR(INDEX('在庫使用計画 (法人)'!$A$1:$BF$391,MATCH($C101,'在庫使用計画 (法人)'!$C$1:$C$391,0),MATCH(AW$1,'在庫使用計画 (法人)'!$A$1:$BF$1,0))*1,0),
_xlpm._合計,_xlpm._一般検索+_xlpm._法人検索,
IF(_xlpm._合計=0,"",_xlpm._合計)
)</f>
        <v>274</v>
      </c>
      <c r="AX101" s="224">
        <f>_xlfn.LET(
_xlpm._一般検索,IFERROR(INDEX('在庫使用計画 (一般)'!$A$1:$BF$391,MATCH($C101,'在庫使用計画 (一般)'!$C$1:$C$391,0),MATCH(AX$1,'在庫使用計画 (一般)'!$A$1:$BF$1,0))*1,0),
_xlpm._法人検索,IFERROR(INDEX('在庫使用計画 (法人)'!$A$1:$BF$391,MATCH($C101,'在庫使用計画 (法人)'!$C$1:$C$391,0),MATCH(AX$1,'在庫使用計画 (法人)'!$A$1:$BF$1,0))*1,0),
_xlpm._合計,_xlpm._一般検索+_xlpm._法人検索,
IF(_xlpm._合計=0,"",_xlpm._合計)
)</f>
        <v>371</v>
      </c>
      <c r="AY101" s="224">
        <f>_xlfn.LET(
_xlpm._一般検索,IFERROR(INDEX('在庫使用計画 (一般)'!$A$1:$BF$391,MATCH($C101,'在庫使用計画 (一般)'!$C$1:$C$391,0),MATCH(AY$1,'在庫使用計画 (一般)'!$A$1:$BF$1,0))*1,0),
_xlpm._法人検索,IFERROR(INDEX('在庫使用計画 (法人)'!$A$1:$BF$391,MATCH($C101,'在庫使用計画 (法人)'!$C$1:$C$391,0),MATCH(AY$1,'在庫使用計画 (法人)'!$A$1:$BF$1,0))*1,0),
_xlpm._合計,_xlpm._一般検索+_xlpm._法人検索,
IF(_xlpm._合計=0,"",_xlpm._合計)
)</f>
        <v>269</v>
      </c>
      <c r="AZ101" s="224">
        <f>_xlfn.LET(
_xlpm._一般検索,IFERROR(INDEX('在庫使用計画 (一般)'!$A$1:$BF$391,MATCH($C101,'在庫使用計画 (一般)'!$C$1:$C$391,0),MATCH(AZ$1,'在庫使用計画 (一般)'!$A$1:$BF$1,0))*1,0),
_xlpm._法人検索,IFERROR(INDEX('在庫使用計画 (法人)'!$A$1:$BF$391,MATCH($C101,'在庫使用計画 (法人)'!$C$1:$C$391,0),MATCH(AZ$1,'在庫使用計画 (法人)'!$A$1:$BF$1,0))*1,0),
_xlpm._合計,_xlpm._一般検索+_xlpm._法人検索,
IF(_xlpm._合計=0,"",_xlpm._合計)
)</f>
        <v>239</v>
      </c>
      <c r="BA101" s="224">
        <f>_xlfn.LET(
_xlpm._一般検索,IFERROR(INDEX('在庫使用計画 (一般)'!$A$1:$BF$391,MATCH($C101,'在庫使用計画 (一般)'!$C$1:$C$391,0),MATCH(BA$1,'在庫使用計画 (一般)'!$A$1:$BF$1,0))*1,0),
_xlpm._法人検索,IFERROR(INDEX('在庫使用計画 (法人)'!$A$1:$BF$391,MATCH($C101,'在庫使用計画 (法人)'!$C$1:$C$391,0),MATCH(BA$1,'在庫使用計画 (法人)'!$A$1:$BF$1,0))*1,0),
_xlpm._合計,_xlpm._一般検索+_xlpm._法人検索,
IF(_xlpm._合計=0,"",_xlpm._合計)
)</f>
        <v>207</v>
      </c>
      <c r="BB101" s="224">
        <f>_xlfn.LET(
_xlpm._一般検索,IFERROR(INDEX('在庫使用計画 (一般)'!$A$1:$BF$391,MATCH($C101,'在庫使用計画 (一般)'!$C$1:$C$391,0),MATCH(BB$1,'在庫使用計画 (一般)'!$A$1:$BF$1,0))*1,0),
_xlpm._法人検索,IFERROR(INDEX('在庫使用計画 (法人)'!$A$1:$BF$391,MATCH($C101,'在庫使用計画 (法人)'!$C$1:$C$391,0),MATCH(BB$1,'在庫使用計画 (法人)'!$A$1:$BF$1,0))*1,0),
_xlpm._合計,_xlpm._一般検索+_xlpm._法人検索,
IF(_xlpm._合計=0,"",_xlpm._合計)
)</f>
        <v>238</v>
      </c>
      <c r="BC101" s="224">
        <f>_xlfn.LET(
_xlpm._一般検索,IFERROR(INDEX('在庫使用計画 (一般)'!$A$1:$BF$391,MATCH($C101,'在庫使用計画 (一般)'!$C$1:$C$391,0),MATCH(BC$1,'在庫使用計画 (一般)'!$A$1:$BF$1,0))*1,0),
_xlpm._法人検索,IFERROR(INDEX('在庫使用計画 (法人)'!$A$1:$BF$391,MATCH($C101,'在庫使用計画 (法人)'!$C$1:$C$391,0),MATCH(BC$1,'在庫使用計画 (法人)'!$A$1:$BF$1,0))*1,0),
_xlpm._合計,_xlpm._一般検索+_xlpm._法人検索,
IF(_xlpm._合計=0,"",_xlpm._合計)
)</f>
        <v>214</v>
      </c>
      <c r="BD101" s="224" t="str">
        <f>_xlfn.LET(
_xlpm._一般検索,IFERROR(INDEX('在庫使用計画 (一般)'!$A$1:$BF$391,MATCH($C101,'在庫使用計画 (一般)'!$C$1:$C$391,0),MATCH(BD$1,'在庫使用計画 (一般)'!$A$1:$BF$1,0))*1,0),
_xlpm._法人検索,IFERROR(INDEX('在庫使用計画 (法人)'!$A$1:$BF$391,MATCH($C101,'在庫使用計画 (法人)'!$C$1:$C$391,0),MATCH(BD$1,'在庫使用計画 (法人)'!$A$1:$BF$1,0))*1,0),
_xlpm._合計,_xlpm._一般検索+_xlpm._法人検索,
IF(_xlpm._合計=0,"",_xlpm._合計)
)</f>
        <v/>
      </c>
      <c r="BE101" s="224" t="str">
        <f>_xlfn.LET(
_xlpm._一般検索,IFERROR(INDEX('在庫使用計画 (一般)'!$A$1:$BF$391,MATCH($C101,'在庫使用計画 (一般)'!$C$1:$C$391,0),MATCH(BE$1,'在庫使用計画 (一般)'!$A$1:$BF$1,0))*1,0),
_xlpm._法人検索,IFERROR(INDEX('在庫使用計画 (法人)'!$A$1:$BF$391,MATCH($C101,'在庫使用計画 (法人)'!$C$1:$C$391,0),MATCH(BE$1,'在庫使用計画 (法人)'!$A$1:$BF$1,0))*1,0),
_xlpm._合計,_xlpm._一般検索+_xlpm._法人検索,
IF(_xlpm._合計=0,"",_xlpm._合計)
)</f>
        <v/>
      </c>
      <c r="BF101" s="224" t="str">
        <f>_xlfn.LET(
_xlpm._一般検索,IFERROR(INDEX('在庫使用計画 (一般)'!$A$1:$BF$391,MATCH($C101,'在庫使用計画 (一般)'!$C$1:$C$391,0),MATCH(BF$1,'在庫使用計画 (一般)'!$A$1:$BF$1,0))*1,0),
_xlpm._法人検索,IFERROR(INDEX('在庫使用計画 (法人)'!$A$1:$BF$391,MATCH($C101,'在庫使用計画 (法人)'!$C$1:$C$391,0),MATCH(BF$1,'在庫使用計画 (法人)'!$A$1:$BF$1,0))*1,0),
_xlpm._合計,_xlpm._一般検索+_xlpm._法人検索,
IF(_xlpm._合計=0,"",_xlpm._合計)
)</f>
        <v/>
      </c>
      <c r="BG101" s="237" t="str">
        <f>_xlfn.LET(
_xlpm._一般検索,IFERROR(INDEX('在庫使用計画 (一般)'!$A$1:$BF$391,MATCH($C101,'在庫使用計画 (一般)'!$C$1:$C$391,0),MATCH(BG$1,'在庫使用計画 (一般)'!$A$1:$BF$1,0))*1,0),
_xlpm._法人検索,IFERROR(INDEX('在庫使用計画 (法人)'!$A$1:$BF$391,MATCH($C101,'在庫使用計画 (法人)'!$C$1:$C$391,0),MATCH(BG$1,'在庫使用計画 (法人)'!$A$1:$BF$1,0))*1,0),
_xlpm._合計,_xlpm._一般検索+_xlpm._法人検索,
IF(_xlpm._合計=0,"",_xlpm._合計)
)</f>
        <v/>
      </c>
      <c r="BH101" s="804" t="str">
        <f>_xlfn.LET(
_xlpm._一般検索,IFERROR(INDEX('在庫使用計画 (一般)'!$A$1:$BF$391,MATCH($C101,'在庫使用計画 (一般)'!$C$1:$C$391,0),MATCH(BH$1,'在庫使用計画 (一般)'!$A$1:$BF$1,0))*1,0),
_xlpm._法人検索,IFERROR(INDEX('在庫使用計画 (法人)'!$A$1:$BF$391,MATCH($C101,'在庫使用計画 (法人)'!$C$1:$C$391,0),MATCH(BH$1,'在庫使用計画 (法人)'!$A$1:$BF$1,0))*1,0),
_xlpm._合計,_xlpm._一般検索+_xlpm._法人検索,
IF(_xlpm._合計=0,"",_xlpm._合計)
)</f>
        <v/>
      </c>
      <c r="BI101" s="224" t="str">
        <f>_xlfn.LET(
_xlpm._一般検索,IFERROR(INDEX('在庫使用計画 (一般)'!$A$1:$BF$391,MATCH($C101,'在庫使用計画 (一般)'!$C$1:$C$391,0),MATCH(BI$1,'在庫使用計画 (一般)'!$A$1:$BF$1,0))*1,0),
_xlpm._法人検索,IFERROR(INDEX('在庫使用計画 (法人)'!$A$1:$BF$391,MATCH($C101,'在庫使用計画 (法人)'!$C$1:$C$391,0),MATCH(BI$1,'在庫使用計画 (法人)'!$A$1:$BF$1,0))*1,0),
_xlpm._合計,_xlpm._一般検索+_xlpm._法人検索,
IF(_xlpm._合計=0,"",_xlpm._合計)
)</f>
        <v/>
      </c>
      <c r="BJ101" s="224" t="str">
        <f>_xlfn.LET(
_xlpm._一般検索,IFERROR(INDEX('在庫使用計画 (一般)'!$A$1:$BF$391,MATCH($C101,'在庫使用計画 (一般)'!$C$1:$C$391,0),MATCH(BJ$1,'在庫使用計画 (一般)'!$A$1:$BF$1,0))*1,0),
_xlpm._法人検索,IFERROR(INDEX('在庫使用計画 (法人)'!$A$1:$BF$391,MATCH($C101,'在庫使用計画 (法人)'!$C$1:$C$391,0),MATCH(BJ$1,'在庫使用計画 (法人)'!$A$1:$BF$1,0))*1,0),
_xlpm._合計,_xlpm._一般検索+_xlpm._法人検索,
IF(_xlpm._合計=0,"",_xlpm._合計)
)</f>
        <v/>
      </c>
      <c r="BK101" s="224" t="str">
        <f>_xlfn.LET(
_xlpm._一般検索,IFERROR(INDEX('在庫使用計画 (一般)'!$A$1:$BF$391,MATCH($C101,'在庫使用計画 (一般)'!$C$1:$C$391,0),MATCH(BK$1,'在庫使用計画 (一般)'!$A$1:$BF$1,0))*1,0),
_xlpm._法人検索,IFERROR(INDEX('在庫使用計画 (法人)'!$A$1:$BF$391,MATCH($C101,'在庫使用計画 (法人)'!$C$1:$C$391,0),MATCH(BK$1,'在庫使用計画 (法人)'!$A$1:$BF$1,0))*1,0),
_xlpm._合計,_xlpm._一般検索+_xlpm._法人検索,
IF(_xlpm._合計=0,"",_xlpm._合計)
)</f>
        <v/>
      </c>
      <c r="BL101" s="224" t="str">
        <f>_xlfn.LET(
_xlpm._一般検索,IFERROR(INDEX('在庫使用計画 (一般)'!$A$1:$BF$391,MATCH($C101,'在庫使用計画 (一般)'!$C$1:$C$391,0),MATCH(BL$1,'在庫使用計画 (一般)'!$A$1:$BF$1,0))*1,0),
_xlpm._法人検索,IFERROR(INDEX('在庫使用計画 (法人)'!$A$1:$BF$391,MATCH($C101,'在庫使用計画 (法人)'!$C$1:$C$391,0),MATCH(BL$1,'在庫使用計画 (法人)'!$A$1:$BF$1,0))*1,0),
_xlpm._合計,_xlpm._一般検索+_xlpm._法人検索,
IF(_xlpm._合計=0,"",_xlpm._合計)
)</f>
        <v/>
      </c>
      <c r="BM101" s="224" t="str">
        <f>_xlfn.LET(
_xlpm._一般検索,IFERROR(INDEX('在庫使用計画 (一般)'!$A$1:$BF$391,MATCH($C101,'在庫使用計画 (一般)'!$C$1:$C$391,0),MATCH(BM$1,'在庫使用計画 (一般)'!$A$1:$BF$1,0))*1,0),
_xlpm._法人検索,IFERROR(INDEX('在庫使用計画 (法人)'!$A$1:$BF$391,MATCH($C101,'在庫使用計画 (法人)'!$C$1:$C$391,0),MATCH(BM$1,'在庫使用計画 (法人)'!$A$1:$BF$1,0))*1,0),
_xlpm._合計,_xlpm._一般検索+_xlpm._法人検索,
IF(_xlpm._合計=0,"",_xlpm._合計)
)</f>
        <v/>
      </c>
      <c r="BN101" s="224" t="str">
        <f>_xlfn.LET(
_xlpm._一般検索,IFERROR(INDEX('在庫使用計画 (一般)'!$A$1:$BF$391,MATCH($C101,'在庫使用計画 (一般)'!$C$1:$C$391,0),MATCH(BN$1,'在庫使用計画 (一般)'!$A$1:$BF$1,0))*1,0),
_xlpm._法人検索,IFERROR(INDEX('在庫使用計画 (法人)'!$A$1:$BF$391,MATCH($C101,'在庫使用計画 (法人)'!$C$1:$C$391,0),MATCH(BN$1,'在庫使用計画 (法人)'!$A$1:$BF$1,0))*1,0),
_xlpm._合計,_xlpm._一般検索+_xlpm._法人検索,
IF(_xlpm._合計=0,"",_xlpm._合計)
)</f>
        <v/>
      </c>
      <c r="BO101" s="224" t="str">
        <f>_xlfn.LET(
_xlpm._一般検索,IFERROR(INDEX('在庫使用計画 (一般)'!$A$1:$BF$391,MATCH($C101,'在庫使用計画 (一般)'!$C$1:$C$391,0),MATCH(BO$1,'在庫使用計画 (一般)'!$A$1:$BF$1,0))*1,0),
_xlpm._法人検索,IFERROR(INDEX('在庫使用計画 (法人)'!$A$1:$BF$391,MATCH($C101,'在庫使用計画 (法人)'!$C$1:$C$391,0),MATCH(BO$1,'在庫使用計画 (法人)'!$A$1:$BF$1,0))*1,0),
_xlpm._合計,_xlpm._一般検索+_xlpm._法人検索,
IF(_xlpm._合計=0,"",_xlpm._合計)
)</f>
        <v/>
      </c>
      <c r="BP101" s="224" t="str">
        <f>_xlfn.LET(
_xlpm._一般検索,IFERROR(INDEX('在庫使用計画 (一般)'!$A$1:$BF$391,MATCH($C101,'在庫使用計画 (一般)'!$C$1:$C$391,0),MATCH(BP$1,'在庫使用計画 (一般)'!$A$1:$BF$1,0))*1,0),
_xlpm._法人検索,IFERROR(INDEX('在庫使用計画 (法人)'!$A$1:$BF$391,MATCH($C101,'在庫使用計画 (法人)'!$C$1:$C$391,0),MATCH(BP$1,'在庫使用計画 (法人)'!$A$1:$BF$1,0))*1,0),
_xlpm._合計,_xlpm._一般検索+_xlpm._法人検索,
IF(_xlpm._合計=0,"",_xlpm._合計)
)</f>
        <v/>
      </c>
      <c r="BQ101" s="224" t="str">
        <f>_xlfn.LET(
_xlpm._一般検索,IFERROR(INDEX('在庫使用計画 (一般)'!$A$1:$BF$391,MATCH($C101,'在庫使用計画 (一般)'!$C$1:$C$391,0),MATCH(BQ$1,'在庫使用計画 (一般)'!$A$1:$BF$1,0))*1,0),
_xlpm._法人検索,IFERROR(INDEX('在庫使用計画 (法人)'!$A$1:$BF$391,MATCH($C101,'在庫使用計画 (法人)'!$C$1:$C$391,0),MATCH(BQ$1,'在庫使用計画 (法人)'!$A$1:$BF$1,0))*1,0),
_xlpm._合計,_xlpm._一般検索+_xlpm._法人検索,
IF(_xlpm._合計=0,"",_xlpm._合計)
)</f>
        <v/>
      </c>
      <c r="BR101" s="224" t="str">
        <f>_xlfn.LET(
_xlpm._一般検索,IFERROR(INDEX('在庫使用計画 (一般)'!$A$1:$BF$391,MATCH($C101,'在庫使用計画 (一般)'!$C$1:$C$391,0),MATCH(BR$1,'在庫使用計画 (一般)'!$A$1:$BF$1,0))*1,0),
_xlpm._法人検索,IFERROR(INDEX('在庫使用計画 (法人)'!$A$1:$BF$391,MATCH($C101,'在庫使用計画 (法人)'!$C$1:$C$391,0),MATCH(BR$1,'在庫使用計画 (法人)'!$A$1:$BF$1,0))*1,0),
_xlpm._合計,_xlpm._一般検索+_xlpm._法人検索,
IF(_xlpm._合計=0,"",_xlpm._合計)
)</f>
        <v/>
      </c>
      <c r="BS101" s="805" t="str">
        <f>_xlfn.LET(
_xlpm._一般検索,IFERROR(INDEX('在庫使用計画 (一般)'!$A$1:$BF$391,MATCH($C101,'在庫使用計画 (一般)'!$C$1:$C$391,0),MATCH(BS$1,'在庫使用計画 (一般)'!$A$1:$BF$1,0))*1,0),
_xlpm._法人検索,IFERROR(INDEX('在庫使用計画 (法人)'!$A$1:$BF$391,MATCH($C101,'在庫使用計画 (法人)'!$C$1:$C$391,0),MATCH(BS$1,'在庫使用計画 (法人)'!$A$1:$BF$1,0))*1,0),
_xlpm._合計,_xlpm._一般検索+_xlpm._法人検索,
IF(_xlpm._合計=0,"",_xlpm._合計)
)</f>
        <v/>
      </c>
      <c r="BT101" s="21"/>
    </row>
    <row r="102" spans="1:72" customFormat="1" ht="18.75" customHeight="1" thickBot="1">
      <c r="A102" s="1073" t="s">
        <v>1473</v>
      </c>
      <c r="B102" s="1124" t="str">
        <v>CLE-V74-R5-7535HS-L6-TPM-DDR5-TW-BL</v>
      </c>
      <c r="C102" s="1451" t="s">
        <v>831</v>
      </c>
      <c r="D102" s="2170">
        <v>275</v>
      </c>
      <c r="E102" s="1392"/>
      <c r="F102" s="639"/>
      <c r="G102" s="74">
        <v>275</v>
      </c>
      <c r="H102" s="38">
        <v>0</v>
      </c>
      <c r="I102" s="38" cm="1">
        <f t="array" ref="I102">IF($C102="","",
_xlfn.LET(
  _xlpm._見出し,$A$1:$BT$1,
  _xlpm._行,$A102:$BT102,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203</v>
      </c>
      <c r="J102" s="74" cm="1">
        <f t="array" ref="J102">_xlfn.LET(
  _xlpm._見出し,$A$1:$BS$1,
  _xlpm._行,$A102:$BS102,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IF($C102="","",_xlpm._四点五月計画合計)
)</f>
        <v>302</v>
      </c>
      <c r="K102" s="1458" cm="1">
        <f t="array" ref="K102">_xlfn.IFS(
  $C102="","",
  $G102="","発売前？",
  $G102=0,"在庫なし",
  TRUE,
  IFERROR(
    _xlfn.LET(
      _xlpm._在庫注残,     $G102,
      _xlpm._しきい値,     _xlpm._在庫注残 * 0.75,
      _xlpm._見出し元,     $L$1:$BU$1,
      _xlpm._計画,         $L102:$BU102,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46327</v>
      </c>
      <c r="L102" s="180"/>
      <c r="M102" s="180"/>
      <c r="N102" s="180"/>
      <c r="O102" s="180"/>
      <c r="P102" s="180"/>
      <c r="Q102" s="180"/>
      <c r="R102" s="180"/>
      <c r="S102" s="180"/>
      <c r="T102" s="299"/>
      <c r="U102" s="224"/>
      <c r="V102" s="224"/>
      <c r="W102" s="224"/>
      <c r="X102" s="224"/>
      <c r="Y102" s="1050"/>
      <c r="Z102" s="1050"/>
      <c r="AA102" s="1050"/>
      <c r="AB102" s="1050"/>
      <c r="AC102" s="1050"/>
      <c r="AD102" s="1050"/>
      <c r="AE102" s="1050"/>
      <c r="AF102" s="1050"/>
      <c r="AG102" s="1050"/>
      <c r="AH102" s="224"/>
      <c r="AI102" s="1050"/>
      <c r="AJ102" s="804" t="s">
        <v>21</v>
      </c>
      <c r="AK102" s="224" t="s">
        <v>21</v>
      </c>
      <c r="AL102" s="224" t="s">
        <v>21</v>
      </c>
      <c r="AM102" s="224" t="s">
        <v>21</v>
      </c>
      <c r="AN102" s="224" t="str">
        <f>_xlfn.LET(
_xlpm._一般検索,IFERROR(INDEX('在庫使用計画 (一般)'!$A$1:$BF$391,MATCH($C102,'在庫使用計画 (一般)'!$C$1:$C$391,0),MATCH(AN$1,'在庫使用計画 (一般)'!$A$1:$BF$1,0))*1,0),
_xlpm._法人検索,IFERROR(INDEX('在庫使用計画 (法人)'!$A$1:$BF$391,MATCH($C102,'在庫使用計画 (法人)'!$C$1:$C$391,0),MATCH(AN$1,'在庫使用計画 (法人)'!$A$1:$BF$1,0))*1,0),
_xlpm._合計,_xlpm._一般検索+_xlpm._法人検索,
IF(_xlpm._合計=0,"",_xlpm._合計)
)</f>
        <v/>
      </c>
      <c r="AO102" s="224" t="str">
        <f>_xlfn.LET(
_xlpm._一般検索,IFERROR(INDEX('在庫使用計画 (一般)'!$A$1:$BF$391,MATCH($C102,'在庫使用計画 (一般)'!$C$1:$C$391,0),MATCH(AO$1,'在庫使用計画 (一般)'!$A$1:$BF$1,0))*1,0),
_xlpm._法人検索,IFERROR(INDEX('在庫使用計画 (法人)'!$A$1:$BF$391,MATCH($C102,'在庫使用計画 (法人)'!$C$1:$C$391,0),MATCH(AO$1,'在庫使用計画 (法人)'!$A$1:$BF$1,0))*1,0),
_xlpm._合計,_xlpm._一般検索+_xlpm._法人検索,
IF(_xlpm._合計=0,"",_xlpm._合計)
)</f>
        <v/>
      </c>
      <c r="AP102" s="224" t="str">
        <f>_xlfn.LET(
_xlpm._一般検索,IFERROR(INDEX('在庫使用計画 (一般)'!$A$1:$BF$391,MATCH($C102,'在庫使用計画 (一般)'!$C$1:$C$391,0),MATCH(AP$1,'在庫使用計画 (一般)'!$A$1:$BF$1,0))*1,0),
_xlpm._法人検索,IFERROR(INDEX('在庫使用計画 (法人)'!$A$1:$BF$391,MATCH($C102,'在庫使用計画 (法人)'!$C$1:$C$391,0),MATCH(AP$1,'在庫使用計画 (法人)'!$A$1:$BF$1,0))*1,0),
_xlpm._合計,_xlpm._一般検索+_xlpm._法人検索,
IF(_xlpm._合計=0,"",_xlpm._合計)
)</f>
        <v/>
      </c>
      <c r="AQ102" s="224" t="str">
        <f>_xlfn.LET(
_xlpm._一般検索,IFERROR(INDEX('在庫使用計画 (一般)'!$A$1:$BF$391,MATCH($C102,'在庫使用計画 (一般)'!$C$1:$C$391,0),MATCH(AQ$1,'在庫使用計画 (一般)'!$A$1:$BF$1,0))*1,0),
_xlpm._法人検索,IFERROR(INDEX('在庫使用計画 (法人)'!$A$1:$BF$391,MATCH($C102,'在庫使用計画 (法人)'!$C$1:$C$391,0),MATCH(AQ$1,'在庫使用計画 (法人)'!$A$1:$BF$1,0))*1,0),
_xlpm._合計,_xlpm._一般検索+_xlpm._法人検索,
IF(_xlpm._合計=0,"",_xlpm._合計)
)</f>
        <v/>
      </c>
      <c r="AR102" s="224">
        <f>_xlfn.LET(
_xlpm._一般検索,IFERROR(INDEX('在庫使用計画 (一般)'!$A$1:$BF$391,MATCH($C102,'在庫使用計画 (一般)'!$C$1:$C$391,0),MATCH(AR$1,'在庫使用計画 (一般)'!$A$1:$BF$1,0))*1,0),
_xlpm._法人検索,IFERROR(INDEX('在庫使用計画 (法人)'!$A$1:$BF$391,MATCH($C102,'在庫使用計画 (法人)'!$C$1:$C$391,0),MATCH(AR$1,'在庫使用計画 (法人)'!$A$1:$BF$1,0))*1,0),
_xlpm._合計,_xlpm._一般検索+_xlpm._法人検索,
IF(_xlpm._合計=0,"",_xlpm._合計)
)</f>
        <v>98</v>
      </c>
      <c r="AS102" s="224">
        <f>_xlfn.LET(
_xlpm._一般検索,IFERROR(INDEX('在庫使用計画 (一般)'!$A$1:$BF$391,MATCH($C102,'在庫使用計画 (一般)'!$C$1:$C$391,0),MATCH(AS$1,'在庫使用計画 (一般)'!$A$1:$BF$1,0))*1,0),
_xlpm._法人検索,IFERROR(INDEX('在庫使用計画 (法人)'!$A$1:$BF$391,MATCH($C102,'在庫使用計画 (法人)'!$C$1:$C$391,0),MATCH(AS$1,'在庫使用計画 (法人)'!$A$1:$BF$1,0))*1,0),
_xlpm._合計,_xlpm._一般検索+_xlpm._法人検索,
IF(_xlpm._合計=0,"",_xlpm._合計)
)</f>
        <v>105</v>
      </c>
      <c r="AT102" s="224">
        <f>_xlfn.LET(
_xlpm._一般検索,IFERROR(INDEX('在庫使用計画 (一般)'!$A$1:$BF$391,MATCH($C102,'在庫使用計画 (一般)'!$C$1:$C$391,0),MATCH(AT$1,'在庫使用計画 (一般)'!$A$1:$BF$1,0))*1,0),
_xlpm._法人検索,IFERROR(INDEX('在庫使用計画 (法人)'!$A$1:$BF$391,MATCH($C102,'在庫使用計画 (法人)'!$C$1:$C$391,0),MATCH(AT$1,'在庫使用計画 (法人)'!$A$1:$BF$1,0))*1,0),
_xlpm._合計,_xlpm._一般検索+_xlpm._法人検索,
IF(_xlpm._合計=0,"",_xlpm._合計)
)</f>
        <v>99</v>
      </c>
      <c r="AU102" s="805">
        <f>_xlfn.LET(
_xlpm._一般検索,IFERROR(INDEX('在庫使用計画 (一般)'!$A$1:$BF$391,MATCH($C102,'在庫使用計画 (一般)'!$C$1:$C$391,0),MATCH(AU$1,'在庫使用計画 (一般)'!$A$1:$BF$1,0))*1,0),
_xlpm._法人検索,IFERROR(INDEX('在庫使用計画 (法人)'!$A$1:$BF$391,MATCH($C102,'在庫使用計画 (法人)'!$C$1:$C$391,0),MATCH(AU$1,'在庫使用計画 (法人)'!$A$1:$BF$1,0))*1,0),
_xlpm._合計,_xlpm._一般検索+_xlpm._法人検索,
IF(_xlpm._合計=0,"",_xlpm._合計)
)</f>
        <v>132</v>
      </c>
      <c r="AV102" s="244">
        <f>_xlfn.LET(
_xlpm._一般検索,IFERROR(INDEX('在庫使用計画 (一般)'!$A$1:$BF$391,MATCH($C102,'在庫使用計画 (一般)'!$C$1:$C$391,0),MATCH(AV$1,'在庫使用計画 (一般)'!$A$1:$BF$1,0))*1,0),
_xlpm._法人検索,IFERROR(INDEX('在庫使用計画 (法人)'!$A$1:$BF$391,MATCH($C102,'在庫使用計画 (法人)'!$C$1:$C$391,0),MATCH(AV$1,'在庫使用計画 (法人)'!$A$1:$BF$1,0))*1,0),
_xlpm._合計,_xlpm._一般検索+_xlpm._法人検索,
IF(_xlpm._合計=0,"",_xlpm._合計)
)</f>
        <v>140</v>
      </c>
      <c r="AW102" s="224">
        <f>_xlfn.LET(
_xlpm._一般検索,IFERROR(INDEX('在庫使用計画 (一般)'!$A$1:$BF$391,MATCH($C102,'在庫使用計画 (一般)'!$C$1:$C$391,0),MATCH(AW$1,'在庫使用計画 (一般)'!$A$1:$BF$1,0))*1,0),
_xlpm._法人検索,IFERROR(INDEX('在庫使用計画 (法人)'!$A$1:$BF$391,MATCH($C102,'在庫使用計画 (法人)'!$C$1:$C$391,0),MATCH(AW$1,'在庫使用計画 (法人)'!$A$1:$BF$1,0))*1,0),
_xlpm._合計,_xlpm._一般検索+_xlpm._法人検索,
IF(_xlpm._合計=0,"",_xlpm._合計)
)</f>
        <v>115</v>
      </c>
      <c r="AX102" s="224">
        <f>_xlfn.LET(
_xlpm._一般検索,IFERROR(INDEX('在庫使用計画 (一般)'!$A$1:$BF$391,MATCH($C102,'在庫使用計画 (一般)'!$C$1:$C$391,0),MATCH(AX$1,'在庫使用計画 (一般)'!$A$1:$BF$1,0))*1,0),
_xlpm._法人検索,IFERROR(INDEX('在庫使用計画 (法人)'!$A$1:$BF$391,MATCH($C102,'在庫使用計画 (法人)'!$C$1:$C$391,0),MATCH(AX$1,'在庫使用計画 (法人)'!$A$1:$BF$1,0))*1,0),
_xlpm._合計,_xlpm._一般検索+_xlpm._法人検索,
IF(_xlpm._合計=0,"",_xlpm._合計)
)</f>
        <v>146</v>
      </c>
      <c r="AY102" s="224">
        <f>_xlfn.LET(
_xlpm._一般検索,IFERROR(INDEX('在庫使用計画 (一般)'!$A$1:$BF$391,MATCH($C102,'在庫使用計画 (一般)'!$C$1:$C$391,0),MATCH(AY$1,'在庫使用計画 (一般)'!$A$1:$BF$1,0))*1,0),
_xlpm._法人検索,IFERROR(INDEX('在庫使用計画 (法人)'!$A$1:$BF$391,MATCH($C102,'在庫使用計画 (法人)'!$C$1:$C$391,0),MATCH(AY$1,'在庫使用計画 (法人)'!$A$1:$BF$1,0))*1,0),
_xlpm._合計,_xlpm._一般検索+_xlpm._法人検索,
IF(_xlpm._合計=0,"",_xlpm._合計)
)</f>
        <v>128</v>
      </c>
      <c r="AZ102" s="224">
        <f>_xlfn.LET(
_xlpm._一般検索,IFERROR(INDEX('在庫使用計画 (一般)'!$A$1:$BF$391,MATCH($C102,'在庫使用計画 (一般)'!$C$1:$C$391,0),MATCH(AZ$1,'在庫使用計画 (一般)'!$A$1:$BF$1,0))*1,0),
_xlpm._法人検索,IFERROR(INDEX('在庫使用計画 (法人)'!$A$1:$BF$391,MATCH($C102,'在庫使用計画 (法人)'!$C$1:$C$391,0),MATCH(AZ$1,'在庫使用計画 (法人)'!$A$1:$BF$1,0))*1,0),
_xlpm._合計,_xlpm._一般検索+_xlpm._法人検索,
IF(_xlpm._合計=0,"",_xlpm._合計)
)</f>
        <v>107</v>
      </c>
      <c r="BA102" s="224">
        <f>_xlfn.LET(
_xlpm._一般検索,IFERROR(INDEX('在庫使用計画 (一般)'!$A$1:$BF$391,MATCH($C102,'在庫使用計画 (一般)'!$C$1:$C$391,0),MATCH(BA$1,'在庫使用計画 (一般)'!$A$1:$BF$1,0))*1,0),
_xlpm._法人検索,IFERROR(INDEX('在庫使用計画 (法人)'!$A$1:$BF$391,MATCH($C102,'在庫使用計画 (法人)'!$C$1:$C$391,0),MATCH(BA$1,'在庫使用計画 (法人)'!$A$1:$BF$1,0))*1,0),
_xlpm._合計,_xlpm._一般検索+_xlpm._法人検索,
IF(_xlpm._合計=0,"",_xlpm._合計)
)</f>
        <v>106</v>
      </c>
      <c r="BB102" s="224">
        <f>_xlfn.LET(
_xlpm._一般検索,IFERROR(INDEX('在庫使用計画 (一般)'!$A$1:$BF$391,MATCH($C102,'在庫使用計画 (一般)'!$C$1:$C$391,0),MATCH(BB$1,'在庫使用計画 (一般)'!$A$1:$BF$1,0))*1,0),
_xlpm._法人検索,IFERROR(INDEX('在庫使用計画 (法人)'!$A$1:$BF$391,MATCH($C102,'在庫使用計画 (法人)'!$C$1:$C$391,0),MATCH(BB$1,'在庫使用計画 (法人)'!$A$1:$BF$1,0))*1,0),
_xlpm._合計,_xlpm._一般検索+_xlpm._法人検索,
IF(_xlpm._合計=0,"",_xlpm._合計)
)</f>
        <v>127</v>
      </c>
      <c r="BC102" s="224">
        <f>_xlfn.LET(
_xlpm._一般検索,IFERROR(INDEX('在庫使用計画 (一般)'!$A$1:$BF$391,MATCH($C102,'在庫使用計画 (一般)'!$C$1:$C$391,0),MATCH(BC$1,'在庫使用計画 (一般)'!$A$1:$BF$1,0))*1,0),
_xlpm._法人検索,IFERROR(INDEX('在庫使用計画 (法人)'!$A$1:$BF$391,MATCH($C102,'在庫使用計画 (法人)'!$C$1:$C$391,0),MATCH(BC$1,'在庫使用計画 (法人)'!$A$1:$BF$1,0))*1,0),
_xlpm._合計,_xlpm._一般検索+_xlpm._法人検索,
IF(_xlpm._合計=0,"",_xlpm._合計)
)</f>
        <v>111</v>
      </c>
      <c r="BD102" s="224" t="str">
        <f>_xlfn.LET(
_xlpm._一般検索,IFERROR(INDEX('在庫使用計画 (一般)'!$A$1:$BF$391,MATCH($C102,'在庫使用計画 (一般)'!$C$1:$C$391,0),MATCH(BD$1,'在庫使用計画 (一般)'!$A$1:$BF$1,0))*1,0),
_xlpm._法人検索,IFERROR(INDEX('在庫使用計画 (法人)'!$A$1:$BF$391,MATCH($C102,'在庫使用計画 (法人)'!$C$1:$C$391,0),MATCH(BD$1,'在庫使用計画 (法人)'!$A$1:$BF$1,0))*1,0),
_xlpm._合計,_xlpm._一般検索+_xlpm._法人検索,
IF(_xlpm._合計=0,"",_xlpm._合計)
)</f>
        <v/>
      </c>
      <c r="BE102" s="224" t="str">
        <f>_xlfn.LET(
_xlpm._一般検索,IFERROR(INDEX('在庫使用計画 (一般)'!$A$1:$BF$391,MATCH($C102,'在庫使用計画 (一般)'!$C$1:$C$391,0),MATCH(BE$1,'在庫使用計画 (一般)'!$A$1:$BF$1,0))*1,0),
_xlpm._法人検索,IFERROR(INDEX('在庫使用計画 (法人)'!$A$1:$BF$391,MATCH($C102,'在庫使用計画 (法人)'!$C$1:$C$391,0),MATCH(BE$1,'在庫使用計画 (法人)'!$A$1:$BF$1,0))*1,0),
_xlpm._合計,_xlpm._一般検索+_xlpm._法人検索,
IF(_xlpm._合計=0,"",_xlpm._合計)
)</f>
        <v/>
      </c>
      <c r="BF102" s="224" t="str">
        <f>_xlfn.LET(
_xlpm._一般検索,IFERROR(INDEX('在庫使用計画 (一般)'!$A$1:$BF$391,MATCH($C102,'在庫使用計画 (一般)'!$C$1:$C$391,0),MATCH(BF$1,'在庫使用計画 (一般)'!$A$1:$BF$1,0))*1,0),
_xlpm._法人検索,IFERROR(INDEX('在庫使用計画 (法人)'!$A$1:$BF$391,MATCH($C102,'在庫使用計画 (法人)'!$C$1:$C$391,0),MATCH(BF$1,'在庫使用計画 (法人)'!$A$1:$BF$1,0))*1,0),
_xlpm._合計,_xlpm._一般検索+_xlpm._法人検索,
IF(_xlpm._合計=0,"",_xlpm._合計)
)</f>
        <v/>
      </c>
      <c r="BG102" s="237" t="str">
        <f>_xlfn.LET(
_xlpm._一般検索,IFERROR(INDEX('在庫使用計画 (一般)'!$A$1:$BF$391,MATCH($C102,'在庫使用計画 (一般)'!$C$1:$C$391,0),MATCH(BG$1,'在庫使用計画 (一般)'!$A$1:$BF$1,0))*1,0),
_xlpm._法人検索,IFERROR(INDEX('在庫使用計画 (法人)'!$A$1:$BF$391,MATCH($C102,'在庫使用計画 (法人)'!$C$1:$C$391,0),MATCH(BG$1,'在庫使用計画 (法人)'!$A$1:$BF$1,0))*1,0),
_xlpm._合計,_xlpm._一般検索+_xlpm._法人検索,
IF(_xlpm._合計=0,"",_xlpm._合計)
)</f>
        <v/>
      </c>
      <c r="BH102" s="804" t="str">
        <f>_xlfn.LET(
_xlpm._一般検索,IFERROR(INDEX('在庫使用計画 (一般)'!$A$1:$BF$391,MATCH($C102,'在庫使用計画 (一般)'!$C$1:$C$391,0),MATCH(BH$1,'在庫使用計画 (一般)'!$A$1:$BF$1,0))*1,0),
_xlpm._法人検索,IFERROR(INDEX('在庫使用計画 (法人)'!$A$1:$BF$391,MATCH($C102,'在庫使用計画 (法人)'!$C$1:$C$391,0),MATCH(BH$1,'在庫使用計画 (法人)'!$A$1:$BF$1,0))*1,0),
_xlpm._合計,_xlpm._一般検索+_xlpm._法人検索,
IF(_xlpm._合計=0,"",_xlpm._合計)
)</f>
        <v/>
      </c>
      <c r="BI102" s="224" t="str">
        <f>_xlfn.LET(
_xlpm._一般検索,IFERROR(INDEX('在庫使用計画 (一般)'!$A$1:$BF$391,MATCH($C102,'在庫使用計画 (一般)'!$C$1:$C$391,0),MATCH(BI$1,'在庫使用計画 (一般)'!$A$1:$BF$1,0))*1,0),
_xlpm._法人検索,IFERROR(INDEX('在庫使用計画 (法人)'!$A$1:$BF$391,MATCH($C102,'在庫使用計画 (法人)'!$C$1:$C$391,0),MATCH(BI$1,'在庫使用計画 (法人)'!$A$1:$BF$1,0))*1,0),
_xlpm._合計,_xlpm._一般検索+_xlpm._法人検索,
IF(_xlpm._合計=0,"",_xlpm._合計)
)</f>
        <v/>
      </c>
      <c r="BJ102" s="224" t="str">
        <f>_xlfn.LET(
_xlpm._一般検索,IFERROR(INDEX('在庫使用計画 (一般)'!$A$1:$BF$391,MATCH($C102,'在庫使用計画 (一般)'!$C$1:$C$391,0),MATCH(BJ$1,'在庫使用計画 (一般)'!$A$1:$BF$1,0))*1,0),
_xlpm._法人検索,IFERROR(INDEX('在庫使用計画 (法人)'!$A$1:$BF$391,MATCH($C102,'在庫使用計画 (法人)'!$C$1:$C$391,0),MATCH(BJ$1,'在庫使用計画 (法人)'!$A$1:$BF$1,0))*1,0),
_xlpm._合計,_xlpm._一般検索+_xlpm._法人検索,
IF(_xlpm._合計=0,"",_xlpm._合計)
)</f>
        <v/>
      </c>
      <c r="BK102" s="224" t="str">
        <f>_xlfn.LET(
_xlpm._一般検索,IFERROR(INDEX('在庫使用計画 (一般)'!$A$1:$BF$391,MATCH($C102,'在庫使用計画 (一般)'!$C$1:$C$391,0),MATCH(BK$1,'在庫使用計画 (一般)'!$A$1:$BF$1,0))*1,0),
_xlpm._法人検索,IFERROR(INDEX('在庫使用計画 (法人)'!$A$1:$BF$391,MATCH($C102,'在庫使用計画 (法人)'!$C$1:$C$391,0),MATCH(BK$1,'在庫使用計画 (法人)'!$A$1:$BF$1,0))*1,0),
_xlpm._合計,_xlpm._一般検索+_xlpm._法人検索,
IF(_xlpm._合計=0,"",_xlpm._合計)
)</f>
        <v/>
      </c>
      <c r="BL102" s="224" t="str">
        <f>_xlfn.LET(
_xlpm._一般検索,IFERROR(INDEX('在庫使用計画 (一般)'!$A$1:$BF$391,MATCH($C102,'在庫使用計画 (一般)'!$C$1:$C$391,0),MATCH(BL$1,'在庫使用計画 (一般)'!$A$1:$BF$1,0))*1,0),
_xlpm._法人検索,IFERROR(INDEX('在庫使用計画 (法人)'!$A$1:$BF$391,MATCH($C102,'在庫使用計画 (法人)'!$C$1:$C$391,0),MATCH(BL$1,'在庫使用計画 (法人)'!$A$1:$BF$1,0))*1,0),
_xlpm._合計,_xlpm._一般検索+_xlpm._法人検索,
IF(_xlpm._合計=0,"",_xlpm._合計)
)</f>
        <v/>
      </c>
      <c r="BM102" s="224" t="str">
        <f>_xlfn.LET(
_xlpm._一般検索,IFERROR(INDEX('在庫使用計画 (一般)'!$A$1:$BF$391,MATCH($C102,'在庫使用計画 (一般)'!$C$1:$C$391,0),MATCH(BM$1,'在庫使用計画 (一般)'!$A$1:$BF$1,0))*1,0),
_xlpm._法人検索,IFERROR(INDEX('在庫使用計画 (法人)'!$A$1:$BF$391,MATCH($C102,'在庫使用計画 (法人)'!$C$1:$C$391,0),MATCH(BM$1,'在庫使用計画 (法人)'!$A$1:$BF$1,0))*1,0),
_xlpm._合計,_xlpm._一般検索+_xlpm._法人検索,
IF(_xlpm._合計=0,"",_xlpm._合計)
)</f>
        <v/>
      </c>
      <c r="BN102" s="224" t="str">
        <f>_xlfn.LET(
_xlpm._一般検索,IFERROR(INDEX('在庫使用計画 (一般)'!$A$1:$BF$391,MATCH($C102,'在庫使用計画 (一般)'!$C$1:$C$391,0),MATCH(BN$1,'在庫使用計画 (一般)'!$A$1:$BF$1,0))*1,0),
_xlpm._法人検索,IFERROR(INDEX('在庫使用計画 (法人)'!$A$1:$BF$391,MATCH($C102,'在庫使用計画 (法人)'!$C$1:$C$391,0),MATCH(BN$1,'在庫使用計画 (法人)'!$A$1:$BF$1,0))*1,0),
_xlpm._合計,_xlpm._一般検索+_xlpm._法人検索,
IF(_xlpm._合計=0,"",_xlpm._合計)
)</f>
        <v/>
      </c>
      <c r="BO102" s="224" t="str">
        <f>_xlfn.LET(
_xlpm._一般検索,IFERROR(INDEX('在庫使用計画 (一般)'!$A$1:$BF$391,MATCH($C102,'在庫使用計画 (一般)'!$C$1:$C$391,0),MATCH(BO$1,'在庫使用計画 (一般)'!$A$1:$BF$1,0))*1,0),
_xlpm._法人検索,IFERROR(INDEX('在庫使用計画 (法人)'!$A$1:$BF$391,MATCH($C102,'在庫使用計画 (法人)'!$C$1:$C$391,0),MATCH(BO$1,'在庫使用計画 (法人)'!$A$1:$BF$1,0))*1,0),
_xlpm._合計,_xlpm._一般検索+_xlpm._法人検索,
IF(_xlpm._合計=0,"",_xlpm._合計)
)</f>
        <v/>
      </c>
      <c r="BP102" s="224" t="str">
        <f>_xlfn.LET(
_xlpm._一般検索,IFERROR(INDEX('在庫使用計画 (一般)'!$A$1:$BF$391,MATCH($C102,'在庫使用計画 (一般)'!$C$1:$C$391,0),MATCH(BP$1,'在庫使用計画 (一般)'!$A$1:$BF$1,0))*1,0),
_xlpm._法人検索,IFERROR(INDEX('在庫使用計画 (法人)'!$A$1:$BF$391,MATCH($C102,'在庫使用計画 (法人)'!$C$1:$C$391,0),MATCH(BP$1,'在庫使用計画 (法人)'!$A$1:$BF$1,0))*1,0),
_xlpm._合計,_xlpm._一般検索+_xlpm._法人検索,
IF(_xlpm._合計=0,"",_xlpm._合計)
)</f>
        <v/>
      </c>
      <c r="BQ102" s="224" t="str">
        <f>_xlfn.LET(
_xlpm._一般検索,IFERROR(INDEX('在庫使用計画 (一般)'!$A$1:$BF$391,MATCH($C102,'在庫使用計画 (一般)'!$C$1:$C$391,0),MATCH(BQ$1,'在庫使用計画 (一般)'!$A$1:$BF$1,0))*1,0),
_xlpm._法人検索,IFERROR(INDEX('在庫使用計画 (法人)'!$A$1:$BF$391,MATCH($C102,'在庫使用計画 (法人)'!$C$1:$C$391,0),MATCH(BQ$1,'在庫使用計画 (法人)'!$A$1:$BF$1,0))*1,0),
_xlpm._合計,_xlpm._一般検索+_xlpm._法人検索,
IF(_xlpm._合計=0,"",_xlpm._合計)
)</f>
        <v/>
      </c>
      <c r="BR102" s="224" t="str">
        <f>_xlfn.LET(
_xlpm._一般検索,IFERROR(INDEX('在庫使用計画 (一般)'!$A$1:$BF$391,MATCH($C102,'在庫使用計画 (一般)'!$C$1:$C$391,0),MATCH(BR$1,'在庫使用計画 (一般)'!$A$1:$BF$1,0))*1,0),
_xlpm._法人検索,IFERROR(INDEX('在庫使用計画 (法人)'!$A$1:$BF$391,MATCH($C102,'在庫使用計画 (法人)'!$C$1:$C$391,0),MATCH(BR$1,'在庫使用計画 (法人)'!$A$1:$BF$1,0))*1,0),
_xlpm._合計,_xlpm._一般検索+_xlpm._法人検索,
IF(_xlpm._合計=0,"",_xlpm._合計)
)</f>
        <v/>
      </c>
      <c r="BS102" s="805" t="str">
        <f>_xlfn.LET(
_xlpm._一般検索,IFERROR(INDEX('在庫使用計画 (一般)'!$A$1:$BF$391,MATCH($C102,'在庫使用計画 (一般)'!$C$1:$C$391,0),MATCH(BS$1,'在庫使用計画 (一般)'!$A$1:$BF$1,0))*1,0),
_xlpm._法人検索,IFERROR(INDEX('在庫使用計画 (法人)'!$A$1:$BF$391,MATCH($C102,'在庫使用計画 (法人)'!$C$1:$C$391,0),MATCH(BS$1,'在庫使用計画 (法人)'!$A$1:$BF$1,0))*1,0),
_xlpm._合計,_xlpm._一般検索+_xlpm._法人検索,
IF(_xlpm._合計=0,"",_xlpm._合計)
)</f>
        <v/>
      </c>
      <c r="BT102" s="77"/>
    </row>
    <row r="103" spans="1:72" customFormat="1" ht="18.75" customHeight="1" thickBot="1">
      <c r="A103" s="1073" t="s">
        <v>1473</v>
      </c>
      <c r="B103" s="1124" t="str">
        <v>CLE-V74-R5-7535HS-L6-TPM-DDR5-TW-RG</v>
      </c>
      <c r="C103" s="1451" t="s">
        <v>1663</v>
      </c>
      <c r="D103" s="2170">
        <v>266</v>
      </c>
      <c r="E103" s="1392"/>
      <c r="F103" s="639"/>
      <c r="G103" s="74">
        <v>266</v>
      </c>
      <c r="H103" s="38">
        <v>0</v>
      </c>
      <c r="I103" s="38" cm="1">
        <f t="array" ref="I103">IF($C103="","",
_xlfn.LET(
  _xlpm._見出し,$A$1:$BT$1,
  _xlpm._行,$A103:$BT103,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183</v>
      </c>
      <c r="J103" s="74" cm="1">
        <f t="array" ref="J103">_xlfn.LET(
  _xlpm._見出し,$A$1:$BS$1,
  _xlpm._行,$A103:$BS103,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IF($C103="","",_xlpm._四点五月計画合計)
)</f>
        <v>277</v>
      </c>
      <c r="K103" s="1458" cm="1">
        <f t="array" ref="K103">_xlfn.IFS(
  $C103="","",
  $G103="","発売前？",
  $G103=0,"在庫なし",
  TRUE,
  IFERROR(
    _xlfn.LET(
      _xlpm._在庫注残,     $G103,
      _xlpm._しきい値,     _xlpm._在庫注残 * 0.75,
      _xlpm._見出し元,     $L$1:$BU$1,
      _xlpm._計画,         $L103:$BU103,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46327</v>
      </c>
      <c r="L103" s="180"/>
      <c r="M103" s="180"/>
      <c r="N103" s="180"/>
      <c r="O103" s="180"/>
      <c r="P103" s="180"/>
      <c r="Q103" s="180"/>
      <c r="R103" s="180"/>
      <c r="S103" s="180"/>
      <c r="T103" s="299"/>
      <c r="U103" s="224"/>
      <c r="V103" s="224"/>
      <c r="W103" s="224"/>
      <c r="X103" s="224"/>
      <c r="Y103" s="1050"/>
      <c r="Z103" s="1050"/>
      <c r="AA103" s="1050"/>
      <c r="AB103" s="1050"/>
      <c r="AC103" s="1050"/>
      <c r="AD103" s="1050"/>
      <c r="AE103" s="1050"/>
      <c r="AF103" s="1050"/>
      <c r="AG103" s="1050"/>
      <c r="AH103" s="224"/>
      <c r="AI103" s="1050"/>
      <c r="AJ103" s="804" t="s">
        <v>21</v>
      </c>
      <c r="AK103" s="224" t="s">
        <v>21</v>
      </c>
      <c r="AL103" s="224" t="s">
        <v>21</v>
      </c>
      <c r="AM103" s="224" t="s">
        <v>21</v>
      </c>
      <c r="AN103" s="224" t="str">
        <f>_xlfn.LET(
_xlpm._一般検索,IFERROR(INDEX('在庫使用計画 (一般)'!$A$1:$BF$391,MATCH($C103,'在庫使用計画 (一般)'!$C$1:$C$391,0),MATCH(AN$1,'在庫使用計画 (一般)'!$A$1:$BF$1,0))*1,0),
_xlpm._法人検索,IFERROR(INDEX('在庫使用計画 (法人)'!$A$1:$BF$391,MATCH($C103,'在庫使用計画 (法人)'!$C$1:$C$391,0),MATCH(AN$1,'在庫使用計画 (法人)'!$A$1:$BF$1,0))*1,0),
_xlpm._合計,_xlpm._一般検索+_xlpm._法人検索,
IF(_xlpm._合計=0,"",_xlpm._合計)
)</f>
        <v/>
      </c>
      <c r="AO103" s="224" t="str">
        <f>_xlfn.LET(
_xlpm._一般検索,IFERROR(INDEX('在庫使用計画 (一般)'!$A$1:$BF$391,MATCH($C103,'在庫使用計画 (一般)'!$C$1:$C$391,0),MATCH(AO$1,'在庫使用計画 (一般)'!$A$1:$BF$1,0))*1,0),
_xlpm._法人検索,IFERROR(INDEX('在庫使用計画 (法人)'!$A$1:$BF$391,MATCH($C103,'在庫使用計画 (法人)'!$C$1:$C$391,0),MATCH(AO$1,'在庫使用計画 (法人)'!$A$1:$BF$1,0))*1,0),
_xlpm._合計,_xlpm._一般検索+_xlpm._法人検索,
IF(_xlpm._合計=0,"",_xlpm._合計)
)</f>
        <v/>
      </c>
      <c r="AP103" s="224" t="str">
        <f>_xlfn.LET(
_xlpm._一般検索,IFERROR(INDEX('在庫使用計画 (一般)'!$A$1:$BF$391,MATCH($C103,'在庫使用計画 (一般)'!$C$1:$C$391,0),MATCH(AP$1,'在庫使用計画 (一般)'!$A$1:$BF$1,0))*1,0),
_xlpm._法人検索,IFERROR(INDEX('在庫使用計画 (法人)'!$A$1:$BF$391,MATCH($C103,'在庫使用計画 (法人)'!$C$1:$C$391,0),MATCH(AP$1,'在庫使用計画 (法人)'!$A$1:$BF$1,0))*1,0),
_xlpm._合計,_xlpm._一般検索+_xlpm._法人検索,
IF(_xlpm._合計=0,"",_xlpm._合計)
)</f>
        <v/>
      </c>
      <c r="AQ103" s="224" t="str">
        <f>_xlfn.LET(
_xlpm._一般検索,IFERROR(INDEX('在庫使用計画 (一般)'!$A$1:$BF$391,MATCH($C103,'在庫使用計画 (一般)'!$C$1:$C$391,0),MATCH(AQ$1,'在庫使用計画 (一般)'!$A$1:$BF$1,0))*1,0),
_xlpm._法人検索,IFERROR(INDEX('在庫使用計画 (法人)'!$A$1:$BF$391,MATCH($C103,'在庫使用計画 (法人)'!$C$1:$C$391,0),MATCH(AQ$1,'在庫使用計画 (法人)'!$A$1:$BF$1,0))*1,0),
_xlpm._合計,_xlpm._一般検索+_xlpm._法人検索,
IF(_xlpm._合計=0,"",_xlpm._合計)
)</f>
        <v/>
      </c>
      <c r="AR103" s="224">
        <f>_xlfn.LET(
_xlpm._一般検索,IFERROR(INDEX('在庫使用計画 (一般)'!$A$1:$BF$391,MATCH($C103,'在庫使用計画 (一般)'!$C$1:$C$391,0),MATCH(AR$1,'在庫使用計画 (一般)'!$A$1:$BF$1,0))*1,0),
_xlpm._法人検索,IFERROR(INDEX('在庫使用計画 (法人)'!$A$1:$BF$391,MATCH($C103,'在庫使用計画 (法人)'!$C$1:$C$391,0),MATCH(AR$1,'在庫使用計画 (法人)'!$A$1:$BF$1,0))*1,0),
_xlpm._合計,_xlpm._一般検索+_xlpm._法人検索,
IF(_xlpm._合計=0,"",_xlpm._合計)
)</f>
        <v>93</v>
      </c>
      <c r="AS103" s="224">
        <f>_xlfn.LET(
_xlpm._一般検索,IFERROR(INDEX('在庫使用計画 (一般)'!$A$1:$BF$391,MATCH($C103,'在庫使用計画 (一般)'!$C$1:$C$391,0),MATCH(AS$1,'在庫使用計画 (一般)'!$A$1:$BF$1,0))*1,0),
_xlpm._法人検索,IFERROR(INDEX('在庫使用計画 (法人)'!$A$1:$BF$391,MATCH($C103,'在庫使用計画 (法人)'!$C$1:$C$391,0),MATCH(AS$1,'在庫使用計画 (法人)'!$A$1:$BF$1,0))*1,0),
_xlpm._合計,_xlpm._一般検索+_xlpm._法人検索,
IF(_xlpm._合計=0,"",_xlpm._合計)
)</f>
        <v>90</v>
      </c>
      <c r="AT103" s="224">
        <f>_xlfn.LET(
_xlpm._一般検索,IFERROR(INDEX('在庫使用計画 (一般)'!$A$1:$BF$391,MATCH($C103,'在庫使用計画 (一般)'!$C$1:$C$391,0),MATCH(AT$1,'在庫使用計画 (一般)'!$A$1:$BF$1,0))*1,0),
_xlpm._法人検索,IFERROR(INDEX('在庫使用計画 (法人)'!$A$1:$BF$391,MATCH($C103,'在庫使用計画 (法人)'!$C$1:$C$391,0),MATCH(AT$1,'在庫使用計画 (法人)'!$A$1:$BF$1,0))*1,0),
_xlpm._合計,_xlpm._一般検索+_xlpm._法人検索,
IF(_xlpm._合計=0,"",_xlpm._合計)
)</f>
        <v>94</v>
      </c>
      <c r="AU103" s="805">
        <f>_xlfn.LET(
_xlpm._一般検索,IFERROR(INDEX('在庫使用計画 (一般)'!$A$1:$BF$391,MATCH($C103,'在庫使用計画 (一般)'!$C$1:$C$391,0),MATCH(AU$1,'在庫使用計画 (一般)'!$A$1:$BF$1,0))*1,0),
_xlpm._法人検索,IFERROR(INDEX('在庫使用計画 (法人)'!$A$1:$BF$391,MATCH($C103,'在庫使用計画 (法人)'!$C$1:$C$391,0),MATCH(AU$1,'在庫使用計画 (法人)'!$A$1:$BF$1,0))*1,0),
_xlpm._合計,_xlpm._一般検索+_xlpm._法人検索,
IF(_xlpm._合計=0,"",_xlpm._合計)
)</f>
        <v>126</v>
      </c>
      <c r="AV103" s="244">
        <f>_xlfn.LET(
_xlpm._一般検索,IFERROR(INDEX('在庫使用計画 (一般)'!$A$1:$BF$391,MATCH($C103,'在庫使用計画 (一般)'!$C$1:$C$391,0),MATCH(AV$1,'在庫使用計画 (一般)'!$A$1:$BF$1,0))*1,0),
_xlpm._法人検索,IFERROR(INDEX('在庫使用計画 (法人)'!$A$1:$BF$391,MATCH($C103,'在庫使用計画 (法人)'!$C$1:$C$391,0),MATCH(AV$1,'在庫使用計画 (法人)'!$A$1:$BF$1,0))*1,0),
_xlpm._合計,_xlpm._一般検索+_xlpm._法人検索,
IF(_xlpm._合計=0,"",_xlpm._合計)
)</f>
        <v>134</v>
      </c>
      <c r="AW103" s="224">
        <f>_xlfn.LET(
_xlpm._一般検索,IFERROR(INDEX('在庫使用計画 (一般)'!$A$1:$BF$391,MATCH($C103,'在庫使用計画 (一般)'!$C$1:$C$391,0),MATCH(AW$1,'在庫使用計画 (一般)'!$A$1:$BF$1,0))*1,0),
_xlpm._法人検索,IFERROR(INDEX('在庫使用計画 (法人)'!$A$1:$BF$391,MATCH($C103,'在庫使用計画 (法人)'!$C$1:$C$391,0),MATCH(AW$1,'在庫使用計画 (法人)'!$A$1:$BF$1,0))*1,0),
_xlpm._合計,_xlpm._一般検索+_xlpm._法人検索,
IF(_xlpm._合計=0,"",_xlpm._合計)
)</f>
        <v>109</v>
      </c>
      <c r="AX103" s="224">
        <f>_xlfn.LET(
_xlpm._一般検索,IFERROR(INDEX('在庫使用計画 (一般)'!$A$1:$BF$391,MATCH($C103,'在庫使用計画 (一般)'!$C$1:$C$391,0),MATCH(AX$1,'在庫使用計画 (一般)'!$A$1:$BF$1,0))*1,0),
_xlpm._法人検索,IFERROR(INDEX('在庫使用計画 (法人)'!$A$1:$BF$391,MATCH($C103,'在庫使用計画 (法人)'!$C$1:$C$391,0),MATCH(AX$1,'在庫使用計画 (法人)'!$A$1:$BF$1,0))*1,0),
_xlpm._合計,_xlpm._一般検索+_xlpm._法人検索,
IF(_xlpm._合計=0,"",_xlpm._合計)
)</f>
        <v>140</v>
      </c>
      <c r="AY103" s="224">
        <f>_xlfn.LET(
_xlpm._一般検索,IFERROR(INDEX('在庫使用計画 (一般)'!$A$1:$BF$391,MATCH($C103,'在庫使用計画 (一般)'!$C$1:$C$391,0),MATCH(AY$1,'在庫使用計画 (一般)'!$A$1:$BF$1,0))*1,0),
_xlpm._法人検索,IFERROR(INDEX('在庫使用計画 (法人)'!$A$1:$BF$391,MATCH($C103,'在庫使用計画 (法人)'!$C$1:$C$391,0),MATCH(AY$1,'在庫使用計画 (法人)'!$A$1:$BF$1,0))*1,0),
_xlpm._合計,_xlpm._一般検索+_xlpm._法人検索,
IF(_xlpm._合計=0,"",_xlpm._合計)
)</f>
        <v>122</v>
      </c>
      <c r="AZ103" s="224">
        <f>_xlfn.LET(
_xlpm._一般検索,IFERROR(INDEX('在庫使用計画 (一般)'!$A$1:$BF$391,MATCH($C103,'在庫使用計画 (一般)'!$C$1:$C$391,0),MATCH(AZ$1,'在庫使用計画 (一般)'!$A$1:$BF$1,0))*1,0),
_xlpm._法人検索,IFERROR(INDEX('在庫使用計画 (法人)'!$A$1:$BF$391,MATCH($C103,'在庫使用計画 (法人)'!$C$1:$C$391,0),MATCH(AZ$1,'在庫使用計画 (法人)'!$A$1:$BF$1,0))*1,0),
_xlpm._合計,_xlpm._一般検索+_xlpm._法人検索,
IF(_xlpm._合計=0,"",_xlpm._合計)
)</f>
        <v>102</v>
      </c>
      <c r="BA103" s="224">
        <f>_xlfn.LET(
_xlpm._一般検索,IFERROR(INDEX('在庫使用計画 (一般)'!$A$1:$BF$391,MATCH($C103,'在庫使用計画 (一般)'!$C$1:$C$391,0),MATCH(BA$1,'在庫使用計画 (一般)'!$A$1:$BF$1,0))*1,0),
_xlpm._法人検索,IFERROR(INDEX('在庫使用計画 (法人)'!$A$1:$BF$391,MATCH($C103,'在庫使用計画 (法人)'!$C$1:$C$391,0),MATCH(BA$1,'在庫使用計画 (法人)'!$A$1:$BF$1,0))*1,0),
_xlpm._合計,_xlpm._一般検索+_xlpm._法人検索,
IF(_xlpm._合計=0,"",_xlpm._合計)
)</f>
        <v>102</v>
      </c>
      <c r="BB103" s="224">
        <f>_xlfn.LET(
_xlpm._一般検索,IFERROR(INDEX('在庫使用計画 (一般)'!$A$1:$BF$391,MATCH($C103,'在庫使用計画 (一般)'!$C$1:$C$391,0),MATCH(BB$1,'在庫使用計画 (一般)'!$A$1:$BF$1,0))*1,0),
_xlpm._法人検索,IFERROR(INDEX('在庫使用計画 (法人)'!$A$1:$BF$391,MATCH($C103,'在庫使用計画 (法人)'!$C$1:$C$391,0),MATCH(BB$1,'在庫使用計画 (法人)'!$A$1:$BF$1,0))*1,0),
_xlpm._合計,_xlpm._一般検索+_xlpm._法人検索,
IF(_xlpm._合計=0,"",_xlpm._合計)
)</f>
        <v>122</v>
      </c>
      <c r="BC103" s="224">
        <f>_xlfn.LET(
_xlpm._一般検索,IFERROR(INDEX('在庫使用計画 (一般)'!$A$1:$BF$391,MATCH($C103,'在庫使用計画 (一般)'!$C$1:$C$391,0),MATCH(BC$1,'在庫使用計画 (一般)'!$A$1:$BF$1,0))*1,0),
_xlpm._法人検索,IFERROR(INDEX('在庫使用計画 (法人)'!$A$1:$BF$391,MATCH($C103,'在庫使用計画 (法人)'!$C$1:$C$391,0),MATCH(BC$1,'在庫使用計画 (法人)'!$A$1:$BF$1,0))*1,0),
_xlpm._合計,_xlpm._一般検索+_xlpm._法人検索,
IF(_xlpm._合計=0,"",_xlpm._合計)
)</f>
        <v>106</v>
      </c>
      <c r="BD103" s="224" t="str">
        <f>_xlfn.LET(
_xlpm._一般検索,IFERROR(INDEX('在庫使用計画 (一般)'!$A$1:$BF$391,MATCH($C103,'在庫使用計画 (一般)'!$C$1:$C$391,0),MATCH(BD$1,'在庫使用計画 (一般)'!$A$1:$BF$1,0))*1,0),
_xlpm._法人検索,IFERROR(INDEX('在庫使用計画 (法人)'!$A$1:$BF$391,MATCH($C103,'在庫使用計画 (法人)'!$C$1:$C$391,0),MATCH(BD$1,'在庫使用計画 (法人)'!$A$1:$BF$1,0))*1,0),
_xlpm._合計,_xlpm._一般検索+_xlpm._法人検索,
IF(_xlpm._合計=0,"",_xlpm._合計)
)</f>
        <v/>
      </c>
      <c r="BE103" s="224" t="str">
        <f>_xlfn.LET(
_xlpm._一般検索,IFERROR(INDEX('在庫使用計画 (一般)'!$A$1:$BF$391,MATCH($C103,'在庫使用計画 (一般)'!$C$1:$C$391,0),MATCH(BE$1,'在庫使用計画 (一般)'!$A$1:$BF$1,0))*1,0),
_xlpm._法人検索,IFERROR(INDEX('在庫使用計画 (法人)'!$A$1:$BF$391,MATCH($C103,'在庫使用計画 (法人)'!$C$1:$C$391,0),MATCH(BE$1,'在庫使用計画 (法人)'!$A$1:$BF$1,0))*1,0),
_xlpm._合計,_xlpm._一般検索+_xlpm._法人検索,
IF(_xlpm._合計=0,"",_xlpm._合計)
)</f>
        <v/>
      </c>
      <c r="BF103" s="224" t="str">
        <f>_xlfn.LET(
_xlpm._一般検索,IFERROR(INDEX('在庫使用計画 (一般)'!$A$1:$BF$391,MATCH($C103,'在庫使用計画 (一般)'!$C$1:$C$391,0),MATCH(BF$1,'在庫使用計画 (一般)'!$A$1:$BF$1,0))*1,0),
_xlpm._法人検索,IFERROR(INDEX('在庫使用計画 (法人)'!$A$1:$BF$391,MATCH($C103,'在庫使用計画 (法人)'!$C$1:$C$391,0),MATCH(BF$1,'在庫使用計画 (法人)'!$A$1:$BF$1,0))*1,0),
_xlpm._合計,_xlpm._一般検索+_xlpm._法人検索,
IF(_xlpm._合計=0,"",_xlpm._合計)
)</f>
        <v/>
      </c>
      <c r="BG103" s="237" t="str">
        <f>_xlfn.LET(
_xlpm._一般検索,IFERROR(INDEX('在庫使用計画 (一般)'!$A$1:$BF$391,MATCH($C103,'在庫使用計画 (一般)'!$C$1:$C$391,0),MATCH(BG$1,'在庫使用計画 (一般)'!$A$1:$BF$1,0))*1,0),
_xlpm._法人検索,IFERROR(INDEX('在庫使用計画 (法人)'!$A$1:$BF$391,MATCH($C103,'在庫使用計画 (法人)'!$C$1:$C$391,0),MATCH(BG$1,'在庫使用計画 (法人)'!$A$1:$BF$1,0))*1,0),
_xlpm._合計,_xlpm._一般検索+_xlpm._法人検索,
IF(_xlpm._合計=0,"",_xlpm._合計)
)</f>
        <v/>
      </c>
      <c r="BH103" s="804" t="str">
        <f>_xlfn.LET(
_xlpm._一般検索,IFERROR(INDEX('在庫使用計画 (一般)'!$A$1:$BF$391,MATCH($C103,'在庫使用計画 (一般)'!$C$1:$C$391,0),MATCH(BH$1,'在庫使用計画 (一般)'!$A$1:$BF$1,0))*1,0),
_xlpm._法人検索,IFERROR(INDEX('在庫使用計画 (法人)'!$A$1:$BF$391,MATCH($C103,'在庫使用計画 (法人)'!$C$1:$C$391,0),MATCH(BH$1,'在庫使用計画 (法人)'!$A$1:$BF$1,0))*1,0),
_xlpm._合計,_xlpm._一般検索+_xlpm._法人検索,
IF(_xlpm._合計=0,"",_xlpm._合計)
)</f>
        <v/>
      </c>
      <c r="BI103" s="224" t="str">
        <f>_xlfn.LET(
_xlpm._一般検索,IFERROR(INDEX('在庫使用計画 (一般)'!$A$1:$BF$391,MATCH($C103,'在庫使用計画 (一般)'!$C$1:$C$391,0),MATCH(BI$1,'在庫使用計画 (一般)'!$A$1:$BF$1,0))*1,0),
_xlpm._法人検索,IFERROR(INDEX('在庫使用計画 (法人)'!$A$1:$BF$391,MATCH($C103,'在庫使用計画 (法人)'!$C$1:$C$391,0),MATCH(BI$1,'在庫使用計画 (法人)'!$A$1:$BF$1,0))*1,0),
_xlpm._合計,_xlpm._一般検索+_xlpm._法人検索,
IF(_xlpm._合計=0,"",_xlpm._合計)
)</f>
        <v/>
      </c>
      <c r="BJ103" s="224" t="str">
        <f>_xlfn.LET(
_xlpm._一般検索,IFERROR(INDEX('在庫使用計画 (一般)'!$A$1:$BF$391,MATCH($C103,'在庫使用計画 (一般)'!$C$1:$C$391,0),MATCH(BJ$1,'在庫使用計画 (一般)'!$A$1:$BF$1,0))*1,0),
_xlpm._法人検索,IFERROR(INDEX('在庫使用計画 (法人)'!$A$1:$BF$391,MATCH($C103,'在庫使用計画 (法人)'!$C$1:$C$391,0),MATCH(BJ$1,'在庫使用計画 (法人)'!$A$1:$BF$1,0))*1,0),
_xlpm._合計,_xlpm._一般検索+_xlpm._法人検索,
IF(_xlpm._合計=0,"",_xlpm._合計)
)</f>
        <v/>
      </c>
      <c r="BK103" s="224" t="str">
        <f>_xlfn.LET(
_xlpm._一般検索,IFERROR(INDEX('在庫使用計画 (一般)'!$A$1:$BF$391,MATCH($C103,'在庫使用計画 (一般)'!$C$1:$C$391,0),MATCH(BK$1,'在庫使用計画 (一般)'!$A$1:$BF$1,0))*1,0),
_xlpm._法人検索,IFERROR(INDEX('在庫使用計画 (法人)'!$A$1:$BF$391,MATCH($C103,'在庫使用計画 (法人)'!$C$1:$C$391,0),MATCH(BK$1,'在庫使用計画 (法人)'!$A$1:$BF$1,0))*1,0),
_xlpm._合計,_xlpm._一般検索+_xlpm._法人検索,
IF(_xlpm._合計=0,"",_xlpm._合計)
)</f>
        <v/>
      </c>
      <c r="BL103" s="224" t="str">
        <f>_xlfn.LET(
_xlpm._一般検索,IFERROR(INDEX('在庫使用計画 (一般)'!$A$1:$BF$391,MATCH($C103,'在庫使用計画 (一般)'!$C$1:$C$391,0),MATCH(BL$1,'在庫使用計画 (一般)'!$A$1:$BF$1,0))*1,0),
_xlpm._法人検索,IFERROR(INDEX('在庫使用計画 (法人)'!$A$1:$BF$391,MATCH($C103,'在庫使用計画 (法人)'!$C$1:$C$391,0),MATCH(BL$1,'在庫使用計画 (法人)'!$A$1:$BF$1,0))*1,0),
_xlpm._合計,_xlpm._一般検索+_xlpm._法人検索,
IF(_xlpm._合計=0,"",_xlpm._合計)
)</f>
        <v/>
      </c>
      <c r="BM103" s="224" t="str">
        <f>_xlfn.LET(
_xlpm._一般検索,IFERROR(INDEX('在庫使用計画 (一般)'!$A$1:$BF$391,MATCH($C103,'在庫使用計画 (一般)'!$C$1:$C$391,0),MATCH(BM$1,'在庫使用計画 (一般)'!$A$1:$BF$1,0))*1,0),
_xlpm._法人検索,IFERROR(INDEX('在庫使用計画 (法人)'!$A$1:$BF$391,MATCH($C103,'在庫使用計画 (法人)'!$C$1:$C$391,0),MATCH(BM$1,'在庫使用計画 (法人)'!$A$1:$BF$1,0))*1,0),
_xlpm._合計,_xlpm._一般検索+_xlpm._法人検索,
IF(_xlpm._合計=0,"",_xlpm._合計)
)</f>
        <v/>
      </c>
      <c r="BN103" s="224" t="str">
        <f>_xlfn.LET(
_xlpm._一般検索,IFERROR(INDEX('在庫使用計画 (一般)'!$A$1:$BF$391,MATCH($C103,'在庫使用計画 (一般)'!$C$1:$C$391,0),MATCH(BN$1,'在庫使用計画 (一般)'!$A$1:$BF$1,0))*1,0),
_xlpm._法人検索,IFERROR(INDEX('在庫使用計画 (法人)'!$A$1:$BF$391,MATCH($C103,'在庫使用計画 (法人)'!$C$1:$C$391,0),MATCH(BN$1,'在庫使用計画 (法人)'!$A$1:$BF$1,0))*1,0),
_xlpm._合計,_xlpm._一般検索+_xlpm._法人検索,
IF(_xlpm._合計=0,"",_xlpm._合計)
)</f>
        <v/>
      </c>
      <c r="BO103" s="224" t="str">
        <f>_xlfn.LET(
_xlpm._一般検索,IFERROR(INDEX('在庫使用計画 (一般)'!$A$1:$BF$391,MATCH($C103,'在庫使用計画 (一般)'!$C$1:$C$391,0),MATCH(BO$1,'在庫使用計画 (一般)'!$A$1:$BF$1,0))*1,0),
_xlpm._法人検索,IFERROR(INDEX('在庫使用計画 (法人)'!$A$1:$BF$391,MATCH($C103,'在庫使用計画 (法人)'!$C$1:$C$391,0),MATCH(BO$1,'在庫使用計画 (法人)'!$A$1:$BF$1,0))*1,0),
_xlpm._合計,_xlpm._一般検索+_xlpm._法人検索,
IF(_xlpm._合計=0,"",_xlpm._合計)
)</f>
        <v/>
      </c>
      <c r="BP103" s="224" t="str">
        <f>_xlfn.LET(
_xlpm._一般検索,IFERROR(INDEX('在庫使用計画 (一般)'!$A$1:$BF$391,MATCH($C103,'在庫使用計画 (一般)'!$C$1:$C$391,0),MATCH(BP$1,'在庫使用計画 (一般)'!$A$1:$BF$1,0))*1,0),
_xlpm._法人検索,IFERROR(INDEX('在庫使用計画 (法人)'!$A$1:$BF$391,MATCH($C103,'在庫使用計画 (法人)'!$C$1:$C$391,0),MATCH(BP$1,'在庫使用計画 (法人)'!$A$1:$BF$1,0))*1,0),
_xlpm._合計,_xlpm._一般検索+_xlpm._法人検索,
IF(_xlpm._合計=0,"",_xlpm._合計)
)</f>
        <v/>
      </c>
      <c r="BQ103" s="224" t="str">
        <f>_xlfn.LET(
_xlpm._一般検索,IFERROR(INDEX('在庫使用計画 (一般)'!$A$1:$BF$391,MATCH($C103,'在庫使用計画 (一般)'!$C$1:$C$391,0),MATCH(BQ$1,'在庫使用計画 (一般)'!$A$1:$BF$1,0))*1,0),
_xlpm._法人検索,IFERROR(INDEX('在庫使用計画 (法人)'!$A$1:$BF$391,MATCH($C103,'在庫使用計画 (法人)'!$C$1:$C$391,0),MATCH(BQ$1,'在庫使用計画 (法人)'!$A$1:$BF$1,0))*1,0),
_xlpm._合計,_xlpm._一般検索+_xlpm._法人検索,
IF(_xlpm._合計=0,"",_xlpm._合計)
)</f>
        <v/>
      </c>
      <c r="BR103" s="224" t="str">
        <f>_xlfn.LET(
_xlpm._一般検索,IFERROR(INDEX('在庫使用計画 (一般)'!$A$1:$BF$391,MATCH($C103,'在庫使用計画 (一般)'!$C$1:$C$391,0),MATCH(BR$1,'在庫使用計画 (一般)'!$A$1:$BF$1,0))*1,0),
_xlpm._法人検索,IFERROR(INDEX('在庫使用計画 (法人)'!$A$1:$BF$391,MATCH($C103,'在庫使用計画 (法人)'!$C$1:$C$391,0),MATCH(BR$1,'在庫使用計画 (法人)'!$A$1:$BF$1,0))*1,0),
_xlpm._合計,_xlpm._一般検索+_xlpm._法人検索,
IF(_xlpm._合計=0,"",_xlpm._合計)
)</f>
        <v/>
      </c>
      <c r="BS103" s="805" t="str">
        <f>_xlfn.LET(
_xlpm._一般検索,IFERROR(INDEX('在庫使用計画 (一般)'!$A$1:$BF$391,MATCH($C103,'在庫使用計画 (一般)'!$C$1:$C$391,0),MATCH(BS$1,'在庫使用計画 (一般)'!$A$1:$BF$1,0))*1,0),
_xlpm._法人検索,IFERROR(INDEX('在庫使用計画 (法人)'!$A$1:$BF$391,MATCH($C103,'在庫使用計画 (法人)'!$C$1:$C$391,0),MATCH(BS$1,'在庫使用計画 (法人)'!$A$1:$BF$1,0))*1,0),
_xlpm._合計,_xlpm._一般検索+_xlpm._法人検索,
IF(_xlpm._合計=0,"",_xlpm._合計)
)</f>
        <v/>
      </c>
      <c r="BT103" s="77"/>
    </row>
    <row r="104" spans="1:72" customFormat="1" ht="18.75" customHeight="1">
      <c r="A104" s="1059"/>
      <c r="B104" s="300" t="str">
        <v/>
      </c>
      <c r="C104" s="1056"/>
      <c r="D104" s="2153" t="str">
        <v/>
      </c>
      <c r="E104" s="62"/>
      <c r="F104" s="26"/>
      <c r="G104" s="74" t="str">
        <v/>
      </c>
      <c r="H104" s="38" t="str">
        <v/>
      </c>
      <c r="I104" s="38" t="str" cm="1">
        <f t="array" ref="I104">IF($C104="","",
_xlfn.LET(
  _xlpm._見出し,$A$1:$BT$1,
  _xlpm._行,$A104:$BT104,
  _xlpm._基準月初,EOMONTH(INT(基準データ!$C$5),-1)+1,
  _xlpm._開始位置,IFERROR(MATCH(_xlpm._基準月初,_xlpm._見出し,0),0),
  _xlpm._終端位置,_xlpm._開始位置+3,
  IF(
    OR(_xlpm._開始位置=0,_xlpm._終端位置&gt;COLUMNS(_xlpm._行)),
    0,
    SUM(IFERROR(--(INDEX(_xlpm._行,1,_xlpm._開始位置):INDEX(_xlpm._行,1,_xlpm._終端位置)),0))
  )
)
)</f>
        <v/>
      </c>
      <c r="J104" s="74" t="str" cm="1">
        <f t="array" ref="J104">_xlfn.LET(
  _xlpm._見出し,$A$1:$BS$1,
  _xlpm._行,$A104:$BS104,
  _xlpm._終端位置,IFERROR(MATCH(EDATE(基準データ!$C$5,4),_xlpm._見出し,1),0),
  _xlpm._今月位置,_xlpm._終端位置-4,
  _xlpm._今月値,IF(_xlpm._今月位置&lt;1,0,IFERROR(--INDEX(_xlpm._行,1,_xlpm._今月位置),0)),
  _xlpm._来月以降四ヶ月合計,
    IF(
      OR(_xlpm._今月位置&lt;1,_xlpm._終端位置&lt;1),
      0,
      SUM(IFERROR(--(INDEX(_xlpm._行,1,_xlpm._今月位置+1):INDEX(_xlpm._行,1,_xlpm._終端位置)),0))
    ),
  _xlpm._四点五月計画合計,_xlpm._今月値*0.5+_xlpm._来月以降四ヶ月合計,
  IF($C104="","",_xlpm._四点五月計画合計)
)</f>
        <v/>
      </c>
      <c r="K104" s="1458" t="str" cm="1">
        <f t="array" ref="K104">_xlfn.IFS(
  $C104="","",
  $G104="","発売前？",
  $G104=0,"在庫なし",
  TRUE,
  IFERROR(
    _xlfn.LET(
      _xlpm._在庫注残,     $G104,
      _xlpm._しきい値,     _xlpm._在庫注残 * 0.75,
      _xlpm._見出し元,     $L$1:$BU$1,
      _xlpm._計画,         $L104:$BU104,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
      </c>
      <c r="L104" s="319"/>
      <c r="M104" s="319"/>
      <c r="N104" s="319"/>
      <c r="O104" s="319"/>
      <c r="P104" s="319"/>
      <c r="Q104" s="319"/>
      <c r="R104" s="319"/>
      <c r="S104" s="319"/>
      <c r="T104" s="677"/>
      <c r="U104" s="222"/>
      <c r="V104" s="222"/>
      <c r="W104" s="222"/>
      <c r="X104" s="222"/>
      <c r="Y104" s="222"/>
      <c r="Z104" s="222"/>
      <c r="AA104" s="222"/>
      <c r="AB104" s="222"/>
      <c r="AC104" s="222"/>
      <c r="AD104" s="1044"/>
      <c r="AE104" s="1044"/>
      <c r="AF104" s="1044"/>
      <c r="AG104" s="1044"/>
      <c r="AH104" s="223" t="s">
        <v>21</v>
      </c>
      <c r="AI104" s="1045" t="s">
        <v>21</v>
      </c>
      <c r="AJ104" s="804" t="s">
        <v>21</v>
      </c>
      <c r="AK104" s="224" t="s">
        <v>21</v>
      </c>
      <c r="AL104" s="224" t="s">
        <v>21</v>
      </c>
      <c r="AM104" s="224" t="s">
        <v>21</v>
      </c>
      <c r="AN104" s="224" t="str">
        <f>_xlfn.LET(
_xlpm._一般検索,IFERROR(INDEX('在庫使用計画 (一般)'!$A$1:$BF$391,MATCH($C104,'在庫使用計画 (一般)'!$C$1:$C$391,0),MATCH(AN$1,'在庫使用計画 (一般)'!$A$1:$BF$1,0))*1,0),
_xlpm._法人検索,IFERROR(INDEX('在庫使用計画 (法人)'!$A$1:$BF$391,MATCH($C104,'在庫使用計画 (法人)'!$C$1:$C$391,0),MATCH(AN$1,'在庫使用計画 (法人)'!$A$1:$BF$1,0))*1,0),
_xlpm._合計,_xlpm._一般検索+_xlpm._法人検索,
IF(_xlpm._合計=0,"",_xlpm._合計)
)</f>
        <v/>
      </c>
      <c r="AO104" s="224" t="str">
        <f>_xlfn.LET(
_xlpm._一般検索,IFERROR(INDEX('在庫使用計画 (一般)'!$A$1:$BF$391,MATCH($C104,'在庫使用計画 (一般)'!$C$1:$C$391,0),MATCH(AO$1,'在庫使用計画 (一般)'!$A$1:$BF$1,0))*1,0),
_xlpm._法人検索,IFERROR(INDEX('在庫使用計画 (法人)'!$A$1:$BF$391,MATCH($C104,'在庫使用計画 (法人)'!$C$1:$C$391,0),MATCH(AO$1,'在庫使用計画 (法人)'!$A$1:$BF$1,0))*1,0),
_xlpm._合計,_xlpm._一般検索+_xlpm._法人検索,
IF(_xlpm._合計=0,"",_xlpm._合計)
)</f>
        <v/>
      </c>
      <c r="AP104" s="224" t="str">
        <f>_xlfn.LET(
_xlpm._一般検索,IFERROR(INDEX('在庫使用計画 (一般)'!$A$1:$BF$391,MATCH($C104,'在庫使用計画 (一般)'!$C$1:$C$391,0),MATCH(AP$1,'在庫使用計画 (一般)'!$A$1:$BF$1,0))*1,0),
_xlpm._法人検索,IFERROR(INDEX('在庫使用計画 (法人)'!$A$1:$BF$391,MATCH($C104,'在庫使用計画 (法人)'!$C$1:$C$391,0),MATCH(AP$1,'在庫使用計画 (法人)'!$A$1:$BF$1,0))*1,0),
_xlpm._合計,_xlpm._一般検索+_xlpm._法人検索,
IF(_xlpm._合計=0,"",_xlpm._合計)
)</f>
        <v/>
      </c>
      <c r="AQ104" s="224" t="str">
        <f>_xlfn.LET(
_xlpm._一般検索,IFERROR(INDEX('在庫使用計画 (一般)'!$A$1:$BF$391,MATCH($C104,'在庫使用計画 (一般)'!$C$1:$C$391,0),MATCH(AQ$1,'在庫使用計画 (一般)'!$A$1:$BF$1,0))*1,0),
_xlpm._法人検索,IFERROR(INDEX('在庫使用計画 (法人)'!$A$1:$BF$391,MATCH($C104,'在庫使用計画 (法人)'!$C$1:$C$391,0),MATCH(AQ$1,'在庫使用計画 (法人)'!$A$1:$BF$1,0))*1,0),
_xlpm._合計,_xlpm._一般検索+_xlpm._法人検索,
IF(_xlpm._合計=0,"",_xlpm._合計)
)</f>
        <v/>
      </c>
      <c r="AR104" s="224" t="str">
        <f>_xlfn.LET(
_xlpm._一般検索,IFERROR(INDEX('在庫使用計画 (一般)'!$A$1:$BF$391,MATCH($C104,'在庫使用計画 (一般)'!$C$1:$C$391,0),MATCH(AR$1,'在庫使用計画 (一般)'!$A$1:$BF$1,0))*1,0),
_xlpm._法人検索,IFERROR(INDEX('在庫使用計画 (法人)'!$A$1:$BF$391,MATCH($C104,'在庫使用計画 (法人)'!$C$1:$C$391,0),MATCH(AR$1,'在庫使用計画 (法人)'!$A$1:$BF$1,0))*1,0),
_xlpm._合計,_xlpm._一般検索+_xlpm._法人検索,
IF(_xlpm._合計=0,"",_xlpm._合計)
)</f>
        <v/>
      </c>
      <c r="AS104" s="224" t="str">
        <f>_xlfn.LET(
_xlpm._一般検索,IFERROR(INDEX('在庫使用計画 (一般)'!$A$1:$BF$391,MATCH($C104,'在庫使用計画 (一般)'!$C$1:$C$391,0),MATCH(AS$1,'在庫使用計画 (一般)'!$A$1:$BF$1,0))*1,0),
_xlpm._法人検索,IFERROR(INDEX('在庫使用計画 (法人)'!$A$1:$BF$391,MATCH($C104,'在庫使用計画 (法人)'!$C$1:$C$391,0),MATCH(AS$1,'在庫使用計画 (法人)'!$A$1:$BF$1,0))*1,0),
_xlpm._合計,_xlpm._一般検索+_xlpm._法人検索,
IF(_xlpm._合計=0,"",_xlpm._合計)
)</f>
        <v/>
      </c>
      <c r="AT104" s="224" t="str">
        <f>_xlfn.LET(
_xlpm._一般検索,IFERROR(INDEX('在庫使用計画 (一般)'!$A$1:$BF$391,MATCH($C104,'在庫使用計画 (一般)'!$C$1:$C$391,0),MATCH(AT$1,'在庫使用計画 (一般)'!$A$1:$BF$1,0))*1,0),
_xlpm._法人検索,IFERROR(INDEX('在庫使用計画 (法人)'!$A$1:$BF$391,MATCH($C104,'在庫使用計画 (法人)'!$C$1:$C$391,0),MATCH(AT$1,'在庫使用計画 (法人)'!$A$1:$BF$1,0))*1,0),
_xlpm._合計,_xlpm._一般検索+_xlpm._法人検索,
IF(_xlpm._合計=0,"",_xlpm._合計)
)</f>
        <v/>
      </c>
      <c r="AU104" s="805" t="str">
        <f>_xlfn.LET(
_xlpm._一般検索,IFERROR(INDEX('在庫使用計画 (一般)'!$A$1:$BF$391,MATCH($C104,'在庫使用計画 (一般)'!$C$1:$C$391,0),MATCH(AU$1,'在庫使用計画 (一般)'!$A$1:$BF$1,0))*1,0),
_xlpm._法人検索,IFERROR(INDEX('在庫使用計画 (法人)'!$A$1:$BF$391,MATCH($C104,'在庫使用計画 (法人)'!$C$1:$C$391,0),MATCH(AU$1,'在庫使用計画 (法人)'!$A$1:$BF$1,0))*1,0),
_xlpm._合計,_xlpm._一般検索+_xlpm._法人検索,
IF(_xlpm._合計=0,"",_xlpm._合計)
)</f>
        <v/>
      </c>
      <c r="AV104" s="244" t="str">
        <f>_xlfn.LET(
_xlpm._一般検索,IFERROR(INDEX('在庫使用計画 (一般)'!$A$1:$BF$391,MATCH($C104,'在庫使用計画 (一般)'!$C$1:$C$391,0),MATCH(AV$1,'在庫使用計画 (一般)'!$A$1:$BF$1,0))*1,0),
_xlpm._法人検索,IFERROR(INDEX('在庫使用計画 (法人)'!$A$1:$BF$391,MATCH($C104,'在庫使用計画 (法人)'!$C$1:$C$391,0),MATCH(AV$1,'在庫使用計画 (法人)'!$A$1:$BF$1,0))*1,0),
_xlpm._合計,_xlpm._一般検索+_xlpm._法人検索,
IF(_xlpm._合計=0,"",_xlpm._合計)
)</f>
        <v/>
      </c>
      <c r="AW104" s="224" t="str">
        <f>_xlfn.LET(
_xlpm._一般検索,IFERROR(INDEX('在庫使用計画 (一般)'!$A$1:$BF$391,MATCH($C104,'在庫使用計画 (一般)'!$C$1:$C$391,0),MATCH(AW$1,'在庫使用計画 (一般)'!$A$1:$BF$1,0))*1,0),
_xlpm._法人検索,IFERROR(INDEX('在庫使用計画 (法人)'!$A$1:$BF$391,MATCH($C104,'在庫使用計画 (法人)'!$C$1:$C$391,0),MATCH(AW$1,'在庫使用計画 (法人)'!$A$1:$BF$1,0))*1,0),
_xlpm._合計,_xlpm._一般検索+_xlpm._法人検索,
IF(_xlpm._合計=0,"",_xlpm._合計)
)</f>
        <v/>
      </c>
      <c r="AX104" s="224" t="str">
        <f>_xlfn.LET(
_xlpm._一般検索,IFERROR(INDEX('在庫使用計画 (一般)'!$A$1:$BF$391,MATCH($C104,'在庫使用計画 (一般)'!$C$1:$C$391,0),MATCH(AX$1,'在庫使用計画 (一般)'!$A$1:$BF$1,0))*1,0),
_xlpm._法人検索,IFERROR(INDEX('在庫使用計画 (法人)'!$A$1:$BF$391,MATCH($C104,'在庫使用計画 (法人)'!$C$1:$C$391,0),MATCH(AX$1,'在庫使用計画 (法人)'!$A$1:$BF$1,0))*1,0),
_xlpm._合計,_xlpm._一般検索+_xlpm._法人検索,
IF(_xlpm._合計=0,"",_xlpm._合計)
)</f>
        <v/>
      </c>
      <c r="AY104" s="224" t="str">
        <f>_xlfn.LET(
_xlpm._一般検索,IFERROR(INDEX('在庫使用計画 (一般)'!$A$1:$BF$391,MATCH($C104,'在庫使用計画 (一般)'!$C$1:$C$391,0),MATCH(AY$1,'在庫使用計画 (一般)'!$A$1:$BF$1,0))*1,0),
_xlpm._法人検索,IFERROR(INDEX('在庫使用計画 (法人)'!$A$1:$BF$391,MATCH($C104,'在庫使用計画 (法人)'!$C$1:$C$391,0),MATCH(AY$1,'在庫使用計画 (法人)'!$A$1:$BF$1,0))*1,0),
_xlpm._合計,_xlpm._一般検索+_xlpm._法人検索,
IF(_xlpm._合計=0,"",_xlpm._合計)
)</f>
        <v/>
      </c>
      <c r="AZ104" s="224" t="str">
        <f>_xlfn.LET(
_xlpm._一般検索,IFERROR(INDEX('在庫使用計画 (一般)'!$A$1:$BF$391,MATCH($C104,'在庫使用計画 (一般)'!$C$1:$C$391,0),MATCH(AZ$1,'在庫使用計画 (一般)'!$A$1:$BF$1,0))*1,0),
_xlpm._法人検索,IFERROR(INDEX('在庫使用計画 (法人)'!$A$1:$BF$391,MATCH($C104,'在庫使用計画 (法人)'!$C$1:$C$391,0),MATCH(AZ$1,'在庫使用計画 (法人)'!$A$1:$BF$1,0))*1,0),
_xlpm._合計,_xlpm._一般検索+_xlpm._法人検索,
IF(_xlpm._合計=0,"",_xlpm._合計)
)</f>
        <v/>
      </c>
      <c r="BA104" s="224" t="str">
        <f>_xlfn.LET(
_xlpm._一般検索,IFERROR(INDEX('在庫使用計画 (一般)'!$A$1:$BF$391,MATCH($C104,'在庫使用計画 (一般)'!$C$1:$C$391,0),MATCH(BA$1,'在庫使用計画 (一般)'!$A$1:$BF$1,0))*1,0),
_xlpm._法人検索,IFERROR(INDEX('在庫使用計画 (法人)'!$A$1:$BF$391,MATCH($C104,'在庫使用計画 (法人)'!$C$1:$C$391,0),MATCH(BA$1,'在庫使用計画 (法人)'!$A$1:$BF$1,0))*1,0),
_xlpm._合計,_xlpm._一般検索+_xlpm._法人検索,
IF(_xlpm._合計=0,"",_xlpm._合計)
)</f>
        <v/>
      </c>
      <c r="BB104" s="224" t="str">
        <f>_xlfn.LET(
_xlpm._一般検索,IFERROR(INDEX('在庫使用計画 (一般)'!$A$1:$BF$391,MATCH($C104,'在庫使用計画 (一般)'!$C$1:$C$391,0),MATCH(BB$1,'在庫使用計画 (一般)'!$A$1:$BF$1,0))*1,0),
_xlpm._法人検索,IFERROR(INDEX('在庫使用計画 (法人)'!$A$1:$BF$391,MATCH($C104,'在庫使用計画 (法人)'!$C$1:$C$391,0),MATCH(BB$1,'在庫使用計画 (法人)'!$A$1:$BF$1,0))*1,0),
_xlpm._合計,_xlpm._一般検索+_xlpm._法人検索,
IF(_xlpm._合計=0,"",_xlpm._合計)
)</f>
        <v/>
      </c>
      <c r="BC104" s="224" t="str">
        <f>_xlfn.LET(
_xlpm._一般検索,IFERROR(INDEX('在庫使用計画 (一般)'!$A$1:$BF$391,MATCH($C104,'在庫使用計画 (一般)'!$C$1:$C$391,0),MATCH(BC$1,'在庫使用計画 (一般)'!$A$1:$BF$1,0))*1,0),
_xlpm._法人検索,IFERROR(INDEX('在庫使用計画 (法人)'!$A$1:$BF$391,MATCH($C104,'在庫使用計画 (法人)'!$C$1:$C$391,0),MATCH(BC$1,'在庫使用計画 (法人)'!$A$1:$BF$1,0))*1,0),
_xlpm._合計,_xlpm._一般検索+_xlpm._法人検索,
IF(_xlpm._合計=0,"",_xlpm._合計)
)</f>
        <v/>
      </c>
      <c r="BD104" s="224" t="str">
        <f>_xlfn.LET(
_xlpm._一般検索,IFERROR(INDEX('在庫使用計画 (一般)'!$A$1:$BF$391,MATCH($C104,'在庫使用計画 (一般)'!$C$1:$C$391,0),MATCH(BD$1,'在庫使用計画 (一般)'!$A$1:$BF$1,0))*1,0),
_xlpm._法人検索,IFERROR(INDEX('在庫使用計画 (法人)'!$A$1:$BF$391,MATCH($C104,'在庫使用計画 (法人)'!$C$1:$C$391,0),MATCH(BD$1,'在庫使用計画 (法人)'!$A$1:$BF$1,0))*1,0),
_xlpm._合計,_xlpm._一般検索+_xlpm._法人検索,
IF(_xlpm._合計=0,"",_xlpm._合計)
)</f>
        <v/>
      </c>
      <c r="BE104" s="224" t="str">
        <f>_xlfn.LET(
_xlpm._一般検索,IFERROR(INDEX('在庫使用計画 (一般)'!$A$1:$BF$391,MATCH($C104,'在庫使用計画 (一般)'!$C$1:$C$391,0),MATCH(BE$1,'在庫使用計画 (一般)'!$A$1:$BF$1,0))*1,0),
_xlpm._法人検索,IFERROR(INDEX('在庫使用計画 (法人)'!$A$1:$BF$391,MATCH($C104,'在庫使用計画 (法人)'!$C$1:$C$391,0),MATCH(BE$1,'在庫使用計画 (法人)'!$A$1:$BF$1,0))*1,0),
_xlpm._合計,_xlpm._一般検索+_xlpm._法人検索,
IF(_xlpm._合計=0,"",_xlpm._合計)
)</f>
        <v/>
      </c>
      <c r="BF104" s="224" t="str">
        <f>_xlfn.LET(
_xlpm._一般検索,IFERROR(INDEX('在庫使用計画 (一般)'!$A$1:$BF$391,MATCH($C104,'在庫使用計画 (一般)'!$C$1:$C$391,0),MATCH(BF$1,'在庫使用計画 (一般)'!$A$1:$BF$1,0))*1,0),
_xlpm._法人検索,IFERROR(INDEX('在庫使用計画 (法人)'!$A$1:$BF$391,MATCH($C104,'在庫使用計画 (法人)'!$C$1:$C$391,0),MATCH(BF$1,'在庫使用計画 (法人)'!$A$1:$BF$1,0))*1,0),
_xlpm._合計,_xlpm._一般検索+_xlpm._法人検索,
IF(_xlpm._合計=0,"",_xlpm._合計)
)</f>
        <v/>
      </c>
      <c r="BG104" s="237" t="str">
        <f>_xlfn.LET(
_xlpm._一般検索,IFERROR(INDEX('在庫使用計画 (一般)'!$A$1:$BF$391,MATCH($C104,'在庫使用計画 (一般)'!$C$1:$C$391,0),MATCH(BG$1,'在庫使用計画 (一般)'!$A$1:$BF$1,0))*1,0),
_xlpm._法人検索,IFERROR(INDEX('在庫使用計画 (法人)'!$A$1:$BF$391,MATCH($C104,'在庫使用計画 (法人)'!$C$1:$C$391,0),MATCH(BG$1,'在庫使用計画 (法人)'!$A$1:$BF$1,0))*1,0),
_xlpm._合計,_xlpm._一般検索+_xlpm._法人検索,
IF(_xlpm._合計=0,"",_xlpm._合計)
)</f>
        <v/>
      </c>
      <c r="BH104" s="804" t="str">
        <f>_xlfn.LET(
_xlpm._一般検索,IFERROR(INDEX('在庫使用計画 (一般)'!$A$1:$BF$391,MATCH($C104,'在庫使用計画 (一般)'!$C$1:$C$391,0),MATCH(BH$1,'在庫使用計画 (一般)'!$A$1:$BF$1,0))*1,0),
_xlpm._法人検索,IFERROR(INDEX('在庫使用計画 (法人)'!$A$1:$BF$391,MATCH($C104,'在庫使用計画 (法人)'!$C$1:$C$391,0),MATCH(BH$1,'在庫使用計画 (法人)'!$A$1:$BF$1,0))*1,0),
_xlpm._合計,_xlpm._一般検索+_xlpm._法人検索,
IF(_xlpm._合計=0,"",_xlpm._合計)
)</f>
        <v/>
      </c>
      <c r="BI104" s="224" t="str">
        <f>_xlfn.LET(
_xlpm._一般検索,IFERROR(INDEX('在庫使用計画 (一般)'!$A$1:$BF$391,MATCH($C104,'在庫使用計画 (一般)'!$C$1:$C$391,0),MATCH(BI$1,'在庫使用計画 (一般)'!$A$1:$BF$1,0))*1,0),
_xlpm._法人検索,IFERROR(INDEX('在庫使用計画 (法人)'!$A$1:$BF$391,MATCH($C104,'在庫使用計画 (法人)'!$C$1:$C$391,0),MATCH(BI$1,'在庫使用計画 (法人)'!$A$1:$BF$1,0))*1,0),
_xlpm._合計,_xlpm._一般検索+_xlpm._法人検索,
IF(_xlpm._合計=0,"",_xlpm._合計)
)</f>
        <v/>
      </c>
      <c r="BJ104" s="224" t="str">
        <f>_xlfn.LET(
_xlpm._一般検索,IFERROR(INDEX('在庫使用計画 (一般)'!$A$1:$BF$391,MATCH($C104,'在庫使用計画 (一般)'!$C$1:$C$391,0),MATCH(BJ$1,'在庫使用計画 (一般)'!$A$1:$BF$1,0))*1,0),
_xlpm._法人検索,IFERROR(INDEX('在庫使用計画 (法人)'!$A$1:$BF$391,MATCH($C104,'在庫使用計画 (法人)'!$C$1:$C$391,0),MATCH(BJ$1,'在庫使用計画 (法人)'!$A$1:$BF$1,0))*1,0),
_xlpm._合計,_xlpm._一般検索+_xlpm._法人検索,
IF(_xlpm._合計=0,"",_xlpm._合計)
)</f>
        <v/>
      </c>
      <c r="BK104" s="224" t="str">
        <f>_xlfn.LET(
_xlpm._一般検索,IFERROR(INDEX('在庫使用計画 (一般)'!$A$1:$BF$391,MATCH($C104,'在庫使用計画 (一般)'!$C$1:$C$391,0),MATCH(BK$1,'在庫使用計画 (一般)'!$A$1:$BF$1,0))*1,0),
_xlpm._法人検索,IFERROR(INDEX('在庫使用計画 (法人)'!$A$1:$BF$391,MATCH($C104,'在庫使用計画 (法人)'!$C$1:$C$391,0),MATCH(BK$1,'在庫使用計画 (法人)'!$A$1:$BF$1,0))*1,0),
_xlpm._合計,_xlpm._一般検索+_xlpm._法人検索,
IF(_xlpm._合計=0,"",_xlpm._合計)
)</f>
        <v/>
      </c>
      <c r="BL104" s="224" t="str">
        <f>_xlfn.LET(
_xlpm._一般検索,IFERROR(INDEX('在庫使用計画 (一般)'!$A$1:$BF$391,MATCH($C104,'在庫使用計画 (一般)'!$C$1:$C$391,0),MATCH(BL$1,'在庫使用計画 (一般)'!$A$1:$BF$1,0))*1,0),
_xlpm._法人検索,IFERROR(INDEX('在庫使用計画 (法人)'!$A$1:$BF$391,MATCH($C104,'在庫使用計画 (法人)'!$C$1:$C$391,0),MATCH(BL$1,'在庫使用計画 (法人)'!$A$1:$BF$1,0))*1,0),
_xlpm._合計,_xlpm._一般検索+_xlpm._法人検索,
IF(_xlpm._合計=0,"",_xlpm._合計)
)</f>
        <v/>
      </c>
      <c r="BM104" s="224" t="str">
        <f>_xlfn.LET(
_xlpm._一般検索,IFERROR(INDEX('在庫使用計画 (一般)'!$A$1:$BF$391,MATCH($C104,'在庫使用計画 (一般)'!$C$1:$C$391,0),MATCH(BM$1,'在庫使用計画 (一般)'!$A$1:$BF$1,0))*1,0),
_xlpm._法人検索,IFERROR(INDEX('在庫使用計画 (法人)'!$A$1:$BF$391,MATCH($C104,'在庫使用計画 (法人)'!$C$1:$C$391,0),MATCH(BM$1,'在庫使用計画 (法人)'!$A$1:$BF$1,0))*1,0),
_xlpm._合計,_xlpm._一般検索+_xlpm._法人検索,
IF(_xlpm._合計=0,"",_xlpm._合計)
)</f>
        <v/>
      </c>
      <c r="BN104" s="224" t="str">
        <f>_xlfn.LET(
_xlpm._一般検索,IFERROR(INDEX('在庫使用計画 (一般)'!$A$1:$BF$391,MATCH($C104,'在庫使用計画 (一般)'!$C$1:$C$391,0),MATCH(BN$1,'在庫使用計画 (一般)'!$A$1:$BF$1,0))*1,0),
_xlpm._法人検索,IFERROR(INDEX('在庫使用計画 (法人)'!$A$1:$BF$391,MATCH($C104,'在庫使用計画 (法人)'!$C$1:$C$391,0),MATCH(BN$1,'在庫使用計画 (法人)'!$A$1:$BF$1,0))*1,0),
_xlpm._合計,_xlpm._一般検索+_xlpm._法人検索,
IF(_xlpm._合計=0,"",_xlpm._合計)
)</f>
        <v/>
      </c>
      <c r="BO104" s="224" t="str">
        <f>_xlfn.LET(
_xlpm._一般検索,IFERROR(INDEX('在庫使用計画 (一般)'!$A$1:$BF$391,MATCH($C104,'在庫使用計画 (一般)'!$C$1:$C$391,0),MATCH(BO$1,'在庫使用計画 (一般)'!$A$1:$BF$1,0))*1,0),
_xlpm._法人検索,IFERROR(INDEX('在庫使用計画 (法人)'!$A$1:$BF$391,MATCH($C104,'在庫使用計画 (法人)'!$C$1:$C$391,0),MATCH(BO$1,'在庫使用計画 (法人)'!$A$1:$BF$1,0))*1,0),
_xlpm._合計,_xlpm._一般検索+_xlpm._法人検索,
IF(_xlpm._合計=0,"",_xlpm._合計)
)</f>
        <v/>
      </c>
      <c r="BP104" s="224" t="str">
        <f>_xlfn.LET(
_xlpm._一般検索,IFERROR(INDEX('在庫使用計画 (一般)'!$A$1:$BF$391,MATCH($C104,'在庫使用計画 (一般)'!$C$1:$C$391,0),MATCH(BP$1,'在庫使用計画 (一般)'!$A$1:$BF$1,0))*1,0),
_xlpm._法人検索,IFERROR(INDEX('在庫使用計画 (法人)'!$A$1:$BF$391,MATCH($C104,'在庫使用計画 (法人)'!$C$1:$C$391,0),MATCH(BP$1,'在庫使用計画 (法人)'!$A$1:$BF$1,0))*1,0),
_xlpm._合計,_xlpm._一般検索+_xlpm._法人検索,
IF(_xlpm._合計=0,"",_xlpm._合計)
)</f>
        <v/>
      </c>
      <c r="BQ104" s="224" t="str">
        <f>_xlfn.LET(
_xlpm._一般検索,IFERROR(INDEX('在庫使用計画 (一般)'!$A$1:$BF$391,MATCH($C104,'在庫使用計画 (一般)'!$C$1:$C$391,0),MATCH(BQ$1,'在庫使用計画 (一般)'!$A$1:$BF$1,0))*1,0),
_xlpm._法人検索,IFERROR(INDEX('在庫使用計画 (法人)'!$A$1:$BF$391,MATCH($C104,'在庫使用計画 (法人)'!$C$1:$C$391,0),MATCH(BQ$1,'在庫使用計画 (法人)'!$A$1:$BF$1,0))*1,0),
_xlpm._合計,_xlpm._一般検索+_xlpm._法人検索,
IF(_xlpm._合計=0,"",_xlpm._合計)
)</f>
        <v/>
      </c>
      <c r="BR104" s="224" t="str">
        <f>_xlfn.LET(
_xlpm._一般検索,IFERROR(INDEX('在庫使用計画 (一般)'!$A$1:$BF$391,MATCH($C104,'在庫使用計画 (一般)'!$C$1:$C$391,0),MATCH(BR$1,'在庫使用計画 (一般)'!$A$1:$BF$1,0))*1,0),
_xlpm._法人検索,IFERROR(INDEX('在庫使用計画 (法人)'!$A$1:$BF$391,MATCH($C104,'在庫使用計画 (法人)'!$C$1:$C$391,0),MATCH(BR$1,'在庫使用計画 (法人)'!$A$1:$BF$1,0))*1,0),
_xlpm._合計,_xlpm._一般検索+_xlpm._法人検索,
IF(_xlpm._合計=0,"",_xlpm._合計)
)</f>
        <v/>
      </c>
      <c r="BS104" s="805" t="str">
        <f>_xlfn.LET(
_xlpm._一般検索,IFERROR(INDEX('在庫使用計画 (一般)'!$A$1:$BF$391,MATCH($C104,'在庫使用計画 (一般)'!$C$1:$C$391,0),MATCH(BS$1,'在庫使用計画 (一般)'!$A$1:$BF$1,0))*1,0),
_xlpm._法人検索,IFERROR(INDEX('在庫使用計画 (法人)'!$A$1:$BF$391,MATCH($C104,'在庫使用計画 (法人)'!$C$1:$C$391,0),MATCH(BS$1,'在庫使用計画 (法人)'!$A$1:$BF$1,0))*1,0),
_xlpm._合計,_xlpm._一般検索+_xlpm._法人検索,
IF(_xlpm._合計=0,"",_xlpm._合計)
)</f>
        <v/>
      </c>
      <c r="BT104" s="21"/>
    </row>
    <row r="105" spans="1:72" s="1227" customFormat="1" ht="18.75" customHeight="1">
      <c r="A105" s="1981"/>
      <c r="B105" s="1982"/>
      <c r="C105" s="1983" t="s">
        <v>1810</v>
      </c>
      <c r="D105" s="2171"/>
      <c r="E105" s="1602"/>
      <c r="F105" s="1218"/>
      <c r="G105" s="1984"/>
      <c r="H105" s="1984"/>
      <c r="I105" s="1984"/>
      <c r="J105" s="1984"/>
      <c r="K105" s="1984"/>
      <c r="L105" s="1984"/>
      <c r="M105" s="1984"/>
      <c r="N105" s="1984"/>
      <c r="O105" s="1984"/>
      <c r="P105" s="1984"/>
      <c r="Q105" s="1984"/>
      <c r="R105" s="1984"/>
      <c r="S105" s="1984"/>
      <c r="T105" s="1984"/>
      <c r="U105" s="1984"/>
      <c r="V105" s="1984"/>
      <c r="W105" s="1984"/>
      <c r="X105" s="1984"/>
      <c r="Y105" s="1984"/>
      <c r="Z105" s="1984"/>
      <c r="AA105" s="1984"/>
      <c r="AB105" s="1984"/>
      <c r="AC105" s="1984"/>
      <c r="AD105" s="1984"/>
      <c r="AE105" s="1984">
        <v>0.91975910804919359</v>
      </c>
      <c r="AF105" s="1984">
        <v>1.0802287788144589</v>
      </c>
      <c r="AG105" s="1984">
        <v>1.0768923714802734</v>
      </c>
      <c r="AH105" s="1984">
        <v>1.0349498033237103</v>
      </c>
      <c r="AI105" s="1985">
        <v>1.4739281732454008</v>
      </c>
      <c r="AJ105" s="1986">
        <v>0.86296850797679536</v>
      </c>
      <c r="AK105" s="1984">
        <v>0.94281256826843862</v>
      </c>
      <c r="AL105" s="1984">
        <v>1.4778243112821845</v>
      </c>
      <c r="AM105" s="1984">
        <v>0.61403208895424399</v>
      </c>
      <c r="AN105" s="1984">
        <v>0.72523030349579054</v>
      </c>
      <c r="AO105" s="1984">
        <v>1.0427097839387063</v>
      </c>
      <c r="AP105" s="1984">
        <v>1.0974094002327746</v>
      </c>
      <c r="AQ105" s="1984">
        <v>0.91975910804919359</v>
      </c>
      <c r="AR105" s="1984">
        <v>1.0802287788144589</v>
      </c>
      <c r="AS105" s="1984">
        <v>1.0768923714802734</v>
      </c>
      <c r="AT105" s="1984">
        <v>1.0349498033237103</v>
      </c>
      <c r="AU105" s="1987">
        <v>1.4739281732454008</v>
      </c>
      <c r="AV105" s="1986">
        <v>0.86296850797679536</v>
      </c>
      <c r="AW105" s="1984">
        <v>0.94281256826843862</v>
      </c>
      <c r="AX105" s="1984">
        <v>1.4778243112821845</v>
      </c>
      <c r="AY105" s="1984">
        <v>0.61403208895424399</v>
      </c>
      <c r="AZ105" s="1984">
        <v>0.72523030349579054</v>
      </c>
      <c r="BA105" s="1984">
        <v>1.0427097839387063</v>
      </c>
      <c r="BB105" s="1984">
        <v>1.0974094002327746</v>
      </c>
      <c r="BC105" s="1984">
        <v>0.91975910804919359</v>
      </c>
      <c r="BD105" s="1984">
        <v>1.0802287788144589</v>
      </c>
      <c r="BE105" s="1984">
        <v>1.0768923714802734</v>
      </c>
      <c r="BF105" s="1984">
        <v>1.0349498033237103</v>
      </c>
      <c r="BG105" s="1987">
        <v>1.4739281732454008</v>
      </c>
      <c r="BH105" s="1988" t="e">
        <f t="shared" ref="BH105:BS105" si="8">BH108/BG108</f>
        <v>#DIV/0!</v>
      </c>
      <c r="BI105" s="1223" t="e">
        <f t="shared" si="8"/>
        <v>#DIV/0!</v>
      </c>
      <c r="BJ105" s="1223" t="e">
        <f t="shared" si="8"/>
        <v>#DIV/0!</v>
      </c>
      <c r="BK105" s="1223" t="e">
        <f t="shared" si="8"/>
        <v>#DIV/0!</v>
      </c>
      <c r="BL105" s="1223" t="e">
        <f t="shared" si="8"/>
        <v>#DIV/0!</v>
      </c>
      <c r="BM105" s="1223" t="e">
        <f t="shared" si="8"/>
        <v>#DIV/0!</v>
      </c>
      <c r="BN105" s="1223" t="e">
        <f t="shared" si="8"/>
        <v>#DIV/0!</v>
      </c>
      <c r="BO105" s="1223" t="e">
        <f t="shared" si="8"/>
        <v>#DIV/0!</v>
      </c>
      <c r="BP105" s="1223" t="e">
        <f t="shared" si="8"/>
        <v>#DIV/0!</v>
      </c>
      <c r="BQ105" s="1223" t="e">
        <f t="shared" si="8"/>
        <v>#DIV/0!</v>
      </c>
      <c r="BR105" s="1223" t="e">
        <f t="shared" si="8"/>
        <v>#DIV/0!</v>
      </c>
      <c r="BS105" s="1989" t="e">
        <f t="shared" si="8"/>
        <v>#DIV/0!</v>
      </c>
      <c r="BT105" s="1229"/>
    </row>
    <row r="106" spans="1:72" s="2017" customFormat="1" ht="18.75" customHeight="1">
      <c r="A106" s="2002"/>
      <c r="B106" s="2003" t="s">
        <v>1818</v>
      </c>
      <c r="C106" s="2004"/>
      <c r="D106" s="2157"/>
      <c r="E106" s="2005"/>
      <c r="F106" s="2006"/>
      <c r="G106" s="2007"/>
      <c r="H106" s="2007"/>
      <c r="I106" s="2007"/>
      <c r="J106" s="2007"/>
      <c r="K106" s="2007"/>
      <c r="L106" s="2008"/>
      <c r="M106" s="2008"/>
      <c r="N106" s="2008"/>
      <c r="O106" s="2008"/>
      <c r="P106" s="2008"/>
      <c r="Q106" s="2008"/>
      <c r="R106" s="2008"/>
      <c r="S106" s="2008"/>
      <c r="T106" s="2008"/>
      <c r="U106" s="2007"/>
      <c r="V106" s="2007"/>
      <c r="W106" s="2007"/>
      <c r="X106" s="2007"/>
      <c r="Y106" s="2007"/>
      <c r="Z106" s="2007"/>
      <c r="AA106" s="2007"/>
      <c r="AB106" s="2007"/>
      <c r="AC106" s="2007"/>
      <c r="AD106" s="2007"/>
      <c r="AE106" s="2007"/>
      <c r="AF106" s="2007"/>
      <c r="AG106" s="2007"/>
      <c r="AH106" s="2007"/>
      <c r="AI106" s="2009"/>
      <c r="AJ106" s="2010"/>
      <c r="AK106" s="2007"/>
      <c r="AL106" s="2007"/>
      <c r="AM106" s="2007">
        <v>1374</v>
      </c>
      <c r="AN106" s="2007">
        <f t="shared" ref="AN106:BS106" si="9">SUM(AN$76:AN$103)</f>
        <v>1408</v>
      </c>
      <c r="AO106" s="2007">
        <f t="shared" si="9"/>
        <v>1825</v>
      </c>
      <c r="AP106" s="2007">
        <f t="shared" si="9"/>
        <v>3144</v>
      </c>
      <c r="AQ106" s="2007">
        <f t="shared" si="9"/>
        <v>812</v>
      </c>
      <c r="AR106" s="2007">
        <f t="shared" si="9"/>
        <v>1469</v>
      </c>
      <c r="AS106" s="2007">
        <f t="shared" si="9"/>
        <v>2338</v>
      </c>
      <c r="AT106" s="2007">
        <f t="shared" si="9"/>
        <v>2640</v>
      </c>
      <c r="AU106" s="2011">
        <f t="shared" si="9"/>
        <v>2164</v>
      </c>
      <c r="AV106" s="2012">
        <f t="shared" si="9"/>
        <v>2351</v>
      </c>
      <c r="AW106" s="2007">
        <f t="shared" si="9"/>
        <v>2919</v>
      </c>
      <c r="AX106" s="2007">
        <f t="shared" si="9"/>
        <v>2709</v>
      </c>
      <c r="AY106" s="2007">
        <f t="shared" si="9"/>
        <v>2096</v>
      </c>
      <c r="AZ106" s="2007">
        <f t="shared" si="9"/>
        <v>2418</v>
      </c>
      <c r="BA106" s="2007">
        <f t="shared" si="9"/>
        <v>1802</v>
      </c>
      <c r="BB106" s="2007">
        <f t="shared" si="9"/>
        <v>1963</v>
      </c>
      <c r="BC106" s="2007">
        <f t="shared" si="9"/>
        <v>1706</v>
      </c>
      <c r="BD106" s="2007">
        <f t="shared" si="9"/>
        <v>0</v>
      </c>
      <c r="BE106" s="2007">
        <f t="shared" si="9"/>
        <v>0</v>
      </c>
      <c r="BF106" s="2007">
        <f t="shared" si="9"/>
        <v>0</v>
      </c>
      <c r="BG106" s="2009">
        <f t="shared" si="9"/>
        <v>0</v>
      </c>
      <c r="BH106" s="2013">
        <f t="shared" si="9"/>
        <v>0</v>
      </c>
      <c r="BI106" s="2014">
        <f t="shared" si="9"/>
        <v>0</v>
      </c>
      <c r="BJ106" s="2014">
        <f t="shared" si="9"/>
        <v>0</v>
      </c>
      <c r="BK106" s="2014">
        <f t="shared" si="9"/>
        <v>0</v>
      </c>
      <c r="BL106" s="2014">
        <f t="shared" si="9"/>
        <v>0</v>
      </c>
      <c r="BM106" s="2014">
        <f t="shared" si="9"/>
        <v>0</v>
      </c>
      <c r="BN106" s="2014">
        <f t="shared" si="9"/>
        <v>0</v>
      </c>
      <c r="BO106" s="2014">
        <f t="shared" si="9"/>
        <v>0</v>
      </c>
      <c r="BP106" s="2014">
        <f t="shared" si="9"/>
        <v>0</v>
      </c>
      <c r="BQ106" s="2014">
        <f t="shared" si="9"/>
        <v>0</v>
      </c>
      <c r="BR106" s="2014">
        <f t="shared" si="9"/>
        <v>0</v>
      </c>
      <c r="BS106" s="2015">
        <f t="shared" si="9"/>
        <v>0</v>
      </c>
      <c r="BT106" s="2016"/>
    </row>
    <row r="107" spans="1:72" s="2017" customFormat="1" ht="18.75" customHeight="1">
      <c r="A107" s="2002"/>
      <c r="B107" s="2003" t="s">
        <v>1819</v>
      </c>
      <c r="C107" s="2004"/>
      <c r="D107" s="2157"/>
      <c r="E107" s="2005"/>
      <c r="F107" s="2006"/>
      <c r="G107" s="2007"/>
      <c r="H107" s="2007"/>
      <c r="I107" s="2007"/>
      <c r="J107" s="2007"/>
      <c r="K107" s="2007"/>
      <c r="L107" s="2008"/>
      <c r="M107" s="2008"/>
      <c r="N107" s="2008"/>
      <c r="O107" s="2008"/>
      <c r="P107" s="2008"/>
      <c r="Q107" s="2008"/>
      <c r="R107" s="2008"/>
      <c r="S107" s="2008"/>
      <c r="T107" s="2008"/>
      <c r="U107" s="2007"/>
      <c r="V107" s="2007"/>
      <c r="W107" s="2007"/>
      <c r="X107" s="2007"/>
      <c r="Y107" s="2007"/>
      <c r="Z107" s="2007"/>
      <c r="AA107" s="2007"/>
      <c r="AB107" s="2007"/>
      <c r="AC107" s="2007"/>
      <c r="AD107" s="2007"/>
      <c r="AE107" s="2007"/>
      <c r="AF107" s="2007"/>
      <c r="AG107" s="2007"/>
      <c r="AH107" s="2007"/>
      <c r="AI107" s="2009"/>
      <c r="AJ107" s="2010"/>
      <c r="AK107" s="2007"/>
      <c r="AL107" s="2007"/>
      <c r="AM107" s="2007">
        <v>1096</v>
      </c>
      <c r="AN107" s="2007">
        <f t="shared" ref="AN107:BS107" si="10">SUM(AN$52:AN$74)</f>
        <v>1785</v>
      </c>
      <c r="AO107" s="2007">
        <f t="shared" si="10"/>
        <v>2853</v>
      </c>
      <c r="AP107" s="2007">
        <f t="shared" si="10"/>
        <v>2518</v>
      </c>
      <c r="AQ107" s="2007">
        <f t="shared" si="10"/>
        <v>1332</v>
      </c>
      <c r="AR107" s="2007">
        <f t="shared" si="10"/>
        <v>1388</v>
      </c>
      <c r="AS107" s="2007">
        <f t="shared" si="10"/>
        <v>2004</v>
      </c>
      <c r="AT107" s="2007">
        <f t="shared" si="10"/>
        <v>2065</v>
      </c>
      <c r="AU107" s="2011">
        <f t="shared" si="10"/>
        <v>1839</v>
      </c>
      <c r="AV107" s="2012">
        <f t="shared" si="10"/>
        <v>1318</v>
      </c>
      <c r="AW107" s="2007">
        <f t="shared" si="10"/>
        <v>2082</v>
      </c>
      <c r="AX107" s="2007">
        <f t="shared" si="10"/>
        <v>1547</v>
      </c>
      <c r="AY107" s="2007">
        <f t="shared" si="10"/>
        <v>1301</v>
      </c>
      <c r="AZ107" s="2007">
        <f t="shared" si="10"/>
        <v>1645</v>
      </c>
      <c r="BA107" s="2007">
        <f t="shared" si="10"/>
        <v>941</v>
      </c>
      <c r="BB107" s="2007">
        <f t="shared" si="10"/>
        <v>1015</v>
      </c>
      <c r="BC107" s="2007">
        <f t="shared" si="10"/>
        <v>856</v>
      </c>
      <c r="BD107" s="2007">
        <f t="shared" si="10"/>
        <v>0</v>
      </c>
      <c r="BE107" s="2007">
        <f t="shared" si="10"/>
        <v>0</v>
      </c>
      <c r="BF107" s="2007">
        <f t="shared" si="10"/>
        <v>0</v>
      </c>
      <c r="BG107" s="2009">
        <f t="shared" si="10"/>
        <v>0</v>
      </c>
      <c r="BH107" s="2013">
        <f t="shared" si="10"/>
        <v>0</v>
      </c>
      <c r="BI107" s="2014">
        <f t="shared" si="10"/>
        <v>0</v>
      </c>
      <c r="BJ107" s="2014">
        <f t="shared" si="10"/>
        <v>0</v>
      </c>
      <c r="BK107" s="2014">
        <f t="shared" si="10"/>
        <v>0</v>
      </c>
      <c r="BL107" s="2014">
        <f t="shared" si="10"/>
        <v>0</v>
      </c>
      <c r="BM107" s="2014">
        <f t="shared" si="10"/>
        <v>0</v>
      </c>
      <c r="BN107" s="2014">
        <f t="shared" si="10"/>
        <v>0</v>
      </c>
      <c r="BO107" s="2014">
        <f t="shared" si="10"/>
        <v>0</v>
      </c>
      <c r="BP107" s="2014">
        <f t="shared" si="10"/>
        <v>0</v>
      </c>
      <c r="BQ107" s="2014">
        <f t="shared" si="10"/>
        <v>0</v>
      </c>
      <c r="BR107" s="2014">
        <f t="shared" si="10"/>
        <v>0</v>
      </c>
      <c r="BS107" s="2015">
        <f t="shared" si="10"/>
        <v>0</v>
      </c>
      <c r="BT107" s="2016"/>
    </row>
    <row r="108" spans="1:72" customFormat="1" ht="18.75" customHeight="1">
      <c r="A108" s="1062"/>
      <c r="B108" s="152" t="s">
        <v>1501</v>
      </c>
      <c r="C108" s="153"/>
      <c r="D108" s="2172"/>
      <c r="E108" s="153"/>
      <c r="F108" s="204"/>
      <c r="G108" s="45">
        <f>SUM(_xlfn.ANCHORARRAY(G52))</f>
        <v>17096</v>
      </c>
      <c r="H108" s="45">
        <f t="shared" ref="H108" si="11">SUM(_xlfn.ANCHORARRAY(H52))</f>
        <v>10259</v>
      </c>
      <c r="I108" s="45">
        <f>SUM(I52:I104)</f>
        <v>15005</v>
      </c>
      <c r="J108" s="45">
        <f>SUM(J52:J104)</f>
        <v>16879</v>
      </c>
      <c r="K108" s="45"/>
      <c r="L108" s="45">
        <v>1419</v>
      </c>
      <c r="M108" s="45">
        <v>1000</v>
      </c>
      <c r="N108" s="45">
        <v>1491</v>
      </c>
      <c r="O108" s="45">
        <v>1092</v>
      </c>
      <c r="P108" s="45">
        <v>1017</v>
      </c>
      <c r="Q108" s="45">
        <v>1215</v>
      </c>
      <c r="R108" s="45">
        <v>1529</v>
      </c>
      <c r="S108" s="45">
        <v>1124</v>
      </c>
      <c r="T108" s="45">
        <v>1349</v>
      </c>
      <c r="U108" s="45">
        <v>1252</v>
      </c>
      <c r="V108" s="45">
        <v>1771</v>
      </c>
      <c r="W108" s="45">
        <v>2203</v>
      </c>
      <c r="X108" s="45">
        <v>2958</v>
      </c>
      <c r="Y108" s="45">
        <v>4128</v>
      </c>
      <c r="Z108" s="45">
        <v>4068</v>
      </c>
      <c r="AA108" s="45">
        <v>2365</v>
      </c>
      <c r="AB108" s="45">
        <v>1935</v>
      </c>
      <c r="AC108" s="45">
        <v>1985</v>
      </c>
      <c r="AD108" s="45">
        <v>2907</v>
      </c>
      <c r="AE108" s="45">
        <v>2444</v>
      </c>
      <c r="AF108" s="45">
        <v>2320</v>
      </c>
      <c r="AG108" s="45">
        <v>2256</v>
      </c>
      <c r="AH108" s="45">
        <v>2561</v>
      </c>
      <c r="AI108" s="388">
        <v>2569</v>
      </c>
      <c r="AJ108" s="836">
        <v>2305</v>
      </c>
      <c r="AK108" s="45">
        <v>1546</v>
      </c>
      <c r="AL108" s="45">
        <v>3363</v>
      </c>
      <c r="AM108" s="45">
        <v>2470</v>
      </c>
      <c r="AN108" s="45">
        <f t="shared" ref="AN108:BS108" si="12">SUM(AN52:AN104)</f>
        <v>3193</v>
      </c>
      <c r="AO108" s="45">
        <f t="shared" si="12"/>
        <v>4678</v>
      </c>
      <c r="AP108" s="45">
        <f t="shared" si="12"/>
        <v>5662</v>
      </c>
      <c r="AQ108" s="45">
        <f t="shared" si="12"/>
        <v>2144</v>
      </c>
      <c r="AR108" s="45">
        <f t="shared" si="12"/>
        <v>2857</v>
      </c>
      <c r="AS108" s="45">
        <f t="shared" si="12"/>
        <v>4342</v>
      </c>
      <c r="AT108" s="45">
        <f t="shared" si="12"/>
        <v>4705</v>
      </c>
      <c r="AU108" s="839">
        <f t="shared" si="12"/>
        <v>4003</v>
      </c>
      <c r="AV108" s="632">
        <f t="shared" si="12"/>
        <v>3669</v>
      </c>
      <c r="AW108" s="155">
        <f t="shared" si="12"/>
        <v>5001</v>
      </c>
      <c r="AX108" s="155">
        <f t="shared" si="12"/>
        <v>4256</v>
      </c>
      <c r="AY108" s="155">
        <f t="shared" si="12"/>
        <v>3397</v>
      </c>
      <c r="AZ108" s="155">
        <f t="shared" si="12"/>
        <v>4063</v>
      </c>
      <c r="BA108" s="155">
        <f t="shared" si="12"/>
        <v>2743</v>
      </c>
      <c r="BB108" s="155">
        <f t="shared" si="12"/>
        <v>2978</v>
      </c>
      <c r="BC108" s="155">
        <f t="shared" si="12"/>
        <v>2562</v>
      </c>
      <c r="BD108" s="155">
        <f t="shared" si="12"/>
        <v>0</v>
      </c>
      <c r="BE108" s="155">
        <f t="shared" si="12"/>
        <v>0</v>
      </c>
      <c r="BF108" s="155">
        <f t="shared" si="12"/>
        <v>0</v>
      </c>
      <c r="BG108" s="274">
        <f t="shared" si="12"/>
        <v>0</v>
      </c>
      <c r="BH108" s="808">
        <f t="shared" si="12"/>
        <v>0</v>
      </c>
      <c r="BI108" s="155">
        <f t="shared" si="12"/>
        <v>0</v>
      </c>
      <c r="BJ108" s="155">
        <f t="shared" si="12"/>
        <v>0</v>
      </c>
      <c r="BK108" s="155">
        <f t="shared" si="12"/>
        <v>0</v>
      </c>
      <c r="BL108" s="155">
        <f t="shared" si="12"/>
        <v>0</v>
      </c>
      <c r="BM108" s="155">
        <f t="shared" si="12"/>
        <v>0</v>
      </c>
      <c r="BN108" s="155">
        <f t="shared" si="12"/>
        <v>0</v>
      </c>
      <c r="BO108" s="155">
        <f t="shared" si="12"/>
        <v>0</v>
      </c>
      <c r="BP108" s="155">
        <f t="shared" si="12"/>
        <v>0</v>
      </c>
      <c r="BQ108" s="155">
        <f t="shared" si="12"/>
        <v>0</v>
      </c>
      <c r="BR108" s="155">
        <f t="shared" si="12"/>
        <v>0</v>
      </c>
      <c r="BS108" s="809">
        <f t="shared" si="12"/>
        <v>0</v>
      </c>
      <c r="BT108" s="23"/>
    </row>
    <row r="109" spans="1:72" customFormat="1" ht="18.75" customHeight="1" thickBot="1">
      <c r="A109" s="1074"/>
      <c r="B109" s="189" t="s">
        <v>1502</v>
      </c>
      <c r="C109" s="201"/>
      <c r="D109" s="2173"/>
      <c r="E109" s="201"/>
      <c r="F109" s="324"/>
      <c r="G109" s="359"/>
      <c r="H109" s="359"/>
      <c r="I109" s="325"/>
      <c r="J109" s="325"/>
      <c r="K109" s="325"/>
      <c r="L109" s="325">
        <v>2621</v>
      </c>
      <c r="M109" s="325">
        <v>2341</v>
      </c>
      <c r="N109" s="325">
        <v>3712</v>
      </c>
      <c r="O109" s="325">
        <v>2266</v>
      </c>
      <c r="P109" s="325">
        <v>2009</v>
      </c>
      <c r="Q109" s="325">
        <v>1813</v>
      </c>
      <c r="R109" s="325">
        <v>1934</v>
      </c>
      <c r="S109" s="325">
        <v>1652.2194053316034</v>
      </c>
      <c r="T109" s="316">
        <v>1967.1459936763054</v>
      </c>
      <c r="U109" s="316">
        <v>1979.3690477656746</v>
      </c>
      <c r="V109" s="316">
        <v>1991.0584366056528</v>
      </c>
      <c r="W109" s="316">
        <v>2702.6014326330587</v>
      </c>
      <c r="X109" s="316">
        <v>2481.2039595584747</v>
      </c>
      <c r="Y109" s="317">
        <v>2403.0937640073348</v>
      </c>
      <c r="Z109" s="317">
        <v>3270.0091146860723</v>
      </c>
      <c r="AA109" s="316">
        <v>2473.5298463530553</v>
      </c>
      <c r="AB109" s="316">
        <v>2211.0713041461254</v>
      </c>
      <c r="AC109" s="316">
        <v>2316.6081945402466</v>
      </c>
      <c r="AD109" s="316">
        <v>2445.3733121718051</v>
      </c>
      <c r="AE109" s="633">
        <v>1490.4846578524136</v>
      </c>
      <c r="AF109" s="633">
        <v>1927.313325930681</v>
      </c>
      <c r="AG109" s="633">
        <v>2071.4182203653127</v>
      </c>
      <c r="AH109" s="633">
        <v>2258.1921499295477</v>
      </c>
      <c r="AI109" s="633">
        <v>2709.1852525971917</v>
      </c>
      <c r="AJ109" s="849">
        <v>2871.69425870338</v>
      </c>
      <c r="AK109" s="634">
        <v>2706.0440763877368</v>
      </c>
      <c r="AL109" s="634">
        <v>4080.2291248159527</v>
      </c>
      <c r="AM109" s="634">
        <v>2430.014204334132</v>
      </c>
      <c r="AN109" s="634">
        <v>1938.043551642779</v>
      </c>
      <c r="AO109" s="634">
        <v>2090.2971658340953</v>
      </c>
      <c r="AP109" s="634">
        <v>2230.6581954097019</v>
      </c>
      <c r="AQ109" s="634" t="str">
        <f>IFERROR(IF(SUM(INDEX('在庫使用計画 (一般)'!$A$1:$BF$557,MATCH($C109,'在庫使用計画 (一般)'!$C$1:$C$557,0),MATCH(AQ$1,'在庫使用計画 (一般)'!$A$1:$BF$1,0)),INDEX('在庫使用計画 (法人)'!$A$1:$AT$578,MATCH($C109,'在庫使用計画 (法人)'!$C$1:$C$578,0),MATCH(AQ$1,'在庫使用計画 (法人)'!$A$1:$AT$1,0)))=0,"",SUM(INDEX('在庫使用計画 (一般)'!$A$1:$BF$557,MATCH($C109,'在庫使用計画 (一般)'!$C$1:$C$557,0),MATCH(AQ$1,'在庫使用計画 (一般)'!$A$1:$BF$1,0)),INDEX('在庫使用計画 (法人)'!$A$1:$AT$578,MATCH($C109,'在庫使用計画 (法人)'!$C$1:$C$578,0),MATCH(AQ$1,'在庫使用計画 (法人)'!$A$1:$AT$1,0)))),"")</f>
        <v/>
      </c>
      <c r="AR109" s="634" t="str">
        <f>IFERROR(IF(SUM(INDEX('在庫使用計画 (一般)'!$A$1:$BF$557,MATCH($C109,'在庫使用計画 (一般)'!$C$1:$C$557,0),MATCH(AR$1,'在庫使用計画 (一般)'!$A$1:$BF$1,0)),INDEX('在庫使用計画 (法人)'!$A$1:$AT$578,MATCH($C109,'在庫使用計画 (法人)'!$C$1:$C$578,0),MATCH(AR$1,'在庫使用計画 (法人)'!$A$1:$AT$1,0)))=0,"",SUM(INDEX('在庫使用計画 (一般)'!$A$1:$BF$557,MATCH($C109,'在庫使用計画 (一般)'!$C$1:$C$557,0),MATCH(AR$1,'在庫使用計画 (一般)'!$A$1:$BF$1,0)),INDEX('在庫使用計画 (法人)'!$A$1:$AT$578,MATCH($C109,'在庫使用計画 (法人)'!$C$1:$C$578,0),MATCH(AR$1,'在庫使用計画 (法人)'!$A$1:$AT$1,0)))),"")</f>
        <v/>
      </c>
      <c r="AS109" s="634" t="str">
        <f>IFERROR(IF(SUM(INDEX('在庫使用計画 (一般)'!$A$1:$BF$557,MATCH($C109,'在庫使用計画 (一般)'!$C$1:$C$557,0),MATCH(AS$1,'在庫使用計画 (一般)'!$A$1:$BF$1,0)),INDEX('在庫使用計画 (法人)'!$A$1:$AT$578,MATCH($C109,'在庫使用計画 (法人)'!$C$1:$C$578,0),MATCH(AS$1,'在庫使用計画 (法人)'!$A$1:$AT$1,0)))=0,"",SUM(INDEX('在庫使用計画 (一般)'!$A$1:$BF$557,MATCH($C109,'在庫使用計画 (一般)'!$C$1:$C$557,0),MATCH(AS$1,'在庫使用計画 (一般)'!$A$1:$BF$1,0)),INDEX('在庫使用計画 (法人)'!$A$1:$AT$578,MATCH($C109,'在庫使用計画 (法人)'!$C$1:$C$578,0),MATCH(AS$1,'在庫使用計画 (法人)'!$A$1:$AT$1,0)))),"")</f>
        <v/>
      </c>
      <c r="AT109" s="634" t="str">
        <f>IFERROR(IF(SUM(INDEX('在庫使用計画 (一般)'!$A$1:$BF$557,MATCH($C109,'在庫使用計画 (一般)'!$C$1:$C$557,0),MATCH(AT$1,'在庫使用計画 (一般)'!$A$1:$BF$1,0)),INDEX('在庫使用計画 (法人)'!$A$1:$AT$578,MATCH($C109,'在庫使用計画 (法人)'!$C$1:$C$578,0),MATCH(AT$1,'在庫使用計画 (法人)'!$A$1:$AT$1,0)))=0,"",SUM(INDEX('在庫使用計画 (一般)'!$A$1:$BF$557,MATCH($C109,'在庫使用計画 (一般)'!$C$1:$C$557,0),MATCH(AT$1,'在庫使用計画 (一般)'!$A$1:$BF$1,0)),INDEX('在庫使用計画 (法人)'!$A$1:$AT$578,MATCH($C109,'在庫使用計画 (法人)'!$C$1:$C$578,0),MATCH(AT$1,'在庫使用計画 (法人)'!$A$1:$AT$1,0)))),"")</f>
        <v/>
      </c>
      <c r="AU109" s="850" t="str">
        <f>IFERROR(IF(SUM(INDEX('在庫使用計画 (一般)'!$A$1:$BF$557,MATCH($C109,'在庫使用計画 (一般)'!$C$1:$C$557,0),MATCH(AU$1,'在庫使用計画 (一般)'!$A$1:$BF$1,0)),INDEX('在庫使用計画 (法人)'!$A$1:$AT$578,MATCH($C109,'在庫使用計画 (法人)'!$C$1:$C$578,0),MATCH(AU$1,'在庫使用計画 (法人)'!$A$1:$AT$1,0)))=0,"",SUM(INDEX('在庫使用計画 (一般)'!$A$1:$BF$557,MATCH($C109,'在庫使用計画 (一般)'!$C$1:$C$557,0),MATCH(AU$1,'在庫使用計画 (一般)'!$A$1:$BF$1,0)),INDEX('在庫使用計画 (法人)'!$A$1:$AT$578,MATCH($C109,'在庫使用計画 (法人)'!$C$1:$C$578,0),MATCH(AU$1,'在庫使用計画 (法人)'!$A$1:$AT$1,0)))),"")</f>
        <v/>
      </c>
      <c r="AV109" s="831" t="str">
        <f>IFERROR(IF(SUM(INDEX('在庫使用計画 (一般)'!$A$1:$BF$557,MATCH($C109,'在庫使用計画 (一般)'!$C$1:$C$557,0),MATCH(AV$1,'在庫使用計画 (一般)'!$A$1:$BF$1,0)),INDEX('在庫使用計画 (法人)'!$A$1:$AT$578,MATCH($C109,'在庫使用計画 (法人)'!$C$1:$C$578,0),MATCH(AV$1,'在庫使用計画 (法人)'!$A$1:$AT$1,0)))=0,"",SUM(INDEX('在庫使用計画 (一般)'!$A$1:$BF$557,MATCH($C109,'在庫使用計画 (一般)'!$C$1:$C$557,0),MATCH(AV$1,'在庫使用計画 (一般)'!$A$1:$BF$1,0)),INDEX('在庫使用計画 (法人)'!$A$1:$AT$578,MATCH($C109,'在庫使用計画 (法人)'!$C$1:$C$578,0),MATCH(AV$1,'在庫使用計画 (法人)'!$A$1:$AT$1,0)))),"")</f>
        <v/>
      </c>
      <c r="AW109" s="641" t="str">
        <f>IFERROR(IF(SUM(INDEX('在庫使用計画 (一般)'!$A$1:$BF$557,MATCH($C109,'在庫使用計画 (一般)'!$C$1:$C$557,0),MATCH(AW$1,'在庫使用計画 (一般)'!$A$1:$BF$1,0)),INDEX('在庫使用計画 (法人)'!$A$1:$AT$578,MATCH($C109,'在庫使用計画 (法人)'!$C$1:$C$578,0),MATCH(AW$1,'在庫使用計画 (法人)'!$A$1:$AT$1,0)))=0,"",SUM(INDEX('在庫使用計画 (一般)'!$A$1:$BF$557,MATCH($C109,'在庫使用計画 (一般)'!$C$1:$C$557,0),MATCH(AW$1,'在庫使用計画 (一般)'!$A$1:$BF$1,0)),INDEX('在庫使用計画 (法人)'!$A$1:$AT$578,MATCH($C109,'在庫使用計画 (法人)'!$C$1:$C$578,0),MATCH(AW$1,'在庫使用計画 (法人)'!$A$1:$AT$1,0)))),"")</f>
        <v/>
      </c>
      <c r="AX109" s="641" t="str">
        <f>IFERROR(IF(SUM(INDEX('在庫使用計画 (一般)'!$A$1:$BF$557,MATCH($C109,'在庫使用計画 (一般)'!$C$1:$C$557,0),MATCH(AX$1,'在庫使用計画 (一般)'!$A$1:$BF$1,0)),INDEX('在庫使用計画 (法人)'!$A$1:$AT$578,MATCH($C109,'在庫使用計画 (法人)'!$C$1:$C$578,0),MATCH(AX$1,'在庫使用計画 (法人)'!$A$1:$AT$1,0)))=0,"",SUM(INDEX('在庫使用計画 (一般)'!$A$1:$BF$557,MATCH($C109,'在庫使用計画 (一般)'!$C$1:$C$557,0),MATCH(AX$1,'在庫使用計画 (一般)'!$A$1:$BF$1,0)),INDEX('在庫使用計画 (法人)'!$A$1:$AT$578,MATCH($C109,'在庫使用計画 (法人)'!$C$1:$C$578,0),MATCH(AX$1,'在庫使用計画 (法人)'!$A$1:$AT$1,0)))),"")</f>
        <v/>
      </c>
      <c r="AY109" s="641" t="str">
        <f>IFERROR(IF(SUM(INDEX('在庫使用計画 (一般)'!$A$1:$BF$557,MATCH($C109,'在庫使用計画 (一般)'!$C$1:$C$557,0),MATCH(AY$1,'在庫使用計画 (一般)'!$A$1:$BF$1,0)),INDEX('在庫使用計画 (法人)'!$A$1:$AT$578,MATCH($C109,'在庫使用計画 (法人)'!$C$1:$C$578,0),MATCH(AY$1,'在庫使用計画 (法人)'!$A$1:$AT$1,0)))=0,"",SUM(INDEX('在庫使用計画 (一般)'!$A$1:$BF$557,MATCH($C109,'在庫使用計画 (一般)'!$C$1:$C$557,0),MATCH(AY$1,'在庫使用計画 (一般)'!$A$1:$BF$1,0)),INDEX('在庫使用計画 (法人)'!$A$1:$AT$578,MATCH($C109,'在庫使用計画 (法人)'!$C$1:$C$578,0),MATCH(AY$1,'在庫使用計画 (法人)'!$A$1:$AT$1,0)))),"")</f>
        <v/>
      </c>
      <c r="AZ109" s="641" t="str">
        <f>IFERROR(IF(SUM(INDEX('在庫使用計画 (一般)'!$A$1:$BF$557,MATCH($C109,'在庫使用計画 (一般)'!$C$1:$C$557,0),MATCH(AZ$1,'在庫使用計画 (一般)'!$A$1:$BF$1,0)),INDEX('在庫使用計画 (法人)'!$A$1:$AT$578,MATCH($C109,'在庫使用計画 (法人)'!$C$1:$C$578,0),MATCH(AZ$1,'在庫使用計画 (法人)'!$A$1:$AT$1,0)))=0,"",SUM(INDEX('在庫使用計画 (一般)'!$A$1:$BF$557,MATCH($C109,'在庫使用計画 (一般)'!$C$1:$C$557,0),MATCH(AZ$1,'在庫使用計画 (一般)'!$A$1:$BF$1,0)),INDEX('在庫使用計画 (法人)'!$A$1:$AT$578,MATCH($C109,'在庫使用計画 (法人)'!$C$1:$C$578,0),MATCH(AZ$1,'在庫使用計画 (法人)'!$A$1:$AT$1,0)))),"")</f>
        <v/>
      </c>
      <c r="BA109" s="641" t="str">
        <f>IFERROR(IF(SUM(INDEX('在庫使用計画 (一般)'!$A$1:$BF$557,MATCH($C109,'在庫使用計画 (一般)'!$C$1:$C$557,0),MATCH(BA$1,'在庫使用計画 (一般)'!$A$1:$BF$1,0)),INDEX('在庫使用計画 (法人)'!$A$1:$AT$578,MATCH($C109,'在庫使用計画 (法人)'!$C$1:$C$578,0),MATCH(BA$1,'在庫使用計画 (法人)'!$A$1:$AT$1,0)))=0,"",SUM(INDEX('在庫使用計画 (一般)'!$A$1:$BF$557,MATCH($C109,'在庫使用計画 (一般)'!$C$1:$C$557,0),MATCH(BA$1,'在庫使用計画 (一般)'!$A$1:$BF$1,0)),INDEX('在庫使用計画 (法人)'!$A$1:$AT$578,MATCH($C109,'在庫使用計画 (法人)'!$C$1:$C$578,0),MATCH(BA$1,'在庫使用計画 (法人)'!$A$1:$AT$1,0)))),"")</f>
        <v/>
      </c>
      <c r="BB109" s="641" t="str">
        <f>IFERROR(IF(SUM(INDEX('在庫使用計画 (一般)'!$A$1:$BF$557,MATCH($C109,'在庫使用計画 (一般)'!$C$1:$C$557,0),MATCH(BB$1,'在庫使用計画 (一般)'!$A$1:$BF$1,0)),INDEX('在庫使用計画 (法人)'!$A$1:$AT$578,MATCH($C109,'在庫使用計画 (法人)'!$C$1:$C$578,0),MATCH(BB$1,'在庫使用計画 (法人)'!$A$1:$AT$1,0)))=0,"",SUM(INDEX('在庫使用計画 (一般)'!$A$1:$BF$557,MATCH($C109,'在庫使用計画 (一般)'!$C$1:$C$557,0),MATCH(BB$1,'在庫使用計画 (一般)'!$A$1:$BF$1,0)),INDEX('在庫使用計画 (法人)'!$A$1:$AT$578,MATCH($C109,'在庫使用計画 (法人)'!$C$1:$C$578,0),MATCH(BB$1,'在庫使用計画 (法人)'!$A$1:$AT$1,0)))),"")</f>
        <v/>
      </c>
      <c r="BC109" s="641" t="str">
        <f>IFERROR(IF(SUM(INDEX('在庫使用計画 (一般)'!$A$1:$BF$557,MATCH($C109,'在庫使用計画 (一般)'!$C$1:$C$557,0),MATCH(BC$1,'在庫使用計画 (一般)'!$A$1:$BF$1,0)),INDEX('在庫使用計画 (法人)'!$A$1:$AT$578,MATCH($C109,'在庫使用計画 (法人)'!$C$1:$C$578,0),MATCH(BC$1,'在庫使用計画 (法人)'!$A$1:$AT$1,0)))=0,"",SUM(INDEX('在庫使用計画 (一般)'!$A$1:$BF$557,MATCH($C109,'在庫使用計画 (一般)'!$C$1:$C$557,0),MATCH(BC$1,'在庫使用計画 (一般)'!$A$1:$BF$1,0)),INDEX('在庫使用計画 (法人)'!$A$1:$AT$578,MATCH($C109,'在庫使用計画 (法人)'!$C$1:$C$578,0),MATCH(BC$1,'在庫使用計画 (法人)'!$A$1:$AT$1,0)))),"")</f>
        <v/>
      </c>
      <c r="BD109" s="641" t="str">
        <f>IFERROR(IF(SUM(INDEX('在庫使用計画 (一般)'!$A$1:$BF$557,MATCH($C109,'在庫使用計画 (一般)'!$C$1:$C$557,0),MATCH(BD$1,'在庫使用計画 (一般)'!$A$1:$BF$1,0)),INDEX('在庫使用計画 (法人)'!$A$1:$AT$578,MATCH($C109,'在庫使用計画 (法人)'!$C$1:$C$578,0),MATCH(BD$1,'在庫使用計画 (法人)'!$A$1:$AT$1,0)))=0,"",SUM(INDEX('在庫使用計画 (一般)'!$A$1:$BF$557,MATCH($C109,'在庫使用計画 (一般)'!$C$1:$C$557,0),MATCH(BD$1,'在庫使用計画 (一般)'!$A$1:$BF$1,0)),INDEX('在庫使用計画 (法人)'!$A$1:$AT$578,MATCH($C109,'在庫使用計画 (法人)'!$C$1:$C$578,0),MATCH(BD$1,'在庫使用計画 (法人)'!$A$1:$AT$1,0)))),"")</f>
        <v/>
      </c>
      <c r="BE109" s="641" t="str">
        <f>IFERROR(IF(SUM(INDEX('在庫使用計画 (一般)'!$A$1:$BF$557,MATCH($C109,'在庫使用計画 (一般)'!$C$1:$C$557,0),MATCH(BE$1,'在庫使用計画 (一般)'!$A$1:$BF$1,0)),INDEX('在庫使用計画 (法人)'!$A$1:$AT$578,MATCH($C109,'在庫使用計画 (法人)'!$C$1:$C$578,0),MATCH(BE$1,'在庫使用計画 (法人)'!$A$1:$AT$1,0)))=0,"",SUM(INDEX('在庫使用計画 (一般)'!$A$1:$BF$557,MATCH($C109,'在庫使用計画 (一般)'!$C$1:$C$557,0),MATCH(BE$1,'在庫使用計画 (一般)'!$A$1:$BF$1,0)),INDEX('在庫使用計画 (法人)'!$A$1:$AT$578,MATCH($C109,'在庫使用計画 (法人)'!$C$1:$C$578,0),MATCH(BE$1,'在庫使用計画 (法人)'!$A$1:$AT$1,0)))),"")</f>
        <v/>
      </c>
      <c r="BF109" s="641" t="str">
        <f>IFERROR(IF(SUM(INDEX('在庫使用計画 (一般)'!$A$1:$BF$557,MATCH($C109,'在庫使用計画 (一般)'!$C$1:$C$557,0),MATCH(BF$1,'在庫使用計画 (一般)'!$A$1:$BF$1,0)),INDEX('在庫使用計画 (法人)'!$A$1:$AT$578,MATCH($C109,'在庫使用計画 (法人)'!$C$1:$C$578,0),MATCH(BF$1,'在庫使用計画 (法人)'!$A$1:$AT$1,0)))=0,"",SUM(INDEX('在庫使用計画 (一般)'!$A$1:$BF$557,MATCH($C109,'在庫使用計画 (一般)'!$C$1:$C$557,0),MATCH(BF$1,'在庫使用計画 (一般)'!$A$1:$BF$1,0)),INDEX('在庫使用計画 (法人)'!$A$1:$AT$578,MATCH($C109,'在庫使用計画 (法人)'!$C$1:$C$578,0),MATCH(BF$1,'在庫使用計画 (法人)'!$A$1:$AT$1,0)))),"")</f>
        <v/>
      </c>
      <c r="BG109" s="640" t="str">
        <f>IFERROR(IF(SUM(INDEX('在庫使用計画 (一般)'!$A$1:$BF$557,MATCH($C109,'在庫使用計画 (一般)'!$C$1:$C$557,0),MATCH(BG$1,'在庫使用計画 (一般)'!$A$1:$BF$1,0)),INDEX('在庫使用計画 (法人)'!$A$1:$AT$578,MATCH($C109,'在庫使用計画 (法人)'!$C$1:$C$578,0),MATCH(BG$1,'在庫使用計画 (法人)'!$A$1:$AT$1,0)))=0,"",SUM(INDEX('在庫使用計画 (一般)'!$A$1:$BF$557,MATCH($C109,'在庫使用計画 (一般)'!$C$1:$C$557,0),MATCH(BG$1,'在庫使用計画 (一般)'!$A$1:$BF$1,0)),INDEX('在庫使用計画 (法人)'!$A$1:$AT$578,MATCH($C109,'在庫使用計画 (法人)'!$C$1:$C$578,0),MATCH(BG$1,'在庫使用計画 (法人)'!$A$1:$AT$1,0)))),"")</f>
        <v/>
      </c>
      <c r="BH109" s="814" t="str">
        <f>IFERROR(IF(SUM(INDEX('在庫使用計画 (一般)'!$A$1:$BF$557,MATCH($C109,'在庫使用計画 (一般)'!$C$1:$C$557,0),MATCH(BH$1,'在庫使用計画 (一般)'!$A$1:$BF$1,0)),INDEX('在庫使用計画 (法人)'!$A$1:$AT$578,MATCH($C109,'在庫使用計画 (法人)'!$C$1:$C$578,0),MATCH(BH$1,'在庫使用計画 (法人)'!$A$1:$AT$1,0)))=0,"",SUM(INDEX('在庫使用計画 (一般)'!$A$1:$BF$557,MATCH($C109,'在庫使用計画 (一般)'!$C$1:$C$557,0),MATCH(BH$1,'在庫使用計画 (一般)'!$A$1:$BF$1,0)),INDEX('在庫使用計画 (法人)'!$A$1:$AT$578,MATCH($C109,'在庫使用計画 (法人)'!$C$1:$C$578,0),MATCH(BH$1,'在庫使用計画 (法人)'!$A$1:$AT$1,0)))),"")</f>
        <v/>
      </c>
      <c r="BI109" s="641" t="str">
        <f>IFERROR(IF(SUM(INDEX('在庫使用計画 (一般)'!$A$1:$BF$557,MATCH($C109,'在庫使用計画 (一般)'!$C$1:$C$557,0),MATCH(BI$1,'在庫使用計画 (一般)'!$A$1:$BF$1,0)),INDEX('在庫使用計画 (法人)'!$A$1:$AT$578,MATCH($C109,'在庫使用計画 (法人)'!$C$1:$C$578,0),MATCH(BI$1,'在庫使用計画 (法人)'!$A$1:$AT$1,0)))=0,"",SUM(INDEX('在庫使用計画 (一般)'!$A$1:$BF$557,MATCH($C109,'在庫使用計画 (一般)'!$C$1:$C$557,0),MATCH(BI$1,'在庫使用計画 (一般)'!$A$1:$BF$1,0)),INDEX('在庫使用計画 (法人)'!$A$1:$AT$578,MATCH($C109,'在庫使用計画 (法人)'!$C$1:$C$578,0),MATCH(BI$1,'在庫使用計画 (法人)'!$A$1:$AT$1,0)))),"")</f>
        <v/>
      </c>
      <c r="BJ109" s="641" t="str">
        <f>IFERROR(IF(SUM(INDEX('在庫使用計画 (一般)'!$A$1:$BF$557,MATCH($C109,'在庫使用計画 (一般)'!$C$1:$C$557,0),MATCH(BJ$1,'在庫使用計画 (一般)'!$A$1:$BF$1,0)),INDEX('在庫使用計画 (法人)'!$A$1:$AT$578,MATCH($C109,'在庫使用計画 (法人)'!$C$1:$C$578,0),MATCH(BJ$1,'在庫使用計画 (法人)'!$A$1:$AT$1,0)))=0,"",SUM(INDEX('在庫使用計画 (一般)'!$A$1:$BF$557,MATCH($C109,'在庫使用計画 (一般)'!$C$1:$C$557,0),MATCH(BJ$1,'在庫使用計画 (一般)'!$A$1:$BF$1,0)),INDEX('在庫使用計画 (法人)'!$A$1:$AT$578,MATCH($C109,'在庫使用計画 (法人)'!$C$1:$C$578,0),MATCH(BJ$1,'在庫使用計画 (法人)'!$A$1:$AT$1,0)))),"")</f>
        <v/>
      </c>
      <c r="BK109" s="641" t="str">
        <f>IFERROR(IF(SUM(INDEX('在庫使用計画 (一般)'!$A$1:$BF$557,MATCH($C109,'在庫使用計画 (一般)'!$C$1:$C$557,0),MATCH(BK$1,'在庫使用計画 (一般)'!$A$1:$BF$1,0)),INDEX('在庫使用計画 (法人)'!$A$1:$AT$578,MATCH($C109,'在庫使用計画 (法人)'!$C$1:$C$578,0),MATCH(BK$1,'在庫使用計画 (法人)'!$A$1:$AT$1,0)))=0,"",SUM(INDEX('在庫使用計画 (一般)'!$A$1:$BF$557,MATCH($C109,'在庫使用計画 (一般)'!$C$1:$C$557,0),MATCH(BK$1,'在庫使用計画 (一般)'!$A$1:$BF$1,0)),INDEX('在庫使用計画 (法人)'!$A$1:$AT$578,MATCH($C109,'在庫使用計画 (法人)'!$C$1:$C$578,0),MATCH(BK$1,'在庫使用計画 (法人)'!$A$1:$AT$1,0)))),"")</f>
        <v/>
      </c>
      <c r="BL109" s="641" t="str">
        <f>IFERROR(IF(SUM(INDEX('在庫使用計画 (一般)'!$A$1:$BF$557,MATCH($C109,'在庫使用計画 (一般)'!$C$1:$C$557,0),MATCH(BL$1,'在庫使用計画 (一般)'!$A$1:$BF$1,0)),INDEX('在庫使用計画 (法人)'!$A$1:$AT$578,MATCH($C109,'在庫使用計画 (法人)'!$C$1:$C$578,0),MATCH(BL$1,'在庫使用計画 (法人)'!$A$1:$AT$1,0)))=0,"",SUM(INDEX('在庫使用計画 (一般)'!$A$1:$BF$557,MATCH($C109,'在庫使用計画 (一般)'!$C$1:$C$557,0),MATCH(BL$1,'在庫使用計画 (一般)'!$A$1:$BF$1,0)),INDEX('在庫使用計画 (法人)'!$A$1:$AT$578,MATCH($C109,'在庫使用計画 (法人)'!$C$1:$C$578,0),MATCH(BL$1,'在庫使用計画 (法人)'!$A$1:$AT$1,0)))),"")</f>
        <v/>
      </c>
      <c r="BM109" s="641" t="str">
        <f>IFERROR(IF(SUM(INDEX('在庫使用計画 (一般)'!$A$1:$BF$557,MATCH($C109,'在庫使用計画 (一般)'!$C$1:$C$557,0),MATCH(BM$1,'在庫使用計画 (一般)'!$A$1:$BF$1,0)),INDEX('在庫使用計画 (法人)'!$A$1:$AT$578,MATCH($C109,'在庫使用計画 (法人)'!$C$1:$C$578,0),MATCH(BM$1,'在庫使用計画 (法人)'!$A$1:$AT$1,0)))=0,"",SUM(INDEX('在庫使用計画 (一般)'!$A$1:$BF$557,MATCH($C109,'在庫使用計画 (一般)'!$C$1:$C$557,0),MATCH(BM$1,'在庫使用計画 (一般)'!$A$1:$BF$1,0)),INDEX('在庫使用計画 (法人)'!$A$1:$AT$578,MATCH($C109,'在庫使用計画 (法人)'!$C$1:$C$578,0),MATCH(BM$1,'在庫使用計画 (法人)'!$A$1:$AT$1,0)))),"")</f>
        <v/>
      </c>
      <c r="BN109" s="641" t="str">
        <f>IFERROR(IF(SUM(INDEX('在庫使用計画 (一般)'!$A$1:$BF$557,MATCH($C109,'在庫使用計画 (一般)'!$C$1:$C$557,0),MATCH(BN$1,'在庫使用計画 (一般)'!$A$1:$BF$1,0)),INDEX('在庫使用計画 (法人)'!$A$1:$AT$578,MATCH($C109,'在庫使用計画 (法人)'!$C$1:$C$578,0),MATCH(BN$1,'在庫使用計画 (法人)'!$A$1:$AT$1,0)))=0,"",SUM(INDEX('在庫使用計画 (一般)'!$A$1:$BF$557,MATCH($C109,'在庫使用計画 (一般)'!$C$1:$C$557,0),MATCH(BN$1,'在庫使用計画 (一般)'!$A$1:$BF$1,0)),INDEX('在庫使用計画 (法人)'!$A$1:$AT$578,MATCH($C109,'在庫使用計画 (法人)'!$C$1:$C$578,0),MATCH(BN$1,'在庫使用計画 (法人)'!$A$1:$AT$1,0)))),"")</f>
        <v/>
      </c>
      <c r="BO109" s="641" t="str">
        <f>IFERROR(IF(SUM(INDEX('在庫使用計画 (一般)'!$A$1:$BF$557,MATCH($C109,'在庫使用計画 (一般)'!$C$1:$C$557,0),MATCH(BO$1,'在庫使用計画 (一般)'!$A$1:$BF$1,0)),INDEX('在庫使用計画 (法人)'!$A$1:$AT$578,MATCH($C109,'在庫使用計画 (法人)'!$C$1:$C$578,0),MATCH(BO$1,'在庫使用計画 (法人)'!$A$1:$AT$1,0)))=0,"",SUM(INDEX('在庫使用計画 (一般)'!$A$1:$BF$557,MATCH($C109,'在庫使用計画 (一般)'!$C$1:$C$557,0),MATCH(BO$1,'在庫使用計画 (一般)'!$A$1:$BF$1,0)),INDEX('在庫使用計画 (法人)'!$A$1:$AT$578,MATCH($C109,'在庫使用計画 (法人)'!$C$1:$C$578,0),MATCH(BO$1,'在庫使用計画 (法人)'!$A$1:$AT$1,0)))),"")</f>
        <v/>
      </c>
      <c r="BP109" s="641" t="str">
        <f>IFERROR(IF(SUM(INDEX('在庫使用計画 (一般)'!$A$1:$BF$557,MATCH($C109,'在庫使用計画 (一般)'!$C$1:$C$557,0),MATCH(BP$1,'在庫使用計画 (一般)'!$A$1:$BF$1,0)),INDEX('在庫使用計画 (法人)'!$A$1:$AT$578,MATCH($C109,'在庫使用計画 (法人)'!$C$1:$C$578,0),MATCH(BP$1,'在庫使用計画 (法人)'!$A$1:$AT$1,0)))=0,"",SUM(INDEX('在庫使用計画 (一般)'!$A$1:$BF$557,MATCH($C109,'在庫使用計画 (一般)'!$C$1:$C$557,0),MATCH(BP$1,'在庫使用計画 (一般)'!$A$1:$BF$1,0)),INDEX('在庫使用計画 (法人)'!$A$1:$AT$578,MATCH($C109,'在庫使用計画 (法人)'!$C$1:$C$578,0),MATCH(BP$1,'在庫使用計画 (法人)'!$A$1:$AT$1,0)))),"")</f>
        <v/>
      </c>
      <c r="BQ109" s="641" t="str">
        <f>IFERROR(IF(SUM(INDEX('在庫使用計画 (一般)'!$A$1:$BF$557,MATCH($C109,'在庫使用計画 (一般)'!$C$1:$C$557,0),MATCH(BQ$1,'在庫使用計画 (一般)'!$A$1:$BF$1,0)),INDEX('在庫使用計画 (法人)'!$A$1:$AT$578,MATCH($C109,'在庫使用計画 (法人)'!$C$1:$C$578,0),MATCH(BQ$1,'在庫使用計画 (法人)'!$A$1:$AT$1,0)))=0,"",SUM(INDEX('在庫使用計画 (一般)'!$A$1:$BF$557,MATCH($C109,'在庫使用計画 (一般)'!$C$1:$C$557,0),MATCH(BQ$1,'在庫使用計画 (一般)'!$A$1:$BF$1,0)),INDEX('在庫使用計画 (法人)'!$A$1:$AT$578,MATCH($C109,'在庫使用計画 (法人)'!$C$1:$C$578,0),MATCH(BQ$1,'在庫使用計画 (法人)'!$A$1:$AT$1,0)))),"")</f>
        <v/>
      </c>
      <c r="BR109" s="641" t="str">
        <f>IFERROR(IF(SUM(INDEX('在庫使用計画 (一般)'!$A$1:$BF$557,MATCH($C109,'在庫使用計画 (一般)'!$C$1:$C$557,0),MATCH(BR$1,'在庫使用計画 (一般)'!$A$1:$BF$1,0)),INDEX('在庫使用計画 (法人)'!$A$1:$AT$578,MATCH($C109,'在庫使用計画 (法人)'!$C$1:$C$578,0),MATCH(BR$1,'在庫使用計画 (法人)'!$A$1:$AT$1,0)))=0,"",SUM(INDEX('在庫使用計画 (一般)'!$A$1:$BF$557,MATCH($C109,'在庫使用計画 (一般)'!$C$1:$C$557,0),MATCH(BR$1,'在庫使用計画 (一般)'!$A$1:$BF$1,0)),INDEX('在庫使用計画 (法人)'!$A$1:$AT$578,MATCH($C109,'在庫使用計画 (法人)'!$C$1:$C$578,0),MATCH(BR$1,'在庫使用計画 (法人)'!$A$1:$AT$1,0)))),"")</f>
        <v/>
      </c>
      <c r="BS109" s="815" t="str">
        <f>IFERROR(IF(SUM(INDEX('在庫使用計画 (一般)'!$A$1:$BF$557,MATCH($C109,'在庫使用計画 (一般)'!$C$1:$C$557,0),MATCH(BS$1,'在庫使用計画 (一般)'!$A$1:$BF$1,0)),INDEX('在庫使用計画 (法人)'!$A$1:$AT$578,MATCH($C109,'在庫使用計画 (法人)'!$C$1:$C$578,0),MATCH(BS$1,'在庫使用計画 (法人)'!$A$1:$AT$1,0)))=0,"",SUM(INDEX('在庫使用計画 (一般)'!$A$1:$BF$557,MATCH($C109,'在庫使用計画 (一般)'!$C$1:$C$557,0),MATCH(BS$1,'在庫使用計画 (一般)'!$A$1:$BF$1,0)),INDEX('在庫使用計画 (法人)'!$A$1:$AT$578,MATCH($C109,'在庫使用計画 (法人)'!$C$1:$C$578,0),MATCH(BS$1,'在庫使用計画 (法人)'!$A$1:$AT$1,0)))),"")</f>
        <v/>
      </c>
      <c r="BT109" s="23"/>
    </row>
    <row r="110" spans="1:72" customFormat="1" ht="18.75" customHeight="1">
      <c r="A110" s="1066" t="s">
        <v>982</v>
      </c>
      <c r="B110" s="30" t="s">
        <v>1757</v>
      </c>
      <c r="C110" s="30"/>
      <c r="D110" s="2152" t="s">
        <v>12</v>
      </c>
      <c r="E110" s="30" t="s">
        <v>11</v>
      </c>
      <c r="F110" s="30"/>
      <c r="G110" s="40"/>
      <c r="H110" s="664"/>
      <c r="I110" s="311">
        <v>0</v>
      </c>
      <c r="J110" s="311"/>
      <c r="K110" s="319"/>
      <c r="L110" s="41"/>
      <c r="M110" s="41"/>
      <c r="N110" s="41"/>
      <c r="O110" s="41"/>
      <c r="P110" s="41"/>
      <c r="Q110" s="41"/>
      <c r="R110" s="41"/>
      <c r="S110" s="41"/>
      <c r="T110" s="231"/>
      <c r="U110" s="231"/>
      <c r="V110" s="231"/>
      <c r="W110" s="218"/>
      <c r="X110" s="218"/>
      <c r="Y110" s="218"/>
      <c r="Z110" s="218"/>
      <c r="AA110" s="135"/>
      <c r="AB110" s="135"/>
      <c r="AC110" s="135"/>
      <c r="AD110" s="135"/>
      <c r="AE110" s="135"/>
      <c r="AF110" s="135"/>
      <c r="AG110" s="135"/>
      <c r="AH110" s="135"/>
      <c r="AI110" s="822"/>
      <c r="AJ110" s="843"/>
      <c r="AK110" s="338"/>
      <c r="AL110" s="338"/>
      <c r="AM110" s="338"/>
      <c r="AN110" s="338"/>
      <c r="AO110" s="338"/>
      <c r="AP110" s="338"/>
      <c r="AQ110" s="338"/>
      <c r="AR110" s="338"/>
      <c r="AS110" s="338"/>
      <c r="AT110" s="338"/>
      <c r="AU110" s="813"/>
      <c r="AV110" s="830"/>
      <c r="AW110" s="338"/>
      <c r="AX110" s="338"/>
      <c r="AY110" s="338"/>
      <c r="AZ110" s="338"/>
      <c r="BA110" s="338"/>
      <c r="BB110" s="338"/>
      <c r="BC110" s="338"/>
      <c r="BD110" s="338"/>
      <c r="BE110" s="338"/>
      <c r="BF110" s="338"/>
      <c r="BG110" s="799"/>
      <c r="BH110" s="812"/>
      <c r="BI110" s="338"/>
      <c r="BJ110" s="338"/>
      <c r="BK110" s="338"/>
      <c r="BL110" s="338"/>
      <c r="BM110" s="338"/>
      <c r="BN110" s="338"/>
      <c r="BO110" s="338"/>
      <c r="BP110" s="338"/>
      <c r="BQ110" s="338"/>
      <c r="BR110" s="338"/>
      <c r="BS110" s="813"/>
      <c r="BT110" s="23"/>
    </row>
    <row r="111" spans="1:72" customFormat="1" ht="18.75" customHeight="1">
      <c r="A111" s="1075" t="s">
        <v>1740</v>
      </c>
      <c r="B111" s="55" t="s">
        <v>1007</v>
      </c>
      <c r="C111" s="57" t="s">
        <v>1005</v>
      </c>
      <c r="D111" s="2174">
        <v>4070</v>
      </c>
      <c r="E111" s="55" t="s">
        <v>19</v>
      </c>
      <c r="F111" s="56" t="s">
        <v>20</v>
      </c>
      <c r="G111" s="74" cm="1">
        <f t="array" ref="G111:G120">IF($C111:$C120="","",SUMIF(マスタ_EOLリスト[[製品型番]:[製品型番]],$C111:$C120,マスタ_EOLリスト[[在庫+注残]:[在庫+注残]]))</f>
        <v>0</v>
      </c>
      <c r="H111" s="38" cm="1">
        <f t="array" ref="H111:H120">IF($C111:$C120="","",SUMIF(マスタ_EOLリスト[[製品型番]:[製品型番]],$C111:$C120,マスタ_EOLリスト[[在庫]:[在庫]]))</f>
        <v>0</v>
      </c>
      <c r="I111" s="38">
        <f ca="1">_xlfn.LET(_xlpm._今月から4ヶ月計画合計,
  SUM(
    OFFSET($A111,0,
      MATCH(
        EDATE(基準データ!$C$5,3),$A$1:$BD$1,1
      )-4,1,4)),
  IF($C111="","",_xlpm._今月から4ヶ月計画合計
)
)</f>
        <v>0</v>
      </c>
      <c r="J111" s="74" t="s">
        <v>21</v>
      </c>
      <c r="K111" s="1458" t="str" cm="1">
        <f t="array" ref="K111">_xlfn.IFS(
  $C111="","",
  $G111="","発売前？",
  $G111=0,"在庫なし",
  TRUE,
  IFERROR(
    _xlfn.LET(
      _xlpm._在庫注残,     $G111,
      _xlpm._しきい値,     _xlpm._在庫注残 * 0.75,
      _xlpm._見出し元,     $L$1:$BU$1,
      _xlpm._計画,         $L111:$BU111,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在庫なし</v>
      </c>
      <c r="L111" s="38">
        <v>60</v>
      </c>
      <c r="M111" s="38">
        <v>50</v>
      </c>
      <c r="N111" s="38">
        <v>4</v>
      </c>
      <c r="O111" s="38">
        <v>20</v>
      </c>
      <c r="P111" s="38">
        <v>21</v>
      </c>
      <c r="Q111" s="38">
        <v>22</v>
      </c>
      <c r="R111" s="38">
        <v>14</v>
      </c>
      <c r="S111" s="38">
        <v>19</v>
      </c>
      <c r="T111" s="219">
        <v>15</v>
      </c>
      <c r="U111" s="219">
        <v>17</v>
      </c>
      <c r="V111" s="219" t="s">
        <v>21</v>
      </c>
      <c r="W111" s="219" t="s">
        <v>21</v>
      </c>
      <c r="X111" s="224" t="s">
        <v>21</v>
      </c>
      <c r="Y111" s="224" t="s">
        <v>21</v>
      </c>
      <c r="Z111" s="224" t="s">
        <v>21</v>
      </c>
      <c r="AA111" s="244" t="s">
        <v>21</v>
      </c>
      <c r="AB111" s="224" t="s">
        <v>21</v>
      </c>
      <c r="AC111" s="224" t="s">
        <v>21</v>
      </c>
      <c r="AD111" s="224" t="s">
        <v>21</v>
      </c>
      <c r="AE111" s="224" t="s">
        <v>21</v>
      </c>
      <c r="AF111" s="224" t="s">
        <v>21</v>
      </c>
      <c r="AG111" s="224" t="s">
        <v>21</v>
      </c>
      <c r="AH111" s="224" t="s">
        <v>21</v>
      </c>
      <c r="AI111" s="237" t="s">
        <v>21</v>
      </c>
      <c r="AJ111" s="804" t="s">
        <v>21</v>
      </c>
      <c r="AK111" s="224" t="s">
        <v>21</v>
      </c>
      <c r="AL111" s="224" t="s">
        <v>21</v>
      </c>
      <c r="AM111" s="224" t="s">
        <v>21</v>
      </c>
      <c r="AN111" s="224" t="str">
        <f>IFERROR(IF(SUM(INDEX('在庫使用計画 (一般)'!$A$1:$BF$557,MATCH($C111,'在庫使用計画 (一般)'!$C$1:$C$557,0),MATCH(AN$1,'在庫使用計画 (一般)'!$A$1:$BF$1,0)),INDEX('在庫使用計画 (法人)'!$A$1:$AT$578,MATCH($C111,'在庫使用計画 (法人)'!$C$1:$C$578,0),MATCH(AN$1,'在庫使用計画 (法人)'!$A$1:$AT$1,0)))=0,"",SUM(INDEX('在庫使用計画 (一般)'!$A$1:$BF$557,MATCH($C111,'在庫使用計画 (一般)'!$C$1:$C$557,0),MATCH(AN$1,'在庫使用計画 (一般)'!$A$1:$BF$1,0)),INDEX('在庫使用計画 (法人)'!$A$1:$AT$578,MATCH($C111,'在庫使用計画 (法人)'!$C$1:$C$578,0),MATCH(AN$1,'在庫使用計画 (法人)'!$A$1:$AT$1,0)))),"")</f>
        <v/>
      </c>
      <c r="AO111" s="224" t="str">
        <f>IFERROR(IF(SUM(INDEX('在庫使用計画 (一般)'!$A$1:$BF$557,MATCH($C111,'在庫使用計画 (一般)'!$C$1:$C$557,0),MATCH(AO$1,'在庫使用計画 (一般)'!$A$1:$BF$1,0)),INDEX('在庫使用計画 (法人)'!$A$1:$AT$578,MATCH($C111,'在庫使用計画 (法人)'!$C$1:$C$578,0),MATCH(AO$1,'在庫使用計画 (法人)'!$A$1:$AT$1,0)))=0,"",SUM(INDEX('在庫使用計画 (一般)'!$A$1:$BF$557,MATCH($C111,'在庫使用計画 (一般)'!$C$1:$C$557,0),MATCH(AO$1,'在庫使用計画 (一般)'!$A$1:$BF$1,0)),INDEX('在庫使用計画 (法人)'!$A$1:$AT$578,MATCH($C111,'在庫使用計画 (法人)'!$C$1:$C$578,0),MATCH(AO$1,'在庫使用計画 (法人)'!$A$1:$AT$1,0)))),"")</f>
        <v/>
      </c>
      <c r="AP111" s="224" t="str">
        <f>IFERROR(IF(SUM(INDEX('在庫使用計画 (一般)'!$A$1:$BF$557,MATCH($C111,'在庫使用計画 (一般)'!$C$1:$C$557,0),MATCH(AP$1,'在庫使用計画 (一般)'!$A$1:$BF$1,0)),INDEX('在庫使用計画 (法人)'!$A$1:$AT$578,MATCH($C111,'在庫使用計画 (法人)'!$C$1:$C$578,0),MATCH(AP$1,'在庫使用計画 (法人)'!$A$1:$AT$1,0)))=0,"",SUM(INDEX('在庫使用計画 (一般)'!$A$1:$BF$557,MATCH($C111,'在庫使用計画 (一般)'!$C$1:$C$557,0),MATCH(AP$1,'在庫使用計画 (一般)'!$A$1:$BF$1,0)),INDEX('在庫使用計画 (法人)'!$A$1:$AT$578,MATCH($C111,'在庫使用計画 (法人)'!$C$1:$C$578,0),MATCH(AP$1,'在庫使用計画 (法人)'!$A$1:$AT$1,0)))),"")</f>
        <v/>
      </c>
      <c r="AQ111" s="224" t="str">
        <f>IFERROR(IF(SUM(INDEX('在庫使用計画 (一般)'!$A$1:$BF$557,MATCH($C111,'在庫使用計画 (一般)'!$C$1:$C$557,0),MATCH(AQ$1,'在庫使用計画 (一般)'!$A$1:$BF$1,0)),INDEX('在庫使用計画 (法人)'!$A$1:$AT$578,MATCH($C111,'在庫使用計画 (法人)'!$C$1:$C$578,0),MATCH(AQ$1,'在庫使用計画 (法人)'!$A$1:$AT$1,0)))=0,"",SUM(INDEX('在庫使用計画 (一般)'!$A$1:$BF$557,MATCH($C111,'在庫使用計画 (一般)'!$C$1:$C$557,0),MATCH(AQ$1,'在庫使用計画 (一般)'!$A$1:$BF$1,0)),INDEX('在庫使用計画 (法人)'!$A$1:$AT$578,MATCH($C111,'在庫使用計画 (法人)'!$C$1:$C$578,0),MATCH(AQ$1,'在庫使用計画 (法人)'!$A$1:$AT$1,0)))),"")</f>
        <v/>
      </c>
      <c r="AR111" s="224" t="str">
        <f>IFERROR(IF(SUM(INDEX('在庫使用計画 (一般)'!$A$1:$BF$557,MATCH($C111,'在庫使用計画 (一般)'!$C$1:$C$557,0),MATCH(AR$1,'在庫使用計画 (一般)'!$A$1:$BF$1,0)),INDEX('在庫使用計画 (法人)'!$A$1:$AT$578,MATCH($C111,'在庫使用計画 (法人)'!$C$1:$C$578,0),MATCH(AR$1,'在庫使用計画 (法人)'!$A$1:$AT$1,0)))=0,"",SUM(INDEX('在庫使用計画 (一般)'!$A$1:$BF$557,MATCH($C111,'在庫使用計画 (一般)'!$C$1:$C$557,0),MATCH(AR$1,'在庫使用計画 (一般)'!$A$1:$BF$1,0)),INDEX('在庫使用計画 (法人)'!$A$1:$AT$578,MATCH($C111,'在庫使用計画 (法人)'!$C$1:$C$578,0),MATCH(AR$1,'在庫使用計画 (法人)'!$A$1:$AT$1,0)))),"")</f>
        <v/>
      </c>
      <c r="AS111" s="224" t="str">
        <f>IFERROR(IF(SUM(INDEX('在庫使用計画 (一般)'!$A$1:$BF$557,MATCH($C111,'在庫使用計画 (一般)'!$C$1:$C$557,0),MATCH(AS$1,'在庫使用計画 (一般)'!$A$1:$BF$1,0)),INDEX('在庫使用計画 (法人)'!$A$1:$AT$578,MATCH($C111,'在庫使用計画 (法人)'!$C$1:$C$578,0),MATCH(AS$1,'在庫使用計画 (法人)'!$A$1:$AT$1,0)))=0,"",SUM(INDEX('在庫使用計画 (一般)'!$A$1:$BF$557,MATCH($C111,'在庫使用計画 (一般)'!$C$1:$C$557,0),MATCH(AS$1,'在庫使用計画 (一般)'!$A$1:$BF$1,0)),INDEX('在庫使用計画 (法人)'!$A$1:$AT$578,MATCH($C111,'在庫使用計画 (法人)'!$C$1:$C$578,0),MATCH(AS$1,'在庫使用計画 (法人)'!$A$1:$AT$1,0)))),"")</f>
        <v/>
      </c>
      <c r="AT111" s="224" t="str">
        <f>IFERROR(IF(SUM(INDEX('在庫使用計画 (一般)'!$A$1:$BF$557,MATCH($C111,'在庫使用計画 (一般)'!$C$1:$C$557,0),MATCH(AT$1,'在庫使用計画 (一般)'!$A$1:$BF$1,0)),INDEX('在庫使用計画 (法人)'!$A$1:$AT$578,MATCH($C111,'在庫使用計画 (法人)'!$C$1:$C$578,0),MATCH(AT$1,'在庫使用計画 (法人)'!$A$1:$AT$1,0)))=0,"",SUM(INDEX('在庫使用計画 (一般)'!$A$1:$BF$557,MATCH($C111,'在庫使用計画 (一般)'!$C$1:$C$557,0),MATCH(AT$1,'在庫使用計画 (一般)'!$A$1:$BF$1,0)),INDEX('在庫使用計画 (法人)'!$A$1:$AT$578,MATCH($C111,'在庫使用計画 (法人)'!$C$1:$C$578,0),MATCH(AT$1,'在庫使用計画 (法人)'!$A$1:$AT$1,0)))),"")</f>
        <v/>
      </c>
      <c r="AU111" s="805" t="str">
        <f>IFERROR(IF(SUM(INDEX('在庫使用計画 (一般)'!$A$1:$BF$557,MATCH($C111,'在庫使用計画 (一般)'!$C$1:$C$557,0),MATCH(AU$1,'在庫使用計画 (一般)'!$A$1:$BF$1,0)),INDEX('在庫使用計画 (法人)'!$A$1:$AT$578,MATCH($C111,'在庫使用計画 (法人)'!$C$1:$C$578,0),MATCH(AU$1,'在庫使用計画 (法人)'!$A$1:$AT$1,0)))=0,"",SUM(INDEX('在庫使用計画 (一般)'!$A$1:$BF$557,MATCH($C111,'在庫使用計画 (一般)'!$C$1:$C$557,0),MATCH(AU$1,'在庫使用計画 (一般)'!$A$1:$BF$1,0)),INDEX('在庫使用計画 (法人)'!$A$1:$AT$578,MATCH($C111,'在庫使用計画 (法人)'!$C$1:$C$578,0),MATCH(AU$1,'在庫使用計画 (法人)'!$A$1:$AT$1,0)))),"")</f>
        <v/>
      </c>
      <c r="AV111" s="244" t="str">
        <f>_xlfn.LET(
  _xlpm._一般,INDEX('在庫使用計画 (一般)'!$A$1:$BF$316,MATCH($C111,'在庫使用計画 (一般)'!$C$1:$C$316,0),MATCH(AV$1,'在庫使用計画 (一般)'!$A$1:$BF$1,0)),
  _xlpm._法人,INDEX('在庫使用計画 (法人)'!$A$1:$BF$327,MATCH($C111,'在庫使用計画 (法人)'!$C$1:$C$327,0),MATCH(AV$1,'在庫使用計画 (法人)'!$A$1:$BF$1,0)),
 IFERROR(
  IF(_xlpm._一般+_xlpm._法人=0,"",_xlpm._一般+_xlpm._法人
  ),
 "")
)</f>
        <v/>
      </c>
      <c r="AW111" s="224" t="str">
        <f>_xlfn.LET(
  _xlpm._一般,INDEX('在庫使用計画 (一般)'!$A$1:$BF$316,MATCH($C111,'在庫使用計画 (一般)'!$C$1:$C$316,0),MATCH(AW$1,'在庫使用計画 (一般)'!$A$1:$BF$1,0)),
  _xlpm._法人,INDEX('在庫使用計画 (法人)'!$A$1:$BF$327,MATCH($C111,'在庫使用計画 (法人)'!$C$1:$C$327,0),MATCH(AW$1,'在庫使用計画 (法人)'!$A$1:$BF$1,0)),
 IFERROR(
  IF(_xlpm._一般+_xlpm._法人=0,"",_xlpm._一般+_xlpm._法人
  ),
 "")
)</f>
        <v/>
      </c>
      <c r="AX111" s="224" t="str">
        <f>_xlfn.LET(
  _xlpm._一般,INDEX('在庫使用計画 (一般)'!$A$1:$BF$316,MATCH($C111,'在庫使用計画 (一般)'!$C$1:$C$316,0),MATCH(AX$1,'在庫使用計画 (一般)'!$A$1:$BF$1,0)),
  _xlpm._法人,INDEX('在庫使用計画 (法人)'!$A$1:$BF$327,MATCH($C111,'在庫使用計画 (法人)'!$C$1:$C$327,0),MATCH(AX$1,'在庫使用計画 (法人)'!$A$1:$BF$1,0)),
 IFERROR(
  IF(_xlpm._一般+_xlpm._法人=0,"",_xlpm._一般+_xlpm._法人
  ),
 "")
)</f>
        <v/>
      </c>
      <c r="AY111" s="224" t="str">
        <f>_xlfn.LET(
  _xlpm._一般,INDEX('在庫使用計画 (一般)'!$A$1:$BF$316,MATCH($C111,'在庫使用計画 (一般)'!$C$1:$C$316,0),MATCH(AY$1,'在庫使用計画 (一般)'!$A$1:$BF$1,0)),
  _xlpm._法人,INDEX('在庫使用計画 (法人)'!$A$1:$BF$327,MATCH($C111,'在庫使用計画 (法人)'!$C$1:$C$327,0),MATCH(AY$1,'在庫使用計画 (法人)'!$A$1:$BF$1,0)),
 IFERROR(
  IF(_xlpm._一般+_xlpm._法人=0,"",_xlpm._一般+_xlpm._法人
  ),
 "")
)</f>
        <v/>
      </c>
      <c r="AZ111" s="224" t="str">
        <f>_xlfn.LET(
  _xlpm._一般,INDEX('在庫使用計画 (一般)'!$A$1:$BF$316,MATCH($C111,'在庫使用計画 (一般)'!$C$1:$C$316,0),MATCH(AZ$1,'在庫使用計画 (一般)'!$A$1:$BF$1,0)),
  _xlpm._法人,INDEX('在庫使用計画 (法人)'!$A$1:$BF$327,MATCH($C111,'在庫使用計画 (法人)'!$C$1:$C$327,0),MATCH(AZ$1,'在庫使用計画 (法人)'!$A$1:$BF$1,0)),
 IFERROR(
  IF(_xlpm._一般+_xlpm._法人=0,"",_xlpm._一般+_xlpm._法人
  ),
 "")
)</f>
        <v/>
      </c>
      <c r="BA111" s="224" t="str">
        <f>_xlfn.LET(
  _xlpm._一般,INDEX('在庫使用計画 (一般)'!$A$1:$BF$316,MATCH($C111,'在庫使用計画 (一般)'!$C$1:$C$316,0),MATCH(BA$1,'在庫使用計画 (一般)'!$A$1:$BF$1,0)),
  _xlpm._法人,INDEX('在庫使用計画 (法人)'!$A$1:$BF$327,MATCH($C111,'在庫使用計画 (法人)'!$C$1:$C$327,0),MATCH(BA$1,'在庫使用計画 (法人)'!$A$1:$BF$1,0)),
 IFERROR(
  IF(_xlpm._一般+_xlpm._法人=0,"",_xlpm._一般+_xlpm._法人
  ),
 "")
)</f>
        <v/>
      </c>
      <c r="BB111" s="224" t="str">
        <f>_xlfn.LET(
  _xlpm._一般,INDEX('在庫使用計画 (一般)'!$A$1:$BF$316,MATCH($C111,'在庫使用計画 (一般)'!$C$1:$C$316,0),MATCH(BB$1,'在庫使用計画 (一般)'!$A$1:$BF$1,0)),
  _xlpm._法人,INDEX('在庫使用計画 (法人)'!$A$1:$BF$327,MATCH($C111,'在庫使用計画 (法人)'!$C$1:$C$327,0),MATCH(BB$1,'在庫使用計画 (法人)'!$A$1:$BF$1,0)),
 IFERROR(
  IF(_xlpm._一般+_xlpm._法人=0,"",_xlpm._一般+_xlpm._法人
  ),
 "")
)</f>
        <v/>
      </c>
      <c r="BC111" s="224" t="str">
        <f>_xlfn.LET(
  _xlpm._一般,INDEX('在庫使用計画 (一般)'!$A$1:$BF$316,MATCH($C111,'在庫使用計画 (一般)'!$C$1:$C$316,0),MATCH(BC$1,'在庫使用計画 (一般)'!$A$1:$BF$1,0)),
  _xlpm._法人,INDEX('在庫使用計画 (法人)'!$A$1:$BF$327,MATCH($C111,'在庫使用計画 (法人)'!$C$1:$C$327,0),MATCH(BC$1,'在庫使用計画 (法人)'!$A$1:$BF$1,0)),
 IFERROR(
  IF(_xlpm._一般+_xlpm._法人=0,"",_xlpm._一般+_xlpm._法人
  ),
 "")
)</f>
        <v/>
      </c>
      <c r="BD111" s="224" t="str">
        <f>_xlfn.LET(
  _xlpm._一般,INDEX('在庫使用計画 (一般)'!$A$1:$BF$316,MATCH($C111,'在庫使用計画 (一般)'!$C$1:$C$316,0),MATCH(BD$1,'在庫使用計画 (一般)'!$A$1:$BF$1,0)),
  _xlpm._法人,INDEX('在庫使用計画 (法人)'!$A$1:$BF$327,MATCH($C111,'在庫使用計画 (法人)'!$C$1:$C$327,0),MATCH(BD$1,'在庫使用計画 (法人)'!$A$1:$BF$1,0)),
 IFERROR(
  IF(_xlpm._一般+_xlpm._法人=0,"",_xlpm._一般+_xlpm._法人
  ),
 "")
)</f>
        <v/>
      </c>
      <c r="BE111" s="224" t="str">
        <f>_xlfn.LET(
  _xlpm._一般,INDEX('在庫使用計画 (一般)'!$A$1:$BF$316,MATCH($C111,'在庫使用計画 (一般)'!$C$1:$C$316,0),MATCH(BE$1,'在庫使用計画 (一般)'!$A$1:$BF$1,0)),
  _xlpm._法人,INDEX('在庫使用計画 (法人)'!$A$1:$BF$327,MATCH($C111,'在庫使用計画 (法人)'!$C$1:$C$327,0),MATCH(BE$1,'在庫使用計画 (法人)'!$A$1:$BF$1,0)),
 IFERROR(
  IF(_xlpm._一般+_xlpm._法人=0,"",_xlpm._一般+_xlpm._法人
  ),
 "")
)</f>
        <v/>
      </c>
      <c r="BF111" s="224" t="str">
        <f>_xlfn.LET(
  _xlpm._一般,INDEX('在庫使用計画 (一般)'!$A$1:$BF$316,MATCH($C111,'在庫使用計画 (一般)'!$C$1:$C$316,0),MATCH(BF$1,'在庫使用計画 (一般)'!$A$1:$BF$1,0)),
  _xlpm._法人,INDEX('在庫使用計画 (法人)'!$A$1:$BF$327,MATCH($C111,'在庫使用計画 (法人)'!$C$1:$C$327,0),MATCH(BF$1,'在庫使用計画 (法人)'!$A$1:$BF$1,0)),
 IFERROR(
  IF(_xlpm._一般+_xlpm._法人=0,"",_xlpm._一般+_xlpm._法人
  ),
 "")
)</f>
        <v/>
      </c>
      <c r="BG111" s="237" t="str">
        <f>_xlfn.LET(
  _xlpm._一般,INDEX('在庫使用計画 (一般)'!$A$1:$BF$316,MATCH($C111,'在庫使用計画 (一般)'!$C$1:$C$316,0),MATCH(BG$1,'在庫使用計画 (一般)'!$A$1:$BF$1,0)),
  _xlpm._法人,INDEX('在庫使用計画 (法人)'!$A$1:$BF$327,MATCH($C111,'在庫使用計画 (法人)'!$C$1:$C$327,0),MATCH(BG$1,'在庫使用計画 (法人)'!$A$1:$BF$1,0)),
 IFERROR(
  IF(_xlpm._一般+_xlpm._法人=0,"",_xlpm._一般+_xlpm._法人
  ),
 "")
)</f>
        <v/>
      </c>
      <c r="BH111" s="804" t="str">
        <f>_xlfn.LET(
  _xlpm._一般,INDEX('在庫使用計画 (一般)'!$A$1:$BF$316,MATCH($C111,'在庫使用計画 (一般)'!$C$1:$C$316,0),MATCH(BH$1,'在庫使用計画 (一般)'!$A$1:$BF$1,0)),
  _xlpm._法人,INDEX('在庫使用計画 (法人)'!$A$1:$BF$327,MATCH($C111,'在庫使用計画 (法人)'!$C$1:$C$327,0),MATCH(BH$1,'在庫使用計画 (法人)'!$A$1:$BF$1,0)),
 IFERROR(
  IF(_xlpm._一般+_xlpm._法人=0,"",_xlpm._一般+_xlpm._法人
  ),
 "")
)</f>
        <v/>
      </c>
      <c r="BI111" s="224" t="str">
        <f>_xlfn.LET(
  _xlpm._一般,INDEX('在庫使用計画 (一般)'!$A$1:$BF$316,MATCH($C111,'在庫使用計画 (一般)'!$C$1:$C$316,0),MATCH(BI$1,'在庫使用計画 (一般)'!$A$1:$BF$1,0)),
  _xlpm._法人,INDEX('在庫使用計画 (法人)'!$A$1:$BF$327,MATCH($C111,'在庫使用計画 (法人)'!$C$1:$C$327,0),MATCH(BI$1,'在庫使用計画 (法人)'!$A$1:$BF$1,0)),
 IFERROR(
  IF(_xlpm._一般+_xlpm._法人=0,"",_xlpm._一般+_xlpm._法人
  ),
 "")
)</f>
        <v/>
      </c>
      <c r="BJ111" s="224" t="str">
        <f>_xlfn.LET(
  _xlpm._一般,INDEX('在庫使用計画 (一般)'!$A$1:$BF$316,MATCH($C111,'在庫使用計画 (一般)'!$C$1:$C$316,0),MATCH(BJ$1,'在庫使用計画 (一般)'!$A$1:$BF$1,0)),
  _xlpm._法人,INDEX('在庫使用計画 (法人)'!$A$1:$BF$327,MATCH($C111,'在庫使用計画 (法人)'!$C$1:$C$327,0),MATCH(BJ$1,'在庫使用計画 (法人)'!$A$1:$BF$1,0)),
 IFERROR(
  IF(_xlpm._一般+_xlpm._法人=0,"",_xlpm._一般+_xlpm._法人
  ),
 "")
)</f>
        <v/>
      </c>
      <c r="BK111" s="224" t="str">
        <f>_xlfn.LET(
  _xlpm._一般,INDEX('在庫使用計画 (一般)'!$A$1:$BF$316,MATCH($C111,'在庫使用計画 (一般)'!$C$1:$C$316,0),MATCH(BK$1,'在庫使用計画 (一般)'!$A$1:$BF$1,0)),
  _xlpm._法人,INDEX('在庫使用計画 (法人)'!$A$1:$BF$327,MATCH($C111,'在庫使用計画 (法人)'!$C$1:$C$327,0),MATCH(BK$1,'在庫使用計画 (法人)'!$A$1:$BF$1,0)),
 IFERROR(
  IF(_xlpm._一般+_xlpm._法人=0,"",_xlpm._一般+_xlpm._法人
  ),
 "")
)</f>
        <v/>
      </c>
      <c r="BL111" s="224" t="str">
        <f>_xlfn.LET(
  _xlpm._一般,INDEX('在庫使用計画 (一般)'!$A$1:$BF$316,MATCH($C111,'在庫使用計画 (一般)'!$C$1:$C$316,0),MATCH(BL$1,'在庫使用計画 (一般)'!$A$1:$BF$1,0)),
  _xlpm._法人,INDEX('在庫使用計画 (法人)'!$A$1:$BF$327,MATCH($C111,'在庫使用計画 (法人)'!$C$1:$C$327,0),MATCH(BL$1,'在庫使用計画 (法人)'!$A$1:$BF$1,0)),
 IFERROR(
  IF(_xlpm._一般+_xlpm._法人=0,"",_xlpm._一般+_xlpm._法人
  ),
 "")
)</f>
        <v/>
      </c>
      <c r="BM111" s="224" t="str">
        <f>_xlfn.LET(
  _xlpm._一般,INDEX('在庫使用計画 (一般)'!$A$1:$BF$316,MATCH($C111,'在庫使用計画 (一般)'!$C$1:$C$316,0),MATCH(BM$1,'在庫使用計画 (一般)'!$A$1:$BF$1,0)),
  _xlpm._法人,INDEX('在庫使用計画 (法人)'!$A$1:$BF$327,MATCH($C111,'在庫使用計画 (法人)'!$C$1:$C$327,0),MATCH(BM$1,'在庫使用計画 (法人)'!$A$1:$BF$1,0)),
 IFERROR(
  IF(_xlpm._一般+_xlpm._法人=0,"",_xlpm._一般+_xlpm._法人
  ),
 "")
)</f>
        <v/>
      </c>
      <c r="BN111" s="224" t="str">
        <f>_xlfn.LET(
  _xlpm._一般,INDEX('在庫使用計画 (一般)'!$A$1:$BF$316,MATCH($C111,'在庫使用計画 (一般)'!$C$1:$C$316,0),MATCH(BN$1,'在庫使用計画 (一般)'!$A$1:$BF$1,0)),
  _xlpm._法人,INDEX('在庫使用計画 (法人)'!$A$1:$BF$327,MATCH($C111,'在庫使用計画 (法人)'!$C$1:$C$327,0),MATCH(BN$1,'在庫使用計画 (法人)'!$A$1:$BF$1,0)),
 IFERROR(
  IF(_xlpm._一般+_xlpm._法人=0,"",_xlpm._一般+_xlpm._法人
  ),
 "")
)</f>
        <v/>
      </c>
      <c r="BO111" s="224" t="str">
        <f>_xlfn.LET(
  _xlpm._一般,INDEX('在庫使用計画 (一般)'!$A$1:$BF$316,MATCH($C111,'在庫使用計画 (一般)'!$C$1:$C$316,0),MATCH(BO$1,'在庫使用計画 (一般)'!$A$1:$BF$1,0)),
  _xlpm._法人,INDEX('在庫使用計画 (法人)'!$A$1:$BF$327,MATCH($C111,'在庫使用計画 (法人)'!$C$1:$C$327,0),MATCH(BO$1,'在庫使用計画 (法人)'!$A$1:$BF$1,0)),
 IFERROR(
  IF(_xlpm._一般+_xlpm._法人=0,"",_xlpm._一般+_xlpm._法人
  ),
 "")
)</f>
        <v/>
      </c>
      <c r="BP111" s="224" t="str">
        <f>_xlfn.LET(
  _xlpm._一般,INDEX('在庫使用計画 (一般)'!$A$1:$BF$316,MATCH($C111,'在庫使用計画 (一般)'!$C$1:$C$316,0),MATCH(BP$1,'在庫使用計画 (一般)'!$A$1:$BF$1,0)),
  _xlpm._法人,INDEX('在庫使用計画 (法人)'!$A$1:$BF$327,MATCH($C111,'在庫使用計画 (法人)'!$C$1:$C$327,0),MATCH(BP$1,'在庫使用計画 (法人)'!$A$1:$BF$1,0)),
 IFERROR(
  IF(_xlpm._一般+_xlpm._法人=0,"",_xlpm._一般+_xlpm._法人
  ),
 "")
)</f>
        <v/>
      </c>
      <c r="BQ111" s="224" t="str">
        <f>_xlfn.LET(
  _xlpm._一般,INDEX('在庫使用計画 (一般)'!$A$1:$BF$316,MATCH($C111,'在庫使用計画 (一般)'!$C$1:$C$316,0),MATCH(BQ$1,'在庫使用計画 (一般)'!$A$1:$BF$1,0)),
  _xlpm._法人,INDEX('在庫使用計画 (法人)'!$A$1:$BF$327,MATCH($C111,'在庫使用計画 (法人)'!$C$1:$C$327,0),MATCH(BQ$1,'在庫使用計画 (法人)'!$A$1:$BF$1,0)),
 IFERROR(
  IF(_xlpm._一般+_xlpm._法人=0,"",_xlpm._一般+_xlpm._法人
  ),
 "")
)</f>
        <v/>
      </c>
      <c r="BR111" s="224" t="str">
        <f>_xlfn.LET(
  _xlpm._一般,INDEX('在庫使用計画 (一般)'!$A$1:$BF$316,MATCH($C111,'在庫使用計画 (一般)'!$C$1:$C$316,0),MATCH(BR$1,'在庫使用計画 (一般)'!$A$1:$BF$1,0)),
  _xlpm._法人,INDEX('在庫使用計画 (法人)'!$A$1:$BF$327,MATCH($C111,'在庫使用計画 (法人)'!$C$1:$C$327,0),MATCH(BR$1,'在庫使用計画 (法人)'!$A$1:$BF$1,0)),
 IFERROR(
  IF(_xlpm._一般+_xlpm._法人=0,"",_xlpm._一般+_xlpm._法人
  ),
 "")
)</f>
        <v/>
      </c>
      <c r="BS111" s="805" t="str">
        <f>_xlfn.LET(
  _xlpm._一般,INDEX('在庫使用計画 (一般)'!$A$1:$BF$316,MATCH($C111,'在庫使用計画 (一般)'!$C$1:$C$316,0),MATCH(BS$1,'在庫使用計画 (一般)'!$A$1:$BF$1,0)),
  _xlpm._法人,INDEX('在庫使用計画 (法人)'!$A$1:$BF$327,MATCH($C111,'在庫使用計画 (法人)'!$C$1:$C$327,0),MATCH(BS$1,'在庫使用計画 (法人)'!$A$1:$BF$1,0)),
 IFERROR(
  IF(_xlpm._一般+_xlpm._法人=0,"",_xlpm._一般+_xlpm._法人
  ),
 "")
)</f>
        <v/>
      </c>
      <c r="BT111" s="21"/>
    </row>
    <row r="112" spans="1:72" customFormat="1" ht="18.75" customHeight="1">
      <c r="A112" s="1075" t="s">
        <v>1317</v>
      </c>
      <c r="B112" s="55"/>
      <c r="C112" s="57"/>
      <c r="D112" s="2174" t="s">
        <v>1317</v>
      </c>
      <c r="E112" s="57" t="s">
        <v>1317</v>
      </c>
      <c r="F112" s="56"/>
      <c r="G112" s="74" t="str">
        <v/>
      </c>
      <c r="H112" s="38" t="str">
        <v/>
      </c>
      <c r="I112" s="38" t="str">
        <f ca="1">_xlfn.LET(_xlpm._今月から4ヶ月計画合計,
  SUM(
    OFFSET($A112,0,
      MATCH(
        EDATE(基準データ!$C$5,3),$A$1:$BD$1,1
      )-4,1,4)),
  IF($C112="","",_xlpm._今月から4ヶ月計画合計
)
)</f>
        <v/>
      </c>
      <c r="J112" s="74" t="s">
        <v>21</v>
      </c>
      <c r="K112" s="1462" t="str" cm="1">
        <f t="array" ref="K112">_xlfn.IFS(
  $C112="","",
  $G112="","発売前？",
  $G112=0,"在庫なし",
  TRUE,
  IFERROR(
    _xlfn.LET(
      _xlpm._在庫注残,     $G112,
      _xlpm._しきい値,     _xlpm._在庫注残 * 0.75,
      _xlpm._見出し元,     $L$1:$BU$1,
      _xlpm._計画,         $L112:$BU112,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
      </c>
      <c r="L112" s="57" t="s">
        <v>1317</v>
      </c>
      <c r="M112" s="57" t="s">
        <v>1317</v>
      </c>
      <c r="N112" s="57" t="s">
        <v>1317</v>
      </c>
      <c r="O112" s="57" t="s">
        <v>1317</v>
      </c>
      <c r="P112" s="57" t="s">
        <v>1317</v>
      </c>
      <c r="Q112" s="57" t="s">
        <v>1317</v>
      </c>
      <c r="R112" s="57" t="s">
        <v>1317</v>
      </c>
      <c r="S112" s="57" t="s">
        <v>1317</v>
      </c>
      <c r="T112" s="235" t="s">
        <v>1317</v>
      </c>
      <c r="U112" s="235" t="s">
        <v>1317</v>
      </c>
      <c r="V112" s="235" t="s">
        <v>1317</v>
      </c>
      <c r="W112" s="238" t="s">
        <v>1317</v>
      </c>
      <c r="X112" s="224" t="s">
        <v>21</v>
      </c>
      <c r="Y112" s="239" t="s">
        <v>1317</v>
      </c>
      <c r="Z112" s="239" t="s">
        <v>1317</v>
      </c>
      <c r="AA112" s="245" t="s">
        <v>1317</v>
      </c>
      <c r="AB112" s="239" t="s">
        <v>1317</v>
      </c>
      <c r="AC112" s="239" t="s">
        <v>1317</v>
      </c>
      <c r="AD112" s="224" t="s">
        <v>21</v>
      </c>
      <c r="AE112" s="224" t="s">
        <v>21</v>
      </c>
      <c r="AF112" s="224" t="s">
        <v>21</v>
      </c>
      <c r="AG112" s="224" t="s">
        <v>21</v>
      </c>
      <c r="AH112" s="224" t="s">
        <v>21</v>
      </c>
      <c r="AI112" s="237" t="s">
        <v>21</v>
      </c>
      <c r="AJ112" s="804" t="s">
        <v>21</v>
      </c>
      <c r="AK112" s="224" t="s">
        <v>21</v>
      </c>
      <c r="AL112" s="224" t="s">
        <v>21</v>
      </c>
      <c r="AM112" s="224" t="s">
        <v>21</v>
      </c>
      <c r="AN112" s="224" t="str">
        <f>IFERROR(IF(SUM(INDEX('在庫使用計画 (一般)'!$A$1:$BF$557,MATCH($C112,'在庫使用計画 (一般)'!$C$1:$C$557,0),MATCH(AN$1,'在庫使用計画 (一般)'!$A$1:$BF$1,0)),INDEX('在庫使用計画 (法人)'!$A$1:$AT$578,MATCH($C112,'在庫使用計画 (法人)'!$C$1:$C$578,0),MATCH(AN$1,'在庫使用計画 (法人)'!$A$1:$AT$1,0)))=0,"",SUM(INDEX('在庫使用計画 (一般)'!$A$1:$BF$557,MATCH($C112,'在庫使用計画 (一般)'!$C$1:$C$557,0),MATCH(AN$1,'在庫使用計画 (一般)'!$A$1:$BF$1,0)),INDEX('在庫使用計画 (法人)'!$A$1:$AT$578,MATCH($C112,'在庫使用計画 (法人)'!$C$1:$C$578,0),MATCH(AN$1,'在庫使用計画 (法人)'!$A$1:$AT$1,0)))),"")</f>
        <v/>
      </c>
      <c r="AO112" s="224" t="str">
        <f>IFERROR(IF(SUM(INDEX('在庫使用計画 (一般)'!$A$1:$BF$557,MATCH($C112,'在庫使用計画 (一般)'!$C$1:$C$557,0),MATCH(AO$1,'在庫使用計画 (一般)'!$A$1:$BF$1,0)),INDEX('在庫使用計画 (法人)'!$A$1:$AT$578,MATCH($C112,'在庫使用計画 (法人)'!$C$1:$C$578,0),MATCH(AO$1,'在庫使用計画 (法人)'!$A$1:$AT$1,0)))=0,"",SUM(INDEX('在庫使用計画 (一般)'!$A$1:$BF$557,MATCH($C112,'在庫使用計画 (一般)'!$C$1:$C$557,0),MATCH(AO$1,'在庫使用計画 (一般)'!$A$1:$BF$1,0)),INDEX('在庫使用計画 (法人)'!$A$1:$AT$578,MATCH($C112,'在庫使用計画 (法人)'!$C$1:$C$578,0),MATCH(AO$1,'在庫使用計画 (法人)'!$A$1:$AT$1,0)))),"")</f>
        <v/>
      </c>
      <c r="AP112" s="224" t="str">
        <f>IFERROR(IF(SUM(INDEX('在庫使用計画 (一般)'!$A$1:$BF$557,MATCH($C112,'在庫使用計画 (一般)'!$C$1:$C$557,0),MATCH(AP$1,'在庫使用計画 (一般)'!$A$1:$BF$1,0)),INDEX('在庫使用計画 (法人)'!$A$1:$AT$578,MATCH($C112,'在庫使用計画 (法人)'!$C$1:$C$578,0),MATCH(AP$1,'在庫使用計画 (法人)'!$A$1:$AT$1,0)))=0,"",SUM(INDEX('在庫使用計画 (一般)'!$A$1:$BF$557,MATCH($C112,'在庫使用計画 (一般)'!$C$1:$C$557,0),MATCH(AP$1,'在庫使用計画 (一般)'!$A$1:$BF$1,0)),INDEX('在庫使用計画 (法人)'!$A$1:$AT$578,MATCH($C112,'在庫使用計画 (法人)'!$C$1:$C$578,0),MATCH(AP$1,'在庫使用計画 (法人)'!$A$1:$AT$1,0)))),"")</f>
        <v/>
      </c>
      <c r="AQ112" s="224" t="str">
        <f>IFERROR(IF(SUM(INDEX('在庫使用計画 (一般)'!$A$1:$BF$557,MATCH($C112,'在庫使用計画 (一般)'!$C$1:$C$557,0),MATCH(AQ$1,'在庫使用計画 (一般)'!$A$1:$BF$1,0)),INDEX('在庫使用計画 (法人)'!$A$1:$AT$578,MATCH($C112,'在庫使用計画 (法人)'!$C$1:$C$578,0),MATCH(AQ$1,'在庫使用計画 (法人)'!$A$1:$AT$1,0)))=0,"",SUM(INDEX('在庫使用計画 (一般)'!$A$1:$BF$557,MATCH($C112,'在庫使用計画 (一般)'!$C$1:$C$557,0),MATCH(AQ$1,'在庫使用計画 (一般)'!$A$1:$BF$1,0)),INDEX('在庫使用計画 (法人)'!$A$1:$AT$578,MATCH($C112,'在庫使用計画 (法人)'!$C$1:$C$578,0),MATCH(AQ$1,'在庫使用計画 (法人)'!$A$1:$AT$1,0)))),"")</f>
        <v/>
      </c>
      <c r="AR112" s="224" t="str">
        <f>IFERROR(IF(SUM(INDEX('在庫使用計画 (一般)'!$A$1:$BF$557,MATCH($C112,'在庫使用計画 (一般)'!$C$1:$C$557,0),MATCH(AR$1,'在庫使用計画 (一般)'!$A$1:$BF$1,0)),INDEX('在庫使用計画 (法人)'!$A$1:$AT$578,MATCH($C112,'在庫使用計画 (法人)'!$C$1:$C$578,0),MATCH(AR$1,'在庫使用計画 (法人)'!$A$1:$AT$1,0)))=0,"",SUM(INDEX('在庫使用計画 (一般)'!$A$1:$BF$557,MATCH($C112,'在庫使用計画 (一般)'!$C$1:$C$557,0),MATCH(AR$1,'在庫使用計画 (一般)'!$A$1:$BF$1,0)),INDEX('在庫使用計画 (法人)'!$A$1:$AT$578,MATCH($C112,'在庫使用計画 (法人)'!$C$1:$C$578,0),MATCH(AR$1,'在庫使用計画 (法人)'!$A$1:$AT$1,0)))),"")</f>
        <v/>
      </c>
      <c r="AS112" s="224" t="str">
        <f>IFERROR(IF(SUM(INDEX('在庫使用計画 (一般)'!$A$1:$BF$557,MATCH($C112,'在庫使用計画 (一般)'!$C$1:$C$557,0),MATCH(AS$1,'在庫使用計画 (一般)'!$A$1:$BF$1,0)),INDEX('在庫使用計画 (法人)'!$A$1:$AT$578,MATCH($C112,'在庫使用計画 (法人)'!$C$1:$C$578,0),MATCH(AS$1,'在庫使用計画 (法人)'!$A$1:$AT$1,0)))=0,"",SUM(INDEX('在庫使用計画 (一般)'!$A$1:$BF$557,MATCH($C112,'在庫使用計画 (一般)'!$C$1:$C$557,0),MATCH(AS$1,'在庫使用計画 (一般)'!$A$1:$BF$1,0)),INDEX('在庫使用計画 (法人)'!$A$1:$AT$578,MATCH($C112,'在庫使用計画 (法人)'!$C$1:$C$578,0),MATCH(AS$1,'在庫使用計画 (法人)'!$A$1:$AT$1,0)))),"")</f>
        <v/>
      </c>
      <c r="AT112" s="224" t="str">
        <f>IFERROR(IF(SUM(INDEX('在庫使用計画 (一般)'!$A$1:$BF$557,MATCH($C112,'在庫使用計画 (一般)'!$C$1:$C$557,0),MATCH(AT$1,'在庫使用計画 (一般)'!$A$1:$BF$1,0)),INDEX('在庫使用計画 (法人)'!$A$1:$AT$578,MATCH($C112,'在庫使用計画 (法人)'!$C$1:$C$578,0),MATCH(AT$1,'在庫使用計画 (法人)'!$A$1:$AT$1,0)))=0,"",SUM(INDEX('在庫使用計画 (一般)'!$A$1:$BF$557,MATCH($C112,'在庫使用計画 (一般)'!$C$1:$C$557,0),MATCH(AT$1,'在庫使用計画 (一般)'!$A$1:$BF$1,0)),INDEX('在庫使用計画 (法人)'!$A$1:$AT$578,MATCH($C112,'在庫使用計画 (法人)'!$C$1:$C$578,0),MATCH(AT$1,'在庫使用計画 (法人)'!$A$1:$AT$1,0)))),"")</f>
        <v/>
      </c>
      <c r="AU112" s="805" t="str">
        <f>IFERROR(IF(SUM(INDEX('在庫使用計画 (一般)'!$A$1:$BF$557,MATCH($C112,'在庫使用計画 (一般)'!$C$1:$C$557,0),MATCH(AU$1,'在庫使用計画 (一般)'!$A$1:$BF$1,0)),INDEX('在庫使用計画 (法人)'!$A$1:$AT$578,MATCH($C112,'在庫使用計画 (法人)'!$C$1:$C$578,0),MATCH(AU$1,'在庫使用計画 (法人)'!$A$1:$AT$1,0)))=0,"",SUM(INDEX('在庫使用計画 (一般)'!$A$1:$BF$557,MATCH($C112,'在庫使用計画 (一般)'!$C$1:$C$557,0),MATCH(AU$1,'在庫使用計画 (一般)'!$A$1:$BF$1,0)),INDEX('在庫使用計画 (法人)'!$A$1:$AT$578,MATCH($C112,'在庫使用計画 (法人)'!$C$1:$C$578,0),MATCH(AU$1,'在庫使用計画 (法人)'!$A$1:$AT$1,0)))),"")</f>
        <v/>
      </c>
      <c r="AV112" s="244" t="str">
        <f>_xlfn.LET(
  _xlpm._一般,INDEX('在庫使用計画 (一般)'!$A$1:$BF$316,MATCH($C112,'在庫使用計画 (一般)'!$C$1:$C$316,0),MATCH(AV$1,'在庫使用計画 (一般)'!$A$1:$BF$1,0)),
  _xlpm._法人,INDEX('在庫使用計画 (法人)'!$A$1:$BF$327,MATCH($C112,'在庫使用計画 (法人)'!$C$1:$C$327,0),MATCH(AV$1,'在庫使用計画 (法人)'!$A$1:$BF$1,0)),
 IFERROR(
  IF(_xlpm._一般+_xlpm._法人=0,"",_xlpm._一般+_xlpm._法人
  ),
 "")
)</f>
        <v/>
      </c>
      <c r="AW112" s="224" t="str">
        <f>_xlfn.LET(
  _xlpm._一般,INDEX('在庫使用計画 (一般)'!$A$1:$BF$316,MATCH($C112,'在庫使用計画 (一般)'!$C$1:$C$316,0),MATCH(AW$1,'在庫使用計画 (一般)'!$A$1:$BF$1,0)),
  _xlpm._法人,INDEX('在庫使用計画 (法人)'!$A$1:$BF$327,MATCH($C112,'在庫使用計画 (法人)'!$C$1:$C$327,0),MATCH(AW$1,'在庫使用計画 (法人)'!$A$1:$BF$1,0)),
 IFERROR(
  IF(_xlpm._一般+_xlpm._法人=0,"",_xlpm._一般+_xlpm._法人
  ),
 "")
)</f>
        <v/>
      </c>
      <c r="AX112" s="224" t="str">
        <f>_xlfn.LET(
  _xlpm._一般,INDEX('在庫使用計画 (一般)'!$A$1:$BF$316,MATCH($C112,'在庫使用計画 (一般)'!$C$1:$C$316,0),MATCH(AX$1,'在庫使用計画 (一般)'!$A$1:$BF$1,0)),
  _xlpm._法人,INDEX('在庫使用計画 (法人)'!$A$1:$BF$327,MATCH($C112,'在庫使用計画 (法人)'!$C$1:$C$327,0),MATCH(AX$1,'在庫使用計画 (法人)'!$A$1:$BF$1,0)),
 IFERROR(
  IF(_xlpm._一般+_xlpm._法人=0,"",_xlpm._一般+_xlpm._法人
  ),
 "")
)</f>
        <v/>
      </c>
      <c r="AY112" s="224" t="str">
        <f>_xlfn.LET(
  _xlpm._一般,INDEX('在庫使用計画 (一般)'!$A$1:$BF$316,MATCH($C112,'在庫使用計画 (一般)'!$C$1:$C$316,0),MATCH(AY$1,'在庫使用計画 (一般)'!$A$1:$BF$1,0)),
  _xlpm._法人,INDEX('在庫使用計画 (法人)'!$A$1:$BF$327,MATCH($C112,'在庫使用計画 (法人)'!$C$1:$C$327,0),MATCH(AY$1,'在庫使用計画 (法人)'!$A$1:$BF$1,0)),
 IFERROR(
  IF(_xlpm._一般+_xlpm._法人=0,"",_xlpm._一般+_xlpm._法人
  ),
 "")
)</f>
        <v/>
      </c>
      <c r="AZ112" s="224" t="str">
        <f>_xlfn.LET(
  _xlpm._一般,INDEX('在庫使用計画 (一般)'!$A$1:$BF$316,MATCH($C112,'在庫使用計画 (一般)'!$C$1:$C$316,0),MATCH(AZ$1,'在庫使用計画 (一般)'!$A$1:$BF$1,0)),
  _xlpm._法人,INDEX('在庫使用計画 (法人)'!$A$1:$BF$327,MATCH($C112,'在庫使用計画 (法人)'!$C$1:$C$327,0),MATCH(AZ$1,'在庫使用計画 (法人)'!$A$1:$BF$1,0)),
 IFERROR(
  IF(_xlpm._一般+_xlpm._法人=0,"",_xlpm._一般+_xlpm._法人
  ),
 "")
)</f>
        <v/>
      </c>
      <c r="BA112" s="224" t="str">
        <f>_xlfn.LET(
  _xlpm._一般,INDEX('在庫使用計画 (一般)'!$A$1:$BF$316,MATCH($C112,'在庫使用計画 (一般)'!$C$1:$C$316,0),MATCH(BA$1,'在庫使用計画 (一般)'!$A$1:$BF$1,0)),
  _xlpm._法人,INDEX('在庫使用計画 (法人)'!$A$1:$BF$327,MATCH($C112,'在庫使用計画 (法人)'!$C$1:$C$327,0),MATCH(BA$1,'在庫使用計画 (法人)'!$A$1:$BF$1,0)),
 IFERROR(
  IF(_xlpm._一般+_xlpm._法人=0,"",_xlpm._一般+_xlpm._法人
  ),
 "")
)</f>
        <v/>
      </c>
      <c r="BB112" s="224" t="str">
        <f>_xlfn.LET(
  _xlpm._一般,INDEX('在庫使用計画 (一般)'!$A$1:$BF$316,MATCH($C112,'在庫使用計画 (一般)'!$C$1:$C$316,0),MATCH(BB$1,'在庫使用計画 (一般)'!$A$1:$BF$1,0)),
  _xlpm._法人,INDEX('在庫使用計画 (法人)'!$A$1:$BF$327,MATCH($C112,'在庫使用計画 (法人)'!$C$1:$C$327,0),MATCH(BB$1,'在庫使用計画 (法人)'!$A$1:$BF$1,0)),
 IFERROR(
  IF(_xlpm._一般+_xlpm._法人=0,"",_xlpm._一般+_xlpm._法人
  ),
 "")
)</f>
        <v/>
      </c>
      <c r="BC112" s="224" t="str">
        <f>_xlfn.LET(
  _xlpm._一般,INDEX('在庫使用計画 (一般)'!$A$1:$BF$316,MATCH($C112,'在庫使用計画 (一般)'!$C$1:$C$316,0),MATCH(BC$1,'在庫使用計画 (一般)'!$A$1:$BF$1,0)),
  _xlpm._法人,INDEX('在庫使用計画 (法人)'!$A$1:$BF$327,MATCH($C112,'在庫使用計画 (法人)'!$C$1:$C$327,0),MATCH(BC$1,'在庫使用計画 (法人)'!$A$1:$BF$1,0)),
 IFERROR(
  IF(_xlpm._一般+_xlpm._法人=0,"",_xlpm._一般+_xlpm._法人
  ),
 "")
)</f>
        <v/>
      </c>
      <c r="BD112" s="224" t="str">
        <f>_xlfn.LET(
  _xlpm._一般,INDEX('在庫使用計画 (一般)'!$A$1:$BF$316,MATCH($C112,'在庫使用計画 (一般)'!$C$1:$C$316,0),MATCH(BD$1,'在庫使用計画 (一般)'!$A$1:$BF$1,0)),
  _xlpm._法人,INDEX('在庫使用計画 (法人)'!$A$1:$BF$327,MATCH($C112,'在庫使用計画 (法人)'!$C$1:$C$327,0),MATCH(BD$1,'在庫使用計画 (法人)'!$A$1:$BF$1,0)),
 IFERROR(
  IF(_xlpm._一般+_xlpm._法人=0,"",_xlpm._一般+_xlpm._法人
  ),
 "")
)</f>
        <v/>
      </c>
      <c r="BE112" s="224" t="str">
        <f>_xlfn.LET(
  _xlpm._一般,INDEX('在庫使用計画 (一般)'!$A$1:$BF$316,MATCH($C112,'在庫使用計画 (一般)'!$C$1:$C$316,0),MATCH(BE$1,'在庫使用計画 (一般)'!$A$1:$BF$1,0)),
  _xlpm._法人,INDEX('在庫使用計画 (法人)'!$A$1:$BF$327,MATCH($C112,'在庫使用計画 (法人)'!$C$1:$C$327,0),MATCH(BE$1,'在庫使用計画 (法人)'!$A$1:$BF$1,0)),
 IFERROR(
  IF(_xlpm._一般+_xlpm._法人=0,"",_xlpm._一般+_xlpm._法人
  ),
 "")
)</f>
        <v/>
      </c>
      <c r="BF112" s="224" t="str">
        <f>_xlfn.LET(
  _xlpm._一般,INDEX('在庫使用計画 (一般)'!$A$1:$BF$316,MATCH($C112,'在庫使用計画 (一般)'!$C$1:$C$316,0),MATCH(BF$1,'在庫使用計画 (一般)'!$A$1:$BF$1,0)),
  _xlpm._法人,INDEX('在庫使用計画 (法人)'!$A$1:$BF$327,MATCH($C112,'在庫使用計画 (法人)'!$C$1:$C$327,0),MATCH(BF$1,'在庫使用計画 (法人)'!$A$1:$BF$1,0)),
 IFERROR(
  IF(_xlpm._一般+_xlpm._法人=0,"",_xlpm._一般+_xlpm._法人
  ),
 "")
)</f>
        <v/>
      </c>
      <c r="BG112" s="237" t="str">
        <f>_xlfn.LET(
  _xlpm._一般,INDEX('在庫使用計画 (一般)'!$A$1:$BF$316,MATCH($C112,'在庫使用計画 (一般)'!$C$1:$C$316,0),MATCH(BG$1,'在庫使用計画 (一般)'!$A$1:$BF$1,0)),
  _xlpm._法人,INDEX('在庫使用計画 (法人)'!$A$1:$BF$327,MATCH($C112,'在庫使用計画 (法人)'!$C$1:$C$327,0),MATCH(BG$1,'在庫使用計画 (法人)'!$A$1:$BF$1,0)),
 IFERROR(
  IF(_xlpm._一般+_xlpm._法人=0,"",_xlpm._一般+_xlpm._法人
  ),
 "")
)</f>
        <v/>
      </c>
      <c r="BH112" s="804" t="str">
        <f>_xlfn.LET(
  _xlpm._一般,INDEX('在庫使用計画 (一般)'!$A$1:$BF$316,MATCH($C112,'在庫使用計画 (一般)'!$C$1:$C$316,0),MATCH(BH$1,'在庫使用計画 (一般)'!$A$1:$BF$1,0)),
  _xlpm._法人,INDEX('在庫使用計画 (法人)'!$A$1:$BF$327,MATCH($C112,'在庫使用計画 (法人)'!$C$1:$C$327,0),MATCH(BH$1,'在庫使用計画 (法人)'!$A$1:$BF$1,0)),
 IFERROR(
  IF(_xlpm._一般+_xlpm._法人=0,"",_xlpm._一般+_xlpm._法人
  ),
 "")
)</f>
        <v/>
      </c>
      <c r="BI112" s="224" t="str">
        <f>_xlfn.LET(
  _xlpm._一般,INDEX('在庫使用計画 (一般)'!$A$1:$BF$316,MATCH($C112,'在庫使用計画 (一般)'!$C$1:$C$316,0),MATCH(BI$1,'在庫使用計画 (一般)'!$A$1:$BF$1,0)),
  _xlpm._法人,INDEX('在庫使用計画 (法人)'!$A$1:$BF$327,MATCH($C112,'在庫使用計画 (法人)'!$C$1:$C$327,0),MATCH(BI$1,'在庫使用計画 (法人)'!$A$1:$BF$1,0)),
 IFERROR(
  IF(_xlpm._一般+_xlpm._法人=0,"",_xlpm._一般+_xlpm._法人
  ),
 "")
)</f>
        <v/>
      </c>
      <c r="BJ112" s="224" t="str">
        <f>_xlfn.LET(
  _xlpm._一般,INDEX('在庫使用計画 (一般)'!$A$1:$BF$316,MATCH($C112,'在庫使用計画 (一般)'!$C$1:$C$316,0),MATCH(BJ$1,'在庫使用計画 (一般)'!$A$1:$BF$1,0)),
  _xlpm._法人,INDEX('在庫使用計画 (法人)'!$A$1:$BF$327,MATCH($C112,'在庫使用計画 (法人)'!$C$1:$C$327,0),MATCH(BJ$1,'在庫使用計画 (法人)'!$A$1:$BF$1,0)),
 IFERROR(
  IF(_xlpm._一般+_xlpm._法人=0,"",_xlpm._一般+_xlpm._法人
  ),
 "")
)</f>
        <v/>
      </c>
      <c r="BK112" s="224" t="str">
        <f>_xlfn.LET(
  _xlpm._一般,INDEX('在庫使用計画 (一般)'!$A$1:$BF$316,MATCH($C112,'在庫使用計画 (一般)'!$C$1:$C$316,0),MATCH(BK$1,'在庫使用計画 (一般)'!$A$1:$BF$1,0)),
  _xlpm._法人,INDEX('在庫使用計画 (法人)'!$A$1:$BF$327,MATCH($C112,'在庫使用計画 (法人)'!$C$1:$C$327,0),MATCH(BK$1,'在庫使用計画 (法人)'!$A$1:$BF$1,0)),
 IFERROR(
  IF(_xlpm._一般+_xlpm._法人=0,"",_xlpm._一般+_xlpm._法人
  ),
 "")
)</f>
        <v/>
      </c>
      <c r="BL112" s="224" t="str">
        <f>_xlfn.LET(
  _xlpm._一般,INDEX('在庫使用計画 (一般)'!$A$1:$BF$316,MATCH($C112,'在庫使用計画 (一般)'!$C$1:$C$316,0),MATCH(BL$1,'在庫使用計画 (一般)'!$A$1:$BF$1,0)),
  _xlpm._法人,INDEX('在庫使用計画 (法人)'!$A$1:$BF$327,MATCH($C112,'在庫使用計画 (法人)'!$C$1:$C$327,0),MATCH(BL$1,'在庫使用計画 (法人)'!$A$1:$BF$1,0)),
 IFERROR(
  IF(_xlpm._一般+_xlpm._法人=0,"",_xlpm._一般+_xlpm._法人
  ),
 "")
)</f>
        <v/>
      </c>
      <c r="BM112" s="224" t="str">
        <f>_xlfn.LET(
  _xlpm._一般,INDEX('在庫使用計画 (一般)'!$A$1:$BF$316,MATCH($C112,'在庫使用計画 (一般)'!$C$1:$C$316,0),MATCH(BM$1,'在庫使用計画 (一般)'!$A$1:$BF$1,0)),
  _xlpm._法人,INDEX('在庫使用計画 (法人)'!$A$1:$BF$327,MATCH($C112,'在庫使用計画 (法人)'!$C$1:$C$327,0),MATCH(BM$1,'在庫使用計画 (法人)'!$A$1:$BF$1,0)),
 IFERROR(
  IF(_xlpm._一般+_xlpm._法人=0,"",_xlpm._一般+_xlpm._法人
  ),
 "")
)</f>
        <v/>
      </c>
      <c r="BN112" s="224" t="str">
        <f>_xlfn.LET(
  _xlpm._一般,INDEX('在庫使用計画 (一般)'!$A$1:$BF$316,MATCH($C112,'在庫使用計画 (一般)'!$C$1:$C$316,0),MATCH(BN$1,'在庫使用計画 (一般)'!$A$1:$BF$1,0)),
  _xlpm._法人,INDEX('在庫使用計画 (法人)'!$A$1:$BF$327,MATCH($C112,'在庫使用計画 (法人)'!$C$1:$C$327,0),MATCH(BN$1,'在庫使用計画 (法人)'!$A$1:$BF$1,0)),
 IFERROR(
  IF(_xlpm._一般+_xlpm._法人=0,"",_xlpm._一般+_xlpm._法人
  ),
 "")
)</f>
        <v/>
      </c>
      <c r="BO112" s="224" t="str">
        <f>_xlfn.LET(
  _xlpm._一般,INDEX('在庫使用計画 (一般)'!$A$1:$BF$316,MATCH($C112,'在庫使用計画 (一般)'!$C$1:$C$316,0),MATCH(BO$1,'在庫使用計画 (一般)'!$A$1:$BF$1,0)),
  _xlpm._法人,INDEX('在庫使用計画 (法人)'!$A$1:$BF$327,MATCH($C112,'在庫使用計画 (法人)'!$C$1:$C$327,0),MATCH(BO$1,'在庫使用計画 (法人)'!$A$1:$BF$1,0)),
 IFERROR(
  IF(_xlpm._一般+_xlpm._法人=0,"",_xlpm._一般+_xlpm._法人
  ),
 "")
)</f>
        <v/>
      </c>
      <c r="BP112" s="224" t="str">
        <f>_xlfn.LET(
  _xlpm._一般,INDEX('在庫使用計画 (一般)'!$A$1:$BF$316,MATCH($C112,'在庫使用計画 (一般)'!$C$1:$C$316,0),MATCH(BP$1,'在庫使用計画 (一般)'!$A$1:$BF$1,0)),
  _xlpm._法人,INDEX('在庫使用計画 (法人)'!$A$1:$BF$327,MATCH($C112,'在庫使用計画 (法人)'!$C$1:$C$327,0),MATCH(BP$1,'在庫使用計画 (法人)'!$A$1:$BF$1,0)),
 IFERROR(
  IF(_xlpm._一般+_xlpm._法人=0,"",_xlpm._一般+_xlpm._法人
  ),
 "")
)</f>
        <v/>
      </c>
      <c r="BQ112" s="224" t="str">
        <f>_xlfn.LET(
  _xlpm._一般,INDEX('在庫使用計画 (一般)'!$A$1:$BF$316,MATCH($C112,'在庫使用計画 (一般)'!$C$1:$C$316,0),MATCH(BQ$1,'在庫使用計画 (一般)'!$A$1:$BF$1,0)),
  _xlpm._法人,INDEX('在庫使用計画 (法人)'!$A$1:$BF$327,MATCH($C112,'在庫使用計画 (法人)'!$C$1:$C$327,0),MATCH(BQ$1,'在庫使用計画 (法人)'!$A$1:$BF$1,0)),
 IFERROR(
  IF(_xlpm._一般+_xlpm._法人=0,"",_xlpm._一般+_xlpm._法人
  ),
 "")
)</f>
        <v/>
      </c>
      <c r="BR112" s="224" t="str">
        <f>_xlfn.LET(
  _xlpm._一般,INDEX('在庫使用計画 (一般)'!$A$1:$BF$316,MATCH($C112,'在庫使用計画 (一般)'!$C$1:$C$316,0),MATCH(BR$1,'在庫使用計画 (一般)'!$A$1:$BF$1,0)),
  _xlpm._法人,INDEX('在庫使用計画 (法人)'!$A$1:$BF$327,MATCH($C112,'在庫使用計画 (法人)'!$C$1:$C$327,0),MATCH(BR$1,'在庫使用計画 (法人)'!$A$1:$BF$1,0)),
 IFERROR(
  IF(_xlpm._一般+_xlpm._法人=0,"",_xlpm._一般+_xlpm._法人
  ),
 "")
)</f>
        <v/>
      </c>
      <c r="BS112" s="805" t="str">
        <f>_xlfn.LET(
  _xlpm._一般,INDEX('在庫使用計画 (一般)'!$A$1:$BF$316,MATCH($C112,'在庫使用計画 (一般)'!$C$1:$C$316,0),MATCH(BS$1,'在庫使用計画 (一般)'!$A$1:$BF$1,0)),
  _xlpm._法人,INDEX('在庫使用計画 (法人)'!$A$1:$BF$327,MATCH($C112,'在庫使用計画 (法人)'!$C$1:$C$327,0),MATCH(BS$1,'在庫使用計画 (法人)'!$A$1:$BF$1,0)),
 IFERROR(
  IF(_xlpm._一般+_xlpm._法人=0,"",_xlpm._一般+_xlpm._法人
  ),
 "")
)</f>
        <v/>
      </c>
      <c r="BT112" s="21"/>
    </row>
    <row r="113" spans="1:72" customFormat="1" ht="18.75" customHeight="1">
      <c r="A113" s="1076"/>
      <c r="B113" s="100" t="s">
        <v>985</v>
      </c>
      <c r="C113" s="57" t="s">
        <v>983</v>
      </c>
      <c r="D113" s="2174" t="s">
        <v>1506</v>
      </c>
      <c r="E113" s="57" t="s">
        <v>1741</v>
      </c>
      <c r="F113" s="56"/>
      <c r="G113" s="74">
        <v>0</v>
      </c>
      <c r="H113" s="38">
        <v>0</v>
      </c>
      <c r="I113" s="38">
        <f ca="1">_xlfn.LET(_xlpm._今月から4ヶ月計画合計,
  SUM(
    OFFSET($A113,0,
      MATCH(
        EDATE(基準データ!$C$5,3),$A$1:$BD$1,1
      )-4,1,4)),
  IF($C113="","",_xlpm._今月から4ヶ月計画合計
)
)</f>
        <v>0</v>
      </c>
      <c r="J113" s="74" t="s">
        <v>21</v>
      </c>
      <c r="K113" s="1462" t="str" cm="1">
        <f t="array" ref="K113">_xlfn.IFS(
  $C113="","",
  $G113="","発売前？",
  $G113=0,"在庫なし",
  TRUE,
  IFERROR(
    _xlfn.LET(
      _xlpm._在庫注残,     $G113,
      _xlpm._しきい値,     _xlpm._在庫注残 * 0.75,
      _xlpm._見出し元,     $L$1:$BU$1,
      _xlpm._計画,         $L113:$BU113,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在庫なし</v>
      </c>
      <c r="L113" s="57"/>
      <c r="M113" s="57"/>
      <c r="N113" s="57"/>
      <c r="O113" s="57"/>
      <c r="P113" s="57"/>
      <c r="Q113" s="57"/>
      <c r="R113" s="57"/>
      <c r="S113" s="57"/>
      <c r="T113" s="219" t="s">
        <v>21</v>
      </c>
      <c r="U113" s="219" t="s">
        <v>21</v>
      </c>
      <c r="V113" s="219" t="s">
        <v>21</v>
      </c>
      <c r="W113" s="219" t="s">
        <v>21</v>
      </c>
      <c r="X113" s="224">
        <v>2</v>
      </c>
      <c r="Y113" s="224">
        <v>3</v>
      </c>
      <c r="Z113" s="224" t="s">
        <v>21</v>
      </c>
      <c r="AA113" s="224" t="s">
        <v>21</v>
      </c>
      <c r="AB113" s="224">
        <v>3</v>
      </c>
      <c r="AC113" s="224" t="s">
        <v>21</v>
      </c>
      <c r="AD113" s="224" t="s">
        <v>21</v>
      </c>
      <c r="AE113" s="224" t="s">
        <v>21</v>
      </c>
      <c r="AF113" s="224" t="s">
        <v>21</v>
      </c>
      <c r="AG113" s="224" t="s">
        <v>21</v>
      </c>
      <c r="AH113" s="224" t="s">
        <v>21</v>
      </c>
      <c r="AI113" s="237" t="s">
        <v>21</v>
      </c>
      <c r="AJ113" s="804" t="s">
        <v>21</v>
      </c>
      <c r="AK113" s="224" t="s">
        <v>21</v>
      </c>
      <c r="AL113" s="224" t="s">
        <v>21</v>
      </c>
      <c r="AM113" s="224" t="s">
        <v>21</v>
      </c>
      <c r="AN113" s="224" t="str">
        <f>IFERROR(IF(SUM(INDEX('在庫使用計画 (一般)'!$A$1:$BF$557,MATCH($C113,'在庫使用計画 (一般)'!$C$1:$C$557,0),MATCH(AN$1,'在庫使用計画 (一般)'!$A$1:$BF$1,0)),INDEX('在庫使用計画 (法人)'!$A$1:$AT$578,MATCH($C113,'在庫使用計画 (法人)'!$C$1:$C$578,0),MATCH(AN$1,'在庫使用計画 (法人)'!$A$1:$AT$1,0)))=0,"",SUM(INDEX('在庫使用計画 (一般)'!$A$1:$BF$557,MATCH($C113,'在庫使用計画 (一般)'!$C$1:$C$557,0),MATCH(AN$1,'在庫使用計画 (一般)'!$A$1:$BF$1,0)),INDEX('在庫使用計画 (法人)'!$A$1:$AT$578,MATCH($C113,'在庫使用計画 (法人)'!$C$1:$C$578,0),MATCH(AN$1,'在庫使用計画 (法人)'!$A$1:$AT$1,0)))),"")</f>
        <v/>
      </c>
      <c r="AO113" s="224" t="str">
        <f>IFERROR(IF(SUM(INDEX('在庫使用計画 (一般)'!$A$1:$BF$557,MATCH($C113,'在庫使用計画 (一般)'!$C$1:$C$557,0),MATCH(AO$1,'在庫使用計画 (一般)'!$A$1:$BF$1,0)),INDEX('在庫使用計画 (法人)'!$A$1:$AT$578,MATCH($C113,'在庫使用計画 (法人)'!$C$1:$C$578,0),MATCH(AO$1,'在庫使用計画 (法人)'!$A$1:$AT$1,0)))=0,"",SUM(INDEX('在庫使用計画 (一般)'!$A$1:$BF$557,MATCH($C113,'在庫使用計画 (一般)'!$C$1:$C$557,0),MATCH(AO$1,'在庫使用計画 (一般)'!$A$1:$BF$1,0)),INDEX('在庫使用計画 (法人)'!$A$1:$AT$578,MATCH($C113,'在庫使用計画 (法人)'!$C$1:$C$578,0),MATCH(AO$1,'在庫使用計画 (法人)'!$A$1:$AT$1,0)))),"")</f>
        <v/>
      </c>
      <c r="AP113" s="224" t="str">
        <f>IFERROR(IF(SUM(INDEX('在庫使用計画 (一般)'!$A$1:$BF$557,MATCH($C113,'在庫使用計画 (一般)'!$C$1:$C$557,0),MATCH(AP$1,'在庫使用計画 (一般)'!$A$1:$BF$1,0)),INDEX('在庫使用計画 (法人)'!$A$1:$AT$578,MATCH($C113,'在庫使用計画 (法人)'!$C$1:$C$578,0),MATCH(AP$1,'在庫使用計画 (法人)'!$A$1:$AT$1,0)))=0,"",SUM(INDEX('在庫使用計画 (一般)'!$A$1:$BF$557,MATCH($C113,'在庫使用計画 (一般)'!$C$1:$C$557,0),MATCH(AP$1,'在庫使用計画 (一般)'!$A$1:$BF$1,0)),INDEX('在庫使用計画 (法人)'!$A$1:$AT$578,MATCH($C113,'在庫使用計画 (法人)'!$C$1:$C$578,0),MATCH(AP$1,'在庫使用計画 (法人)'!$A$1:$AT$1,0)))),"")</f>
        <v/>
      </c>
      <c r="AQ113" s="224" t="str">
        <f>IFERROR(IF(SUM(INDEX('在庫使用計画 (一般)'!$A$1:$BF$557,MATCH($C113,'在庫使用計画 (一般)'!$C$1:$C$557,0),MATCH(AQ$1,'在庫使用計画 (一般)'!$A$1:$BF$1,0)),INDEX('在庫使用計画 (法人)'!$A$1:$AT$578,MATCH($C113,'在庫使用計画 (法人)'!$C$1:$C$578,0),MATCH(AQ$1,'在庫使用計画 (法人)'!$A$1:$AT$1,0)))=0,"",SUM(INDEX('在庫使用計画 (一般)'!$A$1:$BF$557,MATCH($C113,'在庫使用計画 (一般)'!$C$1:$C$557,0),MATCH(AQ$1,'在庫使用計画 (一般)'!$A$1:$BF$1,0)),INDEX('在庫使用計画 (法人)'!$A$1:$AT$578,MATCH($C113,'在庫使用計画 (法人)'!$C$1:$C$578,0),MATCH(AQ$1,'在庫使用計画 (法人)'!$A$1:$AT$1,0)))),"")</f>
        <v/>
      </c>
      <c r="AR113" s="224" t="str">
        <f>IFERROR(IF(SUM(INDEX('在庫使用計画 (一般)'!$A$1:$BF$557,MATCH($C113,'在庫使用計画 (一般)'!$C$1:$C$557,0),MATCH(AR$1,'在庫使用計画 (一般)'!$A$1:$BF$1,0)),INDEX('在庫使用計画 (法人)'!$A$1:$AT$578,MATCH($C113,'在庫使用計画 (法人)'!$C$1:$C$578,0),MATCH(AR$1,'在庫使用計画 (法人)'!$A$1:$AT$1,0)))=0,"",SUM(INDEX('在庫使用計画 (一般)'!$A$1:$BF$557,MATCH($C113,'在庫使用計画 (一般)'!$C$1:$C$557,0),MATCH(AR$1,'在庫使用計画 (一般)'!$A$1:$BF$1,0)),INDEX('在庫使用計画 (法人)'!$A$1:$AT$578,MATCH($C113,'在庫使用計画 (法人)'!$C$1:$C$578,0),MATCH(AR$1,'在庫使用計画 (法人)'!$A$1:$AT$1,0)))),"")</f>
        <v/>
      </c>
      <c r="AS113" s="224" t="str">
        <f>IFERROR(IF(SUM(INDEX('在庫使用計画 (一般)'!$A$1:$BF$557,MATCH($C113,'在庫使用計画 (一般)'!$C$1:$C$557,0),MATCH(AS$1,'在庫使用計画 (一般)'!$A$1:$BF$1,0)),INDEX('在庫使用計画 (法人)'!$A$1:$AT$578,MATCH($C113,'在庫使用計画 (法人)'!$C$1:$C$578,0),MATCH(AS$1,'在庫使用計画 (法人)'!$A$1:$AT$1,0)))=0,"",SUM(INDEX('在庫使用計画 (一般)'!$A$1:$BF$557,MATCH($C113,'在庫使用計画 (一般)'!$C$1:$C$557,0),MATCH(AS$1,'在庫使用計画 (一般)'!$A$1:$BF$1,0)),INDEX('在庫使用計画 (法人)'!$A$1:$AT$578,MATCH($C113,'在庫使用計画 (法人)'!$C$1:$C$578,0),MATCH(AS$1,'在庫使用計画 (法人)'!$A$1:$AT$1,0)))),"")</f>
        <v/>
      </c>
      <c r="AT113" s="224" t="str">
        <f>IFERROR(IF(SUM(INDEX('在庫使用計画 (一般)'!$A$1:$BF$557,MATCH($C113,'在庫使用計画 (一般)'!$C$1:$C$557,0),MATCH(AT$1,'在庫使用計画 (一般)'!$A$1:$BF$1,0)),INDEX('在庫使用計画 (法人)'!$A$1:$AT$578,MATCH($C113,'在庫使用計画 (法人)'!$C$1:$C$578,0),MATCH(AT$1,'在庫使用計画 (法人)'!$A$1:$AT$1,0)))=0,"",SUM(INDEX('在庫使用計画 (一般)'!$A$1:$BF$557,MATCH($C113,'在庫使用計画 (一般)'!$C$1:$C$557,0),MATCH(AT$1,'在庫使用計画 (一般)'!$A$1:$BF$1,0)),INDEX('在庫使用計画 (法人)'!$A$1:$AT$578,MATCH($C113,'在庫使用計画 (法人)'!$C$1:$C$578,0),MATCH(AT$1,'在庫使用計画 (法人)'!$A$1:$AT$1,0)))),"")</f>
        <v/>
      </c>
      <c r="AU113" s="805" t="str">
        <f>IFERROR(IF(SUM(INDEX('在庫使用計画 (一般)'!$A$1:$BF$557,MATCH($C113,'在庫使用計画 (一般)'!$C$1:$C$557,0),MATCH(AU$1,'在庫使用計画 (一般)'!$A$1:$BF$1,0)),INDEX('在庫使用計画 (法人)'!$A$1:$AT$578,MATCH($C113,'在庫使用計画 (法人)'!$C$1:$C$578,0),MATCH(AU$1,'在庫使用計画 (法人)'!$A$1:$AT$1,0)))=0,"",SUM(INDEX('在庫使用計画 (一般)'!$A$1:$BF$557,MATCH($C113,'在庫使用計画 (一般)'!$C$1:$C$557,0),MATCH(AU$1,'在庫使用計画 (一般)'!$A$1:$BF$1,0)),INDEX('在庫使用計画 (法人)'!$A$1:$AT$578,MATCH($C113,'在庫使用計画 (法人)'!$C$1:$C$578,0),MATCH(AU$1,'在庫使用計画 (法人)'!$A$1:$AT$1,0)))),"")</f>
        <v/>
      </c>
      <c r="AV113" s="244" t="str">
        <f>_xlfn.LET(
  _xlpm._一般,INDEX('在庫使用計画 (一般)'!$A$1:$BF$316,MATCH($C113,'在庫使用計画 (一般)'!$C$1:$C$316,0),MATCH(AV$1,'在庫使用計画 (一般)'!$A$1:$BF$1,0)),
  _xlpm._法人,INDEX('在庫使用計画 (法人)'!$A$1:$BF$327,MATCH($C113,'在庫使用計画 (法人)'!$C$1:$C$327,0),MATCH(AV$1,'在庫使用計画 (法人)'!$A$1:$BF$1,0)),
 IFERROR(
  IF(_xlpm._一般+_xlpm._法人=0,"",_xlpm._一般+_xlpm._法人
  ),
 "")
)</f>
        <v/>
      </c>
      <c r="AW113" s="224" t="str">
        <f>_xlfn.LET(
  _xlpm._一般,INDEX('在庫使用計画 (一般)'!$A$1:$BF$316,MATCH($C113,'在庫使用計画 (一般)'!$C$1:$C$316,0),MATCH(AW$1,'在庫使用計画 (一般)'!$A$1:$BF$1,0)),
  _xlpm._法人,INDEX('在庫使用計画 (法人)'!$A$1:$BF$327,MATCH($C113,'在庫使用計画 (法人)'!$C$1:$C$327,0),MATCH(AW$1,'在庫使用計画 (法人)'!$A$1:$BF$1,0)),
 IFERROR(
  IF(_xlpm._一般+_xlpm._法人=0,"",_xlpm._一般+_xlpm._法人
  ),
 "")
)</f>
        <v/>
      </c>
      <c r="AX113" s="224" t="str">
        <f>_xlfn.LET(
  _xlpm._一般,INDEX('在庫使用計画 (一般)'!$A$1:$BF$316,MATCH($C113,'在庫使用計画 (一般)'!$C$1:$C$316,0),MATCH(AX$1,'在庫使用計画 (一般)'!$A$1:$BF$1,0)),
  _xlpm._法人,INDEX('在庫使用計画 (法人)'!$A$1:$BF$327,MATCH($C113,'在庫使用計画 (法人)'!$C$1:$C$327,0),MATCH(AX$1,'在庫使用計画 (法人)'!$A$1:$BF$1,0)),
 IFERROR(
  IF(_xlpm._一般+_xlpm._法人=0,"",_xlpm._一般+_xlpm._法人
  ),
 "")
)</f>
        <v/>
      </c>
      <c r="AY113" s="224" t="str">
        <f>_xlfn.LET(
  _xlpm._一般,INDEX('在庫使用計画 (一般)'!$A$1:$BF$316,MATCH($C113,'在庫使用計画 (一般)'!$C$1:$C$316,0),MATCH(AY$1,'在庫使用計画 (一般)'!$A$1:$BF$1,0)),
  _xlpm._法人,INDEX('在庫使用計画 (法人)'!$A$1:$BF$327,MATCH($C113,'在庫使用計画 (法人)'!$C$1:$C$327,0),MATCH(AY$1,'在庫使用計画 (法人)'!$A$1:$BF$1,0)),
 IFERROR(
  IF(_xlpm._一般+_xlpm._法人=0,"",_xlpm._一般+_xlpm._法人
  ),
 "")
)</f>
        <v/>
      </c>
      <c r="AZ113" s="224" t="str">
        <f>_xlfn.LET(
  _xlpm._一般,INDEX('在庫使用計画 (一般)'!$A$1:$BF$316,MATCH($C113,'在庫使用計画 (一般)'!$C$1:$C$316,0),MATCH(AZ$1,'在庫使用計画 (一般)'!$A$1:$BF$1,0)),
  _xlpm._法人,INDEX('在庫使用計画 (法人)'!$A$1:$BF$327,MATCH($C113,'在庫使用計画 (法人)'!$C$1:$C$327,0),MATCH(AZ$1,'在庫使用計画 (法人)'!$A$1:$BF$1,0)),
 IFERROR(
  IF(_xlpm._一般+_xlpm._法人=0,"",_xlpm._一般+_xlpm._法人
  ),
 "")
)</f>
        <v/>
      </c>
      <c r="BA113" s="224" t="str">
        <f>_xlfn.LET(
  _xlpm._一般,INDEX('在庫使用計画 (一般)'!$A$1:$BF$316,MATCH($C113,'在庫使用計画 (一般)'!$C$1:$C$316,0),MATCH(BA$1,'在庫使用計画 (一般)'!$A$1:$BF$1,0)),
  _xlpm._法人,INDEX('在庫使用計画 (法人)'!$A$1:$BF$327,MATCH($C113,'在庫使用計画 (法人)'!$C$1:$C$327,0),MATCH(BA$1,'在庫使用計画 (法人)'!$A$1:$BF$1,0)),
 IFERROR(
  IF(_xlpm._一般+_xlpm._法人=0,"",_xlpm._一般+_xlpm._法人
  ),
 "")
)</f>
        <v/>
      </c>
      <c r="BB113" s="224" t="str">
        <f>_xlfn.LET(
  _xlpm._一般,INDEX('在庫使用計画 (一般)'!$A$1:$BF$316,MATCH($C113,'在庫使用計画 (一般)'!$C$1:$C$316,0),MATCH(BB$1,'在庫使用計画 (一般)'!$A$1:$BF$1,0)),
  _xlpm._法人,INDEX('在庫使用計画 (法人)'!$A$1:$BF$327,MATCH($C113,'在庫使用計画 (法人)'!$C$1:$C$327,0),MATCH(BB$1,'在庫使用計画 (法人)'!$A$1:$BF$1,0)),
 IFERROR(
  IF(_xlpm._一般+_xlpm._法人=0,"",_xlpm._一般+_xlpm._法人
  ),
 "")
)</f>
        <v/>
      </c>
      <c r="BC113" s="224" t="str">
        <f>_xlfn.LET(
  _xlpm._一般,INDEX('在庫使用計画 (一般)'!$A$1:$BF$316,MATCH($C113,'在庫使用計画 (一般)'!$C$1:$C$316,0),MATCH(BC$1,'在庫使用計画 (一般)'!$A$1:$BF$1,0)),
  _xlpm._法人,INDEX('在庫使用計画 (法人)'!$A$1:$BF$327,MATCH($C113,'在庫使用計画 (法人)'!$C$1:$C$327,0),MATCH(BC$1,'在庫使用計画 (法人)'!$A$1:$BF$1,0)),
 IFERROR(
  IF(_xlpm._一般+_xlpm._法人=0,"",_xlpm._一般+_xlpm._法人
  ),
 "")
)</f>
        <v/>
      </c>
      <c r="BD113" s="224" t="str">
        <f>_xlfn.LET(
  _xlpm._一般,INDEX('在庫使用計画 (一般)'!$A$1:$BF$316,MATCH($C113,'在庫使用計画 (一般)'!$C$1:$C$316,0),MATCH(BD$1,'在庫使用計画 (一般)'!$A$1:$BF$1,0)),
  _xlpm._法人,INDEX('在庫使用計画 (法人)'!$A$1:$BF$327,MATCH($C113,'在庫使用計画 (法人)'!$C$1:$C$327,0),MATCH(BD$1,'在庫使用計画 (法人)'!$A$1:$BF$1,0)),
 IFERROR(
  IF(_xlpm._一般+_xlpm._法人=0,"",_xlpm._一般+_xlpm._法人
  ),
 "")
)</f>
        <v/>
      </c>
      <c r="BE113" s="224" t="str">
        <f>_xlfn.LET(
  _xlpm._一般,INDEX('在庫使用計画 (一般)'!$A$1:$BF$316,MATCH($C113,'在庫使用計画 (一般)'!$C$1:$C$316,0),MATCH(BE$1,'在庫使用計画 (一般)'!$A$1:$BF$1,0)),
  _xlpm._法人,INDEX('在庫使用計画 (法人)'!$A$1:$BF$327,MATCH($C113,'在庫使用計画 (法人)'!$C$1:$C$327,0),MATCH(BE$1,'在庫使用計画 (法人)'!$A$1:$BF$1,0)),
 IFERROR(
  IF(_xlpm._一般+_xlpm._法人=0,"",_xlpm._一般+_xlpm._法人
  ),
 "")
)</f>
        <v/>
      </c>
      <c r="BF113" s="224" t="str">
        <f>_xlfn.LET(
  _xlpm._一般,INDEX('在庫使用計画 (一般)'!$A$1:$BF$316,MATCH($C113,'在庫使用計画 (一般)'!$C$1:$C$316,0),MATCH(BF$1,'在庫使用計画 (一般)'!$A$1:$BF$1,0)),
  _xlpm._法人,INDEX('在庫使用計画 (法人)'!$A$1:$BF$327,MATCH($C113,'在庫使用計画 (法人)'!$C$1:$C$327,0),MATCH(BF$1,'在庫使用計画 (法人)'!$A$1:$BF$1,0)),
 IFERROR(
  IF(_xlpm._一般+_xlpm._法人=0,"",_xlpm._一般+_xlpm._法人
  ),
 "")
)</f>
        <v/>
      </c>
      <c r="BG113" s="237" t="str">
        <f>_xlfn.LET(
  _xlpm._一般,INDEX('在庫使用計画 (一般)'!$A$1:$BF$316,MATCH($C113,'在庫使用計画 (一般)'!$C$1:$C$316,0),MATCH(BG$1,'在庫使用計画 (一般)'!$A$1:$BF$1,0)),
  _xlpm._法人,INDEX('在庫使用計画 (法人)'!$A$1:$BF$327,MATCH($C113,'在庫使用計画 (法人)'!$C$1:$C$327,0),MATCH(BG$1,'在庫使用計画 (法人)'!$A$1:$BF$1,0)),
 IFERROR(
  IF(_xlpm._一般+_xlpm._法人=0,"",_xlpm._一般+_xlpm._法人
  ),
 "")
)</f>
        <v/>
      </c>
      <c r="BH113" s="804" t="str">
        <f>_xlfn.LET(
  _xlpm._一般,INDEX('在庫使用計画 (一般)'!$A$1:$BF$316,MATCH($C113,'在庫使用計画 (一般)'!$C$1:$C$316,0),MATCH(BH$1,'在庫使用計画 (一般)'!$A$1:$BF$1,0)),
  _xlpm._法人,INDEX('在庫使用計画 (法人)'!$A$1:$BF$327,MATCH($C113,'在庫使用計画 (法人)'!$C$1:$C$327,0),MATCH(BH$1,'在庫使用計画 (法人)'!$A$1:$BF$1,0)),
 IFERROR(
  IF(_xlpm._一般+_xlpm._法人=0,"",_xlpm._一般+_xlpm._法人
  ),
 "")
)</f>
        <v/>
      </c>
      <c r="BI113" s="224" t="str">
        <f>_xlfn.LET(
  _xlpm._一般,INDEX('在庫使用計画 (一般)'!$A$1:$BF$316,MATCH($C113,'在庫使用計画 (一般)'!$C$1:$C$316,0),MATCH(BI$1,'在庫使用計画 (一般)'!$A$1:$BF$1,0)),
  _xlpm._法人,INDEX('在庫使用計画 (法人)'!$A$1:$BF$327,MATCH($C113,'在庫使用計画 (法人)'!$C$1:$C$327,0),MATCH(BI$1,'在庫使用計画 (法人)'!$A$1:$BF$1,0)),
 IFERROR(
  IF(_xlpm._一般+_xlpm._法人=0,"",_xlpm._一般+_xlpm._法人
  ),
 "")
)</f>
        <v/>
      </c>
      <c r="BJ113" s="224" t="str">
        <f>_xlfn.LET(
  _xlpm._一般,INDEX('在庫使用計画 (一般)'!$A$1:$BF$316,MATCH($C113,'在庫使用計画 (一般)'!$C$1:$C$316,0),MATCH(BJ$1,'在庫使用計画 (一般)'!$A$1:$BF$1,0)),
  _xlpm._法人,INDEX('在庫使用計画 (法人)'!$A$1:$BF$327,MATCH($C113,'在庫使用計画 (法人)'!$C$1:$C$327,0),MATCH(BJ$1,'在庫使用計画 (法人)'!$A$1:$BF$1,0)),
 IFERROR(
  IF(_xlpm._一般+_xlpm._法人=0,"",_xlpm._一般+_xlpm._法人
  ),
 "")
)</f>
        <v/>
      </c>
      <c r="BK113" s="224" t="str">
        <f>_xlfn.LET(
  _xlpm._一般,INDEX('在庫使用計画 (一般)'!$A$1:$BF$316,MATCH($C113,'在庫使用計画 (一般)'!$C$1:$C$316,0),MATCH(BK$1,'在庫使用計画 (一般)'!$A$1:$BF$1,0)),
  _xlpm._法人,INDEX('在庫使用計画 (法人)'!$A$1:$BF$327,MATCH($C113,'在庫使用計画 (法人)'!$C$1:$C$327,0),MATCH(BK$1,'在庫使用計画 (法人)'!$A$1:$BF$1,0)),
 IFERROR(
  IF(_xlpm._一般+_xlpm._法人=0,"",_xlpm._一般+_xlpm._法人
  ),
 "")
)</f>
        <v/>
      </c>
      <c r="BL113" s="224" t="str">
        <f>_xlfn.LET(
  _xlpm._一般,INDEX('在庫使用計画 (一般)'!$A$1:$BF$316,MATCH($C113,'在庫使用計画 (一般)'!$C$1:$C$316,0),MATCH(BL$1,'在庫使用計画 (一般)'!$A$1:$BF$1,0)),
  _xlpm._法人,INDEX('在庫使用計画 (法人)'!$A$1:$BF$327,MATCH($C113,'在庫使用計画 (法人)'!$C$1:$C$327,0),MATCH(BL$1,'在庫使用計画 (法人)'!$A$1:$BF$1,0)),
 IFERROR(
  IF(_xlpm._一般+_xlpm._法人=0,"",_xlpm._一般+_xlpm._法人
  ),
 "")
)</f>
        <v/>
      </c>
      <c r="BM113" s="224" t="str">
        <f>_xlfn.LET(
  _xlpm._一般,INDEX('在庫使用計画 (一般)'!$A$1:$BF$316,MATCH($C113,'在庫使用計画 (一般)'!$C$1:$C$316,0),MATCH(BM$1,'在庫使用計画 (一般)'!$A$1:$BF$1,0)),
  _xlpm._法人,INDEX('在庫使用計画 (法人)'!$A$1:$BF$327,MATCH($C113,'在庫使用計画 (法人)'!$C$1:$C$327,0),MATCH(BM$1,'在庫使用計画 (法人)'!$A$1:$BF$1,0)),
 IFERROR(
  IF(_xlpm._一般+_xlpm._法人=0,"",_xlpm._一般+_xlpm._法人
  ),
 "")
)</f>
        <v/>
      </c>
      <c r="BN113" s="224" t="str">
        <f>_xlfn.LET(
  _xlpm._一般,INDEX('在庫使用計画 (一般)'!$A$1:$BF$316,MATCH($C113,'在庫使用計画 (一般)'!$C$1:$C$316,0),MATCH(BN$1,'在庫使用計画 (一般)'!$A$1:$BF$1,0)),
  _xlpm._法人,INDEX('在庫使用計画 (法人)'!$A$1:$BF$327,MATCH($C113,'在庫使用計画 (法人)'!$C$1:$C$327,0),MATCH(BN$1,'在庫使用計画 (法人)'!$A$1:$BF$1,0)),
 IFERROR(
  IF(_xlpm._一般+_xlpm._法人=0,"",_xlpm._一般+_xlpm._法人
  ),
 "")
)</f>
        <v/>
      </c>
      <c r="BO113" s="224" t="str">
        <f>_xlfn.LET(
  _xlpm._一般,INDEX('在庫使用計画 (一般)'!$A$1:$BF$316,MATCH($C113,'在庫使用計画 (一般)'!$C$1:$C$316,0),MATCH(BO$1,'在庫使用計画 (一般)'!$A$1:$BF$1,0)),
  _xlpm._法人,INDEX('在庫使用計画 (法人)'!$A$1:$BF$327,MATCH($C113,'在庫使用計画 (法人)'!$C$1:$C$327,0),MATCH(BO$1,'在庫使用計画 (法人)'!$A$1:$BF$1,0)),
 IFERROR(
  IF(_xlpm._一般+_xlpm._法人=0,"",_xlpm._一般+_xlpm._法人
  ),
 "")
)</f>
        <v/>
      </c>
      <c r="BP113" s="224" t="str">
        <f>_xlfn.LET(
  _xlpm._一般,INDEX('在庫使用計画 (一般)'!$A$1:$BF$316,MATCH($C113,'在庫使用計画 (一般)'!$C$1:$C$316,0),MATCH(BP$1,'在庫使用計画 (一般)'!$A$1:$BF$1,0)),
  _xlpm._法人,INDEX('在庫使用計画 (法人)'!$A$1:$BF$327,MATCH($C113,'在庫使用計画 (法人)'!$C$1:$C$327,0),MATCH(BP$1,'在庫使用計画 (法人)'!$A$1:$BF$1,0)),
 IFERROR(
  IF(_xlpm._一般+_xlpm._法人=0,"",_xlpm._一般+_xlpm._法人
  ),
 "")
)</f>
        <v/>
      </c>
      <c r="BQ113" s="224" t="str">
        <f>_xlfn.LET(
  _xlpm._一般,INDEX('在庫使用計画 (一般)'!$A$1:$BF$316,MATCH($C113,'在庫使用計画 (一般)'!$C$1:$C$316,0),MATCH(BQ$1,'在庫使用計画 (一般)'!$A$1:$BF$1,0)),
  _xlpm._法人,INDEX('在庫使用計画 (法人)'!$A$1:$BF$327,MATCH($C113,'在庫使用計画 (法人)'!$C$1:$C$327,0),MATCH(BQ$1,'在庫使用計画 (法人)'!$A$1:$BF$1,0)),
 IFERROR(
  IF(_xlpm._一般+_xlpm._法人=0,"",_xlpm._一般+_xlpm._法人
  ),
 "")
)</f>
        <v/>
      </c>
      <c r="BR113" s="224" t="str">
        <f>_xlfn.LET(
  _xlpm._一般,INDEX('在庫使用計画 (一般)'!$A$1:$BF$316,MATCH($C113,'在庫使用計画 (一般)'!$C$1:$C$316,0),MATCH(BR$1,'在庫使用計画 (一般)'!$A$1:$BF$1,0)),
  _xlpm._法人,INDEX('在庫使用計画 (法人)'!$A$1:$BF$327,MATCH($C113,'在庫使用計画 (法人)'!$C$1:$C$327,0),MATCH(BR$1,'在庫使用計画 (法人)'!$A$1:$BF$1,0)),
 IFERROR(
  IF(_xlpm._一般+_xlpm._法人=0,"",_xlpm._一般+_xlpm._法人
  ),
 "")
)</f>
        <v/>
      </c>
      <c r="BS113" s="805" t="str">
        <f>_xlfn.LET(
  _xlpm._一般,INDEX('在庫使用計画 (一般)'!$A$1:$BF$316,MATCH($C113,'在庫使用計画 (一般)'!$C$1:$C$316,0),MATCH(BS$1,'在庫使用計画 (一般)'!$A$1:$BF$1,0)),
  _xlpm._法人,INDEX('在庫使用計画 (法人)'!$A$1:$BF$327,MATCH($C113,'在庫使用計画 (法人)'!$C$1:$C$327,0),MATCH(BS$1,'在庫使用計画 (法人)'!$A$1:$BF$1,0)),
 IFERROR(
  IF(_xlpm._一般+_xlpm._法人=0,"",_xlpm._一般+_xlpm._法人
  ),
 "")
)</f>
        <v/>
      </c>
      <c r="BT113" s="21"/>
    </row>
    <row r="114" spans="1:72" customFormat="1" ht="18.75" customHeight="1">
      <c r="A114" s="1075"/>
      <c r="B114" s="100" t="s">
        <v>988</v>
      </c>
      <c r="C114" s="57" t="s">
        <v>986</v>
      </c>
      <c r="D114" s="2174" t="s">
        <v>1507</v>
      </c>
      <c r="E114" s="57" t="s">
        <v>1741</v>
      </c>
      <c r="F114" s="56"/>
      <c r="G114" s="74">
        <v>16</v>
      </c>
      <c r="H114" s="38">
        <v>16</v>
      </c>
      <c r="I114" s="38">
        <f ca="1">_xlfn.LET(_xlpm._今月から4ヶ月計画合計,
  SUM(
    OFFSET($A114,0,
      MATCH(
        EDATE(基準データ!$C$5,3),$A$1:$BD$1,1
      )-4,1,4)),
  IF($C114="","",_xlpm._今月から4ヶ月計画合計
)
)</f>
        <v>0</v>
      </c>
      <c r="J114" s="74">
        <v>3</v>
      </c>
      <c r="K114" s="1462" t="str" cm="1">
        <f t="array" ref="K114">_xlfn.IFS(
  $C114="","",
  $G114="","発売前？",
  $G114=0,"在庫なし",
  TRUE,
  IFERROR(
    _xlfn.LET(
      _xlpm._在庫注残,     $G114,
      _xlpm._しきい値,     _xlpm._在庫注残 * 0.75,
      _xlpm._見出し元,     $L$1:$BU$1,
      _xlpm._計画,         $L114:$BU114,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計画なし</v>
      </c>
      <c r="L114" s="57"/>
      <c r="M114" s="57"/>
      <c r="N114" s="57"/>
      <c r="O114" s="57"/>
      <c r="P114" s="57"/>
      <c r="Q114" s="57"/>
      <c r="R114" s="57"/>
      <c r="S114" s="57"/>
      <c r="T114" s="219" t="s">
        <v>21</v>
      </c>
      <c r="U114" s="219" t="s">
        <v>21</v>
      </c>
      <c r="V114" s="219" t="s">
        <v>21</v>
      </c>
      <c r="W114" s="219" t="s">
        <v>21</v>
      </c>
      <c r="X114" s="224">
        <v>4</v>
      </c>
      <c r="Y114" s="219">
        <v>61</v>
      </c>
      <c r="Z114" s="219">
        <v>52</v>
      </c>
      <c r="AA114" s="219">
        <v>59</v>
      </c>
      <c r="AB114" s="471">
        <v>31</v>
      </c>
      <c r="AC114" s="224" t="s">
        <v>21</v>
      </c>
      <c r="AD114" s="224" t="s">
        <v>21</v>
      </c>
      <c r="AE114" s="224" t="s">
        <v>21</v>
      </c>
      <c r="AF114" s="224">
        <v>25</v>
      </c>
      <c r="AG114" s="224">
        <v>25</v>
      </c>
      <c r="AH114" s="224">
        <v>22</v>
      </c>
      <c r="AI114" s="237" t="s">
        <v>21</v>
      </c>
      <c r="AJ114" s="804" t="s">
        <v>21</v>
      </c>
      <c r="AK114" s="224" t="s">
        <v>21</v>
      </c>
      <c r="AL114" s="224" t="s">
        <v>21</v>
      </c>
      <c r="AM114" s="224" t="s">
        <v>21</v>
      </c>
      <c r="AN114" s="224">
        <f>IFERROR(IF(SUM(INDEX('在庫使用計画 (一般)'!$A$1:$BF$557,MATCH($C114,'在庫使用計画 (一般)'!$C$1:$C$557,0),MATCH(AN$1,'在庫使用計画 (一般)'!$A$1:$BF$1,0)),INDEX('在庫使用計画 (法人)'!$A$1:$AT$578,MATCH($C114,'在庫使用計画 (法人)'!$C$1:$C$578,0),MATCH(AN$1,'在庫使用計画 (法人)'!$A$1:$AT$1,0)))=0,"",SUM(INDEX('在庫使用計画 (一般)'!$A$1:$BF$557,MATCH($C114,'在庫使用計画 (一般)'!$C$1:$C$557,0),MATCH(AN$1,'在庫使用計画 (一般)'!$A$1:$BF$1,0)),INDEX('在庫使用計画 (法人)'!$A$1:$AT$578,MATCH($C114,'在庫使用計画 (法人)'!$C$1:$C$578,0),MATCH(AN$1,'在庫使用計画 (法人)'!$A$1:$AT$1,0)))),"")</f>
        <v>6</v>
      </c>
      <c r="AO114" s="224" t="str">
        <f>IFERROR(IF(SUM(INDEX('在庫使用計画 (一般)'!$A$1:$BF$557,MATCH($C114,'在庫使用計画 (一般)'!$C$1:$C$557,0),MATCH(AO$1,'在庫使用計画 (一般)'!$A$1:$BF$1,0)),INDEX('在庫使用計画 (法人)'!$A$1:$AT$578,MATCH($C114,'在庫使用計画 (法人)'!$C$1:$C$578,0),MATCH(AO$1,'在庫使用計画 (法人)'!$A$1:$AT$1,0)))=0,"",SUM(INDEX('在庫使用計画 (一般)'!$A$1:$BF$557,MATCH($C114,'在庫使用計画 (一般)'!$C$1:$C$557,0),MATCH(AO$1,'在庫使用計画 (一般)'!$A$1:$BF$1,0)),INDEX('在庫使用計画 (法人)'!$A$1:$AT$578,MATCH($C114,'在庫使用計画 (法人)'!$C$1:$C$578,0),MATCH(AO$1,'在庫使用計画 (法人)'!$A$1:$AT$1,0)))),"")</f>
        <v/>
      </c>
      <c r="AP114" s="224" t="str">
        <f>IFERROR(IF(SUM(INDEX('在庫使用計画 (一般)'!$A$1:$BF$557,MATCH($C114,'在庫使用計画 (一般)'!$C$1:$C$557,0),MATCH(AP$1,'在庫使用計画 (一般)'!$A$1:$BF$1,0)),INDEX('在庫使用計画 (法人)'!$A$1:$AT$578,MATCH($C114,'在庫使用計画 (法人)'!$C$1:$C$578,0),MATCH(AP$1,'在庫使用計画 (法人)'!$A$1:$AT$1,0)))=0,"",SUM(INDEX('在庫使用計画 (一般)'!$A$1:$BF$557,MATCH($C114,'在庫使用計画 (一般)'!$C$1:$C$557,0),MATCH(AP$1,'在庫使用計画 (一般)'!$A$1:$BF$1,0)),INDEX('在庫使用計画 (法人)'!$A$1:$AT$578,MATCH($C114,'在庫使用計画 (法人)'!$C$1:$C$578,0),MATCH(AP$1,'在庫使用計画 (法人)'!$A$1:$AT$1,0)))),"")</f>
        <v/>
      </c>
      <c r="AQ114" s="224" t="str">
        <f>IFERROR(IF(SUM(INDEX('在庫使用計画 (一般)'!$A$1:$BF$557,MATCH($C114,'在庫使用計画 (一般)'!$C$1:$C$557,0),MATCH(AQ$1,'在庫使用計画 (一般)'!$A$1:$BF$1,0)),INDEX('在庫使用計画 (法人)'!$A$1:$AT$578,MATCH($C114,'在庫使用計画 (法人)'!$C$1:$C$578,0),MATCH(AQ$1,'在庫使用計画 (法人)'!$A$1:$AT$1,0)))=0,"",SUM(INDEX('在庫使用計画 (一般)'!$A$1:$BF$557,MATCH($C114,'在庫使用計画 (一般)'!$C$1:$C$557,0),MATCH(AQ$1,'在庫使用計画 (一般)'!$A$1:$BF$1,0)),INDEX('在庫使用計画 (法人)'!$A$1:$AT$578,MATCH($C114,'在庫使用計画 (法人)'!$C$1:$C$578,0),MATCH(AQ$1,'在庫使用計画 (法人)'!$A$1:$AT$1,0)))),"")</f>
        <v/>
      </c>
      <c r="AR114" s="224" t="str">
        <f>IFERROR(IF(SUM(INDEX('在庫使用計画 (一般)'!$A$1:$BF$557,MATCH($C114,'在庫使用計画 (一般)'!$C$1:$C$557,0),MATCH(AR$1,'在庫使用計画 (一般)'!$A$1:$BF$1,0)),INDEX('在庫使用計画 (法人)'!$A$1:$AT$578,MATCH($C114,'在庫使用計画 (法人)'!$C$1:$C$578,0),MATCH(AR$1,'在庫使用計画 (法人)'!$A$1:$AT$1,0)))=0,"",SUM(INDEX('在庫使用計画 (一般)'!$A$1:$BF$557,MATCH($C114,'在庫使用計画 (一般)'!$C$1:$C$557,0),MATCH(AR$1,'在庫使用計画 (一般)'!$A$1:$BF$1,0)),INDEX('在庫使用計画 (法人)'!$A$1:$AT$578,MATCH($C114,'在庫使用計画 (法人)'!$C$1:$C$578,0),MATCH(AR$1,'在庫使用計画 (法人)'!$A$1:$AT$1,0)))),"")</f>
        <v/>
      </c>
      <c r="AS114" s="224" t="str">
        <f>IFERROR(IF(SUM(INDEX('在庫使用計画 (一般)'!$A$1:$BF$557,MATCH($C114,'在庫使用計画 (一般)'!$C$1:$C$557,0),MATCH(AS$1,'在庫使用計画 (一般)'!$A$1:$BF$1,0)),INDEX('在庫使用計画 (法人)'!$A$1:$AT$578,MATCH($C114,'在庫使用計画 (法人)'!$C$1:$C$578,0),MATCH(AS$1,'在庫使用計画 (法人)'!$A$1:$AT$1,0)))=0,"",SUM(INDEX('在庫使用計画 (一般)'!$A$1:$BF$557,MATCH($C114,'在庫使用計画 (一般)'!$C$1:$C$557,0),MATCH(AS$1,'在庫使用計画 (一般)'!$A$1:$BF$1,0)),INDEX('在庫使用計画 (法人)'!$A$1:$AT$578,MATCH($C114,'在庫使用計画 (法人)'!$C$1:$C$578,0),MATCH(AS$1,'在庫使用計画 (法人)'!$A$1:$AT$1,0)))),"")</f>
        <v/>
      </c>
      <c r="AT114" s="224" t="str">
        <f>IFERROR(IF(SUM(INDEX('在庫使用計画 (一般)'!$A$1:$BF$557,MATCH($C114,'在庫使用計画 (一般)'!$C$1:$C$557,0),MATCH(AT$1,'在庫使用計画 (一般)'!$A$1:$BF$1,0)),INDEX('在庫使用計画 (法人)'!$A$1:$AT$578,MATCH($C114,'在庫使用計画 (法人)'!$C$1:$C$578,0),MATCH(AT$1,'在庫使用計画 (法人)'!$A$1:$AT$1,0)))=0,"",SUM(INDEX('在庫使用計画 (一般)'!$A$1:$BF$557,MATCH($C114,'在庫使用計画 (一般)'!$C$1:$C$557,0),MATCH(AT$1,'在庫使用計画 (一般)'!$A$1:$BF$1,0)),INDEX('在庫使用計画 (法人)'!$A$1:$AT$578,MATCH($C114,'在庫使用計画 (法人)'!$C$1:$C$578,0),MATCH(AT$1,'在庫使用計画 (法人)'!$A$1:$AT$1,0)))),"")</f>
        <v/>
      </c>
      <c r="AU114" s="805" t="str">
        <f>IFERROR(IF(SUM(INDEX('在庫使用計画 (一般)'!$A$1:$BF$557,MATCH($C114,'在庫使用計画 (一般)'!$C$1:$C$557,0),MATCH(AU$1,'在庫使用計画 (一般)'!$A$1:$BF$1,0)),INDEX('在庫使用計画 (法人)'!$A$1:$AT$578,MATCH($C114,'在庫使用計画 (法人)'!$C$1:$C$578,0),MATCH(AU$1,'在庫使用計画 (法人)'!$A$1:$AT$1,0)))=0,"",SUM(INDEX('在庫使用計画 (一般)'!$A$1:$BF$557,MATCH($C114,'在庫使用計画 (一般)'!$C$1:$C$557,0),MATCH(AU$1,'在庫使用計画 (一般)'!$A$1:$BF$1,0)),INDEX('在庫使用計画 (法人)'!$A$1:$AT$578,MATCH($C114,'在庫使用計画 (法人)'!$C$1:$C$578,0),MATCH(AU$1,'在庫使用計画 (法人)'!$A$1:$AT$1,0)))),"")</f>
        <v/>
      </c>
      <c r="AV114" s="244" t="str">
        <f>_xlfn.LET(
  _xlpm._一般,INDEX('在庫使用計画 (一般)'!$A$1:$BF$316,MATCH($C114,'在庫使用計画 (一般)'!$C$1:$C$316,0),MATCH(AV$1,'在庫使用計画 (一般)'!$A$1:$BF$1,0)),
  _xlpm._法人,INDEX('在庫使用計画 (法人)'!$A$1:$BF$327,MATCH($C114,'在庫使用計画 (法人)'!$C$1:$C$327,0),MATCH(AV$1,'在庫使用計画 (法人)'!$A$1:$BF$1,0)),
 IFERROR(
  IF(_xlpm._一般+_xlpm._法人=0,"",_xlpm._一般+_xlpm._法人
  ),
 "")
)</f>
        <v/>
      </c>
      <c r="AW114" s="224" t="str">
        <f>_xlfn.LET(
  _xlpm._一般,INDEX('在庫使用計画 (一般)'!$A$1:$BF$316,MATCH($C114,'在庫使用計画 (一般)'!$C$1:$C$316,0),MATCH(AW$1,'在庫使用計画 (一般)'!$A$1:$BF$1,0)),
  _xlpm._法人,INDEX('在庫使用計画 (法人)'!$A$1:$BF$327,MATCH($C114,'在庫使用計画 (法人)'!$C$1:$C$327,0),MATCH(AW$1,'在庫使用計画 (法人)'!$A$1:$BF$1,0)),
 IFERROR(
  IF(_xlpm._一般+_xlpm._法人=0,"",_xlpm._一般+_xlpm._法人
  ),
 "")
)</f>
        <v/>
      </c>
      <c r="AX114" s="224" t="str">
        <f>_xlfn.LET(
  _xlpm._一般,INDEX('在庫使用計画 (一般)'!$A$1:$BF$316,MATCH($C114,'在庫使用計画 (一般)'!$C$1:$C$316,0),MATCH(AX$1,'在庫使用計画 (一般)'!$A$1:$BF$1,0)),
  _xlpm._法人,INDEX('在庫使用計画 (法人)'!$A$1:$BF$327,MATCH($C114,'在庫使用計画 (法人)'!$C$1:$C$327,0),MATCH(AX$1,'在庫使用計画 (法人)'!$A$1:$BF$1,0)),
 IFERROR(
  IF(_xlpm._一般+_xlpm._法人=0,"",_xlpm._一般+_xlpm._法人
  ),
 "")
)</f>
        <v/>
      </c>
      <c r="AY114" s="224" t="str">
        <f>_xlfn.LET(
  _xlpm._一般,INDEX('在庫使用計画 (一般)'!$A$1:$BF$316,MATCH($C114,'在庫使用計画 (一般)'!$C$1:$C$316,0),MATCH(AY$1,'在庫使用計画 (一般)'!$A$1:$BF$1,0)),
  _xlpm._法人,INDEX('在庫使用計画 (法人)'!$A$1:$BF$327,MATCH($C114,'在庫使用計画 (法人)'!$C$1:$C$327,0),MATCH(AY$1,'在庫使用計画 (法人)'!$A$1:$BF$1,0)),
 IFERROR(
  IF(_xlpm._一般+_xlpm._法人=0,"",_xlpm._一般+_xlpm._法人
  ),
 "")
)</f>
        <v/>
      </c>
      <c r="AZ114" s="224" t="str">
        <f>_xlfn.LET(
  _xlpm._一般,INDEX('在庫使用計画 (一般)'!$A$1:$BF$316,MATCH($C114,'在庫使用計画 (一般)'!$C$1:$C$316,0),MATCH(AZ$1,'在庫使用計画 (一般)'!$A$1:$BF$1,0)),
  _xlpm._法人,INDEX('在庫使用計画 (法人)'!$A$1:$BF$327,MATCH($C114,'在庫使用計画 (法人)'!$C$1:$C$327,0),MATCH(AZ$1,'在庫使用計画 (法人)'!$A$1:$BF$1,0)),
 IFERROR(
  IF(_xlpm._一般+_xlpm._法人=0,"",_xlpm._一般+_xlpm._法人
  ),
 "")
)</f>
        <v/>
      </c>
      <c r="BA114" s="224" t="str">
        <f>_xlfn.LET(
  _xlpm._一般,INDEX('在庫使用計画 (一般)'!$A$1:$BF$316,MATCH($C114,'在庫使用計画 (一般)'!$C$1:$C$316,0),MATCH(BA$1,'在庫使用計画 (一般)'!$A$1:$BF$1,0)),
  _xlpm._法人,INDEX('在庫使用計画 (法人)'!$A$1:$BF$327,MATCH($C114,'在庫使用計画 (法人)'!$C$1:$C$327,0),MATCH(BA$1,'在庫使用計画 (法人)'!$A$1:$BF$1,0)),
 IFERROR(
  IF(_xlpm._一般+_xlpm._法人=0,"",_xlpm._一般+_xlpm._法人
  ),
 "")
)</f>
        <v/>
      </c>
      <c r="BB114" s="224" t="str">
        <f>_xlfn.LET(
  _xlpm._一般,INDEX('在庫使用計画 (一般)'!$A$1:$BF$316,MATCH($C114,'在庫使用計画 (一般)'!$C$1:$C$316,0),MATCH(BB$1,'在庫使用計画 (一般)'!$A$1:$BF$1,0)),
  _xlpm._法人,INDEX('在庫使用計画 (法人)'!$A$1:$BF$327,MATCH($C114,'在庫使用計画 (法人)'!$C$1:$C$327,0),MATCH(BB$1,'在庫使用計画 (法人)'!$A$1:$BF$1,0)),
 IFERROR(
  IF(_xlpm._一般+_xlpm._法人=0,"",_xlpm._一般+_xlpm._法人
  ),
 "")
)</f>
        <v/>
      </c>
      <c r="BC114" s="224" t="str">
        <f>_xlfn.LET(
  _xlpm._一般,INDEX('在庫使用計画 (一般)'!$A$1:$BF$316,MATCH($C114,'在庫使用計画 (一般)'!$C$1:$C$316,0),MATCH(BC$1,'在庫使用計画 (一般)'!$A$1:$BF$1,0)),
  _xlpm._法人,INDEX('在庫使用計画 (法人)'!$A$1:$BF$327,MATCH($C114,'在庫使用計画 (法人)'!$C$1:$C$327,0),MATCH(BC$1,'在庫使用計画 (法人)'!$A$1:$BF$1,0)),
 IFERROR(
  IF(_xlpm._一般+_xlpm._法人=0,"",_xlpm._一般+_xlpm._法人
  ),
 "")
)</f>
        <v/>
      </c>
      <c r="BD114" s="224" t="str">
        <f>_xlfn.LET(
  _xlpm._一般,INDEX('在庫使用計画 (一般)'!$A$1:$BF$316,MATCH($C114,'在庫使用計画 (一般)'!$C$1:$C$316,0),MATCH(BD$1,'在庫使用計画 (一般)'!$A$1:$BF$1,0)),
  _xlpm._法人,INDEX('在庫使用計画 (法人)'!$A$1:$BF$327,MATCH($C114,'在庫使用計画 (法人)'!$C$1:$C$327,0),MATCH(BD$1,'在庫使用計画 (法人)'!$A$1:$BF$1,0)),
 IFERROR(
  IF(_xlpm._一般+_xlpm._法人=0,"",_xlpm._一般+_xlpm._法人
  ),
 "")
)</f>
        <v/>
      </c>
      <c r="BE114" s="224" t="str">
        <f>_xlfn.LET(
  _xlpm._一般,INDEX('在庫使用計画 (一般)'!$A$1:$BF$316,MATCH($C114,'在庫使用計画 (一般)'!$C$1:$C$316,0),MATCH(BE$1,'在庫使用計画 (一般)'!$A$1:$BF$1,0)),
  _xlpm._法人,INDEX('在庫使用計画 (法人)'!$A$1:$BF$327,MATCH($C114,'在庫使用計画 (法人)'!$C$1:$C$327,0),MATCH(BE$1,'在庫使用計画 (法人)'!$A$1:$BF$1,0)),
 IFERROR(
  IF(_xlpm._一般+_xlpm._法人=0,"",_xlpm._一般+_xlpm._法人
  ),
 "")
)</f>
        <v/>
      </c>
      <c r="BF114" s="224" t="str">
        <f>_xlfn.LET(
  _xlpm._一般,INDEX('在庫使用計画 (一般)'!$A$1:$BF$316,MATCH($C114,'在庫使用計画 (一般)'!$C$1:$C$316,0),MATCH(BF$1,'在庫使用計画 (一般)'!$A$1:$BF$1,0)),
  _xlpm._法人,INDEX('在庫使用計画 (法人)'!$A$1:$BF$327,MATCH($C114,'在庫使用計画 (法人)'!$C$1:$C$327,0),MATCH(BF$1,'在庫使用計画 (法人)'!$A$1:$BF$1,0)),
 IFERROR(
  IF(_xlpm._一般+_xlpm._法人=0,"",_xlpm._一般+_xlpm._法人
  ),
 "")
)</f>
        <v/>
      </c>
      <c r="BG114" s="237" t="str">
        <f>_xlfn.LET(
  _xlpm._一般,INDEX('在庫使用計画 (一般)'!$A$1:$BF$316,MATCH($C114,'在庫使用計画 (一般)'!$C$1:$C$316,0),MATCH(BG$1,'在庫使用計画 (一般)'!$A$1:$BF$1,0)),
  _xlpm._法人,INDEX('在庫使用計画 (法人)'!$A$1:$BF$327,MATCH($C114,'在庫使用計画 (法人)'!$C$1:$C$327,0),MATCH(BG$1,'在庫使用計画 (法人)'!$A$1:$BF$1,0)),
 IFERROR(
  IF(_xlpm._一般+_xlpm._法人=0,"",_xlpm._一般+_xlpm._法人
  ),
 "")
)</f>
        <v/>
      </c>
      <c r="BH114" s="804" t="str">
        <f>_xlfn.LET(
  _xlpm._一般,INDEX('在庫使用計画 (一般)'!$A$1:$BF$316,MATCH($C114,'在庫使用計画 (一般)'!$C$1:$C$316,0),MATCH(BH$1,'在庫使用計画 (一般)'!$A$1:$BF$1,0)),
  _xlpm._法人,INDEX('在庫使用計画 (法人)'!$A$1:$BF$327,MATCH($C114,'在庫使用計画 (法人)'!$C$1:$C$327,0),MATCH(BH$1,'在庫使用計画 (法人)'!$A$1:$BF$1,0)),
 IFERROR(
  IF(_xlpm._一般+_xlpm._法人=0,"",_xlpm._一般+_xlpm._法人
  ),
 "")
)</f>
        <v/>
      </c>
      <c r="BI114" s="224" t="str">
        <f>_xlfn.LET(
  _xlpm._一般,INDEX('在庫使用計画 (一般)'!$A$1:$BF$316,MATCH($C114,'在庫使用計画 (一般)'!$C$1:$C$316,0),MATCH(BI$1,'在庫使用計画 (一般)'!$A$1:$BF$1,0)),
  _xlpm._法人,INDEX('在庫使用計画 (法人)'!$A$1:$BF$327,MATCH($C114,'在庫使用計画 (法人)'!$C$1:$C$327,0),MATCH(BI$1,'在庫使用計画 (法人)'!$A$1:$BF$1,0)),
 IFERROR(
  IF(_xlpm._一般+_xlpm._法人=0,"",_xlpm._一般+_xlpm._法人
  ),
 "")
)</f>
        <v/>
      </c>
      <c r="BJ114" s="224" t="str">
        <f>_xlfn.LET(
  _xlpm._一般,INDEX('在庫使用計画 (一般)'!$A$1:$BF$316,MATCH($C114,'在庫使用計画 (一般)'!$C$1:$C$316,0),MATCH(BJ$1,'在庫使用計画 (一般)'!$A$1:$BF$1,0)),
  _xlpm._法人,INDEX('在庫使用計画 (法人)'!$A$1:$BF$327,MATCH($C114,'在庫使用計画 (法人)'!$C$1:$C$327,0),MATCH(BJ$1,'在庫使用計画 (法人)'!$A$1:$BF$1,0)),
 IFERROR(
  IF(_xlpm._一般+_xlpm._法人=0,"",_xlpm._一般+_xlpm._法人
  ),
 "")
)</f>
        <v/>
      </c>
      <c r="BK114" s="224" t="str">
        <f>_xlfn.LET(
  _xlpm._一般,INDEX('在庫使用計画 (一般)'!$A$1:$BF$316,MATCH($C114,'在庫使用計画 (一般)'!$C$1:$C$316,0),MATCH(BK$1,'在庫使用計画 (一般)'!$A$1:$BF$1,0)),
  _xlpm._法人,INDEX('在庫使用計画 (法人)'!$A$1:$BF$327,MATCH($C114,'在庫使用計画 (法人)'!$C$1:$C$327,0),MATCH(BK$1,'在庫使用計画 (法人)'!$A$1:$BF$1,0)),
 IFERROR(
  IF(_xlpm._一般+_xlpm._法人=0,"",_xlpm._一般+_xlpm._法人
  ),
 "")
)</f>
        <v/>
      </c>
      <c r="BL114" s="224" t="str">
        <f>_xlfn.LET(
  _xlpm._一般,INDEX('在庫使用計画 (一般)'!$A$1:$BF$316,MATCH($C114,'在庫使用計画 (一般)'!$C$1:$C$316,0),MATCH(BL$1,'在庫使用計画 (一般)'!$A$1:$BF$1,0)),
  _xlpm._法人,INDEX('在庫使用計画 (法人)'!$A$1:$BF$327,MATCH($C114,'在庫使用計画 (法人)'!$C$1:$C$327,0),MATCH(BL$1,'在庫使用計画 (法人)'!$A$1:$BF$1,0)),
 IFERROR(
  IF(_xlpm._一般+_xlpm._法人=0,"",_xlpm._一般+_xlpm._法人
  ),
 "")
)</f>
        <v/>
      </c>
      <c r="BM114" s="224" t="str">
        <f>_xlfn.LET(
  _xlpm._一般,INDEX('在庫使用計画 (一般)'!$A$1:$BF$316,MATCH($C114,'在庫使用計画 (一般)'!$C$1:$C$316,0),MATCH(BM$1,'在庫使用計画 (一般)'!$A$1:$BF$1,0)),
  _xlpm._法人,INDEX('在庫使用計画 (法人)'!$A$1:$BF$327,MATCH($C114,'在庫使用計画 (法人)'!$C$1:$C$327,0),MATCH(BM$1,'在庫使用計画 (法人)'!$A$1:$BF$1,0)),
 IFERROR(
  IF(_xlpm._一般+_xlpm._法人=0,"",_xlpm._一般+_xlpm._法人
  ),
 "")
)</f>
        <v/>
      </c>
      <c r="BN114" s="224" t="str">
        <f>_xlfn.LET(
  _xlpm._一般,INDEX('在庫使用計画 (一般)'!$A$1:$BF$316,MATCH($C114,'在庫使用計画 (一般)'!$C$1:$C$316,0),MATCH(BN$1,'在庫使用計画 (一般)'!$A$1:$BF$1,0)),
  _xlpm._法人,INDEX('在庫使用計画 (法人)'!$A$1:$BF$327,MATCH($C114,'在庫使用計画 (法人)'!$C$1:$C$327,0),MATCH(BN$1,'在庫使用計画 (法人)'!$A$1:$BF$1,0)),
 IFERROR(
  IF(_xlpm._一般+_xlpm._法人=0,"",_xlpm._一般+_xlpm._法人
  ),
 "")
)</f>
        <v/>
      </c>
      <c r="BO114" s="224" t="str">
        <f>_xlfn.LET(
  _xlpm._一般,INDEX('在庫使用計画 (一般)'!$A$1:$BF$316,MATCH($C114,'在庫使用計画 (一般)'!$C$1:$C$316,0),MATCH(BO$1,'在庫使用計画 (一般)'!$A$1:$BF$1,0)),
  _xlpm._法人,INDEX('在庫使用計画 (法人)'!$A$1:$BF$327,MATCH($C114,'在庫使用計画 (法人)'!$C$1:$C$327,0),MATCH(BO$1,'在庫使用計画 (法人)'!$A$1:$BF$1,0)),
 IFERROR(
  IF(_xlpm._一般+_xlpm._法人=0,"",_xlpm._一般+_xlpm._法人
  ),
 "")
)</f>
        <v/>
      </c>
      <c r="BP114" s="224" t="str">
        <f>_xlfn.LET(
  _xlpm._一般,INDEX('在庫使用計画 (一般)'!$A$1:$BF$316,MATCH($C114,'在庫使用計画 (一般)'!$C$1:$C$316,0),MATCH(BP$1,'在庫使用計画 (一般)'!$A$1:$BF$1,0)),
  _xlpm._法人,INDEX('在庫使用計画 (法人)'!$A$1:$BF$327,MATCH($C114,'在庫使用計画 (法人)'!$C$1:$C$327,0),MATCH(BP$1,'在庫使用計画 (法人)'!$A$1:$BF$1,0)),
 IFERROR(
  IF(_xlpm._一般+_xlpm._法人=0,"",_xlpm._一般+_xlpm._法人
  ),
 "")
)</f>
        <v/>
      </c>
      <c r="BQ114" s="224" t="str">
        <f>_xlfn.LET(
  _xlpm._一般,INDEX('在庫使用計画 (一般)'!$A$1:$BF$316,MATCH($C114,'在庫使用計画 (一般)'!$C$1:$C$316,0),MATCH(BQ$1,'在庫使用計画 (一般)'!$A$1:$BF$1,0)),
  _xlpm._法人,INDEX('在庫使用計画 (法人)'!$A$1:$BF$327,MATCH($C114,'在庫使用計画 (法人)'!$C$1:$C$327,0),MATCH(BQ$1,'在庫使用計画 (法人)'!$A$1:$BF$1,0)),
 IFERROR(
  IF(_xlpm._一般+_xlpm._法人=0,"",_xlpm._一般+_xlpm._法人
  ),
 "")
)</f>
        <v/>
      </c>
      <c r="BR114" s="224" t="str">
        <f>_xlfn.LET(
  _xlpm._一般,INDEX('在庫使用計画 (一般)'!$A$1:$BF$316,MATCH($C114,'在庫使用計画 (一般)'!$C$1:$C$316,0),MATCH(BR$1,'在庫使用計画 (一般)'!$A$1:$BF$1,0)),
  _xlpm._法人,INDEX('在庫使用計画 (法人)'!$A$1:$BF$327,MATCH($C114,'在庫使用計画 (法人)'!$C$1:$C$327,0),MATCH(BR$1,'在庫使用計画 (法人)'!$A$1:$BF$1,0)),
 IFERROR(
  IF(_xlpm._一般+_xlpm._法人=0,"",_xlpm._一般+_xlpm._法人
  ),
 "")
)</f>
        <v/>
      </c>
      <c r="BS114" s="805" t="str">
        <f>_xlfn.LET(
  _xlpm._一般,INDEX('在庫使用計画 (一般)'!$A$1:$BF$316,MATCH($C114,'在庫使用計画 (一般)'!$C$1:$C$316,0),MATCH(BS$1,'在庫使用計画 (一般)'!$A$1:$BF$1,0)),
  _xlpm._法人,INDEX('在庫使用計画 (法人)'!$A$1:$BF$327,MATCH($C114,'在庫使用計画 (法人)'!$C$1:$C$327,0),MATCH(BS$1,'在庫使用計画 (法人)'!$A$1:$BF$1,0)),
 IFERROR(
  IF(_xlpm._一般+_xlpm._法人=0,"",_xlpm._一般+_xlpm._法人
  ),
 "")
)</f>
        <v/>
      </c>
      <c r="BT114" s="21"/>
    </row>
    <row r="115" spans="1:72" customFormat="1" ht="18.75" customHeight="1">
      <c r="A115" s="1076"/>
      <c r="B115" s="55" t="s">
        <v>1020</v>
      </c>
      <c r="C115" s="57" t="s">
        <v>1017</v>
      </c>
      <c r="D115" s="2175">
        <v>4060</v>
      </c>
      <c r="E115" s="115" t="s">
        <v>1742</v>
      </c>
      <c r="F115" s="68" t="s">
        <v>20</v>
      </c>
      <c r="G115" s="74">
        <v>0</v>
      </c>
      <c r="H115" s="38">
        <v>0</v>
      </c>
      <c r="I115" s="38">
        <f ca="1">_xlfn.LET(_xlpm._今月から4ヶ月計画合計,
  SUM(
    OFFSET($A115,0,
      MATCH(
        EDATE(基準データ!$C$5,3),$A$1:$BD$1,1
      )-4,1,4)),
  IF($C115="","",_xlpm._今月から4ヶ月計画合計
)
)</f>
        <v>0</v>
      </c>
      <c r="J115" s="74" t="s">
        <v>21</v>
      </c>
      <c r="K115" s="1462" t="str" cm="1">
        <f t="array" ref="K115">_xlfn.IFS(
  $C115="","",
  $G115="","発売前？",
  $G115=0,"在庫なし",
  TRUE,
  IFERROR(
    _xlfn.LET(
      _xlpm._在庫注残,     $G115,
      _xlpm._しきい値,     _xlpm._在庫注残 * 0.75,
      _xlpm._見出し元,     $L$1:$BU$1,
      _xlpm._計画,         $L115:$BU115,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在庫なし</v>
      </c>
      <c r="L115" s="38" t="s">
        <v>21</v>
      </c>
      <c r="M115" s="38" t="s">
        <v>21</v>
      </c>
      <c r="N115" s="38" t="s">
        <v>21</v>
      </c>
      <c r="O115" s="38" t="s">
        <v>21</v>
      </c>
      <c r="P115" s="38" t="s">
        <v>21</v>
      </c>
      <c r="Q115" s="38" t="s">
        <v>21</v>
      </c>
      <c r="R115" s="38">
        <v>55</v>
      </c>
      <c r="S115" s="38">
        <v>17</v>
      </c>
      <c r="T115" s="219">
        <v>70</v>
      </c>
      <c r="U115" s="219">
        <v>37</v>
      </c>
      <c r="V115" s="219">
        <v>75</v>
      </c>
      <c r="W115" s="219">
        <v>47</v>
      </c>
      <c r="X115" s="224">
        <v>79</v>
      </c>
      <c r="Y115" s="224">
        <v>119</v>
      </c>
      <c r="Z115" s="224">
        <v>75</v>
      </c>
      <c r="AA115" s="224">
        <v>67</v>
      </c>
      <c r="AB115" s="224">
        <v>57</v>
      </c>
      <c r="AC115" s="224">
        <v>57</v>
      </c>
      <c r="AD115" s="224">
        <v>47</v>
      </c>
      <c r="AE115" s="224">
        <v>30</v>
      </c>
      <c r="AF115" s="224">
        <v>14</v>
      </c>
      <c r="AG115" s="224" t="s">
        <v>21</v>
      </c>
      <c r="AH115" s="224" t="s">
        <v>21</v>
      </c>
      <c r="AI115" s="237" t="s">
        <v>21</v>
      </c>
      <c r="AJ115" s="804" t="s">
        <v>21</v>
      </c>
      <c r="AK115" s="224" t="s">
        <v>21</v>
      </c>
      <c r="AL115" s="224" t="s">
        <v>21</v>
      </c>
      <c r="AM115" s="224" t="s">
        <v>21</v>
      </c>
      <c r="AN115" s="224" t="str">
        <f>IFERROR(IF(SUM(INDEX('在庫使用計画 (一般)'!$A$1:$BF$557,MATCH($C115,'在庫使用計画 (一般)'!$C$1:$C$557,0),MATCH(AN$1,'在庫使用計画 (一般)'!$A$1:$BF$1,0)),INDEX('在庫使用計画 (法人)'!$A$1:$AT$578,MATCH($C115,'在庫使用計画 (法人)'!$C$1:$C$578,0),MATCH(AN$1,'在庫使用計画 (法人)'!$A$1:$AT$1,0)))=0,"",SUM(INDEX('在庫使用計画 (一般)'!$A$1:$BF$557,MATCH($C115,'在庫使用計画 (一般)'!$C$1:$C$557,0),MATCH(AN$1,'在庫使用計画 (一般)'!$A$1:$BF$1,0)),INDEX('在庫使用計画 (法人)'!$A$1:$AT$578,MATCH($C115,'在庫使用計画 (法人)'!$C$1:$C$578,0),MATCH(AN$1,'在庫使用計画 (法人)'!$A$1:$AT$1,0)))),"")</f>
        <v/>
      </c>
      <c r="AO115" s="224" t="str">
        <f>IFERROR(IF(SUM(INDEX('在庫使用計画 (一般)'!$A$1:$BF$557,MATCH($C115,'在庫使用計画 (一般)'!$C$1:$C$557,0),MATCH(AO$1,'在庫使用計画 (一般)'!$A$1:$BF$1,0)),INDEX('在庫使用計画 (法人)'!$A$1:$AT$578,MATCH($C115,'在庫使用計画 (法人)'!$C$1:$C$578,0),MATCH(AO$1,'在庫使用計画 (法人)'!$A$1:$AT$1,0)))=0,"",SUM(INDEX('在庫使用計画 (一般)'!$A$1:$BF$557,MATCH($C115,'在庫使用計画 (一般)'!$C$1:$C$557,0),MATCH(AO$1,'在庫使用計画 (一般)'!$A$1:$BF$1,0)),INDEX('在庫使用計画 (法人)'!$A$1:$AT$578,MATCH($C115,'在庫使用計画 (法人)'!$C$1:$C$578,0),MATCH(AO$1,'在庫使用計画 (法人)'!$A$1:$AT$1,0)))),"")</f>
        <v/>
      </c>
      <c r="AP115" s="224" t="str">
        <f>IFERROR(IF(SUM(INDEX('在庫使用計画 (一般)'!$A$1:$BF$557,MATCH($C115,'在庫使用計画 (一般)'!$C$1:$C$557,0),MATCH(AP$1,'在庫使用計画 (一般)'!$A$1:$BF$1,0)),INDEX('在庫使用計画 (法人)'!$A$1:$AT$578,MATCH($C115,'在庫使用計画 (法人)'!$C$1:$C$578,0),MATCH(AP$1,'在庫使用計画 (法人)'!$A$1:$AT$1,0)))=0,"",SUM(INDEX('在庫使用計画 (一般)'!$A$1:$BF$557,MATCH($C115,'在庫使用計画 (一般)'!$C$1:$C$557,0),MATCH(AP$1,'在庫使用計画 (一般)'!$A$1:$BF$1,0)),INDEX('在庫使用計画 (法人)'!$A$1:$AT$578,MATCH($C115,'在庫使用計画 (法人)'!$C$1:$C$578,0),MATCH(AP$1,'在庫使用計画 (法人)'!$A$1:$AT$1,0)))),"")</f>
        <v/>
      </c>
      <c r="AQ115" s="224" t="str">
        <f>IFERROR(IF(SUM(INDEX('在庫使用計画 (一般)'!$A$1:$BF$557,MATCH($C115,'在庫使用計画 (一般)'!$C$1:$C$557,0),MATCH(AQ$1,'在庫使用計画 (一般)'!$A$1:$BF$1,0)),INDEX('在庫使用計画 (法人)'!$A$1:$AT$578,MATCH($C115,'在庫使用計画 (法人)'!$C$1:$C$578,0),MATCH(AQ$1,'在庫使用計画 (法人)'!$A$1:$AT$1,0)))=0,"",SUM(INDEX('在庫使用計画 (一般)'!$A$1:$BF$557,MATCH($C115,'在庫使用計画 (一般)'!$C$1:$C$557,0),MATCH(AQ$1,'在庫使用計画 (一般)'!$A$1:$BF$1,0)),INDEX('在庫使用計画 (法人)'!$A$1:$AT$578,MATCH($C115,'在庫使用計画 (法人)'!$C$1:$C$578,0),MATCH(AQ$1,'在庫使用計画 (法人)'!$A$1:$AT$1,0)))),"")</f>
        <v/>
      </c>
      <c r="AR115" s="224" t="str">
        <f>IFERROR(IF(SUM(INDEX('在庫使用計画 (一般)'!$A$1:$BF$557,MATCH($C115,'在庫使用計画 (一般)'!$C$1:$C$557,0),MATCH(AR$1,'在庫使用計画 (一般)'!$A$1:$BF$1,0)),INDEX('在庫使用計画 (法人)'!$A$1:$AT$578,MATCH($C115,'在庫使用計画 (法人)'!$C$1:$C$578,0),MATCH(AR$1,'在庫使用計画 (法人)'!$A$1:$AT$1,0)))=0,"",SUM(INDEX('在庫使用計画 (一般)'!$A$1:$BF$557,MATCH($C115,'在庫使用計画 (一般)'!$C$1:$C$557,0),MATCH(AR$1,'在庫使用計画 (一般)'!$A$1:$BF$1,0)),INDEX('在庫使用計画 (法人)'!$A$1:$AT$578,MATCH($C115,'在庫使用計画 (法人)'!$C$1:$C$578,0),MATCH(AR$1,'在庫使用計画 (法人)'!$A$1:$AT$1,0)))),"")</f>
        <v/>
      </c>
      <c r="AS115" s="224" t="str">
        <f>IFERROR(IF(SUM(INDEX('在庫使用計画 (一般)'!$A$1:$BF$557,MATCH($C115,'在庫使用計画 (一般)'!$C$1:$C$557,0),MATCH(AS$1,'在庫使用計画 (一般)'!$A$1:$BF$1,0)),INDEX('在庫使用計画 (法人)'!$A$1:$AT$578,MATCH($C115,'在庫使用計画 (法人)'!$C$1:$C$578,0),MATCH(AS$1,'在庫使用計画 (法人)'!$A$1:$AT$1,0)))=0,"",SUM(INDEX('在庫使用計画 (一般)'!$A$1:$BF$557,MATCH($C115,'在庫使用計画 (一般)'!$C$1:$C$557,0),MATCH(AS$1,'在庫使用計画 (一般)'!$A$1:$BF$1,0)),INDEX('在庫使用計画 (法人)'!$A$1:$AT$578,MATCH($C115,'在庫使用計画 (法人)'!$C$1:$C$578,0),MATCH(AS$1,'在庫使用計画 (法人)'!$A$1:$AT$1,0)))),"")</f>
        <v/>
      </c>
      <c r="AT115" s="224" t="str">
        <f>IFERROR(IF(SUM(INDEX('在庫使用計画 (一般)'!$A$1:$BF$557,MATCH($C115,'在庫使用計画 (一般)'!$C$1:$C$557,0),MATCH(AT$1,'在庫使用計画 (一般)'!$A$1:$BF$1,0)),INDEX('在庫使用計画 (法人)'!$A$1:$AT$578,MATCH($C115,'在庫使用計画 (法人)'!$C$1:$C$578,0),MATCH(AT$1,'在庫使用計画 (法人)'!$A$1:$AT$1,0)))=0,"",SUM(INDEX('在庫使用計画 (一般)'!$A$1:$BF$557,MATCH($C115,'在庫使用計画 (一般)'!$C$1:$C$557,0),MATCH(AT$1,'在庫使用計画 (一般)'!$A$1:$BF$1,0)),INDEX('在庫使用計画 (法人)'!$A$1:$AT$578,MATCH($C115,'在庫使用計画 (法人)'!$C$1:$C$578,0),MATCH(AT$1,'在庫使用計画 (法人)'!$A$1:$AT$1,0)))),"")</f>
        <v/>
      </c>
      <c r="AU115" s="805" t="str">
        <f>IFERROR(IF(SUM(INDEX('在庫使用計画 (一般)'!$A$1:$BF$557,MATCH($C115,'在庫使用計画 (一般)'!$C$1:$C$557,0),MATCH(AU$1,'在庫使用計画 (一般)'!$A$1:$BF$1,0)),INDEX('在庫使用計画 (法人)'!$A$1:$AT$578,MATCH($C115,'在庫使用計画 (法人)'!$C$1:$C$578,0),MATCH(AU$1,'在庫使用計画 (法人)'!$A$1:$AT$1,0)))=0,"",SUM(INDEX('在庫使用計画 (一般)'!$A$1:$BF$557,MATCH($C115,'在庫使用計画 (一般)'!$C$1:$C$557,0),MATCH(AU$1,'在庫使用計画 (一般)'!$A$1:$BF$1,0)),INDEX('在庫使用計画 (法人)'!$A$1:$AT$578,MATCH($C115,'在庫使用計画 (法人)'!$C$1:$C$578,0),MATCH(AU$1,'在庫使用計画 (法人)'!$A$1:$AT$1,0)))),"")</f>
        <v/>
      </c>
      <c r="AV115" s="244" t="str">
        <f>_xlfn.LET(
  _xlpm._一般,INDEX('在庫使用計画 (一般)'!$A$1:$BF$316,MATCH($C115,'在庫使用計画 (一般)'!$C$1:$C$316,0),MATCH(AV$1,'在庫使用計画 (一般)'!$A$1:$BF$1,0)),
  _xlpm._法人,INDEX('在庫使用計画 (法人)'!$A$1:$BF$327,MATCH($C115,'在庫使用計画 (法人)'!$C$1:$C$327,0),MATCH(AV$1,'在庫使用計画 (法人)'!$A$1:$BF$1,0)),
 IFERROR(
  IF(_xlpm._一般+_xlpm._法人=0,"",_xlpm._一般+_xlpm._法人
  ),
 "")
)</f>
        <v/>
      </c>
      <c r="AW115" s="224" t="str">
        <f>_xlfn.LET(
  _xlpm._一般,INDEX('在庫使用計画 (一般)'!$A$1:$BF$316,MATCH($C115,'在庫使用計画 (一般)'!$C$1:$C$316,0),MATCH(AW$1,'在庫使用計画 (一般)'!$A$1:$BF$1,0)),
  _xlpm._法人,INDEX('在庫使用計画 (法人)'!$A$1:$BF$327,MATCH($C115,'在庫使用計画 (法人)'!$C$1:$C$327,0),MATCH(AW$1,'在庫使用計画 (法人)'!$A$1:$BF$1,0)),
 IFERROR(
  IF(_xlpm._一般+_xlpm._法人=0,"",_xlpm._一般+_xlpm._法人
  ),
 "")
)</f>
        <v/>
      </c>
      <c r="AX115" s="224" t="str">
        <f>_xlfn.LET(
  _xlpm._一般,INDEX('在庫使用計画 (一般)'!$A$1:$BF$316,MATCH($C115,'在庫使用計画 (一般)'!$C$1:$C$316,0),MATCH(AX$1,'在庫使用計画 (一般)'!$A$1:$BF$1,0)),
  _xlpm._法人,INDEX('在庫使用計画 (法人)'!$A$1:$BF$327,MATCH($C115,'在庫使用計画 (法人)'!$C$1:$C$327,0),MATCH(AX$1,'在庫使用計画 (法人)'!$A$1:$BF$1,0)),
 IFERROR(
  IF(_xlpm._一般+_xlpm._法人=0,"",_xlpm._一般+_xlpm._法人
  ),
 "")
)</f>
        <v/>
      </c>
      <c r="AY115" s="224" t="str">
        <f>_xlfn.LET(
  _xlpm._一般,INDEX('在庫使用計画 (一般)'!$A$1:$BF$316,MATCH($C115,'在庫使用計画 (一般)'!$C$1:$C$316,0),MATCH(AY$1,'在庫使用計画 (一般)'!$A$1:$BF$1,0)),
  _xlpm._法人,INDEX('在庫使用計画 (法人)'!$A$1:$BF$327,MATCH($C115,'在庫使用計画 (法人)'!$C$1:$C$327,0),MATCH(AY$1,'在庫使用計画 (法人)'!$A$1:$BF$1,0)),
 IFERROR(
  IF(_xlpm._一般+_xlpm._法人=0,"",_xlpm._一般+_xlpm._法人
  ),
 "")
)</f>
        <v/>
      </c>
      <c r="AZ115" s="224" t="str">
        <f>_xlfn.LET(
  _xlpm._一般,INDEX('在庫使用計画 (一般)'!$A$1:$BF$316,MATCH($C115,'在庫使用計画 (一般)'!$C$1:$C$316,0),MATCH(AZ$1,'在庫使用計画 (一般)'!$A$1:$BF$1,0)),
  _xlpm._法人,INDEX('在庫使用計画 (法人)'!$A$1:$BF$327,MATCH($C115,'在庫使用計画 (法人)'!$C$1:$C$327,0),MATCH(AZ$1,'在庫使用計画 (法人)'!$A$1:$BF$1,0)),
 IFERROR(
  IF(_xlpm._一般+_xlpm._法人=0,"",_xlpm._一般+_xlpm._法人
  ),
 "")
)</f>
        <v/>
      </c>
      <c r="BA115" s="224" t="str">
        <f>_xlfn.LET(
  _xlpm._一般,INDEX('在庫使用計画 (一般)'!$A$1:$BF$316,MATCH($C115,'在庫使用計画 (一般)'!$C$1:$C$316,0),MATCH(BA$1,'在庫使用計画 (一般)'!$A$1:$BF$1,0)),
  _xlpm._法人,INDEX('在庫使用計画 (法人)'!$A$1:$BF$327,MATCH($C115,'在庫使用計画 (法人)'!$C$1:$C$327,0),MATCH(BA$1,'在庫使用計画 (法人)'!$A$1:$BF$1,0)),
 IFERROR(
  IF(_xlpm._一般+_xlpm._法人=0,"",_xlpm._一般+_xlpm._法人
  ),
 "")
)</f>
        <v/>
      </c>
      <c r="BB115" s="224" t="str">
        <f>_xlfn.LET(
  _xlpm._一般,INDEX('在庫使用計画 (一般)'!$A$1:$BF$316,MATCH($C115,'在庫使用計画 (一般)'!$C$1:$C$316,0),MATCH(BB$1,'在庫使用計画 (一般)'!$A$1:$BF$1,0)),
  _xlpm._法人,INDEX('在庫使用計画 (法人)'!$A$1:$BF$327,MATCH($C115,'在庫使用計画 (法人)'!$C$1:$C$327,0),MATCH(BB$1,'在庫使用計画 (法人)'!$A$1:$BF$1,0)),
 IFERROR(
  IF(_xlpm._一般+_xlpm._法人=0,"",_xlpm._一般+_xlpm._法人
  ),
 "")
)</f>
        <v/>
      </c>
      <c r="BC115" s="224" t="str">
        <f>_xlfn.LET(
  _xlpm._一般,INDEX('在庫使用計画 (一般)'!$A$1:$BF$316,MATCH($C115,'在庫使用計画 (一般)'!$C$1:$C$316,0),MATCH(BC$1,'在庫使用計画 (一般)'!$A$1:$BF$1,0)),
  _xlpm._法人,INDEX('在庫使用計画 (法人)'!$A$1:$BF$327,MATCH($C115,'在庫使用計画 (法人)'!$C$1:$C$327,0),MATCH(BC$1,'在庫使用計画 (法人)'!$A$1:$BF$1,0)),
 IFERROR(
  IF(_xlpm._一般+_xlpm._法人=0,"",_xlpm._一般+_xlpm._法人
  ),
 "")
)</f>
        <v/>
      </c>
      <c r="BD115" s="224" t="str">
        <f>_xlfn.LET(
  _xlpm._一般,INDEX('在庫使用計画 (一般)'!$A$1:$BF$316,MATCH($C115,'在庫使用計画 (一般)'!$C$1:$C$316,0),MATCH(BD$1,'在庫使用計画 (一般)'!$A$1:$BF$1,0)),
  _xlpm._法人,INDEX('在庫使用計画 (法人)'!$A$1:$BF$327,MATCH($C115,'在庫使用計画 (法人)'!$C$1:$C$327,0),MATCH(BD$1,'在庫使用計画 (法人)'!$A$1:$BF$1,0)),
 IFERROR(
  IF(_xlpm._一般+_xlpm._法人=0,"",_xlpm._一般+_xlpm._法人
  ),
 "")
)</f>
        <v/>
      </c>
      <c r="BE115" s="224" t="str">
        <f>_xlfn.LET(
  _xlpm._一般,INDEX('在庫使用計画 (一般)'!$A$1:$BF$316,MATCH($C115,'在庫使用計画 (一般)'!$C$1:$C$316,0),MATCH(BE$1,'在庫使用計画 (一般)'!$A$1:$BF$1,0)),
  _xlpm._法人,INDEX('在庫使用計画 (法人)'!$A$1:$BF$327,MATCH($C115,'在庫使用計画 (法人)'!$C$1:$C$327,0),MATCH(BE$1,'在庫使用計画 (法人)'!$A$1:$BF$1,0)),
 IFERROR(
  IF(_xlpm._一般+_xlpm._法人=0,"",_xlpm._一般+_xlpm._法人
  ),
 "")
)</f>
        <v/>
      </c>
      <c r="BF115" s="224" t="str">
        <f>_xlfn.LET(
  _xlpm._一般,INDEX('在庫使用計画 (一般)'!$A$1:$BF$316,MATCH($C115,'在庫使用計画 (一般)'!$C$1:$C$316,0),MATCH(BF$1,'在庫使用計画 (一般)'!$A$1:$BF$1,0)),
  _xlpm._法人,INDEX('在庫使用計画 (法人)'!$A$1:$BF$327,MATCH($C115,'在庫使用計画 (法人)'!$C$1:$C$327,0),MATCH(BF$1,'在庫使用計画 (法人)'!$A$1:$BF$1,0)),
 IFERROR(
  IF(_xlpm._一般+_xlpm._法人=0,"",_xlpm._一般+_xlpm._法人
  ),
 "")
)</f>
        <v/>
      </c>
      <c r="BG115" s="237" t="str">
        <f>_xlfn.LET(
  _xlpm._一般,INDEX('在庫使用計画 (一般)'!$A$1:$BF$316,MATCH($C115,'在庫使用計画 (一般)'!$C$1:$C$316,0),MATCH(BG$1,'在庫使用計画 (一般)'!$A$1:$BF$1,0)),
  _xlpm._法人,INDEX('在庫使用計画 (法人)'!$A$1:$BF$327,MATCH($C115,'在庫使用計画 (法人)'!$C$1:$C$327,0),MATCH(BG$1,'在庫使用計画 (法人)'!$A$1:$BF$1,0)),
 IFERROR(
  IF(_xlpm._一般+_xlpm._法人=0,"",_xlpm._一般+_xlpm._法人
  ),
 "")
)</f>
        <v/>
      </c>
      <c r="BH115" s="804" t="str">
        <f>_xlfn.LET(
  _xlpm._一般,INDEX('在庫使用計画 (一般)'!$A$1:$BF$316,MATCH($C115,'在庫使用計画 (一般)'!$C$1:$C$316,0),MATCH(BH$1,'在庫使用計画 (一般)'!$A$1:$BF$1,0)),
  _xlpm._法人,INDEX('在庫使用計画 (法人)'!$A$1:$BF$327,MATCH($C115,'在庫使用計画 (法人)'!$C$1:$C$327,0),MATCH(BH$1,'在庫使用計画 (法人)'!$A$1:$BF$1,0)),
 IFERROR(
  IF(_xlpm._一般+_xlpm._法人=0,"",_xlpm._一般+_xlpm._法人
  ),
 "")
)</f>
        <v/>
      </c>
      <c r="BI115" s="224" t="str">
        <f>_xlfn.LET(
  _xlpm._一般,INDEX('在庫使用計画 (一般)'!$A$1:$BF$316,MATCH($C115,'在庫使用計画 (一般)'!$C$1:$C$316,0),MATCH(BI$1,'在庫使用計画 (一般)'!$A$1:$BF$1,0)),
  _xlpm._法人,INDEX('在庫使用計画 (法人)'!$A$1:$BF$327,MATCH($C115,'在庫使用計画 (法人)'!$C$1:$C$327,0),MATCH(BI$1,'在庫使用計画 (法人)'!$A$1:$BF$1,0)),
 IFERROR(
  IF(_xlpm._一般+_xlpm._法人=0,"",_xlpm._一般+_xlpm._法人
  ),
 "")
)</f>
        <v/>
      </c>
      <c r="BJ115" s="224" t="str">
        <f>_xlfn.LET(
  _xlpm._一般,INDEX('在庫使用計画 (一般)'!$A$1:$BF$316,MATCH($C115,'在庫使用計画 (一般)'!$C$1:$C$316,0),MATCH(BJ$1,'在庫使用計画 (一般)'!$A$1:$BF$1,0)),
  _xlpm._法人,INDEX('在庫使用計画 (法人)'!$A$1:$BF$327,MATCH($C115,'在庫使用計画 (法人)'!$C$1:$C$327,0),MATCH(BJ$1,'在庫使用計画 (法人)'!$A$1:$BF$1,0)),
 IFERROR(
  IF(_xlpm._一般+_xlpm._法人=0,"",_xlpm._一般+_xlpm._法人
  ),
 "")
)</f>
        <v/>
      </c>
      <c r="BK115" s="224" t="str">
        <f>_xlfn.LET(
  _xlpm._一般,INDEX('在庫使用計画 (一般)'!$A$1:$BF$316,MATCH($C115,'在庫使用計画 (一般)'!$C$1:$C$316,0),MATCH(BK$1,'在庫使用計画 (一般)'!$A$1:$BF$1,0)),
  _xlpm._法人,INDEX('在庫使用計画 (法人)'!$A$1:$BF$327,MATCH($C115,'在庫使用計画 (法人)'!$C$1:$C$327,0),MATCH(BK$1,'在庫使用計画 (法人)'!$A$1:$BF$1,0)),
 IFERROR(
  IF(_xlpm._一般+_xlpm._法人=0,"",_xlpm._一般+_xlpm._法人
  ),
 "")
)</f>
        <v/>
      </c>
      <c r="BL115" s="224" t="str">
        <f>_xlfn.LET(
  _xlpm._一般,INDEX('在庫使用計画 (一般)'!$A$1:$BF$316,MATCH($C115,'在庫使用計画 (一般)'!$C$1:$C$316,0),MATCH(BL$1,'在庫使用計画 (一般)'!$A$1:$BF$1,0)),
  _xlpm._法人,INDEX('在庫使用計画 (法人)'!$A$1:$BF$327,MATCH($C115,'在庫使用計画 (法人)'!$C$1:$C$327,0),MATCH(BL$1,'在庫使用計画 (法人)'!$A$1:$BF$1,0)),
 IFERROR(
  IF(_xlpm._一般+_xlpm._法人=0,"",_xlpm._一般+_xlpm._法人
  ),
 "")
)</f>
        <v/>
      </c>
      <c r="BM115" s="224" t="str">
        <f>_xlfn.LET(
  _xlpm._一般,INDEX('在庫使用計画 (一般)'!$A$1:$BF$316,MATCH($C115,'在庫使用計画 (一般)'!$C$1:$C$316,0),MATCH(BM$1,'在庫使用計画 (一般)'!$A$1:$BF$1,0)),
  _xlpm._法人,INDEX('在庫使用計画 (法人)'!$A$1:$BF$327,MATCH($C115,'在庫使用計画 (法人)'!$C$1:$C$327,0),MATCH(BM$1,'在庫使用計画 (法人)'!$A$1:$BF$1,0)),
 IFERROR(
  IF(_xlpm._一般+_xlpm._法人=0,"",_xlpm._一般+_xlpm._法人
  ),
 "")
)</f>
        <v/>
      </c>
      <c r="BN115" s="224" t="str">
        <f>_xlfn.LET(
  _xlpm._一般,INDEX('在庫使用計画 (一般)'!$A$1:$BF$316,MATCH($C115,'在庫使用計画 (一般)'!$C$1:$C$316,0),MATCH(BN$1,'在庫使用計画 (一般)'!$A$1:$BF$1,0)),
  _xlpm._法人,INDEX('在庫使用計画 (法人)'!$A$1:$BF$327,MATCH($C115,'在庫使用計画 (法人)'!$C$1:$C$327,0),MATCH(BN$1,'在庫使用計画 (法人)'!$A$1:$BF$1,0)),
 IFERROR(
  IF(_xlpm._一般+_xlpm._法人=0,"",_xlpm._一般+_xlpm._法人
  ),
 "")
)</f>
        <v/>
      </c>
      <c r="BO115" s="224" t="str">
        <f>_xlfn.LET(
  _xlpm._一般,INDEX('在庫使用計画 (一般)'!$A$1:$BF$316,MATCH($C115,'在庫使用計画 (一般)'!$C$1:$C$316,0),MATCH(BO$1,'在庫使用計画 (一般)'!$A$1:$BF$1,0)),
  _xlpm._法人,INDEX('在庫使用計画 (法人)'!$A$1:$BF$327,MATCH($C115,'在庫使用計画 (法人)'!$C$1:$C$327,0),MATCH(BO$1,'在庫使用計画 (法人)'!$A$1:$BF$1,0)),
 IFERROR(
  IF(_xlpm._一般+_xlpm._法人=0,"",_xlpm._一般+_xlpm._法人
  ),
 "")
)</f>
        <v/>
      </c>
      <c r="BP115" s="224" t="str">
        <f>_xlfn.LET(
  _xlpm._一般,INDEX('在庫使用計画 (一般)'!$A$1:$BF$316,MATCH($C115,'在庫使用計画 (一般)'!$C$1:$C$316,0),MATCH(BP$1,'在庫使用計画 (一般)'!$A$1:$BF$1,0)),
  _xlpm._法人,INDEX('在庫使用計画 (法人)'!$A$1:$BF$327,MATCH($C115,'在庫使用計画 (法人)'!$C$1:$C$327,0),MATCH(BP$1,'在庫使用計画 (法人)'!$A$1:$BF$1,0)),
 IFERROR(
  IF(_xlpm._一般+_xlpm._法人=0,"",_xlpm._一般+_xlpm._法人
  ),
 "")
)</f>
        <v/>
      </c>
      <c r="BQ115" s="224" t="str">
        <f>_xlfn.LET(
  _xlpm._一般,INDEX('在庫使用計画 (一般)'!$A$1:$BF$316,MATCH($C115,'在庫使用計画 (一般)'!$C$1:$C$316,0),MATCH(BQ$1,'在庫使用計画 (一般)'!$A$1:$BF$1,0)),
  _xlpm._法人,INDEX('在庫使用計画 (法人)'!$A$1:$BF$327,MATCH($C115,'在庫使用計画 (法人)'!$C$1:$C$327,0),MATCH(BQ$1,'在庫使用計画 (法人)'!$A$1:$BF$1,0)),
 IFERROR(
  IF(_xlpm._一般+_xlpm._法人=0,"",_xlpm._一般+_xlpm._法人
  ),
 "")
)</f>
        <v/>
      </c>
      <c r="BR115" s="224" t="str">
        <f>_xlfn.LET(
  _xlpm._一般,INDEX('在庫使用計画 (一般)'!$A$1:$BF$316,MATCH($C115,'在庫使用計画 (一般)'!$C$1:$C$316,0),MATCH(BR$1,'在庫使用計画 (一般)'!$A$1:$BF$1,0)),
  _xlpm._法人,INDEX('在庫使用計画 (法人)'!$A$1:$BF$327,MATCH($C115,'在庫使用計画 (法人)'!$C$1:$C$327,0),MATCH(BR$1,'在庫使用計画 (法人)'!$A$1:$BF$1,0)),
 IFERROR(
  IF(_xlpm._一般+_xlpm._法人=0,"",_xlpm._一般+_xlpm._法人
  ),
 "")
)</f>
        <v/>
      </c>
      <c r="BS115" s="805" t="str">
        <f>_xlfn.LET(
  _xlpm._一般,INDEX('在庫使用計画 (一般)'!$A$1:$BF$316,MATCH($C115,'在庫使用計画 (一般)'!$C$1:$C$316,0),MATCH(BS$1,'在庫使用計画 (一般)'!$A$1:$BF$1,0)),
  _xlpm._法人,INDEX('在庫使用計画 (法人)'!$A$1:$BF$327,MATCH($C115,'在庫使用計画 (法人)'!$C$1:$C$327,0),MATCH(BS$1,'在庫使用計画 (法人)'!$A$1:$BF$1,0)),
 IFERROR(
  IF(_xlpm._一般+_xlpm._法人=0,"",_xlpm._一般+_xlpm._法人
  ),
 "")
)</f>
        <v/>
      </c>
      <c r="BT115" s="70"/>
    </row>
    <row r="116" spans="1:72" customFormat="1" ht="18.75" customHeight="1">
      <c r="A116" s="1075" t="s">
        <v>1317</v>
      </c>
      <c r="B116" s="55"/>
      <c r="C116" s="55"/>
      <c r="D116" s="2168" t="s">
        <v>1317</v>
      </c>
      <c r="E116" s="55" t="s">
        <v>1317</v>
      </c>
      <c r="F116" s="58"/>
      <c r="G116" s="74" t="str">
        <v/>
      </c>
      <c r="H116" s="38" t="str">
        <v/>
      </c>
      <c r="I116" s="38" t="str">
        <f ca="1">_xlfn.LET(_xlpm._今月から4ヶ月計画合計,
  SUM(
    OFFSET($A116,0,
      MATCH(
        EDATE(基準データ!$C$5,3),$A$1:$BD$1,1
      )-4,1,4)),
  IF($C116="","",_xlpm._今月から4ヶ月計画合計
)
)</f>
        <v/>
      </c>
      <c r="J116" s="74" t="s">
        <v>21</v>
      </c>
      <c r="K116" s="1462" t="str" cm="1">
        <f t="array" ref="K116">_xlfn.IFS(
  $C116="","",
  $G116="","発売前？",
  $G116=0,"在庫なし",
  TRUE,
  IFERROR(
    _xlfn.LET(
      _xlpm._在庫注残,     $G116,
      _xlpm._しきい値,     _xlpm._在庫注残 * 0.75,
      _xlpm._見出し元,     $L$1:$BU$1,
      _xlpm._計画,         $L116:$BU116,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
      </c>
      <c r="L116" s="57" t="s">
        <v>1317</v>
      </c>
      <c r="M116" s="57" t="s">
        <v>1317</v>
      </c>
      <c r="N116" s="57" t="s">
        <v>1317</v>
      </c>
      <c r="O116" s="57" t="s">
        <v>1317</v>
      </c>
      <c r="P116" s="57" t="s">
        <v>1317</v>
      </c>
      <c r="Q116" s="57" t="s">
        <v>1317</v>
      </c>
      <c r="R116" s="57" t="s">
        <v>1317</v>
      </c>
      <c r="S116" s="57" t="s">
        <v>1317</v>
      </c>
      <c r="T116" s="238" t="s">
        <v>1317</v>
      </c>
      <c r="U116" s="238" t="s">
        <v>1317</v>
      </c>
      <c r="V116" s="238" t="s">
        <v>1317</v>
      </c>
      <c r="W116" s="238" t="s">
        <v>1317</v>
      </c>
      <c r="X116" s="239" t="s">
        <v>1317</v>
      </c>
      <c r="Y116" s="239" t="s">
        <v>1317</v>
      </c>
      <c r="Z116" s="239" t="s">
        <v>1317</v>
      </c>
      <c r="AA116" s="239" t="s">
        <v>1317</v>
      </c>
      <c r="AB116" s="224" t="s">
        <v>21</v>
      </c>
      <c r="AC116" s="224" t="s">
        <v>21</v>
      </c>
      <c r="AD116" s="224" t="s">
        <v>21</v>
      </c>
      <c r="AE116" s="224" t="s">
        <v>21</v>
      </c>
      <c r="AF116" s="224" t="s">
        <v>21</v>
      </c>
      <c r="AG116" s="224" t="s">
        <v>21</v>
      </c>
      <c r="AH116" s="224" t="s">
        <v>21</v>
      </c>
      <c r="AI116" s="237" t="s">
        <v>21</v>
      </c>
      <c r="AJ116" s="804" t="s">
        <v>21</v>
      </c>
      <c r="AK116" s="224" t="s">
        <v>21</v>
      </c>
      <c r="AL116" s="224" t="s">
        <v>21</v>
      </c>
      <c r="AM116" s="224" t="s">
        <v>21</v>
      </c>
      <c r="AN116" s="224" t="str">
        <f>IFERROR(IF(SUM(INDEX('在庫使用計画 (一般)'!$A$1:$BF$557,MATCH($C116,'在庫使用計画 (一般)'!$C$1:$C$557,0),MATCH(AN$1,'在庫使用計画 (一般)'!$A$1:$BF$1,0)),INDEX('在庫使用計画 (法人)'!$A$1:$AT$578,MATCH($C116,'在庫使用計画 (法人)'!$C$1:$C$578,0),MATCH(AN$1,'在庫使用計画 (法人)'!$A$1:$AT$1,0)))=0,"",SUM(INDEX('在庫使用計画 (一般)'!$A$1:$BF$557,MATCH($C116,'在庫使用計画 (一般)'!$C$1:$C$557,0),MATCH(AN$1,'在庫使用計画 (一般)'!$A$1:$BF$1,0)),INDEX('在庫使用計画 (法人)'!$A$1:$AT$578,MATCH($C116,'在庫使用計画 (法人)'!$C$1:$C$578,0),MATCH(AN$1,'在庫使用計画 (法人)'!$A$1:$AT$1,0)))),"")</f>
        <v/>
      </c>
      <c r="AO116" s="224" t="str">
        <f>IFERROR(IF(SUM(INDEX('在庫使用計画 (一般)'!$A$1:$BF$557,MATCH($C116,'在庫使用計画 (一般)'!$C$1:$C$557,0),MATCH(AO$1,'在庫使用計画 (一般)'!$A$1:$BF$1,0)),INDEX('在庫使用計画 (法人)'!$A$1:$AT$578,MATCH($C116,'在庫使用計画 (法人)'!$C$1:$C$578,0),MATCH(AO$1,'在庫使用計画 (法人)'!$A$1:$AT$1,0)))=0,"",SUM(INDEX('在庫使用計画 (一般)'!$A$1:$BF$557,MATCH($C116,'在庫使用計画 (一般)'!$C$1:$C$557,0),MATCH(AO$1,'在庫使用計画 (一般)'!$A$1:$BF$1,0)),INDEX('在庫使用計画 (法人)'!$A$1:$AT$578,MATCH($C116,'在庫使用計画 (法人)'!$C$1:$C$578,0),MATCH(AO$1,'在庫使用計画 (法人)'!$A$1:$AT$1,0)))),"")</f>
        <v/>
      </c>
      <c r="AP116" s="224" t="str">
        <f>IFERROR(IF(SUM(INDEX('在庫使用計画 (一般)'!$A$1:$BF$557,MATCH($C116,'在庫使用計画 (一般)'!$C$1:$C$557,0),MATCH(AP$1,'在庫使用計画 (一般)'!$A$1:$BF$1,0)),INDEX('在庫使用計画 (法人)'!$A$1:$AT$578,MATCH($C116,'在庫使用計画 (法人)'!$C$1:$C$578,0),MATCH(AP$1,'在庫使用計画 (法人)'!$A$1:$AT$1,0)))=0,"",SUM(INDEX('在庫使用計画 (一般)'!$A$1:$BF$557,MATCH($C116,'在庫使用計画 (一般)'!$C$1:$C$557,0),MATCH(AP$1,'在庫使用計画 (一般)'!$A$1:$BF$1,0)),INDEX('在庫使用計画 (法人)'!$A$1:$AT$578,MATCH($C116,'在庫使用計画 (法人)'!$C$1:$C$578,0),MATCH(AP$1,'在庫使用計画 (法人)'!$A$1:$AT$1,0)))),"")</f>
        <v/>
      </c>
      <c r="AQ116" s="224" t="str">
        <f>IFERROR(IF(SUM(INDEX('在庫使用計画 (一般)'!$A$1:$BF$557,MATCH($C116,'在庫使用計画 (一般)'!$C$1:$C$557,0),MATCH(AQ$1,'在庫使用計画 (一般)'!$A$1:$BF$1,0)),INDEX('在庫使用計画 (法人)'!$A$1:$AT$578,MATCH($C116,'在庫使用計画 (法人)'!$C$1:$C$578,0),MATCH(AQ$1,'在庫使用計画 (法人)'!$A$1:$AT$1,0)))=0,"",SUM(INDEX('在庫使用計画 (一般)'!$A$1:$BF$557,MATCH($C116,'在庫使用計画 (一般)'!$C$1:$C$557,0),MATCH(AQ$1,'在庫使用計画 (一般)'!$A$1:$BF$1,0)),INDEX('在庫使用計画 (法人)'!$A$1:$AT$578,MATCH($C116,'在庫使用計画 (法人)'!$C$1:$C$578,0),MATCH(AQ$1,'在庫使用計画 (法人)'!$A$1:$AT$1,0)))),"")</f>
        <v/>
      </c>
      <c r="AR116" s="224" t="str">
        <f>IFERROR(IF(SUM(INDEX('在庫使用計画 (一般)'!$A$1:$BF$557,MATCH($C116,'在庫使用計画 (一般)'!$C$1:$C$557,0),MATCH(AR$1,'在庫使用計画 (一般)'!$A$1:$BF$1,0)),INDEX('在庫使用計画 (法人)'!$A$1:$AT$578,MATCH($C116,'在庫使用計画 (法人)'!$C$1:$C$578,0),MATCH(AR$1,'在庫使用計画 (法人)'!$A$1:$AT$1,0)))=0,"",SUM(INDEX('在庫使用計画 (一般)'!$A$1:$BF$557,MATCH($C116,'在庫使用計画 (一般)'!$C$1:$C$557,0),MATCH(AR$1,'在庫使用計画 (一般)'!$A$1:$BF$1,0)),INDEX('在庫使用計画 (法人)'!$A$1:$AT$578,MATCH($C116,'在庫使用計画 (法人)'!$C$1:$C$578,0),MATCH(AR$1,'在庫使用計画 (法人)'!$A$1:$AT$1,0)))),"")</f>
        <v/>
      </c>
      <c r="AS116" s="224" t="str">
        <f>IFERROR(IF(SUM(INDEX('在庫使用計画 (一般)'!$A$1:$BF$557,MATCH($C116,'在庫使用計画 (一般)'!$C$1:$C$557,0),MATCH(AS$1,'在庫使用計画 (一般)'!$A$1:$BF$1,0)),INDEX('在庫使用計画 (法人)'!$A$1:$AT$578,MATCH($C116,'在庫使用計画 (法人)'!$C$1:$C$578,0),MATCH(AS$1,'在庫使用計画 (法人)'!$A$1:$AT$1,0)))=0,"",SUM(INDEX('在庫使用計画 (一般)'!$A$1:$BF$557,MATCH($C116,'在庫使用計画 (一般)'!$C$1:$C$557,0),MATCH(AS$1,'在庫使用計画 (一般)'!$A$1:$BF$1,0)),INDEX('在庫使用計画 (法人)'!$A$1:$AT$578,MATCH($C116,'在庫使用計画 (法人)'!$C$1:$C$578,0),MATCH(AS$1,'在庫使用計画 (法人)'!$A$1:$AT$1,0)))),"")</f>
        <v/>
      </c>
      <c r="AT116" s="224" t="str">
        <f>IFERROR(IF(SUM(INDEX('在庫使用計画 (一般)'!$A$1:$BF$557,MATCH($C116,'在庫使用計画 (一般)'!$C$1:$C$557,0),MATCH(AT$1,'在庫使用計画 (一般)'!$A$1:$BF$1,0)),INDEX('在庫使用計画 (法人)'!$A$1:$AT$578,MATCH($C116,'在庫使用計画 (法人)'!$C$1:$C$578,0),MATCH(AT$1,'在庫使用計画 (法人)'!$A$1:$AT$1,0)))=0,"",SUM(INDEX('在庫使用計画 (一般)'!$A$1:$BF$557,MATCH($C116,'在庫使用計画 (一般)'!$C$1:$C$557,0),MATCH(AT$1,'在庫使用計画 (一般)'!$A$1:$BF$1,0)),INDEX('在庫使用計画 (法人)'!$A$1:$AT$578,MATCH($C116,'在庫使用計画 (法人)'!$C$1:$C$578,0),MATCH(AT$1,'在庫使用計画 (法人)'!$A$1:$AT$1,0)))),"")</f>
        <v/>
      </c>
      <c r="AU116" s="805" t="str">
        <f>IFERROR(IF(SUM(INDEX('在庫使用計画 (一般)'!$A$1:$BF$557,MATCH($C116,'在庫使用計画 (一般)'!$C$1:$C$557,0),MATCH(AU$1,'在庫使用計画 (一般)'!$A$1:$BF$1,0)),INDEX('在庫使用計画 (法人)'!$A$1:$AT$578,MATCH($C116,'在庫使用計画 (法人)'!$C$1:$C$578,0),MATCH(AU$1,'在庫使用計画 (法人)'!$A$1:$AT$1,0)))=0,"",SUM(INDEX('在庫使用計画 (一般)'!$A$1:$BF$557,MATCH($C116,'在庫使用計画 (一般)'!$C$1:$C$557,0),MATCH(AU$1,'在庫使用計画 (一般)'!$A$1:$BF$1,0)),INDEX('在庫使用計画 (法人)'!$A$1:$AT$578,MATCH($C116,'在庫使用計画 (法人)'!$C$1:$C$578,0),MATCH(AU$1,'在庫使用計画 (法人)'!$A$1:$AT$1,0)))),"")</f>
        <v/>
      </c>
      <c r="AV116" s="244" t="str">
        <f>_xlfn.LET(
  _xlpm._一般,INDEX('在庫使用計画 (一般)'!$A$1:$BF$316,MATCH($C116,'在庫使用計画 (一般)'!$C$1:$C$316,0),MATCH(AV$1,'在庫使用計画 (一般)'!$A$1:$BF$1,0)),
  _xlpm._法人,INDEX('在庫使用計画 (法人)'!$A$1:$BF$327,MATCH($C116,'在庫使用計画 (法人)'!$C$1:$C$327,0),MATCH(AV$1,'在庫使用計画 (法人)'!$A$1:$BF$1,0)),
 IFERROR(
  IF(_xlpm._一般+_xlpm._法人=0,"",_xlpm._一般+_xlpm._法人
  ),
 "")
)</f>
        <v/>
      </c>
      <c r="AW116" s="224" t="str">
        <f>_xlfn.LET(
  _xlpm._一般,INDEX('在庫使用計画 (一般)'!$A$1:$BF$316,MATCH($C116,'在庫使用計画 (一般)'!$C$1:$C$316,0),MATCH(AW$1,'在庫使用計画 (一般)'!$A$1:$BF$1,0)),
  _xlpm._法人,INDEX('在庫使用計画 (法人)'!$A$1:$BF$327,MATCH($C116,'在庫使用計画 (法人)'!$C$1:$C$327,0),MATCH(AW$1,'在庫使用計画 (法人)'!$A$1:$BF$1,0)),
 IFERROR(
  IF(_xlpm._一般+_xlpm._法人=0,"",_xlpm._一般+_xlpm._法人
  ),
 "")
)</f>
        <v/>
      </c>
      <c r="AX116" s="224" t="str">
        <f>_xlfn.LET(
  _xlpm._一般,INDEX('在庫使用計画 (一般)'!$A$1:$BF$316,MATCH($C116,'在庫使用計画 (一般)'!$C$1:$C$316,0),MATCH(AX$1,'在庫使用計画 (一般)'!$A$1:$BF$1,0)),
  _xlpm._法人,INDEX('在庫使用計画 (法人)'!$A$1:$BF$327,MATCH($C116,'在庫使用計画 (法人)'!$C$1:$C$327,0),MATCH(AX$1,'在庫使用計画 (法人)'!$A$1:$BF$1,0)),
 IFERROR(
  IF(_xlpm._一般+_xlpm._法人=0,"",_xlpm._一般+_xlpm._法人
  ),
 "")
)</f>
        <v/>
      </c>
      <c r="AY116" s="224" t="str">
        <f>_xlfn.LET(
  _xlpm._一般,INDEX('在庫使用計画 (一般)'!$A$1:$BF$316,MATCH($C116,'在庫使用計画 (一般)'!$C$1:$C$316,0),MATCH(AY$1,'在庫使用計画 (一般)'!$A$1:$BF$1,0)),
  _xlpm._法人,INDEX('在庫使用計画 (法人)'!$A$1:$BF$327,MATCH($C116,'在庫使用計画 (法人)'!$C$1:$C$327,0),MATCH(AY$1,'在庫使用計画 (法人)'!$A$1:$BF$1,0)),
 IFERROR(
  IF(_xlpm._一般+_xlpm._法人=0,"",_xlpm._一般+_xlpm._法人
  ),
 "")
)</f>
        <v/>
      </c>
      <c r="AZ116" s="224" t="str">
        <f>_xlfn.LET(
  _xlpm._一般,INDEX('在庫使用計画 (一般)'!$A$1:$BF$316,MATCH($C116,'在庫使用計画 (一般)'!$C$1:$C$316,0),MATCH(AZ$1,'在庫使用計画 (一般)'!$A$1:$BF$1,0)),
  _xlpm._法人,INDEX('在庫使用計画 (法人)'!$A$1:$BF$327,MATCH($C116,'在庫使用計画 (法人)'!$C$1:$C$327,0),MATCH(AZ$1,'在庫使用計画 (法人)'!$A$1:$BF$1,0)),
 IFERROR(
  IF(_xlpm._一般+_xlpm._法人=0,"",_xlpm._一般+_xlpm._法人
  ),
 "")
)</f>
        <v/>
      </c>
      <c r="BA116" s="224" t="str">
        <f>_xlfn.LET(
  _xlpm._一般,INDEX('在庫使用計画 (一般)'!$A$1:$BF$316,MATCH($C116,'在庫使用計画 (一般)'!$C$1:$C$316,0),MATCH(BA$1,'在庫使用計画 (一般)'!$A$1:$BF$1,0)),
  _xlpm._法人,INDEX('在庫使用計画 (法人)'!$A$1:$BF$327,MATCH($C116,'在庫使用計画 (法人)'!$C$1:$C$327,0),MATCH(BA$1,'在庫使用計画 (法人)'!$A$1:$BF$1,0)),
 IFERROR(
  IF(_xlpm._一般+_xlpm._法人=0,"",_xlpm._一般+_xlpm._法人
  ),
 "")
)</f>
        <v/>
      </c>
      <c r="BB116" s="224" t="str">
        <f>_xlfn.LET(
  _xlpm._一般,INDEX('在庫使用計画 (一般)'!$A$1:$BF$316,MATCH($C116,'在庫使用計画 (一般)'!$C$1:$C$316,0),MATCH(BB$1,'在庫使用計画 (一般)'!$A$1:$BF$1,0)),
  _xlpm._法人,INDEX('在庫使用計画 (法人)'!$A$1:$BF$327,MATCH($C116,'在庫使用計画 (法人)'!$C$1:$C$327,0),MATCH(BB$1,'在庫使用計画 (法人)'!$A$1:$BF$1,0)),
 IFERROR(
  IF(_xlpm._一般+_xlpm._法人=0,"",_xlpm._一般+_xlpm._法人
  ),
 "")
)</f>
        <v/>
      </c>
      <c r="BC116" s="224" t="str">
        <f>_xlfn.LET(
  _xlpm._一般,INDEX('在庫使用計画 (一般)'!$A$1:$BF$316,MATCH($C116,'在庫使用計画 (一般)'!$C$1:$C$316,0),MATCH(BC$1,'在庫使用計画 (一般)'!$A$1:$BF$1,0)),
  _xlpm._法人,INDEX('在庫使用計画 (法人)'!$A$1:$BF$327,MATCH($C116,'在庫使用計画 (法人)'!$C$1:$C$327,0),MATCH(BC$1,'在庫使用計画 (法人)'!$A$1:$BF$1,0)),
 IFERROR(
  IF(_xlpm._一般+_xlpm._法人=0,"",_xlpm._一般+_xlpm._法人
  ),
 "")
)</f>
        <v/>
      </c>
      <c r="BD116" s="224" t="str">
        <f>_xlfn.LET(
  _xlpm._一般,INDEX('在庫使用計画 (一般)'!$A$1:$BF$316,MATCH($C116,'在庫使用計画 (一般)'!$C$1:$C$316,0),MATCH(BD$1,'在庫使用計画 (一般)'!$A$1:$BF$1,0)),
  _xlpm._法人,INDEX('在庫使用計画 (法人)'!$A$1:$BF$327,MATCH($C116,'在庫使用計画 (法人)'!$C$1:$C$327,0),MATCH(BD$1,'在庫使用計画 (法人)'!$A$1:$BF$1,0)),
 IFERROR(
  IF(_xlpm._一般+_xlpm._法人=0,"",_xlpm._一般+_xlpm._法人
  ),
 "")
)</f>
        <v/>
      </c>
      <c r="BE116" s="224" t="str">
        <f>_xlfn.LET(
  _xlpm._一般,INDEX('在庫使用計画 (一般)'!$A$1:$BF$316,MATCH($C116,'在庫使用計画 (一般)'!$C$1:$C$316,0),MATCH(BE$1,'在庫使用計画 (一般)'!$A$1:$BF$1,0)),
  _xlpm._法人,INDEX('在庫使用計画 (法人)'!$A$1:$BF$327,MATCH($C116,'在庫使用計画 (法人)'!$C$1:$C$327,0),MATCH(BE$1,'在庫使用計画 (法人)'!$A$1:$BF$1,0)),
 IFERROR(
  IF(_xlpm._一般+_xlpm._法人=0,"",_xlpm._一般+_xlpm._法人
  ),
 "")
)</f>
        <v/>
      </c>
      <c r="BF116" s="224" t="str">
        <f>_xlfn.LET(
  _xlpm._一般,INDEX('在庫使用計画 (一般)'!$A$1:$BF$316,MATCH($C116,'在庫使用計画 (一般)'!$C$1:$C$316,0),MATCH(BF$1,'在庫使用計画 (一般)'!$A$1:$BF$1,0)),
  _xlpm._法人,INDEX('在庫使用計画 (法人)'!$A$1:$BF$327,MATCH($C116,'在庫使用計画 (法人)'!$C$1:$C$327,0),MATCH(BF$1,'在庫使用計画 (法人)'!$A$1:$BF$1,0)),
 IFERROR(
  IF(_xlpm._一般+_xlpm._法人=0,"",_xlpm._一般+_xlpm._法人
  ),
 "")
)</f>
        <v/>
      </c>
      <c r="BG116" s="237" t="str">
        <f>_xlfn.LET(
  _xlpm._一般,INDEX('在庫使用計画 (一般)'!$A$1:$BF$316,MATCH($C116,'在庫使用計画 (一般)'!$C$1:$C$316,0),MATCH(BG$1,'在庫使用計画 (一般)'!$A$1:$BF$1,0)),
  _xlpm._法人,INDEX('在庫使用計画 (法人)'!$A$1:$BF$327,MATCH($C116,'在庫使用計画 (法人)'!$C$1:$C$327,0),MATCH(BG$1,'在庫使用計画 (法人)'!$A$1:$BF$1,0)),
 IFERROR(
  IF(_xlpm._一般+_xlpm._法人=0,"",_xlpm._一般+_xlpm._法人
  ),
 "")
)</f>
        <v/>
      </c>
      <c r="BH116" s="804" t="str">
        <f>_xlfn.LET(
  _xlpm._一般,INDEX('在庫使用計画 (一般)'!$A$1:$BF$316,MATCH($C116,'在庫使用計画 (一般)'!$C$1:$C$316,0),MATCH(BH$1,'在庫使用計画 (一般)'!$A$1:$BF$1,0)),
  _xlpm._法人,INDEX('在庫使用計画 (法人)'!$A$1:$BF$327,MATCH($C116,'在庫使用計画 (法人)'!$C$1:$C$327,0),MATCH(BH$1,'在庫使用計画 (法人)'!$A$1:$BF$1,0)),
 IFERROR(
  IF(_xlpm._一般+_xlpm._法人=0,"",_xlpm._一般+_xlpm._法人
  ),
 "")
)</f>
        <v/>
      </c>
      <c r="BI116" s="224" t="str">
        <f>_xlfn.LET(
  _xlpm._一般,INDEX('在庫使用計画 (一般)'!$A$1:$BF$316,MATCH($C116,'在庫使用計画 (一般)'!$C$1:$C$316,0),MATCH(BI$1,'在庫使用計画 (一般)'!$A$1:$BF$1,0)),
  _xlpm._法人,INDEX('在庫使用計画 (法人)'!$A$1:$BF$327,MATCH($C116,'在庫使用計画 (法人)'!$C$1:$C$327,0),MATCH(BI$1,'在庫使用計画 (法人)'!$A$1:$BF$1,0)),
 IFERROR(
  IF(_xlpm._一般+_xlpm._法人=0,"",_xlpm._一般+_xlpm._法人
  ),
 "")
)</f>
        <v/>
      </c>
      <c r="BJ116" s="224" t="str">
        <f>_xlfn.LET(
  _xlpm._一般,INDEX('在庫使用計画 (一般)'!$A$1:$BF$316,MATCH($C116,'在庫使用計画 (一般)'!$C$1:$C$316,0),MATCH(BJ$1,'在庫使用計画 (一般)'!$A$1:$BF$1,0)),
  _xlpm._法人,INDEX('在庫使用計画 (法人)'!$A$1:$BF$327,MATCH($C116,'在庫使用計画 (法人)'!$C$1:$C$327,0),MATCH(BJ$1,'在庫使用計画 (法人)'!$A$1:$BF$1,0)),
 IFERROR(
  IF(_xlpm._一般+_xlpm._法人=0,"",_xlpm._一般+_xlpm._法人
  ),
 "")
)</f>
        <v/>
      </c>
      <c r="BK116" s="224" t="str">
        <f>_xlfn.LET(
  _xlpm._一般,INDEX('在庫使用計画 (一般)'!$A$1:$BF$316,MATCH($C116,'在庫使用計画 (一般)'!$C$1:$C$316,0),MATCH(BK$1,'在庫使用計画 (一般)'!$A$1:$BF$1,0)),
  _xlpm._法人,INDEX('在庫使用計画 (法人)'!$A$1:$BF$327,MATCH($C116,'在庫使用計画 (法人)'!$C$1:$C$327,0),MATCH(BK$1,'在庫使用計画 (法人)'!$A$1:$BF$1,0)),
 IFERROR(
  IF(_xlpm._一般+_xlpm._法人=0,"",_xlpm._一般+_xlpm._法人
  ),
 "")
)</f>
        <v/>
      </c>
      <c r="BL116" s="224" t="str">
        <f>_xlfn.LET(
  _xlpm._一般,INDEX('在庫使用計画 (一般)'!$A$1:$BF$316,MATCH($C116,'在庫使用計画 (一般)'!$C$1:$C$316,0),MATCH(BL$1,'在庫使用計画 (一般)'!$A$1:$BF$1,0)),
  _xlpm._法人,INDEX('在庫使用計画 (法人)'!$A$1:$BF$327,MATCH($C116,'在庫使用計画 (法人)'!$C$1:$C$327,0),MATCH(BL$1,'在庫使用計画 (法人)'!$A$1:$BF$1,0)),
 IFERROR(
  IF(_xlpm._一般+_xlpm._法人=0,"",_xlpm._一般+_xlpm._法人
  ),
 "")
)</f>
        <v/>
      </c>
      <c r="BM116" s="224" t="str">
        <f>_xlfn.LET(
  _xlpm._一般,INDEX('在庫使用計画 (一般)'!$A$1:$BF$316,MATCH($C116,'在庫使用計画 (一般)'!$C$1:$C$316,0),MATCH(BM$1,'在庫使用計画 (一般)'!$A$1:$BF$1,0)),
  _xlpm._法人,INDEX('在庫使用計画 (法人)'!$A$1:$BF$327,MATCH($C116,'在庫使用計画 (法人)'!$C$1:$C$327,0),MATCH(BM$1,'在庫使用計画 (法人)'!$A$1:$BF$1,0)),
 IFERROR(
  IF(_xlpm._一般+_xlpm._法人=0,"",_xlpm._一般+_xlpm._法人
  ),
 "")
)</f>
        <v/>
      </c>
      <c r="BN116" s="224" t="str">
        <f>_xlfn.LET(
  _xlpm._一般,INDEX('在庫使用計画 (一般)'!$A$1:$BF$316,MATCH($C116,'在庫使用計画 (一般)'!$C$1:$C$316,0),MATCH(BN$1,'在庫使用計画 (一般)'!$A$1:$BF$1,0)),
  _xlpm._法人,INDEX('在庫使用計画 (法人)'!$A$1:$BF$327,MATCH($C116,'在庫使用計画 (法人)'!$C$1:$C$327,0),MATCH(BN$1,'在庫使用計画 (法人)'!$A$1:$BF$1,0)),
 IFERROR(
  IF(_xlpm._一般+_xlpm._法人=0,"",_xlpm._一般+_xlpm._法人
  ),
 "")
)</f>
        <v/>
      </c>
      <c r="BO116" s="224" t="str">
        <f>_xlfn.LET(
  _xlpm._一般,INDEX('在庫使用計画 (一般)'!$A$1:$BF$316,MATCH($C116,'在庫使用計画 (一般)'!$C$1:$C$316,0),MATCH(BO$1,'在庫使用計画 (一般)'!$A$1:$BF$1,0)),
  _xlpm._法人,INDEX('在庫使用計画 (法人)'!$A$1:$BF$327,MATCH($C116,'在庫使用計画 (法人)'!$C$1:$C$327,0),MATCH(BO$1,'在庫使用計画 (法人)'!$A$1:$BF$1,0)),
 IFERROR(
  IF(_xlpm._一般+_xlpm._法人=0,"",_xlpm._一般+_xlpm._法人
  ),
 "")
)</f>
        <v/>
      </c>
      <c r="BP116" s="224" t="str">
        <f>_xlfn.LET(
  _xlpm._一般,INDEX('在庫使用計画 (一般)'!$A$1:$BF$316,MATCH($C116,'在庫使用計画 (一般)'!$C$1:$C$316,0),MATCH(BP$1,'在庫使用計画 (一般)'!$A$1:$BF$1,0)),
  _xlpm._法人,INDEX('在庫使用計画 (法人)'!$A$1:$BF$327,MATCH($C116,'在庫使用計画 (法人)'!$C$1:$C$327,0),MATCH(BP$1,'在庫使用計画 (法人)'!$A$1:$BF$1,0)),
 IFERROR(
  IF(_xlpm._一般+_xlpm._法人=0,"",_xlpm._一般+_xlpm._法人
  ),
 "")
)</f>
        <v/>
      </c>
      <c r="BQ116" s="224" t="str">
        <f>_xlfn.LET(
  _xlpm._一般,INDEX('在庫使用計画 (一般)'!$A$1:$BF$316,MATCH($C116,'在庫使用計画 (一般)'!$C$1:$C$316,0),MATCH(BQ$1,'在庫使用計画 (一般)'!$A$1:$BF$1,0)),
  _xlpm._法人,INDEX('在庫使用計画 (法人)'!$A$1:$BF$327,MATCH($C116,'在庫使用計画 (法人)'!$C$1:$C$327,0),MATCH(BQ$1,'在庫使用計画 (法人)'!$A$1:$BF$1,0)),
 IFERROR(
  IF(_xlpm._一般+_xlpm._法人=0,"",_xlpm._一般+_xlpm._法人
  ),
 "")
)</f>
        <v/>
      </c>
      <c r="BR116" s="224" t="str">
        <f>_xlfn.LET(
  _xlpm._一般,INDEX('在庫使用計画 (一般)'!$A$1:$BF$316,MATCH($C116,'在庫使用計画 (一般)'!$C$1:$C$316,0),MATCH(BR$1,'在庫使用計画 (一般)'!$A$1:$BF$1,0)),
  _xlpm._法人,INDEX('在庫使用計画 (法人)'!$A$1:$BF$327,MATCH($C116,'在庫使用計画 (法人)'!$C$1:$C$327,0),MATCH(BR$1,'在庫使用計画 (法人)'!$A$1:$BF$1,0)),
 IFERROR(
  IF(_xlpm._一般+_xlpm._法人=0,"",_xlpm._一般+_xlpm._法人
  ),
 "")
)</f>
        <v/>
      </c>
      <c r="BS116" s="805" t="str">
        <f>_xlfn.LET(
  _xlpm._一般,INDEX('在庫使用計画 (一般)'!$A$1:$BF$316,MATCH($C116,'在庫使用計画 (一般)'!$C$1:$C$316,0),MATCH(BS$1,'在庫使用計画 (一般)'!$A$1:$BF$1,0)),
  _xlpm._法人,INDEX('在庫使用計画 (法人)'!$A$1:$BF$327,MATCH($C116,'在庫使用計画 (法人)'!$C$1:$C$327,0),MATCH(BS$1,'在庫使用計画 (法人)'!$A$1:$BF$1,0)),
 IFERROR(
  IF(_xlpm._一般+_xlpm._法人=0,"",_xlpm._一般+_xlpm._法人
  ),
 "")
)</f>
        <v/>
      </c>
      <c r="BT116" s="21"/>
    </row>
    <row r="117" spans="1:72" customFormat="1" ht="18.75" customHeight="1">
      <c r="A117" s="1075" t="s">
        <v>1651</v>
      </c>
      <c r="B117" s="55" t="s">
        <v>1037</v>
      </c>
      <c r="C117" s="57" t="s">
        <v>1035</v>
      </c>
      <c r="D117" s="2175">
        <v>4060</v>
      </c>
      <c r="E117" s="115" t="s">
        <v>1516</v>
      </c>
      <c r="F117" s="106" t="s">
        <v>20</v>
      </c>
      <c r="G117" s="74">
        <v>0</v>
      </c>
      <c r="H117" s="38">
        <v>0</v>
      </c>
      <c r="I117" s="38">
        <f ca="1">_xlfn.LET(_xlpm._今月から4ヶ月計画合計,
  SUM(
    OFFSET($A117,0,
      MATCH(
        EDATE(基準データ!$C$5,3),$A$1:$BD$1,1
      )-4,1,4)),
  IF($C117="","",_xlpm._今月から4ヶ月計画合計
)
)</f>
        <v>0</v>
      </c>
      <c r="J117" s="74" t="s">
        <v>21</v>
      </c>
      <c r="K117" s="1462" t="str" cm="1">
        <f t="array" ref="K117">_xlfn.IFS(
  $C117="","",
  $G117="","発売前？",
  $G117=0,"在庫なし",
  TRUE,
  IFERROR(
    _xlfn.LET(
      _xlpm._在庫注残,     $G117,
      _xlpm._しきい値,     _xlpm._在庫注残 * 0.75,
      _xlpm._見出し元,     $L$1:$BU$1,
      _xlpm._計画,         $L117:$BU117,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在庫なし</v>
      </c>
      <c r="L117" s="38" t="s">
        <v>21</v>
      </c>
      <c r="M117" s="38" t="s">
        <v>21</v>
      </c>
      <c r="N117" s="38" t="s">
        <v>21</v>
      </c>
      <c r="O117" s="38" t="s">
        <v>21</v>
      </c>
      <c r="P117" s="38">
        <v>20</v>
      </c>
      <c r="Q117" s="38">
        <v>170</v>
      </c>
      <c r="R117" s="38">
        <v>120</v>
      </c>
      <c r="S117" s="38">
        <v>7</v>
      </c>
      <c r="T117" s="219">
        <v>176</v>
      </c>
      <c r="U117" s="219">
        <v>53</v>
      </c>
      <c r="V117" s="219">
        <v>97</v>
      </c>
      <c r="W117" s="219">
        <v>195</v>
      </c>
      <c r="X117" s="224">
        <v>238</v>
      </c>
      <c r="Y117" s="224">
        <v>594</v>
      </c>
      <c r="Z117" s="224">
        <v>613</v>
      </c>
      <c r="AA117" s="224">
        <v>246</v>
      </c>
      <c r="AB117" s="471">
        <v>112</v>
      </c>
      <c r="AC117" s="224">
        <v>72</v>
      </c>
      <c r="AD117" s="224">
        <v>77</v>
      </c>
      <c r="AE117" s="224">
        <v>50</v>
      </c>
      <c r="AF117" s="224">
        <v>36</v>
      </c>
      <c r="AG117" s="224" t="s">
        <v>21</v>
      </c>
      <c r="AH117" s="224" t="s">
        <v>21</v>
      </c>
      <c r="AI117" s="237" t="s">
        <v>21</v>
      </c>
      <c r="AJ117" s="804" t="s">
        <v>21</v>
      </c>
      <c r="AK117" s="224" t="s">
        <v>21</v>
      </c>
      <c r="AL117" s="224" t="s">
        <v>21</v>
      </c>
      <c r="AM117" s="224" t="s">
        <v>21</v>
      </c>
      <c r="AN117" s="224" t="str">
        <f>IFERROR(IF(SUM(INDEX('在庫使用計画 (一般)'!$A$1:$BF$557,MATCH($C117,'在庫使用計画 (一般)'!$C$1:$C$557,0),MATCH(AN$1,'在庫使用計画 (一般)'!$A$1:$BF$1,0)),INDEX('在庫使用計画 (法人)'!$A$1:$AT$578,MATCH($C117,'在庫使用計画 (法人)'!$C$1:$C$578,0),MATCH(AN$1,'在庫使用計画 (法人)'!$A$1:$AT$1,0)))=0,"",SUM(INDEX('在庫使用計画 (一般)'!$A$1:$BF$557,MATCH($C117,'在庫使用計画 (一般)'!$C$1:$C$557,0),MATCH(AN$1,'在庫使用計画 (一般)'!$A$1:$BF$1,0)),INDEX('在庫使用計画 (法人)'!$A$1:$AT$578,MATCH($C117,'在庫使用計画 (法人)'!$C$1:$C$578,0),MATCH(AN$1,'在庫使用計画 (法人)'!$A$1:$AT$1,0)))),"")</f>
        <v/>
      </c>
      <c r="AO117" s="224" t="str">
        <f>IFERROR(IF(SUM(INDEX('在庫使用計画 (一般)'!$A$1:$BF$557,MATCH($C117,'在庫使用計画 (一般)'!$C$1:$C$557,0),MATCH(AO$1,'在庫使用計画 (一般)'!$A$1:$BF$1,0)),INDEX('在庫使用計画 (法人)'!$A$1:$AT$578,MATCH($C117,'在庫使用計画 (法人)'!$C$1:$C$578,0),MATCH(AO$1,'在庫使用計画 (法人)'!$A$1:$AT$1,0)))=0,"",SUM(INDEX('在庫使用計画 (一般)'!$A$1:$BF$557,MATCH($C117,'在庫使用計画 (一般)'!$C$1:$C$557,0),MATCH(AO$1,'在庫使用計画 (一般)'!$A$1:$BF$1,0)),INDEX('在庫使用計画 (法人)'!$A$1:$AT$578,MATCH($C117,'在庫使用計画 (法人)'!$C$1:$C$578,0),MATCH(AO$1,'在庫使用計画 (法人)'!$A$1:$AT$1,0)))),"")</f>
        <v/>
      </c>
      <c r="AP117" s="224" t="str">
        <f>IFERROR(IF(SUM(INDEX('在庫使用計画 (一般)'!$A$1:$BF$557,MATCH($C117,'在庫使用計画 (一般)'!$C$1:$C$557,0),MATCH(AP$1,'在庫使用計画 (一般)'!$A$1:$BF$1,0)),INDEX('在庫使用計画 (法人)'!$A$1:$AT$578,MATCH($C117,'在庫使用計画 (法人)'!$C$1:$C$578,0),MATCH(AP$1,'在庫使用計画 (法人)'!$A$1:$AT$1,0)))=0,"",SUM(INDEX('在庫使用計画 (一般)'!$A$1:$BF$557,MATCH($C117,'在庫使用計画 (一般)'!$C$1:$C$557,0),MATCH(AP$1,'在庫使用計画 (一般)'!$A$1:$BF$1,0)),INDEX('在庫使用計画 (法人)'!$A$1:$AT$578,MATCH($C117,'在庫使用計画 (法人)'!$C$1:$C$578,0),MATCH(AP$1,'在庫使用計画 (法人)'!$A$1:$AT$1,0)))),"")</f>
        <v/>
      </c>
      <c r="AQ117" s="224" t="str">
        <f>IFERROR(IF(SUM(INDEX('在庫使用計画 (一般)'!$A$1:$BF$557,MATCH($C117,'在庫使用計画 (一般)'!$C$1:$C$557,0),MATCH(AQ$1,'在庫使用計画 (一般)'!$A$1:$BF$1,0)),INDEX('在庫使用計画 (法人)'!$A$1:$AT$578,MATCH($C117,'在庫使用計画 (法人)'!$C$1:$C$578,0),MATCH(AQ$1,'在庫使用計画 (法人)'!$A$1:$AT$1,0)))=0,"",SUM(INDEX('在庫使用計画 (一般)'!$A$1:$BF$557,MATCH($C117,'在庫使用計画 (一般)'!$C$1:$C$557,0),MATCH(AQ$1,'在庫使用計画 (一般)'!$A$1:$BF$1,0)),INDEX('在庫使用計画 (法人)'!$A$1:$AT$578,MATCH($C117,'在庫使用計画 (法人)'!$C$1:$C$578,0),MATCH(AQ$1,'在庫使用計画 (法人)'!$A$1:$AT$1,0)))),"")</f>
        <v/>
      </c>
      <c r="AR117" s="224" t="str">
        <f>IFERROR(IF(SUM(INDEX('在庫使用計画 (一般)'!$A$1:$BF$557,MATCH($C117,'在庫使用計画 (一般)'!$C$1:$C$557,0),MATCH(AR$1,'在庫使用計画 (一般)'!$A$1:$BF$1,0)),INDEX('在庫使用計画 (法人)'!$A$1:$AT$578,MATCH($C117,'在庫使用計画 (法人)'!$C$1:$C$578,0),MATCH(AR$1,'在庫使用計画 (法人)'!$A$1:$AT$1,0)))=0,"",SUM(INDEX('在庫使用計画 (一般)'!$A$1:$BF$557,MATCH($C117,'在庫使用計画 (一般)'!$C$1:$C$557,0),MATCH(AR$1,'在庫使用計画 (一般)'!$A$1:$BF$1,0)),INDEX('在庫使用計画 (法人)'!$A$1:$AT$578,MATCH($C117,'在庫使用計画 (法人)'!$C$1:$C$578,0),MATCH(AR$1,'在庫使用計画 (法人)'!$A$1:$AT$1,0)))),"")</f>
        <v/>
      </c>
      <c r="AS117" s="224" t="str">
        <f>IFERROR(IF(SUM(INDEX('在庫使用計画 (一般)'!$A$1:$BF$557,MATCH($C117,'在庫使用計画 (一般)'!$C$1:$C$557,0),MATCH(AS$1,'在庫使用計画 (一般)'!$A$1:$BF$1,0)),INDEX('在庫使用計画 (法人)'!$A$1:$AT$578,MATCH($C117,'在庫使用計画 (法人)'!$C$1:$C$578,0),MATCH(AS$1,'在庫使用計画 (法人)'!$A$1:$AT$1,0)))=0,"",SUM(INDEX('在庫使用計画 (一般)'!$A$1:$BF$557,MATCH($C117,'在庫使用計画 (一般)'!$C$1:$C$557,0),MATCH(AS$1,'在庫使用計画 (一般)'!$A$1:$BF$1,0)),INDEX('在庫使用計画 (法人)'!$A$1:$AT$578,MATCH($C117,'在庫使用計画 (法人)'!$C$1:$C$578,0),MATCH(AS$1,'在庫使用計画 (法人)'!$A$1:$AT$1,0)))),"")</f>
        <v/>
      </c>
      <c r="AT117" s="224" t="str">
        <f>IFERROR(IF(SUM(INDEX('在庫使用計画 (一般)'!$A$1:$BF$557,MATCH($C117,'在庫使用計画 (一般)'!$C$1:$C$557,0),MATCH(AT$1,'在庫使用計画 (一般)'!$A$1:$BF$1,0)),INDEX('在庫使用計画 (法人)'!$A$1:$AT$578,MATCH($C117,'在庫使用計画 (法人)'!$C$1:$C$578,0),MATCH(AT$1,'在庫使用計画 (法人)'!$A$1:$AT$1,0)))=0,"",SUM(INDEX('在庫使用計画 (一般)'!$A$1:$BF$557,MATCH($C117,'在庫使用計画 (一般)'!$C$1:$C$557,0),MATCH(AT$1,'在庫使用計画 (一般)'!$A$1:$BF$1,0)),INDEX('在庫使用計画 (法人)'!$A$1:$AT$578,MATCH($C117,'在庫使用計画 (法人)'!$C$1:$C$578,0),MATCH(AT$1,'在庫使用計画 (法人)'!$A$1:$AT$1,0)))),"")</f>
        <v/>
      </c>
      <c r="AU117" s="805" t="str">
        <f>IFERROR(IF(SUM(INDEX('在庫使用計画 (一般)'!$A$1:$BF$557,MATCH($C117,'在庫使用計画 (一般)'!$C$1:$C$557,0),MATCH(AU$1,'在庫使用計画 (一般)'!$A$1:$BF$1,0)),INDEX('在庫使用計画 (法人)'!$A$1:$AT$578,MATCH($C117,'在庫使用計画 (法人)'!$C$1:$C$578,0),MATCH(AU$1,'在庫使用計画 (法人)'!$A$1:$AT$1,0)))=0,"",SUM(INDEX('在庫使用計画 (一般)'!$A$1:$BF$557,MATCH($C117,'在庫使用計画 (一般)'!$C$1:$C$557,0),MATCH(AU$1,'在庫使用計画 (一般)'!$A$1:$BF$1,0)),INDEX('在庫使用計画 (法人)'!$A$1:$AT$578,MATCH($C117,'在庫使用計画 (法人)'!$C$1:$C$578,0),MATCH(AU$1,'在庫使用計画 (法人)'!$A$1:$AT$1,0)))),"")</f>
        <v/>
      </c>
      <c r="AV117" s="244" t="str">
        <f>_xlfn.LET(
  _xlpm._一般,INDEX('在庫使用計画 (一般)'!$A$1:$BF$316,MATCH($C117,'在庫使用計画 (一般)'!$C$1:$C$316,0),MATCH(AV$1,'在庫使用計画 (一般)'!$A$1:$BF$1,0)),
  _xlpm._法人,INDEX('在庫使用計画 (法人)'!$A$1:$BF$327,MATCH($C117,'在庫使用計画 (法人)'!$C$1:$C$327,0),MATCH(AV$1,'在庫使用計画 (法人)'!$A$1:$BF$1,0)),
 IFERROR(
  IF(_xlpm._一般+_xlpm._法人=0,"",_xlpm._一般+_xlpm._法人
  ),
 "")
)</f>
        <v/>
      </c>
      <c r="AW117" s="224" t="str">
        <f>_xlfn.LET(
  _xlpm._一般,INDEX('在庫使用計画 (一般)'!$A$1:$BF$316,MATCH($C117,'在庫使用計画 (一般)'!$C$1:$C$316,0),MATCH(AW$1,'在庫使用計画 (一般)'!$A$1:$BF$1,0)),
  _xlpm._法人,INDEX('在庫使用計画 (法人)'!$A$1:$BF$327,MATCH($C117,'在庫使用計画 (法人)'!$C$1:$C$327,0),MATCH(AW$1,'在庫使用計画 (法人)'!$A$1:$BF$1,0)),
 IFERROR(
  IF(_xlpm._一般+_xlpm._法人=0,"",_xlpm._一般+_xlpm._法人
  ),
 "")
)</f>
        <v/>
      </c>
      <c r="AX117" s="224" t="str">
        <f>_xlfn.LET(
  _xlpm._一般,INDEX('在庫使用計画 (一般)'!$A$1:$BF$316,MATCH($C117,'在庫使用計画 (一般)'!$C$1:$C$316,0),MATCH(AX$1,'在庫使用計画 (一般)'!$A$1:$BF$1,0)),
  _xlpm._法人,INDEX('在庫使用計画 (法人)'!$A$1:$BF$327,MATCH($C117,'在庫使用計画 (法人)'!$C$1:$C$327,0),MATCH(AX$1,'在庫使用計画 (法人)'!$A$1:$BF$1,0)),
 IFERROR(
  IF(_xlpm._一般+_xlpm._法人=0,"",_xlpm._一般+_xlpm._法人
  ),
 "")
)</f>
        <v/>
      </c>
      <c r="AY117" s="224" t="str">
        <f>_xlfn.LET(
  _xlpm._一般,INDEX('在庫使用計画 (一般)'!$A$1:$BF$316,MATCH($C117,'在庫使用計画 (一般)'!$C$1:$C$316,0),MATCH(AY$1,'在庫使用計画 (一般)'!$A$1:$BF$1,0)),
  _xlpm._法人,INDEX('在庫使用計画 (法人)'!$A$1:$BF$327,MATCH($C117,'在庫使用計画 (法人)'!$C$1:$C$327,0),MATCH(AY$1,'在庫使用計画 (法人)'!$A$1:$BF$1,0)),
 IFERROR(
  IF(_xlpm._一般+_xlpm._法人=0,"",_xlpm._一般+_xlpm._法人
  ),
 "")
)</f>
        <v/>
      </c>
      <c r="AZ117" s="224" t="str">
        <f>_xlfn.LET(
  _xlpm._一般,INDEX('在庫使用計画 (一般)'!$A$1:$BF$316,MATCH($C117,'在庫使用計画 (一般)'!$C$1:$C$316,0),MATCH(AZ$1,'在庫使用計画 (一般)'!$A$1:$BF$1,0)),
  _xlpm._法人,INDEX('在庫使用計画 (法人)'!$A$1:$BF$327,MATCH($C117,'在庫使用計画 (法人)'!$C$1:$C$327,0),MATCH(AZ$1,'在庫使用計画 (法人)'!$A$1:$BF$1,0)),
 IFERROR(
  IF(_xlpm._一般+_xlpm._法人=0,"",_xlpm._一般+_xlpm._法人
  ),
 "")
)</f>
        <v/>
      </c>
      <c r="BA117" s="224" t="str">
        <f>_xlfn.LET(
  _xlpm._一般,INDEX('在庫使用計画 (一般)'!$A$1:$BF$316,MATCH($C117,'在庫使用計画 (一般)'!$C$1:$C$316,0),MATCH(BA$1,'在庫使用計画 (一般)'!$A$1:$BF$1,0)),
  _xlpm._法人,INDEX('在庫使用計画 (法人)'!$A$1:$BF$327,MATCH($C117,'在庫使用計画 (法人)'!$C$1:$C$327,0),MATCH(BA$1,'在庫使用計画 (法人)'!$A$1:$BF$1,0)),
 IFERROR(
  IF(_xlpm._一般+_xlpm._法人=0,"",_xlpm._一般+_xlpm._法人
  ),
 "")
)</f>
        <v/>
      </c>
      <c r="BB117" s="224" t="str">
        <f>_xlfn.LET(
  _xlpm._一般,INDEX('在庫使用計画 (一般)'!$A$1:$BF$316,MATCH($C117,'在庫使用計画 (一般)'!$C$1:$C$316,0),MATCH(BB$1,'在庫使用計画 (一般)'!$A$1:$BF$1,0)),
  _xlpm._法人,INDEX('在庫使用計画 (法人)'!$A$1:$BF$327,MATCH($C117,'在庫使用計画 (法人)'!$C$1:$C$327,0),MATCH(BB$1,'在庫使用計画 (法人)'!$A$1:$BF$1,0)),
 IFERROR(
  IF(_xlpm._一般+_xlpm._法人=0,"",_xlpm._一般+_xlpm._法人
  ),
 "")
)</f>
        <v/>
      </c>
      <c r="BC117" s="224" t="str">
        <f>_xlfn.LET(
  _xlpm._一般,INDEX('在庫使用計画 (一般)'!$A$1:$BF$316,MATCH($C117,'在庫使用計画 (一般)'!$C$1:$C$316,0),MATCH(BC$1,'在庫使用計画 (一般)'!$A$1:$BF$1,0)),
  _xlpm._法人,INDEX('在庫使用計画 (法人)'!$A$1:$BF$327,MATCH($C117,'在庫使用計画 (法人)'!$C$1:$C$327,0),MATCH(BC$1,'在庫使用計画 (法人)'!$A$1:$BF$1,0)),
 IFERROR(
  IF(_xlpm._一般+_xlpm._法人=0,"",_xlpm._一般+_xlpm._法人
  ),
 "")
)</f>
        <v/>
      </c>
      <c r="BD117" s="224" t="str">
        <f>_xlfn.LET(
  _xlpm._一般,INDEX('在庫使用計画 (一般)'!$A$1:$BF$316,MATCH($C117,'在庫使用計画 (一般)'!$C$1:$C$316,0),MATCH(BD$1,'在庫使用計画 (一般)'!$A$1:$BF$1,0)),
  _xlpm._法人,INDEX('在庫使用計画 (法人)'!$A$1:$BF$327,MATCH($C117,'在庫使用計画 (法人)'!$C$1:$C$327,0),MATCH(BD$1,'在庫使用計画 (法人)'!$A$1:$BF$1,0)),
 IFERROR(
  IF(_xlpm._一般+_xlpm._法人=0,"",_xlpm._一般+_xlpm._法人
  ),
 "")
)</f>
        <v/>
      </c>
      <c r="BE117" s="224" t="str">
        <f>_xlfn.LET(
  _xlpm._一般,INDEX('在庫使用計画 (一般)'!$A$1:$BF$316,MATCH($C117,'在庫使用計画 (一般)'!$C$1:$C$316,0),MATCH(BE$1,'在庫使用計画 (一般)'!$A$1:$BF$1,0)),
  _xlpm._法人,INDEX('在庫使用計画 (法人)'!$A$1:$BF$327,MATCH($C117,'在庫使用計画 (法人)'!$C$1:$C$327,0),MATCH(BE$1,'在庫使用計画 (法人)'!$A$1:$BF$1,0)),
 IFERROR(
  IF(_xlpm._一般+_xlpm._法人=0,"",_xlpm._一般+_xlpm._法人
  ),
 "")
)</f>
        <v/>
      </c>
      <c r="BF117" s="224" t="str">
        <f>_xlfn.LET(
  _xlpm._一般,INDEX('在庫使用計画 (一般)'!$A$1:$BF$316,MATCH($C117,'在庫使用計画 (一般)'!$C$1:$C$316,0),MATCH(BF$1,'在庫使用計画 (一般)'!$A$1:$BF$1,0)),
  _xlpm._法人,INDEX('在庫使用計画 (法人)'!$A$1:$BF$327,MATCH($C117,'在庫使用計画 (法人)'!$C$1:$C$327,0),MATCH(BF$1,'在庫使用計画 (法人)'!$A$1:$BF$1,0)),
 IFERROR(
  IF(_xlpm._一般+_xlpm._法人=0,"",_xlpm._一般+_xlpm._法人
  ),
 "")
)</f>
        <v/>
      </c>
      <c r="BG117" s="237" t="str">
        <f>_xlfn.LET(
  _xlpm._一般,INDEX('在庫使用計画 (一般)'!$A$1:$BF$316,MATCH($C117,'在庫使用計画 (一般)'!$C$1:$C$316,0),MATCH(BG$1,'在庫使用計画 (一般)'!$A$1:$BF$1,0)),
  _xlpm._法人,INDEX('在庫使用計画 (法人)'!$A$1:$BF$327,MATCH($C117,'在庫使用計画 (法人)'!$C$1:$C$327,0),MATCH(BG$1,'在庫使用計画 (法人)'!$A$1:$BF$1,0)),
 IFERROR(
  IF(_xlpm._一般+_xlpm._法人=0,"",_xlpm._一般+_xlpm._法人
  ),
 "")
)</f>
        <v/>
      </c>
      <c r="BH117" s="804" t="str">
        <f>_xlfn.LET(
  _xlpm._一般,INDEX('在庫使用計画 (一般)'!$A$1:$BF$316,MATCH($C117,'在庫使用計画 (一般)'!$C$1:$C$316,0),MATCH(BH$1,'在庫使用計画 (一般)'!$A$1:$BF$1,0)),
  _xlpm._法人,INDEX('在庫使用計画 (法人)'!$A$1:$BF$327,MATCH($C117,'在庫使用計画 (法人)'!$C$1:$C$327,0),MATCH(BH$1,'在庫使用計画 (法人)'!$A$1:$BF$1,0)),
 IFERROR(
  IF(_xlpm._一般+_xlpm._法人=0,"",_xlpm._一般+_xlpm._法人
  ),
 "")
)</f>
        <v/>
      </c>
      <c r="BI117" s="224" t="str">
        <f>_xlfn.LET(
  _xlpm._一般,INDEX('在庫使用計画 (一般)'!$A$1:$BF$316,MATCH($C117,'在庫使用計画 (一般)'!$C$1:$C$316,0),MATCH(BI$1,'在庫使用計画 (一般)'!$A$1:$BF$1,0)),
  _xlpm._法人,INDEX('在庫使用計画 (法人)'!$A$1:$BF$327,MATCH($C117,'在庫使用計画 (法人)'!$C$1:$C$327,0),MATCH(BI$1,'在庫使用計画 (法人)'!$A$1:$BF$1,0)),
 IFERROR(
  IF(_xlpm._一般+_xlpm._法人=0,"",_xlpm._一般+_xlpm._法人
  ),
 "")
)</f>
        <v/>
      </c>
      <c r="BJ117" s="224" t="str">
        <f>_xlfn.LET(
  _xlpm._一般,INDEX('在庫使用計画 (一般)'!$A$1:$BF$316,MATCH($C117,'在庫使用計画 (一般)'!$C$1:$C$316,0),MATCH(BJ$1,'在庫使用計画 (一般)'!$A$1:$BF$1,0)),
  _xlpm._法人,INDEX('在庫使用計画 (法人)'!$A$1:$BF$327,MATCH($C117,'在庫使用計画 (法人)'!$C$1:$C$327,0),MATCH(BJ$1,'在庫使用計画 (法人)'!$A$1:$BF$1,0)),
 IFERROR(
  IF(_xlpm._一般+_xlpm._法人=0,"",_xlpm._一般+_xlpm._法人
  ),
 "")
)</f>
        <v/>
      </c>
      <c r="BK117" s="224" t="str">
        <f>_xlfn.LET(
  _xlpm._一般,INDEX('在庫使用計画 (一般)'!$A$1:$BF$316,MATCH($C117,'在庫使用計画 (一般)'!$C$1:$C$316,0),MATCH(BK$1,'在庫使用計画 (一般)'!$A$1:$BF$1,0)),
  _xlpm._法人,INDEX('在庫使用計画 (法人)'!$A$1:$BF$327,MATCH($C117,'在庫使用計画 (法人)'!$C$1:$C$327,0),MATCH(BK$1,'在庫使用計画 (法人)'!$A$1:$BF$1,0)),
 IFERROR(
  IF(_xlpm._一般+_xlpm._法人=0,"",_xlpm._一般+_xlpm._法人
  ),
 "")
)</f>
        <v/>
      </c>
      <c r="BL117" s="224" t="str">
        <f>_xlfn.LET(
  _xlpm._一般,INDEX('在庫使用計画 (一般)'!$A$1:$BF$316,MATCH($C117,'在庫使用計画 (一般)'!$C$1:$C$316,0),MATCH(BL$1,'在庫使用計画 (一般)'!$A$1:$BF$1,0)),
  _xlpm._法人,INDEX('在庫使用計画 (法人)'!$A$1:$BF$327,MATCH($C117,'在庫使用計画 (法人)'!$C$1:$C$327,0),MATCH(BL$1,'在庫使用計画 (法人)'!$A$1:$BF$1,0)),
 IFERROR(
  IF(_xlpm._一般+_xlpm._法人=0,"",_xlpm._一般+_xlpm._法人
  ),
 "")
)</f>
        <v/>
      </c>
      <c r="BM117" s="224" t="str">
        <f>_xlfn.LET(
  _xlpm._一般,INDEX('在庫使用計画 (一般)'!$A$1:$BF$316,MATCH($C117,'在庫使用計画 (一般)'!$C$1:$C$316,0),MATCH(BM$1,'在庫使用計画 (一般)'!$A$1:$BF$1,0)),
  _xlpm._法人,INDEX('在庫使用計画 (法人)'!$A$1:$BF$327,MATCH($C117,'在庫使用計画 (法人)'!$C$1:$C$327,0),MATCH(BM$1,'在庫使用計画 (法人)'!$A$1:$BF$1,0)),
 IFERROR(
  IF(_xlpm._一般+_xlpm._法人=0,"",_xlpm._一般+_xlpm._法人
  ),
 "")
)</f>
        <v/>
      </c>
      <c r="BN117" s="224" t="str">
        <f>_xlfn.LET(
  _xlpm._一般,INDEX('在庫使用計画 (一般)'!$A$1:$BF$316,MATCH($C117,'在庫使用計画 (一般)'!$C$1:$C$316,0),MATCH(BN$1,'在庫使用計画 (一般)'!$A$1:$BF$1,0)),
  _xlpm._法人,INDEX('在庫使用計画 (法人)'!$A$1:$BF$327,MATCH($C117,'在庫使用計画 (法人)'!$C$1:$C$327,0),MATCH(BN$1,'在庫使用計画 (法人)'!$A$1:$BF$1,0)),
 IFERROR(
  IF(_xlpm._一般+_xlpm._法人=0,"",_xlpm._一般+_xlpm._法人
  ),
 "")
)</f>
        <v/>
      </c>
      <c r="BO117" s="224" t="str">
        <f>_xlfn.LET(
  _xlpm._一般,INDEX('在庫使用計画 (一般)'!$A$1:$BF$316,MATCH($C117,'在庫使用計画 (一般)'!$C$1:$C$316,0),MATCH(BO$1,'在庫使用計画 (一般)'!$A$1:$BF$1,0)),
  _xlpm._法人,INDEX('在庫使用計画 (法人)'!$A$1:$BF$327,MATCH($C117,'在庫使用計画 (法人)'!$C$1:$C$327,0),MATCH(BO$1,'在庫使用計画 (法人)'!$A$1:$BF$1,0)),
 IFERROR(
  IF(_xlpm._一般+_xlpm._法人=0,"",_xlpm._一般+_xlpm._法人
  ),
 "")
)</f>
        <v/>
      </c>
      <c r="BP117" s="224" t="str">
        <f>_xlfn.LET(
  _xlpm._一般,INDEX('在庫使用計画 (一般)'!$A$1:$BF$316,MATCH($C117,'在庫使用計画 (一般)'!$C$1:$C$316,0),MATCH(BP$1,'在庫使用計画 (一般)'!$A$1:$BF$1,0)),
  _xlpm._法人,INDEX('在庫使用計画 (法人)'!$A$1:$BF$327,MATCH($C117,'在庫使用計画 (法人)'!$C$1:$C$327,0),MATCH(BP$1,'在庫使用計画 (法人)'!$A$1:$BF$1,0)),
 IFERROR(
  IF(_xlpm._一般+_xlpm._法人=0,"",_xlpm._一般+_xlpm._法人
  ),
 "")
)</f>
        <v/>
      </c>
      <c r="BQ117" s="224" t="str">
        <f>_xlfn.LET(
  _xlpm._一般,INDEX('在庫使用計画 (一般)'!$A$1:$BF$316,MATCH($C117,'在庫使用計画 (一般)'!$C$1:$C$316,0),MATCH(BQ$1,'在庫使用計画 (一般)'!$A$1:$BF$1,0)),
  _xlpm._法人,INDEX('在庫使用計画 (法人)'!$A$1:$BF$327,MATCH($C117,'在庫使用計画 (法人)'!$C$1:$C$327,0),MATCH(BQ$1,'在庫使用計画 (法人)'!$A$1:$BF$1,0)),
 IFERROR(
  IF(_xlpm._一般+_xlpm._法人=0,"",_xlpm._一般+_xlpm._法人
  ),
 "")
)</f>
        <v/>
      </c>
      <c r="BR117" s="224" t="str">
        <f>_xlfn.LET(
  _xlpm._一般,INDEX('在庫使用計画 (一般)'!$A$1:$BF$316,MATCH($C117,'在庫使用計画 (一般)'!$C$1:$C$316,0),MATCH(BR$1,'在庫使用計画 (一般)'!$A$1:$BF$1,0)),
  _xlpm._法人,INDEX('在庫使用計画 (法人)'!$A$1:$BF$327,MATCH($C117,'在庫使用計画 (法人)'!$C$1:$C$327,0),MATCH(BR$1,'在庫使用計画 (法人)'!$A$1:$BF$1,0)),
 IFERROR(
  IF(_xlpm._一般+_xlpm._法人=0,"",_xlpm._一般+_xlpm._法人
  ),
 "")
)</f>
        <v/>
      </c>
      <c r="BS117" s="805" t="str">
        <f>_xlfn.LET(
  _xlpm._一般,INDEX('在庫使用計画 (一般)'!$A$1:$BF$316,MATCH($C117,'在庫使用計画 (一般)'!$C$1:$C$316,0),MATCH(BS$1,'在庫使用計画 (一般)'!$A$1:$BF$1,0)),
  _xlpm._法人,INDEX('在庫使用計画 (法人)'!$A$1:$BF$327,MATCH($C117,'在庫使用計画 (法人)'!$C$1:$C$327,0),MATCH(BS$1,'在庫使用計画 (法人)'!$A$1:$BF$1,0)),
 IFERROR(
  IF(_xlpm._一般+_xlpm._法人=0,"",_xlpm._一般+_xlpm._法人
  ),
 "")
)</f>
        <v/>
      </c>
      <c r="BT117" s="70"/>
    </row>
    <row r="118" spans="1:72" customFormat="1" ht="18.75" customHeight="1">
      <c r="A118" s="1076" t="s">
        <v>1317</v>
      </c>
      <c r="B118" s="55" t="s">
        <v>1046</v>
      </c>
      <c r="C118" s="57" t="s">
        <v>1044</v>
      </c>
      <c r="D118" s="2175">
        <v>3050</v>
      </c>
      <c r="E118" s="115" t="s">
        <v>1516</v>
      </c>
      <c r="F118" s="106" t="s">
        <v>20</v>
      </c>
      <c r="G118" s="74">
        <v>0</v>
      </c>
      <c r="H118" s="38">
        <v>0</v>
      </c>
      <c r="I118" s="38">
        <f ca="1">_xlfn.LET(_xlpm._今月から4ヶ月計画合計,
  SUM(
    OFFSET($A118,0,
      MATCH(
        EDATE(基準データ!$C$5,3),$A$1:$BD$1,1
      )-4,1,4)),
  IF($C118="","",_xlpm._今月から4ヶ月計画合計
)
)</f>
        <v>0</v>
      </c>
      <c r="J118" s="74" t="s">
        <v>21</v>
      </c>
      <c r="K118" s="1462" t="str" cm="1">
        <f t="array" ref="K118">_xlfn.IFS(
  $C118="","",
  $G118="","発売前？",
  $G118=0,"在庫なし",
  TRUE,
  IFERROR(
    _xlfn.LET(
      _xlpm._在庫注残,     $G118,
      _xlpm._しきい値,     _xlpm._在庫注残 * 0.75,
      _xlpm._見出し元,     $L$1:$BU$1,
      _xlpm._計画,         $L118:$BU118,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在庫なし</v>
      </c>
      <c r="L118" s="38" t="s">
        <v>21</v>
      </c>
      <c r="M118" s="38" t="s">
        <v>21</v>
      </c>
      <c r="N118" s="38" t="s">
        <v>21</v>
      </c>
      <c r="O118" s="38" t="s">
        <v>21</v>
      </c>
      <c r="P118" s="38">
        <v>65</v>
      </c>
      <c r="Q118" s="38">
        <v>100</v>
      </c>
      <c r="R118" s="38">
        <v>65</v>
      </c>
      <c r="S118" s="38">
        <v>13</v>
      </c>
      <c r="T118" s="219">
        <v>85</v>
      </c>
      <c r="U118" s="219">
        <v>75</v>
      </c>
      <c r="V118" s="219">
        <v>86</v>
      </c>
      <c r="W118" s="219">
        <v>182</v>
      </c>
      <c r="X118" s="224">
        <v>112</v>
      </c>
      <c r="Y118" s="224">
        <v>308</v>
      </c>
      <c r="Z118" s="224">
        <v>546</v>
      </c>
      <c r="AA118" s="224">
        <v>345</v>
      </c>
      <c r="AB118" s="224">
        <v>155</v>
      </c>
      <c r="AC118" s="224">
        <v>175</v>
      </c>
      <c r="AD118" s="224">
        <v>305</v>
      </c>
      <c r="AE118" s="224">
        <v>320</v>
      </c>
      <c r="AF118" s="224">
        <v>110</v>
      </c>
      <c r="AG118" s="224" t="s">
        <v>21</v>
      </c>
      <c r="AH118" s="224" t="s">
        <v>21</v>
      </c>
      <c r="AI118" s="237" t="s">
        <v>21</v>
      </c>
      <c r="AJ118" s="804" t="s">
        <v>21</v>
      </c>
      <c r="AK118" s="224" t="s">
        <v>21</v>
      </c>
      <c r="AL118" s="224" t="s">
        <v>21</v>
      </c>
      <c r="AM118" s="224" t="s">
        <v>21</v>
      </c>
      <c r="AN118" s="224" t="str">
        <f>IFERROR(IF(SUM(INDEX('在庫使用計画 (一般)'!$A$1:$BF$557,MATCH($C118,'在庫使用計画 (一般)'!$C$1:$C$557,0),MATCH(AN$1,'在庫使用計画 (一般)'!$A$1:$BF$1,0)),INDEX('在庫使用計画 (法人)'!$A$1:$AT$578,MATCH($C118,'在庫使用計画 (法人)'!$C$1:$C$578,0),MATCH(AN$1,'在庫使用計画 (法人)'!$A$1:$AT$1,0)))=0,"",SUM(INDEX('在庫使用計画 (一般)'!$A$1:$BF$557,MATCH($C118,'在庫使用計画 (一般)'!$C$1:$C$557,0),MATCH(AN$1,'在庫使用計画 (一般)'!$A$1:$BF$1,0)),INDEX('在庫使用計画 (法人)'!$A$1:$AT$578,MATCH($C118,'在庫使用計画 (法人)'!$C$1:$C$578,0),MATCH(AN$1,'在庫使用計画 (法人)'!$A$1:$AT$1,0)))),"")</f>
        <v/>
      </c>
      <c r="AO118" s="224" t="str">
        <f>IFERROR(IF(SUM(INDEX('在庫使用計画 (一般)'!$A$1:$BF$557,MATCH($C118,'在庫使用計画 (一般)'!$C$1:$C$557,0),MATCH(AO$1,'在庫使用計画 (一般)'!$A$1:$BF$1,0)),INDEX('在庫使用計画 (法人)'!$A$1:$AT$578,MATCH($C118,'在庫使用計画 (法人)'!$C$1:$C$578,0),MATCH(AO$1,'在庫使用計画 (法人)'!$A$1:$AT$1,0)))=0,"",SUM(INDEX('在庫使用計画 (一般)'!$A$1:$BF$557,MATCH($C118,'在庫使用計画 (一般)'!$C$1:$C$557,0),MATCH(AO$1,'在庫使用計画 (一般)'!$A$1:$BF$1,0)),INDEX('在庫使用計画 (法人)'!$A$1:$AT$578,MATCH($C118,'在庫使用計画 (法人)'!$C$1:$C$578,0),MATCH(AO$1,'在庫使用計画 (法人)'!$A$1:$AT$1,0)))),"")</f>
        <v/>
      </c>
      <c r="AP118" s="224" t="str">
        <f>IFERROR(IF(SUM(INDEX('在庫使用計画 (一般)'!$A$1:$BF$557,MATCH($C118,'在庫使用計画 (一般)'!$C$1:$C$557,0),MATCH(AP$1,'在庫使用計画 (一般)'!$A$1:$BF$1,0)),INDEX('在庫使用計画 (法人)'!$A$1:$AT$578,MATCH($C118,'在庫使用計画 (法人)'!$C$1:$C$578,0),MATCH(AP$1,'在庫使用計画 (法人)'!$A$1:$AT$1,0)))=0,"",SUM(INDEX('在庫使用計画 (一般)'!$A$1:$BF$557,MATCH($C118,'在庫使用計画 (一般)'!$C$1:$C$557,0),MATCH(AP$1,'在庫使用計画 (一般)'!$A$1:$BF$1,0)),INDEX('在庫使用計画 (法人)'!$A$1:$AT$578,MATCH($C118,'在庫使用計画 (法人)'!$C$1:$C$578,0),MATCH(AP$1,'在庫使用計画 (法人)'!$A$1:$AT$1,0)))),"")</f>
        <v/>
      </c>
      <c r="AQ118" s="224" t="str">
        <f>IFERROR(IF(SUM(INDEX('在庫使用計画 (一般)'!$A$1:$BF$557,MATCH($C118,'在庫使用計画 (一般)'!$C$1:$C$557,0),MATCH(AQ$1,'在庫使用計画 (一般)'!$A$1:$BF$1,0)),INDEX('在庫使用計画 (法人)'!$A$1:$AT$578,MATCH($C118,'在庫使用計画 (法人)'!$C$1:$C$578,0),MATCH(AQ$1,'在庫使用計画 (法人)'!$A$1:$AT$1,0)))=0,"",SUM(INDEX('在庫使用計画 (一般)'!$A$1:$BF$557,MATCH($C118,'在庫使用計画 (一般)'!$C$1:$C$557,0),MATCH(AQ$1,'在庫使用計画 (一般)'!$A$1:$BF$1,0)),INDEX('在庫使用計画 (法人)'!$A$1:$AT$578,MATCH($C118,'在庫使用計画 (法人)'!$C$1:$C$578,0),MATCH(AQ$1,'在庫使用計画 (法人)'!$A$1:$AT$1,0)))),"")</f>
        <v/>
      </c>
      <c r="AR118" s="224" t="str">
        <f>IFERROR(IF(SUM(INDEX('在庫使用計画 (一般)'!$A$1:$BF$557,MATCH($C118,'在庫使用計画 (一般)'!$C$1:$C$557,0),MATCH(AR$1,'在庫使用計画 (一般)'!$A$1:$BF$1,0)),INDEX('在庫使用計画 (法人)'!$A$1:$AT$578,MATCH($C118,'在庫使用計画 (法人)'!$C$1:$C$578,0),MATCH(AR$1,'在庫使用計画 (法人)'!$A$1:$AT$1,0)))=0,"",SUM(INDEX('在庫使用計画 (一般)'!$A$1:$BF$557,MATCH($C118,'在庫使用計画 (一般)'!$C$1:$C$557,0),MATCH(AR$1,'在庫使用計画 (一般)'!$A$1:$BF$1,0)),INDEX('在庫使用計画 (法人)'!$A$1:$AT$578,MATCH($C118,'在庫使用計画 (法人)'!$C$1:$C$578,0),MATCH(AR$1,'在庫使用計画 (法人)'!$A$1:$AT$1,0)))),"")</f>
        <v/>
      </c>
      <c r="AS118" s="224" t="str">
        <f>IFERROR(IF(SUM(INDEX('在庫使用計画 (一般)'!$A$1:$BF$557,MATCH($C118,'在庫使用計画 (一般)'!$C$1:$C$557,0),MATCH(AS$1,'在庫使用計画 (一般)'!$A$1:$BF$1,0)),INDEX('在庫使用計画 (法人)'!$A$1:$AT$578,MATCH($C118,'在庫使用計画 (法人)'!$C$1:$C$578,0),MATCH(AS$1,'在庫使用計画 (法人)'!$A$1:$AT$1,0)))=0,"",SUM(INDEX('在庫使用計画 (一般)'!$A$1:$BF$557,MATCH($C118,'在庫使用計画 (一般)'!$C$1:$C$557,0),MATCH(AS$1,'在庫使用計画 (一般)'!$A$1:$BF$1,0)),INDEX('在庫使用計画 (法人)'!$A$1:$AT$578,MATCH($C118,'在庫使用計画 (法人)'!$C$1:$C$578,0),MATCH(AS$1,'在庫使用計画 (法人)'!$A$1:$AT$1,0)))),"")</f>
        <v/>
      </c>
      <c r="AT118" s="224" t="str">
        <f>IFERROR(IF(SUM(INDEX('在庫使用計画 (一般)'!$A$1:$BF$557,MATCH($C118,'在庫使用計画 (一般)'!$C$1:$C$557,0),MATCH(AT$1,'在庫使用計画 (一般)'!$A$1:$BF$1,0)),INDEX('在庫使用計画 (法人)'!$A$1:$AT$578,MATCH($C118,'在庫使用計画 (法人)'!$C$1:$C$578,0),MATCH(AT$1,'在庫使用計画 (法人)'!$A$1:$AT$1,0)))=0,"",SUM(INDEX('在庫使用計画 (一般)'!$A$1:$BF$557,MATCH($C118,'在庫使用計画 (一般)'!$C$1:$C$557,0),MATCH(AT$1,'在庫使用計画 (一般)'!$A$1:$BF$1,0)),INDEX('在庫使用計画 (法人)'!$A$1:$AT$578,MATCH($C118,'在庫使用計画 (法人)'!$C$1:$C$578,0),MATCH(AT$1,'在庫使用計画 (法人)'!$A$1:$AT$1,0)))),"")</f>
        <v/>
      </c>
      <c r="AU118" s="805" t="str">
        <f>IFERROR(IF(SUM(INDEX('在庫使用計画 (一般)'!$A$1:$BF$557,MATCH($C118,'在庫使用計画 (一般)'!$C$1:$C$557,0),MATCH(AU$1,'在庫使用計画 (一般)'!$A$1:$BF$1,0)),INDEX('在庫使用計画 (法人)'!$A$1:$AT$578,MATCH($C118,'在庫使用計画 (法人)'!$C$1:$C$578,0),MATCH(AU$1,'在庫使用計画 (法人)'!$A$1:$AT$1,0)))=0,"",SUM(INDEX('在庫使用計画 (一般)'!$A$1:$BF$557,MATCH($C118,'在庫使用計画 (一般)'!$C$1:$C$557,0),MATCH(AU$1,'在庫使用計画 (一般)'!$A$1:$BF$1,0)),INDEX('在庫使用計画 (法人)'!$A$1:$AT$578,MATCH($C118,'在庫使用計画 (法人)'!$C$1:$C$578,0),MATCH(AU$1,'在庫使用計画 (法人)'!$A$1:$AT$1,0)))),"")</f>
        <v/>
      </c>
      <c r="AV118" s="244" t="str">
        <f>_xlfn.LET(
  _xlpm._一般,INDEX('在庫使用計画 (一般)'!$A$1:$BF$316,MATCH($C118,'在庫使用計画 (一般)'!$C$1:$C$316,0),MATCH(AV$1,'在庫使用計画 (一般)'!$A$1:$BF$1,0)),
  _xlpm._法人,INDEX('在庫使用計画 (法人)'!$A$1:$BF$327,MATCH($C118,'在庫使用計画 (法人)'!$C$1:$C$327,0),MATCH(AV$1,'在庫使用計画 (法人)'!$A$1:$BF$1,0)),
 IFERROR(
  IF(_xlpm._一般+_xlpm._法人=0,"",_xlpm._一般+_xlpm._法人
  ),
 "")
)</f>
        <v/>
      </c>
      <c r="AW118" s="224" t="str">
        <f>_xlfn.LET(
  _xlpm._一般,INDEX('在庫使用計画 (一般)'!$A$1:$BF$316,MATCH($C118,'在庫使用計画 (一般)'!$C$1:$C$316,0),MATCH(AW$1,'在庫使用計画 (一般)'!$A$1:$BF$1,0)),
  _xlpm._法人,INDEX('在庫使用計画 (法人)'!$A$1:$BF$327,MATCH($C118,'在庫使用計画 (法人)'!$C$1:$C$327,0),MATCH(AW$1,'在庫使用計画 (法人)'!$A$1:$BF$1,0)),
 IFERROR(
  IF(_xlpm._一般+_xlpm._法人=0,"",_xlpm._一般+_xlpm._法人
  ),
 "")
)</f>
        <v/>
      </c>
      <c r="AX118" s="224" t="str">
        <f>_xlfn.LET(
  _xlpm._一般,INDEX('在庫使用計画 (一般)'!$A$1:$BF$316,MATCH($C118,'在庫使用計画 (一般)'!$C$1:$C$316,0),MATCH(AX$1,'在庫使用計画 (一般)'!$A$1:$BF$1,0)),
  _xlpm._法人,INDEX('在庫使用計画 (法人)'!$A$1:$BF$327,MATCH($C118,'在庫使用計画 (法人)'!$C$1:$C$327,0),MATCH(AX$1,'在庫使用計画 (法人)'!$A$1:$BF$1,0)),
 IFERROR(
  IF(_xlpm._一般+_xlpm._法人=0,"",_xlpm._一般+_xlpm._法人
  ),
 "")
)</f>
        <v/>
      </c>
      <c r="AY118" s="224" t="str">
        <f>_xlfn.LET(
  _xlpm._一般,INDEX('在庫使用計画 (一般)'!$A$1:$BF$316,MATCH($C118,'在庫使用計画 (一般)'!$C$1:$C$316,0),MATCH(AY$1,'在庫使用計画 (一般)'!$A$1:$BF$1,0)),
  _xlpm._法人,INDEX('在庫使用計画 (法人)'!$A$1:$BF$327,MATCH($C118,'在庫使用計画 (法人)'!$C$1:$C$327,0),MATCH(AY$1,'在庫使用計画 (法人)'!$A$1:$BF$1,0)),
 IFERROR(
  IF(_xlpm._一般+_xlpm._法人=0,"",_xlpm._一般+_xlpm._法人
  ),
 "")
)</f>
        <v/>
      </c>
      <c r="AZ118" s="224" t="str">
        <f>_xlfn.LET(
  _xlpm._一般,INDEX('在庫使用計画 (一般)'!$A$1:$BF$316,MATCH($C118,'在庫使用計画 (一般)'!$C$1:$C$316,0),MATCH(AZ$1,'在庫使用計画 (一般)'!$A$1:$BF$1,0)),
  _xlpm._法人,INDEX('在庫使用計画 (法人)'!$A$1:$BF$327,MATCH($C118,'在庫使用計画 (法人)'!$C$1:$C$327,0),MATCH(AZ$1,'在庫使用計画 (法人)'!$A$1:$BF$1,0)),
 IFERROR(
  IF(_xlpm._一般+_xlpm._法人=0,"",_xlpm._一般+_xlpm._法人
  ),
 "")
)</f>
        <v/>
      </c>
      <c r="BA118" s="224" t="str">
        <f>_xlfn.LET(
  _xlpm._一般,INDEX('在庫使用計画 (一般)'!$A$1:$BF$316,MATCH($C118,'在庫使用計画 (一般)'!$C$1:$C$316,0),MATCH(BA$1,'在庫使用計画 (一般)'!$A$1:$BF$1,0)),
  _xlpm._法人,INDEX('在庫使用計画 (法人)'!$A$1:$BF$327,MATCH($C118,'在庫使用計画 (法人)'!$C$1:$C$327,0),MATCH(BA$1,'在庫使用計画 (法人)'!$A$1:$BF$1,0)),
 IFERROR(
  IF(_xlpm._一般+_xlpm._法人=0,"",_xlpm._一般+_xlpm._法人
  ),
 "")
)</f>
        <v/>
      </c>
      <c r="BB118" s="224" t="str">
        <f>_xlfn.LET(
  _xlpm._一般,INDEX('在庫使用計画 (一般)'!$A$1:$BF$316,MATCH($C118,'在庫使用計画 (一般)'!$C$1:$C$316,0),MATCH(BB$1,'在庫使用計画 (一般)'!$A$1:$BF$1,0)),
  _xlpm._法人,INDEX('在庫使用計画 (法人)'!$A$1:$BF$327,MATCH($C118,'在庫使用計画 (法人)'!$C$1:$C$327,0),MATCH(BB$1,'在庫使用計画 (法人)'!$A$1:$BF$1,0)),
 IFERROR(
  IF(_xlpm._一般+_xlpm._法人=0,"",_xlpm._一般+_xlpm._法人
  ),
 "")
)</f>
        <v/>
      </c>
      <c r="BC118" s="224" t="str">
        <f>_xlfn.LET(
  _xlpm._一般,INDEX('在庫使用計画 (一般)'!$A$1:$BF$316,MATCH($C118,'在庫使用計画 (一般)'!$C$1:$C$316,0),MATCH(BC$1,'在庫使用計画 (一般)'!$A$1:$BF$1,0)),
  _xlpm._法人,INDEX('在庫使用計画 (法人)'!$A$1:$BF$327,MATCH($C118,'在庫使用計画 (法人)'!$C$1:$C$327,0),MATCH(BC$1,'在庫使用計画 (法人)'!$A$1:$BF$1,0)),
 IFERROR(
  IF(_xlpm._一般+_xlpm._法人=0,"",_xlpm._一般+_xlpm._法人
  ),
 "")
)</f>
        <v/>
      </c>
      <c r="BD118" s="224" t="str">
        <f>_xlfn.LET(
  _xlpm._一般,INDEX('在庫使用計画 (一般)'!$A$1:$BF$316,MATCH($C118,'在庫使用計画 (一般)'!$C$1:$C$316,0),MATCH(BD$1,'在庫使用計画 (一般)'!$A$1:$BF$1,0)),
  _xlpm._法人,INDEX('在庫使用計画 (法人)'!$A$1:$BF$327,MATCH($C118,'在庫使用計画 (法人)'!$C$1:$C$327,0),MATCH(BD$1,'在庫使用計画 (法人)'!$A$1:$BF$1,0)),
 IFERROR(
  IF(_xlpm._一般+_xlpm._法人=0,"",_xlpm._一般+_xlpm._法人
  ),
 "")
)</f>
        <v/>
      </c>
      <c r="BE118" s="224" t="str">
        <f>_xlfn.LET(
  _xlpm._一般,INDEX('在庫使用計画 (一般)'!$A$1:$BF$316,MATCH($C118,'在庫使用計画 (一般)'!$C$1:$C$316,0),MATCH(BE$1,'在庫使用計画 (一般)'!$A$1:$BF$1,0)),
  _xlpm._法人,INDEX('在庫使用計画 (法人)'!$A$1:$BF$327,MATCH($C118,'在庫使用計画 (法人)'!$C$1:$C$327,0),MATCH(BE$1,'在庫使用計画 (法人)'!$A$1:$BF$1,0)),
 IFERROR(
  IF(_xlpm._一般+_xlpm._法人=0,"",_xlpm._一般+_xlpm._法人
  ),
 "")
)</f>
        <v/>
      </c>
      <c r="BF118" s="224" t="str">
        <f>_xlfn.LET(
  _xlpm._一般,INDEX('在庫使用計画 (一般)'!$A$1:$BF$316,MATCH($C118,'在庫使用計画 (一般)'!$C$1:$C$316,0),MATCH(BF$1,'在庫使用計画 (一般)'!$A$1:$BF$1,0)),
  _xlpm._法人,INDEX('在庫使用計画 (法人)'!$A$1:$BF$327,MATCH($C118,'在庫使用計画 (法人)'!$C$1:$C$327,0),MATCH(BF$1,'在庫使用計画 (法人)'!$A$1:$BF$1,0)),
 IFERROR(
  IF(_xlpm._一般+_xlpm._法人=0,"",_xlpm._一般+_xlpm._法人
  ),
 "")
)</f>
        <v/>
      </c>
      <c r="BG118" s="237" t="str">
        <f>_xlfn.LET(
  _xlpm._一般,INDEX('在庫使用計画 (一般)'!$A$1:$BF$316,MATCH($C118,'在庫使用計画 (一般)'!$C$1:$C$316,0),MATCH(BG$1,'在庫使用計画 (一般)'!$A$1:$BF$1,0)),
  _xlpm._法人,INDEX('在庫使用計画 (法人)'!$A$1:$BF$327,MATCH($C118,'在庫使用計画 (法人)'!$C$1:$C$327,0),MATCH(BG$1,'在庫使用計画 (法人)'!$A$1:$BF$1,0)),
 IFERROR(
  IF(_xlpm._一般+_xlpm._法人=0,"",_xlpm._一般+_xlpm._法人
  ),
 "")
)</f>
        <v/>
      </c>
      <c r="BH118" s="804" t="str">
        <f>_xlfn.LET(
  _xlpm._一般,INDEX('在庫使用計画 (一般)'!$A$1:$BF$316,MATCH($C118,'在庫使用計画 (一般)'!$C$1:$C$316,0),MATCH(BH$1,'在庫使用計画 (一般)'!$A$1:$BF$1,0)),
  _xlpm._法人,INDEX('在庫使用計画 (法人)'!$A$1:$BF$327,MATCH($C118,'在庫使用計画 (法人)'!$C$1:$C$327,0),MATCH(BH$1,'在庫使用計画 (法人)'!$A$1:$BF$1,0)),
 IFERROR(
  IF(_xlpm._一般+_xlpm._法人=0,"",_xlpm._一般+_xlpm._法人
  ),
 "")
)</f>
        <v/>
      </c>
      <c r="BI118" s="224" t="str">
        <f>_xlfn.LET(
  _xlpm._一般,INDEX('在庫使用計画 (一般)'!$A$1:$BF$316,MATCH($C118,'在庫使用計画 (一般)'!$C$1:$C$316,0),MATCH(BI$1,'在庫使用計画 (一般)'!$A$1:$BF$1,0)),
  _xlpm._法人,INDEX('在庫使用計画 (法人)'!$A$1:$BF$327,MATCH($C118,'在庫使用計画 (法人)'!$C$1:$C$327,0),MATCH(BI$1,'在庫使用計画 (法人)'!$A$1:$BF$1,0)),
 IFERROR(
  IF(_xlpm._一般+_xlpm._法人=0,"",_xlpm._一般+_xlpm._法人
  ),
 "")
)</f>
        <v/>
      </c>
      <c r="BJ118" s="224" t="str">
        <f>_xlfn.LET(
  _xlpm._一般,INDEX('在庫使用計画 (一般)'!$A$1:$BF$316,MATCH($C118,'在庫使用計画 (一般)'!$C$1:$C$316,0),MATCH(BJ$1,'在庫使用計画 (一般)'!$A$1:$BF$1,0)),
  _xlpm._法人,INDEX('在庫使用計画 (法人)'!$A$1:$BF$327,MATCH($C118,'在庫使用計画 (法人)'!$C$1:$C$327,0),MATCH(BJ$1,'在庫使用計画 (法人)'!$A$1:$BF$1,0)),
 IFERROR(
  IF(_xlpm._一般+_xlpm._法人=0,"",_xlpm._一般+_xlpm._法人
  ),
 "")
)</f>
        <v/>
      </c>
      <c r="BK118" s="224" t="str">
        <f>_xlfn.LET(
  _xlpm._一般,INDEX('在庫使用計画 (一般)'!$A$1:$BF$316,MATCH($C118,'在庫使用計画 (一般)'!$C$1:$C$316,0),MATCH(BK$1,'在庫使用計画 (一般)'!$A$1:$BF$1,0)),
  _xlpm._法人,INDEX('在庫使用計画 (法人)'!$A$1:$BF$327,MATCH($C118,'在庫使用計画 (法人)'!$C$1:$C$327,0),MATCH(BK$1,'在庫使用計画 (法人)'!$A$1:$BF$1,0)),
 IFERROR(
  IF(_xlpm._一般+_xlpm._法人=0,"",_xlpm._一般+_xlpm._法人
  ),
 "")
)</f>
        <v/>
      </c>
      <c r="BL118" s="224" t="str">
        <f>_xlfn.LET(
  _xlpm._一般,INDEX('在庫使用計画 (一般)'!$A$1:$BF$316,MATCH($C118,'在庫使用計画 (一般)'!$C$1:$C$316,0),MATCH(BL$1,'在庫使用計画 (一般)'!$A$1:$BF$1,0)),
  _xlpm._法人,INDEX('在庫使用計画 (法人)'!$A$1:$BF$327,MATCH($C118,'在庫使用計画 (法人)'!$C$1:$C$327,0),MATCH(BL$1,'在庫使用計画 (法人)'!$A$1:$BF$1,0)),
 IFERROR(
  IF(_xlpm._一般+_xlpm._法人=0,"",_xlpm._一般+_xlpm._法人
  ),
 "")
)</f>
        <v/>
      </c>
      <c r="BM118" s="224" t="str">
        <f>_xlfn.LET(
  _xlpm._一般,INDEX('在庫使用計画 (一般)'!$A$1:$BF$316,MATCH($C118,'在庫使用計画 (一般)'!$C$1:$C$316,0),MATCH(BM$1,'在庫使用計画 (一般)'!$A$1:$BF$1,0)),
  _xlpm._法人,INDEX('在庫使用計画 (法人)'!$A$1:$BF$327,MATCH($C118,'在庫使用計画 (法人)'!$C$1:$C$327,0),MATCH(BM$1,'在庫使用計画 (法人)'!$A$1:$BF$1,0)),
 IFERROR(
  IF(_xlpm._一般+_xlpm._法人=0,"",_xlpm._一般+_xlpm._法人
  ),
 "")
)</f>
        <v/>
      </c>
      <c r="BN118" s="224" t="str">
        <f>_xlfn.LET(
  _xlpm._一般,INDEX('在庫使用計画 (一般)'!$A$1:$BF$316,MATCH($C118,'在庫使用計画 (一般)'!$C$1:$C$316,0),MATCH(BN$1,'在庫使用計画 (一般)'!$A$1:$BF$1,0)),
  _xlpm._法人,INDEX('在庫使用計画 (法人)'!$A$1:$BF$327,MATCH($C118,'在庫使用計画 (法人)'!$C$1:$C$327,0),MATCH(BN$1,'在庫使用計画 (法人)'!$A$1:$BF$1,0)),
 IFERROR(
  IF(_xlpm._一般+_xlpm._法人=0,"",_xlpm._一般+_xlpm._法人
  ),
 "")
)</f>
        <v/>
      </c>
      <c r="BO118" s="224" t="str">
        <f>_xlfn.LET(
  _xlpm._一般,INDEX('在庫使用計画 (一般)'!$A$1:$BF$316,MATCH($C118,'在庫使用計画 (一般)'!$C$1:$C$316,0),MATCH(BO$1,'在庫使用計画 (一般)'!$A$1:$BF$1,0)),
  _xlpm._法人,INDEX('在庫使用計画 (法人)'!$A$1:$BF$327,MATCH($C118,'在庫使用計画 (法人)'!$C$1:$C$327,0),MATCH(BO$1,'在庫使用計画 (法人)'!$A$1:$BF$1,0)),
 IFERROR(
  IF(_xlpm._一般+_xlpm._法人=0,"",_xlpm._一般+_xlpm._法人
  ),
 "")
)</f>
        <v/>
      </c>
      <c r="BP118" s="224" t="str">
        <f>_xlfn.LET(
  _xlpm._一般,INDEX('在庫使用計画 (一般)'!$A$1:$BF$316,MATCH($C118,'在庫使用計画 (一般)'!$C$1:$C$316,0),MATCH(BP$1,'在庫使用計画 (一般)'!$A$1:$BF$1,0)),
  _xlpm._法人,INDEX('在庫使用計画 (法人)'!$A$1:$BF$327,MATCH($C118,'在庫使用計画 (法人)'!$C$1:$C$327,0),MATCH(BP$1,'在庫使用計画 (法人)'!$A$1:$BF$1,0)),
 IFERROR(
  IF(_xlpm._一般+_xlpm._法人=0,"",_xlpm._一般+_xlpm._法人
  ),
 "")
)</f>
        <v/>
      </c>
      <c r="BQ118" s="224" t="str">
        <f>_xlfn.LET(
  _xlpm._一般,INDEX('在庫使用計画 (一般)'!$A$1:$BF$316,MATCH($C118,'在庫使用計画 (一般)'!$C$1:$C$316,0),MATCH(BQ$1,'在庫使用計画 (一般)'!$A$1:$BF$1,0)),
  _xlpm._法人,INDEX('在庫使用計画 (法人)'!$A$1:$BF$327,MATCH($C118,'在庫使用計画 (法人)'!$C$1:$C$327,0),MATCH(BQ$1,'在庫使用計画 (法人)'!$A$1:$BF$1,0)),
 IFERROR(
  IF(_xlpm._一般+_xlpm._法人=0,"",_xlpm._一般+_xlpm._法人
  ),
 "")
)</f>
        <v/>
      </c>
      <c r="BR118" s="224" t="str">
        <f>_xlfn.LET(
  _xlpm._一般,INDEX('在庫使用計画 (一般)'!$A$1:$BF$316,MATCH($C118,'在庫使用計画 (一般)'!$C$1:$C$316,0),MATCH(BR$1,'在庫使用計画 (一般)'!$A$1:$BF$1,0)),
  _xlpm._法人,INDEX('在庫使用計画 (法人)'!$A$1:$BF$327,MATCH($C118,'在庫使用計画 (法人)'!$C$1:$C$327,0),MATCH(BR$1,'在庫使用計画 (法人)'!$A$1:$BF$1,0)),
 IFERROR(
  IF(_xlpm._一般+_xlpm._法人=0,"",_xlpm._一般+_xlpm._法人
  ),
 "")
)</f>
        <v/>
      </c>
      <c r="BS118" s="805" t="str">
        <f>_xlfn.LET(
  _xlpm._一般,INDEX('在庫使用計画 (一般)'!$A$1:$BF$316,MATCH($C118,'在庫使用計画 (一般)'!$C$1:$C$316,0),MATCH(BS$1,'在庫使用計画 (一般)'!$A$1:$BF$1,0)),
  _xlpm._法人,INDEX('在庫使用計画 (法人)'!$A$1:$BF$327,MATCH($C118,'在庫使用計画 (法人)'!$C$1:$C$327,0),MATCH(BS$1,'在庫使用計画 (法人)'!$A$1:$BF$1,0)),
 IFERROR(
  IF(_xlpm._一般+_xlpm._法人=0,"",_xlpm._一般+_xlpm._法人
  ),
 "")
)</f>
        <v/>
      </c>
      <c r="BT118" s="70"/>
    </row>
    <row r="119" spans="1:72" customFormat="1" ht="18.75" customHeight="1">
      <c r="A119" s="1075" t="s">
        <v>1317</v>
      </c>
      <c r="B119" s="55"/>
      <c r="C119" s="60"/>
      <c r="D119" s="2174" t="s">
        <v>1317</v>
      </c>
      <c r="E119" s="60" t="s">
        <v>1317</v>
      </c>
      <c r="F119" s="56"/>
      <c r="G119" s="74" t="str">
        <v/>
      </c>
      <c r="H119" s="38" t="str">
        <v/>
      </c>
      <c r="I119" s="38" t="str">
        <f ca="1">_xlfn.LET(_xlpm._今月から4ヶ月計画合計,
  SUM(
    OFFSET($A119,0,
      MATCH(
        EDATE(基準データ!$C$5,3),$A$1:$BD$1,1
      )-4,1,4)),
  IF($C119="","",_xlpm._今月から4ヶ月計画合計
)
)</f>
        <v/>
      </c>
      <c r="J119" s="74" t="s">
        <v>21</v>
      </c>
      <c r="K119" s="1462" t="str" cm="1">
        <f t="array" ref="K119">_xlfn.IFS(
  $C119="","",
  $G119="","発売前？",
  $G119=0,"在庫なし",
  TRUE,
  IFERROR(
    _xlfn.LET(
      _xlpm._在庫注残,     $G119,
      _xlpm._しきい値,     _xlpm._在庫注残 * 0.75,
      _xlpm._見出し元,     $L$1:$BU$1,
      _xlpm._計画,         $L119:$BU119,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
      </c>
      <c r="L119" s="57" t="s">
        <v>1317</v>
      </c>
      <c r="M119" s="57" t="s">
        <v>1317</v>
      </c>
      <c r="N119" s="57" t="s">
        <v>1317</v>
      </c>
      <c r="O119" s="57" t="s">
        <v>1317</v>
      </c>
      <c r="P119" s="57" t="s">
        <v>1317</v>
      </c>
      <c r="Q119" s="57" t="s">
        <v>1317</v>
      </c>
      <c r="R119" s="57" t="s">
        <v>1317</v>
      </c>
      <c r="S119" s="57" t="s">
        <v>1317</v>
      </c>
      <c r="T119" s="238" t="s">
        <v>1317</v>
      </c>
      <c r="U119" s="238" t="s">
        <v>1317</v>
      </c>
      <c r="V119" s="238" t="s">
        <v>1317</v>
      </c>
      <c r="W119" s="238" t="s">
        <v>1317</v>
      </c>
      <c r="X119" s="239" t="s">
        <v>1317</v>
      </c>
      <c r="Y119" s="239" t="s">
        <v>1317</v>
      </c>
      <c r="Z119" s="239" t="s">
        <v>1317</v>
      </c>
      <c r="AA119" s="239" t="s">
        <v>1317</v>
      </c>
      <c r="AB119" s="224" t="s">
        <v>21</v>
      </c>
      <c r="AC119" s="224" t="s">
        <v>21</v>
      </c>
      <c r="AD119" s="224" t="s">
        <v>21</v>
      </c>
      <c r="AE119" s="224" t="s">
        <v>21</v>
      </c>
      <c r="AF119" s="224" t="s">
        <v>21</v>
      </c>
      <c r="AG119" s="224" t="s">
        <v>21</v>
      </c>
      <c r="AH119" s="224" t="s">
        <v>21</v>
      </c>
      <c r="AI119" s="237" t="s">
        <v>21</v>
      </c>
      <c r="AJ119" s="804" t="s">
        <v>21</v>
      </c>
      <c r="AK119" s="224" t="s">
        <v>21</v>
      </c>
      <c r="AL119" s="224" t="s">
        <v>21</v>
      </c>
      <c r="AM119" s="224" t="s">
        <v>21</v>
      </c>
      <c r="AN119" s="224" t="str">
        <f>IFERROR(IF(SUM(INDEX('在庫使用計画 (一般)'!$A$1:$BF$557,MATCH($C119,'在庫使用計画 (一般)'!$C$1:$C$557,0),MATCH(AN$1,'在庫使用計画 (一般)'!$A$1:$BF$1,0)),INDEX('在庫使用計画 (法人)'!$A$1:$AT$578,MATCH($C119,'在庫使用計画 (法人)'!$C$1:$C$578,0),MATCH(AN$1,'在庫使用計画 (法人)'!$A$1:$AT$1,0)))=0,"",SUM(INDEX('在庫使用計画 (一般)'!$A$1:$BF$557,MATCH($C119,'在庫使用計画 (一般)'!$C$1:$C$557,0),MATCH(AN$1,'在庫使用計画 (一般)'!$A$1:$BF$1,0)),INDEX('在庫使用計画 (法人)'!$A$1:$AT$578,MATCH($C119,'在庫使用計画 (法人)'!$C$1:$C$578,0),MATCH(AN$1,'在庫使用計画 (法人)'!$A$1:$AT$1,0)))),"")</f>
        <v/>
      </c>
      <c r="AO119" s="224" t="str">
        <f>IFERROR(IF(SUM(INDEX('在庫使用計画 (一般)'!$A$1:$BF$557,MATCH($C119,'在庫使用計画 (一般)'!$C$1:$C$557,0),MATCH(AO$1,'在庫使用計画 (一般)'!$A$1:$BF$1,0)),INDEX('在庫使用計画 (法人)'!$A$1:$AT$578,MATCH($C119,'在庫使用計画 (法人)'!$C$1:$C$578,0),MATCH(AO$1,'在庫使用計画 (法人)'!$A$1:$AT$1,0)))=0,"",SUM(INDEX('在庫使用計画 (一般)'!$A$1:$BF$557,MATCH($C119,'在庫使用計画 (一般)'!$C$1:$C$557,0),MATCH(AO$1,'在庫使用計画 (一般)'!$A$1:$BF$1,0)),INDEX('在庫使用計画 (法人)'!$A$1:$AT$578,MATCH($C119,'在庫使用計画 (法人)'!$C$1:$C$578,0),MATCH(AO$1,'在庫使用計画 (法人)'!$A$1:$AT$1,0)))),"")</f>
        <v/>
      </c>
      <c r="AP119" s="224" t="str">
        <f>IFERROR(IF(SUM(INDEX('在庫使用計画 (一般)'!$A$1:$BF$557,MATCH($C119,'在庫使用計画 (一般)'!$C$1:$C$557,0),MATCH(AP$1,'在庫使用計画 (一般)'!$A$1:$BF$1,0)),INDEX('在庫使用計画 (法人)'!$A$1:$AT$578,MATCH($C119,'在庫使用計画 (法人)'!$C$1:$C$578,0),MATCH(AP$1,'在庫使用計画 (法人)'!$A$1:$AT$1,0)))=0,"",SUM(INDEX('在庫使用計画 (一般)'!$A$1:$BF$557,MATCH($C119,'在庫使用計画 (一般)'!$C$1:$C$557,0),MATCH(AP$1,'在庫使用計画 (一般)'!$A$1:$BF$1,0)),INDEX('在庫使用計画 (法人)'!$A$1:$AT$578,MATCH($C119,'在庫使用計画 (法人)'!$C$1:$C$578,0),MATCH(AP$1,'在庫使用計画 (法人)'!$A$1:$AT$1,0)))),"")</f>
        <v/>
      </c>
      <c r="AQ119" s="224" t="str">
        <f>IFERROR(IF(SUM(INDEX('在庫使用計画 (一般)'!$A$1:$BF$557,MATCH($C119,'在庫使用計画 (一般)'!$C$1:$C$557,0),MATCH(AQ$1,'在庫使用計画 (一般)'!$A$1:$BF$1,0)),INDEX('在庫使用計画 (法人)'!$A$1:$AT$578,MATCH($C119,'在庫使用計画 (法人)'!$C$1:$C$578,0),MATCH(AQ$1,'在庫使用計画 (法人)'!$A$1:$AT$1,0)))=0,"",SUM(INDEX('在庫使用計画 (一般)'!$A$1:$BF$557,MATCH($C119,'在庫使用計画 (一般)'!$C$1:$C$557,0),MATCH(AQ$1,'在庫使用計画 (一般)'!$A$1:$BF$1,0)),INDEX('在庫使用計画 (法人)'!$A$1:$AT$578,MATCH($C119,'在庫使用計画 (法人)'!$C$1:$C$578,0),MATCH(AQ$1,'在庫使用計画 (法人)'!$A$1:$AT$1,0)))),"")</f>
        <v/>
      </c>
      <c r="AR119" s="224" t="str">
        <f>IFERROR(IF(SUM(INDEX('在庫使用計画 (一般)'!$A$1:$BF$557,MATCH($C119,'在庫使用計画 (一般)'!$C$1:$C$557,0),MATCH(AR$1,'在庫使用計画 (一般)'!$A$1:$BF$1,0)),INDEX('在庫使用計画 (法人)'!$A$1:$AT$578,MATCH($C119,'在庫使用計画 (法人)'!$C$1:$C$578,0),MATCH(AR$1,'在庫使用計画 (法人)'!$A$1:$AT$1,0)))=0,"",SUM(INDEX('在庫使用計画 (一般)'!$A$1:$BF$557,MATCH($C119,'在庫使用計画 (一般)'!$C$1:$C$557,0),MATCH(AR$1,'在庫使用計画 (一般)'!$A$1:$BF$1,0)),INDEX('在庫使用計画 (法人)'!$A$1:$AT$578,MATCH($C119,'在庫使用計画 (法人)'!$C$1:$C$578,0),MATCH(AR$1,'在庫使用計画 (法人)'!$A$1:$AT$1,0)))),"")</f>
        <v/>
      </c>
      <c r="AS119" s="224" t="str">
        <f>IFERROR(IF(SUM(INDEX('在庫使用計画 (一般)'!$A$1:$BF$557,MATCH($C119,'在庫使用計画 (一般)'!$C$1:$C$557,0),MATCH(AS$1,'在庫使用計画 (一般)'!$A$1:$BF$1,0)),INDEX('在庫使用計画 (法人)'!$A$1:$AT$578,MATCH($C119,'在庫使用計画 (法人)'!$C$1:$C$578,0),MATCH(AS$1,'在庫使用計画 (法人)'!$A$1:$AT$1,0)))=0,"",SUM(INDEX('在庫使用計画 (一般)'!$A$1:$BF$557,MATCH($C119,'在庫使用計画 (一般)'!$C$1:$C$557,0),MATCH(AS$1,'在庫使用計画 (一般)'!$A$1:$BF$1,0)),INDEX('在庫使用計画 (法人)'!$A$1:$AT$578,MATCH($C119,'在庫使用計画 (法人)'!$C$1:$C$578,0),MATCH(AS$1,'在庫使用計画 (法人)'!$A$1:$AT$1,0)))),"")</f>
        <v/>
      </c>
      <c r="AT119" s="224" t="str">
        <f>IFERROR(IF(SUM(INDEX('在庫使用計画 (一般)'!$A$1:$BF$557,MATCH($C119,'在庫使用計画 (一般)'!$C$1:$C$557,0),MATCH(AT$1,'在庫使用計画 (一般)'!$A$1:$BF$1,0)),INDEX('在庫使用計画 (法人)'!$A$1:$AT$578,MATCH($C119,'在庫使用計画 (法人)'!$C$1:$C$578,0),MATCH(AT$1,'在庫使用計画 (法人)'!$A$1:$AT$1,0)))=0,"",SUM(INDEX('在庫使用計画 (一般)'!$A$1:$BF$557,MATCH($C119,'在庫使用計画 (一般)'!$C$1:$C$557,0),MATCH(AT$1,'在庫使用計画 (一般)'!$A$1:$BF$1,0)),INDEX('在庫使用計画 (法人)'!$A$1:$AT$578,MATCH($C119,'在庫使用計画 (法人)'!$C$1:$C$578,0),MATCH(AT$1,'在庫使用計画 (法人)'!$A$1:$AT$1,0)))),"")</f>
        <v/>
      </c>
      <c r="AU119" s="805" t="str">
        <f>IFERROR(IF(SUM(INDEX('在庫使用計画 (一般)'!$A$1:$BF$557,MATCH($C119,'在庫使用計画 (一般)'!$C$1:$C$557,0),MATCH(AU$1,'在庫使用計画 (一般)'!$A$1:$BF$1,0)),INDEX('在庫使用計画 (法人)'!$A$1:$AT$578,MATCH($C119,'在庫使用計画 (法人)'!$C$1:$C$578,0),MATCH(AU$1,'在庫使用計画 (法人)'!$A$1:$AT$1,0)))=0,"",SUM(INDEX('在庫使用計画 (一般)'!$A$1:$BF$557,MATCH($C119,'在庫使用計画 (一般)'!$C$1:$C$557,0),MATCH(AU$1,'在庫使用計画 (一般)'!$A$1:$BF$1,0)),INDEX('在庫使用計画 (法人)'!$A$1:$AT$578,MATCH($C119,'在庫使用計画 (法人)'!$C$1:$C$578,0),MATCH(AU$1,'在庫使用計画 (法人)'!$A$1:$AT$1,0)))),"")</f>
        <v/>
      </c>
      <c r="AV119" s="244" t="str">
        <f>_xlfn.LET(
  _xlpm._一般,INDEX('在庫使用計画 (一般)'!$A$1:$BF$316,MATCH($C119,'在庫使用計画 (一般)'!$C$1:$C$316,0),MATCH(AV$1,'在庫使用計画 (一般)'!$A$1:$BF$1,0)),
  _xlpm._法人,INDEX('在庫使用計画 (法人)'!$A$1:$BF$327,MATCH($C119,'在庫使用計画 (法人)'!$C$1:$C$327,0),MATCH(AV$1,'在庫使用計画 (法人)'!$A$1:$BF$1,0)),
 IFERROR(
  IF(_xlpm._一般+_xlpm._法人=0,"",_xlpm._一般+_xlpm._法人
  ),
 "")
)</f>
        <v/>
      </c>
      <c r="AW119" s="224" t="str">
        <f>_xlfn.LET(
  _xlpm._一般,INDEX('在庫使用計画 (一般)'!$A$1:$BF$316,MATCH($C119,'在庫使用計画 (一般)'!$C$1:$C$316,0),MATCH(AW$1,'在庫使用計画 (一般)'!$A$1:$BF$1,0)),
  _xlpm._法人,INDEX('在庫使用計画 (法人)'!$A$1:$BF$327,MATCH($C119,'在庫使用計画 (法人)'!$C$1:$C$327,0),MATCH(AW$1,'在庫使用計画 (法人)'!$A$1:$BF$1,0)),
 IFERROR(
  IF(_xlpm._一般+_xlpm._法人=0,"",_xlpm._一般+_xlpm._法人
  ),
 "")
)</f>
        <v/>
      </c>
      <c r="AX119" s="224" t="str">
        <f>_xlfn.LET(
  _xlpm._一般,INDEX('在庫使用計画 (一般)'!$A$1:$BF$316,MATCH($C119,'在庫使用計画 (一般)'!$C$1:$C$316,0),MATCH(AX$1,'在庫使用計画 (一般)'!$A$1:$BF$1,0)),
  _xlpm._法人,INDEX('在庫使用計画 (法人)'!$A$1:$BF$327,MATCH($C119,'在庫使用計画 (法人)'!$C$1:$C$327,0),MATCH(AX$1,'在庫使用計画 (法人)'!$A$1:$BF$1,0)),
 IFERROR(
  IF(_xlpm._一般+_xlpm._法人=0,"",_xlpm._一般+_xlpm._法人
  ),
 "")
)</f>
        <v/>
      </c>
      <c r="AY119" s="224" t="str">
        <f>_xlfn.LET(
  _xlpm._一般,INDEX('在庫使用計画 (一般)'!$A$1:$BF$316,MATCH($C119,'在庫使用計画 (一般)'!$C$1:$C$316,0),MATCH(AY$1,'在庫使用計画 (一般)'!$A$1:$BF$1,0)),
  _xlpm._法人,INDEX('在庫使用計画 (法人)'!$A$1:$BF$327,MATCH($C119,'在庫使用計画 (法人)'!$C$1:$C$327,0),MATCH(AY$1,'在庫使用計画 (法人)'!$A$1:$BF$1,0)),
 IFERROR(
  IF(_xlpm._一般+_xlpm._法人=0,"",_xlpm._一般+_xlpm._法人
  ),
 "")
)</f>
        <v/>
      </c>
      <c r="AZ119" s="224" t="str">
        <f>_xlfn.LET(
  _xlpm._一般,INDEX('在庫使用計画 (一般)'!$A$1:$BF$316,MATCH($C119,'在庫使用計画 (一般)'!$C$1:$C$316,0),MATCH(AZ$1,'在庫使用計画 (一般)'!$A$1:$BF$1,0)),
  _xlpm._法人,INDEX('在庫使用計画 (法人)'!$A$1:$BF$327,MATCH($C119,'在庫使用計画 (法人)'!$C$1:$C$327,0),MATCH(AZ$1,'在庫使用計画 (法人)'!$A$1:$BF$1,0)),
 IFERROR(
  IF(_xlpm._一般+_xlpm._法人=0,"",_xlpm._一般+_xlpm._法人
  ),
 "")
)</f>
        <v/>
      </c>
      <c r="BA119" s="224" t="str">
        <f>_xlfn.LET(
  _xlpm._一般,INDEX('在庫使用計画 (一般)'!$A$1:$BF$316,MATCH($C119,'在庫使用計画 (一般)'!$C$1:$C$316,0),MATCH(BA$1,'在庫使用計画 (一般)'!$A$1:$BF$1,0)),
  _xlpm._法人,INDEX('在庫使用計画 (法人)'!$A$1:$BF$327,MATCH($C119,'在庫使用計画 (法人)'!$C$1:$C$327,0),MATCH(BA$1,'在庫使用計画 (法人)'!$A$1:$BF$1,0)),
 IFERROR(
  IF(_xlpm._一般+_xlpm._法人=0,"",_xlpm._一般+_xlpm._法人
  ),
 "")
)</f>
        <v/>
      </c>
      <c r="BB119" s="224" t="str">
        <f>_xlfn.LET(
  _xlpm._一般,INDEX('在庫使用計画 (一般)'!$A$1:$BF$316,MATCH($C119,'在庫使用計画 (一般)'!$C$1:$C$316,0),MATCH(BB$1,'在庫使用計画 (一般)'!$A$1:$BF$1,0)),
  _xlpm._法人,INDEX('在庫使用計画 (法人)'!$A$1:$BF$327,MATCH($C119,'在庫使用計画 (法人)'!$C$1:$C$327,0),MATCH(BB$1,'在庫使用計画 (法人)'!$A$1:$BF$1,0)),
 IFERROR(
  IF(_xlpm._一般+_xlpm._法人=0,"",_xlpm._一般+_xlpm._法人
  ),
 "")
)</f>
        <v/>
      </c>
      <c r="BC119" s="224" t="str">
        <f>_xlfn.LET(
  _xlpm._一般,INDEX('在庫使用計画 (一般)'!$A$1:$BF$316,MATCH($C119,'在庫使用計画 (一般)'!$C$1:$C$316,0),MATCH(BC$1,'在庫使用計画 (一般)'!$A$1:$BF$1,0)),
  _xlpm._法人,INDEX('在庫使用計画 (法人)'!$A$1:$BF$327,MATCH($C119,'在庫使用計画 (法人)'!$C$1:$C$327,0),MATCH(BC$1,'在庫使用計画 (法人)'!$A$1:$BF$1,0)),
 IFERROR(
  IF(_xlpm._一般+_xlpm._法人=0,"",_xlpm._一般+_xlpm._法人
  ),
 "")
)</f>
        <v/>
      </c>
      <c r="BD119" s="224" t="str">
        <f>_xlfn.LET(
  _xlpm._一般,INDEX('在庫使用計画 (一般)'!$A$1:$BF$316,MATCH($C119,'在庫使用計画 (一般)'!$C$1:$C$316,0),MATCH(BD$1,'在庫使用計画 (一般)'!$A$1:$BF$1,0)),
  _xlpm._法人,INDEX('在庫使用計画 (法人)'!$A$1:$BF$327,MATCH($C119,'在庫使用計画 (法人)'!$C$1:$C$327,0),MATCH(BD$1,'在庫使用計画 (法人)'!$A$1:$BF$1,0)),
 IFERROR(
  IF(_xlpm._一般+_xlpm._法人=0,"",_xlpm._一般+_xlpm._法人
  ),
 "")
)</f>
        <v/>
      </c>
      <c r="BE119" s="224" t="str">
        <f>_xlfn.LET(
  _xlpm._一般,INDEX('在庫使用計画 (一般)'!$A$1:$BF$316,MATCH($C119,'在庫使用計画 (一般)'!$C$1:$C$316,0),MATCH(BE$1,'在庫使用計画 (一般)'!$A$1:$BF$1,0)),
  _xlpm._法人,INDEX('在庫使用計画 (法人)'!$A$1:$BF$327,MATCH($C119,'在庫使用計画 (法人)'!$C$1:$C$327,0),MATCH(BE$1,'在庫使用計画 (法人)'!$A$1:$BF$1,0)),
 IFERROR(
  IF(_xlpm._一般+_xlpm._法人=0,"",_xlpm._一般+_xlpm._法人
  ),
 "")
)</f>
        <v/>
      </c>
      <c r="BF119" s="224" t="str">
        <f>_xlfn.LET(
  _xlpm._一般,INDEX('在庫使用計画 (一般)'!$A$1:$BF$316,MATCH($C119,'在庫使用計画 (一般)'!$C$1:$C$316,0),MATCH(BF$1,'在庫使用計画 (一般)'!$A$1:$BF$1,0)),
  _xlpm._法人,INDEX('在庫使用計画 (法人)'!$A$1:$BF$327,MATCH($C119,'在庫使用計画 (法人)'!$C$1:$C$327,0),MATCH(BF$1,'在庫使用計画 (法人)'!$A$1:$BF$1,0)),
 IFERROR(
  IF(_xlpm._一般+_xlpm._法人=0,"",_xlpm._一般+_xlpm._法人
  ),
 "")
)</f>
        <v/>
      </c>
      <c r="BG119" s="237" t="str">
        <f>_xlfn.LET(
  _xlpm._一般,INDEX('在庫使用計画 (一般)'!$A$1:$BF$316,MATCH($C119,'在庫使用計画 (一般)'!$C$1:$C$316,0),MATCH(BG$1,'在庫使用計画 (一般)'!$A$1:$BF$1,0)),
  _xlpm._法人,INDEX('在庫使用計画 (法人)'!$A$1:$BF$327,MATCH($C119,'在庫使用計画 (法人)'!$C$1:$C$327,0),MATCH(BG$1,'在庫使用計画 (法人)'!$A$1:$BF$1,0)),
 IFERROR(
  IF(_xlpm._一般+_xlpm._法人=0,"",_xlpm._一般+_xlpm._法人
  ),
 "")
)</f>
        <v/>
      </c>
      <c r="BH119" s="804" t="str">
        <f>_xlfn.LET(
  _xlpm._一般,INDEX('在庫使用計画 (一般)'!$A$1:$BF$316,MATCH($C119,'在庫使用計画 (一般)'!$C$1:$C$316,0),MATCH(BH$1,'在庫使用計画 (一般)'!$A$1:$BF$1,0)),
  _xlpm._法人,INDEX('在庫使用計画 (法人)'!$A$1:$BF$327,MATCH($C119,'在庫使用計画 (法人)'!$C$1:$C$327,0),MATCH(BH$1,'在庫使用計画 (法人)'!$A$1:$BF$1,0)),
 IFERROR(
  IF(_xlpm._一般+_xlpm._法人=0,"",_xlpm._一般+_xlpm._法人
  ),
 "")
)</f>
        <v/>
      </c>
      <c r="BI119" s="224" t="str">
        <f>_xlfn.LET(
  _xlpm._一般,INDEX('在庫使用計画 (一般)'!$A$1:$BF$316,MATCH($C119,'在庫使用計画 (一般)'!$C$1:$C$316,0),MATCH(BI$1,'在庫使用計画 (一般)'!$A$1:$BF$1,0)),
  _xlpm._法人,INDEX('在庫使用計画 (法人)'!$A$1:$BF$327,MATCH($C119,'在庫使用計画 (法人)'!$C$1:$C$327,0),MATCH(BI$1,'在庫使用計画 (法人)'!$A$1:$BF$1,0)),
 IFERROR(
  IF(_xlpm._一般+_xlpm._法人=0,"",_xlpm._一般+_xlpm._法人
  ),
 "")
)</f>
        <v/>
      </c>
      <c r="BJ119" s="224" t="str">
        <f>_xlfn.LET(
  _xlpm._一般,INDEX('在庫使用計画 (一般)'!$A$1:$BF$316,MATCH($C119,'在庫使用計画 (一般)'!$C$1:$C$316,0),MATCH(BJ$1,'在庫使用計画 (一般)'!$A$1:$BF$1,0)),
  _xlpm._法人,INDEX('在庫使用計画 (法人)'!$A$1:$BF$327,MATCH($C119,'在庫使用計画 (法人)'!$C$1:$C$327,0),MATCH(BJ$1,'在庫使用計画 (法人)'!$A$1:$BF$1,0)),
 IFERROR(
  IF(_xlpm._一般+_xlpm._法人=0,"",_xlpm._一般+_xlpm._法人
  ),
 "")
)</f>
        <v/>
      </c>
      <c r="BK119" s="224" t="str">
        <f>_xlfn.LET(
  _xlpm._一般,INDEX('在庫使用計画 (一般)'!$A$1:$BF$316,MATCH($C119,'在庫使用計画 (一般)'!$C$1:$C$316,0),MATCH(BK$1,'在庫使用計画 (一般)'!$A$1:$BF$1,0)),
  _xlpm._法人,INDEX('在庫使用計画 (法人)'!$A$1:$BF$327,MATCH($C119,'在庫使用計画 (法人)'!$C$1:$C$327,0),MATCH(BK$1,'在庫使用計画 (法人)'!$A$1:$BF$1,0)),
 IFERROR(
  IF(_xlpm._一般+_xlpm._法人=0,"",_xlpm._一般+_xlpm._法人
  ),
 "")
)</f>
        <v/>
      </c>
      <c r="BL119" s="224" t="str">
        <f>_xlfn.LET(
  _xlpm._一般,INDEX('在庫使用計画 (一般)'!$A$1:$BF$316,MATCH($C119,'在庫使用計画 (一般)'!$C$1:$C$316,0),MATCH(BL$1,'在庫使用計画 (一般)'!$A$1:$BF$1,0)),
  _xlpm._法人,INDEX('在庫使用計画 (法人)'!$A$1:$BF$327,MATCH($C119,'在庫使用計画 (法人)'!$C$1:$C$327,0),MATCH(BL$1,'在庫使用計画 (法人)'!$A$1:$BF$1,0)),
 IFERROR(
  IF(_xlpm._一般+_xlpm._法人=0,"",_xlpm._一般+_xlpm._法人
  ),
 "")
)</f>
        <v/>
      </c>
      <c r="BM119" s="224" t="str">
        <f>_xlfn.LET(
  _xlpm._一般,INDEX('在庫使用計画 (一般)'!$A$1:$BF$316,MATCH($C119,'在庫使用計画 (一般)'!$C$1:$C$316,0),MATCH(BM$1,'在庫使用計画 (一般)'!$A$1:$BF$1,0)),
  _xlpm._法人,INDEX('在庫使用計画 (法人)'!$A$1:$BF$327,MATCH($C119,'在庫使用計画 (法人)'!$C$1:$C$327,0),MATCH(BM$1,'在庫使用計画 (法人)'!$A$1:$BF$1,0)),
 IFERROR(
  IF(_xlpm._一般+_xlpm._法人=0,"",_xlpm._一般+_xlpm._法人
  ),
 "")
)</f>
        <v/>
      </c>
      <c r="BN119" s="224" t="str">
        <f>_xlfn.LET(
  _xlpm._一般,INDEX('在庫使用計画 (一般)'!$A$1:$BF$316,MATCH($C119,'在庫使用計画 (一般)'!$C$1:$C$316,0),MATCH(BN$1,'在庫使用計画 (一般)'!$A$1:$BF$1,0)),
  _xlpm._法人,INDEX('在庫使用計画 (法人)'!$A$1:$BF$327,MATCH($C119,'在庫使用計画 (法人)'!$C$1:$C$327,0),MATCH(BN$1,'在庫使用計画 (法人)'!$A$1:$BF$1,0)),
 IFERROR(
  IF(_xlpm._一般+_xlpm._法人=0,"",_xlpm._一般+_xlpm._法人
  ),
 "")
)</f>
        <v/>
      </c>
      <c r="BO119" s="224" t="str">
        <f>_xlfn.LET(
  _xlpm._一般,INDEX('在庫使用計画 (一般)'!$A$1:$BF$316,MATCH($C119,'在庫使用計画 (一般)'!$C$1:$C$316,0),MATCH(BO$1,'在庫使用計画 (一般)'!$A$1:$BF$1,0)),
  _xlpm._法人,INDEX('在庫使用計画 (法人)'!$A$1:$BF$327,MATCH($C119,'在庫使用計画 (法人)'!$C$1:$C$327,0),MATCH(BO$1,'在庫使用計画 (法人)'!$A$1:$BF$1,0)),
 IFERROR(
  IF(_xlpm._一般+_xlpm._法人=0,"",_xlpm._一般+_xlpm._法人
  ),
 "")
)</f>
        <v/>
      </c>
      <c r="BP119" s="224" t="str">
        <f>_xlfn.LET(
  _xlpm._一般,INDEX('在庫使用計画 (一般)'!$A$1:$BF$316,MATCH($C119,'在庫使用計画 (一般)'!$C$1:$C$316,0),MATCH(BP$1,'在庫使用計画 (一般)'!$A$1:$BF$1,0)),
  _xlpm._法人,INDEX('在庫使用計画 (法人)'!$A$1:$BF$327,MATCH($C119,'在庫使用計画 (法人)'!$C$1:$C$327,0),MATCH(BP$1,'在庫使用計画 (法人)'!$A$1:$BF$1,0)),
 IFERROR(
  IF(_xlpm._一般+_xlpm._法人=0,"",_xlpm._一般+_xlpm._法人
  ),
 "")
)</f>
        <v/>
      </c>
      <c r="BQ119" s="224" t="str">
        <f>_xlfn.LET(
  _xlpm._一般,INDEX('在庫使用計画 (一般)'!$A$1:$BF$316,MATCH($C119,'在庫使用計画 (一般)'!$C$1:$C$316,0),MATCH(BQ$1,'在庫使用計画 (一般)'!$A$1:$BF$1,0)),
  _xlpm._法人,INDEX('在庫使用計画 (法人)'!$A$1:$BF$327,MATCH($C119,'在庫使用計画 (法人)'!$C$1:$C$327,0),MATCH(BQ$1,'在庫使用計画 (法人)'!$A$1:$BF$1,0)),
 IFERROR(
  IF(_xlpm._一般+_xlpm._法人=0,"",_xlpm._一般+_xlpm._法人
  ),
 "")
)</f>
        <v/>
      </c>
      <c r="BR119" s="224" t="str">
        <f>_xlfn.LET(
  _xlpm._一般,INDEX('在庫使用計画 (一般)'!$A$1:$BF$316,MATCH($C119,'在庫使用計画 (一般)'!$C$1:$C$316,0),MATCH(BR$1,'在庫使用計画 (一般)'!$A$1:$BF$1,0)),
  _xlpm._法人,INDEX('在庫使用計画 (法人)'!$A$1:$BF$327,MATCH($C119,'在庫使用計画 (法人)'!$C$1:$C$327,0),MATCH(BR$1,'在庫使用計画 (法人)'!$A$1:$BF$1,0)),
 IFERROR(
  IF(_xlpm._一般+_xlpm._法人=0,"",_xlpm._一般+_xlpm._法人
  ),
 "")
)</f>
        <v/>
      </c>
      <c r="BS119" s="805" t="str">
        <f>_xlfn.LET(
  _xlpm._一般,INDEX('在庫使用計画 (一般)'!$A$1:$BF$316,MATCH($C119,'在庫使用計画 (一般)'!$C$1:$C$316,0),MATCH(BS$1,'在庫使用計画 (一般)'!$A$1:$BF$1,0)),
  _xlpm._法人,INDEX('在庫使用計画 (法人)'!$A$1:$BF$327,MATCH($C119,'在庫使用計画 (法人)'!$C$1:$C$327,0),MATCH(BS$1,'在庫使用計画 (法人)'!$A$1:$BF$1,0)),
 IFERROR(
  IF(_xlpm._一般+_xlpm._法人=0,"",_xlpm._一般+_xlpm._法人
  ),
 "")
)</f>
        <v/>
      </c>
      <c r="BT119" s="21"/>
    </row>
    <row r="120" spans="1:72" customFormat="1" ht="18.75" customHeight="1">
      <c r="A120" s="1076" t="s">
        <v>1473</v>
      </c>
      <c r="B120" s="55" t="s">
        <v>992</v>
      </c>
      <c r="C120" s="57" t="s">
        <v>990</v>
      </c>
      <c r="D120" s="2175" t="s">
        <v>438</v>
      </c>
      <c r="E120" s="115" t="s">
        <v>1521</v>
      </c>
      <c r="F120" s="68" t="s">
        <v>20</v>
      </c>
      <c r="G120" s="74">
        <v>0</v>
      </c>
      <c r="H120" s="38">
        <v>0</v>
      </c>
      <c r="I120" s="38">
        <f ca="1">_xlfn.LET(_xlpm._今月から4ヶ月計画合計,
  SUM(
    OFFSET($A120,0,
      MATCH(
        EDATE(基準データ!$C$5,3),$A$1:$BD$1,1
      )-4,1,4)),
  IF($C120="","",_xlpm._今月から4ヶ月計画合計
)
)</f>
        <v>0</v>
      </c>
      <c r="J120" s="74" t="s">
        <v>21</v>
      </c>
      <c r="K120" s="1462" t="str" cm="1">
        <f t="array" ref="K120">_xlfn.IFS(
  $C120="","",
  $G120="","発売前？",
  $G120=0,"在庫なし",
  TRUE,
  IFERROR(
    _xlfn.LET(
      _xlpm._在庫注残,     $G120,
      _xlpm._しきい値,     _xlpm._在庫注残 * 0.75,
      _xlpm._見出し元,     $L$1:$BU$1,
      _xlpm._計画,         $L120:$BU120,
      _xlpm._基準日,       INT(基準データ!$C$5) - 1,
      _xlpm._今月1日,      EOMONTH(_xlpm._基準日, -1) + 1,
      _xlpm._月末日,       EOMONTH(_xlpm._基準日, 0),
      _xlpm._今月位置,     _xlfn.XMATCH(_xlpm._今月1日, _xlpm._見出し元),
      _xlpm._今月計画按分, N(INDEX(_xlpm._計画, 1, _xlpm._今月位置))
                      * (_xlpm._月末日 - _xlpm._基準日)
                      / DAY(_xlpm._月末日),
      _xlpm._件数,         COLUMNS(_xlpm._計画) - _xlpm._今月位置,
      IF(
        _xlpm._件数&lt;=0,
        IF(
          _xlpm._今月計画按分=0,
          "計画なし",
          IF(
            _xlpm._今月計画按分 &gt;= _xlpm._しきい値,
            _xlpm._今月1日,
            "合計" &amp; TEXT(_xlpm._今月計画按分, "#,##0")
            &amp; "、在庫+注残" &amp; TEXT(_xlpm._在庫注残, "#,##0")
            &amp; "のため不足"
          )
        ),
        _xlfn.LET(
          _xlpm._将来計画, N(
            INDEX(
              _xlpm._計画,
              1,
              _xlfn.SEQUENCE(, _xlpm._件数, _xlpm._今月位置 + 1)
            )
          ),
          _xlpm._累計, MMULT(
            _xlpm._将来計画,
            --(
              _xlfn.SEQUENCE(_xlpm._件数)
              &lt;= TRANSPOSE(_xlfn.SEQUENCE(_xlpm._件数))
            )
          ),
          _xlpm._計画合計, _xlpm._今月計画按分 + SUM(_xlpm._将来計画),
          IF(
            _xlpm._計画合計=0,
            "計画なし",
            IF(
              _xlpm._今月計画按分 &gt;= _xlpm._しきい値,
              _xlpm._今月1日,
              IF(
                _xlpm._計画合計 &lt; _xlpm._しきい値,
                "合計" &amp; TEXT(_xlpm._計画合計, "#,##0")
                &amp; "、在庫+注残" &amp; TEXT(_xlpm._在庫注残, "#,##0")
                &amp; "のため不足",
                INDEX(
                  _xlpm._見出し元,
                  1,
                  _xlpm._今月位置
                  + _xlfn.XMATCH(
                      _xlpm._しきい値 - _xlpm._今月計画按分,
                      _xlpm._累計,
                      1
                    )
                )
              )
            )
          )
        )
      )
    ),
    "見出し要確認"
  )
)</f>
        <v>在庫なし</v>
      </c>
      <c r="L120" s="38" t="s">
        <v>21</v>
      </c>
      <c r="M120" s="38" t="s">
        <v>21</v>
      </c>
      <c r="N120" s="38" t="s">
        <v>21</v>
      </c>
      <c r="O120" s="38" t="s">
        <v>21</v>
      </c>
      <c r="P120" s="38" t="s">
        <v>21</v>
      </c>
      <c r="Q120" s="38" t="s">
        <v>21</v>
      </c>
      <c r="R120" s="38">
        <v>25</v>
      </c>
      <c r="S120" s="38">
        <v>5</v>
      </c>
      <c r="T120" s="219">
        <v>63</v>
      </c>
      <c r="U120" s="219">
        <v>6</v>
      </c>
      <c r="V120" s="219">
        <v>35</v>
      </c>
      <c r="W120" s="219">
        <v>45</v>
      </c>
      <c r="X120" s="224">
        <v>21</v>
      </c>
      <c r="Y120" s="224">
        <v>144</v>
      </c>
      <c r="Z120" s="224">
        <v>100</v>
      </c>
      <c r="AA120" s="224">
        <v>100</v>
      </c>
      <c r="AB120" s="224">
        <v>160</v>
      </c>
      <c r="AC120" s="224">
        <v>135</v>
      </c>
      <c r="AD120" s="224">
        <v>155</v>
      </c>
      <c r="AE120" s="224">
        <v>125</v>
      </c>
      <c r="AF120" s="224">
        <v>177</v>
      </c>
      <c r="AG120" s="224" t="s">
        <v>21</v>
      </c>
      <c r="AH120" s="224" t="s">
        <v>21</v>
      </c>
      <c r="AI120" s="237" t="s">
        <v>21</v>
      </c>
      <c r="AJ120" s="804" t="s">
        <v>21</v>
      </c>
      <c r="AK120" s="224" t="s">
        <v>21</v>
      </c>
      <c r="AL120" s="224" t="s">
        <v>21</v>
      </c>
      <c r="AM120" s="224">
        <v>8</v>
      </c>
      <c r="AN120" s="224" t="str">
        <f>IFERROR(IF(SUM(INDEX('在庫使用計画 (一般)'!$A$1:$BF$557,MATCH($C120,'在庫使用計画 (一般)'!$C$1:$C$557,0),MATCH(AN$1,'在庫使用計画 (一般)'!$A$1:$BF$1,0)),INDEX('在庫使用計画 (法人)'!$A$1:$AT$578,MATCH($C120,'在庫使用計画 (法人)'!$C$1:$C$578,0),MATCH(AN$1,'在庫使用計画 (法人)'!$A$1:$AT$1,0)))=0,"",SUM(INDEX('在庫使用計画 (一般)'!$A$1:$BF$557,MATCH($C120,'在庫使用計画 (一般)'!$C$1:$C$557,0),MATCH(AN$1,'在庫使用計画 (一般)'!$A$1:$BF$1,0)),INDEX('在庫使用計画 (法人)'!$A$1:$AT$578,MATCH($C120,'在庫使用計画 (法人)'!$C$1:$C$578,0),MATCH(AN$1,'在庫使用計画 (法人)'!$A$1:$AT$1,0)))),"")</f>
        <v/>
      </c>
      <c r="AO120" s="224" t="str">
        <f>IFERROR(IF(SUM(INDEX('在庫使用計画 (一般)'!$A$1:$BF$557,MATCH($C120,'在庫使用計画 (一般)'!$C$1:$C$557,0),MATCH(AO$1,'在庫使用計画 (一般)'!$A$1:$BF$1,0)),INDEX('在庫使用計画 (法人)'!$A$1:$AT$578,MATCH($C120,'在庫使用計画 (法人)'!$C$1:$C$578,0),MATCH(AO$1,'在庫使用計画 (法人)'!$A$1:$AT$1,0)))=0,"",SUM(INDEX('在庫使用計画 (一般)'!$A$1:$BF$557,MATCH($C120,'在庫使用計画 (一般)'!$C$1:$C$557,0),MATCH(AO$1,'在庫使用計画 (一般)'!$A$1:$BF$1,0)),INDEX('在庫使用計画 (法人)'!$A$1:$AT$578,MATCH($C120,'在庫使用計画 (法人)'!$C$1:$C$578,0),MATCH(AO$1,'在庫使用計画 (法人)'!$A$1:$AT$1,0)))),"")</f>
        <v/>
      </c>
      <c r="AP120" s="224" t="str">
        <f>IFERROR(IF(SUM(INDEX('在庫使用計画 (一般)'!$A$1:$BF$557,MATCH($C120,'在庫使用計画 (一般)'!$C$1:$C$557,0),MATCH(AP$1,'在庫使用計画 (一般)'!$A$1:$BF$1,0)),INDEX('在庫使用計画 (法人)'!$A$1:$AT$578,MATCH($C120,'在庫使用計画 (法人)'!$C$1:$C$578,0),MATCH(AP$1,'在庫使用計画 (法人)'!$A$1:$AT$1,0)))=0,"",SUM(INDEX('在庫使用計画 (一般)'!$A$1:$BF$557,MATCH($C120,'在庫使用計画 (一般)'!$C$1:$C$557,0),MATCH(AP$1,'在庫使用計画 (一般)'!$A$1:$BF$1,0)),INDEX('在庫使用計画 (法人)'!$A$1:$AT$578,MATCH($C120,'在庫使用計画 (法人)'!$C$1:$C$578,0),MATCH(AP$1,'在庫使用計画 (法人)'!$A$1:$AT$1,0)))),"")</f>
        <v/>
      </c>
      <c r="AQ120" s="224" t="str">
        <f>IFERROR(IF(SUM(INDEX('在庫使用計画 (一般)'!$A$1:$BF$557,MATCH($C120,'在庫使用計画 (一般)'!$C$1:$C$557,0),MATCH(AQ$1,'在庫使用計画 (一般)'!$A$1:$BF$1,0)),INDEX('在庫使用計画 (法人)'!$A$1:$AT$578,MATCH($C120,'在庫使用計画 (法人)'!$C$1:$C$578,0),MATCH(AQ$1,'在庫使用計画 (法人)'!$A$1:$AT$1,0)))=0,"",SUM(INDEX('在庫使用計画 (一般)'!$A$1:$BF$557,MATCH($C120,'在庫使用計画 (一般)'!$C$1:$C$557,0),MATCH(AQ$1,'在庫使用計画 (一般)'!$A$1:$BF$1,0)),INDEX('在庫使用計画 (法人)'!$A$1:$AT$578,MATCH($C120,'在庫使用計画 (法人)'!$C$1:$C$578,0),MATCH(AQ$1,'在庫使用計画 (法人)'!$A$1:$AT$1,0)))),"")</f>
        <v/>
      </c>
      <c r="AR120" s="224" t="str">
        <f>IFERROR(IF(SUM(INDEX('在庫使用計画 (一般)'!$A$1:$BF$557,MATCH($C120,'在庫使用計画 (一般)'!$C$1:$C$557,0),MATCH(AR$1,'在庫使用計画 (一般)'!$A$1:$BF$1,0)),INDEX('在庫使用計画 (法人)'!$A$1:$AT$578,MATCH($C120,'在庫使用計画 (法人)'!$C$1:$C$578,0),MATCH(AR$1,'在庫使用計画 (法人)'!$A$1:$AT$1,0)))=0,"",SUM(INDEX('在庫使用計画 (一般)'!$A$1:$BF$557,MATCH($C120,'在庫使用計画 (一般)'!$C$1:$C$557,0),MATCH(AR$1,'在庫使用計画 (一般)'!$A$1:$BF$1,0)),INDEX('在庫使用計画 (法人)'!$A$1:$AT$578,MATCH($C120,'在庫使用計画 (法人)'!$C$1:$C$578,0),MATCH(AR$1,'在庫使用計画 (法人)'!$A$1:$AT$1,0)))),"")</f>
        <v/>
      </c>
      <c r="AS120" s="224" t="str">
        <f>IFERROR(IF(SUM(INDEX('在庫使用計画 (一般)'!$A$1:$BF$557,MATCH($C120,'在庫使用計画 (一般)'!$C$1:$C$557,0),MATCH(AS$1,'在庫使用計画 (一般)'!$A$1:$BF$1,0)),INDEX('在庫使用計画 (法人)'!$A$1:$AT$578,MATCH($C120,'在庫使用計画 (法人)'!$C$1:$C$578,0),MATCH(AS$1,'在庫使用計画 (法人)'!$A$1:$AT$1,0)))=0,"",SUM(INDEX('在庫使用計画 (一般)'!$A$1:$BF$557,MATCH($C120,'在庫使用計画 (一般)'!$C$1:$C$557,0),MATCH(AS$1,'在庫使用計画 (一般)'!$A$1:$BF$1,0)),INDEX('在庫使用計画 (法人)'!$A$1:$AT$578,MATCH($C120,'在庫使用計画 (法人)'!$C$1:$C$578,0),MATCH(AS$1,'在庫使用計画 (法人)'!$A$1:$AT$1,0)))),"")</f>
        <v/>
      </c>
      <c r="AT120" s="224" t="str">
        <f>IFERROR(IF(SUM(INDEX('在庫使用計画 (一般)'!$A$1:$BF$557,MATCH($C120,'在庫使用計画 (一般)'!$C$1:$C$557,0),MATCH(AT$1,'在庫使用計画 (一般)'!$A$1:$BF$1,0)),INDEX('在庫使用計画 (法人)'!$A$1:$AT$578,MATCH($C120,'在庫使用計画 (法人)'!$C$1:$C$578,0),MATCH(AT$1,'在庫使用計画 (法人)'!$A$1:$AT$1,0)))=0,"",SUM(INDEX('在庫使用計画 (一般)'!$A$1:$BF$557,MATCH($C120,'在庫使用計画 (一般)'!$C$1:$C$557,0),MATCH(AT$1,'在庫使用計画 (一般)'!$A$1:$BF$1,0)),INDEX('在庫使用計画 (法人)'!$A$1:$AT$578,MATCH($C120,'在庫使用計画 (法人)'!$C$1:$C$578,0),MATCH(AT$1,'在庫使用計画 (法人)'!$A$1:$AT$1,0)))),"")</f>
        <v/>
      </c>
      <c r="AU120" s="805" t="str">
        <f>IFERROR(IF(SUM(INDEX('在庫使用計画 (一般)'!$A$1:$BF$557,MATCH($C120,'在庫使用計画 (一般)'!$C$1:$C$557,0),MATCH(AU$1,'在庫使用計画 (一般)'!$A$1:$BF$1,0)),INDEX('在庫使用計画 (法人)'!$A$1:$AT$578,MATCH($C120,'在庫使用計画 (法人)'!$C$1:$C$578,0),MATCH(AU$1,'在庫使用計画 (法人)'!$A$1:$AT$1,0)))=0,"",SUM(INDEX('在庫使用計画 (一般)'!$A$1:$BF$557,MATCH($C120,'在庫使用計画 (一般)'!$C$1:$C$557,0),MATCH(AU$1,'在庫使用計画 (一般)'!$A$1:$BF$1,0)),INDEX('在庫使用計画 (法人)'!$A$1:$AT$578,MATCH($C120,'在庫使用計画 (法人)'!$C$1:$C$578,0),MATCH(AU$1,'在庫使用計画 (法人)'!$A$1:$AT$1,0)))),"")</f>
        <v/>
      </c>
      <c r="AV120" s="244" t="str">
        <f>_xlfn.LET(
  _xlpm._一般,INDEX('在庫使用計画 (一般)'!$A$1:$BF$316,MATCH($C120,'在庫使用計画 (一般)'!$C$1:$C$316,0),MATCH(AV$1,'在庫使用計画 (一般)'!$A$1:$BF$1,0)),
  _xlpm._法人,INDEX('在庫使用計画 (法人)'!$A$1:$BF$327,MATCH($C120,'在庫使用計画 (法人)'!$C$1:$C$327,0),MATCH(AV$1,'在庫使用計画 (法人)'!$A$1:$BF$1,0)),
 IFERROR(
  IF(_xlpm._一般+_xlpm._法人=0,"",_xlpm._一般+_xlpm._法人
  ),
 "")
)</f>
        <v/>
      </c>
      <c r="AW120" s="224" t="str">
        <f>_xlfn.LET(
  _xlpm._一般,INDEX('在庫使用計画 (一般)'!$A$1:$BF$316,MATCH($C120,'在庫使用計画 (一般)'!$C$1:$C$316,0),MATCH(AW$1,'在庫使用計画 (一般)'!$A$1:$BF$1,0)),
  _xlpm._法人,INDEX('在庫使用計画 (法人)'!$A$1:$BF$327,MATCH($C120,'在庫使用計画 (法人)'!$C$1:$C$327,0),MATCH(AW$1,'在庫使用計画 (法人)'!$A$1:$BF$1,0)),
 IFERROR(
  IF(_xlpm._一般+_xlpm._法人=0,"",_xlpm._一般+_xlpm._法人
  ),
 "")
)</f>
        <v/>
      </c>
      <c r="AX120" s="224" t="str">
        <f>_xlfn.LET(
  _xlpm._一般,INDEX('在庫使用計画 (一般)'!$A$1:$BF$316,MATCH($C120,'在庫使用計画 (一般)'!$C$1:$C$316,0),MATCH(AX$1,'在庫使用計画 (一般)'!$A$1:$BF$1,0)),
  _xlpm._法人,INDEX('在庫使用計画 (法人)'!$A$1:$BF$327,MATCH($C120,'在庫使用計画 (法人)'!$C$1:$C$327,0),MATCH(AX$1,'在庫使用計画 (法人)'!$A$1:$BF$1,0)),
 IFERROR(
  IF(_xlpm._一般+_xlpm._法人=0,"",_xlpm._一般+_xlpm._法人
  ),
 "")
)</f>
        <v/>
      </c>
      <c r="AY120" s="224" t="str">
        <f>_xlfn.LET(
  _xlpm._一般,INDEX('在庫使用計画 (一般)'!$A$1:$BF$316,MATCH($C120,'在庫使用計画 (一般)'!$C$1:$C$316,0),MATCH(AY$1,'在庫使用計画 (一般)'!$A$1:$BF$1,0)),
  _xlpm._法人,INDEX('在庫使用計画 (法人)'!$A$1:$BF$327,MATCH($C120,'在庫使用計画 (法人)'!$C$1:$C$327,0),MATCH(AY$1,'在庫使用計画 (法人)'!$A$1:$BF$1,0)),
 IFERROR(
  IF(_xlpm._一般+_xlpm._法人=0,"",_xlpm._一般+_xlpm._法人
  ),
 "")
)</f>
        <v/>
      </c>
      <c r="AZ120" s="224" t="str">
        <f>_xlfn.LET(
  _xlpm._一般,INDEX('在庫使用計画 (一般)'!$A$1:$BF$316,MATCH($C120,'在庫使用計画 (一般)'!$C$1:$C$316,0),MATCH(AZ$1,'在庫使用計画 (一般)'!$A$1:$BF$1,0)),
  _xlpm._法人,INDEX('在庫使用計画 (法人)'!$A$1:$BF$327,MATCH($C120,'在庫使用計画 (法人)'!$C$1:$C$327,0),MATCH(AZ$1,'在庫使用計画 (法人)'!$A$1:$BF$1,0)),
 IFERROR(
  IF(_xlpm._一般+_xlpm._法人=0,"",_xlpm._一般+_xlpm._法人
  ),
 "")
)</f>
        <v/>
      </c>
      <c r="BA120" s="224" t="str">
        <f>_xlfn.LET(
  _xlpm._一般,INDEX('在庫使用計画 (一般)'!$A$1:$BF$316,MATCH($C120,'在庫使用計画 (一般)'!$C$1:$C$316,0),MATCH(BA$1,'在庫使用計画 (一般)'!$A$1:$BF$1,0)),
  _xlpm._法人,INDEX('在庫使用計画 (法人)'!$A$1:$BF$327,MATCH($C120,'在庫使用計画 (法人)'!$C$1:$C$327,0),MATCH(BA$1,'在庫使用計画 (法人)'!$A$1:$BF$1,0)),
 IFERROR(
  IF(_xlpm._一般+_xlpm._法人=0,"",_xlpm._一般+_xlpm._法人
  ),
 "")
)</f>
        <v/>
      </c>
      <c r="BB120" s="224" t="str">
        <f>_xlfn.LET(
  _xlpm._一般,INDEX('在庫使用計画 (一般)'!$A$1:$BF$316,MATCH($C120,'在庫使用計画 (一般)'!$C$1:$C$316,0),MATCH(BB$1,'在庫使用計画 (一般)'!$A$1:$BF$1,0)),
  _xlpm._法人,INDEX('在庫使用計画 (法人)'!$A$1:$BF$327,MATCH($C120,'在庫使用計画 (法人)'!$C$1:$C$327,0),MATCH(BB$1,'在庫使用計画 (法人)'!$A$1:$BF$1,0)),
 IFERROR(
  IF(_xlpm._一般+_xlpm._法人=0,"",_xlpm._一般+_xlpm._法人
  ),
 "")
)</f>
        <v/>
      </c>
      <c r="BC120" s="224" t="str">
        <f>_xlfn.LET(
  _xlpm._一般,INDEX('在庫使用計画 (一般)'!$A$1:$BF$316,MATCH($C120,'在庫使用計画 (一般)'!$C$1:$C$316,0),MATCH(BC$1,'在庫使用計画 (一般)'!$A$1:$BF$1,0)),
  _xlpm._法人,INDEX('在庫使用計画 (法人)'!$A$1:$BF$327,MATCH($C120,'在庫使用計画 (法人)'!$C$1:$C$327,0),MATCH(BC$1,'在庫使用計画 (法人)'!$A$1:$BF$1,0)),
 IFERROR(
  IF(_xlpm._一般+_xlpm._法人=0,"",_xlpm._一般+_xlpm._法人
  ),
 "")
)</f>
        <v/>
      </c>
      <c r="BD120" s="224" t="str">
        <f>_xlfn.LET(
  _xlpm._一般,INDEX('在庫使用計画 (一般)'!$A$1:$BF$316,MATCH($C120,'在庫使用計画 (一般)'!$C$1:$C$316,0),MATCH(BD$1,'在庫使用計画 (一般)'!$A$1:$BF$1,0)),
  _xlpm._法人,INDEX('在庫使用計画 (法人)'!$A$1:$BF$327,MATCH($C120,'在庫使用計画 (法人)'!$C$1:$C$327,0),MATCH(BD$1,'在庫使用計画 (法人)'!$A$1:$BF$1,0)),
 IFERROR(
  IF(_xlpm._一般+_xlpm._法人=0,"",_xlpm._一般+_xlpm._法人
  ),
 "")
)</f>
        <v/>
      </c>
      <c r="BE120" s="224" t="str">
        <f>_xlfn.LET(
  _xlpm._一般,INDEX('在庫使用計画 (一般)'!$A$1:$BF$316,MATCH($C120,'在庫使用計画 (一般)'!$C$1:$C$316,0),MATCH(BE$1,'在庫使用計画 (一般)'!$A$1:$BF$1,0)),
  _xlpm._法人,INDEX('在庫使用計画 (法人)'!$A$1:$BF$327,MATCH($C120,'在庫使用計画 (法人)'!$C$1:$C$327,0),MATCH(BE$1,'在庫使用計画 (法人)'!$A$1:$BF$1,0)),
 IFERROR(
  IF(_xlpm._一般+_xlpm._法人=0,"",_xlpm._一般+_xlpm._法人
  ),
 "")
)</f>
        <v/>
      </c>
      <c r="BF120" s="224" t="str">
        <f>_xlfn.LET(
  _xlpm._一般,INDEX('在庫使用計画 (一般)'!$A$1:$BF$316,MATCH($C120,'在庫使用計画 (一般)'!$C$1:$C$316,0),MATCH(BF$1,'在庫使用計画 (一般)'!$A$1:$BF$1,0)),
  _xlpm._法人,INDEX('在庫使用計画 (法人)'!$A$1:$BF$327,MATCH($C120,'在庫使用計画 (法人)'!$C$1:$C$327,0),MATCH(BF$1,'在庫使用計画 (法人)'!$A$1:$BF$1,0)),
 IFERROR(
  IF(_xlpm._一般+_xlpm._法人=0,"",_xlpm._一般+_xlpm._法人
  ),
 "")
)</f>
        <v/>
      </c>
      <c r="BG120" s="237" t="str">
        <f>_xlfn.LET(
  _xlpm._一般,INDEX('在庫使用計画 (一般)'!$A$1:$BF$316,MATCH($C120,'在庫使用計画 (一般)'!$C$1:$C$316,0),MATCH(BG$1,'在庫使用計画 (一般)'!$A$1:$BF$1,0)),
  _xlpm._法人,INDEX('在庫使用計画 (法人)'!$A$1:$BF$327,MATCH($C120,'在庫使用計画 (法人)'!$C$1:$C$327,0),MATCH(BG$1,'在庫使用計画 (法人)'!$A$1:$BF$1,0)),
 IFERROR(
  IF(_xlpm._一般+_xlpm._法人=0,"",_xlpm._一般+_xlpm._法人
  ),
 "")
)</f>
        <v/>
      </c>
      <c r="BH120" s="804" t="str">
        <f>_xlfn.LET(
  _xlpm._一般,INDEX('在庫使用計画 (一般)'!$A$1:$BF$316,MATCH($C120,'在庫使用計画 (一般)'!$C$1:$C$316,0),MATCH(BH$1,'在庫使用計画 (一般)'!$A$1:$BF$1,0)),
  _xlpm._法人,INDEX('在庫使用計画 (法人)'!$A$1:$BF$327,MATCH($C120,'在庫使用計画 (法人)'!$C$1:$C$327,0),MATCH(BH$1,'在庫使用計画 (法人)'!$A$1:$BF$1,0)),
 IFERROR(
  IF(_xlpm._一般+_xlpm._法人=0,"",_xlpm._一般+_xlpm._法人
  ),
 "")
)</f>
        <v/>
      </c>
      <c r="BI120" s="224" t="str">
        <f>_xlfn.LET(
  _xlpm._一般,INDEX('在庫使用計画 (一般)'!$A$1:$BF$316,MATCH($C120,'在庫使用計画 (一般)'!$C$1:$C$316,0),MATCH(BI$1,'在庫使用計画 (一般)'!$A$1:$BF$1,0)),
  _xlpm._法人,INDEX('在庫使用計画 (法人)'!$A$1:$BF$327,MATCH($C120,'在庫使用計画 (法人)'!$C$1:$C$327,0),MATCH(BI$1,'在庫使用計画 (法人)'!$A$1:$BF$1,0)),
 IFERROR(
  IF(_xlpm._一般+_xlpm._法人=0,"",_xlpm._一般+_xlpm._法人
  ),
 "")
)</f>
        <v/>
      </c>
      <c r="BJ120" s="224" t="str">
        <f>_xlfn.LET(
  _xlpm._一般,INDEX('在庫使用計画 (一般)'!$A$1:$BF$316,MATCH($C120,'在庫使用計画 (一般)'!$C$1:$C$316,0),MATCH(BJ$1,'在庫使用計画 (一般)'!$A$1:$BF$1,0)),
  _xlpm._法人,INDEX('在庫使用計画 (法人)'!$A$1:$BF$327,MATCH($C120,'在庫使用計画 (法人)'!$C$1:$C$327,0),MATCH(BJ$1,'在庫使用計画 (法人)'!$A$1:$BF$1,0)),
 IFERROR(
  IF(_xlpm._一般+_xlpm._法人=0,"",_xlpm._一般+_xlpm._法人
  ),
 "")
)</f>
        <v/>
      </c>
      <c r="BK120" s="224" t="str">
        <f>_xlfn.LET(
  _xlpm._一般,INDEX('在庫使用計画 (一般)'!$A$1:$BF$316,MATCH($C120,'在庫使用計画 (一般)'!$C$1:$C$316,0),MATCH(BK$1,'在庫使用計画 (一般)'!$A$1:$BF$1,0)),
  _xlpm._法人,INDEX('在庫使用計画 (法人)'!$A$1:$BF$327,MATCH($C120,'在庫使用計画 (法人)'!$C$1:$C$327,0),MATCH(BK$1,'在庫使用計画 (法人)'!$A$1:$BF$1,0)),
 IFERROR(
  IF(_xlpm._一般+_xlpm._法人=0,"",_xlpm._一般+_xlpm._法人
  ),
 "")
)</f>
        <v/>
      </c>
      <c r="BL120" s="224" t="str">
        <f>_xlfn.LET(
  _xlpm._一般,INDEX('在庫使用計画 (一般)'!$A$1:$BF$316,MATCH($C120,'在庫使用計画 (一般)'!$C$1:$C$316,0),MATCH(BL$1,'在庫使用計画 (一般)'!$A$1:$BF$1,0)),
  _xlpm._法人,INDEX('在庫使用計画 (法人)'!$A$1:$BF$327,MATCH($C120,'在庫使用計画 (法人)'!$C$1:$C$327,0),MATCH(BL$1,'在庫使用計画 (法人)'!$A$1:$BF$1,0)),
 IFERROR(
  IF(_xlpm._一般+_xlpm._法人=0,"",_xlpm._一般+_xlpm._法人
  ),
 "")
)</f>
        <v/>
      </c>
      <c r="BM120" s="224" t="str">
        <f>_xlfn.LET(
  _xlpm._一般,INDEX('在庫使用計画 (一般)'!$A$1:$BF$316,MATCH($C120,'在庫使用計画 (一般)'!$C$1:$C$316,0),MATCH(BM$1,'在庫使用計画 (一般)'!$A$1:$BF$1,0)),
  _xlpm._法人,INDEX('在庫使用計画 (法人)'!$A$1:$BF$327,MATCH($C120,'在庫使用計画 (法人)'!$C$1:$C$327,0),MATCH(BM$1,'在庫使用計画 (法人)'!$A$1:$BF$1,0)),
 IFERROR(
  IF(_xlpm._一般+_xlpm._法人=0,"",_xlpm._一般+_xlpm._法人
  ),
 "")
)</f>
        <v/>
      </c>
      <c r="BN120" s="224" t="str">
        <f>_xlfn.LET(
  _xlpm._一般,INDEX('在庫使用計画 (一般)'!$A$1:$BF$316,MATCH($C120,'在庫使用計画 (一般)'!$C$1:$C$316,0),MATCH(BN$1,'在庫使用計画 (一般)'!$A$1:$BF$1,0)),
  _xlpm._法人,INDEX('在庫使用計画 (法人)'!$A$1:$BF$327,MATCH($C120,'在庫使用計画 (法人)'!$C$1:$C$327,0),MATCH(BN$1,'在庫使用計画 (法人)'!$A$1:$BF$1,0)),
 IFERROR(
  IF(_xlpm._一般+_xlpm._法人=0,"",_xlpm._一般+_xlpm._法人
  ),
 "")
)</f>
        <v/>
      </c>
      <c r="BO120" s="224" t="str">
        <f>_xlfn.LET(
  _xlpm._一般,INDEX('在庫使用計画 (一般)'!$A$1:$BF$316,MATCH($C120,'在庫使用計画 (一般)'!$C$1:$C$316,0),MATCH(BO$1,'在庫使用計画 (一般)'!$A$1:$BF$1,0)),
  _xlpm._法人,INDEX('在庫使用計画 (法人)'!$A$1:$BF$327,MATCH($C120,'在庫使用計画 (法人)'!$C$1:$C$327,0),MATCH(BO$1,'在庫使用計画 (法人)'!$A$1:$BF$1,0)),
 IFERROR(
  IF(_xlpm._一般+_xlpm._法人=0,"",_xlpm._一般+_xlpm._法人
  ),
 "")
)</f>
        <v/>
      </c>
      <c r="BP120" s="224" t="str">
        <f>_xlfn.LET(
  _xlpm._一般,INDEX('在庫使用計画 (一般)'!$A$1:$BF$316,MATCH($C120,'在庫使用計画 (一般)'!$C$1:$C$316,0),MATCH(BP$1,'在庫使用計画 (一般)'!$A$1:$BF$1,0)),
  _xlpm._法人,INDEX('在庫使用計画 (法人)'!$A$1:$BF$327,MATCH($C120,'在庫使用計画 (法人)'!$C$1:$C$327,0),MATCH(BP$1,'在庫使用計画 (法人)'!$A$1:$BF$1,0)),
 IFERROR(
  IF(_xlpm._一般+_xlpm._法人=0,"",_xlpm._一般+_xlpm._法人
  ),
 "")
)</f>
        <v/>
      </c>
      <c r="BQ120" s="224" t="str">
        <f>_xlfn.LET(
  _xlpm._一般,INDEX('在庫使用計画 (一般)'!$A$1:$BF$316,MATCH($C120,'在庫使用計画 (一般)'!$C$1:$C$316,0),MATCH(BQ$1,'在庫使用計画 (一般)'!$A$1:$BF$1,0)),
  _xlpm._法人,INDEX('在庫使用計画 (法人)'!$A$1:$BF$327,MATCH($C120,'在庫使用計画 (法人)'!$C$1:$C$327,0),MATCH(BQ$1,'在庫使用計画 (法人)'!$A$1:$BF$1,0)),
 IFERROR(
  IF(_xlpm._一般+_xlpm._法人=0,"",_xlpm._一般+_xlpm._法人
  ),
 "")
)</f>
        <v/>
      </c>
      <c r="BR120" s="224" t="str">
        <f>_xlfn.LET(
  _xlpm._一般,INDEX('在庫使用計画 (一般)'!$A$1:$BF$316,MATCH($C120,'在庫使用計画 (一般)'!$C$1:$C$316,0),MATCH(BR$1,'在庫使用計画 (一般)'!$A$1:$BF$1,0)),
  _xlpm._法人,INDEX('在庫使用計画 (法人)'!$A$1:$BF$327,MATCH($C120,'在庫使用計画 (法人)'!$C$1:$C$327,0),MATCH(BR$1,'在庫使用計画 (法人)'!$A$1:$BF$1,0)),
 IFERROR(
  IF(_xlpm._一般+_xlpm._法人=0,"",_xlpm._一般+_xlpm._法人
  ),
 "")
)</f>
        <v/>
      </c>
      <c r="BS120" s="805" t="str">
        <f>_xlfn.LET(
  _xlpm._一般,INDEX('在庫使用計画 (一般)'!$A$1:$BF$316,MATCH($C120,'在庫使用計画 (一般)'!$C$1:$C$316,0),MATCH(BS$1,'在庫使用計画 (一般)'!$A$1:$BF$1,0)),
  _xlpm._法人,INDEX('在庫使用計画 (法人)'!$A$1:$BF$327,MATCH($C120,'在庫使用計画 (法人)'!$C$1:$C$327,0),MATCH(BS$1,'在庫使用計画 (法人)'!$A$1:$BF$1,0)),
 IFERROR(
  IF(_xlpm._一般+_xlpm._法人=0,"",_xlpm._一般+_xlpm._法人
  ),
 "")
)</f>
        <v/>
      </c>
      <c r="BT120" s="70"/>
    </row>
    <row r="121" spans="1:72" ht="18.75" customHeight="1">
      <c r="A121" s="1077"/>
      <c r="B121" s="206" t="s">
        <v>1522</v>
      </c>
      <c r="C121" s="206"/>
      <c r="D121" s="2176"/>
      <c r="E121" s="205"/>
      <c r="F121" s="205"/>
      <c r="G121" s="271">
        <v>16</v>
      </c>
      <c r="H121" s="271">
        <v>16</v>
      </c>
      <c r="I121" s="365">
        <v>6</v>
      </c>
      <c r="J121" s="365"/>
      <c r="K121" s="365"/>
      <c r="L121" s="366">
        <v>60</v>
      </c>
      <c r="M121" s="366">
        <v>50</v>
      </c>
      <c r="N121" s="366">
        <v>4</v>
      </c>
      <c r="O121" s="366">
        <v>20</v>
      </c>
      <c r="P121" s="366">
        <v>106</v>
      </c>
      <c r="Q121" s="366">
        <v>292</v>
      </c>
      <c r="R121" s="366">
        <v>279</v>
      </c>
      <c r="S121" s="366">
        <v>61</v>
      </c>
      <c r="T121" s="366">
        <v>409</v>
      </c>
      <c r="U121" s="366">
        <v>188</v>
      </c>
      <c r="V121" s="366">
        <v>293</v>
      </c>
      <c r="W121" s="366">
        <v>469</v>
      </c>
      <c r="X121" s="366">
        <v>456</v>
      </c>
      <c r="Y121" s="366">
        <v>1229</v>
      </c>
      <c r="Z121" s="366">
        <v>1386</v>
      </c>
      <c r="AA121" s="366">
        <v>817</v>
      </c>
      <c r="AB121" s="366">
        <v>518</v>
      </c>
      <c r="AC121" s="366">
        <v>439</v>
      </c>
      <c r="AD121" s="366">
        <v>584</v>
      </c>
      <c r="AE121" s="366">
        <v>530</v>
      </c>
      <c r="AF121" s="366">
        <v>362</v>
      </c>
      <c r="AG121" s="366">
        <v>25</v>
      </c>
      <c r="AH121" s="366">
        <v>22</v>
      </c>
      <c r="AI121" s="828">
        <v>0</v>
      </c>
      <c r="AJ121" s="851">
        <v>0</v>
      </c>
      <c r="AK121" s="366" t="s">
        <v>21</v>
      </c>
      <c r="AL121" s="366" t="s">
        <v>21</v>
      </c>
      <c r="AM121" s="366">
        <v>8</v>
      </c>
      <c r="AN121" s="366">
        <f t="shared" ref="AN121:AT121" si="13">SUM(AN111:AN120)</f>
        <v>6</v>
      </c>
      <c r="AO121" s="366">
        <f t="shared" si="13"/>
        <v>0</v>
      </c>
      <c r="AP121" s="366">
        <f t="shared" si="13"/>
        <v>0</v>
      </c>
      <c r="AQ121" s="366">
        <f t="shared" si="13"/>
        <v>0</v>
      </c>
      <c r="AR121" s="366">
        <f t="shared" si="13"/>
        <v>0</v>
      </c>
      <c r="AS121" s="366">
        <f t="shared" si="13"/>
        <v>0</v>
      </c>
      <c r="AT121" s="366">
        <f t="shared" si="13"/>
        <v>0</v>
      </c>
      <c r="AU121" s="852" t="str">
        <f>IFERROR(IF(SUM(INDEX('在庫使用計画 (一般)'!$A$1:$BF$557,MATCH($C121,'在庫使用計画 (一般)'!$C$1:$C$557,0),MATCH(AU$1,'在庫使用計画 (一般)'!$A$1:$BF$1,0)),INDEX('在庫使用計画 (法人)'!$A$1:$AT$578,MATCH($C121,'在庫使用計画 (法人)'!$C$1:$C$578,0),MATCH(AU$1,'在庫使用計画 (法人)'!$A$1:$AT$1,0)))=0,"",SUM(INDEX('在庫使用計画 (一般)'!$A$1:$BF$557,MATCH($C121,'在庫使用計画 (一般)'!$C$1:$C$557,0),MATCH(AU$1,'在庫使用計画 (一般)'!$A$1:$BF$1,0)),INDEX('在庫使用計画 (法人)'!$A$1:$AT$578,MATCH($C121,'在庫使用計画 (法人)'!$C$1:$C$578,0),MATCH(AU$1,'在庫使用計画 (法人)'!$A$1:$AT$1,0)))),"")</f>
        <v/>
      </c>
      <c r="AV121" s="832" t="str">
        <f>IFERROR(IF(SUM(INDEX('在庫使用計画 (一般)'!$A$1:$BF$557,MATCH($C121,'在庫使用計画 (一般)'!$C$1:$C$557,0),MATCH(AV$1,'在庫使用計画 (一般)'!$A$1:$BF$1,0)),INDEX('在庫使用計画 (法人)'!$A$1:$AT$578,MATCH($C121,'在庫使用計画 (法人)'!$C$1:$C$578,0),MATCH(AV$1,'在庫使用計画 (法人)'!$A$1:$AT$1,0)))=0,"",SUM(INDEX('在庫使用計画 (一般)'!$A$1:$BF$557,MATCH($C121,'在庫使用計画 (一般)'!$C$1:$C$557,0),MATCH(AV$1,'在庫使用計画 (一般)'!$A$1:$BF$1,0)),INDEX('在庫使用計画 (法人)'!$A$1:$AT$578,MATCH($C121,'在庫使用計画 (法人)'!$C$1:$C$578,0),MATCH(AV$1,'在庫使用計画 (法人)'!$A$1:$AT$1,0)))),"")</f>
        <v/>
      </c>
      <c r="AW121" s="642" t="str">
        <f>IFERROR(IF(SUM(INDEX('在庫使用計画 (一般)'!$A$1:$BF$557,MATCH($C121,'在庫使用計画 (一般)'!$C$1:$C$557,0),MATCH(AW$1,'在庫使用計画 (一般)'!$A$1:$BF$1,0)),INDEX('在庫使用計画 (法人)'!$A$1:$AT$578,MATCH($C121,'在庫使用計画 (法人)'!$C$1:$C$578,0),MATCH(AW$1,'在庫使用計画 (法人)'!$A$1:$AT$1,0)))=0,"",SUM(INDEX('在庫使用計画 (一般)'!$A$1:$BF$557,MATCH($C121,'在庫使用計画 (一般)'!$C$1:$C$557,0),MATCH(AW$1,'在庫使用計画 (一般)'!$A$1:$BF$1,0)),INDEX('在庫使用計画 (法人)'!$A$1:$AT$578,MATCH($C121,'在庫使用計画 (法人)'!$C$1:$C$578,0),MATCH(AW$1,'在庫使用計画 (法人)'!$A$1:$AT$1,0)))),"")</f>
        <v/>
      </c>
      <c r="AX121" s="642" t="str">
        <f>IFERROR(IF(SUM(INDEX('在庫使用計画 (一般)'!$A$1:$BF$557,MATCH($C121,'在庫使用計画 (一般)'!$C$1:$C$557,0),MATCH(AX$1,'在庫使用計画 (一般)'!$A$1:$BF$1,0)),INDEX('在庫使用計画 (法人)'!$A$1:$AT$578,MATCH($C121,'在庫使用計画 (法人)'!$C$1:$C$578,0),MATCH(AX$1,'在庫使用計画 (法人)'!$A$1:$AT$1,0)))=0,"",SUM(INDEX('在庫使用計画 (一般)'!$A$1:$BF$557,MATCH($C121,'在庫使用計画 (一般)'!$C$1:$C$557,0),MATCH(AX$1,'在庫使用計画 (一般)'!$A$1:$BF$1,0)),INDEX('在庫使用計画 (法人)'!$A$1:$AT$578,MATCH($C121,'在庫使用計画 (法人)'!$C$1:$C$578,0),MATCH(AX$1,'在庫使用計画 (法人)'!$A$1:$AT$1,0)))),"")</f>
        <v/>
      </c>
      <c r="AY121" s="642" t="str">
        <f>IFERROR(IF(SUM(INDEX('在庫使用計画 (一般)'!$A$1:$BF$557,MATCH($C121,'在庫使用計画 (一般)'!$C$1:$C$557,0),MATCH(AY$1,'在庫使用計画 (一般)'!$A$1:$BF$1,0)),INDEX('在庫使用計画 (法人)'!$A$1:$AT$578,MATCH($C121,'在庫使用計画 (法人)'!$C$1:$C$578,0),MATCH(AY$1,'在庫使用計画 (法人)'!$A$1:$AT$1,0)))=0,"",SUM(INDEX('在庫使用計画 (一般)'!$A$1:$BF$557,MATCH($C121,'在庫使用計画 (一般)'!$C$1:$C$557,0),MATCH(AY$1,'在庫使用計画 (一般)'!$A$1:$BF$1,0)),INDEX('在庫使用計画 (法人)'!$A$1:$AT$578,MATCH($C121,'在庫使用計画 (法人)'!$C$1:$C$578,0),MATCH(AY$1,'在庫使用計画 (法人)'!$A$1:$AT$1,0)))),"")</f>
        <v/>
      </c>
      <c r="AZ121" s="642" t="str">
        <f>IFERROR(IF(SUM(INDEX('在庫使用計画 (一般)'!$A$1:$BF$557,MATCH($C121,'在庫使用計画 (一般)'!$C$1:$C$557,0),MATCH(AZ$1,'在庫使用計画 (一般)'!$A$1:$BF$1,0)),INDEX('在庫使用計画 (法人)'!$A$1:$AT$578,MATCH($C121,'在庫使用計画 (法人)'!$C$1:$C$578,0),MATCH(AZ$1,'在庫使用計画 (法人)'!$A$1:$AT$1,0)))=0,"",SUM(INDEX('在庫使用計画 (一般)'!$A$1:$BF$557,MATCH($C121,'在庫使用計画 (一般)'!$C$1:$C$557,0),MATCH(AZ$1,'在庫使用計画 (一般)'!$A$1:$BF$1,0)),INDEX('在庫使用計画 (法人)'!$A$1:$AT$578,MATCH($C121,'在庫使用計画 (法人)'!$C$1:$C$578,0),MATCH(AZ$1,'在庫使用計画 (法人)'!$A$1:$AT$1,0)))),"")</f>
        <v/>
      </c>
      <c r="BA121" s="642" t="str">
        <f>IFERROR(IF(SUM(INDEX('在庫使用計画 (一般)'!$A$1:$BF$557,MATCH($C121,'在庫使用計画 (一般)'!$C$1:$C$557,0),MATCH(BA$1,'在庫使用計画 (一般)'!$A$1:$BF$1,0)),INDEX('在庫使用計画 (法人)'!$A$1:$AT$578,MATCH($C121,'在庫使用計画 (法人)'!$C$1:$C$578,0),MATCH(BA$1,'在庫使用計画 (法人)'!$A$1:$AT$1,0)))=0,"",SUM(INDEX('在庫使用計画 (一般)'!$A$1:$BF$557,MATCH($C121,'在庫使用計画 (一般)'!$C$1:$C$557,0),MATCH(BA$1,'在庫使用計画 (一般)'!$A$1:$BF$1,0)),INDEX('在庫使用計画 (法人)'!$A$1:$AT$578,MATCH($C121,'在庫使用計画 (法人)'!$C$1:$C$578,0),MATCH(BA$1,'在庫使用計画 (法人)'!$A$1:$AT$1,0)))),"")</f>
        <v/>
      </c>
      <c r="BB121" s="642" t="str">
        <f>IFERROR(IF(SUM(INDEX('在庫使用計画 (一般)'!$A$1:$BF$557,MATCH($C121,'在庫使用計画 (一般)'!$C$1:$C$557,0),MATCH(BB$1,'在庫使用計画 (一般)'!$A$1:$BF$1,0)),INDEX('在庫使用計画 (法人)'!$A$1:$AT$578,MATCH($C121,'在庫使用計画 (法人)'!$C$1:$C$578,0),MATCH(BB$1,'在庫使用計画 (法人)'!$A$1:$AT$1,0)))=0,"",SUM(INDEX('在庫使用計画 (一般)'!$A$1:$BF$557,MATCH($C121,'在庫使用計画 (一般)'!$C$1:$C$557,0),MATCH(BB$1,'在庫使用計画 (一般)'!$A$1:$BF$1,0)),INDEX('在庫使用計画 (法人)'!$A$1:$AT$578,MATCH($C121,'在庫使用計画 (法人)'!$C$1:$C$578,0),MATCH(BB$1,'在庫使用計画 (法人)'!$A$1:$AT$1,0)))),"")</f>
        <v/>
      </c>
      <c r="BC121" s="642" t="str">
        <f>IFERROR(IF(SUM(INDEX('在庫使用計画 (一般)'!$A$1:$BF$557,MATCH($C121,'在庫使用計画 (一般)'!$C$1:$C$557,0),MATCH(BC$1,'在庫使用計画 (一般)'!$A$1:$BF$1,0)),INDEX('在庫使用計画 (法人)'!$A$1:$AT$578,MATCH($C121,'在庫使用計画 (法人)'!$C$1:$C$578,0),MATCH(BC$1,'在庫使用計画 (法人)'!$A$1:$AT$1,0)))=0,"",SUM(INDEX('在庫使用計画 (一般)'!$A$1:$BF$557,MATCH($C121,'在庫使用計画 (一般)'!$C$1:$C$557,0),MATCH(BC$1,'在庫使用計画 (一般)'!$A$1:$BF$1,0)),INDEX('在庫使用計画 (法人)'!$A$1:$AT$578,MATCH($C121,'在庫使用計画 (法人)'!$C$1:$C$578,0),MATCH(BC$1,'在庫使用計画 (法人)'!$A$1:$AT$1,0)))),"")</f>
        <v/>
      </c>
      <c r="BD121" s="642" t="str">
        <f>IFERROR(IF(SUM(INDEX('在庫使用計画 (一般)'!$A$1:$BF$557,MATCH($C121,'在庫使用計画 (一般)'!$C$1:$C$557,0),MATCH(BD$1,'在庫使用計画 (一般)'!$A$1:$BF$1,0)),INDEX('在庫使用計画 (法人)'!$A$1:$AT$578,MATCH($C121,'在庫使用計画 (法人)'!$C$1:$C$578,0),MATCH(BD$1,'在庫使用計画 (法人)'!$A$1:$AT$1,0)))=0,"",SUM(INDEX('在庫使用計画 (一般)'!$A$1:$BF$557,MATCH($C121,'在庫使用計画 (一般)'!$C$1:$C$557,0),MATCH(BD$1,'在庫使用計画 (一般)'!$A$1:$BF$1,0)),INDEX('在庫使用計画 (法人)'!$A$1:$AT$578,MATCH($C121,'在庫使用計画 (法人)'!$C$1:$C$578,0),MATCH(BD$1,'在庫使用計画 (法人)'!$A$1:$AT$1,0)))),"")</f>
        <v/>
      </c>
      <c r="BE121" s="642" t="str">
        <f>IFERROR(IF(SUM(INDEX('在庫使用計画 (一般)'!$A$1:$BF$557,MATCH($C121,'在庫使用計画 (一般)'!$C$1:$C$557,0),MATCH(BE$1,'在庫使用計画 (一般)'!$A$1:$BF$1,0)),INDEX('在庫使用計画 (法人)'!$A$1:$AT$578,MATCH($C121,'在庫使用計画 (法人)'!$C$1:$C$578,0),MATCH(BE$1,'在庫使用計画 (法人)'!$A$1:$AT$1,0)))=0,"",SUM(INDEX('在庫使用計画 (一般)'!$A$1:$BF$557,MATCH($C121,'在庫使用計画 (一般)'!$C$1:$C$557,0),MATCH(BE$1,'在庫使用計画 (一般)'!$A$1:$BF$1,0)),INDEX('在庫使用計画 (法人)'!$A$1:$AT$578,MATCH($C121,'在庫使用計画 (法人)'!$C$1:$C$578,0),MATCH(BE$1,'在庫使用計画 (法人)'!$A$1:$AT$1,0)))),"")</f>
        <v/>
      </c>
      <c r="BF121" s="642" t="str">
        <f>IFERROR(IF(SUM(INDEX('在庫使用計画 (一般)'!$A$1:$BF$557,MATCH($C121,'在庫使用計画 (一般)'!$C$1:$C$557,0),MATCH(BF$1,'在庫使用計画 (一般)'!$A$1:$BF$1,0)),INDEX('在庫使用計画 (法人)'!$A$1:$AT$578,MATCH($C121,'在庫使用計画 (法人)'!$C$1:$C$578,0),MATCH(BF$1,'在庫使用計画 (法人)'!$A$1:$AT$1,0)))=0,"",SUM(INDEX('在庫使用計画 (一般)'!$A$1:$BF$557,MATCH($C121,'在庫使用計画 (一般)'!$C$1:$C$557,0),MATCH(BF$1,'在庫使用計画 (一般)'!$A$1:$BF$1,0)),INDEX('在庫使用計画 (法人)'!$A$1:$AT$578,MATCH($C121,'在庫使用計画 (法人)'!$C$1:$C$578,0),MATCH(BF$1,'在庫使用計画 (法人)'!$A$1:$AT$1,0)))),"")</f>
        <v/>
      </c>
      <c r="BG121" s="800" t="str">
        <f>IFERROR(IF(SUM(INDEX('在庫使用計画 (一般)'!$A$1:$BF$557,MATCH($C121,'在庫使用計画 (一般)'!$C$1:$C$557,0),MATCH(BG$1,'在庫使用計画 (一般)'!$A$1:$BF$1,0)),INDEX('在庫使用計画 (法人)'!$A$1:$AT$578,MATCH($C121,'在庫使用計画 (法人)'!$C$1:$C$578,0),MATCH(BG$1,'在庫使用計画 (法人)'!$A$1:$AT$1,0)))=0,"",SUM(INDEX('在庫使用計画 (一般)'!$A$1:$BF$557,MATCH($C121,'在庫使用計画 (一般)'!$C$1:$C$557,0),MATCH(BG$1,'在庫使用計画 (一般)'!$A$1:$BF$1,0)),INDEX('在庫使用計画 (法人)'!$A$1:$AT$578,MATCH($C121,'在庫使用計画 (法人)'!$C$1:$C$578,0),MATCH(BG$1,'在庫使用計画 (法人)'!$A$1:$AT$1,0)))),"")</f>
        <v/>
      </c>
      <c r="BH121" s="816" t="str">
        <f>IFERROR(IF(SUM(INDEX('在庫使用計画 (一般)'!$A$1:$BF$557,MATCH($C121,'在庫使用計画 (一般)'!$C$1:$C$557,0),MATCH(BH$1,'在庫使用計画 (一般)'!$A$1:$BF$1,0)),INDEX('在庫使用計画 (法人)'!$A$1:$AT$578,MATCH($C121,'在庫使用計画 (法人)'!$C$1:$C$578,0),MATCH(BH$1,'在庫使用計画 (法人)'!$A$1:$AT$1,0)))=0,"",SUM(INDEX('在庫使用計画 (一般)'!$A$1:$BF$557,MATCH($C121,'在庫使用計画 (一般)'!$C$1:$C$557,0),MATCH(BH$1,'在庫使用計画 (一般)'!$A$1:$BF$1,0)),INDEX('在庫使用計画 (法人)'!$A$1:$AT$578,MATCH($C121,'在庫使用計画 (法人)'!$C$1:$C$578,0),MATCH(BH$1,'在庫使用計画 (法人)'!$A$1:$AT$1,0)))),"")</f>
        <v/>
      </c>
      <c r="BI121" s="642" t="str">
        <f>IFERROR(IF(SUM(INDEX('在庫使用計画 (一般)'!$A$1:$BF$557,MATCH($C121,'在庫使用計画 (一般)'!$C$1:$C$557,0),MATCH(BI$1,'在庫使用計画 (一般)'!$A$1:$BF$1,0)),INDEX('在庫使用計画 (法人)'!$A$1:$AT$578,MATCH($C121,'在庫使用計画 (法人)'!$C$1:$C$578,0),MATCH(BI$1,'在庫使用計画 (法人)'!$A$1:$AT$1,0)))=0,"",SUM(INDEX('在庫使用計画 (一般)'!$A$1:$BF$557,MATCH($C121,'在庫使用計画 (一般)'!$C$1:$C$557,0),MATCH(BI$1,'在庫使用計画 (一般)'!$A$1:$BF$1,0)),INDEX('在庫使用計画 (法人)'!$A$1:$AT$578,MATCH($C121,'在庫使用計画 (法人)'!$C$1:$C$578,0),MATCH(BI$1,'在庫使用計画 (法人)'!$A$1:$AT$1,0)))),"")</f>
        <v/>
      </c>
      <c r="BJ121" s="642" t="str">
        <f>IFERROR(IF(SUM(INDEX('在庫使用計画 (一般)'!$A$1:$BF$557,MATCH($C121,'在庫使用計画 (一般)'!$C$1:$C$557,0),MATCH(BJ$1,'在庫使用計画 (一般)'!$A$1:$BF$1,0)),INDEX('在庫使用計画 (法人)'!$A$1:$AT$578,MATCH($C121,'在庫使用計画 (法人)'!$C$1:$C$578,0),MATCH(BJ$1,'在庫使用計画 (法人)'!$A$1:$AT$1,0)))=0,"",SUM(INDEX('在庫使用計画 (一般)'!$A$1:$BF$557,MATCH($C121,'在庫使用計画 (一般)'!$C$1:$C$557,0),MATCH(BJ$1,'在庫使用計画 (一般)'!$A$1:$BF$1,0)),INDEX('在庫使用計画 (法人)'!$A$1:$AT$578,MATCH($C121,'在庫使用計画 (法人)'!$C$1:$C$578,0),MATCH(BJ$1,'在庫使用計画 (法人)'!$A$1:$AT$1,0)))),"")</f>
        <v/>
      </c>
      <c r="BK121" s="642" t="str">
        <f>IFERROR(IF(SUM(INDEX('在庫使用計画 (一般)'!$A$1:$BF$557,MATCH($C121,'在庫使用計画 (一般)'!$C$1:$C$557,0),MATCH(BK$1,'在庫使用計画 (一般)'!$A$1:$BF$1,0)),INDEX('在庫使用計画 (法人)'!$A$1:$AT$578,MATCH($C121,'在庫使用計画 (法人)'!$C$1:$C$578,0),MATCH(BK$1,'在庫使用計画 (法人)'!$A$1:$AT$1,0)))=0,"",SUM(INDEX('在庫使用計画 (一般)'!$A$1:$BF$557,MATCH($C121,'在庫使用計画 (一般)'!$C$1:$C$557,0),MATCH(BK$1,'在庫使用計画 (一般)'!$A$1:$BF$1,0)),INDEX('在庫使用計画 (法人)'!$A$1:$AT$578,MATCH($C121,'在庫使用計画 (法人)'!$C$1:$C$578,0),MATCH(BK$1,'在庫使用計画 (法人)'!$A$1:$AT$1,0)))),"")</f>
        <v/>
      </c>
      <c r="BL121" s="642" t="str">
        <f>IFERROR(IF(SUM(INDEX('在庫使用計画 (一般)'!$A$1:$BF$557,MATCH($C121,'在庫使用計画 (一般)'!$C$1:$C$557,0),MATCH(BL$1,'在庫使用計画 (一般)'!$A$1:$BF$1,0)),INDEX('在庫使用計画 (法人)'!$A$1:$AT$578,MATCH($C121,'在庫使用計画 (法人)'!$C$1:$C$578,0),MATCH(BL$1,'在庫使用計画 (法人)'!$A$1:$AT$1,0)))=0,"",SUM(INDEX('在庫使用計画 (一般)'!$A$1:$BF$557,MATCH($C121,'在庫使用計画 (一般)'!$C$1:$C$557,0),MATCH(BL$1,'在庫使用計画 (一般)'!$A$1:$BF$1,0)),INDEX('在庫使用計画 (法人)'!$A$1:$AT$578,MATCH($C121,'在庫使用計画 (法人)'!$C$1:$C$578,0),MATCH(BL$1,'在庫使用計画 (法人)'!$A$1:$AT$1,0)))),"")</f>
        <v/>
      </c>
      <c r="BM121" s="642" t="str">
        <f>IFERROR(IF(SUM(INDEX('在庫使用計画 (一般)'!$A$1:$BF$557,MATCH($C121,'在庫使用計画 (一般)'!$C$1:$C$557,0),MATCH(BM$1,'在庫使用計画 (一般)'!$A$1:$BF$1,0)),INDEX('在庫使用計画 (法人)'!$A$1:$AT$578,MATCH($C121,'在庫使用計画 (法人)'!$C$1:$C$578,0),MATCH(BM$1,'在庫使用計画 (法人)'!$A$1:$AT$1,0)))=0,"",SUM(INDEX('在庫使用計画 (一般)'!$A$1:$BF$557,MATCH($C121,'在庫使用計画 (一般)'!$C$1:$C$557,0),MATCH(BM$1,'在庫使用計画 (一般)'!$A$1:$BF$1,0)),INDEX('在庫使用計画 (法人)'!$A$1:$AT$578,MATCH($C121,'在庫使用計画 (法人)'!$C$1:$C$578,0),MATCH(BM$1,'在庫使用計画 (法人)'!$A$1:$AT$1,0)))),"")</f>
        <v/>
      </c>
      <c r="BN121" s="642" t="str">
        <f>IFERROR(IF(SUM(INDEX('在庫使用計画 (一般)'!$A$1:$BF$557,MATCH($C121,'在庫使用計画 (一般)'!$C$1:$C$557,0),MATCH(BN$1,'在庫使用計画 (一般)'!$A$1:$BF$1,0)),INDEX('在庫使用計画 (法人)'!$A$1:$AT$578,MATCH($C121,'在庫使用計画 (法人)'!$C$1:$C$578,0),MATCH(BN$1,'在庫使用計画 (法人)'!$A$1:$AT$1,0)))=0,"",SUM(INDEX('在庫使用計画 (一般)'!$A$1:$BF$557,MATCH($C121,'在庫使用計画 (一般)'!$C$1:$C$557,0),MATCH(BN$1,'在庫使用計画 (一般)'!$A$1:$BF$1,0)),INDEX('在庫使用計画 (法人)'!$A$1:$AT$578,MATCH($C121,'在庫使用計画 (法人)'!$C$1:$C$578,0),MATCH(BN$1,'在庫使用計画 (法人)'!$A$1:$AT$1,0)))),"")</f>
        <v/>
      </c>
      <c r="BO121" s="642" t="str">
        <f>IFERROR(IF(SUM(INDEX('在庫使用計画 (一般)'!$A$1:$BF$557,MATCH($C121,'在庫使用計画 (一般)'!$C$1:$C$557,0),MATCH(BO$1,'在庫使用計画 (一般)'!$A$1:$BF$1,0)),INDEX('在庫使用計画 (法人)'!$A$1:$AT$578,MATCH($C121,'在庫使用計画 (法人)'!$C$1:$C$578,0),MATCH(BO$1,'在庫使用計画 (法人)'!$A$1:$AT$1,0)))=0,"",SUM(INDEX('在庫使用計画 (一般)'!$A$1:$BF$557,MATCH($C121,'在庫使用計画 (一般)'!$C$1:$C$557,0),MATCH(BO$1,'在庫使用計画 (一般)'!$A$1:$BF$1,0)),INDEX('在庫使用計画 (法人)'!$A$1:$AT$578,MATCH($C121,'在庫使用計画 (法人)'!$C$1:$C$578,0),MATCH(BO$1,'在庫使用計画 (法人)'!$A$1:$AT$1,0)))),"")</f>
        <v/>
      </c>
      <c r="BP121" s="642" t="str">
        <f>IFERROR(IF(SUM(INDEX('在庫使用計画 (一般)'!$A$1:$BF$557,MATCH($C121,'在庫使用計画 (一般)'!$C$1:$C$557,0),MATCH(BP$1,'在庫使用計画 (一般)'!$A$1:$BF$1,0)),INDEX('在庫使用計画 (法人)'!$A$1:$AT$578,MATCH($C121,'在庫使用計画 (法人)'!$C$1:$C$578,0),MATCH(BP$1,'在庫使用計画 (法人)'!$A$1:$AT$1,0)))=0,"",SUM(INDEX('在庫使用計画 (一般)'!$A$1:$BF$557,MATCH($C121,'在庫使用計画 (一般)'!$C$1:$C$557,0),MATCH(BP$1,'在庫使用計画 (一般)'!$A$1:$BF$1,0)),INDEX('在庫使用計画 (法人)'!$A$1:$AT$578,MATCH($C121,'在庫使用計画 (法人)'!$C$1:$C$578,0),MATCH(BP$1,'在庫使用計画 (法人)'!$A$1:$AT$1,0)))),"")</f>
        <v/>
      </c>
      <c r="BQ121" s="642" t="str">
        <f>IFERROR(IF(SUM(INDEX('在庫使用計画 (一般)'!$A$1:$BF$557,MATCH($C121,'在庫使用計画 (一般)'!$C$1:$C$557,0),MATCH(BQ$1,'在庫使用計画 (一般)'!$A$1:$BF$1,0)),INDEX('在庫使用計画 (法人)'!$A$1:$AT$578,MATCH($C121,'在庫使用計画 (法人)'!$C$1:$C$578,0),MATCH(BQ$1,'在庫使用計画 (法人)'!$A$1:$AT$1,0)))=0,"",SUM(INDEX('在庫使用計画 (一般)'!$A$1:$BF$557,MATCH($C121,'在庫使用計画 (一般)'!$C$1:$C$557,0),MATCH(BQ$1,'在庫使用計画 (一般)'!$A$1:$BF$1,0)),INDEX('在庫使用計画 (法人)'!$A$1:$AT$578,MATCH($C121,'在庫使用計画 (法人)'!$C$1:$C$578,0),MATCH(BQ$1,'在庫使用計画 (法人)'!$A$1:$AT$1,0)))),"")</f>
        <v/>
      </c>
      <c r="BR121" s="642" t="str">
        <f>IFERROR(IF(SUM(INDEX('在庫使用計画 (一般)'!$A$1:$BF$557,MATCH($C121,'在庫使用計画 (一般)'!$C$1:$C$557,0),MATCH(BR$1,'在庫使用計画 (一般)'!$A$1:$BF$1,0)),INDEX('在庫使用計画 (法人)'!$A$1:$AT$578,MATCH($C121,'在庫使用計画 (法人)'!$C$1:$C$578,0),MATCH(BR$1,'在庫使用計画 (法人)'!$A$1:$AT$1,0)))=0,"",SUM(INDEX('在庫使用計画 (一般)'!$A$1:$BF$557,MATCH($C121,'在庫使用計画 (一般)'!$C$1:$C$557,0),MATCH(BR$1,'在庫使用計画 (一般)'!$A$1:$BF$1,0)),INDEX('在庫使用計画 (法人)'!$A$1:$AT$578,MATCH($C121,'在庫使用計画 (法人)'!$C$1:$C$578,0),MATCH(BR$1,'在庫使用計画 (法人)'!$A$1:$AT$1,0)))),"")</f>
        <v/>
      </c>
      <c r="BS121" s="817" t="str">
        <f>IFERROR(IF(SUM(INDEX('在庫使用計画 (一般)'!$A$1:$BF$557,MATCH($C121,'在庫使用計画 (一般)'!$C$1:$C$557,0),MATCH(BS$1,'在庫使用計画 (一般)'!$A$1:$BF$1,0)),INDEX('在庫使用計画 (法人)'!$A$1:$AT$578,MATCH($C121,'在庫使用計画 (法人)'!$C$1:$C$578,0),MATCH(BS$1,'在庫使用計画 (法人)'!$A$1:$AT$1,0)))=0,"",SUM(INDEX('在庫使用計画 (一般)'!$A$1:$BF$557,MATCH($C121,'在庫使用計画 (一般)'!$C$1:$C$557,0),MATCH(BS$1,'在庫使用計画 (一般)'!$A$1:$BF$1,0)),INDEX('在庫使用計画 (法人)'!$A$1:$AT$578,MATCH($C121,'在庫使用計画 (法人)'!$C$1:$C$578,0),MATCH(BS$1,'在庫使用計画 (法人)'!$A$1:$AT$1,0)))),"")</f>
        <v/>
      </c>
    </row>
    <row r="122" spans="1:72" ht="18.75" customHeight="1" thickBot="1">
      <c r="A122" s="1078"/>
      <c r="B122" s="210" t="s">
        <v>1523</v>
      </c>
      <c r="C122" s="210"/>
      <c r="D122" s="2177"/>
      <c r="E122" s="211"/>
      <c r="F122" s="211"/>
      <c r="G122" s="285"/>
      <c r="H122" s="285"/>
      <c r="I122" s="325"/>
      <c r="J122" s="325"/>
      <c r="K122" s="325"/>
      <c r="L122" s="326">
        <v>2330</v>
      </c>
      <c r="M122" s="326">
        <v>2151</v>
      </c>
      <c r="N122" s="326">
        <v>2783</v>
      </c>
      <c r="O122" s="326">
        <v>1861</v>
      </c>
      <c r="P122" s="326">
        <v>1433</v>
      </c>
      <c r="Q122" s="326">
        <v>1179</v>
      </c>
      <c r="R122" s="326">
        <v>1175</v>
      </c>
      <c r="S122" s="326">
        <v>983.72870747183322</v>
      </c>
      <c r="T122" s="327">
        <v>1051.1538846621038</v>
      </c>
      <c r="U122" s="327">
        <v>1051.8028635265428</v>
      </c>
      <c r="V122" s="327">
        <v>1129.0502203031988</v>
      </c>
      <c r="W122" s="327">
        <v>1411.3588985813017</v>
      </c>
      <c r="X122" s="327">
        <v>1377.708661429612</v>
      </c>
      <c r="Y122" s="328">
        <v>1606.0711358555175</v>
      </c>
      <c r="Z122" s="327">
        <v>1790.838688195653</v>
      </c>
      <c r="AA122" s="327">
        <v>1498.3237009929553</v>
      </c>
      <c r="AB122" s="327">
        <v>1292.4816273304011</v>
      </c>
      <c r="AC122" s="327">
        <v>1290.1841465528341</v>
      </c>
      <c r="AD122" s="327">
        <v>1366.2158117693425</v>
      </c>
      <c r="AE122" s="327"/>
      <c r="AF122" s="327"/>
      <c r="AG122" s="327"/>
      <c r="AH122" s="327"/>
      <c r="AI122" s="328"/>
      <c r="AJ122" s="853"/>
      <c r="AK122" s="854" t="s">
        <v>21</v>
      </c>
      <c r="AL122" s="854" t="s">
        <v>21</v>
      </c>
      <c r="AM122" s="854" t="s">
        <v>21</v>
      </c>
      <c r="AN122" s="854" t="str">
        <f>IFERROR(IF(SUM(INDEX('在庫使用計画 (一般)'!$A$1:$BF$557,MATCH($C122,'在庫使用計画 (一般)'!$C$1:$C$557,0),MATCH(AN$1,'在庫使用計画 (一般)'!$A$1:$BF$1,0)),INDEX('在庫使用計画 (法人)'!$A$1:$AT$578,MATCH($C122,'在庫使用計画 (法人)'!$C$1:$C$578,0),MATCH(AN$1,'在庫使用計画 (法人)'!$A$1:$AT$1,0)))=0,"",SUM(INDEX('在庫使用計画 (一般)'!$A$1:$BF$557,MATCH($C122,'在庫使用計画 (一般)'!$C$1:$C$557,0),MATCH(AN$1,'在庫使用計画 (一般)'!$A$1:$BF$1,0)),INDEX('在庫使用計画 (法人)'!$A$1:$AT$578,MATCH($C122,'在庫使用計画 (法人)'!$C$1:$C$578,0),MATCH(AN$1,'在庫使用計画 (法人)'!$A$1:$AT$1,0)))),"")</f>
        <v/>
      </c>
      <c r="AO122" s="854" t="str">
        <f>IFERROR(IF(SUM(INDEX('在庫使用計画 (一般)'!$A$1:$BF$557,MATCH($C122,'在庫使用計画 (一般)'!$C$1:$C$557,0),MATCH(AO$1,'在庫使用計画 (一般)'!$A$1:$BF$1,0)),INDEX('在庫使用計画 (法人)'!$A$1:$AT$578,MATCH($C122,'在庫使用計画 (法人)'!$C$1:$C$578,0),MATCH(AO$1,'在庫使用計画 (法人)'!$A$1:$AT$1,0)))=0,"",SUM(INDEX('在庫使用計画 (一般)'!$A$1:$BF$557,MATCH($C122,'在庫使用計画 (一般)'!$C$1:$C$557,0),MATCH(AO$1,'在庫使用計画 (一般)'!$A$1:$BF$1,0)),INDEX('在庫使用計画 (法人)'!$A$1:$AT$578,MATCH($C122,'在庫使用計画 (法人)'!$C$1:$C$578,0),MATCH(AO$1,'在庫使用計画 (法人)'!$A$1:$AT$1,0)))),"")</f>
        <v/>
      </c>
      <c r="AP122" s="854" t="str">
        <f>IFERROR(IF(SUM(INDEX('在庫使用計画 (一般)'!$A$1:$BF$557,MATCH($C122,'在庫使用計画 (一般)'!$C$1:$C$557,0),MATCH(AP$1,'在庫使用計画 (一般)'!$A$1:$BF$1,0)),INDEX('在庫使用計画 (法人)'!$A$1:$AT$578,MATCH($C122,'在庫使用計画 (法人)'!$C$1:$C$578,0),MATCH(AP$1,'在庫使用計画 (法人)'!$A$1:$AT$1,0)))=0,"",SUM(INDEX('在庫使用計画 (一般)'!$A$1:$BF$557,MATCH($C122,'在庫使用計画 (一般)'!$C$1:$C$557,0),MATCH(AP$1,'在庫使用計画 (一般)'!$A$1:$BF$1,0)),INDEX('在庫使用計画 (法人)'!$A$1:$AT$578,MATCH($C122,'在庫使用計画 (法人)'!$C$1:$C$578,0),MATCH(AP$1,'在庫使用計画 (法人)'!$A$1:$AT$1,0)))),"")</f>
        <v/>
      </c>
      <c r="AQ122" s="854" t="str">
        <f>IFERROR(IF(SUM(INDEX('在庫使用計画 (一般)'!$A$1:$BF$557,MATCH($C122,'在庫使用計画 (一般)'!$C$1:$C$557,0),MATCH(AQ$1,'在庫使用計画 (一般)'!$A$1:$BF$1,0)),INDEX('在庫使用計画 (法人)'!$A$1:$AT$578,MATCH($C122,'在庫使用計画 (法人)'!$C$1:$C$578,0),MATCH(AQ$1,'在庫使用計画 (法人)'!$A$1:$AT$1,0)))=0,"",SUM(INDEX('在庫使用計画 (一般)'!$A$1:$BF$557,MATCH($C122,'在庫使用計画 (一般)'!$C$1:$C$557,0),MATCH(AQ$1,'在庫使用計画 (一般)'!$A$1:$BF$1,0)),INDEX('在庫使用計画 (法人)'!$A$1:$AT$578,MATCH($C122,'在庫使用計画 (法人)'!$C$1:$C$578,0),MATCH(AQ$1,'在庫使用計画 (法人)'!$A$1:$AT$1,0)))),"")</f>
        <v/>
      </c>
      <c r="AR122" s="854" t="str">
        <f>IFERROR(IF(SUM(INDEX('在庫使用計画 (一般)'!$A$1:$BF$557,MATCH($C122,'在庫使用計画 (一般)'!$C$1:$C$557,0),MATCH(AR$1,'在庫使用計画 (一般)'!$A$1:$BF$1,0)),INDEX('在庫使用計画 (法人)'!$A$1:$AT$578,MATCH($C122,'在庫使用計画 (法人)'!$C$1:$C$578,0),MATCH(AR$1,'在庫使用計画 (法人)'!$A$1:$AT$1,0)))=0,"",SUM(INDEX('在庫使用計画 (一般)'!$A$1:$BF$557,MATCH($C122,'在庫使用計画 (一般)'!$C$1:$C$557,0),MATCH(AR$1,'在庫使用計画 (一般)'!$A$1:$BF$1,0)),INDEX('在庫使用計画 (法人)'!$A$1:$AT$578,MATCH($C122,'在庫使用計画 (法人)'!$C$1:$C$578,0),MATCH(AR$1,'在庫使用計画 (法人)'!$A$1:$AT$1,0)))),"")</f>
        <v/>
      </c>
      <c r="AS122" s="854" t="str">
        <f>IFERROR(IF(SUM(INDEX('在庫使用計画 (一般)'!$A$1:$BF$557,MATCH($C122,'在庫使用計画 (一般)'!$C$1:$C$557,0),MATCH(AS$1,'在庫使用計画 (一般)'!$A$1:$BF$1,0)),INDEX('在庫使用計画 (法人)'!$A$1:$AT$578,MATCH($C122,'在庫使用計画 (法人)'!$C$1:$C$578,0),MATCH(AS$1,'在庫使用計画 (法人)'!$A$1:$AT$1,0)))=0,"",SUM(INDEX('在庫使用計画 (一般)'!$A$1:$BF$557,MATCH($C122,'在庫使用計画 (一般)'!$C$1:$C$557,0),MATCH(AS$1,'在庫使用計画 (一般)'!$A$1:$BF$1,0)),INDEX('在庫使用計画 (法人)'!$A$1:$AT$578,MATCH($C122,'在庫使用計画 (法人)'!$C$1:$C$578,0),MATCH(AS$1,'在庫使用計画 (法人)'!$A$1:$AT$1,0)))),"")</f>
        <v/>
      </c>
      <c r="AT122" s="854" t="str">
        <f>IFERROR(IF(SUM(INDEX('在庫使用計画 (一般)'!$A$1:$BF$557,MATCH($C122,'在庫使用計画 (一般)'!$C$1:$C$557,0),MATCH(AT$1,'在庫使用計画 (一般)'!$A$1:$BF$1,0)),INDEX('在庫使用計画 (法人)'!$A$1:$AT$578,MATCH($C122,'在庫使用計画 (法人)'!$C$1:$C$578,0),MATCH(AT$1,'在庫使用計画 (法人)'!$A$1:$AT$1,0)))=0,"",SUM(INDEX('在庫使用計画 (一般)'!$A$1:$BF$557,MATCH($C122,'在庫使用計画 (一般)'!$C$1:$C$557,0),MATCH(AT$1,'在庫使用計画 (一般)'!$A$1:$BF$1,0)),INDEX('在庫使用計画 (法人)'!$A$1:$AT$578,MATCH($C122,'在庫使用計画 (法人)'!$C$1:$C$578,0),MATCH(AT$1,'在庫使用計画 (法人)'!$A$1:$AT$1,0)))),"")</f>
        <v/>
      </c>
      <c r="AU122" s="855" t="str">
        <f>IFERROR(IF(SUM(INDEX('在庫使用計画 (一般)'!$A$1:$BF$557,MATCH($C122,'在庫使用計画 (一般)'!$C$1:$C$557,0),MATCH(AU$1,'在庫使用計画 (一般)'!$A$1:$BF$1,0)),INDEX('在庫使用計画 (法人)'!$A$1:$AT$578,MATCH($C122,'在庫使用計画 (法人)'!$C$1:$C$578,0),MATCH(AU$1,'在庫使用計画 (法人)'!$A$1:$AT$1,0)))=0,"",SUM(INDEX('在庫使用計画 (一般)'!$A$1:$BF$557,MATCH($C122,'在庫使用計画 (一般)'!$C$1:$C$557,0),MATCH(AU$1,'在庫使用計画 (一般)'!$A$1:$BF$1,0)),INDEX('在庫使用計画 (法人)'!$A$1:$AT$578,MATCH($C122,'在庫使用計画 (法人)'!$C$1:$C$578,0),MATCH(AU$1,'在庫使用計画 (法人)'!$A$1:$AT$1,0)))),"")</f>
        <v/>
      </c>
      <c r="AV122" s="833" t="str">
        <f>IFERROR(IF(SUM(INDEX('在庫使用計画 (一般)'!$A$1:$BF$557,MATCH($C122,'在庫使用計画 (一般)'!$C$1:$C$557,0),MATCH(AV$1,'在庫使用計画 (一般)'!$A$1:$BF$1,0)),INDEX('在庫使用計画 (法人)'!$A$1:$AT$578,MATCH($C122,'在庫使用計画 (法人)'!$C$1:$C$578,0),MATCH(AV$1,'在庫使用計画 (法人)'!$A$1:$AT$1,0)))=0,"",SUM(INDEX('在庫使用計画 (一般)'!$A$1:$BF$557,MATCH($C122,'在庫使用計画 (一般)'!$C$1:$C$557,0),MATCH(AV$1,'在庫使用計画 (一般)'!$A$1:$BF$1,0)),INDEX('在庫使用計画 (法人)'!$A$1:$AT$578,MATCH($C122,'在庫使用計画 (法人)'!$C$1:$C$578,0),MATCH(AV$1,'在庫使用計画 (法人)'!$A$1:$AT$1,0)))),"")</f>
        <v/>
      </c>
      <c r="AW122" s="644" t="str">
        <f>IFERROR(IF(SUM(INDEX('在庫使用計画 (一般)'!$A$1:$BF$557,MATCH($C122,'在庫使用計画 (一般)'!$C$1:$C$557,0),MATCH(AW$1,'在庫使用計画 (一般)'!$A$1:$BF$1,0)),INDEX('在庫使用計画 (法人)'!$A$1:$AT$578,MATCH($C122,'在庫使用計画 (法人)'!$C$1:$C$578,0),MATCH(AW$1,'在庫使用計画 (法人)'!$A$1:$AT$1,0)))=0,"",SUM(INDEX('在庫使用計画 (一般)'!$A$1:$BF$557,MATCH($C122,'在庫使用計画 (一般)'!$C$1:$C$557,0),MATCH(AW$1,'在庫使用計画 (一般)'!$A$1:$BF$1,0)),INDEX('在庫使用計画 (法人)'!$A$1:$AT$578,MATCH($C122,'在庫使用計画 (法人)'!$C$1:$C$578,0),MATCH(AW$1,'在庫使用計画 (法人)'!$A$1:$AT$1,0)))),"")</f>
        <v/>
      </c>
      <c r="AX122" s="644" t="str">
        <f>IFERROR(IF(SUM(INDEX('在庫使用計画 (一般)'!$A$1:$BF$557,MATCH($C122,'在庫使用計画 (一般)'!$C$1:$C$557,0),MATCH(AX$1,'在庫使用計画 (一般)'!$A$1:$BF$1,0)),INDEX('在庫使用計画 (法人)'!$A$1:$AT$578,MATCH($C122,'在庫使用計画 (法人)'!$C$1:$C$578,0),MATCH(AX$1,'在庫使用計画 (法人)'!$A$1:$AT$1,0)))=0,"",SUM(INDEX('在庫使用計画 (一般)'!$A$1:$BF$557,MATCH($C122,'在庫使用計画 (一般)'!$C$1:$C$557,0),MATCH(AX$1,'在庫使用計画 (一般)'!$A$1:$BF$1,0)),INDEX('在庫使用計画 (法人)'!$A$1:$AT$578,MATCH($C122,'在庫使用計画 (法人)'!$C$1:$C$578,0),MATCH(AX$1,'在庫使用計画 (法人)'!$A$1:$AT$1,0)))),"")</f>
        <v/>
      </c>
      <c r="AY122" s="644" t="str">
        <f>IFERROR(IF(SUM(INDEX('在庫使用計画 (一般)'!$A$1:$BF$557,MATCH($C122,'在庫使用計画 (一般)'!$C$1:$C$557,0),MATCH(AY$1,'在庫使用計画 (一般)'!$A$1:$BF$1,0)),INDEX('在庫使用計画 (法人)'!$A$1:$AT$578,MATCH($C122,'在庫使用計画 (法人)'!$C$1:$C$578,0),MATCH(AY$1,'在庫使用計画 (法人)'!$A$1:$AT$1,0)))=0,"",SUM(INDEX('在庫使用計画 (一般)'!$A$1:$BF$557,MATCH($C122,'在庫使用計画 (一般)'!$C$1:$C$557,0),MATCH(AY$1,'在庫使用計画 (一般)'!$A$1:$BF$1,0)),INDEX('在庫使用計画 (法人)'!$A$1:$AT$578,MATCH($C122,'在庫使用計画 (法人)'!$C$1:$C$578,0),MATCH(AY$1,'在庫使用計画 (法人)'!$A$1:$AT$1,0)))),"")</f>
        <v/>
      </c>
      <c r="AZ122" s="644" t="str">
        <f>IFERROR(IF(SUM(INDEX('在庫使用計画 (一般)'!$A$1:$BF$557,MATCH($C122,'在庫使用計画 (一般)'!$C$1:$C$557,0),MATCH(AZ$1,'在庫使用計画 (一般)'!$A$1:$BF$1,0)),INDEX('在庫使用計画 (法人)'!$A$1:$AT$578,MATCH($C122,'在庫使用計画 (法人)'!$C$1:$C$578,0),MATCH(AZ$1,'在庫使用計画 (法人)'!$A$1:$AT$1,0)))=0,"",SUM(INDEX('在庫使用計画 (一般)'!$A$1:$BF$557,MATCH($C122,'在庫使用計画 (一般)'!$C$1:$C$557,0),MATCH(AZ$1,'在庫使用計画 (一般)'!$A$1:$BF$1,0)),INDEX('在庫使用計画 (法人)'!$A$1:$AT$578,MATCH($C122,'在庫使用計画 (法人)'!$C$1:$C$578,0),MATCH(AZ$1,'在庫使用計画 (法人)'!$A$1:$AT$1,0)))),"")</f>
        <v/>
      </c>
      <c r="BA122" s="644" t="str">
        <f>IFERROR(IF(SUM(INDEX('在庫使用計画 (一般)'!$A$1:$BF$557,MATCH($C122,'在庫使用計画 (一般)'!$C$1:$C$557,0),MATCH(BA$1,'在庫使用計画 (一般)'!$A$1:$BF$1,0)),INDEX('在庫使用計画 (法人)'!$A$1:$AT$578,MATCH($C122,'在庫使用計画 (法人)'!$C$1:$C$578,0),MATCH(BA$1,'在庫使用計画 (法人)'!$A$1:$AT$1,0)))=0,"",SUM(INDEX('在庫使用計画 (一般)'!$A$1:$BF$557,MATCH($C122,'在庫使用計画 (一般)'!$C$1:$C$557,0),MATCH(BA$1,'在庫使用計画 (一般)'!$A$1:$BF$1,0)),INDEX('在庫使用計画 (法人)'!$A$1:$AT$578,MATCH($C122,'在庫使用計画 (法人)'!$C$1:$C$578,0),MATCH(BA$1,'在庫使用計画 (法人)'!$A$1:$AT$1,0)))),"")</f>
        <v/>
      </c>
      <c r="BB122" s="644" t="str">
        <f>IFERROR(IF(SUM(INDEX('在庫使用計画 (一般)'!$A$1:$BF$557,MATCH($C122,'在庫使用計画 (一般)'!$C$1:$C$557,0),MATCH(BB$1,'在庫使用計画 (一般)'!$A$1:$BF$1,0)),INDEX('在庫使用計画 (法人)'!$A$1:$AT$578,MATCH($C122,'在庫使用計画 (法人)'!$C$1:$C$578,0),MATCH(BB$1,'在庫使用計画 (法人)'!$A$1:$AT$1,0)))=0,"",SUM(INDEX('在庫使用計画 (一般)'!$A$1:$BF$557,MATCH($C122,'在庫使用計画 (一般)'!$C$1:$C$557,0),MATCH(BB$1,'在庫使用計画 (一般)'!$A$1:$BF$1,0)),INDEX('在庫使用計画 (法人)'!$A$1:$AT$578,MATCH($C122,'在庫使用計画 (法人)'!$C$1:$C$578,0),MATCH(BB$1,'在庫使用計画 (法人)'!$A$1:$AT$1,0)))),"")</f>
        <v/>
      </c>
      <c r="BC122" s="644" t="str">
        <f>IFERROR(IF(SUM(INDEX('在庫使用計画 (一般)'!$A$1:$BF$557,MATCH($C122,'在庫使用計画 (一般)'!$C$1:$C$557,0),MATCH(BC$1,'在庫使用計画 (一般)'!$A$1:$BF$1,0)),INDEX('在庫使用計画 (法人)'!$A$1:$AT$578,MATCH($C122,'在庫使用計画 (法人)'!$C$1:$C$578,0),MATCH(BC$1,'在庫使用計画 (法人)'!$A$1:$AT$1,0)))=0,"",SUM(INDEX('在庫使用計画 (一般)'!$A$1:$BF$557,MATCH($C122,'在庫使用計画 (一般)'!$C$1:$C$557,0),MATCH(BC$1,'在庫使用計画 (一般)'!$A$1:$BF$1,0)),INDEX('在庫使用計画 (法人)'!$A$1:$AT$578,MATCH($C122,'在庫使用計画 (法人)'!$C$1:$C$578,0),MATCH(BC$1,'在庫使用計画 (法人)'!$A$1:$AT$1,0)))),"")</f>
        <v/>
      </c>
      <c r="BD122" s="644" t="str">
        <f>IFERROR(IF(SUM(INDEX('在庫使用計画 (一般)'!$A$1:$BF$557,MATCH($C122,'在庫使用計画 (一般)'!$C$1:$C$557,0),MATCH(BD$1,'在庫使用計画 (一般)'!$A$1:$BF$1,0)),INDEX('在庫使用計画 (法人)'!$A$1:$AT$578,MATCH($C122,'在庫使用計画 (法人)'!$C$1:$C$578,0),MATCH(BD$1,'在庫使用計画 (法人)'!$A$1:$AT$1,0)))=0,"",SUM(INDEX('在庫使用計画 (一般)'!$A$1:$BF$557,MATCH($C122,'在庫使用計画 (一般)'!$C$1:$C$557,0),MATCH(BD$1,'在庫使用計画 (一般)'!$A$1:$BF$1,0)),INDEX('在庫使用計画 (法人)'!$A$1:$AT$578,MATCH($C122,'在庫使用計画 (法人)'!$C$1:$C$578,0),MATCH(BD$1,'在庫使用計画 (法人)'!$A$1:$AT$1,0)))),"")</f>
        <v/>
      </c>
      <c r="BE122" s="644" t="str">
        <f>IFERROR(IF(SUM(INDEX('在庫使用計画 (一般)'!$A$1:$BF$557,MATCH($C122,'在庫使用計画 (一般)'!$C$1:$C$557,0),MATCH(BE$1,'在庫使用計画 (一般)'!$A$1:$BF$1,0)),INDEX('在庫使用計画 (法人)'!$A$1:$AT$578,MATCH($C122,'在庫使用計画 (法人)'!$C$1:$C$578,0),MATCH(BE$1,'在庫使用計画 (法人)'!$A$1:$AT$1,0)))=0,"",SUM(INDEX('在庫使用計画 (一般)'!$A$1:$BF$557,MATCH($C122,'在庫使用計画 (一般)'!$C$1:$C$557,0),MATCH(BE$1,'在庫使用計画 (一般)'!$A$1:$BF$1,0)),INDEX('在庫使用計画 (法人)'!$A$1:$AT$578,MATCH($C122,'在庫使用計画 (法人)'!$C$1:$C$578,0),MATCH(BE$1,'在庫使用計画 (法人)'!$A$1:$AT$1,0)))),"")</f>
        <v/>
      </c>
      <c r="BF122" s="644" t="str">
        <f>IFERROR(IF(SUM(INDEX('在庫使用計画 (一般)'!$A$1:$BF$557,MATCH($C122,'在庫使用計画 (一般)'!$C$1:$C$557,0),MATCH(BF$1,'在庫使用計画 (一般)'!$A$1:$BF$1,0)),INDEX('在庫使用計画 (法人)'!$A$1:$AT$578,MATCH($C122,'在庫使用計画 (法人)'!$C$1:$C$578,0),MATCH(BF$1,'在庫使用計画 (法人)'!$A$1:$AT$1,0)))=0,"",SUM(INDEX('在庫使用計画 (一般)'!$A$1:$BF$557,MATCH($C122,'在庫使用計画 (一般)'!$C$1:$C$557,0),MATCH(BF$1,'在庫使用計画 (一般)'!$A$1:$BF$1,0)),INDEX('在庫使用計画 (法人)'!$A$1:$AT$578,MATCH($C122,'在庫使用計画 (法人)'!$C$1:$C$578,0),MATCH(BF$1,'在庫使用計画 (法人)'!$A$1:$AT$1,0)))),"")</f>
        <v/>
      </c>
      <c r="BG122" s="801" t="str">
        <f>IFERROR(IF(SUM(INDEX('在庫使用計画 (一般)'!$A$1:$BF$557,MATCH($C122,'在庫使用計画 (一般)'!$C$1:$C$557,0),MATCH(BG$1,'在庫使用計画 (一般)'!$A$1:$BF$1,0)),INDEX('在庫使用計画 (法人)'!$A$1:$AT$578,MATCH($C122,'在庫使用計画 (法人)'!$C$1:$C$578,0),MATCH(BG$1,'在庫使用計画 (法人)'!$A$1:$AT$1,0)))=0,"",SUM(INDEX('在庫使用計画 (一般)'!$A$1:$BF$557,MATCH($C122,'在庫使用計画 (一般)'!$C$1:$C$557,0),MATCH(BG$1,'在庫使用計画 (一般)'!$A$1:$BF$1,0)),INDEX('在庫使用計画 (法人)'!$A$1:$AT$578,MATCH($C122,'在庫使用計画 (法人)'!$C$1:$C$578,0),MATCH(BG$1,'在庫使用計画 (法人)'!$A$1:$AT$1,0)))),"")</f>
        <v/>
      </c>
      <c r="BH122" s="818" t="str">
        <f>IFERROR(IF(SUM(INDEX('在庫使用計画 (一般)'!$A$1:$BF$557,MATCH($C122,'在庫使用計画 (一般)'!$C$1:$C$557,0),MATCH(BH$1,'在庫使用計画 (一般)'!$A$1:$BF$1,0)),INDEX('在庫使用計画 (法人)'!$A$1:$AT$578,MATCH($C122,'在庫使用計画 (法人)'!$C$1:$C$578,0),MATCH(BH$1,'在庫使用計画 (法人)'!$A$1:$AT$1,0)))=0,"",SUM(INDEX('在庫使用計画 (一般)'!$A$1:$BF$557,MATCH($C122,'在庫使用計画 (一般)'!$C$1:$C$557,0),MATCH(BH$1,'在庫使用計画 (一般)'!$A$1:$BF$1,0)),INDEX('在庫使用計画 (法人)'!$A$1:$AT$578,MATCH($C122,'在庫使用計画 (法人)'!$C$1:$C$578,0),MATCH(BH$1,'在庫使用計画 (法人)'!$A$1:$AT$1,0)))),"")</f>
        <v/>
      </c>
      <c r="BI122" s="819" t="str">
        <f>IFERROR(IF(SUM(INDEX('在庫使用計画 (一般)'!$A$1:$BF$557,MATCH($C122,'在庫使用計画 (一般)'!$C$1:$C$557,0),MATCH(BI$1,'在庫使用計画 (一般)'!$A$1:$BF$1,0)),INDEX('在庫使用計画 (法人)'!$A$1:$AT$578,MATCH($C122,'在庫使用計画 (法人)'!$C$1:$C$578,0),MATCH(BI$1,'在庫使用計画 (法人)'!$A$1:$AT$1,0)))=0,"",SUM(INDEX('在庫使用計画 (一般)'!$A$1:$BF$557,MATCH($C122,'在庫使用計画 (一般)'!$C$1:$C$557,0),MATCH(BI$1,'在庫使用計画 (一般)'!$A$1:$BF$1,0)),INDEX('在庫使用計画 (法人)'!$A$1:$AT$578,MATCH($C122,'在庫使用計画 (法人)'!$C$1:$C$578,0),MATCH(BI$1,'在庫使用計画 (法人)'!$A$1:$AT$1,0)))),"")</f>
        <v/>
      </c>
      <c r="BJ122" s="819" t="str">
        <f>IFERROR(IF(SUM(INDEX('在庫使用計画 (一般)'!$A$1:$BF$557,MATCH($C122,'在庫使用計画 (一般)'!$C$1:$C$557,0),MATCH(BJ$1,'在庫使用計画 (一般)'!$A$1:$BF$1,0)),INDEX('在庫使用計画 (法人)'!$A$1:$AT$578,MATCH($C122,'在庫使用計画 (法人)'!$C$1:$C$578,0),MATCH(BJ$1,'在庫使用計画 (法人)'!$A$1:$AT$1,0)))=0,"",SUM(INDEX('在庫使用計画 (一般)'!$A$1:$BF$557,MATCH($C122,'在庫使用計画 (一般)'!$C$1:$C$557,0),MATCH(BJ$1,'在庫使用計画 (一般)'!$A$1:$BF$1,0)),INDEX('在庫使用計画 (法人)'!$A$1:$AT$578,MATCH($C122,'在庫使用計画 (法人)'!$C$1:$C$578,0),MATCH(BJ$1,'在庫使用計画 (法人)'!$A$1:$AT$1,0)))),"")</f>
        <v/>
      </c>
      <c r="BK122" s="819" t="str">
        <f>IFERROR(IF(SUM(INDEX('在庫使用計画 (一般)'!$A$1:$BF$557,MATCH($C122,'在庫使用計画 (一般)'!$C$1:$C$557,0),MATCH(BK$1,'在庫使用計画 (一般)'!$A$1:$BF$1,0)),INDEX('在庫使用計画 (法人)'!$A$1:$AT$578,MATCH($C122,'在庫使用計画 (法人)'!$C$1:$C$578,0),MATCH(BK$1,'在庫使用計画 (法人)'!$A$1:$AT$1,0)))=0,"",SUM(INDEX('在庫使用計画 (一般)'!$A$1:$BF$557,MATCH($C122,'在庫使用計画 (一般)'!$C$1:$C$557,0),MATCH(BK$1,'在庫使用計画 (一般)'!$A$1:$BF$1,0)),INDEX('在庫使用計画 (法人)'!$A$1:$AT$578,MATCH($C122,'在庫使用計画 (法人)'!$C$1:$C$578,0),MATCH(BK$1,'在庫使用計画 (法人)'!$A$1:$AT$1,0)))),"")</f>
        <v/>
      </c>
      <c r="BL122" s="819" t="str">
        <f>IFERROR(IF(SUM(INDEX('在庫使用計画 (一般)'!$A$1:$BF$557,MATCH($C122,'在庫使用計画 (一般)'!$C$1:$C$557,0),MATCH(BL$1,'在庫使用計画 (一般)'!$A$1:$BF$1,0)),INDEX('在庫使用計画 (法人)'!$A$1:$AT$578,MATCH($C122,'在庫使用計画 (法人)'!$C$1:$C$578,0),MATCH(BL$1,'在庫使用計画 (法人)'!$A$1:$AT$1,0)))=0,"",SUM(INDEX('在庫使用計画 (一般)'!$A$1:$BF$557,MATCH($C122,'在庫使用計画 (一般)'!$C$1:$C$557,0),MATCH(BL$1,'在庫使用計画 (一般)'!$A$1:$BF$1,0)),INDEX('在庫使用計画 (法人)'!$A$1:$AT$578,MATCH($C122,'在庫使用計画 (法人)'!$C$1:$C$578,0),MATCH(BL$1,'在庫使用計画 (法人)'!$A$1:$AT$1,0)))),"")</f>
        <v/>
      </c>
      <c r="BM122" s="819" t="str">
        <f>IFERROR(IF(SUM(INDEX('在庫使用計画 (一般)'!$A$1:$BF$557,MATCH($C122,'在庫使用計画 (一般)'!$C$1:$C$557,0),MATCH(BM$1,'在庫使用計画 (一般)'!$A$1:$BF$1,0)),INDEX('在庫使用計画 (法人)'!$A$1:$AT$578,MATCH($C122,'在庫使用計画 (法人)'!$C$1:$C$578,0),MATCH(BM$1,'在庫使用計画 (法人)'!$A$1:$AT$1,0)))=0,"",SUM(INDEX('在庫使用計画 (一般)'!$A$1:$BF$557,MATCH($C122,'在庫使用計画 (一般)'!$C$1:$C$557,0),MATCH(BM$1,'在庫使用計画 (一般)'!$A$1:$BF$1,0)),INDEX('在庫使用計画 (法人)'!$A$1:$AT$578,MATCH($C122,'在庫使用計画 (法人)'!$C$1:$C$578,0),MATCH(BM$1,'在庫使用計画 (法人)'!$A$1:$AT$1,0)))),"")</f>
        <v/>
      </c>
      <c r="BN122" s="819" t="str">
        <f>IFERROR(IF(SUM(INDEX('在庫使用計画 (一般)'!$A$1:$BF$557,MATCH($C122,'在庫使用計画 (一般)'!$C$1:$C$557,0),MATCH(BN$1,'在庫使用計画 (一般)'!$A$1:$BF$1,0)),INDEX('在庫使用計画 (法人)'!$A$1:$AT$578,MATCH($C122,'在庫使用計画 (法人)'!$C$1:$C$578,0),MATCH(BN$1,'在庫使用計画 (法人)'!$A$1:$AT$1,0)))=0,"",SUM(INDEX('在庫使用計画 (一般)'!$A$1:$BF$557,MATCH($C122,'在庫使用計画 (一般)'!$C$1:$C$557,0),MATCH(BN$1,'在庫使用計画 (一般)'!$A$1:$BF$1,0)),INDEX('在庫使用計画 (法人)'!$A$1:$AT$578,MATCH($C122,'在庫使用計画 (法人)'!$C$1:$C$578,0),MATCH(BN$1,'在庫使用計画 (法人)'!$A$1:$AT$1,0)))),"")</f>
        <v/>
      </c>
      <c r="BO122" s="819" t="str">
        <f>IFERROR(IF(SUM(INDEX('在庫使用計画 (一般)'!$A$1:$BF$557,MATCH($C122,'在庫使用計画 (一般)'!$C$1:$C$557,0),MATCH(BO$1,'在庫使用計画 (一般)'!$A$1:$BF$1,0)),INDEX('在庫使用計画 (法人)'!$A$1:$AT$578,MATCH($C122,'在庫使用計画 (法人)'!$C$1:$C$578,0),MATCH(BO$1,'在庫使用計画 (法人)'!$A$1:$AT$1,0)))=0,"",SUM(INDEX('在庫使用計画 (一般)'!$A$1:$BF$557,MATCH($C122,'在庫使用計画 (一般)'!$C$1:$C$557,0),MATCH(BO$1,'在庫使用計画 (一般)'!$A$1:$BF$1,0)),INDEX('在庫使用計画 (法人)'!$A$1:$AT$578,MATCH($C122,'在庫使用計画 (法人)'!$C$1:$C$578,0),MATCH(BO$1,'在庫使用計画 (法人)'!$A$1:$AT$1,0)))),"")</f>
        <v/>
      </c>
      <c r="BP122" s="819" t="str">
        <f>IFERROR(IF(SUM(INDEX('在庫使用計画 (一般)'!$A$1:$BF$557,MATCH($C122,'在庫使用計画 (一般)'!$C$1:$C$557,0),MATCH(BP$1,'在庫使用計画 (一般)'!$A$1:$BF$1,0)),INDEX('在庫使用計画 (法人)'!$A$1:$AT$578,MATCH($C122,'在庫使用計画 (法人)'!$C$1:$C$578,0),MATCH(BP$1,'在庫使用計画 (法人)'!$A$1:$AT$1,0)))=0,"",SUM(INDEX('在庫使用計画 (一般)'!$A$1:$BF$557,MATCH($C122,'在庫使用計画 (一般)'!$C$1:$C$557,0),MATCH(BP$1,'在庫使用計画 (一般)'!$A$1:$BF$1,0)),INDEX('在庫使用計画 (法人)'!$A$1:$AT$578,MATCH($C122,'在庫使用計画 (法人)'!$C$1:$C$578,0),MATCH(BP$1,'在庫使用計画 (法人)'!$A$1:$AT$1,0)))),"")</f>
        <v/>
      </c>
      <c r="BQ122" s="819" t="str">
        <f>IFERROR(IF(SUM(INDEX('在庫使用計画 (一般)'!$A$1:$BF$557,MATCH($C122,'在庫使用計画 (一般)'!$C$1:$C$557,0),MATCH(BQ$1,'在庫使用計画 (一般)'!$A$1:$BF$1,0)),INDEX('在庫使用計画 (法人)'!$A$1:$AT$578,MATCH($C122,'在庫使用計画 (法人)'!$C$1:$C$578,0),MATCH(BQ$1,'在庫使用計画 (法人)'!$A$1:$AT$1,0)))=0,"",SUM(INDEX('在庫使用計画 (一般)'!$A$1:$BF$557,MATCH($C122,'在庫使用計画 (一般)'!$C$1:$C$557,0),MATCH(BQ$1,'在庫使用計画 (一般)'!$A$1:$BF$1,0)),INDEX('在庫使用計画 (法人)'!$A$1:$AT$578,MATCH($C122,'在庫使用計画 (法人)'!$C$1:$C$578,0),MATCH(BQ$1,'在庫使用計画 (法人)'!$A$1:$AT$1,0)))),"")</f>
        <v/>
      </c>
      <c r="BR122" s="819" t="str">
        <f>IFERROR(IF(SUM(INDEX('在庫使用計画 (一般)'!$A$1:$BF$557,MATCH($C122,'在庫使用計画 (一般)'!$C$1:$C$557,0),MATCH(BR$1,'在庫使用計画 (一般)'!$A$1:$BF$1,0)),INDEX('在庫使用計画 (法人)'!$A$1:$AT$578,MATCH($C122,'在庫使用計画 (法人)'!$C$1:$C$578,0),MATCH(BR$1,'在庫使用計画 (法人)'!$A$1:$AT$1,0)))=0,"",SUM(INDEX('在庫使用計画 (一般)'!$A$1:$BF$557,MATCH($C122,'在庫使用計画 (一般)'!$C$1:$C$557,0),MATCH(BR$1,'在庫使用計画 (一般)'!$A$1:$BF$1,0)),INDEX('在庫使用計画 (法人)'!$A$1:$AT$578,MATCH($C122,'在庫使用計画 (法人)'!$C$1:$C$578,0),MATCH(BR$1,'在庫使用計画 (法人)'!$A$1:$AT$1,0)))),"")</f>
        <v/>
      </c>
      <c r="BS122" s="820" t="str">
        <f>IFERROR(IF(SUM(INDEX('在庫使用計画 (一般)'!$A$1:$BF$557,MATCH($C122,'在庫使用計画 (一般)'!$C$1:$C$557,0),MATCH(BS$1,'在庫使用計画 (一般)'!$A$1:$BF$1,0)),INDEX('在庫使用計画 (法人)'!$A$1:$AT$578,MATCH($C122,'在庫使用計画 (法人)'!$C$1:$C$578,0),MATCH(BS$1,'在庫使用計画 (法人)'!$A$1:$AT$1,0)))=0,"",SUM(INDEX('在庫使用計画 (一般)'!$A$1:$BF$557,MATCH($C122,'在庫使用計画 (一般)'!$C$1:$C$557,0),MATCH(BS$1,'在庫使用計画 (一般)'!$A$1:$BF$1,0)),INDEX('在庫使用計画 (法人)'!$A$1:$AT$578,MATCH($C122,'在庫使用計画 (法人)'!$C$1:$C$578,0),MATCH(BS$1,'在庫使用計画 (法人)'!$A$1:$AT$1,0)))),"")</f>
        <v/>
      </c>
    </row>
    <row r="123" spans="1:72">
      <c r="W123" s="307"/>
    </row>
    <row r="124" spans="1:72">
      <c r="A124" s="1079" t="s">
        <v>1806</v>
      </c>
      <c r="J124"/>
      <c r="K124"/>
      <c r="L124"/>
      <c r="M124"/>
      <c r="N124"/>
      <c r="O124"/>
      <c r="P124"/>
      <c r="Q124"/>
      <c r="R124"/>
      <c r="S124"/>
      <c r="T124"/>
      <c r="U124"/>
      <c r="V124"/>
      <c r="W124"/>
      <c r="X124"/>
      <c r="Y124"/>
      <c r="Z124"/>
      <c r="AA124"/>
      <c r="AB124"/>
      <c r="AC124"/>
      <c r="AD124"/>
      <c r="AE124"/>
      <c r="AF124"/>
      <c r="AG124"/>
      <c r="AH124"/>
      <c r="AI124"/>
      <c r="AJ124"/>
    </row>
    <row r="125" spans="1:72">
      <c r="B125" s="150" t="s">
        <v>1524</v>
      </c>
      <c r="E125" s="46"/>
      <c r="J125"/>
      <c r="K125"/>
      <c r="L125"/>
      <c r="M125"/>
      <c r="N125"/>
      <c r="O125"/>
      <c r="P125"/>
      <c r="Q125"/>
      <c r="R125"/>
      <c r="S125"/>
      <c r="T125"/>
      <c r="U125"/>
      <c r="V125"/>
      <c r="W125"/>
      <c r="X125"/>
      <c r="Y125"/>
      <c r="Z125"/>
      <c r="AA125"/>
      <c r="AB125"/>
      <c r="AC125"/>
      <c r="AD125"/>
      <c r="AE125"/>
      <c r="AF125"/>
      <c r="AG125"/>
      <c r="AH125"/>
      <c r="AI125"/>
      <c r="AJ125"/>
    </row>
    <row r="126" spans="1:72">
      <c r="J126"/>
      <c r="K126"/>
      <c r="L126"/>
      <c r="M126"/>
      <c r="N126"/>
      <c r="O126"/>
      <c r="P126"/>
      <c r="Q126"/>
      <c r="R126"/>
      <c r="S126"/>
      <c r="T126"/>
      <c r="U126"/>
      <c r="V126"/>
      <c r="W126"/>
      <c r="X126"/>
      <c r="Y126"/>
      <c r="Z126"/>
      <c r="AA126"/>
      <c r="AB126"/>
      <c r="AC126"/>
      <c r="AD126"/>
      <c r="AE126"/>
      <c r="AF126"/>
      <c r="AG126"/>
      <c r="AH126"/>
      <c r="AI126"/>
      <c r="AJ126"/>
    </row>
    <row r="127" spans="1:72">
      <c r="J127"/>
      <c r="K127"/>
      <c r="L127"/>
      <c r="M127"/>
      <c r="N127"/>
      <c r="O127"/>
      <c r="P127"/>
      <c r="Q127"/>
      <c r="R127"/>
      <c r="S127"/>
      <c r="T127"/>
      <c r="U127"/>
      <c r="V127"/>
      <c r="W127"/>
      <c r="X127"/>
      <c r="Y127"/>
      <c r="Z127"/>
      <c r="AA127"/>
      <c r="AB127"/>
      <c r="AC127"/>
      <c r="AD127"/>
      <c r="AE127"/>
      <c r="AF127"/>
      <c r="AG127"/>
      <c r="AH127"/>
      <c r="AI127"/>
      <c r="AJ127"/>
    </row>
    <row r="128" spans="1:72">
      <c r="J128"/>
      <c r="K128"/>
      <c r="L128"/>
      <c r="M128"/>
      <c r="N128"/>
      <c r="O128"/>
      <c r="P128"/>
      <c r="Q128"/>
      <c r="R128"/>
      <c r="S128"/>
      <c r="T128"/>
      <c r="U128"/>
      <c r="V128"/>
      <c r="W128"/>
      <c r="X128"/>
      <c r="Y128"/>
      <c r="Z128"/>
      <c r="AA128"/>
      <c r="AB128"/>
      <c r="AC128"/>
      <c r="AD128"/>
      <c r="AE128"/>
      <c r="AF128"/>
      <c r="AG128"/>
      <c r="AH128"/>
      <c r="AI128"/>
      <c r="AJ128"/>
    </row>
    <row r="129" spans="2:42">
      <c r="C129" s="110" t="s">
        <v>1820</v>
      </c>
      <c r="G129" s="1443">
        <v>16000</v>
      </c>
      <c r="J129"/>
      <c r="K129"/>
      <c r="L129"/>
      <c r="M129"/>
      <c r="N129"/>
      <c r="O129"/>
      <c r="P129"/>
      <c r="Q129"/>
      <c r="R129"/>
      <c r="S129"/>
      <c r="T129"/>
      <c r="U129"/>
      <c r="V129"/>
      <c r="W129"/>
      <c r="X129"/>
      <c r="Y129"/>
      <c r="Z129"/>
      <c r="AA129"/>
      <c r="AB129"/>
      <c r="AC129"/>
      <c r="AD129"/>
      <c r="AE129"/>
      <c r="AF129"/>
      <c r="AG129"/>
      <c r="AH129"/>
      <c r="AI129"/>
      <c r="AJ129"/>
    </row>
    <row r="130" spans="2:42">
      <c r="C130" s="113" t="s">
        <v>1821</v>
      </c>
      <c r="G130" s="1443">
        <v>20000</v>
      </c>
      <c r="I130" s="1443"/>
      <c r="J130"/>
      <c r="K130"/>
      <c r="L130"/>
      <c r="M130"/>
      <c r="N130"/>
      <c r="O130"/>
      <c r="P130"/>
      <c r="Q130"/>
      <c r="R130"/>
      <c r="S130"/>
      <c r="T130"/>
      <c r="U130"/>
      <c r="V130"/>
      <c r="W130"/>
      <c r="X130"/>
      <c r="Y130"/>
      <c r="Z130"/>
      <c r="AA130"/>
      <c r="AB130"/>
      <c r="AC130"/>
      <c r="AD130"/>
      <c r="AE130"/>
      <c r="AF130"/>
      <c r="AG130"/>
      <c r="AH130"/>
      <c r="AI130"/>
      <c r="AJ130"/>
    </row>
    <row r="131" spans="2:42">
      <c r="C131" s="113" t="s">
        <v>1822</v>
      </c>
      <c r="G131" s="1442">
        <f>SUM(G27,G47,G108,G121)</f>
        <v>31231</v>
      </c>
      <c r="H131" s="1443"/>
      <c r="I131" s="1443"/>
      <c r="J131"/>
      <c r="K131"/>
      <c r="L131"/>
      <c r="M131"/>
      <c r="N131"/>
      <c r="O131"/>
      <c r="P131"/>
      <c r="Q131"/>
      <c r="R131"/>
      <c r="S131"/>
      <c r="T131"/>
      <c r="U131"/>
      <c r="V131"/>
      <c r="W131"/>
      <c r="X131"/>
      <c r="Y131"/>
      <c r="Z131"/>
      <c r="AA131"/>
      <c r="AB131"/>
      <c r="AC131"/>
      <c r="AD131"/>
      <c r="AE131"/>
      <c r="AF131"/>
      <c r="AG131"/>
      <c r="AH131"/>
      <c r="AI131"/>
      <c r="AJ131"/>
      <c r="AN131" s="1452">
        <f>SUM(G27,G47,G108,G121)-SUM(AN49,AN108,AN121)</f>
        <v>24810.468606431852</v>
      </c>
      <c r="AO131" s="1452">
        <f>AN131-SUM(AO49,AO108,AO121)</f>
        <v>17009.823547089152</v>
      </c>
      <c r="AP131" s="1452">
        <f>AO131-SUM(AP49,AP108,AP121)</f>
        <v>8206.0257212164433</v>
      </c>
    </row>
    <row r="132" spans="2:42">
      <c r="C132" s="113" t="s">
        <v>1823</v>
      </c>
      <c r="G132" s="1442">
        <f>SUM(H27,H47,H108,H121)</f>
        <v>17652</v>
      </c>
      <c r="H132" s="1443"/>
      <c r="I132" s="1443"/>
      <c r="J132"/>
      <c r="K132"/>
      <c r="L132"/>
      <c r="M132"/>
      <c r="N132"/>
      <c r="O132"/>
      <c r="P132"/>
      <c r="Q132"/>
      <c r="R132"/>
      <c r="S132"/>
      <c r="T132"/>
      <c r="U132"/>
      <c r="V132"/>
      <c r="W132"/>
      <c r="X132"/>
      <c r="Y132"/>
      <c r="Z132"/>
      <c r="AA132"/>
      <c r="AB132"/>
      <c r="AC132"/>
      <c r="AD132"/>
      <c r="AE132"/>
      <c r="AF132"/>
      <c r="AG132"/>
      <c r="AH132"/>
      <c r="AI132"/>
      <c r="AJ132"/>
    </row>
    <row r="133" spans="2:42">
      <c r="C133" s="113" t="s">
        <v>1824</v>
      </c>
      <c r="G133" s="1442">
        <f>G131-G132</f>
        <v>13579</v>
      </c>
      <c r="H133" s="1443"/>
      <c r="I133" s="1443"/>
      <c r="J133"/>
      <c r="K133"/>
      <c r="L133"/>
      <c r="M133"/>
      <c r="N133"/>
      <c r="O133"/>
      <c r="P133"/>
      <c r="Q133"/>
      <c r="R133"/>
      <c r="S133"/>
      <c r="T133"/>
      <c r="U133"/>
      <c r="V133"/>
      <c r="W133"/>
      <c r="X133"/>
      <c r="Y133"/>
      <c r="Z133"/>
      <c r="AA133"/>
      <c r="AB133"/>
      <c r="AC133"/>
      <c r="AD133"/>
      <c r="AE133"/>
      <c r="AF133"/>
      <c r="AG133"/>
      <c r="AH133"/>
      <c r="AI133"/>
      <c r="AJ133"/>
    </row>
    <row r="134" spans="2:42">
      <c r="C134" s="113" t="s">
        <v>1825</v>
      </c>
      <c r="G134" s="1442">
        <f>AP131</f>
        <v>8206.0257212164433</v>
      </c>
      <c r="H134" s="1443"/>
      <c r="I134" s="1443"/>
      <c r="J134"/>
      <c r="K134"/>
      <c r="L134"/>
      <c r="M134"/>
      <c r="N134"/>
      <c r="O134"/>
      <c r="P134"/>
      <c r="Q134"/>
      <c r="R134"/>
      <c r="S134"/>
      <c r="T134"/>
      <c r="U134"/>
      <c r="V134"/>
      <c r="W134"/>
      <c r="X134"/>
      <c r="Y134"/>
      <c r="Z134"/>
      <c r="AA134"/>
      <c r="AB134"/>
      <c r="AC134"/>
      <c r="AD134"/>
      <c r="AE134"/>
      <c r="AF134"/>
      <c r="AG134"/>
      <c r="AH134"/>
      <c r="AI134"/>
      <c r="AJ134"/>
    </row>
    <row r="135" spans="2:42">
      <c r="J135"/>
      <c r="K135"/>
      <c r="L135"/>
      <c r="M135"/>
      <c r="N135"/>
      <c r="O135"/>
      <c r="P135"/>
      <c r="Q135"/>
      <c r="R135"/>
      <c r="S135"/>
      <c r="T135"/>
      <c r="U135"/>
      <c r="V135"/>
      <c r="W135"/>
      <c r="X135"/>
      <c r="Y135"/>
      <c r="Z135"/>
      <c r="AA135"/>
      <c r="AB135"/>
      <c r="AC135"/>
      <c r="AD135"/>
      <c r="AE135"/>
      <c r="AF135"/>
      <c r="AG135"/>
      <c r="AH135"/>
      <c r="AI135"/>
      <c r="AJ135"/>
    </row>
    <row r="136" spans="2:42">
      <c r="J136"/>
      <c r="K136"/>
      <c r="L136"/>
      <c r="M136"/>
      <c r="N136"/>
      <c r="O136"/>
      <c r="P136"/>
      <c r="Q136"/>
      <c r="R136"/>
      <c r="S136"/>
      <c r="T136"/>
      <c r="U136"/>
      <c r="V136"/>
      <c r="W136"/>
      <c r="X136"/>
      <c r="Y136"/>
      <c r="Z136"/>
      <c r="AA136"/>
      <c r="AB136"/>
      <c r="AC136"/>
      <c r="AD136"/>
      <c r="AE136"/>
      <c r="AF136"/>
      <c r="AG136"/>
      <c r="AH136"/>
      <c r="AI136"/>
      <c r="AJ136"/>
    </row>
    <row r="137" spans="2:42">
      <c r="J137"/>
      <c r="K137"/>
      <c r="L137"/>
      <c r="M137"/>
      <c r="N137"/>
      <c r="O137"/>
      <c r="P137"/>
      <c r="Q137"/>
      <c r="R137"/>
      <c r="S137"/>
      <c r="T137"/>
      <c r="U137"/>
      <c r="V137"/>
      <c r="W137"/>
      <c r="X137"/>
      <c r="Y137"/>
      <c r="Z137"/>
      <c r="AA137"/>
      <c r="AB137"/>
      <c r="AC137"/>
      <c r="AD137"/>
      <c r="AE137"/>
      <c r="AF137"/>
      <c r="AG137"/>
      <c r="AH137"/>
      <c r="AI137"/>
      <c r="AJ137"/>
    </row>
    <row r="138" spans="2:42">
      <c r="J138"/>
      <c r="K138"/>
      <c r="L138"/>
      <c r="M138"/>
      <c r="N138"/>
      <c r="O138"/>
      <c r="P138"/>
      <c r="Q138"/>
      <c r="R138"/>
      <c r="S138"/>
      <c r="T138"/>
      <c r="U138"/>
      <c r="V138"/>
      <c r="W138"/>
      <c r="X138"/>
      <c r="Y138"/>
      <c r="Z138"/>
      <c r="AA138"/>
      <c r="AB138"/>
      <c r="AC138"/>
      <c r="AD138"/>
      <c r="AE138"/>
      <c r="AF138"/>
      <c r="AG138"/>
      <c r="AH138"/>
      <c r="AI138"/>
      <c r="AJ138"/>
    </row>
    <row r="139" spans="2:42">
      <c r="J139"/>
      <c r="K139"/>
      <c r="L139"/>
      <c r="M139"/>
      <c r="N139"/>
      <c r="O139"/>
      <c r="P139"/>
      <c r="Q139"/>
      <c r="R139"/>
      <c r="S139"/>
      <c r="T139"/>
      <c r="U139"/>
      <c r="V139"/>
      <c r="W139"/>
      <c r="X139"/>
      <c r="Y139"/>
      <c r="Z139"/>
      <c r="AA139"/>
      <c r="AB139"/>
      <c r="AC139"/>
      <c r="AD139"/>
      <c r="AE139"/>
      <c r="AF139"/>
      <c r="AG139"/>
      <c r="AH139"/>
      <c r="AI139"/>
      <c r="AJ139"/>
    </row>
    <row r="140" spans="2:42">
      <c r="J140"/>
      <c r="K140"/>
      <c r="L140"/>
      <c r="M140"/>
      <c r="N140"/>
      <c r="O140"/>
      <c r="P140"/>
      <c r="Q140"/>
      <c r="R140"/>
      <c r="S140"/>
      <c r="T140"/>
      <c r="U140"/>
      <c r="V140"/>
      <c r="W140"/>
      <c r="X140"/>
      <c r="Y140"/>
      <c r="Z140"/>
      <c r="AA140"/>
      <c r="AB140"/>
      <c r="AC140"/>
      <c r="AD140"/>
      <c r="AE140"/>
      <c r="AF140"/>
      <c r="AG140"/>
      <c r="AH140"/>
      <c r="AI140"/>
      <c r="AJ140"/>
    </row>
    <row r="141" spans="2:42">
      <c r="J141"/>
      <c r="K141"/>
      <c r="L141"/>
      <c r="M141"/>
      <c r="N141"/>
      <c r="O141"/>
      <c r="P141"/>
      <c r="Q141"/>
      <c r="R141"/>
      <c r="S141"/>
      <c r="T141"/>
      <c r="U141"/>
      <c r="V141"/>
      <c r="W141"/>
      <c r="X141"/>
      <c r="Y141"/>
      <c r="Z141"/>
      <c r="AA141"/>
      <c r="AB141"/>
      <c r="AC141"/>
      <c r="AD141"/>
      <c r="AE141"/>
      <c r="AF141"/>
      <c r="AG141"/>
      <c r="AH141"/>
      <c r="AI141"/>
      <c r="AJ141"/>
    </row>
    <row r="142" spans="2:42">
      <c r="J142"/>
      <c r="K142"/>
      <c r="L142"/>
      <c r="M142"/>
      <c r="N142"/>
      <c r="O142"/>
      <c r="P142"/>
      <c r="Q142"/>
      <c r="R142"/>
      <c r="S142"/>
      <c r="T142"/>
      <c r="U142"/>
      <c r="V142"/>
      <c r="W142"/>
      <c r="X142"/>
      <c r="Y142"/>
      <c r="Z142"/>
      <c r="AA142"/>
      <c r="AB142"/>
      <c r="AC142"/>
      <c r="AD142"/>
      <c r="AE142"/>
      <c r="AF142"/>
      <c r="AG142"/>
      <c r="AH142"/>
      <c r="AI142"/>
      <c r="AJ142"/>
    </row>
    <row r="143" spans="2:42">
      <c r="J143"/>
      <c r="K143"/>
      <c r="L143"/>
      <c r="M143"/>
      <c r="N143"/>
      <c r="O143"/>
      <c r="P143"/>
      <c r="Q143"/>
      <c r="R143"/>
      <c r="S143"/>
      <c r="T143"/>
      <c r="U143"/>
      <c r="V143"/>
      <c r="W143"/>
      <c r="X143"/>
      <c r="Y143"/>
      <c r="Z143"/>
      <c r="AA143"/>
      <c r="AB143"/>
      <c r="AC143"/>
      <c r="AD143"/>
      <c r="AE143"/>
      <c r="AF143"/>
      <c r="AG143"/>
      <c r="AH143"/>
      <c r="AI143"/>
      <c r="AJ143"/>
    </row>
    <row r="144" spans="2:42">
      <c r="B144" s="113" t="s">
        <v>1665</v>
      </c>
    </row>
    <row r="145" spans="1:72" customFormat="1" ht="18.75" customHeight="1">
      <c r="A145" s="1061" t="s">
        <v>1781</v>
      </c>
      <c r="B145" s="26" t="s">
        <v>498</v>
      </c>
      <c r="C145" s="25" t="s">
        <v>496</v>
      </c>
      <c r="D145" s="2156" t="s">
        <v>1416</v>
      </c>
      <c r="E145" s="68" t="s">
        <v>1375</v>
      </c>
      <c r="F145" s="68" t="s">
        <v>1347</v>
      </c>
      <c r="G145" s="38">
        <f>_xlfn.LET(
_xlpm._在庫残,SUMIFS(在庫確認!C:C,在庫確認!B:B,'在庫使用計画 (ノート全体試算)'!C:C),
IF(_xlpm._在庫残=0,"",_xlpm._在庫残)
)</f>
        <v>1320</v>
      </c>
      <c r="H145" s="38"/>
      <c r="I145" s="38">
        <f ca="1">IF(B145="","",
SUM(
OFFSET(A145,0,
MATCH(
EDATE(基準データ!$C$5,3),
$A$1:$AT$1,1
)-4,1,4)))</f>
        <v>0</v>
      </c>
      <c r="J145" s="38" t="str" cm="1">
        <f t="array" aca="1" ref="J145" ca="1">_xlfn.LET(_xlpm._来月から4ヶ月計画合計,
  SUM(
    OFFSET($A145,0,
      MATCH(
        EDATE(基準データ!$C$5,3),$A$1:$BG$1,1
      )-3,1,4)),
_xlpm._今月計画数,
INDEX('在庫使用計画 (ノート全体試算)'!$A$1:$BF$218,
  ROW(),
  MATCH(EOMONTH(基準データ!$C$5,-1)+1,'在庫使用計画 (ノート全体試算)'!$A$1:$BF$1,0)
),
  IFERROR(IF($B145="","",_xlpm._来月から4ヶ月計画合計+_xlpm._今月計画数/2),""
)
)</f>
        <v/>
      </c>
      <c r="K145" s="38"/>
      <c r="L145" s="38" t="s">
        <v>21</v>
      </c>
      <c r="M145" s="38" t="s">
        <v>21</v>
      </c>
      <c r="N145" s="38" t="s">
        <v>21</v>
      </c>
      <c r="O145" s="38" t="s">
        <v>21</v>
      </c>
      <c r="P145" s="38" t="s">
        <v>21</v>
      </c>
      <c r="Q145" s="38">
        <v>102</v>
      </c>
      <c r="R145" s="38">
        <v>322</v>
      </c>
      <c r="S145" s="38">
        <v>152</v>
      </c>
      <c r="T145" s="219">
        <v>152</v>
      </c>
      <c r="U145" s="224">
        <v>205</v>
      </c>
      <c r="V145" s="224">
        <v>255</v>
      </c>
      <c r="W145" s="224">
        <v>405</v>
      </c>
      <c r="X145" s="224">
        <v>255</v>
      </c>
      <c r="Y145" s="224">
        <v>155</v>
      </c>
      <c r="Z145" s="224">
        <v>355</v>
      </c>
      <c r="AA145" s="224">
        <v>120</v>
      </c>
      <c r="AB145" s="224" t="s">
        <v>21</v>
      </c>
      <c r="AC145" s="224" t="s">
        <v>21</v>
      </c>
      <c r="AD145" s="237" t="s">
        <v>21</v>
      </c>
      <c r="AE145" s="237" t="s">
        <v>21</v>
      </c>
      <c r="AF145" s="237" t="s">
        <v>21</v>
      </c>
      <c r="AG145" s="237">
        <v>1</v>
      </c>
      <c r="AH145" s="224" t="s">
        <v>21</v>
      </c>
      <c r="AI145" s="237" t="s">
        <v>21</v>
      </c>
      <c r="AJ145" s="838" t="s">
        <v>21</v>
      </c>
      <c r="AK145" s="237" t="s">
        <v>21</v>
      </c>
      <c r="AL145" s="237" t="s">
        <v>21</v>
      </c>
      <c r="AM145" s="237" t="s">
        <v>21</v>
      </c>
      <c r="AN145" s="237" t="str">
        <f>IFERROR(IF(SUM(INDEX('在庫使用計画 (一般)'!$A$1:$BF$557,MATCH($C145,'在庫使用計画 (一般)'!$C$1:$C$557,0),MATCH(AN$1,'在庫使用計画 (一般)'!$A$1:$BF$1,0)),INDEX('在庫使用計画 (法人)'!$A$1:$AT$578,MATCH($C145,'在庫使用計画 (法人)'!$C$1:$C$578,0),MATCH(AN$1,'在庫使用計画 (法人)'!$A$1:$AT$1,0)))=0,"",SUM(INDEX('在庫使用計画 (一般)'!$A$1:$BF$557,MATCH($C145,'在庫使用計画 (一般)'!$C$1:$C$557,0),MATCH(AN$1,'在庫使用計画 (一般)'!$A$1:$BF$1,0)),INDEX('在庫使用計画 (法人)'!$A$1:$AT$578,MATCH($C145,'在庫使用計画 (法人)'!$C$1:$C$578,0),MATCH(AN$1,'在庫使用計画 (法人)'!$A$1:$AT$1,0)))),"")</f>
        <v/>
      </c>
      <c r="AO145" s="237" t="str">
        <f>IFERROR(IF(SUM(INDEX('在庫使用計画 (一般)'!$A$1:$BF$557,MATCH($C145,'在庫使用計画 (一般)'!$C$1:$C$557,0),MATCH(AO$1,'在庫使用計画 (一般)'!$A$1:$BF$1,0)),INDEX('在庫使用計画 (法人)'!$A$1:$AT$578,MATCH($C145,'在庫使用計画 (法人)'!$C$1:$C$578,0),MATCH(AO$1,'在庫使用計画 (法人)'!$A$1:$AT$1,0)))=0,"",SUM(INDEX('在庫使用計画 (一般)'!$A$1:$BF$557,MATCH($C145,'在庫使用計画 (一般)'!$C$1:$C$557,0),MATCH(AO$1,'在庫使用計画 (一般)'!$A$1:$BF$1,0)),INDEX('在庫使用計画 (法人)'!$A$1:$AT$578,MATCH($C145,'在庫使用計画 (法人)'!$C$1:$C$578,0),MATCH(AO$1,'在庫使用計画 (法人)'!$A$1:$AT$1,0)))),"")</f>
        <v/>
      </c>
      <c r="AP145" s="237" t="str">
        <f>IFERROR(IF(SUM(INDEX('在庫使用計画 (一般)'!$A$1:$BF$557,MATCH($C145,'在庫使用計画 (一般)'!$C$1:$C$557,0),MATCH(AP$1,'在庫使用計画 (一般)'!$A$1:$BF$1,0)),INDEX('在庫使用計画 (法人)'!$A$1:$AT$578,MATCH($C145,'在庫使用計画 (法人)'!$C$1:$C$578,0),MATCH(AP$1,'在庫使用計画 (法人)'!$A$1:$AT$1,0)))=0,"",SUM(INDEX('在庫使用計画 (一般)'!$A$1:$BF$557,MATCH($C145,'在庫使用計画 (一般)'!$C$1:$C$557,0),MATCH(AP$1,'在庫使用計画 (一般)'!$A$1:$BF$1,0)),INDEX('在庫使用計画 (法人)'!$A$1:$AT$578,MATCH($C145,'在庫使用計画 (法人)'!$C$1:$C$578,0),MATCH(AP$1,'在庫使用計画 (法人)'!$A$1:$AT$1,0)))),"")</f>
        <v/>
      </c>
      <c r="AQ145" s="237" t="str">
        <f>IFERROR(IF(SUM(INDEX('在庫使用計画 (一般)'!$A$1:$BF$557,MATCH($C145,'在庫使用計画 (一般)'!$C$1:$C$557,0),MATCH(AQ$1,'在庫使用計画 (一般)'!$A$1:$BF$1,0)),INDEX('在庫使用計画 (法人)'!$A$1:$AT$578,MATCH($C145,'在庫使用計画 (法人)'!$C$1:$C$578,0),MATCH(AQ$1,'在庫使用計画 (法人)'!$A$1:$AT$1,0)))=0,"",SUM(INDEX('在庫使用計画 (一般)'!$A$1:$BF$557,MATCH($C145,'在庫使用計画 (一般)'!$C$1:$C$557,0),MATCH(AQ$1,'在庫使用計画 (一般)'!$A$1:$BF$1,0)),INDEX('在庫使用計画 (法人)'!$A$1:$AT$578,MATCH($C145,'在庫使用計画 (法人)'!$C$1:$C$578,0),MATCH(AQ$1,'在庫使用計画 (法人)'!$A$1:$AT$1,0)))),"")</f>
        <v/>
      </c>
      <c r="AR145" s="237" t="str">
        <f>IFERROR(IF(SUM(INDEX('在庫使用計画 (一般)'!$A$1:$BF$557,MATCH($C145,'在庫使用計画 (一般)'!$C$1:$C$557,0),MATCH(AR$1,'在庫使用計画 (一般)'!$A$1:$BF$1,0)),INDEX('在庫使用計画 (法人)'!$A$1:$AT$578,MATCH($C145,'在庫使用計画 (法人)'!$C$1:$C$578,0),MATCH(AR$1,'在庫使用計画 (法人)'!$A$1:$AT$1,0)))=0,"",SUM(INDEX('在庫使用計画 (一般)'!$A$1:$BF$557,MATCH($C145,'在庫使用計画 (一般)'!$C$1:$C$557,0),MATCH(AR$1,'在庫使用計画 (一般)'!$A$1:$BF$1,0)),INDEX('在庫使用計画 (法人)'!$A$1:$AT$578,MATCH($C145,'在庫使用計画 (法人)'!$C$1:$C$578,0),MATCH(AR$1,'在庫使用計画 (法人)'!$A$1:$AT$1,0)))),"")</f>
        <v/>
      </c>
      <c r="AS145" s="237" t="str">
        <f>IFERROR(IF(SUM(INDEX('在庫使用計画 (一般)'!$A$1:$BF$557,MATCH($C145,'在庫使用計画 (一般)'!$C$1:$C$557,0),MATCH(AS$1,'在庫使用計画 (一般)'!$A$1:$BF$1,0)),INDEX('在庫使用計画 (法人)'!$A$1:$AT$578,MATCH($C145,'在庫使用計画 (法人)'!$C$1:$C$578,0),MATCH(AS$1,'在庫使用計画 (法人)'!$A$1:$AT$1,0)))=0,"",SUM(INDEX('在庫使用計画 (一般)'!$A$1:$BF$557,MATCH($C145,'在庫使用計画 (一般)'!$C$1:$C$557,0),MATCH(AS$1,'在庫使用計画 (一般)'!$A$1:$BF$1,0)),INDEX('在庫使用計画 (法人)'!$A$1:$AT$578,MATCH($C145,'在庫使用計画 (法人)'!$C$1:$C$578,0),MATCH(AS$1,'在庫使用計画 (法人)'!$A$1:$AT$1,0)))),"")</f>
        <v/>
      </c>
      <c r="AT145" s="237" t="str">
        <f>IFERROR(IF(SUM(INDEX('在庫使用計画 (一般)'!$A$1:$BF$557,MATCH($C145,'在庫使用計画 (一般)'!$C$1:$C$557,0),MATCH(AT$1,'在庫使用計画 (一般)'!$A$1:$BF$1,0)),INDEX('在庫使用計画 (法人)'!$A$1:$AT$578,MATCH($C145,'在庫使用計画 (法人)'!$C$1:$C$578,0),MATCH(AT$1,'在庫使用計画 (法人)'!$A$1:$AT$1,0)))=0,"",SUM(INDEX('在庫使用計画 (一般)'!$A$1:$BF$557,MATCH($C145,'在庫使用計画 (一般)'!$C$1:$C$557,0),MATCH(AT$1,'在庫使用計画 (一般)'!$A$1:$BF$1,0)),INDEX('在庫使用計画 (法人)'!$A$1:$AT$578,MATCH($C145,'在庫使用計画 (法人)'!$C$1:$C$578,0),MATCH(AT$1,'在庫使用計画 (法人)'!$A$1:$AT$1,0)))),"")</f>
        <v/>
      </c>
      <c r="AU145" s="805" t="str">
        <f>IFERROR(IF(SUM(INDEX('在庫使用計画 (一般)'!$A$1:$BF$557,MATCH($C145,'在庫使用計画 (一般)'!$C$1:$C$557,0),MATCH(AU$1,'在庫使用計画 (一般)'!$A$1:$BF$1,0)),INDEX('在庫使用計画 (法人)'!$A$1:$AT$578,MATCH($C145,'在庫使用計画 (法人)'!$C$1:$C$578,0),MATCH(AU$1,'在庫使用計画 (法人)'!$A$1:$AT$1,0)))=0,"",SUM(INDEX('在庫使用計画 (一般)'!$A$1:$BF$557,MATCH($C145,'在庫使用計画 (一般)'!$C$1:$C$557,0),MATCH(AU$1,'在庫使用計画 (一般)'!$A$1:$BF$1,0)),INDEX('在庫使用計画 (法人)'!$A$1:$AT$578,MATCH($C145,'在庫使用計画 (法人)'!$C$1:$C$578,0),MATCH(AU$1,'在庫使用計画 (法人)'!$A$1:$AT$1,0)))),"")</f>
        <v/>
      </c>
      <c r="AV145" s="244" t="str">
        <f>_xlfn.LET(
  _xlpm._一般,INDEX('在庫使用計画 (一般)'!$A$1:$BF$316,MATCH($C145,'在庫使用計画 (一般)'!$C$1:$C$316,0),MATCH(AV$1,'在庫使用計画 (一般)'!$A$1:$BF$1,0)),
  _xlpm._法人,INDEX('在庫使用計画 (法人)'!$A$1:$BF$327,MATCH($C145,'在庫使用計画 (法人)'!$C$1:$C$327,0),MATCH(AV$1,'在庫使用計画 (法人)'!$A$1:$BF$1,0)),
 IFERROR(
  IF(_xlpm._一般+_xlpm._法人=0,"",_xlpm._一般+_xlpm._法人
  ),
 "")
)</f>
        <v/>
      </c>
      <c r="AW145" s="224" t="str">
        <f>_xlfn.LET(
  _xlpm._一般,INDEX('在庫使用計画 (一般)'!$A$1:$BF$316,MATCH($C145,'在庫使用計画 (一般)'!$C$1:$C$316,0),MATCH(AW$1,'在庫使用計画 (一般)'!$A$1:$BF$1,0)),
  _xlpm._法人,INDEX('在庫使用計画 (法人)'!$A$1:$BF$327,MATCH($C145,'在庫使用計画 (法人)'!$C$1:$C$327,0),MATCH(AW$1,'在庫使用計画 (法人)'!$A$1:$BF$1,0)),
 IFERROR(
  IF(_xlpm._一般+_xlpm._法人=0,"",_xlpm._一般+_xlpm._法人
  ),
 "")
)</f>
        <v/>
      </c>
      <c r="AX145" s="224" t="str">
        <f>_xlfn.LET(
  _xlpm._一般,INDEX('在庫使用計画 (一般)'!$A$1:$BF$316,MATCH($C145,'在庫使用計画 (一般)'!$C$1:$C$316,0),MATCH(AX$1,'在庫使用計画 (一般)'!$A$1:$BF$1,0)),
  _xlpm._法人,INDEX('在庫使用計画 (法人)'!$A$1:$BF$327,MATCH($C145,'在庫使用計画 (法人)'!$C$1:$C$327,0),MATCH(AX$1,'在庫使用計画 (法人)'!$A$1:$BF$1,0)),
 IFERROR(
  IF(_xlpm._一般+_xlpm._法人=0,"",_xlpm._一般+_xlpm._法人
  ),
 "")
)</f>
        <v/>
      </c>
      <c r="AY145" s="224" t="str">
        <f>_xlfn.LET(
  _xlpm._一般,INDEX('在庫使用計画 (一般)'!$A$1:$BF$316,MATCH($C145,'在庫使用計画 (一般)'!$C$1:$C$316,0),MATCH(AY$1,'在庫使用計画 (一般)'!$A$1:$BF$1,0)),
  _xlpm._法人,INDEX('在庫使用計画 (法人)'!$A$1:$BF$327,MATCH($C145,'在庫使用計画 (法人)'!$C$1:$C$327,0),MATCH(AY$1,'在庫使用計画 (法人)'!$A$1:$BF$1,0)),
 IFERROR(
  IF(_xlpm._一般+_xlpm._法人=0,"",_xlpm._一般+_xlpm._法人
  ),
 "")
)</f>
        <v/>
      </c>
      <c r="AZ145" s="224" t="str">
        <f>_xlfn.LET(
  _xlpm._一般,INDEX('在庫使用計画 (一般)'!$A$1:$BF$316,MATCH($C145,'在庫使用計画 (一般)'!$C$1:$C$316,0),MATCH(AZ$1,'在庫使用計画 (一般)'!$A$1:$BF$1,0)),
  _xlpm._法人,INDEX('在庫使用計画 (法人)'!$A$1:$BF$327,MATCH($C145,'在庫使用計画 (法人)'!$C$1:$C$327,0),MATCH(AZ$1,'在庫使用計画 (法人)'!$A$1:$BF$1,0)),
 IFERROR(
  IF(_xlpm._一般+_xlpm._法人=0,"",_xlpm._一般+_xlpm._法人
  ),
 "")
)</f>
        <v/>
      </c>
      <c r="BA145" s="224" t="str">
        <f>_xlfn.LET(
  _xlpm._一般,INDEX('在庫使用計画 (一般)'!$A$1:$BF$316,MATCH($C145,'在庫使用計画 (一般)'!$C$1:$C$316,0),MATCH(BA$1,'在庫使用計画 (一般)'!$A$1:$BF$1,0)),
  _xlpm._法人,INDEX('在庫使用計画 (法人)'!$A$1:$BF$327,MATCH($C145,'在庫使用計画 (法人)'!$C$1:$C$327,0),MATCH(BA$1,'在庫使用計画 (法人)'!$A$1:$BF$1,0)),
 IFERROR(
  IF(_xlpm._一般+_xlpm._法人=0,"",_xlpm._一般+_xlpm._法人
  ),
 "")
)</f>
        <v/>
      </c>
      <c r="BB145" s="224" t="str">
        <f>_xlfn.LET(
  _xlpm._一般,INDEX('在庫使用計画 (一般)'!$A$1:$BF$316,MATCH($C145,'在庫使用計画 (一般)'!$C$1:$C$316,0),MATCH(BB$1,'在庫使用計画 (一般)'!$A$1:$BF$1,0)),
  _xlpm._法人,INDEX('在庫使用計画 (法人)'!$A$1:$BF$327,MATCH($C145,'在庫使用計画 (法人)'!$C$1:$C$327,0),MATCH(BB$1,'在庫使用計画 (法人)'!$A$1:$BF$1,0)),
 IFERROR(
  IF(_xlpm._一般+_xlpm._法人=0,"",_xlpm._一般+_xlpm._法人
  ),
 "")
)</f>
        <v/>
      </c>
      <c r="BC145" s="224" t="str">
        <f>_xlfn.LET(
  _xlpm._一般,INDEX('在庫使用計画 (一般)'!$A$1:$BF$316,MATCH($C145,'在庫使用計画 (一般)'!$C$1:$C$316,0),MATCH(BC$1,'在庫使用計画 (一般)'!$A$1:$BF$1,0)),
  _xlpm._法人,INDEX('在庫使用計画 (法人)'!$A$1:$BF$327,MATCH($C145,'在庫使用計画 (法人)'!$C$1:$C$327,0),MATCH(BC$1,'在庫使用計画 (法人)'!$A$1:$BF$1,0)),
 IFERROR(
  IF(_xlpm._一般+_xlpm._法人=0,"",_xlpm._一般+_xlpm._法人
  ),
 "")
)</f>
        <v/>
      </c>
      <c r="BD145" s="224" t="str">
        <f>_xlfn.LET(
  _xlpm._一般,INDEX('在庫使用計画 (一般)'!$A$1:$BF$316,MATCH($C145,'在庫使用計画 (一般)'!$C$1:$C$316,0),MATCH(BD$1,'在庫使用計画 (一般)'!$A$1:$BF$1,0)),
  _xlpm._法人,INDEX('在庫使用計画 (法人)'!$A$1:$BF$327,MATCH($C145,'在庫使用計画 (法人)'!$C$1:$C$327,0),MATCH(BD$1,'在庫使用計画 (法人)'!$A$1:$BF$1,0)),
 IFERROR(
  IF(_xlpm._一般+_xlpm._法人=0,"",_xlpm._一般+_xlpm._法人
  ),
 "")
)</f>
        <v/>
      </c>
      <c r="BE145" s="224" t="str">
        <f>_xlfn.LET(
  _xlpm._一般,INDEX('在庫使用計画 (一般)'!$A$1:$BF$316,MATCH($C145,'在庫使用計画 (一般)'!$C$1:$C$316,0),MATCH(BE$1,'在庫使用計画 (一般)'!$A$1:$BF$1,0)),
  _xlpm._法人,INDEX('在庫使用計画 (法人)'!$A$1:$BF$327,MATCH($C145,'在庫使用計画 (法人)'!$C$1:$C$327,0),MATCH(BE$1,'在庫使用計画 (法人)'!$A$1:$BF$1,0)),
 IFERROR(
  IF(_xlpm._一般+_xlpm._法人=0,"",_xlpm._一般+_xlpm._法人
  ),
 "")
)</f>
        <v/>
      </c>
      <c r="BF145" s="224" t="str">
        <f>_xlfn.LET(
  _xlpm._一般,INDEX('在庫使用計画 (一般)'!$A$1:$BF$316,MATCH($C145,'在庫使用計画 (一般)'!$C$1:$C$316,0),MATCH(BF$1,'在庫使用計画 (一般)'!$A$1:$BF$1,0)),
  _xlpm._法人,INDEX('在庫使用計画 (法人)'!$A$1:$BF$327,MATCH($C145,'在庫使用計画 (法人)'!$C$1:$C$327,0),MATCH(BF$1,'在庫使用計画 (法人)'!$A$1:$BF$1,0)),
 IFERROR(
  IF(_xlpm._一般+_xlpm._法人=0,"",_xlpm._一般+_xlpm._法人
  ),
 "")
)</f>
        <v/>
      </c>
      <c r="BG145" s="237" t="str">
        <f>_xlfn.LET(
  _xlpm._一般,INDEX('在庫使用計画 (一般)'!$A$1:$BF$316,MATCH($C145,'在庫使用計画 (一般)'!$C$1:$C$316,0),MATCH(BG$1,'在庫使用計画 (一般)'!$A$1:$BF$1,0)),
  _xlpm._法人,INDEX('在庫使用計画 (法人)'!$A$1:$BF$327,MATCH($C145,'在庫使用計画 (法人)'!$C$1:$C$327,0),MATCH(BG$1,'在庫使用計画 (法人)'!$A$1:$BF$1,0)),
 IFERROR(
  IF(_xlpm._一般+_xlpm._法人=0,"",_xlpm._一般+_xlpm._法人
  ),
 "")
)</f>
        <v/>
      </c>
      <c r="BH145" s="804" t="str">
        <f>_xlfn.LET(
  _xlpm._一般,INDEX('在庫使用計画 (一般)'!$A$1:$BF$316,MATCH($C145,'在庫使用計画 (一般)'!$C$1:$C$316,0),MATCH(BH$1,'在庫使用計画 (一般)'!$A$1:$BF$1,0)),
  _xlpm._法人,INDEX('在庫使用計画 (法人)'!$A$1:$BF$327,MATCH($C145,'在庫使用計画 (法人)'!$C$1:$C$327,0),MATCH(BH$1,'在庫使用計画 (法人)'!$A$1:$BF$1,0)),
 IFERROR(
  IF(_xlpm._一般+_xlpm._法人=0,"",_xlpm._一般+_xlpm._法人
  ),
 "")
)</f>
        <v/>
      </c>
      <c r="BI145" s="224" t="str">
        <f>_xlfn.LET(
  _xlpm._一般,INDEX('在庫使用計画 (一般)'!$A$1:$BF$316,MATCH($C145,'在庫使用計画 (一般)'!$C$1:$C$316,0),MATCH(BI$1,'在庫使用計画 (一般)'!$A$1:$BF$1,0)),
  _xlpm._法人,INDEX('在庫使用計画 (法人)'!$A$1:$BF$327,MATCH($C145,'在庫使用計画 (法人)'!$C$1:$C$327,0),MATCH(BI$1,'在庫使用計画 (法人)'!$A$1:$BF$1,0)),
 IFERROR(
  IF(_xlpm._一般+_xlpm._法人=0,"",_xlpm._一般+_xlpm._法人
  ),
 "")
)</f>
        <v/>
      </c>
      <c r="BJ145" s="224" t="str">
        <f>_xlfn.LET(
  _xlpm._一般,INDEX('在庫使用計画 (一般)'!$A$1:$BF$316,MATCH($C145,'在庫使用計画 (一般)'!$C$1:$C$316,0),MATCH(BJ$1,'在庫使用計画 (一般)'!$A$1:$BF$1,0)),
  _xlpm._法人,INDEX('在庫使用計画 (法人)'!$A$1:$BF$327,MATCH($C145,'在庫使用計画 (法人)'!$C$1:$C$327,0),MATCH(BJ$1,'在庫使用計画 (法人)'!$A$1:$BF$1,0)),
 IFERROR(
  IF(_xlpm._一般+_xlpm._法人=0,"",_xlpm._一般+_xlpm._法人
  ),
 "")
)</f>
        <v/>
      </c>
      <c r="BK145" s="224" t="str">
        <f>_xlfn.LET(
  _xlpm._一般,INDEX('在庫使用計画 (一般)'!$A$1:$BF$316,MATCH($C145,'在庫使用計画 (一般)'!$C$1:$C$316,0),MATCH(BK$1,'在庫使用計画 (一般)'!$A$1:$BF$1,0)),
  _xlpm._法人,INDEX('在庫使用計画 (法人)'!$A$1:$BF$327,MATCH($C145,'在庫使用計画 (法人)'!$C$1:$C$327,0),MATCH(BK$1,'在庫使用計画 (法人)'!$A$1:$BF$1,0)),
 IFERROR(
  IF(_xlpm._一般+_xlpm._法人=0,"",_xlpm._一般+_xlpm._法人
  ),
 "")
)</f>
        <v/>
      </c>
      <c r="BL145" s="224" t="str">
        <f>_xlfn.LET(
  _xlpm._一般,INDEX('在庫使用計画 (一般)'!$A$1:$BF$316,MATCH($C145,'在庫使用計画 (一般)'!$C$1:$C$316,0),MATCH(BL$1,'在庫使用計画 (一般)'!$A$1:$BF$1,0)),
  _xlpm._法人,INDEX('在庫使用計画 (法人)'!$A$1:$BF$327,MATCH($C145,'在庫使用計画 (法人)'!$C$1:$C$327,0),MATCH(BL$1,'在庫使用計画 (法人)'!$A$1:$BF$1,0)),
 IFERROR(
  IF(_xlpm._一般+_xlpm._法人=0,"",_xlpm._一般+_xlpm._法人
  ),
 "")
)</f>
        <v/>
      </c>
      <c r="BM145" s="224" t="str">
        <f>_xlfn.LET(
  _xlpm._一般,INDEX('在庫使用計画 (一般)'!$A$1:$BF$316,MATCH($C145,'在庫使用計画 (一般)'!$C$1:$C$316,0),MATCH(BM$1,'在庫使用計画 (一般)'!$A$1:$BF$1,0)),
  _xlpm._法人,INDEX('在庫使用計画 (法人)'!$A$1:$BF$327,MATCH($C145,'在庫使用計画 (法人)'!$C$1:$C$327,0),MATCH(BM$1,'在庫使用計画 (法人)'!$A$1:$BF$1,0)),
 IFERROR(
  IF(_xlpm._一般+_xlpm._法人=0,"",_xlpm._一般+_xlpm._法人
  ),
 "")
)</f>
        <v/>
      </c>
      <c r="BN145" s="224" t="str">
        <f>_xlfn.LET(
  _xlpm._一般,INDEX('在庫使用計画 (一般)'!$A$1:$BF$316,MATCH($C145,'在庫使用計画 (一般)'!$C$1:$C$316,0),MATCH(BN$1,'在庫使用計画 (一般)'!$A$1:$BF$1,0)),
  _xlpm._法人,INDEX('在庫使用計画 (法人)'!$A$1:$BF$327,MATCH($C145,'在庫使用計画 (法人)'!$C$1:$C$327,0),MATCH(BN$1,'在庫使用計画 (法人)'!$A$1:$BF$1,0)),
 IFERROR(
  IF(_xlpm._一般+_xlpm._法人=0,"",_xlpm._一般+_xlpm._法人
  ),
 "")
)</f>
        <v/>
      </c>
      <c r="BO145" s="224" t="str">
        <f>_xlfn.LET(
  _xlpm._一般,INDEX('在庫使用計画 (一般)'!$A$1:$BF$316,MATCH($C145,'在庫使用計画 (一般)'!$C$1:$C$316,0),MATCH(BO$1,'在庫使用計画 (一般)'!$A$1:$BF$1,0)),
  _xlpm._法人,INDEX('在庫使用計画 (法人)'!$A$1:$BF$327,MATCH($C145,'在庫使用計画 (法人)'!$C$1:$C$327,0),MATCH(BO$1,'在庫使用計画 (法人)'!$A$1:$BF$1,0)),
 IFERROR(
  IF(_xlpm._一般+_xlpm._法人=0,"",_xlpm._一般+_xlpm._法人
  ),
 "")
)</f>
        <v/>
      </c>
      <c r="BP145" s="224" t="str">
        <f>_xlfn.LET(
  _xlpm._一般,INDEX('在庫使用計画 (一般)'!$A$1:$BF$316,MATCH($C145,'在庫使用計画 (一般)'!$C$1:$C$316,0),MATCH(BP$1,'在庫使用計画 (一般)'!$A$1:$BF$1,0)),
  _xlpm._法人,INDEX('在庫使用計画 (法人)'!$A$1:$BF$327,MATCH($C145,'在庫使用計画 (法人)'!$C$1:$C$327,0),MATCH(BP$1,'在庫使用計画 (法人)'!$A$1:$BF$1,0)),
 IFERROR(
  IF(_xlpm._一般+_xlpm._法人=0,"",_xlpm._一般+_xlpm._法人
  ),
 "")
)</f>
        <v/>
      </c>
      <c r="BQ145" s="224" t="str">
        <f>_xlfn.LET(
  _xlpm._一般,INDEX('在庫使用計画 (一般)'!$A$1:$BF$316,MATCH($C145,'在庫使用計画 (一般)'!$C$1:$C$316,0),MATCH(BQ$1,'在庫使用計画 (一般)'!$A$1:$BF$1,0)),
  _xlpm._法人,INDEX('在庫使用計画 (法人)'!$A$1:$BF$327,MATCH($C145,'在庫使用計画 (法人)'!$C$1:$C$327,0),MATCH(BQ$1,'在庫使用計画 (法人)'!$A$1:$BF$1,0)),
 IFERROR(
  IF(_xlpm._一般+_xlpm._法人=0,"",_xlpm._一般+_xlpm._法人
  ),
 "")
)</f>
        <v/>
      </c>
      <c r="BR145" s="224" t="str">
        <f>_xlfn.LET(
  _xlpm._一般,INDEX('在庫使用計画 (一般)'!$A$1:$BF$316,MATCH($C145,'在庫使用計画 (一般)'!$C$1:$C$316,0),MATCH(BR$1,'在庫使用計画 (一般)'!$A$1:$BF$1,0)),
  _xlpm._法人,INDEX('在庫使用計画 (法人)'!$A$1:$BF$327,MATCH($C145,'在庫使用計画 (法人)'!$C$1:$C$327,0),MATCH(BR$1,'在庫使用計画 (法人)'!$A$1:$BF$1,0)),
 IFERROR(
  IF(_xlpm._一般+_xlpm._法人=0,"",_xlpm._一般+_xlpm._法人
  ),
 "")
)</f>
        <v/>
      </c>
      <c r="BS145" s="805" t="str">
        <f>_xlfn.LET(
  _xlpm._一般,INDEX('在庫使用計画 (一般)'!$A$1:$BF$316,MATCH($C145,'在庫使用計画 (一般)'!$C$1:$C$316,0),MATCH(BS$1,'在庫使用計画 (一般)'!$A$1:$BF$1,0)),
  _xlpm._法人,INDEX('在庫使用計画 (法人)'!$A$1:$BF$327,MATCH($C145,'在庫使用計画 (法人)'!$C$1:$C$327,0),MATCH(BS$1,'在庫使用計画 (法人)'!$A$1:$BF$1,0)),
 IFERROR(
  IF(_xlpm._一般+_xlpm._法人=0,"",_xlpm._一般+_xlpm._法人
  ),
 "")
)</f>
        <v/>
      </c>
      <c r="BT145" s="70"/>
    </row>
    <row r="146" spans="1:72" customFormat="1" ht="18.75" customHeight="1">
      <c r="A146" s="1061" t="s">
        <v>1442</v>
      </c>
      <c r="B146" s="26" t="s">
        <v>769</v>
      </c>
      <c r="C146" s="24" t="s">
        <v>1826</v>
      </c>
      <c r="D146" s="2153" t="s">
        <v>1423</v>
      </c>
      <c r="E146" s="25" t="s">
        <v>1430</v>
      </c>
      <c r="F146" s="26" t="s">
        <v>1372</v>
      </c>
      <c r="G146" s="38">
        <f>_xlfn.LET(
_xlpm._在庫残,SUMIFS(在庫確認!C:C,在庫確認!B:B,'在庫使用計画 (ノート全体試算)'!C:C),
IF(_xlpm._在庫残=0,"",_xlpm._在庫残)
)</f>
        <v>1280</v>
      </c>
      <c r="H146" s="38"/>
      <c r="I146" s="38">
        <f ca="1">IF(B146="","",
SUM(
OFFSET(A146,0,
MATCH(
EDATE(基準データ!$C$5,3),
$A$1:$AT$1,1
)-4,1,4)))</f>
        <v>0</v>
      </c>
      <c r="J146" s="38" t="str" cm="1">
        <f t="array" aca="1" ref="J146" ca="1">_xlfn.LET(_xlpm._来月から4ヶ月計画合計,
  SUM(
    OFFSET($A146,0,
      MATCH(
        EDATE(基準データ!$C$5,3),$A$1:$BG$1,1
      )-3,1,4)),
_xlpm._今月計画数,
INDEX('在庫使用計画 (ノート全体試算)'!$A$1:$BF$218,
  ROW(),
  MATCH(EOMONTH(基準データ!$C$5,-1)+1,'在庫使用計画 (ノート全体試算)'!$A$1:$BF$1,0)
),
  IFERROR(IF($B146="","",_xlpm._来月から4ヶ月計画合計+_xlpm._今月計画数/2),""
)
)</f>
        <v/>
      </c>
      <c r="K146" s="38"/>
      <c r="L146" s="38">
        <v>410</v>
      </c>
      <c r="M146" s="38">
        <v>430</v>
      </c>
      <c r="N146" s="38">
        <v>671</v>
      </c>
      <c r="O146" s="38">
        <v>495</v>
      </c>
      <c r="P146" s="38">
        <v>320</v>
      </c>
      <c r="Q146" s="74">
        <v>250</v>
      </c>
      <c r="R146" s="38">
        <v>350</v>
      </c>
      <c r="S146" s="38">
        <v>250</v>
      </c>
      <c r="T146" s="219">
        <v>310</v>
      </c>
      <c r="U146" s="219">
        <v>246</v>
      </c>
      <c r="V146" s="219">
        <v>383</v>
      </c>
      <c r="W146" s="219">
        <v>537</v>
      </c>
      <c r="X146" s="224">
        <v>210</v>
      </c>
      <c r="Y146" s="343" t="s">
        <v>21</v>
      </c>
      <c r="Z146" s="343" t="s">
        <v>21</v>
      </c>
      <c r="AA146" s="343" t="s">
        <v>21</v>
      </c>
      <c r="AB146" s="343" t="s">
        <v>21</v>
      </c>
      <c r="AC146" s="299" t="s">
        <v>21</v>
      </c>
      <c r="AD146" s="299" t="s">
        <v>21</v>
      </c>
      <c r="AE146" s="218" t="s">
        <v>21</v>
      </c>
      <c r="AF146" s="218" t="s">
        <v>21</v>
      </c>
      <c r="AG146" s="218" t="s">
        <v>21</v>
      </c>
      <c r="AH146" s="224" t="s">
        <v>21</v>
      </c>
      <c r="AI146" s="826" t="s">
        <v>21</v>
      </c>
      <c r="AJ146" s="848" t="s">
        <v>21</v>
      </c>
      <c r="AK146" s="224" t="s">
        <v>21</v>
      </c>
      <c r="AL146" s="224" t="s">
        <v>21</v>
      </c>
      <c r="AM146" s="224" t="s">
        <v>21</v>
      </c>
      <c r="AN146" s="224" t="str">
        <f>IFERROR(IF(SUM(INDEX('在庫使用計画 (一般)'!$A$1:$BF$557,MATCH($C146,'在庫使用計画 (一般)'!$C$1:$C$557,0),MATCH(AN$1,'在庫使用計画 (一般)'!$A$1:$BF$1,0)),INDEX('在庫使用計画 (法人)'!$A$1:$AT$578,MATCH($C146,'在庫使用計画 (法人)'!$C$1:$C$578,0),MATCH(AN$1,'在庫使用計画 (法人)'!$A$1:$AT$1,0)))=0,"",SUM(INDEX('在庫使用計画 (一般)'!$A$1:$BF$557,MATCH($C146,'在庫使用計画 (一般)'!$C$1:$C$557,0),MATCH(AN$1,'在庫使用計画 (一般)'!$A$1:$BF$1,0)),INDEX('在庫使用計画 (法人)'!$A$1:$AT$578,MATCH($C146,'在庫使用計画 (法人)'!$C$1:$C$578,0),MATCH(AN$1,'在庫使用計画 (法人)'!$A$1:$AT$1,0)))),"")</f>
        <v/>
      </c>
      <c r="AO146" s="224" t="str">
        <f>IFERROR(IF(SUM(INDEX('在庫使用計画 (一般)'!$A$1:$BF$557,MATCH($C146,'在庫使用計画 (一般)'!$C$1:$C$557,0),MATCH(AO$1,'在庫使用計画 (一般)'!$A$1:$BF$1,0)),INDEX('在庫使用計画 (法人)'!$A$1:$AT$578,MATCH($C146,'在庫使用計画 (法人)'!$C$1:$C$578,0),MATCH(AO$1,'在庫使用計画 (法人)'!$A$1:$AT$1,0)))=0,"",SUM(INDEX('在庫使用計画 (一般)'!$A$1:$BF$557,MATCH($C146,'在庫使用計画 (一般)'!$C$1:$C$557,0),MATCH(AO$1,'在庫使用計画 (一般)'!$A$1:$BF$1,0)),INDEX('在庫使用計画 (法人)'!$A$1:$AT$578,MATCH($C146,'在庫使用計画 (法人)'!$C$1:$C$578,0),MATCH(AO$1,'在庫使用計画 (法人)'!$A$1:$AT$1,0)))),"")</f>
        <v/>
      </c>
      <c r="AP146" s="224" t="str">
        <f>IFERROR(IF(SUM(INDEX('在庫使用計画 (一般)'!$A$1:$BF$557,MATCH($C146,'在庫使用計画 (一般)'!$C$1:$C$557,0),MATCH(AP$1,'在庫使用計画 (一般)'!$A$1:$BF$1,0)),INDEX('在庫使用計画 (法人)'!$A$1:$AT$578,MATCH($C146,'在庫使用計画 (法人)'!$C$1:$C$578,0),MATCH(AP$1,'在庫使用計画 (法人)'!$A$1:$AT$1,0)))=0,"",SUM(INDEX('在庫使用計画 (一般)'!$A$1:$BF$557,MATCH($C146,'在庫使用計画 (一般)'!$C$1:$C$557,0),MATCH(AP$1,'在庫使用計画 (一般)'!$A$1:$BF$1,0)),INDEX('在庫使用計画 (法人)'!$A$1:$AT$578,MATCH($C146,'在庫使用計画 (法人)'!$C$1:$C$578,0),MATCH(AP$1,'在庫使用計画 (法人)'!$A$1:$AT$1,0)))),"")</f>
        <v/>
      </c>
      <c r="AQ146" s="224" t="str">
        <f>IFERROR(IF(SUM(INDEX('在庫使用計画 (一般)'!$A$1:$BF$557,MATCH($C146,'在庫使用計画 (一般)'!$C$1:$C$557,0),MATCH(AQ$1,'在庫使用計画 (一般)'!$A$1:$BF$1,0)),INDEX('在庫使用計画 (法人)'!$A$1:$AT$578,MATCH($C146,'在庫使用計画 (法人)'!$C$1:$C$578,0),MATCH(AQ$1,'在庫使用計画 (法人)'!$A$1:$AT$1,0)))=0,"",SUM(INDEX('在庫使用計画 (一般)'!$A$1:$BF$557,MATCH($C146,'在庫使用計画 (一般)'!$C$1:$C$557,0),MATCH(AQ$1,'在庫使用計画 (一般)'!$A$1:$BF$1,0)),INDEX('在庫使用計画 (法人)'!$A$1:$AT$578,MATCH($C146,'在庫使用計画 (法人)'!$C$1:$C$578,0),MATCH(AQ$1,'在庫使用計画 (法人)'!$A$1:$AT$1,0)))),"")</f>
        <v/>
      </c>
      <c r="AR146" s="224" t="str">
        <f>IFERROR(IF(SUM(INDEX('在庫使用計画 (一般)'!$A$1:$BF$557,MATCH($C146,'在庫使用計画 (一般)'!$C$1:$C$557,0),MATCH(AR$1,'在庫使用計画 (一般)'!$A$1:$BF$1,0)),INDEX('在庫使用計画 (法人)'!$A$1:$AT$578,MATCH($C146,'在庫使用計画 (法人)'!$C$1:$C$578,0),MATCH(AR$1,'在庫使用計画 (法人)'!$A$1:$AT$1,0)))=0,"",SUM(INDEX('在庫使用計画 (一般)'!$A$1:$BF$557,MATCH($C146,'在庫使用計画 (一般)'!$C$1:$C$557,0),MATCH(AR$1,'在庫使用計画 (一般)'!$A$1:$BF$1,0)),INDEX('在庫使用計画 (法人)'!$A$1:$AT$578,MATCH($C146,'在庫使用計画 (法人)'!$C$1:$C$578,0),MATCH(AR$1,'在庫使用計画 (法人)'!$A$1:$AT$1,0)))),"")</f>
        <v/>
      </c>
      <c r="AS146" s="224" t="str">
        <f>IFERROR(IF(SUM(INDEX('在庫使用計画 (一般)'!$A$1:$BF$557,MATCH($C146,'在庫使用計画 (一般)'!$C$1:$C$557,0),MATCH(AS$1,'在庫使用計画 (一般)'!$A$1:$BF$1,0)),INDEX('在庫使用計画 (法人)'!$A$1:$AT$578,MATCH($C146,'在庫使用計画 (法人)'!$C$1:$C$578,0),MATCH(AS$1,'在庫使用計画 (法人)'!$A$1:$AT$1,0)))=0,"",SUM(INDEX('在庫使用計画 (一般)'!$A$1:$BF$557,MATCH($C146,'在庫使用計画 (一般)'!$C$1:$C$557,0),MATCH(AS$1,'在庫使用計画 (一般)'!$A$1:$BF$1,0)),INDEX('在庫使用計画 (法人)'!$A$1:$AT$578,MATCH($C146,'在庫使用計画 (法人)'!$C$1:$C$578,0),MATCH(AS$1,'在庫使用計画 (法人)'!$A$1:$AT$1,0)))),"")</f>
        <v/>
      </c>
      <c r="AT146" s="224" t="str">
        <f>IFERROR(IF(SUM(INDEX('在庫使用計画 (一般)'!$A$1:$BF$557,MATCH($C146,'在庫使用計画 (一般)'!$C$1:$C$557,0),MATCH(AT$1,'在庫使用計画 (一般)'!$A$1:$BF$1,0)),INDEX('在庫使用計画 (法人)'!$A$1:$AT$578,MATCH($C146,'在庫使用計画 (法人)'!$C$1:$C$578,0),MATCH(AT$1,'在庫使用計画 (法人)'!$A$1:$AT$1,0)))=0,"",SUM(INDEX('在庫使用計画 (一般)'!$A$1:$BF$557,MATCH($C146,'在庫使用計画 (一般)'!$C$1:$C$557,0),MATCH(AT$1,'在庫使用計画 (一般)'!$A$1:$BF$1,0)),INDEX('在庫使用計画 (法人)'!$A$1:$AT$578,MATCH($C146,'在庫使用計画 (法人)'!$C$1:$C$578,0),MATCH(AT$1,'在庫使用計画 (法人)'!$A$1:$AT$1,0)))),"")</f>
        <v/>
      </c>
      <c r="AU146" s="805" t="str">
        <f>IFERROR(IF(SUM(INDEX('在庫使用計画 (一般)'!$A$1:$BF$557,MATCH($C146,'在庫使用計画 (一般)'!$C$1:$C$557,0),MATCH(AU$1,'在庫使用計画 (一般)'!$A$1:$BF$1,0)),INDEX('在庫使用計画 (法人)'!$A$1:$AT$578,MATCH($C146,'在庫使用計画 (法人)'!$C$1:$C$578,0),MATCH(AU$1,'在庫使用計画 (法人)'!$A$1:$AT$1,0)))=0,"",SUM(INDEX('在庫使用計画 (一般)'!$A$1:$BF$557,MATCH($C146,'在庫使用計画 (一般)'!$C$1:$C$557,0),MATCH(AU$1,'在庫使用計画 (一般)'!$A$1:$BF$1,0)),INDEX('在庫使用計画 (法人)'!$A$1:$AT$578,MATCH($C146,'在庫使用計画 (法人)'!$C$1:$C$578,0),MATCH(AU$1,'在庫使用計画 (法人)'!$A$1:$AT$1,0)))),"")</f>
        <v/>
      </c>
      <c r="AV146" s="244" t="str">
        <f>_xlfn.LET(
  _xlpm._一般,INDEX('在庫使用計画 (一般)'!$A$1:$BF$316,MATCH($C146,'在庫使用計画 (一般)'!$C$1:$C$316,0),MATCH(AV$1,'在庫使用計画 (一般)'!$A$1:$BF$1,0)),
  _xlpm._法人,INDEX('在庫使用計画 (法人)'!$A$1:$BF$327,MATCH($C146,'在庫使用計画 (法人)'!$C$1:$C$327,0),MATCH(AV$1,'在庫使用計画 (法人)'!$A$1:$BF$1,0)),
 IFERROR(
  IF(_xlpm._一般+_xlpm._法人=0,"",_xlpm._一般+_xlpm._法人
  ),
 "")
)</f>
        <v/>
      </c>
      <c r="AW146" s="224" t="str">
        <f>_xlfn.LET(
  _xlpm._一般,INDEX('在庫使用計画 (一般)'!$A$1:$BF$316,MATCH($C146,'在庫使用計画 (一般)'!$C$1:$C$316,0),MATCH(AW$1,'在庫使用計画 (一般)'!$A$1:$BF$1,0)),
  _xlpm._法人,INDEX('在庫使用計画 (法人)'!$A$1:$BF$327,MATCH($C146,'在庫使用計画 (法人)'!$C$1:$C$327,0),MATCH(AW$1,'在庫使用計画 (法人)'!$A$1:$BF$1,0)),
 IFERROR(
  IF(_xlpm._一般+_xlpm._法人=0,"",_xlpm._一般+_xlpm._法人
  ),
 "")
)</f>
        <v/>
      </c>
      <c r="AX146" s="224" t="str">
        <f>_xlfn.LET(
  _xlpm._一般,INDEX('在庫使用計画 (一般)'!$A$1:$BF$316,MATCH($C146,'在庫使用計画 (一般)'!$C$1:$C$316,0),MATCH(AX$1,'在庫使用計画 (一般)'!$A$1:$BF$1,0)),
  _xlpm._法人,INDEX('在庫使用計画 (法人)'!$A$1:$BF$327,MATCH($C146,'在庫使用計画 (法人)'!$C$1:$C$327,0),MATCH(AX$1,'在庫使用計画 (法人)'!$A$1:$BF$1,0)),
 IFERROR(
  IF(_xlpm._一般+_xlpm._法人=0,"",_xlpm._一般+_xlpm._法人
  ),
 "")
)</f>
        <v/>
      </c>
      <c r="AY146" s="224" t="str">
        <f>_xlfn.LET(
  _xlpm._一般,INDEX('在庫使用計画 (一般)'!$A$1:$BF$316,MATCH($C146,'在庫使用計画 (一般)'!$C$1:$C$316,0),MATCH(AY$1,'在庫使用計画 (一般)'!$A$1:$BF$1,0)),
  _xlpm._法人,INDEX('在庫使用計画 (法人)'!$A$1:$BF$327,MATCH($C146,'在庫使用計画 (法人)'!$C$1:$C$327,0),MATCH(AY$1,'在庫使用計画 (法人)'!$A$1:$BF$1,0)),
 IFERROR(
  IF(_xlpm._一般+_xlpm._法人=0,"",_xlpm._一般+_xlpm._法人
  ),
 "")
)</f>
        <v/>
      </c>
      <c r="AZ146" s="224" t="str">
        <f>_xlfn.LET(
  _xlpm._一般,INDEX('在庫使用計画 (一般)'!$A$1:$BF$316,MATCH($C146,'在庫使用計画 (一般)'!$C$1:$C$316,0),MATCH(AZ$1,'在庫使用計画 (一般)'!$A$1:$BF$1,0)),
  _xlpm._法人,INDEX('在庫使用計画 (法人)'!$A$1:$BF$327,MATCH($C146,'在庫使用計画 (法人)'!$C$1:$C$327,0),MATCH(AZ$1,'在庫使用計画 (法人)'!$A$1:$BF$1,0)),
 IFERROR(
  IF(_xlpm._一般+_xlpm._法人=0,"",_xlpm._一般+_xlpm._法人
  ),
 "")
)</f>
        <v/>
      </c>
      <c r="BA146" s="224" t="str">
        <f>_xlfn.LET(
  _xlpm._一般,INDEX('在庫使用計画 (一般)'!$A$1:$BF$316,MATCH($C146,'在庫使用計画 (一般)'!$C$1:$C$316,0),MATCH(BA$1,'在庫使用計画 (一般)'!$A$1:$BF$1,0)),
  _xlpm._法人,INDEX('在庫使用計画 (法人)'!$A$1:$BF$327,MATCH($C146,'在庫使用計画 (法人)'!$C$1:$C$327,0),MATCH(BA$1,'在庫使用計画 (法人)'!$A$1:$BF$1,0)),
 IFERROR(
  IF(_xlpm._一般+_xlpm._法人=0,"",_xlpm._一般+_xlpm._法人
  ),
 "")
)</f>
        <v/>
      </c>
      <c r="BB146" s="224" t="str">
        <f>_xlfn.LET(
  _xlpm._一般,INDEX('在庫使用計画 (一般)'!$A$1:$BF$316,MATCH($C146,'在庫使用計画 (一般)'!$C$1:$C$316,0),MATCH(BB$1,'在庫使用計画 (一般)'!$A$1:$BF$1,0)),
  _xlpm._法人,INDEX('在庫使用計画 (法人)'!$A$1:$BF$327,MATCH($C146,'在庫使用計画 (法人)'!$C$1:$C$327,0),MATCH(BB$1,'在庫使用計画 (法人)'!$A$1:$BF$1,0)),
 IFERROR(
  IF(_xlpm._一般+_xlpm._法人=0,"",_xlpm._一般+_xlpm._法人
  ),
 "")
)</f>
        <v/>
      </c>
      <c r="BC146" s="224" t="str">
        <f>_xlfn.LET(
  _xlpm._一般,INDEX('在庫使用計画 (一般)'!$A$1:$BF$316,MATCH($C146,'在庫使用計画 (一般)'!$C$1:$C$316,0),MATCH(BC$1,'在庫使用計画 (一般)'!$A$1:$BF$1,0)),
  _xlpm._法人,INDEX('在庫使用計画 (法人)'!$A$1:$BF$327,MATCH($C146,'在庫使用計画 (法人)'!$C$1:$C$327,0),MATCH(BC$1,'在庫使用計画 (法人)'!$A$1:$BF$1,0)),
 IFERROR(
  IF(_xlpm._一般+_xlpm._法人=0,"",_xlpm._一般+_xlpm._法人
  ),
 "")
)</f>
        <v/>
      </c>
      <c r="BD146" s="224" t="str">
        <f>_xlfn.LET(
  _xlpm._一般,INDEX('在庫使用計画 (一般)'!$A$1:$BF$316,MATCH($C146,'在庫使用計画 (一般)'!$C$1:$C$316,0),MATCH(BD$1,'在庫使用計画 (一般)'!$A$1:$BF$1,0)),
  _xlpm._法人,INDEX('在庫使用計画 (法人)'!$A$1:$BF$327,MATCH($C146,'在庫使用計画 (法人)'!$C$1:$C$327,0),MATCH(BD$1,'在庫使用計画 (法人)'!$A$1:$BF$1,0)),
 IFERROR(
  IF(_xlpm._一般+_xlpm._法人=0,"",_xlpm._一般+_xlpm._法人
  ),
 "")
)</f>
        <v/>
      </c>
      <c r="BE146" s="224" t="str">
        <f>_xlfn.LET(
  _xlpm._一般,INDEX('在庫使用計画 (一般)'!$A$1:$BF$316,MATCH($C146,'在庫使用計画 (一般)'!$C$1:$C$316,0),MATCH(BE$1,'在庫使用計画 (一般)'!$A$1:$BF$1,0)),
  _xlpm._法人,INDEX('在庫使用計画 (法人)'!$A$1:$BF$327,MATCH($C146,'在庫使用計画 (法人)'!$C$1:$C$327,0),MATCH(BE$1,'在庫使用計画 (法人)'!$A$1:$BF$1,0)),
 IFERROR(
  IF(_xlpm._一般+_xlpm._法人=0,"",_xlpm._一般+_xlpm._法人
  ),
 "")
)</f>
        <v/>
      </c>
      <c r="BF146" s="224" t="str">
        <f>_xlfn.LET(
  _xlpm._一般,INDEX('在庫使用計画 (一般)'!$A$1:$BF$316,MATCH($C146,'在庫使用計画 (一般)'!$C$1:$C$316,0),MATCH(BF$1,'在庫使用計画 (一般)'!$A$1:$BF$1,0)),
  _xlpm._法人,INDEX('在庫使用計画 (法人)'!$A$1:$BF$327,MATCH($C146,'在庫使用計画 (法人)'!$C$1:$C$327,0),MATCH(BF$1,'在庫使用計画 (法人)'!$A$1:$BF$1,0)),
 IFERROR(
  IF(_xlpm._一般+_xlpm._法人=0,"",_xlpm._一般+_xlpm._法人
  ),
 "")
)</f>
        <v/>
      </c>
      <c r="BG146" s="237" t="str">
        <f>_xlfn.LET(
  _xlpm._一般,INDEX('在庫使用計画 (一般)'!$A$1:$BF$316,MATCH($C146,'在庫使用計画 (一般)'!$C$1:$C$316,0),MATCH(BG$1,'在庫使用計画 (一般)'!$A$1:$BF$1,0)),
  _xlpm._法人,INDEX('在庫使用計画 (法人)'!$A$1:$BF$327,MATCH($C146,'在庫使用計画 (法人)'!$C$1:$C$327,0),MATCH(BG$1,'在庫使用計画 (法人)'!$A$1:$BF$1,0)),
 IFERROR(
  IF(_xlpm._一般+_xlpm._法人=0,"",_xlpm._一般+_xlpm._法人
  ),
 "")
)</f>
        <v/>
      </c>
      <c r="BH146" s="804" t="str">
        <f>_xlfn.LET(
  _xlpm._一般,INDEX('在庫使用計画 (一般)'!$A$1:$BF$316,MATCH($C146,'在庫使用計画 (一般)'!$C$1:$C$316,0),MATCH(BH$1,'在庫使用計画 (一般)'!$A$1:$BF$1,0)),
  _xlpm._法人,INDEX('在庫使用計画 (法人)'!$A$1:$BF$327,MATCH($C146,'在庫使用計画 (法人)'!$C$1:$C$327,0),MATCH(BH$1,'在庫使用計画 (法人)'!$A$1:$BF$1,0)),
 IFERROR(
  IF(_xlpm._一般+_xlpm._法人=0,"",_xlpm._一般+_xlpm._法人
  ),
 "")
)</f>
        <v/>
      </c>
      <c r="BI146" s="224" t="str">
        <f>_xlfn.LET(
  _xlpm._一般,INDEX('在庫使用計画 (一般)'!$A$1:$BF$316,MATCH($C146,'在庫使用計画 (一般)'!$C$1:$C$316,0),MATCH(BI$1,'在庫使用計画 (一般)'!$A$1:$BF$1,0)),
  _xlpm._法人,INDEX('在庫使用計画 (法人)'!$A$1:$BF$327,MATCH($C146,'在庫使用計画 (法人)'!$C$1:$C$327,0),MATCH(BI$1,'在庫使用計画 (法人)'!$A$1:$BF$1,0)),
 IFERROR(
  IF(_xlpm._一般+_xlpm._法人=0,"",_xlpm._一般+_xlpm._法人
  ),
 "")
)</f>
        <v/>
      </c>
      <c r="BJ146" s="224" t="str">
        <f>_xlfn.LET(
  _xlpm._一般,INDEX('在庫使用計画 (一般)'!$A$1:$BF$316,MATCH($C146,'在庫使用計画 (一般)'!$C$1:$C$316,0),MATCH(BJ$1,'在庫使用計画 (一般)'!$A$1:$BF$1,0)),
  _xlpm._法人,INDEX('在庫使用計画 (法人)'!$A$1:$BF$327,MATCH($C146,'在庫使用計画 (法人)'!$C$1:$C$327,0),MATCH(BJ$1,'在庫使用計画 (法人)'!$A$1:$BF$1,0)),
 IFERROR(
  IF(_xlpm._一般+_xlpm._法人=0,"",_xlpm._一般+_xlpm._法人
  ),
 "")
)</f>
        <v/>
      </c>
      <c r="BK146" s="224" t="str">
        <f>_xlfn.LET(
  _xlpm._一般,INDEX('在庫使用計画 (一般)'!$A$1:$BF$316,MATCH($C146,'在庫使用計画 (一般)'!$C$1:$C$316,0),MATCH(BK$1,'在庫使用計画 (一般)'!$A$1:$BF$1,0)),
  _xlpm._法人,INDEX('在庫使用計画 (法人)'!$A$1:$BF$327,MATCH($C146,'在庫使用計画 (法人)'!$C$1:$C$327,0),MATCH(BK$1,'在庫使用計画 (法人)'!$A$1:$BF$1,0)),
 IFERROR(
  IF(_xlpm._一般+_xlpm._法人=0,"",_xlpm._一般+_xlpm._法人
  ),
 "")
)</f>
        <v/>
      </c>
      <c r="BL146" s="224" t="str">
        <f>_xlfn.LET(
  _xlpm._一般,INDEX('在庫使用計画 (一般)'!$A$1:$BF$316,MATCH($C146,'在庫使用計画 (一般)'!$C$1:$C$316,0),MATCH(BL$1,'在庫使用計画 (一般)'!$A$1:$BF$1,0)),
  _xlpm._法人,INDEX('在庫使用計画 (法人)'!$A$1:$BF$327,MATCH($C146,'在庫使用計画 (法人)'!$C$1:$C$327,0),MATCH(BL$1,'在庫使用計画 (法人)'!$A$1:$BF$1,0)),
 IFERROR(
  IF(_xlpm._一般+_xlpm._法人=0,"",_xlpm._一般+_xlpm._法人
  ),
 "")
)</f>
        <v/>
      </c>
      <c r="BM146" s="224" t="str">
        <f>_xlfn.LET(
  _xlpm._一般,INDEX('在庫使用計画 (一般)'!$A$1:$BF$316,MATCH($C146,'在庫使用計画 (一般)'!$C$1:$C$316,0),MATCH(BM$1,'在庫使用計画 (一般)'!$A$1:$BF$1,0)),
  _xlpm._法人,INDEX('在庫使用計画 (法人)'!$A$1:$BF$327,MATCH($C146,'在庫使用計画 (法人)'!$C$1:$C$327,0),MATCH(BM$1,'在庫使用計画 (法人)'!$A$1:$BF$1,0)),
 IFERROR(
  IF(_xlpm._一般+_xlpm._法人=0,"",_xlpm._一般+_xlpm._法人
  ),
 "")
)</f>
        <v/>
      </c>
      <c r="BN146" s="224" t="str">
        <f>_xlfn.LET(
  _xlpm._一般,INDEX('在庫使用計画 (一般)'!$A$1:$BF$316,MATCH($C146,'在庫使用計画 (一般)'!$C$1:$C$316,0),MATCH(BN$1,'在庫使用計画 (一般)'!$A$1:$BF$1,0)),
  _xlpm._法人,INDEX('在庫使用計画 (法人)'!$A$1:$BF$327,MATCH($C146,'在庫使用計画 (法人)'!$C$1:$C$327,0),MATCH(BN$1,'在庫使用計画 (法人)'!$A$1:$BF$1,0)),
 IFERROR(
  IF(_xlpm._一般+_xlpm._法人=0,"",_xlpm._一般+_xlpm._法人
  ),
 "")
)</f>
        <v/>
      </c>
      <c r="BO146" s="224" t="str">
        <f>_xlfn.LET(
  _xlpm._一般,INDEX('在庫使用計画 (一般)'!$A$1:$BF$316,MATCH($C146,'在庫使用計画 (一般)'!$C$1:$C$316,0),MATCH(BO$1,'在庫使用計画 (一般)'!$A$1:$BF$1,0)),
  _xlpm._法人,INDEX('在庫使用計画 (法人)'!$A$1:$BF$327,MATCH($C146,'在庫使用計画 (法人)'!$C$1:$C$327,0),MATCH(BO$1,'在庫使用計画 (法人)'!$A$1:$BF$1,0)),
 IFERROR(
  IF(_xlpm._一般+_xlpm._法人=0,"",_xlpm._一般+_xlpm._法人
  ),
 "")
)</f>
        <v/>
      </c>
      <c r="BP146" s="224" t="str">
        <f>_xlfn.LET(
  _xlpm._一般,INDEX('在庫使用計画 (一般)'!$A$1:$BF$316,MATCH($C146,'在庫使用計画 (一般)'!$C$1:$C$316,0),MATCH(BP$1,'在庫使用計画 (一般)'!$A$1:$BF$1,0)),
  _xlpm._法人,INDEX('在庫使用計画 (法人)'!$A$1:$BF$327,MATCH($C146,'在庫使用計画 (法人)'!$C$1:$C$327,0),MATCH(BP$1,'在庫使用計画 (法人)'!$A$1:$BF$1,0)),
 IFERROR(
  IF(_xlpm._一般+_xlpm._法人=0,"",_xlpm._一般+_xlpm._法人
  ),
 "")
)</f>
        <v/>
      </c>
      <c r="BQ146" s="224" t="str">
        <f>_xlfn.LET(
  _xlpm._一般,INDEX('在庫使用計画 (一般)'!$A$1:$BF$316,MATCH($C146,'在庫使用計画 (一般)'!$C$1:$C$316,0),MATCH(BQ$1,'在庫使用計画 (一般)'!$A$1:$BF$1,0)),
  _xlpm._法人,INDEX('在庫使用計画 (法人)'!$A$1:$BF$327,MATCH($C146,'在庫使用計画 (法人)'!$C$1:$C$327,0),MATCH(BQ$1,'在庫使用計画 (法人)'!$A$1:$BF$1,0)),
 IFERROR(
  IF(_xlpm._一般+_xlpm._法人=0,"",_xlpm._一般+_xlpm._法人
  ),
 "")
)</f>
        <v/>
      </c>
      <c r="BR146" s="224" t="str">
        <f>_xlfn.LET(
  _xlpm._一般,INDEX('在庫使用計画 (一般)'!$A$1:$BF$316,MATCH($C146,'在庫使用計画 (一般)'!$C$1:$C$316,0),MATCH(BR$1,'在庫使用計画 (一般)'!$A$1:$BF$1,0)),
  _xlpm._法人,INDEX('在庫使用計画 (法人)'!$A$1:$BF$327,MATCH($C146,'在庫使用計画 (法人)'!$C$1:$C$327,0),MATCH(BR$1,'在庫使用計画 (法人)'!$A$1:$BF$1,0)),
 IFERROR(
  IF(_xlpm._一般+_xlpm._法人=0,"",_xlpm._一般+_xlpm._法人
  ),
 "")
)</f>
        <v/>
      </c>
      <c r="BS146" s="805" t="str">
        <f>_xlfn.LET(
  _xlpm._一般,INDEX('在庫使用計画 (一般)'!$A$1:$BF$316,MATCH($C146,'在庫使用計画 (一般)'!$C$1:$C$316,0),MATCH(BS$1,'在庫使用計画 (一般)'!$A$1:$BF$1,0)),
  _xlpm._法人,INDEX('在庫使用計画 (法人)'!$A$1:$BF$327,MATCH($C146,'在庫使用計画 (法人)'!$C$1:$C$327,0),MATCH(BS$1,'在庫使用計画 (法人)'!$A$1:$BF$1,0)),
 IFERROR(
  IF(_xlpm._一般+_xlpm._法人=0,"",_xlpm._一般+_xlpm._法人
  ),
 "")
)</f>
        <v/>
      </c>
      <c r="BT146" s="21"/>
    </row>
    <row r="147" spans="1:72" customFormat="1" ht="18.75" customHeight="1">
      <c r="A147" s="1060" t="s">
        <v>1361</v>
      </c>
      <c r="B147" s="26" t="s">
        <v>1666</v>
      </c>
      <c r="C147" s="26" t="s">
        <v>1667</v>
      </c>
      <c r="D147" s="2153">
        <v>4060</v>
      </c>
      <c r="E147" s="26" t="s">
        <v>1365</v>
      </c>
      <c r="F147" s="26" t="s">
        <v>1347</v>
      </c>
      <c r="G147" s="38">
        <f>_xlfn.LET(
_xlpm._在庫残,SUMIFS(在庫確認!C:C,在庫確認!B:B,'在庫使用計画 (ノート全体試算)'!C:C),
IF(_xlpm._在庫残=0,"",_xlpm._在庫残)
)</f>
        <v>6728</v>
      </c>
      <c r="H147" s="38"/>
      <c r="I147" s="38">
        <f ca="1">IF(B147="","",
SUM(
OFFSET(A147,0,
MATCH(
EDATE(基準データ!$C$5,3),
$A$1:$AT$1,1
)-4,1,4)))</f>
        <v>0</v>
      </c>
      <c r="J147" s="38" t="str" cm="1">
        <f t="array" aca="1" ref="J147" ca="1">_xlfn.LET(_xlpm._来月から4ヶ月計画合計,
  SUM(
    OFFSET($A147,0,
      MATCH(
        EDATE(基準データ!$C$5,3),$A$1:$BG$1,1
      )-3,1,4)),
_xlpm._今月計画数,
INDEX('在庫使用計画 (ノート全体試算)'!$A$1:$BF$218,
  ROW(),
  MATCH(EOMONTH(基準データ!$C$5,-1)+1,'在庫使用計画 (ノート全体試算)'!$A$1:$BF$1,0)
),
  IFERROR(IF($B147="","",_xlpm._来月から4ヶ月計画合計+_xlpm._今月計画数/2),""
)
)</f>
        <v/>
      </c>
      <c r="K147" s="38"/>
      <c r="L147" s="38" t="s">
        <v>21</v>
      </c>
      <c r="M147" s="38" t="s">
        <v>21</v>
      </c>
      <c r="N147" s="38" t="s">
        <v>21</v>
      </c>
      <c r="O147" s="38" t="s">
        <v>21</v>
      </c>
      <c r="P147" s="38" t="s">
        <v>21</v>
      </c>
      <c r="Q147" s="38" t="s">
        <v>21</v>
      </c>
      <c r="R147" s="38" t="s">
        <v>21</v>
      </c>
      <c r="S147" s="38" t="s">
        <v>21</v>
      </c>
      <c r="T147" s="219" t="s">
        <v>21</v>
      </c>
      <c r="U147" s="219">
        <v>362.52880108027898</v>
      </c>
      <c r="V147" s="219">
        <v>401.08642327104104</v>
      </c>
      <c r="W147" s="219">
        <v>491.3517204982715</v>
      </c>
      <c r="X147" s="224">
        <v>531.62686730500707</v>
      </c>
      <c r="Y147" s="224">
        <v>681.55555555555566</v>
      </c>
      <c r="Z147" s="224">
        <v>740</v>
      </c>
      <c r="AA147" s="237">
        <v>578.89144316730528</v>
      </c>
      <c r="AB147" s="224">
        <v>1056.1845169291273</v>
      </c>
      <c r="AC147" s="224">
        <v>909</v>
      </c>
      <c r="AD147" s="224">
        <v>873</v>
      </c>
      <c r="AE147" s="224" t="s">
        <v>21</v>
      </c>
      <c r="AF147" s="224" t="s">
        <v>21</v>
      </c>
      <c r="AG147" s="224" t="s">
        <v>21</v>
      </c>
      <c r="AH147" s="224" t="s">
        <v>21</v>
      </c>
      <c r="AI147" s="237" t="s">
        <v>21</v>
      </c>
      <c r="AJ147" s="804" t="s">
        <v>21</v>
      </c>
      <c r="AK147" s="224" t="s">
        <v>21</v>
      </c>
      <c r="AL147" s="224" t="s">
        <v>21</v>
      </c>
      <c r="AM147" s="224" t="s">
        <v>21</v>
      </c>
      <c r="AN147" s="224" t="str">
        <f>IFERROR(IF(SUM(INDEX('在庫使用計画 (一般)'!$A$1:$BF$557,MATCH($C147,'在庫使用計画 (一般)'!$C$1:$C$557,0),MATCH(AN$1,'在庫使用計画 (一般)'!$A$1:$BF$1,0)),INDEX('在庫使用計画 (法人)'!$A$1:$AT$578,MATCH($C147,'在庫使用計画 (法人)'!$C$1:$C$578,0),MATCH(AN$1,'在庫使用計画 (法人)'!$A$1:$AT$1,0)))=0,"",SUM(INDEX('在庫使用計画 (一般)'!$A$1:$BF$557,MATCH($C147,'在庫使用計画 (一般)'!$C$1:$C$557,0),MATCH(AN$1,'在庫使用計画 (一般)'!$A$1:$BF$1,0)),INDEX('在庫使用計画 (法人)'!$A$1:$AT$578,MATCH($C147,'在庫使用計画 (法人)'!$C$1:$C$578,0),MATCH(AN$1,'在庫使用計画 (法人)'!$A$1:$AT$1,0)))),"")</f>
        <v/>
      </c>
      <c r="AO147" s="224" t="str">
        <f>IFERROR(IF(SUM(INDEX('在庫使用計画 (一般)'!$A$1:$BF$557,MATCH($C147,'在庫使用計画 (一般)'!$C$1:$C$557,0),MATCH(AO$1,'在庫使用計画 (一般)'!$A$1:$BF$1,0)),INDEX('在庫使用計画 (法人)'!$A$1:$AT$578,MATCH($C147,'在庫使用計画 (法人)'!$C$1:$C$578,0),MATCH(AO$1,'在庫使用計画 (法人)'!$A$1:$AT$1,0)))=0,"",SUM(INDEX('在庫使用計画 (一般)'!$A$1:$BF$557,MATCH($C147,'在庫使用計画 (一般)'!$C$1:$C$557,0),MATCH(AO$1,'在庫使用計画 (一般)'!$A$1:$BF$1,0)),INDEX('在庫使用計画 (法人)'!$A$1:$AT$578,MATCH($C147,'在庫使用計画 (法人)'!$C$1:$C$578,0),MATCH(AO$1,'在庫使用計画 (法人)'!$A$1:$AT$1,0)))),"")</f>
        <v/>
      </c>
      <c r="AP147" s="224" t="str">
        <f>IFERROR(IF(SUM(INDEX('在庫使用計画 (一般)'!$A$1:$BF$557,MATCH($C147,'在庫使用計画 (一般)'!$C$1:$C$557,0),MATCH(AP$1,'在庫使用計画 (一般)'!$A$1:$BF$1,0)),INDEX('在庫使用計画 (法人)'!$A$1:$AT$578,MATCH($C147,'在庫使用計画 (法人)'!$C$1:$C$578,0),MATCH(AP$1,'在庫使用計画 (法人)'!$A$1:$AT$1,0)))=0,"",SUM(INDEX('在庫使用計画 (一般)'!$A$1:$BF$557,MATCH($C147,'在庫使用計画 (一般)'!$C$1:$C$557,0),MATCH(AP$1,'在庫使用計画 (一般)'!$A$1:$BF$1,0)),INDEX('在庫使用計画 (法人)'!$A$1:$AT$578,MATCH($C147,'在庫使用計画 (法人)'!$C$1:$C$578,0),MATCH(AP$1,'在庫使用計画 (法人)'!$A$1:$AT$1,0)))),"")</f>
        <v/>
      </c>
      <c r="AQ147" s="224" t="str">
        <f>IFERROR(IF(SUM(INDEX('在庫使用計画 (一般)'!$A$1:$BF$557,MATCH($C147,'在庫使用計画 (一般)'!$C$1:$C$557,0),MATCH(AQ$1,'在庫使用計画 (一般)'!$A$1:$BF$1,0)),INDEX('在庫使用計画 (法人)'!$A$1:$AT$578,MATCH($C147,'在庫使用計画 (法人)'!$C$1:$C$578,0),MATCH(AQ$1,'在庫使用計画 (法人)'!$A$1:$AT$1,0)))=0,"",SUM(INDEX('在庫使用計画 (一般)'!$A$1:$BF$557,MATCH($C147,'在庫使用計画 (一般)'!$C$1:$C$557,0),MATCH(AQ$1,'在庫使用計画 (一般)'!$A$1:$BF$1,0)),INDEX('在庫使用計画 (法人)'!$A$1:$AT$578,MATCH($C147,'在庫使用計画 (法人)'!$C$1:$C$578,0),MATCH(AQ$1,'在庫使用計画 (法人)'!$A$1:$AT$1,0)))),"")</f>
        <v/>
      </c>
      <c r="AR147" s="224" t="str">
        <f>IFERROR(IF(SUM(INDEX('在庫使用計画 (一般)'!$A$1:$BF$557,MATCH($C147,'在庫使用計画 (一般)'!$C$1:$C$557,0),MATCH(AR$1,'在庫使用計画 (一般)'!$A$1:$BF$1,0)),INDEX('在庫使用計画 (法人)'!$A$1:$AT$578,MATCH($C147,'在庫使用計画 (法人)'!$C$1:$C$578,0),MATCH(AR$1,'在庫使用計画 (法人)'!$A$1:$AT$1,0)))=0,"",SUM(INDEX('在庫使用計画 (一般)'!$A$1:$BF$557,MATCH($C147,'在庫使用計画 (一般)'!$C$1:$C$557,0),MATCH(AR$1,'在庫使用計画 (一般)'!$A$1:$BF$1,0)),INDEX('在庫使用計画 (法人)'!$A$1:$AT$578,MATCH($C147,'在庫使用計画 (法人)'!$C$1:$C$578,0),MATCH(AR$1,'在庫使用計画 (法人)'!$A$1:$AT$1,0)))),"")</f>
        <v/>
      </c>
      <c r="AS147" s="224" t="str">
        <f>IFERROR(IF(SUM(INDEX('在庫使用計画 (一般)'!$A$1:$BF$557,MATCH($C147,'在庫使用計画 (一般)'!$C$1:$C$557,0),MATCH(AS$1,'在庫使用計画 (一般)'!$A$1:$BF$1,0)),INDEX('在庫使用計画 (法人)'!$A$1:$AT$578,MATCH($C147,'在庫使用計画 (法人)'!$C$1:$C$578,0),MATCH(AS$1,'在庫使用計画 (法人)'!$A$1:$AT$1,0)))=0,"",SUM(INDEX('在庫使用計画 (一般)'!$A$1:$BF$557,MATCH($C147,'在庫使用計画 (一般)'!$C$1:$C$557,0),MATCH(AS$1,'在庫使用計画 (一般)'!$A$1:$BF$1,0)),INDEX('在庫使用計画 (法人)'!$A$1:$AT$578,MATCH($C147,'在庫使用計画 (法人)'!$C$1:$C$578,0),MATCH(AS$1,'在庫使用計画 (法人)'!$A$1:$AT$1,0)))),"")</f>
        <v/>
      </c>
      <c r="AT147" s="224" t="str">
        <f>IFERROR(IF(SUM(INDEX('在庫使用計画 (一般)'!$A$1:$BF$557,MATCH($C147,'在庫使用計画 (一般)'!$C$1:$C$557,0),MATCH(AT$1,'在庫使用計画 (一般)'!$A$1:$BF$1,0)),INDEX('在庫使用計画 (法人)'!$A$1:$AT$578,MATCH($C147,'在庫使用計画 (法人)'!$C$1:$C$578,0),MATCH(AT$1,'在庫使用計画 (法人)'!$A$1:$AT$1,0)))=0,"",SUM(INDEX('在庫使用計画 (一般)'!$A$1:$BF$557,MATCH($C147,'在庫使用計画 (一般)'!$C$1:$C$557,0),MATCH(AT$1,'在庫使用計画 (一般)'!$A$1:$BF$1,0)),INDEX('在庫使用計画 (法人)'!$A$1:$AT$578,MATCH($C147,'在庫使用計画 (法人)'!$C$1:$C$578,0),MATCH(AT$1,'在庫使用計画 (法人)'!$A$1:$AT$1,0)))),"")</f>
        <v/>
      </c>
      <c r="AU147" s="805" t="str">
        <f>IFERROR(IF(SUM(INDEX('在庫使用計画 (一般)'!$A$1:$BF$557,MATCH($C147,'在庫使用計画 (一般)'!$C$1:$C$557,0),MATCH(AU$1,'在庫使用計画 (一般)'!$A$1:$BF$1,0)),INDEX('在庫使用計画 (法人)'!$A$1:$AT$578,MATCH($C147,'在庫使用計画 (法人)'!$C$1:$C$578,0),MATCH(AU$1,'在庫使用計画 (法人)'!$A$1:$AT$1,0)))=0,"",SUM(INDEX('在庫使用計画 (一般)'!$A$1:$BF$557,MATCH($C147,'在庫使用計画 (一般)'!$C$1:$C$557,0),MATCH(AU$1,'在庫使用計画 (一般)'!$A$1:$BF$1,0)),INDEX('在庫使用計画 (法人)'!$A$1:$AT$578,MATCH($C147,'在庫使用計画 (法人)'!$C$1:$C$578,0),MATCH(AU$1,'在庫使用計画 (法人)'!$A$1:$AT$1,0)))),"")</f>
        <v/>
      </c>
      <c r="AV147" s="244" t="str">
        <f>_xlfn.LET(
  _xlpm._一般,INDEX('在庫使用計画 (一般)'!$A$1:$BF$316,MATCH($C147,'在庫使用計画 (一般)'!$C$1:$C$316,0),MATCH(AV$1,'在庫使用計画 (一般)'!$A$1:$BF$1,0)),
  _xlpm._法人,INDEX('在庫使用計画 (法人)'!$A$1:$BF$327,MATCH($C147,'在庫使用計画 (法人)'!$C$1:$C$327,0),MATCH(AV$1,'在庫使用計画 (法人)'!$A$1:$BF$1,0)),
 IFERROR(
  IF(_xlpm._一般+_xlpm._法人=0,"",_xlpm._一般+_xlpm._法人
  ),
 "")
)</f>
        <v/>
      </c>
      <c r="AW147" s="224" t="str">
        <f>_xlfn.LET(
  _xlpm._一般,INDEX('在庫使用計画 (一般)'!$A$1:$BF$316,MATCH($C147,'在庫使用計画 (一般)'!$C$1:$C$316,0),MATCH(AW$1,'在庫使用計画 (一般)'!$A$1:$BF$1,0)),
  _xlpm._法人,INDEX('在庫使用計画 (法人)'!$A$1:$BF$327,MATCH($C147,'在庫使用計画 (法人)'!$C$1:$C$327,0),MATCH(AW$1,'在庫使用計画 (法人)'!$A$1:$BF$1,0)),
 IFERROR(
  IF(_xlpm._一般+_xlpm._法人=0,"",_xlpm._一般+_xlpm._法人
  ),
 "")
)</f>
        <v/>
      </c>
      <c r="AX147" s="224" t="str">
        <f>_xlfn.LET(
  _xlpm._一般,INDEX('在庫使用計画 (一般)'!$A$1:$BF$316,MATCH($C147,'在庫使用計画 (一般)'!$C$1:$C$316,0),MATCH(AX$1,'在庫使用計画 (一般)'!$A$1:$BF$1,0)),
  _xlpm._法人,INDEX('在庫使用計画 (法人)'!$A$1:$BF$327,MATCH($C147,'在庫使用計画 (法人)'!$C$1:$C$327,0),MATCH(AX$1,'在庫使用計画 (法人)'!$A$1:$BF$1,0)),
 IFERROR(
  IF(_xlpm._一般+_xlpm._法人=0,"",_xlpm._一般+_xlpm._法人
  ),
 "")
)</f>
        <v/>
      </c>
      <c r="AY147" s="224" t="str">
        <f>_xlfn.LET(
  _xlpm._一般,INDEX('在庫使用計画 (一般)'!$A$1:$BF$316,MATCH($C147,'在庫使用計画 (一般)'!$C$1:$C$316,0),MATCH(AY$1,'在庫使用計画 (一般)'!$A$1:$BF$1,0)),
  _xlpm._法人,INDEX('在庫使用計画 (法人)'!$A$1:$BF$327,MATCH($C147,'在庫使用計画 (法人)'!$C$1:$C$327,0),MATCH(AY$1,'在庫使用計画 (法人)'!$A$1:$BF$1,0)),
 IFERROR(
  IF(_xlpm._一般+_xlpm._法人=0,"",_xlpm._一般+_xlpm._法人
  ),
 "")
)</f>
        <v/>
      </c>
      <c r="AZ147" s="224" t="str">
        <f>_xlfn.LET(
  _xlpm._一般,INDEX('在庫使用計画 (一般)'!$A$1:$BF$316,MATCH($C147,'在庫使用計画 (一般)'!$C$1:$C$316,0),MATCH(AZ$1,'在庫使用計画 (一般)'!$A$1:$BF$1,0)),
  _xlpm._法人,INDEX('在庫使用計画 (法人)'!$A$1:$BF$327,MATCH($C147,'在庫使用計画 (法人)'!$C$1:$C$327,0),MATCH(AZ$1,'在庫使用計画 (法人)'!$A$1:$BF$1,0)),
 IFERROR(
  IF(_xlpm._一般+_xlpm._法人=0,"",_xlpm._一般+_xlpm._法人
  ),
 "")
)</f>
        <v/>
      </c>
      <c r="BA147" s="224" t="str">
        <f>_xlfn.LET(
  _xlpm._一般,INDEX('在庫使用計画 (一般)'!$A$1:$BF$316,MATCH($C147,'在庫使用計画 (一般)'!$C$1:$C$316,0),MATCH(BA$1,'在庫使用計画 (一般)'!$A$1:$BF$1,0)),
  _xlpm._法人,INDEX('在庫使用計画 (法人)'!$A$1:$BF$327,MATCH($C147,'在庫使用計画 (法人)'!$C$1:$C$327,0),MATCH(BA$1,'在庫使用計画 (法人)'!$A$1:$BF$1,0)),
 IFERROR(
  IF(_xlpm._一般+_xlpm._法人=0,"",_xlpm._一般+_xlpm._法人
  ),
 "")
)</f>
        <v/>
      </c>
      <c r="BB147" s="224" t="str">
        <f>_xlfn.LET(
  _xlpm._一般,INDEX('在庫使用計画 (一般)'!$A$1:$BF$316,MATCH($C147,'在庫使用計画 (一般)'!$C$1:$C$316,0),MATCH(BB$1,'在庫使用計画 (一般)'!$A$1:$BF$1,0)),
  _xlpm._法人,INDEX('在庫使用計画 (法人)'!$A$1:$BF$327,MATCH($C147,'在庫使用計画 (法人)'!$C$1:$C$327,0),MATCH(BB$1,'在庫使用計画 (法人)'!$A$1:$BF$1,0)),
 IFERROR(
  IF(_xlpm._一般+_xlpm._法人=0,"",_xlpm._一般+_xlpm._法人
  ),
 "")
)</f>
        <v/>
      </c>
      <c r="BC147" s="224" t="str">
        <f>_xlfn.LET(
  _xlpm._一般,INDEX('在庫使用計画 (一般)'!$A$1:$BF$316,MATCH($C147,'在庫使用計画 (一般)'!$C$1:$C$316,0),MATCH(BC$1,'在庫使用計画 (一般)'!$A$1:$BF$1,0)),
  _xlpm._法人,INDEX('在庫使用計画 (法人)'!$A$1:$BF$327,MATCH($C147,'在庫使用計画 (法人)'!$C$1:$C$327,0),MATCH(BC$1,'在庫使用計画 (法人)'!$A$1:$BF$1,0)),
 IFERROR(
  IF(_xlpm._一般+_xlpm._法人=0,"",_xlpm._一般+_xlpm._法人
  ),
 "")
)</f>
        <v/>
      </c>
      <c r="BD147" s="224" t="str">
        <f>_xlfn.LET(
  _xlpm._一般,INDEX('在庫使用計画 (一般)'!$A$1:$BF$316,MATCH($C147,'在庫使用計画 (一般)'!$C$1:$C$316,0),MATCH(BD$1,'在庫使用計画 (一般)'!$A$1:$BF$1,0)),
  _xlpm._法人,INDEX('在庫使用計画 (法人)'!$A$1:$BF$327,MATCH($C147,'在庫使用計画 (法人)'!$C$1:$C$327,0),MATCH(BD$1,'在庫使用計画 (法人)'!$A$1:$BF$1,0)),
 IFERROR(
  IF(_xlpm._一般+_xlpm._法人=0,"",_xlpm._一般+_xlpm._法人
  ),
 "")
)</f>
        <v/>
      </c>
      <c r="BE147" s="224" t="str">
        <f>_xlfn.LET(
  _xlpm._一般,INDEX('在庫使用計画 (一般)'!$A$1:$BF$316,MATCH($C147,'在庫使用計画 (一般)'!$C$1:$C$316,0),MATCH(BE$1,'在庫使用計画 (一般)'!$A$1:$BF$1,0)),
  _xlpm._法人,INDEX('在庫使用計画 (法人)'!$A$1:$BF$327,MATCH($C147,'在庫使用計画 (法人)'!$C$1:$C$327,0),MATCH(BE$1,'在庫使用計画 (法人)'!$A$1:$BF$1,0)),
 IFERROR(
  IF(_xlpm._一般+_xlpm._法人=0,"",_xlpm._一般+_xlpm._法人
  ),
 "")
)</f>
        <v/>
      </c>
      <c r="BF147" s="224" t="str">
        <f>_xlfn.LET(
  _xlpm._一般,INDEX('在庫使用計画 (一般)'!$A$1:$BF$316,MATCH($C147,'在庫使用計画 (一般)'!$C$1:$C$316,0),MATCH(BF$1,'在庫使用計画 (一般)'!$A$1:$BF$1,0)),
  _xlpm._法人,INDEX('在庫使用計画 (法人)'!$A$1:$BF$327,MATCH($C147,'在庫使用計画 (法人)'!$C$1:$C$327,0),MATCH(BF$1,'在庫使用計画 (法人)'!$A$1:$BF$1,0)),
 IFERROR(
  IF(_xlpm._一般+_xlpm._法人=0,"",_xlpm._一般+_xlpm._法人
  ),
 "")
)</f>
        <v/>
      </c>
      <c r="BG147" s="237" t="str">
        <f>_xlfn.LET(
  _xlpm._一般,INDEX('在庫使用計画 (一般)'!$A$1:$BF$316,MATCH($C147,'在庫使用計画 (一般)'!$C$1:$C$316,0),MATCH(BG$1,'在庫使用計画 (一般)'!$A$1:$BF$1,0)),
  _xlpm._法人,INDEX('在庫使用計画 (法人)'!$A$1:$BF$327,MATCH($C147,'在庫使用計画 (法人)'!$C$1:$C$327,0),MATCH(BG$1,'在庫使用計画 (法人)'!$A$1:$BF$1,0)),
 IFERROR(
  IF(_xlpm._一般+_xlpm._法人=0,"",_xlpm._一般+_xlpm._法人
  ),
 "")
)</f>
        <v/>
      </c>
      <c r="BH147" s="804" t="str">
        <f>_xlfn.LET(
  _xlpm._一般,INDEX('在庫使用計画 (一般)'!$A$1:$BF$316,MATCH($C147,'在庫使用計画 (一般)'!$C$1:$C$316,0),MATCH(BH$1,'在庫使用計画 (一般)'!$A$1:$BF$1,0)),
  _xlpm._法人,INDEX('在庫使用計画 (法人)'!$A$1:$BF$327,MATCH($C147,'在庫使用計画 (法人)'!$C$1:$C$327,0),MATCH(BH$1,'在庫使用計画 (法人)'!$A$1:$BF$1,0)),
 IFERROR(
  IF(_xlpm._一般+_xlpm._法人=0,"",_xlpm._一般+_xlpm._法人
  ),
 "")
)</f>
        <v/>
      </c>
      <c r="BI147" s="224" t="str">
        <f>_xlfn.LET(
  _xlpm._一般,INDEX('在庫使用計画 (一般)'!$A$1:$BF$316,MATCH($C147,'在庫使用計画 (一般)'!$C$1:$C$316,0),MATCH(BI$1,'在庫使用計画 (一般)'!$A$1:$BF$1,0)),
  _xlpm._法人,INDEX('在庫使用計画 (法人)'!$A$1:$BF$327,MATCH($C147,'在庫使用計画 (法人)'!$C$1:$C$327,0),MATCH(BI$1,'在庫使用計画 (法人)'!$A$1:$BF$1,0)),
 IFERROR(
  IF(_xlpm._一般+_xlpm._法人=0,"",_xlpm._一般+_xlpm._法人
  ),
 "")
)</f>
        <v/>
      </c>
      <c r="BJ147" s="224" t="str">
        <f>_xlfn.LET(
  _xlpm._一般,INDEX('在庫使用計画 (一般)'!$A$1:$BF$316,MATCH($C147,'在庫使用計画 (一般)'!$C$1:$C$316,0),MATCH(BJ$1,'在庫使用計画 (一般)'!$A$1:$BF$1,0)),
  _xlpm._法人,INDEX('在庫使用計画 (法人)'!$A$1:$BF$327,MATCH($C147,'在庫使用計画 (法人)'!$C$1:$C$327,0),MATCH(BJ$1,'在庫使用計画 (法人)'!$A$1:$BF$1,0)),
 IFERROR(
  IF(_xlpm._一般+_xlpm._法人=0,"",_xlpm._一般+_xlpm._法人
  ),
 "")
)</f>
        <v/>
      </c>
      <c r="BK147" s="224" t="str">
        <f>_xlfn.LET(
  _xlpm._一般,INDEX('在庫使用計画 (一般)'!$A$1:$BF$316,MATCH($C147,'在庫使用計画 (一般)'!$C$1:$C$316,0),MATCH(BK$1,'在庫使用計画 (一般)'!$A$1:$BF$1,0)),
  _xlpm._法人,INDEX('在庫使用計画 (法人)'!$A$1:$BF$327,MATCH($C147,'在庫使用計画 (法人)'!$C$1:$C$327,0),MATCH(BK$1,'在庫使用計画 (法人)'!$A$1:$BF$1,0)),
 IFERROR(
  IF(_xlpm._一般+_xlpm._法人=0,"",_xlpm._一般+_xlpm._法人
  ),
 "")
)</f>
        <v/>
      </c>
      <c r="BL147" s="224" t="str">
        <f>_xlfn.LET(
  _xlpm._一般,INDEX('在庫使用計画 (一般)'!$A$1:$BF$316,MATCH($C147,'在庫使用計画 (一般)'!$C$1:$C$316,0),MATCH(BL$1,'在庫使用計画 (一般)'!$A$1:$BF$1,0)),
  _xlpm._法人,INDEX('在庫使用計画 (法人)'!$A$1:$BF$327,MATCH($C147,'在庫使用計画 (法人)'!$C$1:$C$327,0),MATCH(BL$1,'在庫使用計画 (法人)'!$A$1:$BF$1,0)),
 IFERROR(
  IF(_xlpm._一般+_xlpm._法人=0,"",_xlpm._一般+_xlpm._法人
  ),
 "")
)</f>
        <v/>
      </c>
      <c r="BM147" s="224" t="str">
        <f>_xlfn.LET(
  _xlpm._一般,INDEX('在庫使用計画 (一般)'!$A$1:$BF$316,MATCH($C147,'在庫使用計画 (一般)'!$C$1:$C$316,0),MATCH(BM$1,'在庫使用計画 (一般)'!$A$1:$BF$1,0)),
  _xlpm._法人,INDEX('在庫使用計画 (法人)'!$A$1:$BF$327,MATCH($C147,'在庫使用計画 (法人)'!$C$1:$C$327,0),MATCH(BM$1,'在庫使用計画 (法人)'!$A$1:$BF$1,0)),
 IFERROR(
  IF(_xlpm._一般+_xlpm._法人=0,"",_xlpm._一般+_xlpm._法人
  ),
 "")
)</f>
        <v/>
      </c>
      <c r="BN147" s="224" t="str">
        <f>_xlfn.LET(
  _xlpm._一般,INDEX('在庫使用計画 (一般)'!$A$1:$BF$316,MATCH($C147,'在庫使用計画 (一般)'!$C$1:$C$316,0),MATCH(BN$1,'在庫使用計画 (一般)'!$A$1:$BF$1,0)),
  _xlpm._法人,INDEX('在庫使用計画 (法人)'!$A$1:$BF$327,MATCH($C147,'在庫使用計画 (法人)'!$C$1:$C$327,0),MATCH(BN$1,'在庫使用計画 (法人)'!$A$1:$BF$1,0)),
 IFERROR(
  IF(_xlpm._一般+_xlpm._法人=0,"",_xlpm._一般+_xlpm._法人
  ),
 "")
)</f>
        <v/>
      </c>
      <c r="BO147" s="224" t="str">
        <f>_xlfn.LET(
  _xlpm._一般,INDEX('在庫使用計画 (一般)'!$A$1:$BF$316,MATCH($C147,'在庫使用計画 (一般)'!$C$1:$C$316,0),MATCH(BO$1,'在庫使用計画 (一般)'!$A$1:$BF$1,0)),
  _xlpm._法人,INDEX('在庫使用計画 (法人)'!$A$1:$BF$327,MATCH($C147,'在庫使用計画 (法人)'!$C$1:$C$327,0),MATCH(BO$1,'在庫使用計画 (法人)'!$A$1:$BF$1,0)),
 IFERROR(
  IF(_xlpm._一般+_xlpm._法人=0,"",_xlpm._一般+_xlpm._法人
  ),
 "")
)</f>
        <v/>
      </c>
      <c r="BP147" s="224" t="str">
        <f>_xlfn.LET(
  _xlpm._一般,INDEX('在庫使用計画 (一般)'!$A$1:$BF$316,MATCH($C147,'在庫使用計画 (一般)'!$C$1:$C$316,0),MATCH(BP$1,'在庫使用計画 (一般)'!$A$1:$BF$1,0)),
  _xlpm._法人,INDEX('在庫使用計画 (法人)'!$A$1:$BF$327,MATCH($C147,'在庫使用計画 (法人)'!$C$1:$C$327,0),MATCH(BP$1,'在庫使用計画 (法人)'!$A$1:$BF$1,0)),
 IFERROR(
  IF(_xlpm._一般+_xlpm._法人=0,"",_xlpm._一般+_xlpm._法人
  ),
 "")
)</f>
        <v/>
      </c>
      <c r="BQ147" s="224" t="str">
        <f>_xlfn.LET(
  _xlpm._一般,INDEX('在庫使用計画 (一般)'!$A$1:$BF$316,MATCH($C147,'在庫使用計画 (一般)'!$C$1:$C$316,0),MATCH(BQ$1,'在庫使用計画 (一般)'!$A$1:$BF$1,0)),
  _xlpm._法人,INDEX('在庫使用計画 (法人)'!$A$1:$BF$327,MATCH($C147,'在庫使用計画 (法人)'!$C$1:$C$327,0),MATCH(BQ$1,'在庫使用計画 (法人)'!$A$1:$BF$1,0)),
 IFERROR(
  IF(_xlpm._一般+_xlpm._法人=0,"",_xlpm._一般+_xlpm._法人
  ),
 "")
)</f>
        <v/>
      </c>
      <c r="BR147" s="224" t="str">
        <f>_xlfn.LET(
  _xlpm._一般,INDEX('在庫使用計画 (一般)'!$A$1:$BF$316,MATCH($C147,'在庫使用計画 (一般)'!$C$1:$C$316,0),MATCH(BR$1,'在庫使用計画 (一般)'!$A$1:$BF$1,0)),
  _xlpm._法人,INDEX('在庫使用計画 (法人)'!$A$1:$BF$327,MATCH($C147,'在庫使用計画 (法人)'!$C$1:$C$327,0),MATCH(BR$1,'在庫使用計画 (法人)'!$A$1:$BF$1,0)),
 IFERROR(
  IF(_xlpm._一般+_xlpm._法人=0,"",_xlpm._一般+_xlpm._法人
  ),
 "")
)</f>
        <v/>
      </c>
      <c r="BS147" s="805" t="str">
        <f>_xlfn.LET(
  _xlpm._一般,INDEX('在庫使用計画 (一般)'!$A$1:$BF$316,MATCH($C147,'在庫使用計画 (一般)'!$C$1:$C$316,0),MATCH(BS$1,'在庫使用計画 (一般)'!$A$1:$BF$1,0)),
  _xlpm._法人,INDEX('在庫使用計画 (法人)'!$A$1:$BF$327,MATCH($C147,'在庫使用計画 (法人)'!$C$1:$C$327,0),MATCH(BS$1,'在庫使用計画 (法人)'!$A$1:$BF$1,0)),
 IFERROR(
  IF(_xlpm._一般+_xlpm._法人=0,"",_xlpm._一般+_xlpm._法人
  ),
 "")
)</f>
        <v/>
      </c>
      <c r="BT147" s="21"/>
    </row>
    <row r="148" spans="1:72" customFormat="1" ht="18.75" customHeight="1">
      <c r="A148" s="1059" t="s">
        <v>1349</v>
      </c>
      <c r="B148" s="26" t="s">
        <v>1668</v>
      </c>
      <c r="C148" s="25" t="s">
        <v>1669</v>
      </c>
      <c r="D148" s="2154">
        <v>4090</v>
      </c>
      <c r="E148" s="26" t="s">
        <v>1670</v>
      </c>
      <c r="F148" s="24" t="s">
        <v>1347</v>
      </c>
      <c r="G148" s="38">
        <f>_xlfn.LET(
_xlpm._在庫残,SUMIFS(在庫確認!C:C,在庫確認!B:B,'在庫使用計画 (ノート全体試算)'!C:C),
IF(_xlpm._在庫残=0,"",_xlpm._在庫残)
)</f>
        <v>305</v>
      </c>
      <c r="H148" s="38"/>
      <c r="I148" s="38">
        <f ca="1">IF(B148="","",
SUM(
OFFSET(A148,0,
MATCH(
EDATE(基準データ!$C$5,3),
$A$1:$AT$1,1
)-4,1,4)))</f>
        <v>0</v>
      </c>
      <c r="J148" s="38" t="str" cm="1">
        <f t="array" aca="1" ref="J148" ca="1">_xlfn.LET(_xlpm._来月から4ヶ月計画合計,
  SUM(
    OFFSET($A148,0,
      MATCH(
        EDATE(基準データ!$C$5,3),$A$1:$BG$1,1
      )-3,1,4)),
_xlpm._今月計画数,
INDEX('在庫使用計画 (ノート全体試算)'!$A$1:$BF$218,
  ROW(),
  MATCH(EOMONTH(基準データ!$C$5,-1)+1,'在庫使用計画 (ノート全体試算)'!$A$1:$BF$1,0)
),
  IFERROR(IF($B148="","",_xlpm._来月から4ヶ月計画合計+_xlpm._今月計画数/2),""
)
)</f>
        <v/>
      </c>
      <c r="K148" s="38"/>
      <c r="L148" s="38" t="s">
        <v>21</v>
      </c>
      <c r="M148" s="38" t="s">
        <v>21</v>
      </c>
      <c r="N148" s="38" t="s">
        <v>21</v>
      </c>
      <c r="O148" s="38" t="s">
        <v>21</v>
      </c>
      <c r="P148" s="38">
        <v>36.25976853017616</v>
      </c>
      <c r="Q148" s="38">
        <v>37.442581903971949</v>
      </c>
      <c r="R148" s="38">
        <v>38.256736797127424</v>
      </c>
      <c r="S148" s="38">
        <v>32.396856269491849</v>
      </c>
      <c r="T148" s="219">
        <v>30.243085828434246</v>
      </c>
      <c r="U148" s="219">
        <v>29</v>
      </c>
      <c r="V148" s="219">
        <v>31</v>
      </c>
      <c r="W148" s="222">
        <v>49</v>
      </c>
      <c r="X148" s="223">
        <v>40</v>
      </c>
      <c r="Y148" s="223">
        <v>24</v>
      </c>
      <c r="Z148" s="223">
        <v>37</v>
      </c>
      <c r="AA148" s="241">
        <v>15</v>
      </c>
      <c r="AB148" s="224">
        <v>15</v>
      </c>
      <c r="AC148" s="224">
        <v>15</v>
      </c>
      <c r="AD148" s="224" t="s">
        <v>21</v>
      </c>
      <c r="AE148" s="224" t="s">
        <v>21</v>
      </c>
      <c r="AF148" s="224" t="s">
        <v>21</v>
      </c>
      <c r="AG148" s="224" t="s">
        <v>21</v>
      </c>
      <c r="AH148" s="224" t="s">
        <v>21</v>
      </c>
      <c r="AI148" s="237" t="s">
        <v>21</v>
      </c>
      <c r="AJ148" s="804" t="s">
        <v>21</v>
      </c>
      <c r="AK148" s="224" t="s">
        <v>21</v>
      </c>
      <c r="AL148" s="224" t="s">
        <v>21</v>
      </c>
      <c r="AM148" s="224" t="s">
        <v>21</v>
      </c>
      <c r="AN148" s="224" t="str">
        <f>IFERROR(IF(SUM(INDEX('在庫使用計画 (一般)'!$A$1:$BF$557,MATCH($C148,'在庫使用計画 (一般)'!$C$1:$C$557,0),MATCH(AN$1,'在庫使用計画 (一般)'!$A$1:$BF$1,0)),INDEX('在庫使用計画 (法人)'!$A$1:$AT$578,MATCH($C148,'在庫使用計画 (法人)'!$C$1:$C$578,0),MATCH(AN$1,'在庫使用計画 (法人)'!$A$1:$AT$1,0)))=0,"",SUM(INDEX('在庫使用計画 (一般)'!$A$1:$BF$557,MATCH($C148,'在庫使用計画 (一般)'!$C$1:$C$557,0),MATCH(AN$1,'在庫使用計画 (一般)'!$A$1:$BF$1,0)),INDEX('在庫使用計画 (法人)'!$A$1:$AT$578,MATCH($C148,'在庫使用計画 (法人)'!$C$1:$C$578,0),MATCH(AN$1,'在庫使用計画 (法人)'!$A$1:$AT$1,0)))),"")</f>
        <v/>
      </c>
      <c r="AO148" s="224" t="str">
        <f>IFERROR(IF(SUM(INDEX('在庫使用計画 (一般)'!$A$1:$BF$557,MATCH($C148,'在庫使用計画 (一般)'!$C$1:$C$557,0),MATCH(AO$1,'在庫使用計画 (一般)'!$A$1:$BF$1,0)),INDEX('在庫使用計画 (法人)'!$A$1:$AT$578,MATCH($C148,'在庫使用計画 (法人)'!$C$1:$C$578,0),MATCH(AO$1,'在庫使用計画 (法人)'!$A$1:$AT$1,0)))=0,"",SUM(INDEX('在庫使用計画 (一般)'!$A$1:$BF$557,MATCH($C148,'在庫使用計画 (一般)'!$C$1:$C$557,0),MATCH(AO$1,'在庫使用計画 (一般)'!$A$1:$BF$1,0)),INDEX('在庫使用計画 (法人)'!$A$1:$AT$578,MATCH($C148,'在庫使用計画 (法人)'!$C$1:$C$578,0),MATCH(AO$1,'在庫使用計画 (法人)'!$A$1:$AT$1,0)))),"")</f>
        <v/>
      </c>
      <c r="AP148" s="224" t="str">
        <f>IFERROR(IF(SUM(INDEX('在庫使用計画 (一般)'!$A$1:$BF$557,MATCH($C148,'在庫使用計画 (一般)'!$C$1:$C$557,0),MATCH(AP$1,'在庫使用計画 (一般)'!$A$1:$BF$1,0)),INDEX('在庫使用計画 (法人)'!$A$1:$AT$578,MATCH($C148,'在庫使用計画 (法人)'!$C$1:$C$578,0),MATCH(AP$1,'在庫使用計画 (法人)'!$A$1:$AT$1,0)))=0,"",SUM(INDEX('在庫使用計画 (一般)'!$A$1:$BF$557,MATCH($C148,'在庫使用計画 (一般)'!$C$1:$C$557,0),MATCH(AP$1,'在庫使用計画 (一般)'!$A$1:$BF$1,0)),INDEX('在庫使用計画 (法人)'!$A$1:$AT$578,MATCH($C148,'在庫使用計画 (法人)'!$C$1:$C$578,0),MATCH(AP$1,'在庫使用計画 (法人)'!$A$1:$AT$1,0)))),"")</f>
        <v/>
      </c>
      <c r="AQ148" s="224" t="str">
        <f>IFERROR(IF(SUM(INDEX('在庫使用計画 (一般)'!$A$1:$BF$557,MATCH($C148,'在庫使用計画 (一般)'!$C$1:$C$557,0),MATCH(AQ$1,'在庫使用計画 (一般)'!$A$1:$BF$1,0)),INDEX('在庫使用計画 (法人)'!$A$1:$AT$578,MATCH($C148,'在庫使用計画 (法人)'!$C$1:$C$578,0),MATCH(AQ$1,'在庫使用計画 (法人)'!$A$1:$AT$1,0)))=0,"",SUM(INDEX('在庫使用計画 (一般)'!$A$1:$BF$557,MATCH($C148,'在庫使用計画 (一般)'!$C$1:$C$557,0),MATCH(AQ$1,'在庫使用計画 (一般)'!$A$1:$BF$1,0)),INDEX('在庫使用計画 (法人)'!$A$1:$AT$578,MATCH($C148,'在庫使用計画 (法人)'!$C$1:$C$578,0),MATCH(AQ$1,'在庫使用計画 (法人)'!$A$1:$AT$1,0)))),"")</f>
        <v/>
      </c>
      <c r="AR148" s="224" t="str">
        <f>IFERROR(IF(SUM(INDEX('在庫使用計画 (一般)'!$A$1:$BF$557,MATCH($C148,'在庫使用計画 (一般)'!$C$1:$C$557,0),MATCH(AR$1,'在庫使用計画 (一般)'!$A$1:$BF$1,0)),INDEX('在庫使用計画 (法人)'!$A$1:$AT$578,MATCH($C148,'在庫使用計画 (法人)'!$C$1:$C$578,0),MATCH(AR$1,'在庫使用計画 (法人)'!$A$1:$AT$1,0)))=0,"",SUM(INDEX('在庫使用計画 (一般)'!$A$1:$BF$557,MATCH($C148,'在庫使用計画 (一般)'!$C$1:$C$557,0),MATCH(AR$1,'在庫使用計画 (一般)'!$A$1:$BF$1,0)),INDEX('在庫使用計画 (法人)'!$A$1:$AT$578,MATCH($C148,'在庫使用計画 (法人)'!$C$1:$C$578,0),MATCH(AR$1,'在庫使用計画 (法人)'!$A$1:$AT$1,0)))),"")</f>
        <v/>
      </c>
      <c r="AS148" s="224" t="str">
        <f>IFERROR(IF(SUM(INDEX('在庫使用計画 (一般)'!$A$1:$BF$557,MATCH($C148,'在庫使用計画 (一般)'!$C$1:$C$557,0),MATCH(AS$1,'在庫使用計画 (一般)'!$A$1:$BF$1,0)),INDEX('在庫使用計画 (法人)'!$A$1:$AT$578,MATCH($C148,'在庫使用計画 (法人)'!$C$1:$C$578,0),MATCH(AS$1,'在庫使用計画 (法人)'!$A$1:$AT$1,0)))=0,"",SUM(INDEX('在庫使用計画 (一般)'!$A$1:$BF$557,MATCH($C148,'在庫使用計画 (一般)'!$C$1:$C$557,0),MATCH(AS$1,'在庫使用計画 (一般)'!$A$1:$BF$1,0)),INDEX('在庫使用計画 (法人)'!$A$1:$AT$578,MATCH($C148,'在庫使用計画 (法人)'!$C$1:$C$578,0),MATCH(AS$1,'在庫使用計画 (法人)'!$A$1:$AT$1,0)))),"")</f>
        <v/>
      </c>
      <c r="AT148" s="224" t="str">
        <f>IFERROR(IF(SUM(INDEX('在庫使用計画 (一般)'!$A$1:$BF$557,MATCH($C148,'在庫使用計画 (一般)'!$C$1:$C$557,0),MATCH(AT$1,'在庫使用計画 (一般)'!$A$1:$BF$1,0)),INDEX('在庫使用計画 (法人)'!$A$1:$AT$578,MATCH($C148,'在庫使用計画 (法人)'!$C$1:$C$578,0),MATCH(AT$1,'在庫使用計画 (法人)'!$A$1:$AT$1,0)))=0,"",SUM(INDEX('在庫使用計画 (一般)'!$A$1:$BF$557,MATCH($C148,'在庫使用計画 (一般)'!$C$1:$C$557,0),MATCH(AT$1,'在庫使用計画 (一般)'!$A$1:$BF$1,0)),INDEX('在庫使用計画 (法人)'!$A$1:$AT$578,MATCH($C148,'在庫使用計画 (法人)'!$C$1:$C$578,0),MATCH(AT$1,'在庫使用計画 (法人)'!$A$1:$AT$1,0)))),"")</f>
        <v/>
      </c>
      <c r="AU148" s="805" t="str">
        <f>IFERROR(IF(SUM(INDEX('在庫使用計画 (一般)'!$A$1:$BF$557,MATCH($C148,'在庫使用計画 (一般)'!$C$1:$C$557,0),MATCH(AU$1,'在庫使用計画 (一般)'!$A$1:$BF$1,0)),INDEX('在庫使用計画 (法人)'!$A$1:$AT$578,MATCH($C148,'在庫使用計画 (法人)'!$C$1:$C$578,0),MATCH(AU$1,'在庫使用計画 (法人)'!$A$1:$AT$1,0)))=0,"",SUM(INDEX('在庫使用計画 (一般)'!$A$1:$BF$557,MATCH($C148,'在庫使用計画 (一般)'!$C$1:$C$557,0),MATCH(AU$1,'在庫使用計画 (一般)'!$A$1:$BF$1,0)),INDEX('在庫使用計画 (法人)'!$A$1:$AT$578,MATCH($C148,'在庫使用計画 (法人)'!$C$1:$C$578,0),MATCH(AU$1,'在庫使用計画 (法人)'!$A$1:$AT$1,0)))),"")</f>
        <v/>
      </c>
      <c r="AV148" s="244" t="str">
        <f>_xlfn.LET(
  _xlpm._一般,INDEX('在庫使用計画 (一般)'!$A$1:$BF$316,MATCH($C148,'在庫使用計画 (一般)'!$C$1:$C$316,0),MATCH(AV$1,'在庫使用計画 (一般)'!$A$1:$BF$1,0)),
  _xlpm._法人,INDEX('在庫使用計画 (法人)'!$A$1:$BF$327,MATCH($C148,'在庫使用計画 (法人)'!$C$1:$C$327,0),MATCH(AV$1,'在庫使用計画 (法人)'!$A$1:$BF$1,0)),
 IFERROR(
  IF(_xlpm._一般+_xlpm._法人=0,"",_xlpm._一般+_xlpm._法人
  ),
 "")
)</f>
        <v/>
      </c>
      <c r="AW148" s="224" t="str">
        <f>_xlfn.LET(
  _xlpm._一般,INDEX('在庫使用計画 (一般)'!$A$1:$BF$316,MATCH($C148,'在庫使用計画 (一般)'!$C$1:$C$316,0),MATCH(AW$1,'在庫使用計画 (一般)'!$A$1:$BF$1,0)),
  _xlpm._法人,INDEX('在庫使用計画 (法人)'!$A$1:$BF$327,MATCH($C148,'在庫使用計画 (法人)'!$C$1:$C$327,0),MATCH(AW$1,'在庫使用計画 (法人)'!$A$1:$BF$1,0)),
 IFERROR(
  IF(_xlpm._一般+_xlpm._法人=0,"",_xlpm._一般+_xlpm._法人
  ),
 "")
)</f>
        <v/>
      </c>
      <c r="AX148" s="224" t="str">
        <f>_xlfn.LET(
  _xlpm._一般,INDEX('在庫使用計画 (一般)'!$A$1:$BF$316,MATCH($C148,'在庫使用計画 (一般)'!$C$1:$C$316,0),MATCH(AX$1,'在庫使用計画 (一般)'!$A$1:$BF$1,0)),
  _xlpm._法人,INDEX('在庫使用計画 (法人)'!$A$1:$BF$327,MATCH($C148,'在庫使用計画 (法人)'!$C$1:$C$327,0),MATCH(AX$1,'在庫使用計画 (法人)'!$A$1:$BF$1,0)),
 IFERROR(
  IF(_xlpm._一般+_xlpm._法人=0,"",_xlpm._一般+_xlpm._法人
  ),
 "")
)</f>
        <v/>
      </c>
      <c r="AY148" s="224" t="str">
        <f>_xlfn.LET(
  _xlpm._一般,INDEX('在庫使用計画 (一般)'!$A$1:$BF$316,MATCH($C148,'在庫使用計画 (一般)'!$C$1:$C$316,0),MATCH(AY$1,'在庫使用計画 (一般)'!$A$1:$BF$1,0)),
  _xlpm._法人,INDEX('在庫使用計画 (法人)'!$A$1:$BF$327,MATCH($C148,'在庫使用計画 (法人)'!$C$1:$C$327,0),MATCH(AY$1,'在庫使用計画 (法人)'!$A$1:$BF$1,0)),
 IFERROR(
  IF(_xlpm._一般+_xlpm._法人=0,"",_xlpm._一般+_xlpm._法人
  ),
 "")
)</f>
        <v/>
      </c>
      <c r="AZ148" s="224" t="str">
        <f>_xlfn.LET(
  _xlpm._一般,INDEX('在庫使用計画 (一般)'!$A$1:$BF$316,MATCH($C148,'在庫使用計画 (一般)'!$C$1:$C$316,0),MATCH(AZ$1,'在庫使用計画 (一般)'!$A$1:$BF$1,0)),
  _xlpm._法人,INDEX('在庫使用計画 (法人)'!$A$1:$BF$327,MATCH($C148,'在庫使用計画 (法人)'!$C$1:$C$327,0),MATCH(AZ$1,'在庫使用計画 (法人)'!$A$1:$BF$1,0)),
 IFERROR(
  IF(_xlpm._一般+_xlpm._法人=0,"",_xlpm._一般+_xlpm._法人
  ),
 "")
)</f>
        <v/>
      </c>
      <c r="BA148" s="224" t="str">
        <f>_xlfn.LET(
  _xlpm._一般,INDEX('在庫使用計画 (一般)'!$A$1:$BF$316,MATCH($C148,'在庫使用計画 (一般)'!$C$1:$C$316,0),MATCH(BA$1,'在庫使用計画 (一般)'!$A$1:$BF$1,0)),
  _xlpm._法人,INDEX('在庫使用計画 (法人)'!$A$1:$BF$327,MATCH($C148,'在庫使用計画 (法人)'!$C$1:$C$327,0),MATCH(BA$1,'在庫使用計画 (法人)'!$A$1:$BF$1,0)),
 IFERROR(
  IF(_xlpm._一般+_xlpm._法人=0,"",_xlpm._一般+_xlpm._法人
  ),
 "")
)</f>
        <v/>
      </c>
      <c r="BB148" s="224" t="str">
        <f>_xlfn.LET(
  _xlpm._一般,INDEX('在庫使用計画 (一般)'!$A$1:$BF$316,MATCH($C148,'在庫使用計画 (一般)'!$C$1:$C$316,0),MATCH(BB$1,'在庫使用計画 (一般)'!$A$1:$BF$1,0)),
  _xlpm._法人,INDEX('在庫使用計画 (法人)'!$A$1:$BF$327,MATCH($C148,'在庫使用計画 (法人)'!$C$1:$C$327,0),MATCH(BB$1,'在庫使用計画 (法人)'!$A$1:$BF$1,0)),
 IFERROR(
  IF(_xlpm._一般+_xlpm._法人=0,"",_xlpm._一般+_xlpm._法人
  ),
 "")
)</f>
        <v/>
      </c>
      <c r="BC148" s="224" t="str">
        <f>_xlfn.LET(
  _xlpm._一般,INDEX('在庫使用計画 (一般)'!$A$1:$BF$316,MATCH($C148,'在庫使用計画 (一般)'!$C$1:$C$316,0),MATCH(BC$1,'在庫使用計画 (一般)'!$A$1:$BF$1,0)),
  _xlpm._法人,INDEX('在庫使用計画 (法人)'!$A$1:$BF$327,MATCH($C148,'在庫使用計画 (法人)'!$C$1:$C$327,0),MATCH(BC$1,'在庫使用計画 (法人)'!$A$1:$BF$1,0)),
 IFERROR(
  IF(_xlpm._一般+_xlpm._法人=0,"",_xlpm._一般+_xlpm._法人
  ),
 "")
)</f>
        <v/>
      </c>
      <c r="BD148" s="224" t="str">
        <f>_xlfn.LET(
  _xlpm._一般,INDEX('在庫使用計画 (一般)'!$A$1:$BF$316,MATCH($C148,'在庫使用計画 (一般)'!$C$1:$C$316,0),MATCH(BD$1,'在庫使用計画 (一般)'!$A$1:$BF$1,0)),
  _xlpm._法人,INDEX('在庫使用計画 (法人)'!$A$1:$BF$327,MATCH($C148,'在庫使用計画 (法人)'!$C$1:$C$327,0),MATCH(BD$1,'在庫使用計画 (法人)'!$A$1:$BF$1,0)),
 IFERROR(
  IF(_xlpm._一般+_xlpm._法人=0,"",_xlpm._一般+_xlpm._法人
  ),
 "")
)</f>
        <v/>
      </c>
      <c r="BE148" s="224" t="str">
        <f>_xlfn.LET(
  _xlpm._一般,INDEX('在庫使用計画 (一般)'!$A$1:$BF$316,MATCH($C148,'在庫使用計画 (一般)'!$C$1:$C$316,0),MATCH(BE$1,'在庫使用計画 (一般)'!$A$1:$BF$1,0)),
  _xlpm._法人,INDEX('在庫使用計画 (法人)'!$A$1:$BF$327,MATCH($C148,'在庫使用計画 (法人)'!$C$1:$C$327,0),MATCH(BE$1,'在庫使用計画 (法人)'!$A$1:$BF$1,0)),
 IFERROR(
  IF(_xlpm._一般+_xlpm._法人=0,"",_xlpm._一般+_xlpm._法人
  ),
 "")
)</f>
        <v/>
      </c>
      <c r="BF148" s="224" t="str">
        <f>_xlfn.LET(
  _xlpm._一般,INDEX('在庫使用計画 (一般)'!$A$1:$BF$316,MATCH($C148,'在庫使用計画 (一般)'!$C$1:$C$316,0),MATCH(BF$1,'在庫使用計画 (一般)'!$A$1:$BF$1,0)),
  _xlpm._法人,INDEX('在庫使用計画 (法人)'!$A$1:$BF$327,MATCH($C148,'在庫使用計画 (法人)'!$C$1:$C$327,0),MATCH(BF$1,'在庫使用計画 (法人)'!$A$1:$BF$1,0)),
 IFERROR(
  IF(_xlpm._一般+_xlpm._法人=0,"",_xlpm._一般+_xlpm._法人
  ),
 "")
)</f>
        <v/>
      </c>
      <c r="BG148" s="237" t="str">
        <f>_xlfn.LET(
  _xlpm._一般,INDEX('在庫使用計画 (一般)'!$A$1:$BF$316,MATCH($C148,'在庫使用計画 (一般)'!$C$1:$C$316,0),MATCH(BG$1,'在庫使用計画 (一般)'!$A$1:$BF$1,0)),
  _xlpm._法人,INDEX('在庫使用計画 (法人)'!$A$1:$BF$327,MATCH($C148,'在庫使用計画 (法人)'!$C$1:$C$327,0),MATCH(BG$1,'在庫使用計画 (法人)'!$A$1:$BF$1,0)),
 IFERROR(
  IF(_xlpm._一般+_xlpm._法人=0,"",_xlpm._一般+_xlpm._法人
  ),
 "")
)</f>
        <v/>
      </c>
      <c r="BH148" s="804" t="str">
        <f>_xlfn.LET(
  _xlpm._一般,INDEX('在庫使用計画 (一般)'!$A$1:$BF$316,MATCH($C148,'在庫使用計画 (一般)'!$C$1:$C$316,0),MATCH(BH$1,'在庫使用計画 (一般)'!$A$1:$BF$1,0)),
  _xlpm._法人,INDEX('在庫使用計画 (法人)'!$A$1:$BF$327,MATCH($C148,'在庫使用計画 (法人)'!$C$1:$C$327,0),MATCH(BH$1,'在庫使用計画 (法人)'!$A$1:$BF$1,0)),
 IFERROR(
  IF(_xlpm._一般+_xlpm._法人=0,"",_xlpm._一般+_xlpm._法人
  ),
 "")
)</f>
        <v/>
      </c>
      <c r="BI148" s="224" t="str">
        <f>_xlfn.LET(
  _xlpm._一般,INDEX('在庫使用計画 (一般)'!$A$1:$BF$316,MATCH($C148,'在庫使用計画 (一般)'!$C$1:$C$316,0),MATCH(BI$1,'在庫使用計画 (一般)'!$A$1:$BF$1,0)),
  _xlpm._法人,INDEX('在庫使用計画 (法人)'!$A$1:$BF$327,MATCH($C148,'在庫使用計画 (法人)'!$C$1:$C$327,0),MATCH(BI$1,'在庫使用計画 (法人)'!$A$1:$BF$1,0)),
 IFERROR(
  IF(_xlpm._一般+_xlpm._法人=0,"",_xlpm._一般+_xlpm._法人
  ),
 "")
)</f>
        <v/>
      </c>
      <c r="BJ148" s="224" t="str">
        <f>_xlfn.LET(
  _xlpm._一般,INDEX('在庫使用計画 (一般)'!$A$1:$BF$316,MATCH($C148,'在庫使用計画 (一般)'!$C$1:$C$316,0),MATCH(BJ$1,'在庫使用計画 (一般)'!$A$1:$BF$1,0)),
  _xlpm._法人,INDEX('在庫使用計画 (法人)'!$A$1:$BF$327,MATCH($C148,'在庫使用計画 (法人)'!$C$1:$C$327,0),MATCH(BJ$1,'在庫使用計画 (法人)'!$A$1:$BF$1,0)),
 IFERROR(
  IF(_xlpm._一般+_xlpm._法人=0,"",_xlpm._一般+_xlpm._法人
  ),
 "")
)</f>
        <v/>
      </c>
      <c r="BK148" s="224" t="str">
        <f>_xlfn.LET(
  _xlpm._一般,INDEX('在庫使用計画 (一般)'!$A$1:$BF$316,MATCH($C148,'在庫使用計画 (一般)'!$C$1:$C$316,0),MATCH(BK$1,'在庫使用計画 (一般)'!$A$1:$BF$1,0)),
  _xlpm._法人,INDEX('在庫使用計画 (法人)'!$A$1:$BF$327,MATCH($C148,'在庫使用計画 (法人)'!$C$1:$C$327,0),MATCH(BK$1,'在庫使用計画 (法人)'!$A$1:$BF$1,0)),
 IFERROR(
  IF(_xlpm._一般+_xlpm._法人=0,"",_xlpm._一般+_xlpm._法人
  ),
 "")
)</f>
        <v/>
      </c>
      <c r="BL148" s="224" t="str">
        <f>_xlfn.LET(
  _xlpm._一般,INDEX('在庫使用計画 (一般)'!$A$1:$BF$316,MATCH($C148,'在庫使用計画 (一般)'!$C$1:$C$316,0),MATCH(BL$1,'在庫使用計画 (一般)'!$A$1:$BF$1,0)),
  _xlpm._法人,INDEX('在庫使用計画 (法人)'!$A$1:$BF$327,MATCH($C148,'在庫使用計画 (法人)'!$C$1:$C$327,0),MATCH(BL$1,'在庫使用計画 (法人)'!$A$1:$BF$1,0)),
 IFERROR(
  IF(_xlpm._一般+_xlpm._法人=0,"",_xlpm._一般+_xlpm._法人
  ),
 "")
)</f>
        <v/>
      </c>
      <c r="BM148" s="224" t="str">
        <f>_xlfn.LET(
  _xlpm._一般,INDEX('在庫使用計画 (一般)'!$A$1:$BF$316,MATCH($C148,'在庫使用計画 (一般)'!$C$1:$C$316,0),MATCH(BM$1,'在庫使用計画 (一般)'!$A$1:$BF$1,0)),
  _xlpm._法人,INDEX('在庫使用計画 (法人)'!$A$1:$BF$327,MATCH($C148,'在庫使用計画 (法人)'!$C$1:$C$327,0),MATCH(BM$1,'在庫使用計画 (法人)'!$A$1:$BF$1,0)),
 IFERROR(
  IF(_xlpm._一般+_xlpm._法人=0,"",_xlpm._一般+_xlpm._法人
  ),
 "")
)</f>
        <v/>
      </c>
      <c r="BN148" s="224" t="str">
        <f>_xlfn.LET(
  _xlpm._一般,INDEX('在庫使用計画 (一般)'!$A$1:$BF$316,MATCH($C148,'在庫使用計画 (一般)'!$C$1:$C$316,0),MATCH(BN$1,'在庫使用計画 (一般)'!$A$1:$BF$1,0)),
  _xlpm._法人,INDEX('在庫使用計画 (法人)'!$A$1:$BF$327,MATCH($C148,'在庫使用計画 (法人)'!$C$1:$C$327,0),MATCH(BN$1,'在庫使用計画 (法人)'!$A$1:$BF$1,0)),
 IFERROR(
  IF(_xlpm._一般+_xlpm._法人=0,"",_xlpm._一般+_xlpm._法人
  ),
 "")
)</f>
        <v/>
      </c>
      <c r="BO148" s="224" t="str">
        <f>_xlfn.LET(
  _xlpm._一般,INDEX('在庫使用計画 (一般)'!$A$1:$BF$316,MATCH($C148,'在庫使用計画 (一般)'!$C$1:$C$316,0),MATCH(BO$1,'在庫使用計画 (一般)'!$A$1:$BF$1,0)),
  _xlpm._法人,INDEX('在庫使用計画 (法人)'!$A$1:$BF$327,MATCH($C148,'在庫使用計画 (法人)'!$C$1:$C$327,0),MATCH(BO$1,'在庫使用計画 (法人)'!$A$1:$BF$1,0)),
 IFERROR(
  IF(_xlpm._一般+_xlpm._法人=0,"",_xlpm._一般+_xlpm._法人
  ),
 "")
)</f>
        <v/>
      </c>
      <c r="BP148" s="224" t="str">
        <f>_xlfn.LET(
  _xlpm._一般,INDEX('在庫使用計画 (一般)'!$A$1:$BF$316,MATCH($C148,'在庫使用計画 (一般)'!$C$1:$C$316,0),MATCH(BP$1,'在庫使用計画 (一般)'!$A$1:$BF$1,0)),
  _xlpm._法人,INDEX('在庫使用計画 (法人)'!$A$1:$BF$327,MATCH($C148,'在庫使用計画 (法人)'!$C$1:$C$327,0),MATCH(BP$1,'在庫使用計画 (法人)'!$A$1:$BF$1,0)),
 IFERROR(
  IF(_xlpm._一般+_xlpm._法人=0,"",_xlpm._一般+_xlpm._法人
  ),
 "")
)</f>
        <v/>
      </c>
      <c r="BQ148" s="224" t="str">
        <f>_xlfn.LET(
  _xlpm._一般,INDEX('在庫使用計画 (一般)'!$A$1:$BF$316,MATCH($C148,'在庫使用計画 (一般)'!$C$1:$C$316,0),MATCH(BQ$1,'在庫使用計画 (一般)'!$A$1:$BF$1,0)),
  _xlpm._法人,INDEX('在庫使用計画 (法人)'!$A$1:$BF$327,MATCH($C148,'在庫使用計画 (法人)'!$C$1:$C$327,0),MATCH(BQ$1,'在庫使用計画 (法人)'!$A$1:$BF$1,0)),
 IFERROR(
  IF(_xlpm._一般+_xlpm._法人=0,"",_xlpm._一般+_xlpm._法人
  ),
 "")
)</f>
        <v/>
      </c>
      <c r="BR148" s="224" t="str">
        <f>_xlfn.LET(
  _xlpm._一般,INDEX('在庫使用計画 (一般)'!$A$1:$BF$316,MATCH($C148,'在庫使用計画 (一般)'!$C$1:$C$316,0),MATCH(BR$1,'在庫使用計画 (一般)'!$A$1:$BF$1,0)),
  _xlpm._法人,INDEX('在庫使用計画 (法人)'!$A$1:$BF$327,MATCH($C148,'在庫使用計画 (法人)'!$C$1:$C$327,0),MATCH(BR$1,'在庫使用計画 (法人)'!$A$1:$BF$1,0)),
 IFERROR(
  IF(_xlpm._一般+_xlpm._法人=0,"",_xlpm._一般+_xlpm._法人
  ),
 "")
)</f>
        <v/>
      </c>
      <c r="BS148" s="805" t="str">
        <f>_xlfn.LET(
  _xlpm._一般,INDEX('在庫使用計画 (一般)'!$A$1:$BF$316,MATCH($C148,'在庫使用計画 (一般)'!$C$1:$C$316,0),MATCH(BS$1,'在庫使用計画 (一般)'!$A$1:$BF$1,0)),
  _xlpm._法人,INDEX('在庫使用計画 (法人)'!$A$1:$BF$327,MATCH($C148,'在庫使用計画 (法人)'!$C$1:$C$327,0),MATCH(BS$1,'在庫使用計画 (法人)'!$A$1:$BF$1,0)),
 IFERROR(
  IF(_xlpm._一般+_xlpm._法人=0,"",_xlpm._一般+_xlpm._法人
  ),
 "")
)</f>
        <v/>
      </c>
      <c r="BT148" s="21"/>
    </row>
    <row r="149" spans="1:72" customFormat="1" ht="18.75" customHeight="1">
      <c r="A149" s="1059" t="s">
        <v>1349</v>
      </c>
      <c r="B149" s="26" t="s">
        <v>1682</v>
      </c>
      <c r="C149" s="25" t="s">
        <v>1683</v>
      </c>
      <c r="D149" s="2156">
        <v>4050</v>
      </c>
      <c r="E149" s="68" t="s">
        <v>1375</v>
      </c>
      <c r="F149" s="26" t="s">
        <v>1347</v>
      </c>
      <c r="G149" s="38">
        <f>_xlfn.LET(
_xlpm._在庫残,SUMIFS(在庫確認!C:C,在庫確認!B:B,'在庫使用計画 (ノート全体試算)'!C:C),
IF(_xlpm._在庫残=0,"",_xlpm._在庫残)
)</f>
        <v>1500</v>
      </c>
      <c r="H149" s="38"/>
      <c r="I149" s="38">
        <f ca="1">IF(B149="","",
SUM(
OFFSET(A149,0,
MATCH(
EDATE(基準データ!$C$5,3),
$A$1:$AT$1,1
)-4,1,4)))</f>
        <v>0</v>
      </c>
      <c r="J149" s="38" t="str" cm="1">
        <f t="array" aca="1" ref="J149" ca="1">_xlfn.LET(_xlpm._来月から4ヶ月計画合計,
  SUM(
    OFFSET($A149,0,
      MATCH(
        EDATE(基準データ!$C$5,3),$A$1:$BG$1,1
      )-3,1,4)),
_xlpm._今月計画数,
INDEX('在庫使用計画 (ノート全体試算)'!$A$1:$BF$218,
  ROW(),
  MATCH(EOMONTH(基準データ!$C$5,-1)+1,'在庫使用計画 (ノート全体試算)'!$A$1:$BF$1,0)
),
  IFERROR(IF($B149="","",_xlpm._来月から4ヶ月計画合計+_xlpm._今月計画数/2),""
)
)</f>
        <v/>
      </c>
      <c r="K149" s="38"/>
      <c r="L149" s="38"/>
      <c r="M149" s="38"/>
      <c r="N149" s="38" t="s">
        <v>21</v>
      </c>
      <c r="O149" s="38" t="s">
        <v>21</v>
      </c>
      <c r="P149" s="38" t="s">
        <v>21</v>
      </c>
      <c r="Q149" s="38" t="s">
        <v>21</v>
      </c>
      <c r="R149" s="38" t="s">
        <v>21</v>
      </c>
      <c r="S149" s="38">
        <v>172.38113761695109</v>
      </c>
      <c r="T149" s="219">
        <v>153.45851497060545</v>
      </c>
      <c r="U149" s="219">
        <v>62</v>
      </c>
      <c r="V149" s="219">
        <v>135.70386787340308</v>
      </c>
      <c r="W149" s="219">
        <v>155</v>
      </c>
      <c r="X149" s="224">
        <v>211</v>
      </c>
      <c r="Y149" s="224">
        <v>69</v>
      </c>
      <c r="Z149" s="224">
        <v>311</v>
      </c>
      <c r="AA149" s="237">
        <v>283</v>
      </c>
      <c r="AB149" s="237">
        <v>121</v>
      </c>
      <c r="AC149" s="436" t="s">
        <v>21</v>
      </c>
      <c r="AD149" s="237" t="s">
        <v>21</v>
      </c>
      <c r="AE149" s="237" t="s">
        <v>21</v>
      </c>
      <c r="AF149" s="237" t="s">
        <v>21</v>
      </c>
      <c r="AG149" s="224" t="s">
        <v>21</v>
      </c>
      <c r="AH149" s="224" t="s">
        <v>21</v>
      </c>
      <c r="AI149" s="237" t="s">
        <v>21</v>
      </c>
      <c r="AJ149" s="804" t="s">
        <v>21</v>
      </c>
      <c r="AK149" s="224" t="s">
        <v>21</v>
      </c>
      <c r="AL149" s="224" t="s">
        <v>21</v>
      </c>
      <c r="AM149" s="224" t="s">
        <v>21</v>
      </c>
      <c r="AN149" s="224" t="str">
        <f>IFERROR(IF(SUM(INDEX('在庫使用計画 (一般)'!$A$1:$BF$557,MATCH($C149,'在庫使用計画 (一般)'!$C$1:$C$557,0),MATCH(AN$1,'在庫使用計画 (一般)'!$A$1:$BF$1,0)),INDEX('在庫使用計画 (法人)'!$A$1:$AT$578,MATCH($C149,'在庫使用計画 (法人)'!$C$1:$C$578,0),MATCH(AN$1,'在庫使用計画 (法人)'!$A$1:$AT$1,0)))=0,"",SUM(INDEX('在庫使用計画 (一般)'!$A$1:$BF$557,MATCH($C149,'在庫使用計画 (一般)'!$C$1:$C$557,0),MATCH(AN$1,'在庫使用計画 (一般)'!$A$1:$BF$1,0)),INDEX('在庫使用計画 (法人)'!$A$1:$AT$578,MATCH($C149,'在庫使用計画 (法人)'!$C$1:$C$578,0),MATCH(AN$1,'在庫使用計画 (法人)'!$A$1:$AT$1,0)))),"")</f>
        <v/>
      </c>
      <c r="AO149" s="224" t="str">
        <f>IFERROR(IF(SUM(INDEX('在庫使用計画 (一般)'!$A$1:$BF$557,MATCH($C149,'在庫使用計画 (一般)'!$C$1:$C$557,0),MATCH(AO$1,'在庫使用計画 (一般)'!$A$1:$BF$1,0)),INDEX('在庫使用計画 (法人)'!$A$1:$AT$578,MATCH($C149,'在庫使用計画 (法人)'!$C$1:$C$578,0),MATCH(AO$1,'在庫使用計画 (法人)'!$A$1:$AT$1,0)))=0,"",SUM(INDEX('在庫使用計画 (一般)'!$A$1:$BF$557,MATCH($C149,'在庫使用計画 (一般)'!$C$1:$C$557,0),MATCH(AO$1,'在庫使用計画 (一般)'!$A$1:$BF$1,0)),INDEX('在庫使用計画 (法人)'!$A$1:$AT$578,MATCH($C149,'在庫使用計画 (法人)'!$C$1:$C$578,0),MATCH(AO$1,'在庫使用計画 (法人)'!$A$1:$AT$1,0)))),"")</f>
        <v/>
      </c>
      <c r="AP149" s="224" t="str">
        <f>IFERROR(IF(SUM(INDEX('在庫使用計画 (一般)'!$A$1:$BF$557,MATCH($C149,'在庫使用計画 (一般)'!$C$1:$C$557,0),MATCH(AP$1,'在庫使用計画 (一般)'!$A$1:$BF$1,0)),INDEX('在庫使用計画 (法人)'!$A$1:$AT$578,MATCH($C149,'在庫使用計画 (法人)'!$C$1:$C$578,0),MATCH(AP$1,'在庫使用計画 (法人)'!$A$1:$AT$1,0)))=0,"",SUM(INDEX('在庫使用計画 (一般)'!$A$1:$BF$557,MATCH($C149,'在庫使用計画 (一般)'!$C$1:$C$557,0),MATCH(AP$1,'在庫使用計画 (一般)'!$A$1:$BF$1,0)),INDEX('在庫使用計画 (法人)'!$A$1:$AT$578,MATCH($C149,'在庫使用計画 (法人)'!$C$1:$C$578,0),MATCH(AP$1,'在庫使用計画 (法人)'!$A$1:$AT$1,0)))),"")</f>
        <v/>
      </c>
      <c r="AQ149" s="224" t="str">
        <f>IFERROR(IF(SUM(INDEX('在庫使用計画 (一般)'!$A$1:$BF$557,MATCH($C149,'在庫使用計画 (一般)'!$C$1:$C$557,0),MATCH(AQ$1,'在庫使用計画 (一般)'!$A$1:$BF$1,0)),INDEX('在庫使用計画 (法人)'!$A$1:$AT$578,MATCH($C149,'在庫使用計画 (法人)'!$C$1:$C$578,0),MATCH(AQ$1,'在庫使用計画 (法人)'!$A$1:$AT$1,0)))=0,"",SUM(INDEX('在庫使用計画 (一般)'!$A$1:$BF$557,MATCH($C149,'在庫使用計画 (一般)'!$C$1:$C$557,0),MATCH(AQ$1,'在庫使用計画 (一般)'!$A$1:$BF$1,0)),INDEX('在庫使用計画 (法人)'!$A$1:$AT$578,MATCH($C149,'在庫使用計画 (法人)'!$C$1:$C$578,0),MATCH(AQ$1,'在庫使用計画 (法人)'!$A$1:$AT$1,0)))),"")</f>
        <v/>
      </c>
      <c r="AR149" s="224" t="str">
        <f>IFERROR(IF(SUM(INDEX('在庫使用計画 (一般)'!$A$1:$BF$557,MATCH($C149,'在庫使用計画 (一般)'!$C$1:$C$557,0),MATCH(AR$1,'在庫使用計画 (一般)'!$A$1:$BF$1,0)),INDEX('在庫使用計画 (法人)'!$A$1:$AT$578,MATCH($C149,'在庫使用計画 (法人)'!$C$1:$C$578,0),MATCH(AR$1,'在庫使用計画 (法人)'!$A$1:$AT$1,0)))=0,"",SUM(INDEX('在庫使用計画 (一般)'!$A$1:$BF$557,MATCH($C149,'在庫使用計画 (一般)'!$C$1:$C$557,0),MATCH(AR$1,'在庫使用計画 (一般)'!$A$1:$BF$1,0)),INDEX('在庫使用計画 (法人)'!$A$1:$AT$578,MATCH($C149,'在庫使用計画 (法人)'!$C$1:$C$578,0),MATCH(AR$1,'在庫使用計画 (法人)'!$A$1:$AT$1,0)))),"")</f>
        <v/>
      </c>
      <c r="AS149" s="224" t="str">
        <f>IFERROR(IF(SUM(INDEX('在庫使用計画 (一般)'!$A$1:$BF$557,MATCH($C149,'在庫使用計画 (一般)'!$C$1:$C$557,0),MATCH(AS$1,'在庫使用計画 (一般)'!$A$1:$BF$1,0)),INDEX('在庫使用計画 (法人)'!$A$1:$AT$578,MATCH($C149,'在庫使用計画 (法人)'!$C$1:$C$578,0),MATCH(AS$1,'在庫使用計画 (法人)'!$A$1:$AT$1,0)))=0,"",SUM(INDEX('在庫使用計画 (一般)'!$A$1:$BF$557,MATCH($C149,'在庫使用計画 (一般)'!$C$1:$C$557,0),MATCH(AS$1,'在庫使用計画 (一般)'!$A$1:$BF$1,0)),INDEX('在庫使用計画 (法人)'!$A$1:$AT$578,MATCH($C149,'在庫使用計画 (法人)'!$C$1:$C$578,0),MATCH(AS$1,'在庫使用計画 (法人)'!$A$1:$AT$1,0)))),"")</f>
        <v/>
      </c>
      <c r="AT149" s="224" t="str">
        <f>IFERROR(IF(SUM(INDEX('在庫使用計画 (一般)'!$A$1:$BF$557,MATCH($C149,'在庫使用計画 (一般)'!$C$1:$C$557,0),MATCH(AT$1,'在庫使用計画 (一般)'!$A$1:$BF$1,0)),INDEX('在庫使用計画 (法人)'!$A$1:$AT$578,MATCH($C149,'在庫使用計画 (法人)'!$C$1:$C$578,0),MATCH(AT$1,'在庫使用計画 (法人)'!$A$1:$AT$1,0)))=0,"",SUM(INDEX('在庫使用計画 (一般)'!$A$1:$BF$557,MATCH($C149,'在庫使用計画 (一般)'!$C$1:$C$557,0),MATCH(AT$1,'在庫使用計画 (一般)'!$A$1:$BF$1,0)),INDEX('在庫使用計画 (法人)'!$A$1:$AT$578,MATCH($C149,'在庫使用計画 (法人)'!$C$1:$C$578,0),MATCH(AT$1,'在庫使用計画 (法人)'!$A$1:$AT$1,0)))),"")</f>
        <v/>
      </c>
      <c r="AU149" s="805" t="str">
        <f>IFERROR(IF(SUM(INDEX('在庫使用計画 (一般)'!$A$1:$BF$557,MATCH($C149,'在庫使用計画 (一般)'!$C$1:$C$557,0),MATCH(AU$1,'在庫使用計画 (一般)'!$A$1:$BF$1,0)),INDEX('在庫使用計画 (法人)'!$A$1:$AT$578,MATCH($C149,'在庫使用計画 (法人)'!$C$1:$C$578,0),MATCH(AU$1,'在庫使用計画 (法人)'!$A$1:$AT$1,0)))=0,"",SUM(INDEX('在庫使用計画 (一般)'!$A$1:$BF$557,MATCH($C149,'在庫使用計画 (一般)'!$C$1:$C$557,0),MATCH(AU$1,'在庫使用計画 (一般)'!$A$1:$BF$1,0)),INDEX('在庫使用計画 (法人)'!$A$1:$AT$578,MATCH($C149,'在庫使用計画 (法人)'!$C$1:$C$578,0),MATCH(AU$1,'在庫使用計画 (法人)'!$A$1:$AT$1,0)))),"")</f>
        <v/>
      </c>
      <c r="AV149" s="244" t="str">
        <f>_xlfn.LET(
  _xlpm._一般,INDEX('在庫使用計画 (一般)'!$A$1:$BF$316,MATCH($C149,'在庫使用計画 (一般)'!$C$1:$C$316,0),MATCH(AV$1,'在庫使用計画 (一般)'!$A$1:$BF$1,0)),
  _xlpm._法人,INDEX('在庫使用計画 (法人)'!$A$1:$BF$327,MATCH($C149,'在庫使用計画 (法人)'!$C$1:$C$327,0),MATCH(AV$1,'在庫使用計画 (法人)'!$A$1:$BF$1,0)),
 IFERROR(
  IF(_xlpm._一般+_xlpm._法人=0,"",_xlpm._一般+_xlpm._法人
  ),
 "")
)</f>
        <v/>
      </c>
      <c r="AW149" s="224" t="str">
        <f>_xlfn.LET(
  _xlpm._一般,INDEX('在庫使用計画 (一般)'!$A$1:$BF$316,MATCH($C149,'在庫使用計画 (一般)'!$C$1:$C$316,0),MATCH(AW$1,'在庫使用計画 (一般)'!$A$1:$BF$1,0)),
  _xlpm._法人,INDEX('在庫使用計画 (法人)'!$A$1:$BF$327,MATCH($C149,'在庫使用計画 (法人)'!$C$1:$C$327,0),MATCH(AW$1,'在庫使用計画 (法人)'!$A$1:$BF$1,0)),
 IFERROR(
  IF(_xlpm._一般+_xlpm._法人=0,"",_xlpm._一般+_xlpm._法人
  ),
 "")
)</f>
        <v/>
      </c>
      <c r="AX149" s="224" t="str">
        <f>_xlfn.LET(
  _xlpm._一般,INDEX('在庫使用計画 (一般)'!$A$1:$BF$316,MATCH($C149,'在庫使用計画 (一般)'!$C$1:$C$316,0),MATCH(AX$1,'在庫使用計画 (一般)'!$A$1:$BF$1,0)),
  _xlpm._法人,INDEX('在庫使用計画 (法人)'!$A$1:$BF$327,MATCH($C149,'在庫使用計画 (法人)'!$C$1:$C$327,0),MATCH(AX$1,'在庫使用計画 (法人)'!$A$1:$BF$1,0)),
 IFERROR(
  IF(_xlpm._一般+_xlpm._法人=0,"",_xlpm._一般+_xlpm._法人
  ),
 "")
)</f>
        <v/>
      </c>
      <c r="AY149" s="224" t="str">
        <f>_xlfn.LET(
  _xlpm._一般,INDEX('在庫使用計画 (一般)'!$A$1:$BF$316,MATCH($C149,'在庫使用計画 (一般)'!$C$1:$C$316,0),MATCH(AY$1,'在庫使用計画 (一般)'!$A$1:$BF$1,0)),
  _xlpm._法人,INDEX('在庫使用計画 (法人)'!$A$1:$BF$327,MATCH($C149,'在庫使用計画 (法人)'!$C$1:$C$327,0),MATCH(AY$1,'在庫使用計画 (法人)'!$A$1:$BF$1,0)),
 IFERROR(
  IF(_xlpm._一般+_xlpm._法人=0,"",_xlpm._一般+_xlpm._法人
  ),
 "")
)</f>
        <v/>
      </c>
      <c r="AZ149" s="224" t="str">
        <f>_xlfn.LET(
  _xlpm._一般,INDEX('在庫使用計画 (一般)'!$A$1:$BF$316,MATCH($C149,'在庫使用計画 (一般)'!$C$1:$C$316,0),MATCH(AZ$1,'在庫使用計画 (一般)'!$A$1:$BF$1,0)),
  _xlpm._法人,INDEX('在庫使用計画 (法人)'!$A$1:$BF$327,MATCH($C149,'在庫使用計画 (法人)'!$C$1:$C$327,0),MATCH(AZ$1,'在庫使用計画 (法人)'!$A$1:$BF$1,0)),
 IFERROR(
  IF(_xlpm._一般+_xlpm._法人=0,"",_xlpm._一般+_xlpm._法人
  ),
 "")
)</f>
        <v/>
      </c>
      <c r="BA149" s="224" t="str">
        <f>_xlfn.LET(
  _xlpm._一般,INDEX('在庫使用計画 (一般)'!$A$1:$BF$316,MATCH($C149,'在庫使用計画 (一般)'!$C$1:$C$316,0),MATCH(BA$1,'在庫使用計画 (一般)'!$A$1:$BF$1,0)),
  _xlpm._法人,INDEX('在庫使用計画 (法人)'!$A$1:$BF$327,MATCH($C149,'在庫使用計画 (法人)'!$C$1:$C$327,0),MATCH(BA$1,'在庫使用計画 (法人)'!$A$1:$BF$1,0)),
 IFERROR(
  IF(_xlpm._一般+_xlpm._法人=0,"",_xlpm._一般+_xlpm._法人
  ),
 "")
)</f>
        <v/>
      </c>
      <c r="BB149" s="224" t="str">
        <f>_xlfn.LET(
  _xlpm._一般,INDEX('在庫使用計画 (一般)'!$A$1:$BF$316,MATCH($C149,'在庫使用計画 (一般)'!$C$1:$C$316,0),MATCH(BB$1,'在庫使用計画 (一般)'!$A$1:$BF$1,0)),
  _xlpm._法人,INDEX('在庫使用計画 (法人)'!$A$1:$BF$327,MATCH($C149,'在庫使用計画 (法人)'!$C$1:$C$327,0),MATCH(BB$1,'在庫使用計画 (法人)'!$A$1:$BF$1,0)),
 IFERROR(
  IF(_xlpm._一般+_xlpm._法人=0,"",_xlpm._一般+_xlpm._法人
  ),
 "")
)</f>
        <v/>
      </c>
      <c r="BC149" s="224" t="str">
        <f>_xlfn.LET(
  _xlpm._一般,INDEX('在庫使用計画 (一般)'!$A$1:$BF$316,MATCH($C149,'在庫使用計画 (一般)'!$C$1:$C$316,0),MATCH(BC$1,'在庫使用計画 (一般)'!$A$1:$BF$1,0)),
  _xlpm._法人,INDEX('在庫使用計画 (法人)'!$A$1:$BF$327,MATCH($C149,'在庫使用計画 (法人)'!$C$1:$C$327,0),MATCH(BC$1,'在庫使用計画 (法人)'!$A$1:$BF$1,0)),
 IFERROR(
  IF(_xlpm._一般+_xlpm._法人=0,"",_xlpm._一般+_xlpm._法人
  ),
 "")
)</f>
        <v/>
      </c>
      <c r="BD149" s="224" t="str">
        <f>_xlfn.LET(
  _xlpm._一般,INDEX('在庫使用計画 (一般)'!$A$1:$BF$316,MATCH($C149,'在庫使用計画 (一般)'!$C$1:$C$316,0),MATCH(BD$1,'在庫使用計画 (一般)'!$A$1:$BF$1,0)),
  _xlpm._法人,INDEX('在庫使用計画 (法人)'!$A$1:$BF$327,MATCH($C149,'在庫使用計画 (法人)'!$C$1:$C$327,0),MATCH(BD$1,'在庫使用計画 (法人)'!$A$1:$BF$1,0)),
 IFERROR(
  IF(_xlpm._一般+_xlpm._法人=0,"",_xlpm._一般+_xlpm._法人
  ),
 "")
)</f>
        <v/>
      </c>
      <c r="BE149" s="224" t="str">
        <f>_xlfn.LET(
  _xlpm._一般,INDEX('在庫使用計画 (一般)'!$A$1:$BF$316,MATCH($C149,'在庫使用計画 (一般)'!$C$1:$C$316,0),MATCH(BE$1,'在庫使用計画 (一般)'!$A$1:$BF$1,0)),
  _xlpm._法人,INDEX('在庫使用計画 (法人)'!$A$1:$BF$327,MATCH($C149,'在庫使用計画 (法人)'!$C$1:$C$327,0),MATCH(BE$1,'在庫使用計画 (法人)'!$A$1:$BF$1,0)),
 IFERROR(
  IF(_xlpm._一般+_xlpm._法人=0,"",_xlpm._一般+_xlpm._法人
  ),
 "")
)</f>
        <v/>
      </c>
      <c r="BF149" s="224" t="str">
        <f>_xlfn.LET(
  _xlpm._一般,INDEX('在庫使用計画 (一般)'!$A$1:$BF$316,MATCH($C149,'在庫使用計画 (一般)'!$C$1:$C$316,0),MATCH(BF$1,'在庫使用計画 (一般)'!$A$1:$BF$1,0)),
  _xlpm._法人,INDEX('在庫使用計画 (法人)'!$A$1:$BF$327,MATCH($C149,'在庫使用計画 (法人)'!$C$1:$C$327,0),MATCH(BF$1,'在庫使用計画 (法人)'!$A$1:$BF$1,0)),
 IFERROR(
  IF(_xlpm._一般+_xlpm._法人=0,"",_xlpm._一般+_xlpm._法人
  ),
 "")
)</f>
        <v/>
      </c>
      <c r="BG149" s="237" t="str">
        <f>_xlfn.LET(
  _xlpm._一般,INDEX('在庫使用計画 (一般)'!$A$1:$BF$316,MATCH($C149,'在庫使用計画 (一般)'!$C$1:$C$316,0),MATCH(BG$1,'在庫使用計画 (一般)'!$A$1:$BF$1,0)),
  _xlpm._法人,INDEX('在庫使用計画 (法人)'!$A$1:$BF$327,MATCH($C149,'在庫使用計画 (法人)'!$C$1:$C$327,0),MATCH(BG$1,'在庫使用計画 (法人)'!$A$1:$BF$1,0)),
 IFERROR(
  IF(_xlpm._一般+_xlpm._法人=0,"",_xlpm._一般+_xlpm._法人
  ),
 "")
)</f>
        <v/>
      </c>
      <c r="BH149" s="804" t="str">
        <f>_xlfn.LET(
  _xlpm._一般,INDEX('在庫使用計画 (一般)'!$A$1:$BF$316,MATCH($C149,'在庫使用計画 (一般)'!$C$1:$C$316,0),MATCH(BH$1,'在庫使用計画 (一般)'!$A$1:$BF$1,0)),
  _xlpm._法人,INDEX('在庫使用計画 (法人)'!$A$1:$BF$327,MATCH($C149,'在庫使用計画 (法人)'!$C$1:$C$327,0),MATCH(BH$1,'在庫使用計画 (法人)'!$A$1:$BF$1,0)),
 IFERROR(
  IF(_xlpm._一般+_xlpm._法人=0,"",_xlpm._一般+_xlpm._法人
  ),
 "")
)</f>
        <v/>
      </c>
      <c r="BI149" s="224" t="str">
        <f>_xlfn.LET(
  _xlpm._一般,INDEX('在庫使用計画 (一般)'!$A$1:$BF$316,MATCH($C149,'在庫使用計画 (一般)'!$C$1:$C$316,0),MATCH(BI$1,'在庫使用計画 (一般)'!$A$1:$BF$1,0)),
  _xlpm._法人,INDEX('在庫使用計画 (法人)'!$A$1:$BF$327,MATCH($C149,'在庫使用計画 (法人)'!$C$1:$C$327,0),MATCH(BI$1,'在庫使用計画 (法人)'!$A$1:$BF$1,0)),
 IFERROR(
  IF(_xlpm._一般+_xlpm._法人=0,"",_xlpm._一般+_xlpm._法人
  ),
 "")
)</f>
        <v/>
      </c>
      <c r="BJ149" s="224" t="str">
        <f>_xlfn.LET(
  _xlpm._一般,INDEX('在庫使用計画 (一般)'!$A$1:$BF$316,MATCH($C149,'在庫使用計画 (一般)'!$C$1:$C$316,0),MATCH(BJ$1,'在庫使用計画 (一般)'!$A$1:$BF$1,0)),
  _xlpm._法人,INDEX('在庫使用計画 (法人)'!$A$1:$BF$327,MATCH($C149,'在庫使用計画 (法人)'!$C$1:$C$327,0),MATCH(BJ$1,'在庫使用計画 (法人)'!$A$1:$BF$1,0)),
 IFERROR(
  IF(_xlpm._一般+_xlpm._法人=0,"",_xlpm._一般+_xlpm._法人
  ),
 "")
)</f>
        <v/>
      </c>
      <c r="BK149" s="224" t="str">
        <f>_xlfn.LET(
  _xlpm._一般,INDEX('在庫使用計画 (一般)'!$A$1:$BF$316,MATCH($C149,'在庫使用計画 (一般)'!$C$1:$C$316,0),MATCH(BK$1,'在庫使用計画 (一般)'!$A$1:$BF$1,0)),
  _xlpm._法人,INDEX('在庫使用計画 (法人)'!$A$1:$BF$327,MATCH($C149,'在庫使用計画 (法人)'!$C$1:$C$327,0),MATCH(BK$1,'在庫使用計画 (法人)'!$A$1:$BF$1,0)),
 IFERROR(
  IF(_xlpm._一般+_xlpm._法人=0,"",_xlpm._一般+_xlpm._法人
  ),
 "")
)</f>
        <v/>
      </c>
      <c r="BL149" s="224" t="str">
        <f>_xlfn.LET(
  _xlpm._一般,INDEX('在庫使用計画 (一般)'!$A$1:$BF$316,MATCH($C149,'在庫使用計画 (一般)'!$C$1:$C$316,0),MATCH(BL$1,'在庫使用計画 (一般)'!$A$1:$BF$1,0)),
  _xlpm._法人,INDEX('在庫使用計画 (法人)'!$A$1:$BF$327,MATCH($C149,'在庫使用計画 (法人)'!$C$1:$C$327,0),MATCH(BL$1,'在庫使用計画 (法人)'!$A$1:$BF$1,0)),
 IFERROR(
  IF(_xlpm._一般+_xlpm._法人=0,"",_xlpm._一般+_xlpm._法人
  ),
 "")
)</f>
        <v/>
      </c>
      <c r="BM149" s="224" t="str">
        <f>_xlfn.LET(
  _xlpm._一般,INDEX('在庫使用計画 (一般)'!$A$1:$BF$316,MATCH($C149,'在庫使用計画 (一般)'!$C$1:$C$316,0),MATCH(BM$1,'在庫使用計画 (一般)'!$A$1:$BF$1,0)),
  _xlpm._法人,INDEX('在庫使用計画 (法人)'!$A$1:$BF$327,MATCH($C149,'在庫使用計画 (法人)'!$C$1:$C$327,0),MATCH(BM$1,'在庫使用計画 (法人)'!$A$1:$BF$1,0)),
 IFERROR(
  IF(_xlpm._一般+_xlpm._法人=0,"",_xlpm._一般+_xlpm._法人
  ),
 "")
)</f>
        <v/>
      </c>
      <c r="BN149" s="224" t="str">
        <f>_xlfn.LET(
  _xlpm._一般,INDEX('在庫使用計画 (一般)'!$A$1:$BF$316,MATCH($C149,'在庫使用計画 (一般)'!$C$1:$C$316,0),MATCH(BN$1,'在庫使用計画 (一般)'!$A$1:$BF$1,0)),
  _xlpm._法人,INDEX('在庫使用計画 (法人)'!$A$1:$BF$327,MATCH($C149,'在庫使用計画 (法人)'!$C$1:$C$327,0),MATCH(BN$1,'在庫使用計画 (法人)'!$A$1:$BF$1,0)),
 IFERROR(
  IF(_xlpm._一般+_xlpm._法人=0,"",_xlpm._一般+_xlpm._法人
  ),
 "")
)</f>
        <v/>
      </c>
      <c r="BO149" s="224" t="str">
        <f>_xlfn.LET(
  _xlpm._一般,INDEX('在庫使用計画 (一般)'!$A$1:$BF$316,MATCH($C149,'在庫使用計画 (一般)'!$C$1:$C$316,0),MATCH(BO$1,'在庫使用計画 (一般)'!$A$1:$BF$1,0)),
  _xlpm._法人,INDEX('在庫使用計画 (法人)'!$A$1:$BF$327,MATCH($C149,'在庫使用計画 (法人)'!$C$1:$C$327,0),MATCH(BO$1,'在庫使用計画 (法人)'!$A$1:$BF$1,0)),
 IFERROR(
  IF(_xlpm._一般+_xlpm._法人=0,"",_xlpm._一般+_xlpm._法人
  ),
 "")
)</f>
        <v/>
      </c>
      <c r="BP149" s="224" t="str">
        <f>_xlfn.LET(
  _xlpm._一般,INDEX('在庫使用計画 (一般)'!$A$1:$BF$316,MATCH($C149,'在庫使用計画 (一般)'!$C$1:$C$316,0),MATCH(BP$1,'在庫使用計画 (一般)'!$A$1:$BF$1,0)),
  _xlpm._法人,INDEX('在庫使用計画 (法人)'!$A$1:$BF$327,MATCH($C149,'在庫使用計画 (法人)'!$C$1:$C$327,0),MATCH(BP$1,'在庫使用計画 (法人)'!$A$1:$BF$1,0)),
 IFERROR(
  IF(_xlpm._一般+_xlpm._法人=0,"",_xlpm._一般+_xlpm._法人
  ),
 "")
)</f>
        <v/>
      </c>
      <c r="BQ149" s="224" t="str">
        <f>_xlfn.LET(
  _xlpm._一般,INDEX('在庫使用計画 (一般)'!$A$1:$BF$316,MATCH($C149,'在庫使用計画 (一般)'!$C$1:$C$316,0),MATCH(BQ$1,'在庫使用計画 (一般)'!$A$1:$BF$1,0)),
  _xlpm._法人,INDEX('在庫使用計画 (法人)'!$A$1:$BF$327,MATCH($C149,'在庫使用計画 (法人)'!$C$1:$C$327,0),MATCH(BQ$1,'在庫使用計画 (法人)'!$A$1:$BF$1,0)),
 IFERROR(
  IF(_xlpm._一般+_xlpm._法人=0,"",_xlpm._一般+_xlpm._法人
  ),
 "")
)</f>
        <v/>
      </c>
      <c r="BR149" s="224" t="str">
        <f>_xlfn.LET(
  _xlpm._一般,INDEX('在庫使用計画 (一般)'!$A$1:$BF$316,MATCH($C149,'在庫使用計画 (一般)'!$C$1:$C$316,0),MATCH(BR$1,'在庫使用計画 (一般)'!$A$1:$BF$1,0)),
  _xlpm._法人,INDEX('在庫使用計画 (法人)'!$A$1:$BF$327,MATCH($C149,'在庫使用計画 (法人)'!$C$1:$C$327,0),MATCH(BR$1,'在庫使用計画 (法人)'!$A$1:$BF$1,0)),
 IFERROR(
  IF(_xlpm._一般+_xlpm._法人=0,"",_xlpm._一般+_xlpm._法人
  ),
 "")
)</f>
        <v/>
      </c>
      <c r="BS149" s="805" t="str">
        <f>_xlfn.LET(
  _xlpm._一般,INDEX('在庫使用計画 (一般)'!$A$1:$BF$316,MATCH($C149,'在庫使用計画 (一般)'!$C$1:$C$316,0),MATCH(BS$1,'在庫使用計画 (一般)'!$A$1:$BF$1,0)),
  _xlpm._法人,INDEX('在庫使用計画 (法人)'!$A$1:$BF$327,MATCH($C149,'在庫使用計画 (法人)'!$C$1:$C$327,0),MATCH(BS$1,'在庫使用計画 (法人)'!$A$1:$BF$1,0)),
 IFERROR(
  IF(_xlpm._一般+_xlpm._法人=0,"",_xlpm._一般+_xlpm._法人
  ),
 "")
)</f>
        <v/>
      </c>
      <c r="BT149" s="70"/>
    </row>
    <row r="150" spans="1:72" customFormat="1">
      <c r="A150" s="1080"/>
      <c r="B150" s="87" t="s">
        <v>1671</v>
      </c>
      <c r="C150" s="62" t="s">
        <v>1672</v>
      </c>
      <c r="D150" s="2179">
        <v>4060</v>
      </c>
      <c r="E150" s="87" t="s">
        <v>1670</v>
      </c>
      <c r="F150" s="86" t="s">
        <v>1347</v>
      </c>
      <c r="G150" s="74">
        <f>SUMIFS(在庫確認!C:C,在庫確認!B:B,'在庫使用計画 (ノート全体試算)'!C:C)</f>
        <v>180</v>
      </c>
      <c r="H150" s="74"/>
      <c r="I150" s="74"/>
      <c r="J150" s="38"/>
      <c r="K150" s="38"/>
      <c r="L150" s="74" t="s">
        <v>21</v>
      </c>
      <c r="M150" s="74" t="s">
        <v>21</v>
      </c>
      <c r="N150" s="74" t="s">
        <v>21</v>
      </c>
      <c r="O150" s="74" t="s">
        <v>21</v>
      </c>
      <c r="P150" s="74" t="s">
        <v>21</v>
      </c>
      <c r="Q150" s="74">
        <v>43.960924328701097</v>
      </c>
      <c r="R150" s="74">
        <v>91.242480181835887</v>
      </c>
      <c r="S150" s="74">
        <v>78.390089129192916</v>
      </c>
      <c r="T150" s="224">
        <v>69.400719701000213</v>
      </c>
      <c r="U150" s="224">
        <v>76</v>
      </c>
      <c r="V150" s="224" t="s">
        <v>21</v>
      </c>
      <c r="W150" s="224" t="s">
        <v>21</v>
      </c>
      <c r="X150" s="224" t="s">
        <v>21</v>
      </c>
      <c r="Y150" s="224" t="s">
        <v>21</v>
      </c>
      <c r="Z150" s="224" t="s">
        <v>21</v>
      </c>
      <c r="AA150" s="237" t="s">
        <v>21</v>
      </c>
      <c r="AB150" s="224" t="s">
        <v>21</v>
      </c>
      <c r="AC150" s="224" t="s">
        <v>21</v>
      </c>
      <c r="AD150" s="224" t="s">
        <v>21</v>
      </c>
      <c r="AE150" s="224" t="s">
        <v>21</v>
      </c>
      <c r="AF150" s="224" t="s">
        <v>21</v>
      </c>
      <c r="AG150" s="224" t="s">
        <v>21</v>
      </c>
      <c r="AH150" s="224" t="s">
        <v>21</v>
      </c>
      <c r="AI150" s="224" t="s">
        <v>21</v>
      </c>
      <c r="AJ150" s="224" t="s">
        <v>21</v>
      </c>
      <c r="AK150" s="224" t="s">
        <v>21</v>
      </c>
      <c r="AL150" s="80"/>
      <c r="AM150" s="80"/>
      <c r="AN150" s="77"/>
      <c r="AO150" s="77"/>
      <c r="AP150" s="77"/>
      <c r="AQ150" s="77"/>
      <c r="AR150" s="77"/>
      <c r="AS150" s="77"/>
      <c r="AT150" s="77"/>
      <c r="AU150" s="77"/>
      <c r="AV150" s="77"/>
      <c r="AW150" s="77"/>
      <c r="AX150" s="77"/>
      <c r="AY150" s="77"/>
      <c r="AZ150" s="77"/>
      <c r="BA150" s="77"/>
      <c r="BB150" s="77"/>
      <c r="BC150" s="77"/>
      <c r="BD150" s="77"/>
      <c r="BE150" s="77"/>
      <c r="BF150" s="77"/>
      <c r="BG150" s="77"/>
      <c r="BH150" s="77"/>
      <c r="BI150" s="77"/>
      <c r="BJ150" s="77"/>
      <c r="BK150" s="77"/>
      <c r="BL150" s="77"/>
      <c r="BM150" s="77"/>
      <c r="BN150" s="77"/>
      <c r="BO150" s="77"/>
      <c r="BP150" s="77"/>
      <c r="BQ150" s="77"/>
      <c r="BR150" s="77"/>
      <c r="BS150" s="77"/>
      <c r="BT150" s="77"/>
    </row>
    <row r="151" spans="1:72" customFormat="1">
      <c r="A151" s="1059"/>
      <c r="B151" s="26" t="s">
        <v>41</v>
      </c>
      <c r="C151" s="26" t="s">
        <v>1673</v>
      </c>
      <c r="D151" s="2153">
        <v>4050</v>
      </c>
      <c r="E151" s="26" t="s">
        <v>1674</v>
      </c>
      <c r="F151" s="26"/>
      <c r="G151" s="43">
        <f>SUMIFS(在庫確認!C:C,在庫確認!B:B,'在庫使用計画 (ノート全体試算)'!C:C)</f>
        <v>0</v>
      </c>
      <c r="H151" s="43"/>
      <c r="I151" s="43"/>
      <c r="J151" s="38"/>
      <c r="K151" s="38"/>
      <c r="L151" s="38" t="s">
        <v>21</v>
      </c>
      <c r="M151" s="38" t="s">
        <v>21</v>
      </c>
      <c r="N151" s="38" t="s">
        <v>21</v>
      </c>
      <c r="O151" s="38" t="s">
        <v>21</v>
      </c>
      <c r="P151" s="38" t="s">
        <v>21</v>
      </c>
      <c r="Q151" s="38" t="s">
        <v>21</v>
      </c>
      <c r="R151" s="38" t="s">
        <v>21</v>
      </c>
      <c r="S151" s="38" t="s">
        <v>21</v>
      </c>
      <c r="T151" s="219" t="s">
        <v>21</v>
      </c>
      <c r="U151" s="219" t="s">
        <v>21</v>
      </c>
      <c r="V151" s="219" t="s">
        <v>21</v>
      </c>
      <c r="W151" s="219" t="s">
        <v>21</v>
      </c>
      <c r="X151" s="224" t="s">
        <v>21</v>
      </c>
      <c r="Y151" s="224" t="s">
        <v>21</v>
      </c>
      <c r="Z151" s="224" t="s">
        <v>21</v>
      </c>
      <c r="AA151" s="237" t="s">
        <v>21</v>
      </c>
      <c r="AB151" s="224" t="s">
        <v>21</v>
      </c>
      <c r="AC151" s="238"/>
      <c r="AD151" s="238"/>
      <c r="AE151" s="238"/>
      <c r="AF151" s="238"/>
      <c r="AG151" s="238"/>
      <c r="AH151" s="238"/>
      <c r="AI151" s="238"/>
      <c r="AJ151" s="238"/>
      <c r="AK151" s="238"/>
      <c r="AL151" s="23"/>
      <c r="AM151" s="23"/>
      <c r="AN151" s="21"/>
      <c r="AO151" s="21"/>
      <c r="AP151" s="21"/>
      <c r="AQ151" s="21"/>
      <c r="AR151" s="21"/>
      <c r="AS151" s="21"/>
      <c r="AT151" s="21"/>
      <c r="AU151" s="21"/>
      <c r="AV151" s="21"/>
      <c r="AW151" s="21"/>
      <c r="AX151" s="21"/>
      <c r="AY151" s="21"/>
      <c r="AZ151" s="21"/>
      <c r="BA151" s="21"/>
      <c r="BB151" s="21"/>
      <c r="BC151" s="21"/>
      <c r="BD151" s="21"/>
      <c r="BE151" s="21"/>
      <c r="BF151" s="21"/>
      <c r="BG151" s="21"/>
      <c r="BH151" s="21"/>
      <c r="BI151" s="21"/>
      <c r="BJ151" s="21"/>
      <c r="BK151" s="21"/>
      <c r="BL151" s="21"/>
      <c r="BM151" s="21"/>
      <c r="BN151" s="21"/>
      <c r="BO151" s="21"/>
      <c r="BP151" s="21"/>
      <c r="BQ151" s="21"/>
      <c r="BR151" s="21"/>
      <c r="BS151" s="21"/>
      <c r="BT151" s="21"/>
    </row>
    <row r="152" spans="1:72" customFormat="1">
      <c r="A152" s="1059"/>
      <c r="B152" s="26" t="s">
        <v>36</v>
      </c>
      <c r="C152" s="26" t="s">
        <v>1675</v>
      </c>
      <c r="D152" s="2153">
        <v>4060</v>
      </c>
      <c r="E152" s="26" t="s">
        <v>1674</v>
      </c>
      <c r="F152" s="26" t="s">
        <v>1347</v>
      </c>
      <c r="G152" s="43">
        <f>SUMIFS(在庫確認!C:C,在庫確認!B:B,'在庫使用計画 (ノート全体試算)'!C:C)</f>
        <v>178</v>
      </c>
      <c r="H152" s="43"/>
      <c r="I152" s="43"/>
      <c r="J152" s="38"/>
      <c r="K152" s="38"/>
      <c r="L152" s="38">
        <v>95</v>
      </c>
      <c r="M152" s="38">
        <v>85</v>
      </c>
      <c r="N152" s="38">
        <v>130</v>
      </c>
      <c r="O152" s="38">
        <v>108</v>
      </c>
      <c r="P152" s="38">
        <v>128</v>
      </c>
      <c r="Q152" s="38">
        <v>123</v>
      </c>
      <c r="R152" s="38">
        <v>153</v>
      </c>
      <c r="S152" s="38">
        <v>153</v>
      </c>
      <c r="T152" s="219">
        <v>133</v>
      </c>
      <c r="U152" s="219" t="s">
        <v>21</v>
      </c>
      <c r="V152" s="219" t="s">
        <v>21</v>
      </c>
      <c r="W152" s="219" t="s">
        <v>21</v>
      </c>
      <c r="X152" s="224" t="s">
        <v>21</v>
      </c>
      <c r="Y152" s="224" t="s">
        <v>21</v>
      </c>
      <c r="Z152" s="224" t="s">
        <v>21</v>
      </c>
      <c r="AA152" s="237" t="s">
        <v>21</v>
      </c>
      <c r="AB152" s="224" t="s">
        <v>21</v>
      </c>
      <c r="AC152" s="238"/>
      <c r="AD152" s="238"/>
      <c r="AE152" s="238"/>
      <c r="AF152" s="238"/>
      <c r="AG152" s="238"/>
      <c r="AH152" s="238"/>
      <c r="AI152" s="238"/>
      <c r="AJ152" s="238"/>
      <c r="AK152" s="238"/>
      <c r="AL152" s="23"/>
      <c r="AM152" s="23"/>
      <c r="AN152" s="21"/>
      <c r="AO152" s="21"/>
      <c r="AP152" s="21"/>
      <c r="AQ152" s="21"/>
      <c r="AR152" s="21"/>
      <c r="AS152" s="21"/>
      <c r="AT152" s="21"/>
      <c r="AU152" s="21"/>
      <c r="AV152" s="21"/>
      <c r="AW152" s="21"/>
      <c r="AX152" s="21"/>
      <c r="AY152" s="21"/>
      <c r="AZ152" s="21"/>
      <c r="BA152" s="21"/>
      <c r="BB152" s="21"/>
      <c r="BC152" s="21"/>
      <c r="BD152" s="21"/>
      <c r="BE152" s="21"/>
      <c r="BF152" s="21"/>
      <c r="BG152" s="21"/>
      <c r="BH152" s="21"/>
      <c r="BI152" s="21"/>
      <c r="BJ152" s="21"/>
      <c r="BK152" s="21"/>
      <c r="BL152" s="21"/>
      <c r="BM152" s="21"/>
      <c r="BN152" s="21"/>
      <c r="BO152" s="21"/>
      <c r="BP152" s="21"/>
      <c r="BQ152" s="21"/>
      <c r="BR152" s="21"/>
      <c r="BS152" s="21"/>
      <c r="BT152" s="21"/>
    </row>
    <row r="153" spans="1:72" customFormat="1" ht="16.149999999999999" customHeight="1">
      <c r="A153" s="1059" t="s">
        <v>1676</v>
      </c>
      <c r="B153" s="26" t="s">
        <v>17</v>
      </c>
      <c r="C153" s="25" t="s">
        <v>18</v>
      </c>
      <c r="D153" s="2154">
        <v>4090</v>
      </c>
      <c r="E153" s="26" t="s">
        <v>1677</v>
      </c>
      <c r="F153" s="24" t="s">
        <v>1347</v>
      </c>
      <c r="G153" s="38">
        <f>SUMIFS(在庫確認!C:C,在庫確認!B:B,'在庫使用計画 (ノート全体試算)'!C:C)</f>
        <v>0</v>
      </c>
      <c r="H153" s="38"/>
      <c r="I153" s="38"/>
      <c r="J153" s="38"/>
      <c r="K153" s="38"/>
      <c r="L153" s="38" t="s">
        <v>21</v>
      </c>
      <c r="M153" s="38" t="s">
        <v>21</v>
      </c>
      <c r="N153" s="38" t="s">
        <v>21</v>
      </c>
      <c r="O153" s="38" t="s">
        <v>21</v>
      </c>
      <c r="P153" s="38" t="s">
        <v>21</v>
      </c>
      <c r="Q153" s="38" t="s">
        <v>21</v>
      </c>
      <c r="R153" s="38" t="s">
        <v>21</v>
      </c>
      <c r="S153" s="38" t="s">
        <v>21</v>
      </c>
      <c r="T153" s="219" t="s">
        <v>21</v>
      </c>
      <c r="U153" s="219" t="s">
        <v>21</v>
      </c>
      <c r="V153" s="367"/>
      <c r="W153" s="220"/>
      <c r="X153" s="221"/>
      <c r="Y153" s="221"/>
      <c r="Z153" s="221"/>
      <c r="AA153" s="240"/>
      <c r="AB153" s="221"/>
      <c r="AC153" s="238"/>
      <c r="AD153" s="238"/>
      <c r="AE153" s="238"/>
      <c r="AF153" s="238"/>
      <c r="AG153" s="238"/>
      <c r="AH153" s="238"/>
      <c r="AI153" s="238"/>
      <c r="AJ153" s="238"/>
      <c r="AK153" s="238"/>
      <c r="AL153" s="23"/>
      <c r="AM153" s="23"/>
      <c r="AN153" s="21"/>
      <c r="AO153" s="21"/>
      <c r="AP153" s="21"/>
      <c r="AQ153" s="21"/>
      <c r="AR153" s="21"/>
      <c r="AS153" s="21"/>
      <c r="AT153" s="21"/>
      <c r="AU153" s="21"/>
      <c r="AV153" s="21"/>
      <c r="AW153" s="21"/>
      <c r="AX153" s="21"/>
      <c r="AY153" s="21"/>
      <c r="AZ153" s="21"/>
      <c r="BA153" s="21"/>
      <c r="BB153" s="21"/>
      <c r="BC153" s="21"/>
      <c r="BD153" s="21"/>
      <c r="BE153" s="21"/>
      <c r="BF153" s="21"/>
      <c r="BG153" s="21"/>
      <c r="BH153" s="21"/>
      <c r="BI153" s="21"/>
      <c r="BJ153" s="21"/>
      <c r="BK153" s="21"/>
      <c r="BL153" s="21"/>
      <c r="BM153" s="21"/>
      <c r="BN153" s="21"/>
      <c r="BO153" s="21"/>
      <c r="BP153" s="21"/>
      <c r="BQ153" s="21"/>
      <c r="BR153" s="21"/>
      <c r="BS153" s="21"/>
      <c r="BT153" s="21"/>
    </row>
    <row r="154" spans="1:72" customFormat="1">
      <c r="A154" s="1081"/>
      <c r="B154" s="26" t="s">
        <v>1678</v>
      </c>
      <c r="C154" s="25" t="s">
        <v>1679</v>
      </c>
      <c r="D154" s="2154">
        <v>4070</v>
      </c>
      <c r="E154" s="26" t="s">
        <v>1670</v>
      </c>
      <c r="F154" s="24" t="s">
        <v>1347</v>
      </c>
      <c r="G154" s="38">
        <f>SUMIFS(在庫確認!C:C,在庫確認!B:B,'在庫使用計画 (ノート全体試算)'!C:C)</f>
        <v>990</v>
      </c>
      <c r="H154" s="38"/>
      <c r="I154" s="38"/>
      <c r="J154" s="38"/>
      <c r="K154" s="38"/>
      <c r="L154" s="38" t="s">
        <v>21</v>
      </c>
      <c r="M154" s="38" t="s">
        <v>21</v>
      </c>
      <c r="N154" s="38" t="s">
        <v>21</v>
      </c>
      <c r="O154" s="38" t="s">
        <v>21</v>
      </c>
      <c r="P154" s="38" t="s">
        <v>21</v>
      </c>
      <c r="Q154" s="38">
        <v>97</v>
      </c>
      <c r="R154" s="38">
        <v>97.022790204565368</v>
      </c>
      <c r="S154" s="38">
        <v>104</v>
      </c>
      <c r="T154" s="219">
        <v>94</v>
      </c>
      <c r="U154" s="219">
        <v>94</v>
      </c>
      <c r="V154" s="219">
        <v>117.5</v>
      </c>
      <c r="W154" s="219">
        <v>200.80986712251593</v>
      </c>
      <c r="X154" s="224">
        <v>188.49546315027703</v>
      </c>
      <c r="Y154" s="224">
        <v>180</v>
      </c>
      <c r="Z154" s="223">
        <v>90</v>
      </c>
      <c r="AA154" s="434">
        <v>10</v>
      </c>
      <c r="AB154" s="224" t="s">
        <v>21</v>
      </c>
      <c r="AC154" s="224" t="s">
        <v>21</v>
      </c>
      <c r="AD154" s="224" t="s">
        <v>21</v>
      </c>
      <c r="AE154" s="224" t="s">
        <v>21</v>
      </c>
      <c r="AF154" s="224" t="s">
        <v>21</v>
      </c>
      <c r="AG154" s="224" t="s">
        <v>21</v>
      </c>
      <c r="AH154" s="224" t="s">
        <v>21</v>
      </c>
      <c r="AI154" s="224" t="s">
        <v>21</v>
      </c>
      <c r="AJ154" s="224" t="s">
        <v>21</v>
      </c>
      <c r="AK154" s="224" t="s">
        <v>21</v>
      </c>
      <c r="AL154" s="224" t="s">
        <v>21</v>
      </c>
      <c r="AM154" s="224" t="s">
        <v>21</v>
      </c>
      <c r="AN154" s="224" t="str">
        <f>IFERROR(IF(SUM(INDEX('在庫使用計画 (一般)'!$A$1:$BF$557,MATCH($C154,'在庫使用計画 (一般)'!$C$1:$C$557,0),MATCH(AN$1,'在庫使用計画 (一般)'!$A$1:$BF$1,0)),INDEX('在庫使用計画 (法人)'!$A$1:$AT$578,MATCH($C154,'在庫使用計画 (法人)'!$C$1:$C$578,0),MATCH(AN$1,'在庫使用計画 (法人)'!$A$1:$AT$1,0)))=0,"",SUM(INDEX('在庫使用計画 (一般)'!$A$1:$BF$557,MATCH($C154,'在庫使用計画 (一般)'!$C$1:$C$557,0),MATCH(AN$1,'在庫使用計画 (一般)'!$A$1:$BF$1,0)),INDEX('在庫使用計画 (法人)'!$A$1:$AT$578,MATCH($C154,'在庫使用計画 (法人)'!$C$1:$C$578,0),MATCH(AN$1,'在庫使用計画 (法人)'!$A$1:$AT$1,0)))),"")</f>
        <v/>
      </c>
      <c r="AO154" s="224" t="str">
        <f>IFERROR(IF(SUM(INDEX('在庫使用計画 (一般)'!$A$1:$BF$557,MATCH($C154,'在庫使用計画 (一般)'!$C$1:$C$557,0),MATCH(AO$1,'在庫使用計画 (一般)'!$A$1:$BF$1,0)),INDEX('在庫使用計画 (法人)'!$A$1:$AT$578,MATCH($C154,'在庫使用計画 (法人)'!$C$1:$C$578,0),MATCH(AO$1,'在庫使用計画 (法人)'!$A$1:$AT$1,0)))=0,"",SUM(INDEX('在庫使用計画 (一般)'!$A$1:$BF$557,MATCH($C154,'在庫使用計画 (一般)'!$C$1:$C$557,0),MATCH(AO$1,'在庫使用計画 (一般)'!$A$1:$BF$1,0)),INDEX('在庫使用計画 (法人)'!$A$1:$AT$578,MATCH($C154,'在庫使用計画 (法人)'!$C$1:$C$578,0),MATCH(AO$1,'在庫使用計画 (法人)'!$A$1:$AT$1,0)))),"")</f>
        <v/>
      </c>
      <c r="AP154" s="224" t="str">
        <f>IFERROR(IF(SUM(INDEX('在庫使用計画 (一般)'!$A$1:$BF$557,MATCH($C154,'在庫使用計画 (一般)'!$C$1:$C$557,0),MATCH(AP$1,'在庫使用計画 (一般)'!$A$1:$BF$1,0)),INDEX('在庫使用計画 (法人)'!$A$1:$AT$578,MATCH($C154,'在庫使用計画 (法人)'!$C$1:$C$578,0),MATCH(AP$1,'在庫使用計画 (法人)'!$A$1:$AT$1,0)))=0,"",SUM(INDEX('在庫使用計画 (一般)'!$A$1:$BF$557,MATCH($C154,'在庫使用計画 (一般)'!$C$1:$C$557,0),MATCH(AP$1,'在庫使用計画 (一般)'!$A$1:$BF$1,0)),INDEX('在庫使用計画 (法人)'!$A$1:$AT$578,MATCH($C154,'在庫使用計画 (法人)'!$C$1:$C$578,0),MATCH(AP$1,'在庫使用計画 (法人)'!$A$1:$AT$1,0)))),"")</f>
        <v/>
      </c>
      <c r="AQ154" s="224" t="str">
        <f>IFERROR(IF(SUM(INDEX('在庫使用計画 (一般)'!$A$1:$BF$557,MATCH($C154,'在庫使用計画 (一般)'!$C$1:$C$557,0),MATCH(AQ$1,'在庫使用計画 (一般)'!$A$1:$BF$1,0)),INDEX('在庫使用計画 (法人)'!$A$1:$AT$578,MATCH($C154,'在庫使用計画 (法人)'!$C$1:$C$578,0),MATCH(AQ$1,'在庫使用計画 (法人)'!$A$1:$AT$1,0)))=0,"",SUM(INDEX('在庫使用計画 (一般)'!$A$1:$BF$557,MATCH($C154,'在庫使用計画 (一般)'!$C$1:$C$557,0),MATCH(AQ$1,'在庫使用計画 (一般)'!$A$1:$BF$1,0)),INDEX('在庫使用計画 (法人)'!$A$1:$AT$578,MATCH($C154,'在庫使用計画 (法人)'!$C$1:$C$578,0),MATCH(AQ$1,'在庫使用計画 (法人)'!$A$1:$AT$1,0)))),"")</f>
        <v/>
      </c>
      <c r="AR154" s="224" t="str">
        <f>IFERROR(IF(SUM(INDEX('在庫使用計画 (一般)'!$A$1:$BF$557,MATCH($C154,'在庫使用計画 (一般)'!$C$1:$C$557,0),MATCH(AR$1,'在庫使用計画 (一般)'!$A$1:$BF$1,0)),INDEX('在庫使用計画 (法人)'!$A$1:$AT$578,MATCH($C154,'在庫使用計画 (法人)'!$C$1:$C$578,0),MATCH(AR$1,'在庫使用計画 (法人)'!$A$1:$AT$1,0)))=0,"",SUM(INDEX('在庫使用計画 (一般)'!$A$1:$BF$557,MATCH($C154,'在庫使用計画 (一般)'!$C$1:$C$557,0),MATCH(AR$1,'在庫使用計画 (一般)'!$A$1:$BF$1,0)),INDEX('在庫使用計画 (法人)'!$A$1:$AT$578,MATCH($C154,'在庫使用計画 (法人)'!$C$1:$C$578,0),MATCH(AR$1,'在庫使用計画 (法人)'!$A$1:$AT$1,0)))),"")</f>
        <v/>
      </c>
      <c r="AS154" s="224" t="str">
        <f>IFERROR(IF(SUM(INDEX('在庫使用計画 (一般)'!$A$1:$BF$557,MATCH($C154,'在庫使用計画 (一般)'!$C$1:$C$557,0),MATCH(AS$1,'在庫使用計画 (一般)'!$A$1:$BF$1,0)),INDEX('在庫使用計画 (法人)'!$A$1:$AT$578,MATCH($C154,'在庫使用計画 (法人)'!$C$1:$C$578,0),MATCH(AS$1,'在庫使用計画 (法人)'!$A$1:$AT$1,0)))=0,"",SUM(INDEX('在庫使用計画 (一般)'!$A$1:$BF$557,MATCH($C154,'在庫使用計画 (一般)'!$C$1:$C$557,0),MATCH(AS$1,'在庫使用計画 (一般)'!$A$1:$BF$1,0)),INDEX('在庫使用計画 (法人)'!$A$1:$AT$578,MATCH($C154,'在庫使用計画 (法人)'!$C$1:$C$578,0),MATCH(AS$1,'在庫使用計画 (法人)'!$A$1:$AT$1,0)))),"")</f>
        <v/>
      </c>
      <c r="AT154" s="224" t="str">
        <f>IFERROR(IF(SUM(INDEX('在庫使用計画 (一般)'!$A$1:$BF$557,MATCH($C154,'在庫使用計画 (一般)'!$C$1:$C$557,0),MATCH(AT$1,'在庫使用計画 (一般)'!$A$1:$BF$1,0)),INDEX('在庫使用計画 (法人)'!$A$1:$AT$578,MATCH($C154,'在庫使用計画 (法人)'!$C$1:$C$578,0),MATCH(AT$1,'在庫使用計画 (法人)'!$A$1:$AT$1,0)))=0,"",SUM(INDEX('在庫使用計画 (一般)'!$A$1:$BF$557,MATCH($C154,'在庫使用計画 (一般)'!$C$1:$C$557,0),MATCH(AT$1,'在庫使用計画 (一般)'!$A$1:$BF$1,0)),INDEX('在庫使用計画 (法人)'!$A$1:$AT$578,MATCH($C154,'在庫使用計画 (法人)'!$C$1:$C$578,0),MATCH(AT$1,'在庫使用計画 (法人)'!$A$1:$AT$1,0)))),"")</f>
        <v/>
      </c>
      <c r="AU154" s="224" t="str">
        <f>IFERROR(IF(SUM(INDEX('在庫使用計画 (一般)'!$A$1:$BF$557,MATCH($C154,'在庫使用計画 (一般)'!$C$1:$C$557,0),MATCH(AU$1,'在庫使用計画 (一般)'!$A$1:$BF$1,0)),INDEX('在庫使用計画 (法人)'!$A$1:$AT$578,MATCH($C154,'在庫使用計画 (法人)'!$C$1:$C$578,0),MATCH(AU$1,'在庫使用計画 (法人)'!$A$1:$AT$1,0)))=0,"",SUM(INDEX('在庫使用計画 (一般)'!$A$1:$BF$557,MATCH($C154,'在庫使用計画 (一般)'!$C$1:$C$557,0),MATCH(AU$1,'在庫使用計画 (一般)'!$A$1:$BF$1,0)),INDEX('在庫使用計画 (法人)'!$A$1:$AT$578,MATCH($C154,'在庫使用計画 (法人)'!$C$1:$C$578,0),MATCH(AU$1,'在庫使用計画 (法人)'!$A$1:$AT$1,0)))),"")</f>
        <v/>
      </c>
      <c r="AV154" s="21"/>
      <c r="AW154" s="21"/>
      <c r="AX154" s="21"/>
      <c r="AY154" s="21"/>
      <c r="AZ154" s="21"/>
      <c r="BA154" s="21"/>
      <c r="BB154" s="21"/>
      <c r="BC154" s="21"/>
      <c r="BD154" s="21"/>
      <c r="BE154" s="21"/>
      <c r="BF154" s="21"/>
      <c r="BG154" s="21"/>
      <c r="BH154" s="21"/>
      <c r="BI154" s="21"/>
      <c r="BJ154" s="21"/>
      <c r="BK154" s="21"/>
      <c r="BL154" s="21"/>
      <c r="BM154" s="21"/>
      <c r="BN154" s="21"/>
      <c r="BO154" s="21"/>
      <c r="BP154" s="21"/>
      <c r="BQ154" s="21"/>
      <c r="BR154" s="21"/>
      <c r="BS154" s="21"/>
      <c r="BT154" s="21"/>
    </row>
    <row r="155" spans="1:72" customFormat="1">
      <c r="A155" s="1061"/>
      <c r="B155" s="26" t="s">
        <v>1680</v>
      </c>
      <c r="C155" s="25" t="s">
        <v>1681</v>
      </c>
      <c r="D155" s="2156">
        <v>4060</v>
      </c>
      <c r="E155" s="68" t="s">
        <v>1375</v>
      </c>
      <c r="F155" s="68" t="s">
        <v>1347</v>
      </c>
      <c r="G155" s="38">
        <f>SUMIFS(在庫確認!C:C,在庫確認!B:B,'在庫使用計画 (ノート全体試算)'!C:C)</f>
        <v>2000</v>
      </c>
      <c r="H155" s="38"/>
      <c r="I155" s="38"/>
      <c r="J155" s="38" t="str">
        <f>IF(IFERROR(AD155*(5/31),0)+SUM(AE155:AG155)=0,"",IFERROR(AD155*(5/31),0)+SUM(AE155:AG155))</f>
        <v/>
      </c>
      <c r="K155" s="38"/>
      <c r="L155" s="38"/>
      <c r="M155" s="38"/>
      <c r="N155" s="38"/>
      <c r="O155" s="38"/>
      <c r="P155" s="38" t="s">
        <v>21</v>
      </c>
      <c r="Q155" s="38" t="s">
        <v>21</v>
      </c>
      <c r="R155" s="38" t="s">
        <v>21</v>
      </c>
      <c r="S155" s="38">
        <v>231.17485015593479</v>
      </c>
      <c r="T155" s="219">
        <v>210.844686627474</v>
      </c>
      <c r="U155" s="219">
        <v>164.67742392830763</v>
      </c>
      <c r="V155" s="219">
        <v>204.60515716453745</v>
      </c>
      <c r="W155" s="219">
        <v>305.79953415468333</v>
      </c>
      <c r="X155" s="224">
        <v>240.17472850823629</v>
      </c>
      <c r="Y155" s="224">
        <v>134</v>
      </c>
      <c r="Z155" s="224">
        <v>505</v>
      </c>
      <c r="AA155" s="436">
        <v>45</v>
      </c>
      <c r="AB155" s="237" t="s">
        <v>21</v>
      </c>
      <c r="AC155" s="224" t="s">
        <v>21</v>
      </c>
      <c r="AD155" s="224" t="s">
        <v>21</v>
      </c>
      <c r="AE155" s="224" t="s">
        <v>1827</v>
      </c>
      <c r="AF155" s="224" t="s">
        <v>21</v>
      </c>
      <c r="AG155" s="224" t="s">
        <v>21</v>
      </c>
      <c r="AH155" s="224" t="s">
        <v>21</v>
      </c>
      <c r="AI155" s="224" t="s">
        <v>21</v>
      </c>
      <c r="AJ155" s="224" t="s">
        <v>21</v>
      </c>
      <c r="AK155" s="224" t="s">
        <v>21</v>
      </c>
      <c r="AL155" s="224" t="s">
        <v>21</v>
      </c>
      <c r="AM155" s="224" t="s">
        <v>21</v>
      </c>
      <c r="AN155" s="224" t="str">
        <f>IFERROR(IF(SUM(INDEX('在庫使用計画 (一般)'!$A$1:$BF$557,MATCH($C155,'在庫使用計画 (一般)'!$C$1:$C$557,0),MATCH(AN$1,'在庫使用計画 (一般)'!$A$1:$BF$1,0)),INDEX('在庫使用計画 (法人)'!$A$1:$AT$578,MATCH($C155,'在庫使用計画 (法人)'!$C$1:$C$578,0),MATCH(AN$1,'在庫使用計画 (法人)'!$A$1:$AT$1,0)))=0,"",SUM(INDEX('在庫使用計画 (一般)'!$A$1:$BF$557,MATCH($C155,'在庫使用計画 (一般)'!$C$1:$C$557,0),MATCH(AN$1,'在庫使用計画 (一般)'!$A$1:$BF$1,0)),INDEX('在庫使用計画 (法人)'!$A$1:$AT$578,MATCH($C155,'在庫使用計画 (法人)'!$C$1:$C$578,0),MATCH(AN$1,'在庫使用計画 (法人)'!$A$1:$AT$1,0)))),"")</f>
        <v/>
      </c>
      <c r="AO155" s="224" t="str">
        <f>IFERROR(IF(SUM(INDEX('在庫使用計画 (一般)'!$A$1:$BF$557,MATCH($C155,'在庫使用計画 (一般)'!$C$1:$C$557,0),MATCH(AO$1,'在庫使用計画 (一般)'!$A$1:$BF$1,0)),INDEX('在庫使用計画 (法人)'!$A$1:$AT$578,MATCH($C155,'在庫使用計画 (法人)'!$C$1:$C$578,0),MATCH(AO$1,'在庫使用計画 (法人)'!$A$1:$AT$1,0)))=0,"",SUM(INDEX('在庫使用計画 (一般)'!$A$1:$BF$557,MATCH($C155,'在庫使用計画 (一般)'!$C$1:$C$557,0),MATCH(AO$1,'在庫使用計画 (一般)'!$A$1:$BF$1,0)),INDEX('在庫使用計画 (法人)'!$A$1:$AT$578,MATCH($C155,'在庫使用計画 (法人)'!$C$1:$C$578,0),MATCH(AO$1,'在庫使用計画 (法人)'!$A$1:$AT$1,0)))),"")</f>
        <v/>
      </c>
      <c r="AP155" s="224" t="str">
        <f>IFERROR(IF(SUM(INDEX('在庫使用計画 (一般)'!$A$1:$BF$557,MATCH($C155,'在庫使用計画 (一般)'!$C$1:$C$557,0),MATCH(AP$1,'在庫使用計画 (一般)'!$A$1:$BF$1,0)),INDEX('在庫使用計画 (法人)'!$A$1:$AT$578,MATCH($C155,'在庫使用計画 (法人)'!$C$1:$C$578,0),MATCH(AP$1,'在庫使用計画 (法人)'!$A$1:$AT$1,0)))=0,"",SUM(INDEX('在庫使用計画 (一般)'!$A$1:$BF$557,MATCH($C155,'在庫使用計画 (一般)'!$C$1:$C$557,0),MATCH(AP$1,'在庫使用計画 (一般)'!$A$1:$BF$1,0)),INDEX('在庫使用計画 (法人)'!$A$1:$AT$578,MATCH($C155,'在庫使用計画 (法人)'!$C$1:$C$578,0),MATCH(AP$1,'在庫使用計画 (法人)'!$A$1:$AT$1,0)))),"")</f>
        <v/>
      </c>
      <c r="AQ155" s="224" t="str">
        <f>IFERROR(IF(SUM(INDEX('在庫使用計画 (一般)'!$A$1:$BF$557,MATCH($C155,'在庫使用計画 (一般)'!$C$1:$C$557,0),MATCH(AQ$1,'在庫使用計画 (一般)'!$A$1:$BF$1,0)),INDEX('在庫使用計画 (法人)'!$A$1:$AT$578,MATCH($C155,'在庫使用計画 (法人)'!$C$1:$C$578,0),MATCH(AQ$1,'在庫使用計画 (法人)'!$A$1:$AT$1,0)))=0,"",SUM(INDEX('在庫使用計画 (一般)'!$A$1:$BF$557,MATCH($C155,'在庫使用計画 (一般)'!$C$1:$C$557,0),MATCH(AQ$1,'在庫使用計画 (一般)'!$A$1:$BF$1,0)),INDEX('在庫使用計画 (法人)'!$A$1:$AT$578,MATCH($C155,'在庫使用計画 (法人)'!$C$1:$C$578,0),MATCH(AQ$1,'在庫使用計画 (法人)'!$A$1:$AT$1,0)))),"")</f>
        <v/>
      </c>
      <c r="AR155" s="224" t="str">
        <f>IFERROR(IF(SUM(INDEX('在庫使用計画 (一般)'!$A$1:$BF$557,MATCH($C155,'在庫使用計画 (一般)'!$C$1:$C$557,0),MATCH(AR$1,'在庫使用計画 (一般)'!$A$1:$BF$1,0)),INDEX('在庫使用計画 (法人)'!$A$1:$AT$578,MATCH($C155,'在庫使用計画 (法人)'!$C$1:$C$578,0),MATCH(AR$1,'在庫使用計画 (法人)'!$A$1:$AT$1,0)))=0,"",SUM(INDEX('在庫使用計画 (一般)'!$A$1:$BF$557,MATCH($C155,'在庫使用計画 (一般)'!$C$1:$C$557,0),MATCH(AR$1,'在庫使用計画 (一般)'!$A$1:$BF$1,0)),INDEX('在庫使用計画 (法人)'!$A$1:$AT$578,MATCH($C155,'在庫使用計画 (法人)'!$C$1:$C$578,0),MATCH(AR$1,'在庫使用計画 (法人)'!$A$1:$AT$1,0)))),"")</f>
        <v/>
      </c>
      <c r="AS155" s="224" t="str">
        <f>IFERROR(IF(SUM(INDEX('在庫使用計画 (一般)'!$A$1:$BF$557,MATCH($C155,'在庫使用計画 (一般)'!$C$1:$C$557,0),MATCH(AS$1,'在庫使用計画 (一般)'!$A$1:$BF$1,0)),INDEX('在庫使用計画 (法人)'!$A$1:$AT$578,MATCH($C155,'在庫使用計画 (法人)'!$C$1:$C$578,0),MATCH(AS$1,'在庫使用計画 (法人)'!$A$1:$AT$1,0)))=0,"",SUM(INDEX('在庫使用計画 (一般)'!$A$1:$BF$557,MATCH($C155,'在庫使用計画 (一般)'!$C$1:$C$557,0),MATCH(AS$1,'在庫使用計画 (一般)'!$A$1:$BF$1,0)),INDEX('在庫使用計画 (法人)'!$A$1:$AT$578,MATCH($C155,'在庫使用計画 (法人)'!$C$1:$C$578,0),MATCH(AS$1,'在庫使用計画 (法人)'!$A$1:$AT$1,0)))),"")</f>
        <v/>
      </c>
      <c r="AT155" s="224" t="str">
        <f>IFERROR(IF(SUM(INDEX('在庫使用計画 (一般)'!$A$1:$BF$557,MATCH($C155,'在庫使用計画 (一般)'!$C$1:$C$557,0),MATCH(AT$1,'在庫使用計画 (一般)'!$A$1:$BF$1,0)),INDEX('在庫使用計画 (法人)'!$A$1:$AT$578,MATCH($C155,'在庫使用計画 (法人)'!$C$1:$C$578,0),MATCH(AT$1,'在庫使用計画 (法人)'!$A$1:$AT$1,0)))=0,"",SUM(INDEX('在庫使用計画 (一般)'!$A$1:$BF$557,MATCH($C155,'在庫使用計画 (一般)'!$C$1:$C$557,0),MATCH(AT$1,'在庫使用計画 (一般)'!$A$1:$BF$1,0)),INDEX('在庫使用計画 (法人)'!$A$1:$AT$578,MATCH($C155,'在庫使用計画 (法人)'!$C$1:$C$578,0),MATCH(AT$1,'在庫使用計画 (法人)'!$A$1:$AT$1,0)))),"")</f>
        <v/>
      </c>
      <c r="AU155" s="224" t="str">
        <f>IFERROR(IF(SUM(INDEX('在庫使用計画 (一般)'!$A$1:$BF$557,MATCH($C155,'在庫使用計画 (一般)'!$C$1:$C$557,0),MATCH(AU$1,'在庫使用計画 (一般)'!$A$1:$BF$1,0)),INDEX('在庫使用計画 (法人)'!$A$1:$AT$578,MATCH($C155,'在庫使用計画 (法人)'!$C$1:$C$578,0),MATCH(AU$1,'在庫使用計画 (法人)'!$A$1:$AT$1,0)))=0,"",SUM(INDEX('在庫使用計画 (一般)'!$A$1:$BF$557,MATCH($C155,'在庫使用計画 (一般)'!$C$1:$C$557,0),MATCH(AU$1,'在庫使用計画 (一般)'!$A$1:$BF$1,0)),INDEX('在庫使用計画 (法人)'!$A$1:$AT$578,MATCH($C155,'在庫使用計画 (法人)'!$C$1:$C$578,0),MATCH(AU$1,'在庫使用計画 (法人)'!$A$1:$AT$1,0)))),"")</f>
        <v/>
      </c>
      <c r="AV155" s="70"/>
      <c r="AW155" s="70"/>
      <c r="AX155" s="70"/>
      <c r="AY155" s="70"/>
      <c r="AZ155" s="70"/>
      <c r="BA155" s="70"/>
      <c r="BB155" s="70"/>
      <c r="BC155" s="70"/>
      <c r="BD155" s="70"/>
      <c r="BE155" s="70"/>
      <c r="BF155" s="70"/>
      <c r="BG155" s="70"/>
      <c r="BH155" s="70"/>
      <c r="BI155" s="70"/>
      <c r="BJ155" s="70"/>
      <c r="BK155" s="70"/>
      <c r="BL155" s="70"/>
      <c r="BM155" s="70"/>
      <c r="BN155" s="70"/>
      <c r="BO155" s="70"/>
      <c r="BP155" s="70"/>
      <c r="BQ155" s="70"/>
      <c r="BR155" s="70"/>
      <c r="BS155" s="70"/>
      <c r="BT155" s="70"/>
    </row>
    <row r="156" spans="1:72" customFormat="1">
      <c r="A156" s="1059" t="s">
        <v>1684</v>
      </c>
      <c r="B156" s="26" t="s">
        <v>238</v>
      </c>
      <c r="C156" s="26" t="s">
        <v>1685</v>
      </c>
      <c r="D156" s="2153">
        <v>4070</v>
      </c>
      <c r="E156" s="26" t="s">
        <v>1686</v>
      </c>
      <c r="F156" s="26" t="s">
        <v>1347</v>
      </c>
      <c r="G156" s="43">
        <f>SUMIFS(在庫確認!C:C,在庫確認!B:B,'在庫使用計画 (ノート全体試算)'!C:C)</f>
        <v>0</v>
      </c>
      <c r="H156" s="43"/>
      <c r="I156" s="43"/>
      <c r="J156" s="38"/>
      <c r="K156" s="38"/>
      <c r="L156" s="38" t="s">
        <v>21</v>
      </c>
      <c r="M156" s="38" t="s">
        <v>21</v>
      </c>
      <c r="N156" s="38" t="s">
        <v>21</v>
      </c>
      <c r="O156" s="38" t="s">
        <v>21</v>
      </c>
      <c r="P156" s="38" t="s">
        <v>21</v>
      </c>
      <c r="Q156" s="38" t="s">
        <v>21</v>
      </c>
      <c r="R156" s="38" t="s">
        <v>21</v>
      </c>
      <c r="S156" s="38" t="s">
        <v>21</v>
      </c>
      <c r="T156" s="219" t="s">
        <v>21</v>
      </c>
      <c r="U156" s="219" t="s">
        <v>21</v>
      </c>
      <c r="V156" s="219" t="s">
        <v>21</v>
      </c>
      <c r="W156" s="219" t="s">
        <v>21</v>
      </c>
      <c r="X156" s="224" t="s">
        <v>21</v>
      </c>
      <c r="Y156" s="224" t="s">
        <v>21</v>
      </c>
      <c r="Z156" s="224" t="s">
        <v>21</v>
      </c>
      <c r="AA156" s="237" t="s">
        <v>21</v>
      </c>
      <c r="AB156" s="224" t="s">
        <v>21</v>
      </c>
      <c r="AC156" s="224" t="s">
        <v>21</v>
      </c>
      <c r="AD156" s="224" t="s">
        <v>21</v>
      </c>
      <c r="AE156" s="224" t="s">
        <v>21</v>
      </c>
      <c r="AF156" s="224" t="s">
        <v>21</v>
      </c>
      <c r="AG156" s="224" t="s">
        <v>21</v>
      </c>
      <c r="AH156" s="224" t="s">
        <v>21</v>
      </c>
      <c r="AI156" s="224" t="s">
        <v>21</v>
      </c>
      <c r="AJ156" s="224" t="s">
        <v>21</v>
      </c>
      <c r="AK156" s="224" t="s">
        <v>21</v>
      </c>
      <c r="AL156" s="23"/>
      <c r="AM156" s="23"/>
      <c r="AN156" s="21"/>
      <c r="AO156" s="21"/>
      <c r="AP156" s="21"/>
      <c r="AQ156" s="21"/>
      <c r="AR156" s="21"/>
      <c r="AS156" s="21"/>
      <c r="AT156" s="21"/>
      <c r="AU156" s="21"/>
      <c r="AV156" s="21"/>
      <c r="AW156" s="21"/>
      <c r="AX156" s="21"/>
      <c r="AY156" s="21"/>
      <c r="AZ156" s="21"/>
      <c r="BA156" s="21"/>
      <c r="BB156" s="21"/>
      <c r="BC156" s="21"/>
      <c r="BD156" s="21"/>
      <c r="BE156" s="21"/>
      <c r="BF156" s="21"/>
      <c r="BG156" s="21"/>
      <c r="BH156" s="21"/>
      <c r="BI156" s="21"/>
      <c r="BJ156" s="21"/>
      <c r="BK156" s="21"/>
      <c r="BL156" s="21"/>
      <c r="BM156" s="21"/>
      <c r="BN156" s="21"/>
      <c r="BO156" s="21"/>
      <c r="BP156" s="21"/>
      <c r="BQ156" s="21"/>
      <c r="BR156" s="21"/>
      <c r="BS156" s="21"/>
      <c r="BT156" s="21"/>
    </row>
    <row r="157" spans="1:72" customFormat="1">
      <c r="A157" s="1059"/>
      <c r="B157" s="26" t="s">
        <v>1687</v>
      </c>
      <c r="C157" s="26" t="s">
        <v>1688</v>
      </c>
      <c r="D157" s="2153">
        <v>4060</v>
      </c>
      <c r="E157" s="26" t="s">
        <v>1674</v>
      </c>
      <c r="F157" s="26" t="s">
        <v>1372</v>
      </c>
      <c r="G157" s="38">
        <f>SUMIFS(在庫確認!C:C,在庫確認!B:B,'在庫使用計画 (ノート全体試算)'!C:C)</f>
        <v>100</v>
      </c>
      <c r="H157" s="38"/>
      <c r="I157" s="38"/>
      <c r="J157" s="38"/>
      <c r="K157" s="38"/>
      <c r="L157" s="38" t="s">
        <v>21</v>
      </c>
      <c r="M157" s="38" t="s">
        <v>21</v>
      </c>
      <c r="N157" s="38" t="s">
        <v>21</v>
      </c>
      <c r="O157" s="38" t="s">
        <v>21</v>
      </c>
      <c r="P157" s="38" t="s">
        <v>21</v>
      </c>
      <c r="Q157" s="38" t="s">
        <v>21</v>
      </c>
      <c r="R157" s="38" t="s">
        <v>21</v>
      </c>
      <c r="S157" s="38" t="s">
        <v>21</v>
      </c>
      <c r="T157" s="219" t="s">
        <v>21</v>
      </c>
      <c r="U157" s="219" t="s">
        <v>21</v>
      </c>
      <c r="V157" s="219" t="s">
        <v>21</v>
      </c>
      <c r="W157" s="219" t="s">
        <v>21</v>
      </c>
      <c r="X157" s="224" t="s">
        <v>21</v>
      </c>
      <c r="Y157" s="224" t="s">
        <v>21</v>
      </c>
      <c r="Z157" s="224" t="s">
        <v>21</v>
      </c>
      <c r="AA157" s="237" t="s">
        <v>21</v>
      </c>
      <c r="AB157" s="224" t="s">
        <v>21</v>
      </c>
      <c r="AC157" s="224" t="s">
        <v>21</v>
      </c>
      <c r="AD157" s="224" t="s">
        <v>21</v>
      </c>
      <c r="AE157" s="224" t="s">
        <v>21</v>
      </c>
      <c r="AF157" s="224" t="s">
        <v>21</v>
      </c>
      <c r="AG157" s="224" t="s">
        <v>21</v>
      </c>
      <c r="AH157" s="224" t="s">
        <v>21</v>
      </c>
      <c r="AI157" s="224" t="s">
        <v>21</v>
      </c>
      <c r="AJ157" s="224" t="s">
        <v>21</v>
      </c>
      <c r="AK157" s="224" t="s">
        <v>21</v>
      </c>
      <c r="AL157" s="23"/>
      <c r="AM157" s="23"/>
      <c r="AN157" s="21"/>
      <c r="AO157" s="21"/>
      <c r="AP157" s="21"/>
      <c r="AQ157" s="21"/>
      <c r="AR157" s="21"/>
      <c r="AS157" s="21"/>
      <c r="AT157" s="21"/>
      <c r="AU157" s="21"/>
      <c r="AV157" s="21"/>
      <c r="AW157" s="21"/>
      <c r="AX157" s="21"/>
      <c r="AY157" s="21"/>
      <c r="AZ157" s="21"/>
      <c r="BA157" s="21"/>
      <c r="BB157" s="21"/>
      <c r="BC157" s="21"/>
      <c r="BD157" s="21"/>
      <c r="BE157" s="21"/>
      <c r="BF157" s="21"/>
      <c r="BG157" s="21"/>
      <c r="BH157" s="21"/>
      <c r="BI157" s="21"/>
      <c r="BJ157" s="21"/>
      <c r="BK157" s="21"/>
      <c r="BL157" s="21"/>
      <c r="BM157" s="21"/>
      <c r="BN157" s="21"/>
      <c r="BO157" s="21"/>
      <c r="BP157" s="21"/>
      <c r="BQ157" s="21"/>
      <c r="BR157" s="21"/>
      <c r="BS157" s="21"/>
      <c r="BT157" s="21"/>
    </row>
    <row r="158" spans="1:72" customFormat="1">
      <c r="A158" s="1059"/>
      <c r="B158" s="26" t="s">
        <v>1689</v>
      </c>
      <c r="C158" s="26" t="s">
        <v>1690</v>
      </c>
      <c r="D158" s="2153">
        <v>4050</v>
      </c>
      <c r="E158" s="26" t="s">
        <v>1674</v>
      </c>
      <c r="F158" s="26" t="s">
        <v>1372</v>
      </c>
      <c r="G158" s="38">
        <f>SUMIFS(在庫確認!C:C,在庫確認!B:B,'在庫使用計画 (ノート全体試算)'!C:C)</f>
        <v>150</v>
      </c>
      <c r="H158" s="38"/>
      <c r="I158" s="38"/>
      <c r="J158" s="38"/>
      <c r="K158" s="38"/>
      <c r="L158" s="38">
        <v>439</v>
      </c>
      <c r="M158" s="38">
        <v>375</v>
      </c>
      <c r="N158" s="38">
        <v>475</v>
      </c>
      <c r="O158" s="38">
        <v>520</v>
      </c>
      <c r="P158" s="38">
        <v>490</v>
      </c>
      <c r="Q158" s="38">
        <v>500</v>
      </c>
      <c r="R158" s="38">
        <v>320</v>
      </c>
      <c r="S158" s="38">
        <v>400</v>
      </c>
      <c r="T158" s="219">
        <v>300</v>
      </c>
      <c r="U158" s="297">
        <v>235</v>
      </c>
      <c r="V158" s="219" t="s">
        <v>21</v>
      </c>
      <c r="W158" s="219" t="s">
        <v>21</v>
      </c>
      <c r="X158" s="224" t="s">
        <v>21</v>
      </c>
      <c r="Y158" s="224" t="s">
        <v>21</v>
      </c>
      <c r="Z158" s="224" t="s">
        <v>21</v>
      </c>
      <c r="AA158" s="237" t="s">
        <v>21</v>
      </c>
      <c r="AB158" s="224" t="s">
        <v>21</v>
      </c>
      <c r="AC158" s="224" t="s">
        <v>21</v>
      </c>
      <c r="AD158" s="224" t="s">
        <v>21</v>
      </c>
      <c r="AE158" s="224" t="s">
        <v>21</v>
      </c>
      <c r="AF158" s="224" t="s">
        <v>21</v>
      </c>
      <c r="AG158" s="224" t="s">
        <v>21</v>
      </c>
      <c r="AH158" s="224" t="s">
        <v>21</v>
      </c>
      <c r="AI158" s="224" t="s">
        <v>21</v>
      </c>
      <c r="AJ158" s="224" t="s">
        <v>21</v>
      </c>
      <c r="AK158" s="224" t="s">
        <v>21</v>
      </c>
      <c r="AL158" s="23"/>
      <c r="AM158" s="23"/>
      <c r="AN158" s="21"/>
      <c r="AO158" s="21"/>
      <c r="AP158" s="21"/>
      <c r="AQ158" s="21"/>
      <c r="AR158" s="21"/>
      <c r="AS158" s="21"/>
      <c r="AT158" s="21"/>
      <c r="AU158" s="21"/>
      <c r="AV158" s="21"/>
      <c r="AW158" s="21"/>
      <c r="AX158" s="21"/>
      <c r="AY158" s="21"/>
      <c r="AZ158" s="21"/>
      <c r="BA158" s="21"/>
      <c r="BB158" s="21"/>
      <c r="BC158" s="21"/>
      <c r="BD158" s="21"/>
      <c r="BE158" s="21"/>
      <c r="BF158" s="21"/>
      <c r="BG158" s="21"/>
      <c r="BH158" s="21"/>
      <c r="BI158" s="21"/>
      <c r="BJ158" s="21"/>
      <c r="BK158" s="21"/>
      <c r="BL158" s="21"/>
      <c r="BM158" s="21"/>
      <c r="BN158" s="21"/>
      <c r="BO158" s="21"/>
      <c r="BP158" s="21"/>
      <c r="BQ158" s="21"/>
      <c r="BR158" s="21"/>
      <c r="BS158" s="21"/>
      <c r="BT158" s="21"/>
    </row>
    <row r="159" spans="1:72" customFormat="1">
      <c r="A159" s="1061" t="s">
        <v>1561</v>
      </c>
      <c r="B159" s="26" t="s">
        <v>1700</v>
      </c>
      <c r="C159" s="25" t="s">
        <v>415</v>
      </c>
      <c r="D159" s="2160">
        <v>4070</v>
      </c>
      <c r="E159" s="26" t="s">
        <v>1638</v>
      </c>
      <c r="F159" s="24" t="s">
        <v>1347</v>
      </c>
      <c r="G159" s="38">
        <f>SUMIFS(在庫確認!C:C,在庫確認!B:B,'在庫使用計画 (ノート全体試算)'!C:C)</f>
        <v>80</v>
      </c>
      <c r="H159" s="38"/>
      <c r="I159" s="38"/>
      <c r="J159" s="38">
        <f t="shared" ref="J159" si="14">SUM(AD159:AG159)</f>
        <v>0</v>
      </c>
      <c r="K159" s="38"/>
      <c r="L159" s="38" t="s">
        <v>21</v>
      </c>
      <c r="M159" s="38" t="s">
        <v>21</v>
      </c>
      <c r="N159" s="38" t="s">
        <v>21</v>
      </c>
      <c r="O159" s="38" t="s">
        <v>21</v>
      </c>
      <c r="P159" s="38">
        <v>72</v>
      </c>
      <c r="Q159" s="38">
        <v>19</v>
      </c>
      <c r="R159" s="38">
        <v>19</v>
      </c>
      <c r="S159" s="38">
        <v>23</v>
      </c>
      <c r="T159" s="219">
        <v>26</v>
      </c>
      <c r="U159" s="219">
        <v>25</v>
      </c>
      <c r="V159" s="219">
        <v>25</v>
      </c>
      <c r="W159" s="219">
        <v>45</v>
      </c>
      <c r="X159" s="224">
        <v>38</v>
      </c>
      <c r="Y159" s="224">
        <v>25</v>
      </c>
      <c r="Z159" s="224">
        <v>45</v>
      </c>
      <c r="AA159" s="436">
        <v>30</v>
      </c>
      <c r="AB159" s="292">
        <v>5</v>
      </c>
      <c r="AC159" s="292" t="s">
        <v>21</v>
      </c>
      <c r="AD159" s="224" t="s">
        <v>21</v>
      </c>
      <c r="AE159" s="224" t="s">
        <v>21</v>
      </c>
      <c r="AF159" s="224" t="s">
        <v>21</v>
      </c>
      <c r="AG159" s="224" t="s">
        <v>21</v>
      </c>
      <c r="AH159" s="224" t="s">
        <v>21</v>
      </c>
      <c r="AI159" s="224" t="s">
        <v>21</v>
      </c>
      <c r="AJ159" s="224" t="s">
        <v>21</v>
      </c>
      <c r="AK159" s="224" t="s">
        <v>21</v>
      </c>
      <c r="AL159" s="224" t="s">
        <v>21</v>
      </c>
      <c r="AM159" s="224" t="s">
        <v>21</v>
      </c>
      <c r="AN159" s="224" t="str">
        <f>IFERROR(IF(SUM(INDEX('在庫使用計画 (一般)'!$A$1:$BF$557,MATCH($C159,'在庫使用計画 (一般)'!$C$1:$C$557,0),MATCH(AN$1,'在庫使用計画 (一般)'!$A$1:$BF$1,0)),INDEX('在庫使用計画 (法人)'!$A$1:$AT$578,MATCH($C159,'在庫使用計画 (法人)'!$C$1:$C$578,0),MATCH(AN$1,'在庫使用計画 (法人)'!$A$1:$AT$1,0)))=0,"",SUM(INDEX('在庫使用計画 (一般)'!$A$1:$BF$557,MATCH($C159,'在庫使用計画 (一般)'!$C$1:$C$557,0),MATCH(AN$1,'在庫使用計画 (一般)'!$A$1:$BF$1,0)),INDEX('在庫使用計画 (法人)'!$A$1:$AT$578,MATCH($C159,'在庫使用計画 (法人)'!$C$1:$C$578,0),MATCH(AN$1,'在庫使用計画 (法人)'!$A$1:$AT$1,0)))),"")</f>
        <v/>
      </c>
      <c r="AO159" s="224" t="str">
        <f>IFERROR(IF(SUM(INDEX('在庫使用計画 (一般)'!$A$1:$BF$557,MATCH($C159,'在庫使用計画 (一般)'!$C$1:$C$557,0),MATCH(AO$1,'在庫使用計画 (一般)'!$A$1:$BF$1,0)),INDEX('在庫使用計画 (法人)'!$A$1:$AT$578,MATCH($C159,'在庫使用計画 (法人)'!$C$1:$C$578,0),MATCH(AO$1,'在庫使用計画 (法人)'!$A$1:$AT$1,0)))=0,"",SUM(INDEX('在庫使用計画 (一般)'!$A$1:$BF$557,MATCH($C159,'在庫使用計画 (一般)'!$C$1:$C$557,0),MATCH(AO$1,'在庫使用計画 (一般)'!$A$1:$BF$1,0)),INDEX('在庫使用計画 (法人)'!$A$1:$AT$578,MATCH($C159,'在庫使用計画 (法人)'!$C$1:$C$578,0),MATCH(AO$1,'在庫使用計画 (法人)'!$A$1:$AT$1,0)))),"")</f>
        <v/>
      </c>
      <c r="AP159" s="224" t="str">
        <f>IFERROR(IF(SUM(INDEX('在庫使用計画 (一般)'!$A$1:$BF$557,MATCH($C159,'在庫使用計画 (一般)'!$C$1:$C$557,0),MATCH(AP$1,'在庫使用計画 (一般)'!$A$1:$BF$1,0)),INDEX('在庫使用計画 (法人)'!$A$1:$AT$578,MATCH($C159,'在庫使用計画 (法人)'!$C$1:$C$578,0),MATCH(AP$1,'在庫使用計画 (法人)'!$A$1:$AT$1,0)))=0,"",SUM(INDEX('在庫使用計画 (一般)'!$A$1:$BF$557,MATCH($C159,'在庫使用計画 (一般)'!$C$1:$C$557,0),MATCH(AP$1,'在庫使用計画 (一般)'!$A$1:$BF$1,0)),INDEX('在庫使用計画 (法人)'!$A$1:$AT$578,MATCH($C159,'在庫使用計画 (法人)'!$C$1:$C$578,0),MATCH(AP$1,'在庫使用計画 (法人)'!$A$1:$AT$1,0)))),"")</f>
        <v/>
      </c>
      <c r="AQ159" s="224" t="str">
        <f>IFERROR(IF(SUM(INDEX('在庫使用計画 (一般)'!$A$1:$BF$557,MATCH($C159,'在庫使用計画 (一般)'!$C$1:$C$557,0),MATCH(AQ$1,'在庫使用計画 (一般)'!$A$1:$BF$1,0)),INDEX('在庫使用計画 (法人)'!$A$1:$AT$578,MATCH($C159,'在庫使用計画 (法人)'!$C$1:$C$578,0),MATCH(AQ$1,'在庫使用計画 (法人)'!$A$1:$AT$1,0)))=0,"",SUM(INDEX('在庫使用計画 (一般)'!$A$1:$BF$557,MATCH($C159,'在庫使用計画 (一般)'!$C$1:$C$557,0),MATCH(AQ$1,'在庫使用計画 (一般)'!$A$1:$BF$1,0)),INDEX('在庫使用計画 (法人)'!$A$1:$AT$578,MATCH($C159,'在庫使用計画 (法人)'!$C$1:$C$578,0),MATCH(AQ$1,'在庫使用計画 (法人)'!$A$1:$AT$1,0)))),"")</f>
        <v/>
      </c>
      <c r="AR159" s="224" t="str">
        <f>IFERROR(IF(SUM(INDEX('在庫使用計画 (一般)'!$A$1:$BF$557,MATCH($C159,'在庫使用計画 (一般)'!$C$1:$C$557,0),MATCH(AR$1,'在庫使用計画 (一般)'!$A$1:$BF$1,0)),INDEX('在庫使用計画 (法人)'!$A$1:$AT$578,MATCH($C159,'在庫使用計画 (法人)'!$C$1:$C$578,0),MATCH(AR$1,'在庫使用計画 (法人)'!$A$1:$AT$1,0)))=0,"",SUM(INDEX('在庫使用計画 (一般)'!$A$1:$BF$557,MATCH($C159,'在庫使用計画 (一般)'!$C$1:$C$557,0),MATCH(AR$1,'在庫使用計画 (一般)'!$A$1:$BF$1,0)),INDEX('在庫使用計画 (法人)'!$A$1:$AT$578,MATCH($C159,'在庫使用計画 (法人)'!$C$1:$C$578,0),MATCH(AR$1,'在庫使用計画 (法人)'!$A$1:$AT$1,0)))),"")</f>
        <v/>
      </c>
      <c r="AS159" s="224" t="str">
        <f>IFERROR(IF(SUM(INDEX('在庫使用計画 (一般)'!$A$1:$BF$557,MATCH($C159,'在庫使用計画 (一般)'!$C$1:$C$557,0),MATCH(AS$1,'在庫使用計画 (一般)'!$A$1:$BF$1,0)),INDEX('在庫使用計画 (法人)'!$A$1:$AT$578,MATCH($C159,'在庫使用計画 (法人)'!$C$1:$C$578,0),MATCH(AS$1,'在庫使用計画 (法人)'!$A$1:$AT$1,0)))=0,"",SUM(INDEX('在庫使用計画 (一般)'!$A$1:$BF$557,MATCH($C159,'在庫使用計画 (一般)'!$C$1:$C$557,0),MATCH(AS$1,'在庫使用計画 (一般)'!$A$1:$BF$1,0)),INDEX('在庫使用計画 (法人)'!$A$1:$AT$578,MATCH($C159,'在庫使用計画 (法人)'!$C$1:$C$578,0),MATCH(AS$1,'在庫使用計画 (法人)'!$A$1:$AT$1,0)))),"")</f>
        <v/>
      </c>
      <c r="AT159" s="224" t="str">
        <f>IFERROR(IF(SUM(INDEX('在庫使用計画 (一般)'!$A$1:$BF$557,MATCH($C159,'在庫使用計画 (一般)'!$C$1:$C$557,0),MATCH(AT$1,'在庫使用計画 (一般)'!$A$1:$BF$1,0)),INDEX('在庫使用計画 (法人)'!$A$1:$AT$578,MATCH($C159,'在庫使用計画 (法人)'!$C$1:$C$578,0),MATCH(AT$1,'在庫使用計画 (法人)'!$A$1:$AT$1,0)))=0,"",SUM(INDEX('在庫使用計画 (一般)'!$A$1:$BF$557,MATCH($C159,'在庫使用計画 (一般)'!$C$1:$C$557,0),MATCH(AT$1,'在庫使用計画 (一般)'!$A$1:$BF$1,0)),INDEX('在庫使用計画 (法人)'!$A$1:$AT$578,MATCH($C159,'在庫使用計画 (法人)'!$C$1:$C$578,0),MATCH(AT$1,'在庫使用計画 (法人)'!$A$1:$AT$1,0)))),"")</f>
        <v/>
      </c>
      <c r="AU159" s="224" t="str">
        <f>IFERROR(IF(SUM(INDEX('在庫使用計画 (一般)'!$A$1:$BF$557,MATCH($C159,'在庫使用計画 (一般)'!$C$1:$C$557,0),MATCH(AU$1,'在庫使用計画 (一般)'!$A$1:$BF$1,0)),INDEX('在庫使用計画 (法人)'!$A$1:$AT$578,MATCH($C159,'在庫使用計画 (法人)'!$C$1:$C$578,0),MATCH(AU$1,'在庫使用計画 (法人)'!$A$1:$AT$1,0)))=0,"",SUM(INDEX('在庫使用計画 (一般)'!$A$1:$BF$557,MATCH($C159,'在庫使用計画 (一般)'!$C$1:$C$557,0),MATCH(AU$1,'在庫使用計画 (一般)'!$A$1:$BF$1,0)),INDEX('在庫使用計画 (法人)'!$A$1:$AT$578,MATCH($C159,'在庫使用計画 (法人)'!$C$1:$C$578,0),MATCH(AU$1,'在庫使用計画 (法人)'!$A$1:$AT$1,0)))),"")</f>
        <v/>
      </c>
      <c r="AV159" s="70"/>
      <c r="AW159" s="70"/>
      <c r="AX159" s="70"/>
      <c r="AY159" s="70"/>
      <c r="AZ159" s="70"/>
      <c r="BA159" s="70"/>
      <c r="BB159" s="70"/>
      <c r="BC159" s="70"/>
      <c r="BD159" s="70"/>
      <c r="BE159" s="70"/>
      <c r="BF159" s="70"/>
      <c r="BG159" s="70"/>
      <c r="BH159" s="70"/>
      <c r="BI159" s="70"/>
      <c r="BJ159" s="70"/>
      <c r="BK159" s="70"/>
      <c r="BL159" s="70"/>
      <c r="BM159" s="70"/>
      <c r="BN159" s="70"/>
      <c r="BO159" s="70"/>
      <c r="BP159" s="70"/>
      <c r="BQ159" s="70"/>
      <c r="BR159" s="70"/>
      <c r="BS159" s="70"/>
      <c r="BT159" s="70"/>
    </row>
    <row r="160" spans="1:72" customFormat="1">
      <c r="A160" s="1059" t="s">
        <v>1701</v>
      </c>
      <c r="B160" s="26" t="s">
        <v>1702</v>
      </c>
      <c r="C160" s="25" t="s">
        <v>1703</v>
      </c>
      <c r="D160" s="2154">
        <v>4090</v>
      </c>
      <c r="E160" s="26" t="s">
        <v>1670</v>
      </c>
      <c r="F160" s="24" t="s">
        <v>1347</v>
      </c>
      <c r="G160" s="38">
        <f>SUMIFS(在庫確認!C:C,在庫確認!B:B,'在庫使用計画 (ノート全体試算)'!C:C)</f>
        <v>165</v>
      </c>
      <c r="H160" s="38"/>
      <c r="I160" s="38"/>
      <c r="J160" s="38">
        <f>SUM(AD160:AG160)</f>
        <v>0</v>
      </c>
      <c r="K160" s="38"/>
      <c r="L160" s="38" t="s">
        <v>21</v>
      </c>
      <c r="M160" s="38" t="s">
        <v>21</v>
      </c>
      <c r="N160" s="38" t="s">
        <v>21</v>
      </c>
      <c r="O160" s="38" t="s">
        <v>21</v>
      </c>
      <c r="P160" s="38">
        <v>25</v>
      </c>
      <c r="Q160" s="38">
        <v>25</v>
      </c>
      <c r="R160" s="38">
        <v>25</v>
      </c>
      <c r="S160" s="38">
        <v>22</v>
      </c>
      <c r="T160" s="219">
        <v>22</v>
      </c>
      <c r="U160" s="219">
        <v>20</v>
      </c>
      <c r="V160" s="219">
        <v>20</v>
      </c>
      <c r="W160" s="219">
        <v>20</v>
      </c>
      <c r="X160" s="224">
        <v>19</v>
      </c>
      <c r="Y160" s="224">
        <v>17</v>
      </c>
      <c r="Z160" s="224">
        <v>28</v>
      </c>
      <c r="AA160" s="237" t="s">
        <v>21</v>
      </c>
      <c r="AB160" s="224" t="s">
        <v>21</v>
      </c>
      <c r="AC160" s="224" t="s">
        <v>21</v>
      </c>
      <c r="AD160" s="224" t="s">
        <v>21</v>
      </c>
      <c r="AE160" s="224" t="s">
        <v>21</v>
      </c>
      <c r="AF160" s="224" t="s">
        <v>21</v>
      </c>
      <c r="AG160" s="224" t="s">
        <v>21</v>
      </c>
      <c r="AH160" s="224" t="s">
        <v>21</v>
      </c>
      <c r="AI160" s="224" t="s">
        <v>21</v>
      </c>
      <c r="AJ160" s="224" t="s">
        <v>21</v>
      </c>
      <c r="AK160" s="224" t="s">
        <v>21</v>
      </c>
      <c r="AL160" s="224" t="s">
        <v>21</v>
      </c>
      <c r="AM160" s="224" t="s">
        <v>21</v>
      </c>
      <c r="AN160" s="224" t="str">
        <f>IFERROR(IF(SUM(INDEX('在庫使用計画 (一般)'!$A$1:$BF$557,MATCH($C160,'在庫使用計画 (一般)'!$C$1:$C$557,0),MATCH(AN$1,'在庫使用計画 (一般)'!$A$1:$BF$1,0)),INDEX('在庫使用計画 (法人)'!$A$1:$AT$578,MATCH($C160,'在庫使用計画 (法人)'!$C$1:$C$578,0),MATCH(AN$1,'在庫使用計画 (法人)'!$A$1:$AT$1,0)))=0,"",SUM(INDEX('在庫使用計画 (一般)'!$A$1:$BF$557,MATCH($C160,'在庫使用計画 (一般)'!$C$1:$C$557,0),MATCH(AN$1,'在庫使用計画 (一般)'!$A$1:$BF$1,0)),INDEX('在庫使用計画 (法人)'!$A$1:$AT$578,MATCH($C160,'在庫使用計画 (法人)'!$C$1:$C$578,0),MATCH(AN$1,'在庫使用計画 (法人)'!$A$1:$AT$1,0)))),"")</f>
        <v/>
      </c>
      <c r="AO160" s="224" t="str">
        <f>IFERROR(IF(SUM(INDEX('在庫使用計画 (一般)'!$A$1:$BF$557,MATCH($C160,'在庫使用計画 (一般)'!$C$1:$C$557,0),MATCH(AO$1,'在庫使用計画 (一般)'!$A$1:$BF$1,0)),INDEX('在庫使用計画 (法人)'!$A$1:$AT$578,MATCH($C160,'在庫使用計画 (法人)'!$C$1:$C$578,0),MATCH(AO$1,'在庫使用計画 (法人)'!$A$1:$AT$1,0)))=0,"",SUM(INDEX('在庫使用計画 (一般)'!$A$1:$BF$557,MATCH($C160,'在庫使用計画 (一般)'!$C$1:$C$557,0),MATCH(AO$1,'在庫使用計画 (一般)'!$A$1:$BF$1,0)),INDEX('在庫使用計画 (法人)'!$A$1:$AT$578,MATCH($C160,'在庫使用計画 (法人)'!$C$1:$C$578,0),MATCH(AO$1,'在庫使用計画 (法人)'!$A$1:$AT$1,0)))),"")</f>
        <v/>
      </c>
      <c r="AP160" s="224" t="str">
        <f>IFERROR(IF(SUM(INDEX('在庫使用計画 (一般)'!$A$1:$BF$557,MATCH($C160,'在庫使用計画 (一般)'!$C$1:$C$557,0),MATCH(AP$1,'在庫使用計画 (一般)'!$A$1:$BF$1,0)),INDEX('在庫使用計画 (法人)'!$A$1:$AT$578,MATCH($C160,'在庫使用計画 (法人)'!$C$1:$C$578,0),MATCH(AP$1,'在庫使用計画 (法人)'!$A$1:$AT$1,0)))=0,"",SUM(INDEX('在庫使用計画 (一般)'!$A$1:$BF$557,MATCH($C160,'在庫使用計画 (一般)'!$C$1:$C$557,0),MATCH(AP$1,'在庫使用計画 (一般)'!$A$1:$BF$1,0)),INDEX('在庫使用計画 (法人)'!$A$1:$AT$578,MATCH($C160,'在庫使用計画 (法人)'!$C$1:$C$578,0),MATCH(AP$1,'在庫使用計画 (法人)'!$A$1:$AT$1,0)))),"")</f>
        <v/>
      </c>
      <c r="AQ160" s="224" t="str">
        <f>IFERROR(IF(SUM(INDEX('在庫使用計画 (一般)'!$A$1:$BF$557,MATCH($C160,'在庫使用計画 (一般)'!$C$1:$C$557,0),MATCH(AQ$1,'在庫使用計画 (一般)'!$A$1:$BF$1,0)),INDEX('在庫使用計画 (法人)'!$A$1:$AT$578,MATCH($C160,'在庫使用計画 (法人)'!$C$1:$C$578,0),MATCH(AQ$1,'在庫使用計画 (法人)'!$A$1:$AT$1,0)))=0,"",SUM(INDEX('在庫使用計画 (一般)'!$A$1:$BF$557,MATCH($C160,'在庫使用計画 (一般)'!$C$1:$C$557,0),MATCH(AQ$1,'在庫使用計画 (一般)'!$A$1:$BF$1,0)),INDEX('在庫使用計画 (法人)'!$A$1:$AT$578,MATCH($C160,'在庫使用計画 (法人)'!$C$1:$C$578,0),MATCH(AQ$1,'在庫使用計画 (法人)'!$A$1:$AT$1,0)))),"")</f>
        <v/>
      </c>
      <c r="AR160" s="224" t="str">
        <f>IFERROR(IF(SUM(INDEX('在庫使用計画 (一般)'!$A$1:$BF$557,MATCH($C160,'在庫使用計画 (一般)'!$C$1:$C$557,0),MATCH(AR$1,'在庫使用計画 (一般)'!$A$1:$BF$1,0)),INDEX('在庫使用計画 (法人)'!$A$1:$AT$578,MATCH($C160,'在庫使用計画 (法人)'!$C$1:$C$578,0),MATCH(AR$1,'在庫使用計画 (法人)'!$A$1:$AT$1,0)))=0,"",SUM(INDEX('在庫使用計画 (一般)'!$A$1:$BF$557,MATCH($C160,'在庫使用計画 (一般)'!$C$1:$C$557,0),MATCH(AR$1,'在庫使用計画 (一般)'!$A$1:$BF$1,0)),INDEX('在庫使用計画 (法人)'!$A$1:$AT$578,MATCH($C160,'在庫使用計画 (法人)'!$C$1:$C$578,0),MATCH(AR$1,'在庫使用計画 (法人)'!$A$1:$AT$1,0)))),"")</f>
        <v/>
      </c>
      <c r="AS160" s="224" t="str">
        <f>IFERROR(IF(SUM(INDEX('在庫使用計画 (一般)'!$A$1:$BF$557,MATCH($C160,'在庫使用計画 (一般)'!$C$1:$C$557,0),MATCH(AS$1,'在庫使用計画 (一般)'!$A$1:$BF$1,0)),INDEX('在庫使用計画 (法人)'!$A$1:$AT$578,MATCH($C160,'在庫使用計画 (法人)'!$C$1:$C$578,0),MATCH(AS$1,'在庫使用計画 (法人)'!$A$1:$AT$1,0)))=0,"",SUM(INDEX('在庫使用計画 (一般)'!$A$1:$BF$557,MATCH($C160,'在庫使用計画 (一般)'!$C$1:$C$557,0),MATCH(AS$1,'在庫使用計画 (一般)'!$A$1:$BF$1,0)),INDEX('在庫使用計画 (法人)'!$A$1:$AT$578,MATCH($C160,'在庫使用計画 (法人)'!$C$1:$C$578,0),MATCH(AS$1,'在庫使用計画 (法人)'!$A$1:$AT$1,0)))),"")</f>
        <v/>
      </c>
      <c r="AT160" s="224" t="str">
        <f>IFERROR(IF(SUM(INDEX('在庫使用計画 (一般)'!$A$1:$BF$557,MATCH($C160,'在庫使用計画 (一般)'!$C$1:$C$557,0),MATCH(AT$1,'在庫使用計画 (一般)'!$A$1:$BF$1,0)),INDEX('在庫使用計画 (法人)'!$A$1:$AT$578,MATCH($C160,'在庫使用計画 (法人)'!$C$1:$C$578,0),MATCH(AT$1,'在庫使用計画 (法人)'!$A$1:$AT$1,0)))=0,"",SUM(INDEX('在庫使用計画 (一般)'!$A$1:$BF$557,MATCH($C160,'在庫使用計画 (一般)'!$C$1:$C$557,0),MATCH(AT$1,'在庫使用計画 (一般)'!$A$1:$BF$1,0)),INDEX('在庫使用計画 (法人)'!$A$1:$AT$578,MATCH($C160,'在庫使用計画 (法人)'!$C$1:$C$578,0),MATCH(AT$1,'在庫使用計画 (法人)'!$A$1:$AT$1,0)))),"")</f>
        <v/>
      </c>
      <c r="AU160" s="224" t="str">
        <f>IFERROR(IF(SUM(INDEX('在庫使用計画 (一般)'!$A$1:$BF$557,MATCH($C160,'在庫使用計画 (一般)'!$C$1:$C$557,0),MATCH(AU$1,'在庫使用計画 (一般)'!$A$1:$BF$1,0)),INDEX('在庫使用計画 (法人)'!$A$1:$AT$578,MATCH($C160,'在庫使用計画 (法人)'!$C$1:$C$578,0),MATCH(AU$1,'在庫使用計画 (法人)'!$A$1:$AT$1,0)))=0,"",SUM(INDEX('在庫使用計画 (一般)'!$A$1:$BF$557,MATCH($C160,'在庫使用計画 (一般)'!$C$1:$C$557,0),MATCH(AU$1,'在庫使用計画 (一般)'!$A$1:$BF$1,0)),INDEX('在庫使用計画 (法人)'!$A$1:$AT$578,MATCH($C160,'在庫使用計画 (法人)'!$C$1:$C$578,0),MATCH(AU$1,'在庫使用計画 (法人)'!$A$1:$AT$1,0)))),"")</f>
        <v/>
      </c>
      <c r="AV160" s="21"/>
      <c r="AW160" s="21"/>
      <c r="AX160" s="21"/>
      <c r="AY160" s="21"/>
      <c r="AZ160" s="21"/>
      <c r="BA160" s="21"/>
      <c r="BB160" s="21"/>
      <c r="BC160" s="21"/>
      <c r="BD160" s="21"/>
      <c r="BE160" s="21"/>
      <c r="BF160" s="21"/>
      <c r="BG160" s="21"/>
      <c r="BH160" s="21"/>
      <c r="BI160" s="21"/>
      <c r="BJ160" s="21"/>
      <c r="BK160" s="21"/>
      <c r="BL160" s="21"/>
      <c r="BM160" s="21"/>
      <c r="BN160" s="21"/>
      <c r="BO160" s="21"/>
      <c r="BP160" s="21"/>
      <c r="BQ160" s="21"/>
      <c r="BR160" s="21"/>
      <c r="BS160" s="21"/>
      <c r="BT160" s="21"/>
    </row>
    <row r="161" spans="1:72" customFormat="1">
      <c r="A161" s="1059"/>
      <c r="B161" s="26" t="s">
        <v>426</v>
      </c>
      <c r="C161" s="26" t="s">
        <v>424</v>
      </c>
      <c r="D161" s="2153">
        <v>4060</v>
      </c>
      <c r="E161" s="26" t="s">
        <v>38</v>
      </c>
      <c r="F161" s="26" t="s">
        <v>1347</v>
      </c>
      <c r="G161" s="355">
        <f>SUMIFS(在庫確認!C:C,在庫確認!B:B,'在庫使用計画 (ノート全体試算)'!C:C)</f>
        <v>150</v>
      </c>
      <c r="H161" s="355"/>
      <c r="I161" s="355"/>
      <c r="J161" s="38"/>
      <c r="K161" s="38"/>
      <c r="L161" s="38" t="s">
        <v>21</v>
      </c>
      <c r="M161" s="38" t="s">
        <v>21</v>
      </c>
      <c r="N161" s="38" t="s">
        <v>21</v>
      </c>
      <c r="O161" s="38" t="s">
        <v>21</v>
      </c>
      <c r="P161" s="38" t="s">
        <v>21</v>
      </c>
      <c r="Q161" s="38">
        <v>100</v>
      </c>
      <c r="R161" s="38">
        <v>150</v>
      </c>
      <c r="S161" s="38">
        <v>150</v>
      </c>
      <c r="T161" s="219">
        <v>150</v>
      </c>
      <c r="U161" s="219" t="s">
        <v>21</v>
      </c>
      <c r="V161" s="219"/>
      <c r="W161" s="219"/>
      <c r="X161" s="224"/>
      <c r="Y161" s="224"/>
      <c r="Z161" s="224"/>
      <c r="AA161" s="237"/>
      <c r="AB161" s="224"/>
      <c r="AC161" s="224" t="s">
        <v>21</v>
      </c>
      <c r="AD161" s="224" t="s">
        <v>21</v>
      </c>
      <c r="AE161" s="224" t="s">
        <v>21</v>
      </c>
      <c r="AF161" s="224" t="s">
        <v>21</v>
      </c>
      <c r="AG161" s="224" t="s">
        <v>21</v>
      </c>
      <c r="AH161" s="224" t="s">
        <v>21</v>
      </c>
      <c r="AI161" s="224" t="s">
        <v>21</v>
      </c>
      <c r="AJ161" s="224" t="s">
        <v>21</v>
      </c>
      <c r="AK161" s="224" t="s">
        <v>21</v>
      </c>
      <c r="AL161" s="23"/>
      <c r="AM161" s="23"/>
      <c r="AN161" s="21"/>
      <c r="AO161" s="21"/>
      <c r="AP161" s="21"/>
      <c r="AQ161" s="21"/>
      <c r="AR161" s="21"/>
      <c r="AS161" s="21"/>
      <c r="AT161" s="21"/>
      <c r="AU161" s="21"/>
      <c r="AV161" s="21"/>
      <c r="AW161" s="21"/>
      <c r="AX161" s="21"/>
      <c r="AY161" s="21"/>
      <c r="AZ161" s="21"/>
      <c r="BA161" s="21"/>
      <c r="BB161" s="21"/>
      <c r="BC161" s="21"/>
      <c r="BD161" s="21"/>
      <c r="BE161" s="21"/>
      <c r="BF161" s="21"/>
      <c r="BG161" s="21"/>
      <c r="BH161" s="21"/>
      <c r="BI161" s="21"/>
      <c r="BJ161" s="21"/>
      <c r="BK161" s="21"/>
      <c r="BL161" s="21"/>
      <c r="BM161" s="21"/>
      <c r="BN161" s="21"/>
      <c r="BO161" s="21"/>
      <c r="BP161" s="21"/>
      <c r="BQ161" s="21"/>
      <c r="BR161" s="21"/>
      <c r="BS161" s="21"/>
      <c r="BT161" s="21"/>
    </row>
    <row r="162" spans="1:72" customFormat="1">
      <c r="A162" s="1059"/>
      <c r="B162" s="26" t="s">
        <v>1691</v>
      </c>
      <c r="C162" s="26" t="s">
        <v>1692</v>
      </c>
      <c r="D162" s="2153">
        <v>4050</v>
      </c>
      <c r="E162" s="26" t="s">
        <v>1674</v>
      </c>
      <c r="F162" s="26" t="s">
        <v>1372</v>
      </c>
      <c r="G162" s="43">
        <f>SUMIFS(在庫確認!C:C,在庫確認!B:B,'在庫使用計画 (ノート全体試算)'!C:C)</f>
        <v>0</v>
      </c>
      <c r="H162" s="43"/>
      <c r="I162" s="43"/>
      <c r="J162" s="38"/>
      <c r="K162" s="38"/>
      <c r="L162" s="38" t="s">
        <v>21</v>
      </c>
      <c r="M162" s="38" t="s">
        <v>21</v>
      </c>
      <c r="N162" s="38">
        <v>400</v>
      </c>
      <c r="O162" s="38">
        <v>400</v>
      </c>
      <c r="P162" s="38">
        <v>200</v>
      </c>
      <c r="Q162" s="38" t="s">
        <v>21</v>
      </c>
      <c r="R162" s="38" t="s">
        <v>21</v>
      </c>
      <c r="S162" s="38" t="s">
        <v>21</v>
      </c>
      <c r="T162" s="219" t="s">
        <v>21</v>
      </c>
      <c r="U162" s="219" t="s">
        <v>21</v>
      </c>
      <c r="V162" s="219" t="s">
        <v>21</v>
      </c>
      <c r="W162" s="219" t="s">
        <v>21</v>
      </c>
      <c r="X162" s="224" t="s">
        <v>21</v>
      </c>
      <c r="Y162" s="224" t="s">
        <v>21</v>
      </c>
      <c r="Z162" s="224" t="s">
        <v>21</v>
      </c>
      <c r="AA162" s="237" t="s">
        <v>21</v>
      </c>
      <c r="AB162" s="224" t="s">
        <v>21</v>
      </c>
      <c r="AC162" s="224" t="s">
        <v>21</v>
      </c>
      <c r="AD162" s="224" t="s">
        <v>21</v>
      </c>
      <c r="AE162" s="224" t="s">
        <v>21</v>
      </c>
      <c r="AF162" s="224" t="s">
        <v>21</v>
      </c>
      <c r="AG162" s="224" t="s">
        <v>21</v>
      </c>
      <c r="AH162" s="224" t="s">
        <v>21</v>
      </c>
      <c r="AI162" s="224" t="s">
        <v>21</v>
      </c>
      <c r="AJ162" s="224" t="s">
        <v>21</v>
      </c>
      <c r="AK162" s="224" t="s">
        <v>21</v>
      </c>
      <c r="AL162" s="23"/>
      <c r="AM162" s="23"/>
      <c r="AN162" s="21"/>
      <c r="AO162" s="21"/>
      <c r="AP162" s="21"/>
      <c r="AQ162" s="21"/>
      <c r="AR162" s="21"/>
      <c r="AS162" s="21"/>
      <c r="AT162" s="21"/>
      <c r="AU162" s="21"/>
      <c r="AV162" s="21"/>
      <c r="AW162" s="21"/>
      <c r="AX162" s="21"/>
      <c r="AY162" s="21"/>
      <c r="AZ162" s="21"/>
      <c r="BA162" s="21"/>
      <c r="BB162" s="21"/>
      <c r="BC162" s="21"/>
      <c r="BD162" s="21"/>
      <c r="BE162" s="21"/>
      <c r="BF162" s="21"/>
      <c r="BG162" s="21"/>
      <c r="BH162" s="21"/>
      <c r="BI162" s="21"/>
      <c r="BJ162" s="21"/>
      <c r="BK162" s="21"/>
      <c r="BL162" s="21"/>
      <c r="BM162" s="21"/>
      <c r="BN162" s="21"/>
      <c r="BO162" s="21"/>
      <c r="BP162" s="21"/>
      <c r="BQ162" s="21"/>
      <c r="BR162" s="21"/>
      <c r="BS162" s="21"/>
      <c r="BT162" s="21"/>
    </row>
    <row r="163" spans="1:72" customFormat="1">
      <c r="A163" s="1059"/>
      <c r="B163" s="26" t="s">
        <v>1693</v>
      </c>
      <c r="C163" s="55" t="s">
        <v>1694</v>
      </c>
      <c r="D163" s="2153">
        <v>3050</v>
      </c>
      <c r="E163" s="26" t="s">
        <v>1695</v>
      </c>
      <c r="F163" s="26" t="s">
        <v>1372</v>
      </c>
      <c r="G163" s="74">
        <f>SUMIFS(在庫確認!C:C,在庫確認!B:B,'在庫使用計画 (ノート全体試算)'!C:C)</f>
        <v>0</v>
      </c>
      <c r="H163" s="74"/>
      <c r="I163" s="74"/>
      <c r="J163" s="38"/>
      <c r="K163" s="38"/>
      <c r="L163" s="38" t="s">
        <v>21</v>
      </c>
      <c r="M163" s="38" t="s">
        <v>21</v>
      </c>
      <c r="N163" s="38" t="s">
        <v>21</v>
      </c>
      <c r="O163" s="38" t="s">
        <v>21</v>
      </c>
      <c r="P163" s="38" t="s">
        <v>21</v>
      </c>
      <c r="Q163" s="38" t="s">
        <v>21</v>
      </c>
      <c r="R163" s="38" t="s">
        <v>21</v>
      </c>
      <c r="S163" s="38" t="s">
        <v>21</v>
      </c>
      <c r="T163" s="219" t="s">
        <v>21</v>
      </c>
      <c r="U163" s="219" t="s">
        <v>21</v>
      </c>
      <c r="V163" s="219" t="s">
        <v>21</v>
      </c>
      <c r="W163" s="219" t="s">
        <v>21</v>
      </c>
      <c r="X163" s="224" t="s">
        <v>21</v>
      </c>
      <c r="Y163" s="224" t="s">
        <v>21</v>
      </c>
      <c r="Z163" s="224" t="s">
        <v>21</v>
      </c>
      <c r="AA163" s="237" t="s">
        <v>21</v>
      </c>
      <c r="AB163" s="224" t="s">
        <v>21</v>
      </c>
      <c r="AC163" s="224" t="s">
        <v>21</v>
      </c>
      <c r="AD163" s="224" t="s">
        <v>21</v>
      </c>
      <c r="AE163" s="224" t="s">
        <v>21</v>
      </c>
      <c r="AF163" s="224" t="s">
        <v>21</v>
      </c>
      <c r="AG163" s="224" t="s">
        <v>21</v>
      </c>
      <c r="AH163" s="224" t="s">
        <v>21</v>
      </c>
      <c r="AI163" s="224" t="s">
        <v>21</v>
      </c>
      <c r="AJ163" s="224" t="s">
        <v>21</v>
      </c>
      <c r="AK163" s="224" t="s">
        <v>21</v>
      </c>
      <c r="AL163" s="23"/>
      <c r="AM163" s="23"/>
      <c r="AN163" s="21"/>
      <c r="AO163" s="21"/>
      <c r="AP163" s="21"/>
      <c r="AQ163" s="21"/>
      <c r="AR163" s="21"/>
      <c r="AS163" s="21"/>
      <c r="AT163" s="21"/>
      <c r="AU163" s="21"/>
      <c r="AV163" s="21"/>
      <c r="AW163" s="21"/>
      <c r="AX163" s="21"/>
      <c r="AY163" s="21"/>
      <c r="AZ163" s="21"/>
      <c r="BA163" s="21"/>
      <c r="BB163" s="21"/>
      <c r="BC163" s="21"/>
      <c r="BD163" s="21"/>
      <c r="BE163" s="21"/>
      <c r="BF163" s="21"/>
      <c r="BG163" s="21"/>
      <c r="BH163" s="21"/>
      <c r="BI163" s="21"/>
      <c r="BJ163" s="21"/>
      <c r="BK163" s="21"/>
      <c r="BL163" s="21"/>
      <c r="BM163" s="21"/>
      <c r="BN163" s="21"/>
      <c r="BO163" s="21"/>
      <c r="BP163" s="21"/>
      <c r="BQ163" s="21"/>
      <c r="BR163" s="21"/>
      <c r="BS163" s="21"/>
      <c r="BT163" s="21"/>
    </row>
    <row r="164" spans="1:72" customFormat="1">
      <c r="A164" s="1059"/>
      <c r="B164" s="26" t="s">
        <v>43</v>
      </c>
      <c r="C164" s="26" t="s">
        <v>44</v>
      </c>
      <c r="D164" s="2153">
        <v>4050</v>
      </c>
      <c r="E164" s="26" t="s">
        <v>1674</v>
      </c>
      <c r="F164" s="26" t="s">
        <v>1347</v>
      </c>
      <c r="G164" s="43">
        <f>SUMIFS(在庫確認!C:C,在庫確認!B:B,'在庫使用計画 (ノート全体試算)'!C:C)</f>
        <v>0</v>
      </c>
      <c r="H164" s="43"/>
      <c r="I164" s="43"/>
      <c r="J164" s="38"/>
      <c r="K164" s="38"/>
      <c r="L164" s="38" t="s">
        <v>21</v>
      </c>
      <c r="M164" s="38" t="s">
        <v>21</v>
      </c>
      <c r="N164" s="38" t="s">
        <v>21</v>
      </c>
      <c r="O164" s="38" t="s">
        <v>21</v>
      </c>
      <c r="P164" s="38" t="s">
        <v>21</v>
      </c>
      <c r="Q164" s="38" t="s">
        <v>21</v>
      </c>
      <c r="R164" s="38" t="s">
        <v>21</v>
      </c>
      <c r="S164" s="38" t="s">
        <v>21</v>
      </c>
      <c r="T164" s="219" t="s">
        <v>21</v>
      </c>
      <c r="U164" s="219" t="s">
        <v>21</v>
      </c>
      <c r="V164" s="219" t="s">
        <v>21</v>
      </c>
      <c r="W164" s="219" t="s">
        <v>21</v>
      </c>
      <c r="X164" s="224" t="s">
        <v>21</v>
      </c>
      <c r="Y164" s="224" t="s">
        <v>21</v>
      </c>
      <c r="Z164" s="224" t="s">
        <v>21</v>
      </c>
      <c r="AA164" s="237" t="s">
        <v>21</v>
      </c>
      <c r="AB164" s="224" t="s">
        <v>21</v>
      </c>
      <c r="AC164" s="224" t="s">
        <v>21</v>
      </c>
      <c r="AD164" s="224" t="s">
        <v>21</v>
      </c>
      <c r="AE164" s="224" t="s">
        <v>21</v>
      </c>
      <c r="AF164" s="224" t="s">
        <v>21</v>
      </c>
      <c r="AG164" s="224" t="s">
        <v>21</v>
      </c>
      <c r="AH164" s="224" t="s">
        <v>21</v>
      </c>
      <c r="AI164" s="224" t="s">
        <v>21</v>
      </c>
      <c r="AJ164" s="224" t="s">
        <v>21</v>
      </c>
      <c r="AK164" s="224" t="s">
        <v>21</v>
      </c>
      <c r="AL164" s="23"/>
      <c r="AM164" s="23"/>
      <c r="AN164" s="21"/>
      <c r="AO164" s="21"/>
      <c r="AP164" s="21"/>
      <c r="AQ164" s="21"/>
      <c r="AR164" s="21"/>
      <c r="AS164" s="21"/>
      <c r="AT164" s="21"/>
      <c r="AU164" s="21"/>
      <c r="AV164" s="21"/>
      <c r="AW164" s="21"/>
      <c r="AX164" s="21"/>
      <c r="AY164" s="21"/>
      <c r="AZ164" s="21"/>
      <c r="BA164" s="21"/>
      <c r="BB164" s="21"/>
      <c r="BC164" s="21"/>
      <c r="BD164" s="21"/>
      <c r="BE164" s="21"/>
      <c r="BF164" s="21"/>
      <c r="BG164" s="21"/>
      <c r="BH164" s="21"/>
      <c r="BI164" s="21"/>
      <c r="BJ164" s="21"/>
      <c r="BK164" s="21"/>
      <c r="BL164" s="21"/>
      <c r="BM164" s="21"/>
      <c r="BN164" s="21"/>
      <c r="BO164" s="21"/>
      <c r="BP164" s="21"/>
      <c r="BQ164" s="21"/>
      <c r="BR164" s="21"/>
      <c r="BS164" s="21"/>
      <c r="BT164" s="21"/>
    </row>
    <row r="165" spans="1:72" customFormat="1">
      <c r="A165" s="1059"/>
      <c r="B165" s="26" t="s">
        <v>381</v>
      </c>
      <c r="C165" s="26" t="s">
        <v>379</v>
      </c>
      <c r="D165" s="2153">
        <v>1650</v>
      </c>
      <c r="E165" s="26" t="s">
        <v>1696</v>
      </c>
      <c r="F165" s="26" t="s">
        <v>1347</v>
      </c>
      <c r="G165" s="355">
        <f>SUMIFS(在庫確認!C:C,在庫確認!B:B,'在庫使用計画 (ノート全体試算)'!C:C)</f>
        <v>0</v>
      </c>
      <c r="H165" s="355"/>
      <c r="I165" s="355"/>
      <c r="J165" s="38"/>
      <c r="K165" s="38"/>
      <c r="L165" s="38">
        <v>432</v>
      </c>
      <c r="M165" s="38">
        <v>469</v>
      </c>
      <c r="N165" s="38">
        <v>635</v>
      </c>
      <c r="O165" s="38">
        <v>238</v>
      </c>
      <c r="P165" s="38">
        <v>135</v>
      </c>
      <c r="Q165" s="38">
        <v>285</v>
      </c>
      <c r="R165" s="38">
        <v>383.53742342197819</v>
      </c>
      <c r="S165" s="38">
        <v>615</v>
      </c>
      <c r="T165" s="219">
        <v>315</v>
      </c>
      <c r="U165" s="219" t="s">
        <v>21</v>
      </c>
      <c r="V165" s="219" t="s">
        <v>21</v>
      </c>
      <c r="W165" s="219" t="s">
        <v>21</v>
      </c>
      <c r="X165" s="224" t="s">
        <v>21</v>
      </c>
      <c r="Y165" s="224" t="s">
        <v>21</v>
      </c>
      <c r="Z165" s="224" t="s">
        <v>21</v>
      </c>
      <c r="AA165" s="237" t="s">
        <v>21</v>
      </c>
      <c r="AB165" s="224" t="s">
        <v>21</v>
      </c>
      <c r="AC165" s="224" t="s">
        <v>21</v>
      </c>
      <c r="AD165" s="224" t="s">
        <v>21</v>
      </c>
      <c r="AE165" s="224" t="s">
        <v>21</v>
      </c>
      <c r="AF165" s="224" t="s">
        <v>21</v>
      </c>
      <c r="AG165" s="224" t="s">
        <v>21</v>
      </c>
      <c r="AH165" s="224" t="s">
        <v>21</v>
      </c>
      <c r="AI165" s="224" t="s">
        <v>21</v>
      </c>
      <c r="AJ165" s="224" t="s">
        <v>21</v>
      </c>
      <c r="AK165" s="224" t="s">
        <v>21</v>
      </c>
      <c r="AL165" s="224" t="s">
        <v>21</v>
      </c>
      <c r="AM165" s="224" t="s">
        <v>21</v>
      </c>
      <c r="AN165" s="224" t="str">
        <f>IFERROR(IF(SUM(INDEX('在庫使用計画 (一般)'!$A$1:$BF$557,MATCH($C165,'在庫使用計画 (一般)'!$C$1:$C$557,0),MATCH(AN$1,'在庫使用計画 (一般)'!$A$1:$BF$1,0)),INDEX('在庫使用計画 (法人)'!$A$1:$AT$578,MATCH($C165,'在庫使用計画 (法人)'!$C$1:$C$578,0),MATCH(AN$1,'在庫使用計画 (法人)'!$A$1:$AT$1,0)))=0,"",SUM(INDEX('在庫使用計画 (一般)'!$A$1:$BF$557,MATCH($C165,'在庫使用計画 (一般)'!$C$1:$C$557,0),MATCH(AN$1,'在庫使用計画 (一般)'!$A$1:$BF$1,0)),INDEX('在庫使用計画 (法人)'!$A$1:$AT$578,MATCH($C165,'在庫使用計画 (法人)'!$C$1:$C$578,0),MATCH(AN$1,'在庫使用計画 (法人)'!$A$1:$AT$1,0)))),"")</f>
        <v/>
      </c>
      <c r="AO165" s="224" t="str">
        <f>IFERROR(IF(SUM(INDEX('在庫使用計画 (一般)'!$A$1:$BF$557,MATCH($C165,'在庫使用計画 (一般)'!$C$1:$C$557,0),MATCH(AO$1,'在庫使用計画 (一般)'!$A$1:$BF$1,0)),INDEX('在庫使用計画 (法人)'!$A$1:$AT$578,MATCH($C165,'在庫使用計画 (法人)'!$C$1:$C$578,0),MATCH(AO$1,'在庫使用計画 (法人)'!$A$1:$AT$1,0)))=0,"",SUM(INDEX('在庫使用計画 (一般)'!$A$1:$BF$557,MATCH($C165,'在庫使用計画 (一般)'!$C$1:$C$557,0),MATCH(AO$1,'在庫使用計画 (一般)'!$A$1:$BF$1,0)),INDEX('在庫使用計画 (法人)'!$A$1:$AT$578,MATCH($C165,'在庫使用計画 (法人)'!$C$1:$C$578,0),MATCH(AO$1,'在庫使用計画 (法人)'!$A$1:$AT$1,0)))),"")</f>
        <v/>
      </c>
      <c r="AP165" s="224" t="str">
        <f>IFERROR(IF(SUM(INDEX('在庫使用計画 (一般)'!$A$1:$BF$557,MATCH($C165,'在庫使用計画 (一般)'!$C$1:$C$557,0),MATCH(AP$1,'在庫使用計画 (一般)'!$A$1:$BF$1,0)),INDEX('在庫使用計画 (法人)'!$A$1:$AT$578,MATCH($C165,'在庫使用計画 (法人)'!$C$1:$C$578,0),MATCH(AP$1,'在庫使用計画 (法人)'!$A$1:$AT$1,0)))=0,"",SUM(INDEX('在庫使用計画 (一般)'!$A$1:$BF$557,MATCH($C165,'在庫使用計画 (一般)'!$C$1:$C$557,0),MATCH(AP$1,'在庫使用計画 (一般)'!$A$1:$BF$1,0)),INDEX('在庫使用計画 (法人)'!$A$1:$AT$578,MATCH($C165,'在庫使用計画 (法人)'!$C$1:$C$578,0),MATCH(AP$1,'在庫使用計画 (法人)'!$A$1:$AT$1,0)))),"")</f>
        <v/>
      </c>
      <c r="AQ165" s="224" t="str">
        <f>IFERROR(IF(SUM(INDEX('在庫使用計画 (一般)'!$A$1:$BF$557,MATCH($C165,'在庫使用計画 (一般)'!$C$1:$C$557,0),MATCH(AQ$1,'在庫使用計画 (一般)'!$A$1:$BF$1,0)),INDEX('在庫使用計画 (法人)'!$A$1:$AT$578,MATCH($C165,'在庫使用計画 (法人)'!$C$1:$C$578,0),MATCH(AQ$1,'在庫使用計画 (法人)'!$A$1:$AT$1,0)))=0,"",SUM(INDEX('在庫使用計画 (一般)'!$A$1:$BF$557,MATCH($C165,'在庫使用計画 (一般)'!$C$1:$C$557,0),MATCH(AQ$1,'在庫使用計画 (一般)'!$A$1:$BF$1,0)),INDEX('在庫使用計画 (法人)'!$A$1:$AT$578,MATCH($C165,'在庫使用計画 (法人)'!$C$1:$C$578,0),MATCH(AQ$1,'在庫使用計画 (法人)'!$A$1:$AT$1,0)))),"")</f>
        <v/>
      </c>
      <c r="AR165" s="224" t="str">
        <f>IFERROR(IF(SUM(INDEX('在庫使用計画 (一般)'!$A$1:$BF$557,MATCH($C165,'在庫使用計画 (一般)'!$C$1:$C$557,0),MATCH(AR$1,'在庫使用計画 (一般)'!$A$1:$BF$1,0)),INDEX('在庫使用計画 (法人)'!$A$1:$AT$578,MATCH($C165,'在庫使用計画 (法人)'!$C$1:$C$578,0),MATCH(AR$1,'在庫使用計画 (法人)'!$A$1:$AT$1,0)))=0,"",SUM(INDEX('在庫使用計画 (一般)'!$A$1:$BF$557,MATCH($C165,'在庫使用計画 (一般)'!$C$1:$C$557,0),MATCH(AR$1,'在庫使用計画 (一般)'!$A$1:$BF$1,0)),INDEX('在庫使用計画 (法人)'!$A$1:$AT$578,MATCH($C165,'在庫使用計画 (法人)'!$C$1:$C$578,0),MATCH(AR$1,'在庫使用計画 (法人)'!$A$1:$AT$1,0)))),"")</f>
        <v/>
      </c>
      <c r="AS165" s="224" t="str">
        <f>IFERROR(IF(SUM(INDEX('在庫使用計画 (一般)'!$A$1:$BF$557,MATCH($C165,'在庫使用計画 (一般)'!$C$1:$C$557,0),MATCH(AS$1,'在庫使用計画 (一般)'!$A$1:$BF$1,0)),INDEX('在庫使用計画 (法人)'!$A$1:$AT$578,MATCH($C165,'在庫使用計画 (法人)'!$C$1:$C$578,0),MATCH(AS$1,'在庫使用計画 (法人)'!$A$1:$AT$1,0)))=0,"",SUM(INDEX('在庫使用計画 (一般)'!$A$1:$BF$557,MATCH($C165,'在庫使用計画 (一般)'!$C$1:$C$557,0),MATCH(AS$1,'在庫使用計画 (一般)'!$A$1:$BF$1,0)),INDEX('在庫使用計画 (法人)'!$A$1:$AT$578,MATCH($C165,'在庫使用計画 (法人)'!$C$1:$C$578,0),MATCH(AS$1,'在庫使用計画 (法人)'!$A$1:$AT$1,0)))),"")</f>
        <v/>
      </c>
      <c r="AT165" s="224" t="str">
        <f>IFERROR(IF(SUM(INDEX('在庫使用計画 (一般)'!$A$1:$BF$557,MATCH($C165,'在庫使用計画 (一般)'!$C$1:$C$557,0),MATCH(AT$1,'在庫使用計画 (一般)'!$A$1:$BF$1,0)),INDEX('在庫使用計画 (法人)'!$A$1:$AT$578,MATCH($C165,'在庫使用計画 (法人)'!$C$1:$C$578,0),MATCH(AT$1,'在庫使用計画 (法人)'!$A$1:$AT$1,0)))=0,"",SUM(INDEX('在庫使用計画 (一般)'!$A$1:$BF$557,MATCH($C165,'在庫使用計画 (一般)'!$C$1:$C$557,0),MATCH(AT$1,'在庫使用計画 (一般)'!$A$1:$BF$1,0)),INDEX('在庫使用計画 (法人)'!$A$1:$AT$578,MATCH($C165,'在庫使用計画 (法人)'!$C$1:$C$578,0),MATCH(AT$1,'在庫使用計画 (法人)'!$A$1:$AT$1,0)))),"")</f>
        <v/>
      </c>
      <c r="AU165" s="224" t="str">
        <f>IFERROR(IF(SUM(INDEX('在庫使用計画 (一般)'!$A$1:$BF$557,MATCH($C165,'在庫使用計画 (一般)'!$C$1:$C$557,0),MATCH(AU$1,'在庫使用計画 (一般)'!$A$1:$BF$1,0)),INDEX('在庫使用計画 (法人)'!$A$1:$AT$578,MATCH($C165,'在庫使用計画 (法人)'!$C$1:$C$578,0),MATCH(AU$1,'在庫使用計画 (法人)'!$A$1:$AT$1,0)))=0,"",SUM(INDEX('在庫使用計画 (一般)'!$A$1:$BF$557,MATCH($C165,'在庫使用計画 (一般)'!$C$1:$C$557,0),MATCH(AU$1,'在庫使用計画 (一般)'!$A$1:$BF$1,0)),INDEX('在庫使用計画 (法人)'!$A$1:$AT$578,MATCH($C165,'在庫使用計画 (法人)'!$C$1:$C$578,0),MATCH(AU$1,'在庫使用計画 (法人)'!$A$1:$AT$1,0)))),"")</f>
        <v/>
      </c>
      <c r="AV165" s="21"/>
      <c r="AW165" s="21"/>
      <c r="AX165" s="21"/>
      <c r="AY165" s="21"/>
      <c r="AZ165" s="21"/>
      <c r="BA165" s="21"/>
      <c r="BB165" s="21"/>
      <c r="BC165" s="21"/>
      <c r="BD165" s="21"/>
      <c r="BE165" s="21"/>
      <c r="BF165" s="21"/>
      <c r="BG165" s="21"/>
      <c r="BH165" s="21"/>
      <c r="BI165" s="21"/>
      <c r="BJ165" s="21"/>
      <c r="BK165" s="21"/>
      <c r="BL165" s="21"/>
      <c r="BM165" s="21"/>
      <c r="BN165" s="21"/>
      <c r="BO165" s="21"/>
      <c r="BP165" s="21"/>
      <c r="BQ165" s="21"/>
      <c r="BR165" s="21"/>
      <c r="BS165" s="21"/>
      <c r="BT165" s="21"/>
    </row>
    <row r="166" spans="1:72" customFormat="1">
      <c r="A166" s="1059"/>
      <c r="B166" s="26" t="s">
        <v>1697</v>
      </c>
      <c r="C166" s="26" t="s">
        <v>1698</v>
      </c>
      <c r="D166" s="2153" t="s">
        <v>1423</v>
      </c>
      <c r="E166" s="26" t="s">
        <v>1674</v>
      </c>
      <c r="F166" s="26" t="s">
        <v>1347</v>
      </c>
      <c r="G166" s="43">
        <f>SUMIFS(在庫確認!C:C,在庫確認!B:B,'在庫使用計画 (ノート全体試算)'!C:C)</f>
        <v>0</v>
      </c>
      <c r="H166" s="43"/>
      <c r="I166" s="43"/>
      <c r="J166" s="38"/>
      <c r="K166" s="38"/>
      <c r="L166" s="38" t="s">
        <v>21</v>
      </c>
      <c r="M166" s="38" t="s">
        <v>21</v>
      </c>
      <c r="N166" s="38" t="s">
        <v>21</v>
      </c>
      <c r="O166" s="38" t="s">
        <v>21</v>
      </c>
      <c r="P166" s="38" t="s">
        <v>21</v>
      </c>
      <c r="Q166" s="38" t="s">
        <v>21</v>
      </c>
      <c r="R166" s="38" t="s">
        <v>21</v>
      </c>
      <c r="S166" s="38" t="s">
        <v>21</v>
      </c>
      <c r="T166" s="219" t="s">
        <v>21</v>
      </c>
      <c r="U166" s="219" t="s">
        <v>21</v>
      </c>
      <c r="V166" s="219" t="s">
        <v>21</v>
      </c>
      <c r="W166" s="219" t="s">
        <v>21</v>
      </c>
      <c r="X166" s="224" t="s">
        <v>21</v>
      </c>
      <c r="Y166" s="224" t="s">
        <v>21</v>
      </c>
      <c r="Z166" s="224" t="s">
        <v>21</v>
      </c>
      <c r="AA166" s="237" t="s">
        <v>21</v>
      </c>
      <c r="AB166" s="224" t="s">
        <v>21</v>
      </c>
      <c r="AC166" s="224" t="s">
        <v>21</v>
      </c>
      <c r="AD166" s="224" t="s">
        <v>21</v>
      </c>
      <c r="AE166" s="224" t="s">
        <v>21</v>
      </c>
      <c r="AF166" s="224" t="s">
        <v>21</v>
      </c>
      <c r="AG166" s="224" t="s">
        <v>21</v>
      </c>
      <c r="AH166" s="224" t="s">
        <v>21</v>
      </c>
      <c r="AI166" s="224" t="s">
        <v>21</v>
      </c>
      <c r="AJ166" s="224" t="s">
        <v>21</v>
      </c>
      <c r="AK166" s="224" t="s">
        <v>21</v>
      </c>
      <c r="AL166" s="23"/>
      <c r="AM166" s="23"/>
      <c r="AN166" s="21"/>
      <c r="AO166" s="21"/>
      <c r="AP166" s="21"/>
      <c r="AQ166" s="21"/>
      <c r="AR166" s="21"/>
      <c r="AS166" s="21"/>
      <c r="AT166" s="21"/>
      <c r="AU166" s="21"/>
      <c r="AV166" s="21"/>
      <c r="AW166" s="21"/>
      <c r="AX166" s="21"/>
      <c r="AY166" s="21"/>
      <c r="AZ166" s="21"/>
      <c r="BA166" s="21"/>
      <c r="BB166" s="21"/>
      <c r="BC166" s="21"/>
      <c r="BD166" s="21"/>
      <c r="BE166" s="21"/>
      <c r="BF166" s="21"/>
      <c r="BG166" s="21"/>
      <c r="BH166" s="21"/>
      <c r="BI166" s="21"/>
      <c r="BJ166" s="21"/>
      <c r="BK166" s="21"/>
      <c r="BL166" s="21"/>
      <c r="BM166" s="21"/>
      <c r="BN166" s="21"/>
      <c r="BO166" s="21"/>
      <c r="BP166" s="21"/>
      <c r="BQ166" s="21"/>
      <c r="BR166" s="21"/>
      <c r="BS166" s="21"/>
      <c r="BT166" s="21"/>
    </row>
    <row r="167" spans="1:72" customFormat="1" ht="16.149999999999999" customHeight="1">
      <c r="A167" s="1059"/>
      <c r="B167" s="26"/>
      <c r="C167" s="25"/>
      <c r="D167" s="2154"/>
      <c r="E167" s="26"/>
      <c r="F167" s="24"/>
      <c r="G167" s="38"/>
      <c r="H167" s="38"/>
      <c r="I167" s="38"/>
      <c r="J167" s="38"/>
      <c r="K167" s="38"/>
      <c r="L167" s="38"/>
      <c r="M167" s="38"/>
      <c r="N167" s="38"/>
      <c r="O167" s="38"/>
      <c r="P167" s="66"/>
      <c r="Q167" s="368"/>
      <c r="R167" s="368"/>
      <c r="S167" s="368"/>
      <c r="T167" s="367"/>
      <c r="U167" s="367"/>
      <c r="V167" s="367"/>
      <c r="W167" s="220"/>
      <c r="X167" s="221"/>
      <c r="Y167" s="221"/>
      <c r="Z167" s="221"/>
      <c r="AA167" s="240"/>
      <c r="AB167" s="221"/>
      <c r="AC167" s="238"/>
      <c r="AD167" s="238"/>
      <c r="AE167" s="238"/>
      <c r="AF167" s="238"/>
      <c r="AG167" s="238"/>
      <c r="AH167" s="238"/>
      <c r="AI167" s="238"/>
      <c r="AJ167" s="238"/>
      <c r="AK167" s="238"/>
      <c r="AL167" s="23"/>
      <c r="AM167" s="23"/>
      <c r="AN167" s="21"/>
      <c r="AO167" s="21"/>
      <c r="AP167" s="21"/>
      <c r="AQ167" s="21"/>
      <c r="AR167" s="21"/>
      <c r="AS167" s="21"/>
      <c r="AT167" s="21"/>
      <c r="AU167" s="21"/>
      <c r="AV167" s="21"/>
      <c r="AW167" s="21"/>
      <c r="AX167" s="21"/>
      <c r="AY167" s="21"/>
      <c r="AZ167" s="21"/>
      <c r="BA167" s="21"/>
      <c r="BB167" s="21"/>
      <c r="BC167" s="21"/>
      <c r="BD167" s="21"/>
      <c r="BE167" s="21"/>
      <c r="BF167" s="21"/>
      <c r="BG167" s="21"/>
      <c r="BH167" s="21"/>
      <c r="BI167" s="21"/>
      <c r="BJ167" s="21"/>
      <c r="BK167" s="21"/>
      <c r="BL167" s="21"/>
      <c r="BM167" s="21"/>
      <c r="BN167" s="21"/>
      <c r="BO167" s="21"/>
      <c r="BP167" s="21"/>
      <c r="BQ167" s="21"/>
      <c r="BR167" s="21"/>
      <c r="BS167" s="21"/>
      <c r="BT167" s="21"/>
    </row>
    <row r="168" spans="1:72" customFormat="1">
      <c r="A168" s="1061" t="s">
        <v>1419</v>
      </c>
      <c r="B168" s="28" t="s">
        <v>1705</v>
      </c>
      <c r="C168" s="25" t="s">
        <v>1706</v>
      </c>
      <c r="D168" s="2156" t="s">
        <v>1416</v>
      </c>
      <c r="E168" s="34" t="s">
        <v>1415</v>
      </c>
      <c r="F168" s="68" t="s">
        <v>1347</v>
      </c>
      <c r="G168" s="355">
        <f>SUMIFS(在庫確認!C:C,在庫確認!B:B,'在庫使用計画 (ノート全体試算)'!C:C)</f>
        <v>299</v>
      </c>
      <c r="H168" s="355"/>
      <c r="I168" s="355"/>
      <c r="J168" s="38" t="str">
        <f>IF(IFERROR(AD168*(5/31),0)+SUM(AE168:AG168)=0,"",IFERROR(AD168*(5/31),0)+SUM(AE168:AG168))</f>
        <v/>
      </c>
      <c r="K168" s="38"/>
      <c r="L168" s="311" t="s">
        <v>21</v>
      </c>
      <c r="M168" s="311" t="s">
        <v>21</v>
      </c>
      <c r="N168" s="311" t="s">
        <v>21</v>
      </c>
      <c r="O168" s="311" t="s">
        <v>21</v>
      </c>
      <c r="P168" s="311" t="s">
        <v>21</v>
      </c>
      <c r="Q168" s="311" t="s">
        <v>21</v>
      </c>
      <c r="R168" s="38">
        <v>18</v>
      </c>
      <c r="S168" s="38">
        <v>90</v>
      </c>
      <c r="T168" s="219">
        <v>70</v>
      </c>
      <c r="U168" s="219">
        <v>52</v>
      </c>
      <c r="V168" s="219">
        <v>68</v>
      </c>
      <c r="W168" s="219">
        <v>50</v>
      </c>
      <c r="X168" s="224">
        <v>80</v>
      </c>
      <c r="Y168" s="335">
        <v>40</v>
      </c>
      <c r="Z168" s="335">
        <v>20</v>
      </c>
      <c r="AA168" s="419">
        <v>60</v>
      </c>
      <c r="AB168" s="419">
        <v>20</v>
      </c>
      <c r="AC168" s="420"/>
      <c r="AD168" s="420"/>
      <c r="AE168" s="420"/>
      <c r="AF168" s="420"/>
      <c r="AG168" s="420"/>
      <c r="AH168" s="420"/>
      <c r="AI168" s="421"/>
      <c r="AJ168" s="421"/>
      <c r="AK168" s="224" t="s">
        <v>21</v>
      </c>
      <c r="AL168" s="224" t="s">
        <v>21</v>
      </c>
      <c r="AM168" s="224" t="s">
        <v>21</v>
      </c>
      <c r="AN168" s="224" t="str">
        <f>IFERROR(IF(SUM(INDEX('在庫使用計画 (一般)'!$A$1:$BF$557,MATCH($C168,'在庫使用計画 (一般)'!$C$1:$C$557,0),MATCH(AN$1,'在庫使用計画 (一般)'!$A$1:$BF$1,0)),INDEX('在庫使用計画 (法人)'!$A$1:$AT$578,MATCH($C168,'在庫使用計画 (法人)'!$C$1:$C$578,0),MATCH(AN$1,'在庫使用計画 (法人)'!$A$1:$AT$1,0)))=0,"",SUM(INDEX('在庫使用計画 (一般)'!$A$1:$BF$557,MATCH($C168,'在庫使用計画 (一般)'!$C$1:$C$557,0),MATCH(AN$1,'在庫使用計画 (一般)'!$A$1:$BF$1,0)),INDEX('在庫使用計画 (法人)'!$A$1:$AT$578,MATCH($C168,'在庫使用計画 (法人)'!$C$1:$C$578,0),MATCH(AN$1,'在庫使用計画 (法人)'!$A$1:$AT$1,0)))),"")</f>
        <v/>
      </c>
      <c r="AO168" s="224" t="str">
        <f>IFERROR(IF(SUM(INDEX('在庫使用計画 (一般)'!$A$1:$BF$557,MATCH($C168,'在庫使用計画 (一般)'!$C$1:$C$557,0),MATCH(AO$1,'在庫使用計画 (一般)'!$A$1:$BF$1,0)),INDEX('在庫使用計画 (法人)'!$A$1:$AT$578,MATCH($C168,'在庫使用計画 (法人)'!$C$1:$C$578,0),MATCH(AO$1,'在庫使用計画 (法人)'!$A$1:$AT$1,0)))=0,"",SUM(INDEX('在庫使用計画 (一般)'!$A$1:$BF$557,MATCH($C168,'在庫使用計画 (一般)'!$C$1:$C$557,0),MATCH(AO$1,'在庫使用計画 (一般)'!$A$1:$BF$1,0)),INDEX('在庫使用計画 (法人)'!$A$1:$AT$578,MATCH($C168,'在庫使用計画 (法人)'!$C$1:$C$578,0),MATCH(AO$1,'在庫使用計画 (法人)'!$A$1:$AT$1,0)))),"")</f>
        <v/>
      </c>
      <c r="AP168" s="224" t="str">
        <f>IFERROR(IF(SUM(INDEX('在庫使用計画 (一般)'!$A$1:$BF$557,MATCH($C168,'在庫使用計画 (一般)'!$C$1:$C$557,0),MATCH(AP$1,'在庫使用計画 (一般)'!$A$1:$BF$1,0)),INDEX('在庫使用計画 (法人)'!$A$1:$AT$578,MATCH($C168,'在庫使用計画 (法人)'!$C$1:$C$578,0),MATCH(AP$1,'在庫使用計画 (法人)'!$A$1:$AT$1,0)))=0,"",SUM(INDEX('在庫使用計画 (一般)'!$A$1:$BF$557,MATCH($C168,'在庫使用計画 (一般)'!$C$1:$C$557,0),MATCH(AP$1,'在庫使用計画 (一般)'!$A$1:$BF$1,0)),INDEX('在庫使用計画 (法人)'!$A$1:$AT$578,MATCH($C168,'在庫使用計画 (法人)'!$C$1:$C$578,0),MATCH(AP$1,'在庫使用計画 (法人)'!$A$1:$AT$1,0)))),"")</f>
        <v/>
      </c>
      <c r="AQ168" s="224" t="str">
        <f>IFERROR(IF(SUM(INDEX('在庫使用計画 (一般)'!$A$1:$BF$557,MATCH($C168,'在庫使用計画 (一般)'!$C$1:$C$557,0),MATCH(AQ$1,'在庫使用計画 (一般)'!$A$1:$BF$1,0)),INDEX('在庫使用計画 (法人)'!$A$1:$AT$578,MATCH($C168,'在庫使用計画 (法人)'!$C$1:$C$578,0),MATCH(AQ$1,'在庫使用計画 (法人)'!$A$1:$AT$1,0)))=0,"",SUM(INDEX('在庫使用計画 (一般)'!$A$1:$BF$557,MATCH($C168,'在庫使用計画 (一般)'!$C$1:$C$557,0),MATCH(AQ$1,'在庫使用計画 (一般)'!$A$1:$BF$1,0)),INDEX('在庫使用計画 (法人)'!$A$1:$AT$578,MATCH($C168,'在庫使用計画 (法人)'!$C$1:$C$578,0),MATCH(AQ$1,'在庫使用計画 (法人)'!$A$1:$AT$1,0)))),"")</f>
        <v/>
      </c>
      <c r="AR168" s="224" t="str">
        <f>IFERROR(IF(SUM(INDEX('在庫使用計画 (一般)'!$A$1:$BF$557,MATCH($C168,'在庫使用計画 (一般)'!$C$1:$C$557,0),MATCH(AR$1,'在庫使用計画 (一般)'!$A$1:$BF$1,0)),INDEX('在庫使用計画 (法人)'!$A$1:$AT$578,MATCH($C168,'在庫使用計画 (法人)'!$C$1:$C$578,0),MATCH(AR$1,'在庫使用計画 (法人)'!$A$1:$AT$1,0)))=0,"",SUM(INDEX('在庫使用計画 (一般)'!$A$1:$BF$557,MATCH($C168,'在庫使用計画 (一般)'!$C$1:$C$557,0),MATCH(AR$1,'在庫使用計画 (一般)'!$A$1:$BF$1,0)),INDEX('在庫使用計画 (法人)'!$A$1:$AT$578,MATCH($C168,'在庫使用計画 (法人)'!$C$1:$C$578,0),MATCH(AR$1,'在庫使用計画 (法人)'!$A$1:$AT$1,0)))),"")</f>
        <v/>
      </c>
      <c r="AS168" s="224" t="str">
        <f>IFERROR(IF(SUM(INDEX('在庫使用計画 (一般)'!$A$1:$BF$557,MATCH($C168,'在庫使用計画 (一般)'!$C$1:$C$557,0),MATCH(AS$1,'在庫使用計画 (一般)'!$A$1:$BF$1,0)),INDEX('在庫使用計画 (法人)'!$A$1:$AT$578,MATCH($C168,'在庫使用計画 (法人)'!$C$1:$C$578,0),MATCH(AS$1,'在庫使用計画 (法人)'!$A$1:$AT$1,0)))=0,"",SUM(INDEX('在庫使用計画 (一般)'!$A$1:$BF$557,MATCH($C168,'在庫使用計画 (一般)'!$C$1:$C$557,0),MATCH(AS$1,'在庫使用計画 (一般)'!$A$1:$BF$1,0)),INDEX('在庫使用計画 (法人)'!$A$1:$AT$578,MATCH($C168,'在庫使用計画 (法人)'!$C$1:$C$578,0),MATCH(AS$1,'在庫使用計画 (法人)'!$A$1:$AT$1,0)))),"")</f>
        <v/>
      </c>
      <c r="AT168" s="224" t="str">
        <f>IFERROR(IF(SUM(INDEX('在庫使用計画 (一般)'!$A$1:$BF$557,MATCH($C168,'在庫使用計画 (一般)'!$C$1:$C$557,0),MATCH(AT$1,'在庫使用計画 (一般)'!$A$1:$BF$1,0)),INDEX('在庫使用計画 (法人)'!$A$1:$AT$578,MATCH($C168,'在庫使用計画 (法人)'!$C$1:$C$578,0),MATCH(AT$1,'在庫使用計画 (法人)'!$A$1:$AT$1,0)))=0,"",SUM(INDEX('在庫使用計画 (一般)'!$A$1:$BF$557,MATCH($C168,'在庫使用計画 (一般)'!$C$1:$C$557,0),MATCH(AT$1,'在庫使用計画 (一般)'!$A$1:$BF$1,0)),INDEX('在庫使用計画 (法人)'!$A$1:$AT$578,MATCH($C168,'在庫使用計画 (法人)'!$C$1:$C$578,0),MATCH(AT$1,'在庫使用計画 (法人)'!$A$1:$AT$1,0)))),"")</f>
        <v/>
      </c>
      <c r="AU168" s="224" t="str">
        <f>IFERROR(IF(SUM(INDEX('在庫使用計画 (一般)'!$A$1:$BF$557,MATCH($C168,'在庫使用計画 (一般)'!$C$1:$C$557,0),MATCH(AU$1,'在庫使用計画 (一般)'!$A$1:$BF$1,0)),INDEX('在庫使用計画 (法人)'!$A$1:$AT$578,MATCH($C168,'在庫使用計画 (法人)'!$C$1:$C$578,0),MATCH(AU$1,'在庫使用計画 (法人)'!$A$1:$AT$1,0)))=0,"",SUM(INDEX('在庫使用計画 (一般)'!$A$1:$BF$557,MATCH($C168,'在庫使用計画 (一般)'!$C$1:$C$557,0),MATCH(AU$1,'在庫使用計画 (一般)'!$A$1:$BF$1,0)),INDEX('在庫使用計画 (法人)'!$A$1:$AT$578,MATCH($C168,'在庫使用計画 (法人)'!$C$1:$C$578,0),MATCH(AU$1,'在庫使用計画 (法人)'!$A$1:$AT$1,0)))),"")</f>
        <v/>
      </c>
      <c r="AV168" s="70"/>
      <c r="AW168" s="70"/>
      <c r="AX168" s="70"/>
      <c r="AY168" s="70"/>
      <c r="AZ168" s="70"/>
      <c r="BA168" s="70"/>
      <c r="BB168" s="70"/>
      <c r="BC168" s="70"/>
      <c r="BD168" s="70"/>
      <c r="BE168" s="70"/>
      <c r="BF168" s="70"/>
      <c r="BG168" s="70"/>
      <c r="BH168" s="70"/>
      <c r="BI168" s="70"/>
      <c r="BJ168" s="70"/>
      <c r="BK168" s="70"/>
      <c r="BL168" s="70"/>
      <c r="BM168" s="70"/>
      <c r="BN168" s="70"/>
      <c r="BO168" s="70"/>
      <c r="BP168" s="70"/>
      <c r="BQ168" s="70"/>
      <c r="BR168" s="70"/>
      <c r="BS168" s="70"/>
      <c r="BT168" s="70"/>
    </row>
    <row r="169" spans="1:72" customFormat="1">
      <c r="A169" s="1082"/>
      <c r="B169" s="26"/>
      <c r="C169" s="25" t="s">
        <v>1707</v>
      </c>
      <c r="D169" s="2154" t="s">
        <v>1423</v>
      </c>
      <c r="E169" s="24" t="s">
        <v>1708</v>
      </c>
      <c r="F169" s="24" t="s">
        <v>1709</v>
      </c>
      <c r="G169" s="38">
        <f>SUMIFS(在庫確認!C:C,在庫確認!B:B,'在庫使用計画 (ノート全体試算)'!C:C)</f>
        <v>0</v>
      </c>
      <c r="H169" s="38"/>
      <c r="I169" s="38"/>
      <c r="J169" s="38"/>
      <c r="K169" s="38"/>
      <c r="L169" s="38" t="s">
        <v>21</v>
      </c>
      <c r="M169" s="38" t="s">
        <v>21</v>
      </c>
      <c r="N169" s="38" t="s">
        <v>21</v>
      </c>
      <c r="O169" s="38" t="s">
        <v>21</v>
      </c>
      <c r="P169" s="38" t="s">
        <v>21</v>
      </c>
      <c r="Q169" s="38" t="s">
        <v>21</v>
      </c>
      <c r="R169" s="38" t="s">
        <v>21</v>
      </c>
      <c r="S169" s="38" t="s">
        <v>21</v>
      </c>
      <c r="T169" s="219" t="s">
        <v>21</v>
      </c>
      <c r="U169" s="219" t="s">
        <v>21</v>
      </c>
      <c r="V169" s="219" t="s">
        <v>21</v>
      </c>
      <c r="W169" s="219" t="s">
        <v>21</v>
      </c>
      <c r="X169" s="224" t="s">
        <v>21</v>
      </c>
      <c r="Y169" s="224" t="s">
        <v>21</v>
      </c>
      <c r="Z169" s="224" t="s">
        <v>21</v>
      </c>
      <c r="AA169" s="224" t="s">
        <v>21</v>
      </c>
      <c r="AB169" s="224" t="s">
        <v>21</v>
      </c>
      <c r="AC169" s="224" t="s">
        <v>21</v>
      </c>
      <c r="AD169" s="224" t="s">
        <v>21</v>
      </c>
      <c r="AE169" s="224" t="s">
        <v>21</v>
      </c>
      <c r="AF169" s="224" t="s">
        <v>21</v>
      </c>
      <c r="AG169" s="224" t="s">
        <v>21</v>
      </c>
      <c r="AH169" s="224" t="s">
        <v>21</v>
      </c>
      <c r="AI169" s="224" t="s">
        <v>21</v>
      </c>
      <c r="AJ169" s="224" t="s">
        <v>21</v>
      </c>
      <c r="AK169" s="23"/>
      <c r="AL169" s="23"/>
      <c r="AM169" s="23"/>
      <c r="AN169" s="21"/>
      <c r="AO169" s="21"/>
      <c r="AP169" s="21"/>
      <c r="AQ169" s="21"/>
      <c r="AR169" s="21"/>
      <c r="AS169" s="21"/>
      <c r="AT169" s="21"/>
      <c r="AU169" s="21"/>
      <c r="AV169" s="21"/>
      <c r="AW169" s="21"/>
      <c r="AX169" s="21"/>
      <c r="AY169" s="21"/>
      <c r="AZ169" s="21"/>
      <c r="BA169" s="21"/>
      <c r="BB169" s="21"/>
      <c r="BC169" s="21"/>
      <c r="BD169" s="21"/>
      <c r="BE169" s="21"/>
      <c r="BF169" s="21"/>
      <c r="BG169" s="21"/>
      <c r="BH169" s="21"/>
      <c r="BI169" s="21"/>
      <c r="BJ169" s="21"/>
      <c r="BK169" s="21"/>
      <c r="BL169" s="21"/>
      <c r="BM169" s="21"/>
      <c r="BN169" s="21"/>
      <c r="BO169" s="21"/>
      <c r="BP169" s="21"/>
      <c r="BQ169" s="21"/>
      <c r="BR169" s="21"/>
      <c r="BS169" s="21"/>
      <c r="BT169" s="21"/>
    </row>
    <row r="170" spans="1:72" customFormat="1">
      <c r="A170" s="1082"/>
      <c r="B170" s="26"/>
      <c r="C170" s="25" t="s">
        <v>1710</v>
      </c>
      <c r="D170" s="2154" t="s">
        <v>1423</v>
      </c>
      <c r="E170" s="24" t="s">
        <v>1708</v>
      </c>
      <c r="F170" s="24" t="s">
        <v>1709</v>
      </c>
      <c r="G170" s="38">
        <f>SUMIFS(在庫確認!C:C,在庫確認!B:B,'在庫使用計画 (ノート全体試算)'!C:C)</f>
        <v>0</v>
      </c>
      <c r="H170" s="38"/>
      <c r="I170" s="38"/>
      <c r="J170" s="38"/>
      <c r="K170" s="38"/>
      <c r="L170" s="38" t="s">
        <v>21</v>
      </c>
      <c r="M170" s="38" t="s">
        <v>21</v>
      </c>
      <c r="N170" s="38" t="s">
        <v>21</v>
      </c>
      <c r="O170" s="38" t="s">
        <v>21</v>
      </c>
      <c r="P170" s="38" t="s">
        <v>21</v>
      </c>
      <c r="Q170" s="38" t="s">
        <v>21</v>
      </c>
      <c r="R170" s="38" t="s">
        <v>21</v>
      </c>
      <c r="S170" s="38" t="s">
        <v>21</v>
      </c>
      <c r="T170" s="219" t="s">
        <v>21</v>
      </c>
      <c r="U170" s="219" t="s">
        <v>21</v>
      </c>
      <c r="V170" s="219" t="s">
        <v>21</v>
      </c>
      <c r="W170" s="219" t="s">
        <v>21</v>
      </c>
      <c r="X170" s="224" t="s">
        <v>21</v>
      </c>
      <c r="Y170" s="224" t="s">
        <v>21</v>
      </c>
      <c r="Z170" s="224" t="s">
        <v>21</v>
      </c>
      <c r="AA170" s="224" t="s">
        <v>21</v>
      </c>
      <c r="AB170" s="224" t="s">
        <v>21</v>
      </c>
      <c r="AC170" s="238"/>
      <c r="AD170" s="238"/>
      <c r="AE170" s="238"/>
      <c r="AF170" s="238"/>
      <c r="AG170" s="238"/>
      <c r="AH170" s="238"/>
      <c r="AI170" s="238"/>
      <c r="AJ170" s="238"/>
      <c r="AK170" s="23"/>
      <c r="AL170" s="23"/>
      <c r="AM170" s="23"/>
      <c r="AN170" s="21"/>
      <c r="AO170" s="21"/>
      <c r="AP170" s="21"/>
      <c r="AQ170" s="21"/>
      <c r="AR170" s="21"/>
      <c r="AS170" s="21"/>
      <c r="AT170" s="21"/>
      <c r="AU170" s="21"/>
      <c r="AV170" s="21"/>
      <c r="AW170" s="21"/>
      <c r="AX170" s="21"/>
      <c r="AY170" s="21"/>
      <c r="AZ170" s="21"/>
      <c r="BA170" s="21"/>
      <c r="BB170" s="21"/>
      <c r="BC170" s="21"/>
      <c r="BD170" s="21"/>
      <c r="BE170" s="21"/>
      <c r="BF170" s="21"/>
      <c r="BG170" s="21"/>
      <c r="BH170" s="21"/>
      <c r="BI170" s="21"/>
      <c r="BJ170" s="21"/>
      <c r="BK170" s="21"/>
      <c r="BL170" s="21"/>
      <c r="BM170" s="21"/>
      <c r="BN170" s="21"/>
      <c r="BO170" s="21"/>
      <c r="BP170" s="21"/>
      <c r="BQ170" s="21"/>
      <c r="BR170" s="21"/>
      <c r="BS170" s="21"/>
      <c r="BT170" s="21"/>
    </row>
    <row r="171" spans="1:72" customFormat="1">
      <c r="A171" s="1075" t="s">
        <v>1419</v>
      </c>
      <c r="B171" s="55" t="s">
        <v>1042</v>
      </c>
      <c r="C171" s="57" t="s">
        <v>1040</v>
      </c>
      <c r="D171" s="2168">
        <v>4060</v>
      </c>
      <c r="E171" s="55" t="s">
        <v>1712</v>
      </c>
      <c r="F171" s="58" t="s">
        <v>1347</v>
      </c>
      <c r="G171" s="38">
        <f>SUMIFS(在庫確認!C:C,在庫確認!B:B,'在庫使用計画 (ノート全体試算)'!C:C)</f>
        <v>0</v>
      </c>
      <c r="H171" s="38"/>
      <c r="I171" s="38"/>
      <c r="J171" s="38"/>
      <c r="K171" s="38"/>
      <c r="L171" s="38">
        <v>515</v>
      </c>
      <c r="M171" s="38">
        <v>300</v>
      </c>
      <c r="N171" s="38">
        <v>200</v>
      </c>
      <c r="O171" s="38">
        <v>152</v>
      </c>
      <c r="P171" s="38">
        <v>15</v>
      </c>
      <c r="Q171" s="38">
        <v>26</v>
      </c>
      <c r="R171" s="38" t="s">
        <v>21</v>
      </c>
      <c r="S171" s="38">
        <v>35</v>
      </c>
      <c r="T171" s="219" t="s">
        <v>21</v>
      </c>
      <c r="U171" s="219" t="s">
        <v>21</v>
      </c>
      <c r="V171" s="219" t="s">
        <v>21</v>
      </c>
      <c r="W171" s="219" t="s">
        <v>21</v>
      </c>
      <c r="X171" s="224" t="s">
        <v>21</v>
      </c>
      <c r="Y171" s="224" t="s">
        <v>21</v>
      </c>
      <c r="Z171" s="224" t="s">
        <v>21</v>
      </c>
      <c r="AA171" s="224" t="s">
        <v>21</v>
      </c>
      <c r="AB171" s="224" t="s">
        <v>21</v>
      </c>
      <c r="AC171" s="224" t="s">
        <v>21</v>
      </c>
      <c r="AD171" s="224" t="s">
        <v>21</v>
      </c>
      <c r="AE171" s="224" t="s">
        <v>21</v>
      </c>
      <c r="AF171" s="224" t="s">
        <v>21</v>
      </c>
      <c r="AG171" s="224" t="s">
        <v>21</v>
      </c>
      <c r="AH171" s="224" t="s">
        <v>21</v>
      </c>
      <c r="AI171" s="224" t="s">
        <v>21</v>
      </c>
      <c r="AJ171" s="224" t="s">
        <v>21</v>
      </c>
      <c r="AK171" s="23"/>
      <c r="AL171" s="23"/>
      <c r="AM171" s="23"/>
      <c r="AN171" s="21"/>
      <c r="AO171" s="21"/>
      <c r="AP171" s="21"/>
      <c r="AQ171" s="21"/>
      <c r="AR171" s="21"/>
      <c r="AS171" s="21"/>
      <c r="AT171" s="21"/>
      <c r="AU171" s="21"/>
      <c r="AV171" s="21"/>
      <c r="AW171" s="21"/>
      <c r="AX171" s="21"/>
      <c r="AY171" s="21"/>
      <c r="AZ171" s="21"/>
      <c r="BA171" s="21"/>
      <c r="BB171" s="21"/>
      <c r="BC171" s="21"/>
      <c r="BD171" s="21"/>
      <c r="BE171" s="21"/>
      <c r="BF171" s="21"/>
      <c r="BG171" s="21"/>
      <c r="BH171" s="21"/>
      <c r="BI171" s="21"/>
      <c r="BJ171" s="21"/>
      <c r="BK171" s="21"/>
      <c r="BL171" s="21"/>
      <c r="BM171" s="21"/>
      <c r="BN171" s="21"/>
      <c r="BO171" s="21"/>
      <c r="BP171" s="21"/>
      <c r="BQ171" s="21"/>
      <c r="BR171" s="21"/>
      <c r="BS171" s="21"/>
      <c r="BT171" s="21"/>
    </row>
    <row r="172" spans="1:72" customFormat="1">
      <c r="A172" s="1075" t="s">
        <v>1317</v>
      </c>
      <c r="B172" s="55" t="s">
        <v>534</v>
      </c>
      <c r="C172" s="57" t="s">
        <v>532</v>
      </c>
      <c r="D172" s="2168">
        <v>4050</v>
      </c>
      <c r="E172" s="55" t="s">
        <v>38</v>
      </c>
      <c r="F172" s="58" t="s">
        <v>1372</v>
      </c>
      <c r="G172" s="38">
        <f>SUMIFS(在庫確認!C:C,在庫確認!B:B,'在庫使用計画 (ノート全体試算)'!C:C)</f>
        <v>0</v>
      </c>
      <c r="H172" s="38"/>
      <c r="I172" s="38"/>
      <c r="J172" s="38"/>
      <c r="K172" s="38"/>
      <c r="L172" s="38">
        <v>410</v>
      </c>
      <c r="M172" s="38">
        <v>250</v>
      </c>
      <c r="N172" s="38">
        <v>220</v>
      </c>
      <c r="O172" s="38">
        <v>164</v>
      </c>
      <c r="P172" s="38">
        <v>38</v>
      </c>
      <c r="Q172" s="38">
        <v>40</v>
      </c>
      <c r="R172" s="38">
        <v>50</v>
      </c>
      <c r="S172" s="38">
        <v>29</v>
      </c>
      <c r="T172" s="219">
        <v>75</v>
      </c>
      <c r="U172" s="219">
        <v>10</v>
      </c>
      <c r="V172" s="219" t="s">
        <v>21</v>
      </c>
      <c r="W172" s="219" t="s">
        <v>21</v>
      </c>
      <c r="X172" s="224" t="s">
        <v>21</v>
      </c>
      <c r="Y172" s="224" t="s">
        <v>21</v>
      </c>
      <c r="Z172" s="224" t="s">
        <v>21</v>
      </c>
      <c r="AA172" s="224" t="s">
        <v>21</v>
      </c>
      <c r="AB172" s="224" t="s">
        <v>21</v>
      </c>
      <c r="AC172" s="224" t="s">
        <v>21</v>
      </c>
      <c r="AD172" s="224" t="s">
        <v>21</v>
      </c>
      <c r="AE172" s="224" t="s">
        <v>21</v>
      </c>
      <c r="AF172" s="224" t="s">
        <v>21</v>
      </c>
      <c r="AG172" s="224" t="s">
        <v>21</v>
      </c>
      <c r="AH172" s="224" t="s">
        <v>21</v>
      </c>
      <c r="AI172" s="224" t="s">
        <v>21</v>
      </c>
      <c r="AJ172" s="224" t="s">
        <v>21</v>
      </c>
      <c r="AK172" s="23"/>
      <c r="AL172" s="23"/>
      <c r="AM172" s="23"/>
      <c r="AN172" s="21"/>
      <c r="AO172" s="21"/>
      <c r="AP172" s="21"/>
      <c r="AQ172" s="21"/>
      <c r="AR172" s="21"/>
      <c r="AS172" s="21"/>
      <c r="AT172" s="21"/>
      <c r="AU172" s="21"/>
      <c r="AV172" s="21"/>
      <c r="AW172" s="21"/>
      <c r="AX172" s="21"/>
      <c r="AY172" s="21"/>
      <c r="AZ172" s="21"/>
      <c r="BA172" s="21"/>
      <c r="BB172" s="21"/>
      <c r="BC172" s="21"/>
      <c r="BD172" s="21"/>
      <c r="BE172" s="21"/>
      <c r="BF172" s="21"/>
      <c r="BG172" s="21"/>
      <c r="BH172" s="21"/>
      <c r="BI172" s="21"/>
      <c r="BJ172" s="21"/>
      <c r="BK172" s="21"/>
      <c r="BL172" s="21"/>
      <c r="BM172" s="21"/>
      <c r="BN172" s="21"/>
      <c r="BO172" s="21"/>
      <c r="BP172" s="21"/>
      <c r="BQ172" s="21"/>
      <c r="BR172" s="21"/>
      <c r="BS172" s="21"/>
      <c r="BT172" s="21"/>
    </row>
    <row r="173" spans="1:72" customFormat="1">
      <c r="A173" s="1075" t="s">
        <v>1317</v>
      </c>
      <c r="B173" s="55" t="s">
        <v>1317</v>
      </c>
      <c r="C173" s="57" t="s">
        <v>887</v>
      </c>
      <c r="D173" s="2168">
        <v>3060</v>
      </c>
      <c r="E173" s="55" t="s">
        <v>1713</v>
      </c>
      <c r="F173" s="58"/>
      <c r="G173" s="38">
        <f>SUMIFS(在庫確認!C:C,在庫確認!B:B,'在庫使用計画 (ノート全体試算)'!C:C)</f>
        <v>0</v>
      </c>
      <c r="H173" s="38"/>
      <c r="I173" s="38"/>
      <c r="J173" s="38"/>
      <c r="K173" s="38"/>
      <c r="L173" s="38">
        <v>33</v>
      </c>
      <c r="M173" s="38">
        <v>23</v>
      </c>
      <c r="N173" s="38">
        <v>337</v>
      </c>
      <c r="O173" s="38">
        <v>10</v>
      </c>
      <c r="P173" s="38">
        <v>15</v>
      </c>
      <c r="Q173" s="38">
        <v>66</v>
      </c>
      <c r="R173" s="38">
        <v>57</v>
      </c>
      <c r="S173" s="38">
        <v>17</v>
      </c>
      <c r="T173" s="219">
        <v>30</v>
      </c>
      <c r="U173" s="219">
        <v>6</v>
      </c>
      <c r="V173" s="219" t="s">
        <v>21</v>
      </c>
      <c r="W173" s="219" t="s">
        <v>21</v>
      </c>
      <c r="X173" s="224" t="s">
        <v>21</v>
      </c>
      <c r="Y173" s="224" t="s">
        <v>21</v>
      </c>
      <c r="Z173" s="224" t="s">
        <v>21</v>
      </c>
      <c r="AA173" s="224" t="s">
        <v>21</v>
      </c>
      <c r="AB173" s="224" t="s">
        <v>21</v>
      </c>
      <c r="AC173" s="224" t="s">
        <v>21</v>
      </c>
      <c r="AD173" s="224" t="s">
        <v>21</v>
      </c>
      <c r="AE173" s="224" t="s">
        <v>21</v>
      </c>
      <c r="AF173" s="224" t="s">
        <v>21</v>
      </c>
      <c r="AG173" s="224" t="s">
        <v>21</v>
      </c>
      <c r="AH173" s="224" t="s">
        <v>21</v>
      </c>
      <c r="AI173" s="224" t="s">
        <v>21</v>
      </c>
      <c r="AJ173" s="224" t="s">
        <v>21</v>
      </c>
      <c r="AK173" s="23"/>
      <c r="AL173" s="23"/>
      <c r="AM173" s="23"/>
      <c r="AN173" s="21"/>
      <c r="AO173" s="21"/>
      <c r="AP173" s="21"/>
      <c r="AQ173" s="21"/>
      <c r="AR173" s="21"/>
      <c r="AS173" s="21"/>
      <c r="AT173" s="21"/>
      <c r="AU173" s="21"/>
      <c r="AV173" s="21"/>
      <c r="AW173" s="21"/>
      <c r="AX173" s="21"/>
      <c r="AY173" s="21"/>
      <c r="AZ173" s="21"/>
      <c r="BA173" s="21"/>
      <c r="BB173" s="21"/>
      <c r="BC173" s="21"/>
      <c r="BD173" s="21"/>
      <c r="BE173" s="21"/>
      <c r="BF173" s="21"/>
      <c r="BG173" s="21"/>
      <c r="BH173" s="21"/>
      <c r="BI173" s="21"/>
      <c r="BJ173" s="21"/>
      <c r="BK173" s="21"/>
      <c r="BL173" s="21"/>
      <c r="BM173" s="21"/>
      <c r="BN173" s="21"/>
      <c r="BO173" s="21"/>
      <c r="BP173" s="21"/>
      <c r="BQ173" s="21"/>
      <c r="BR173" s="21"/>
      <c r="BS173" s="21"/>
      <c r="BT173" s="21"/>
    </row>
    <row r="174" spans="1:72" customFormat="1">
      <c r="A174" s="1075"/>
      <c r="B174" s="55" t="s">
        <v>1016</v>
      </c>
      <c r="C174" s="57" t="s">
        <v>1014</v>
      </c>
      <c r="D174" s="2168">
        <v>4060</v>
      </c>
      <c r="E174" s="55" t="s">
        <v>38</v>
      </c>
      <c r="F174" s="58" t="s">
        <v>1347</v>
      </c>
      <c r="G174" s="38">
        <f>SUMIFS(在庫確認!C:C,在庫確認!B:B,'在庫使用計画 (ノート全体試算)'!C:C)</f>
        <v>0</v>
      </c>
      <c r="H174" s="38"/>
      <c r="I174" s="38"/>
      <c r="J174" s="38"/>
      <c r="K174" s="38"/>
      <c r="L174" s="38">
        <v>140</v>
      </c>
      <c r="M174" s="38">
        <v>100</v>
      </c>
      <c r="N174" s="38">
        <v>23</v>
      </c>
      <c r="O174" s="38">
        <v>105</v>
      </c>
      <c r="P174" s="38">
        <v>14</v>
      </c>
      <c r="Q174" s="38">
        <v>40</v>
      </c>
      <c r="R174" s="38">
        <v>30</v>
      </c>
      <c r="S174" s="38">
        <v>103</v>
      </c>
      <c r="T174" s="219" t="s">
        <v>21</v>
      </c>
      <c r="U174" s="219">
        <v>12</v>
      </c>
      <c r="V174" s="219" t="s">
        <v>21</v>
      </c>
      <c r="W174" s="219" t="s">
        <v>21</v>
      </c>
      <c r="X174" s="224" t="s">
        <v>21</v>
      </c>
      <c r="Y174" s="224" t="s">
        <v>21</v>
      </c>
      <c r="Z174" s="224" t="s">
        <v>21</v>
      </c>
      <c r="AA174" s="224" t="s">
        <v>21</v>
      </c>
      <c r="AB174" s="224" t="s">
        <v>21</v>
      </c>
      <c r="AC174" s="224" t="s">
        <v>21</v>
      </c>
      <c r="AD174" s="224" t="s">
        <v>21</v>
      </c>
      <c r="AE174" s="224" t="s">
        <v>21</v>
      </c>
      <c r="AF174" s="224" t="s">
        <v>21</v>
      </c>
      <c r="AG174" s="224" t="s">
        <v>21</v>
      </c>
      <c r="AH174" s="224" t="s">
        <v>21</v>
      </c>
      <c r="AI174" s="224" t="s">
        <v>21</v>
      </c>
      <c r="AJ174" s="224" t="s">
        <v>21</v>
      </c>
      <c r="AK174" s="23"/>
      <c r="AL174" s="23"/>
      <c r="AM174" s="23"/>
      <c r="AN174" s="21"/>
      <c r="AO174" s="21"/>
      <c r="AP174" s="21"/>
      <c r="AQ174" s="21"/>
      <c r="AR174" s="21"/>
      <c r="AS174" s="21"/>
      <c r="AT174" s="21"/>
      <c r="AU174" s="21"/>
      <c r="AV174" s="21"/>
      <c r="AW174" s="21"/>
      <c r="AX174" s="21"/>
      <c r="AY174" s="21"/>
      <c r="AZ174" s="21"/>
      <c r="BA174" s="21"/>
      <c r="BB174" s="21"/>
      <c r="BC174" s="21"/>
      <c r="BD174" s="21"/>
      <c r="BE174" s="21"/>
      <c r="BF174" s="21"/>
      <c r="BG174" s="21"/>
      <c r="BH174" s="21"/>
      <c r="BI174" s="21"/>
      <c r="BJ174" s="21"/>
      <c r="BK174" s="21"/>
      <c r="BL174" s="21"/>
      <c r="BM174" s="21"/>
      <c r="BN174" s="21"/>
      <c r="BO174" s="21"/>
      <c r="BP174" s="21"/>
      <c r="BQ174" s="21"/>
      <c r="BR174" s="21"/>
      <c r="BS174" s="21"/>
      <c r="BT174" s="21"/>
    </row>
    <row r="175" spans="1:72" customFormat="1">
      <c r="A175" s="1075"/>
      <c r="B175" s="55" t="s">
        <v>538</v>
      </c>
      <c r="C175" s="57" t="s">
        <v>535</v>
      </c>
      <c r="D175" s="2168" t="s">
        <v>438</v>
      </c>
      <c r="E175" s="55" t="s">
        <v>38</v>
      </c>
      <c r="F175" s="58" t="s">
        <v>1347</v>
      </c>
      <c r="G175" s="38">
        <f>SUMIFS(在庫確認!C:C,在庫確認!B:B,'在庫使用計画 (ノート全体試算)'!C:C)</f>
        <v>0</v>
      </c>
      <c r="H175" s="38"/>
      <c r="I175" s="38"/>
      <c r="J175" s="38"/>
      <c r="K175" s="38"/>
      <c r="L175" s="38">
        <v>146</v>
      </c>
      <c r="M175" s="38">
        <v>150</v>
      </c>
      <c r="N175" s="38" t="s">
        <v>21</v>
      </c>
      <c r="O175" s="38" t="s">
        <v>21</v>
      </c>
      <c r="P175" s="38" t="s">
        <v>21</v>
      </c>
      <c r="Q175" s="38">
        <v>3</v>
      </c>
      <c r="R175" s="38">
        <v>1</v>
      </c>
      <c r="S175" s="38" t="s">
        <v>21</v>
      </c>
      <c r="T175" s="219" t="s">
        <v>21</v>
      </c>
      <c r="U175" s="219" t="s">
        <v>21</v>
      </c>
      <c r="V175" s="219" t="s">
        <v>21</v>
      </c>
      <c r="W175" s="219" t="s">
        <v>21</v>
      </c>
      <c r="X175" s="224" t="s">
        <v>21</v>
      </c>
      <c r="Y175" s="237" t="s">
        <v>21</v>
      </c>
      <c r="Z175" s="224" t="s">
        <v>21</v>
      </c>
      <c r="AA175" s="224" t="s">
        <v>21</v>
      </c>
      <c r="AB175" s="224" t="s">
        <v>21</v>
      </c>
      <c r="AC175" s="224" t="s">
        <v>21</v>
      </c>
      <c r="AD175" s="224" t="s">
        <v>21</v>
      </c>
      <c r="AE175" s="224" t="s">
        <v>21</v>
      </c>
      <c r="AF175" s="224" t="s">
        <v>21</v>
      </c>
      <c r="AG175" s="224" t="s">
        <v>21</v>
      </c>
      <c r="AH175" s="224" t="s">
        <v>21</v>
      </c>
      <c r="AI175" s="224" t="s">
        <v>21</v>
      </c>
      <c r="AJ175" s="224" t="s">
        <v>21</v>
      </c>
      <c r="AK175" s="23"/>
      <c r="AL175" s="23"/>
      <c r="AM175" s="23"/>
      <c r="AN175" s="21"/>
      <c r="AO175" s="21"/>
      <c r="AP175" s="21"/>
      <c r="AQ175" s="21"/>
      <c r="AR175" s="21"/>
      <c r="AS175" s="21"/>
      <c r="AT175" s="21"/>
      <c r="AU175" s="21"/>
      <c r="AV175" s="21"/>
      <c r="AW175" s="21"/>
      <c r="AX175" s="21"/>
      <c r="AY175" s="21"/>
      <c r="AZ175" s="21"/>
      <c r="BA175" s="21"/>
      <c r="BB175" s="21"/>
      <c r="BC175" s="21"/>
      <c r="BD175" s="21"/>
      <c r="BE175" s="21"/>
      <c r="BF175" s="21"/>
      <c r="BG175" s="21"/>
      <c r="BH175" s="21"/>
      <c r="BI175" s="21"/>
      <c r="BJ175" s="21"/>
      <c r="BK175" s="21"/>
      <c r="BL175" s="21"/>
      <c r="BM175" s="21"/>
      <c r="BN175" s="21"/>
      <c r="BO175" s="21"/>
      <c r="BP175" s="21"/>
      <c r="BQ175" s="21"/>
      <c r="BR175" s="21"/>
      <c r="BS175" s="21"/>
      <c r="BT175" s="21"/>
    </row>
    <row r="176" spans="1:72" customFormat="1">
      <c r="A176" s="1061"/>
      <c r="B176" s="26" t="s">
        <v>1704</v>
      </c>
      <c r="C176" s="25" t="s">
        <v>500</v>
      </c>
      <c r="D176" s="2156" t="s">
        <v>1416</v>
      </c>
      <c r="E176" s="68" t="s">
        <v>1375</v>
      </c>
      <c r="F176" s="68" t="s">
        <v>1347</v>
      </c>
      <c r="G176" s="355">
        <f>SUMIFS(在庫確認!C:C,在庫確認!B:B,'在庫使用計画 (ノート全体試算)'!C:C)</f>
        <v>325</v>
      </c>
      <c r="H176" s="355"/>
      <c r="I176" s="355"/>
      <c r="J176" s="38"/>
      <c r="K176" s="38"/>
      <c r="L176" s="38" t="s">
        <v>21</v>
      </c>
      <c r="M176" s="38" t="s">
        <v>21</v>
      </c>
      <c r="N176" s="38" t="s">
        <v>21</v>
      </c>
      <c r="O176" s="38" t="s">
        <v>21</v>
      </c>
      <c r="P176" s="38" t="s">
        <v>21</v>
      </c>
      <c r="Q176" s="38">
        <v>22</v>
      </c>
      <c r="R176" s="38">
        <v>52</v>
      </c>
      <c r="S176" s="38">
        <v>42</v>
      </c>
      <c r="T176" s="219">
        <v>42</v>
      </c>
      <c r="U176" s="219">
        <v>55</v>
      </c>
      <c r="V176" s="219">
        <v>65</v>
      </c>
      <c r="W176" s="219">
        <v>85</v>
      </c>
      <c r="X176" s="224">
        <v>65</v>
      </c>
      <c r="Y176" s="224">
        <v>45</v>
      </c>
      <c r="Z176" s="224">
        <v>5</v>
      </c>
      <c r="AA176" s="237" t="s">
        <v>21</v>
      </c>
      <c r="AB176" s="224" t="s">
        <v>21</v>
      </c>
      <c r="AC176" s="224" t="s">
        <v>21</v>
      </c>
      <c r="AD176" s="224" t="s">
        <v>21</v>
      </c>
      <c r="AE176" s="224" t="s">
        <v>21</v>
      </c>
      <c r="AF176" s="224" t="s">
        <v>21</v>
      </c>
      <c r="AG176" s="224" t="s">
        <v>21</v>
      </c>
      <c r="AH176" s="224" t="s">
        <v>21</v>
      </c>
      <c r="AI176" s="224" t="s">
        <v>21</v>
      </c>
      <c r="AJ176" s="224" t="s">
        <v>21</v>
      </c>
      <c r="AK176" s="224" t="s">
        <v>21</v>
      </c>
      <c r="AL176" s="224" t="s">
        <v>21</v>
      </c>
      <c r="AM176" s="224" t="s">
        <v>21</v>
      </c>
      <c r="AN176" s="224" t="str">
        <f>IFERROR(IF(SUM(INDEX('在庫使用計画 (一般)'!$A$1:$BF$557,MATCH($C176,'在庫使用計画 (一般)'!$C$1:$C$557,0),MATCH(AN$1,'在庫使用計画 (一般)'!$A$1:$BF$1,0)),INDEX('在庫使用計画 (法人)'!$A$1:$AT$578,MATCH($C176,'在庫使用計画 (法人)'!$C$1:$C$578,0),MATCH(AN$1,'在庫使用計画 (法人)'!$A$1:$AT$1,0)))=0,"",SUM(INDEX('在庫使用計画 (一般)'!$A$1:$BF$557,MATCH($C176,'在庫使用計画 (一般)'!$C$1:$C$557,0),MATCH(AN$1,'在庫使用計画 (一般)'!$A$1:$BF$1,0)),INDEX('在庫使用計画 (法人)'!$A$1:$AT$578,MATCH($C176,'在庫使用計画 (法人)'!$C$1:$C$578,0),MATCH(AN$1,'在庫使用計画 (法人)'!$A$1:$AT$1,0)))),"")</f>
        <v/>
      </c>
      <c r="AO176" s="224" t="str">
        <f>IFERROR(IF(SUM(INDEX('在庫使用計画 (一般)'!$A$1:$BF$557,MATCH($C176,'在庫使用計画 (一般)'!$C$1:$C$557,0),MATCH(AO$1,'在庫使用計画 (一般)'!$A$1:$BF$1,0)),INDEX('在庫使用計画 (法人)'!$A$1:$AT$578,MATCH($C176,'在庫使用計画 (法人)'!$C$1:$C$578,0),MATCH(AO$1,'在庫使用計画 (法人)'!$A$1:$AT$1,0)))=0,"",SUM(INDEX('在庫使用計画 (一般)'!$A$1:$BF$557,MATCH($C176,'在庫使用計画 (一般)'!$C$1:$C$557,0),MATCH(AO$1,'在庫使用計画 (一般)'!$A$1:$BF$1,0)),INDEX('在庫使用計画 (法人)'!$A$1:$AT$578,MATCH($C176,'在庫使用計画 (法人)'!$C$1:$C$578,0),MATCH(AO$1,'在庫使用計画 (法人)'!$A$1:$AT$1,0)))),"")</f>
        <v/>
      </c>
      <c r="AP176" s="224" t="str">
        <f>IFERROR(IF(SUM(INDEX('在庫使用計画 (一般)'!$A$1:$BF$557,MATCH($C176,'在庫使用計画 (一般)'!$C$1:$C$557,0),MATCH(AP$1,'在庫使用計画 (一般)'!$A$1:$BF$1,0)),INDEX('在庫使用計画 (法人)'!$A$1:$AT$578,MATCH($C176,'在庫使用計画 (法人)'!$C$1:$C$578,0),MATCH(AP$1,'在庫使用計画 (法人)'!$A$1:$AT$1,0)))=0,"",SUM(INDEX('在庫使用計画 (一般)'!$A$1:$BF$557,MATCH($C176,'在庫使用計画 (一般)'!$C$1:$C$557,0),MATCH(AP$1,'在庫使用計画 (一般)'!$A$1:$BF$1,0)),INDEX('在庫使用計画 (法人)'!$A$1:$AT$578,MATCH($C176,'在庫使用計画 (法人)'!$C$1:$C$578,0),MATCH(AP$1,'在庫使用計画 (法人)'!$A$1:$AT$1,0)))),"")</f>
        <v/>
      </c>
      <c r="AQ176" s="224" t="str">
        <f>IFERROR(IF(SUM(INDEX('在庫使用計画 (一般)'!$A$1:$BF$557,MATCH($C176,'在庫使用計画 (一般)'!$C$1:$C$557,0),MATCH(AQ$1,'在庫使用計画 (一般)'!$A$1:$BF$1,0)),INDEX('在庫使用計画 (法人)'!$A$1:$AT$578,MATCH($C176,'在庫使用計画 (法人)'!$C$1:$C$578,0),MATCH(AQ$1,'在庫使用計画 (法人)'!$A$1:$AT$1,0)))=0,"",SUM(INDEX('在庫使用計画 (一般)'!$A$1:$BF$557,MATCH($C176,'在庫使用計画 (一般)'!$C$1:$C$557,0),MATCH(AQ$1,'在庫使用計画 (一般)'!$A$1:$BF$1,0)),INDEX('在庫使用計画 (法人)'!$A$1:$AT$578,MATCH($C176,'在庫使用計画 (法人)'!$C$1:$C$578,0),MATCH(AQ$1,'在庫使用計画 (法人)'!$A$1:$AT$1,0)))),"")</f>
        <v/>
      </c>
      <c r="AR176" s="224" t="str">
        <f>IFERROR(IF(SUM(INDEX('在庫使用計画 (一般)'!$A$1:$BF$557,MATCH($C176,'在庫使用計画 (一般)'!$C$1:$C$557,0),MATCH(AR$1,'在庫使用計画 (一般)'!$A$1:$BF$1,0)),INDEX('在庫使用計画 (法人)'!$A$1:$AT$578,MATCH($C176,'在庫使用計画 (法人)'!$C$1:$C$578,0),MATCH(AR$1,'在庫使用計画 (法人)'!$A$1:$AT$1,0)))=0,"",SUM(INDEX('在庫使用計画 (一般)'!$A$1:$BF$557,MATCH($C176,'在庫使用計画 (一般)'!$C$1:$C$557,0),MATCH(AR$1,'在庫使用計画 (一般)'!$A$1:$BF$1,0)),INDEX('在庫使用計画 (法人)'!$A$1:$AT$578,MATCH($C176,'在庫使用計画 (法人)'!$C$1:$C$578,0),MATCH(AR$1,'在庫使用計画 (法人)'!$A$1:$AT$1,0)))),"")</f>
        <v/>
      </c>
      <c r="AS176" s="224" t="str">
        <f>IFERROR(IF(SUM(INDEX('在庫使用計画 (一般)'!$A$1:$BF$557,MATCH($C176,'在庫使用計画 (一般)'!$C$1:$C$557,0),MATCH(AS$1,'在庫使用計画 (一般)'!$A$1:$BF$1,0)),INDEX('在庫使用計画 (法人)'!$A$1:$AT$578,MATCH($C176,'在庫使用計画 (法人)'!$C$1:$C$578,0),MATCH(AS$1,'在庫使用計画 (法人)'!$A$1:$AT$1,0)))=0,"",SUM(INDEX('在庫使用計画 (一般)'!$A$1:$BF$557,MATCH($C176,'在庫使用計画 (一般)'!$C$1:$C$557,0),MATCH(AS$1,'在庫使用計画 (一般)'!$A$1:$BF$1,0)),INDEX('在庫使用計画 (法人)'!$A$1:$AT$578,MATCH($C176,'在庫使用計画 (法人)'!$C$1:$C$578,0),MATCH(AS$1,'在庫使用計画 (法人)'!$A$1:$AT$1,0)))),"")</f>
        <v/>
      </c>
      <c r="AT176" s="224" t="str">
        <f>IFERROR(IF(SUM(INDEX('在庫使用計画 (一般)'!$A$1:$BF$557,MATCH($C176,'在庫使用計画 (一般)'!$C$1:$C$557,0),MATCH(AT$1,'在庫使用計画 (一般)'!$A$1:$BF$1,0)),INDEX('在庫使用計画 (法人)'!$A$1:$AT$578,MATCH($C176,'在庫使用計画 (法人)'!$C$1:$C$578,0),MATCH(AT$1,'在庫使用計画 (法人)'!$A$1:$AT$1,0)))=0,"",SUM(INDEX('在庫使用計画 (一般)'!$A$1:$BF$557,MATCH($C176,'在庫使用計画 (一般)'!$C$1:$C$557,0),MATCH(AT$1,'在庫使用計画 (一般)'!$A$1:$BF$1,0)),INDEX('在庫使用計画 (法人)'!$A$1:$AT$578,MATCH($C176,'在庫使用計画 (法人)'!$C$1:$C$578,0),MATCH(AT$1,'在庫使用計画 (法人)'!$A$1:$AT$1,0)))),"")</f>
        <v/>
      </c>
      <c r="AU176" s="224" t="str">
        <f>IFERROR(IF(SUM(INDEX('在庫使用計画 (一般)'!$A$1:$BF$557,MATCH($C176,'在庫使用計画 (一般)'!$C$1:$C$557,0),MATCH(AU$1,'在庫使用計画 (一般)'!$A$1:$BF$1,0)),INDEX('在庫使用計画 (法人)'!$A$1:$AT$578,MATCH($C176,'在庫使用計画 (法人)'!$C$1:$C$578,0),MATCH(AU$1,'在庫使用計画 (法人)'!$A$1:$AT$1,0)))=0,"",SUM(INDEX('在庫使用計画 (一般)'!$A$1:$BF$557,MATCH($C176,'在庫使用計画 (一般)'!$C$1:$C$557,0),MATCH(AU$1,'在庫使用計画 (一般)'!$A$1:$BF$1,0)),INDEX('在庫使用計画 (法人)'!$A$1:$AT$578,MATCH($C176,'在庫使用計画 (法人)'!$C$1:$C$578,0),MATCH(AU$1,'在庫使用計画 (法人)'!$A$1:$AT$1,0)))),"")</f>
        <v/>
      </c>
      <c r="AV176" s="70"/>
      <c r="AW176" s="70"/>
      <c r="AX176" s="70"/>
      <c r="AY176" s="70"/>
      <c r="AZ176" s="70"/>
      <c r="BA176" s="70"/>
      <c r="BB176" s="70"/>
      <c r="BC176" s="70"/>
      <c r="BD176" s="70"/>
      <c r="BE176" s="70"/>
      <c r="BF176" s="70"/>
      <c r="BG176" s="70"/>
      <c r="BH176" s="70"/>
      <c r="BI176" s="70"/>
      <c r="BJ176" s="70"/>
      <c r="BK176" s="70"/>
      <c r="BL176" s="70"/>
      <c r="BM176" s="70"/>
      <c r="BN176" s="70"/>
      <c r="BO176" s="70"/>
      <c r="BP176" s="70"/>
      <c r="BQ176" s="70"/>
      <c r="BR176" s="70"/>
      <c r="BS176" s="70"/>
      <c r="BT176" s="70"/>
    </row>
    <row r="177" spans="1:72" customFormat="1" ht="33">
      <c r="A177" s="1059"/>
      <c r="B177" s="26" t="s">
        <v>714</v>
      </c>
      <c r="C177" s="24" t="s">
        <v>712</v>
      </c>
      <c r="D177" s="2153" t="s">
        <v>1423</v>
      </c>
      <c r="E177" s="24" t="s">
        <v>1422</v>
      </c>
      <c r="F177" s="26" t="s">
        <v>1372</v>
      </c>
      <c r="G177" s="43">
        <f>SUMIFS(在庫確認!C:C,在庫確認!B:B,'在庫使用計画 (ノート全体試算)'!C:C)</f>
        <v>1120</v>
      </c>
      <c r="H177" s="43"/>
      <c r="I177" s="43"/>
      <c r="J177" s="38"/>
      <c r="K177" s="38"/>
      <c r="L177" s="38">
        <v>204</v>
      </c>
      <c r="M177" s="38">
        <v>248</v>
      </c>
      <c r="N177" s="38">
        <v>390</v>
      </c>
      <c r="O177" s="38">
        <v>238</v>
      </c>
      <c r="P177" s="38">
        <v>78</v>
      </c>
      <c r="Q177" s="74">
        <v>125</v>
      </c>
      <c r="R177" s="38">
        <v>140</v>
      </c>
      <c r="S177" s="38">
        <v>190</v>
      </c>
      <c r="T177" s="219">
        <v>195</v>
      </c>
      <c r="U177" s="219">
        <v>154</v>
      </c>
      <c r="V177" s="219">
        <v>246</v>
      </c>
      <c r="W177" s="219">
        <v>200</v>
      </c>
      <c r="X177" s="224">
        <v>169</v>
      </c>
      <c r="Y177" s="237">
        <v>205</v>
      </c>
      <c r="Z177" s="224">
        <v>275</v>
      </c>
      <c r="AA177" s="292" t="s">
        <v>21</v>
      </c>
      <c r="AB177" s="299" t="s">
        <v>21</v>
      </c>
      <c r="AC177" s="299" t="s">
        <v>21</v>
      </c>
      <c r="AD177" s="299" t="s">
        <v>21</v>
      </c>
      <c r="AE177" s="218"/>
      <c r="AF177" s="218"/>
      <c r="AG177" s="218"/>
      <c r="AH177" s="218"/>
      <c r="AI177" s="218"/>
      <c r="AJ177" s="218"/>
      <c r="AK177" s="224" t="s">
        <v>21</v>
      </c>
      <c r="AL177" s="224" t="s">
        <v>21</v>
      </c>
      <c r="AM177" s="224" t="s">
        <v>21</v>
      </c>
      <c r="AN177" s="224" t="str">
        <f>IFERROR(IF(SUM(INDEX('在庫使用計画 (一般)'!$A$1:$BF$557,MATCH($C177,'在庫使用計画 (一般)'!$C$1:$C$557,0),MATCH(AN$1,'在庫使用計画 (一般)'!$A$1:$BF$1,0)),INDEX('在庫使用計画 (法人)'!$A$1:$AT$578,MATCH($C177,'在庫使用計画 (法人)'!$C$1:$C$578,0),MATCH(AN$1,'在庫使用計画 (法人)'!$A$1:$AT$1,0)))=0,"",SUM(INDEX('在庫使用計画 (一般)'!$A$1:$BF$557,MATCH($C177,'在庫使用計画 (一般)'!$C$1:$C$557,0),MATCH(AN$1,'在庫使用計画 (一般)'!$A$1:$BF$1,0)),INDEX('在庫使用計画 (法人)'!$A$1:$AT$578,MATCH($C177,'在庫使用計画 (法人)'!$C$1:$C$578,0),MATCH(AN$1,'在庫使用計画 (法人)'!$A$1:$AT$1,0)))),"")</f>
        <v/>
      </c>
      <c r="AO177" s="224" t="str">
        <f>IFERROR(IF(SUM(INDEX('在庫使用計画 (一般)'!$A$1:$BF$557,MATCH($C177,'在庫使用計画 (一般)'!$C$1:$C$557,0),MATCH(AO$1,'在庫使用計画 (一般)'!$A$1:$BF$1,0)),INDEX('在庫使用計画 (法人)'!$A$1:$AT$578,MATCH($C177,'在庫使用計画 (法人)'!$C$1:$C$578,0),MATCH(AO$1,'在庫使用計画 (法人)'!$A$1:$AT$1,0)))=0,"",SUM(INDEX('在庫使用計画 (一般)'!$A$1:$BF$557,MATCH($C177,'在庫使用計画 (一般)'!$C$1:$C$557,0),MATCH(AO$1,'在庫使用計画 (一般)'!$A$1:$BF$1,0)),INDEX('在庫使用計画 (法人)'!$A$1:$AT$578,MATCH($C177,'在庫使用計画 (法人)'!$C$1:$C$578,0),MATCH(AO$1,'在庫使用計画 (法人)'!$A$1:$AT$1,0)))),"")</f>
        <v/>
      </c>
      <c r="AP177" s="224" t="str">
        <f>IFERROR(IF(SUM(INDEX('在庫使用計画 (一般)'!$A$1:$BF$557,MATCH($C177,'在庫使用計画 (一般)'!$C$1:$C$557,0),MATCH(AP$1,'在庫使用計画 (一般)'!$A$1:$BF$1,0)),INDEX('在庫使用計画 (法人)'!$A$1:$AT$578,MATCH($C177,'在庫使用計画 (法人)'!$C$1:$C$578,0),MATCH(AP$1,'在庫使用計画 (法人)'!$A$1:$AT$1,0)))=0,"",SUM(INDEX('在庫使用計画 (一般)'!$A$1:$BF$557,MATCH($C177,'在庫使用計画 (一般)'!$C$1:$C$557,0),MATCH(AP$1,'在庫使用計画 (一般)'!$A$1:$BF$1,0)),INDEX('在庫使用計画 (法人)'!$A$1:$AT$578,MATCH($C177,'在庫使用計画 (法人)'!$C$1:$C$578,0),MATCH(AP$1,'在庫使用計画 (法人)'!$A$1:$AT$1,0)))),"")</f>
        <v/>
      </c>
      <c r="AQ177" s="224" t="str">
        <f>IFERROR(IF(SUM(INDEX('在庫使用計画 (一般)'!$A$1:$BF$557,MATCH($C177,'在庫使用計画 (一般)'!$C$1:$C$557,0),MATCH(AQ$1,'在庫使用計画 (一般)'!$A$1:$BF$1,0)),INDEX('在庫使用計画 (法人)'!$A$1:$AT$578,MATCH($C177,'在庫使用計画 (法人)'!$C$1:$C$578,0),MATCH(AQ$1,'在庫使用計画 (法人)'!$A$1:$AT$1,0)))=0,"",SUM(INDEX('在庫使用計画 (一般)'!$A$1:$BF$557,MATCH($C177,'在庫使用計画 (一般)'!$C$1:$C$557,0),MATCH(AQ$1,'在庫使用計画 (一般)'!$A$1:$BF$1,0)),INDEX('在庫使用計画 (法人)'!$A$1:$AT$578,MATCH($C177,'在庫使用計画 (法人)'!$C$1:$C$578,0),MATCH(AQ$1,'在庫使用計画 (法人)'!$A$1:$AT$1,0)))),"")</f>
        <v/>
      </c>
      <c r="AR177" s="224" t="str">
        <f>IFERROR(IF(SUM(INDEX('在庫使用計画 (一般)'!$A$1:$BF$557,MATCH($C177,'在庫使用計画 (一般)'!$C$1:$C$557,0),MATCH(AR$1,'在庫使用計画 (一般)'!$A$1:$BF$1,0)),INDEX('在庫使用計画 (法人)'!$A$1:$AT$578,MATCH($C177,'在庫使用計画 (法人)'!$C$1:$C$578,0),MATCH(AR$1,'在庫使用計画 (法人)'!$A$1:$AT$1,0)))=0,"",SUM(INDEX('在庫使用計画 (一般)'!$A$1:$BF$557,MATCH($C177,'在庫使用計画 (一般)'!$C$1:$C$557,0),MATCH(AR$1,'在庫使用計画 (一般)'!$A$1:$BF$1,0)),INDEX('在庫使用計画 (法人)'!$A$1:$AT$578,MATCH($C177,'在庫使用計画 (法人)'!$C$1:$C$578,0),MATCH(AR$1,'在庫使用計画 (法人)'!$A$1:$AT$1,0)))),"")</f>
        <v/>
      </c>
      <c r="AS177" s="224" t="str">
        <f>IFERROR(IF(SUM(INDEX('在庫使用計画 (一般)'!$A$1:$BF$557,MATCH($C177,'在庫使用計画 (一般)'!$C$1:$C$557,0),MATCH(AS$1,'在庫使用計画 (一般)'!$A$1:$BF$1,0)),INDEX('在庫使用計画 (法人)'!$A$1:$AT$578,MATCH($C177,'在庫使用計画 (法人)'!$C$1:$C$578,0),MATCH(AS$1,'在庫使用計画 (法人)'!$A$1:$AT$1,0)))=0,"",SUM(INDEX('在庫使用計画 (一般)'!$A$1:$BF$557,MATCH($C177,'在庫使用計画 (一般)'!$C$1:$C$557,0),MATCH(AS$1,'在庫使用計画 (一般)'!$A$1:$BF$1,0)),INDEX('在庫使用計画 (法人)'!$A$1:$AT$578,MATCH($C177,'在庫使用計画 (法人)'!$C$1:$C$578,0),MATCH(AS$1,'在庫使用計画 (法人)'!$A$1:$AT$1,0)))),"")</f>
        <v/>
      </c>
      <c r="AT177" s="224" t="str">
        <f>IFERROR(IF(SUM(INDEX('在庫使用計画 (一般)'!$A$1:$BF$557,MATCH($C177,'在庫使用計画 (一般)'!$C$1:$C$557,0),MATCH(AT$1,'在庫使用計画 (一般)'!$A$1:$BF$1,0)),INDEX('在庫使用計画 (法人)'!$A$1:$AT$578,MATCH($C177,'在庫使用計画 (法人)'!$C$1:$C$578,0),MATCH(AT$1,'在庫使用計画 (法人)'!$A$1:$AT$1,0)))=0,"",SUM(INDEX('在庫使用計画 (一般)'!$A$1:$BF$557,MATCH($C177,'在庫使用計画 (一般)'!$C$1:$C$557,0),MATCH(AT$1,'在庫使用計画 (一般)'!$A$1:$BF$1,0)),INDEX('在庫使用計画 (法人)'!$A$1:$AT$578,MATCH($C177,'在庫使用計画 (法人)'!$C$1:$C$578,0),MATCH(AT$1,'在庫使用計画 (法人)'!$A$1:$AT$1,0)))),"")</f>
        <v/>
      </c>
      <c r="AU177" s="224" t="str">
        <f>IFERROR(IF(SUM(INDEX('在庫使用計画 (一般)'!$A$1:$BF$557,MATCH($C177,'在庫使用計画 (一般)'!$C$1:$C$557,0),MATCH(AU$1,'在庫使用計画 (一般)'!$A$1:$BF$1,0)),INDEX('在庫使用計画 (法人)'!$A$1:$AT$578,MATCH($C177,'在庫使用計画 (法人)'!$C$1:$C$578,0),MATCH(AU$1,'在庫使用計画 (法人)'!$A$1:$AT$1,0)))=0,"",SUM(INDEX('在庫使用計画 (一般)'!$A$1:$BF$557,MATCH($C177,'在庫使用計画 (一般)'!$C$1:$C$557,0),MATCH(AU$1,'在庫使用計画 (一般)'!$A$1:$BF$1,0)),INDEX('在庫使用計画 (法人)'!$A$1:$AT$578,MATCH($C177,'在庫使用計画 (法人)'!$C$1:$C$578,0),MATCH(AU$1,'在庫使用計画 (法人)'!$A$1:$AT$1,0)))),"")</f>
        <v/>
      </c>
      <c r="AV177" s="21"/>
      <c r="AW177" s="21"/>
      <c r="AX177" s="21"/>
      <c r="AY177" s="21"/>
      <c r="AZ177" s="21"/>
      <c r="BA177" s="21"/>
      <c r="BB177" s="21"/>
      <c r="BC177" s="21"/>
      <c r="BD177" s="21"/>
      <c r="BE177" s="21"/>
      <c r="BF177" s="21"/>
      <c r="BG177" s="21"/>
      <c r="BH177" s="21"/>
      <c r="BI177" s="21"/>
      <c r="BJ177" s="21"/>
      <c r="BK177" s="21"/>
      <c r="BL177" s="21"/>
      <c r="BM177" s="21"/>
      <c r="BN177" s="21"/>
      <c r="BO177" s="21"/>
      <c r="BP177" s="21"/>
      <c r="BQ177" s="21"/>
      <c r="BR177" s="21"/>
      <c r="BS177" s="21"/>
      <c r="BT177" s="21"/>
    </row>
    <row r="178" spans="1:72" customFormat="1" ht="33">
      <c r="A178" s="1083"/>
      <c r="B178" s="179" t="s">
        <v>1714</v>
      </c>
      <c r="C178" s="177" t="s">
        <v>1715</v>
      </c>
      <c r="D178" s="2180" t="s">
        <v>1423</v>
      </c>
      <c r="E178" s="178" t="s">
        <v>1430</v>
      </c>
      <c r="F178" s="342" t="s">
        <v>1347</v>
      </c>
      <c r="G178" s="357">
        <f>SUMIFS(在庫確認!C:C,在庫確認!B:B,'在庫使用計画 (ノート全体試算)'!C:C)</f>
        <v>0</v>
      </c>
      <c r="H178" s="357"/>
      <c r="I178" s="357"/>
      <c r="J178" s="38"/>
      <c r="K178" s="38"/>
      <c r="L178" s="311">
        <v>31</v>
      </c>
      <c r="M178" s="311">
        <v>15</v>
      </c>
      <c r="N178" s="311">
        <v>20</v>
      </c>
      <c r="O178" s="311">
        <v>15</v>
      </c>
      <c r="P178" s="311">
        <v>15</v>
      </c>
      <c r="Q178" s="311">
        <v>15</v>
      </c>
      <c r="R178" s="311">
        <v>20</v>
      </c>
      <c r="S178" s="311">
        <v>15</v>
      </c>
      <c r="T178" s="298">
        <v>15</v>
      </c>
      <c r="U178" s="298" t="s">
        <v>21</v>
      </c>
      <c r="V178" s="298" t="s">
        <v>21</v>
      </c>
      <c r="W178" s="298" t="s">
        <v>21</v>
      </c>
      <c r="X178" s="299" t="s">
        <v>21</v>
      </c>
      <c r="Y178" s="343" t="s">
        <v>21</v>
      </c>
      <c r="Z178" s="299" t="s">
        <v>21</v>
      </c>
      <c r="AA178" s="299" t="s">
        <v>21</v>
      </c>
      <c r="AB178" s="299" t="s">
        <v>21</v>
      </c>
      <c r="AC178" s="299" t="s">
        <v>21</v>
      </c>
      <c r="AD178" s="299" t="s">
        <v>21</v>
      </c>
      <c r="AE178" s="299" t="s">
        <v>21</v>
      </c>
      <c r="AF178" s="299" t="s">
        <v>21</v>
      </c>
      <c r="AG178" s="299" t="s">
        <v>21</v>
      </c>
      <c r="AH178" s="299" t="s">
        <v>21</v>
      </c>
      <c r="AI178" s="299" t="s">
        <v>21</v>
      </c>
      <c r="AJ178" s="299" t="s">
        <v>21</v>
      </c>
      <c r="AK178" s="224" t="s">
        <v>21</v>
      </c>
      <c r="AL178" s="224" t="s">
        <v>21</v>
      </c>
      <c r="AM178" s="224" t="s">
        <v>21</v>
      </c>
      <c r="AN178" s="224" t="str">
        <f>IFERROR(IF(SUM(INDEX('在庫使用計画 (一般)'!$A$1:$BF$557,MATCH($C178,'在庫使用計画 (一般)'!$C$1:$C$557,0),MATCH(AN$1,'在庫使用計画 (一般)'!$A$1:$BF$1,0)),INDEX('在庫使用計画 (法人)'!$A$1:$AT$578,MATCH($C178,'在庫使用計画 (法人)'!$C$1:$C$578,0),MATCH(AN$1,'在庫使用計画 (法人)'!$A$1:$AT$1,0)))=0,"",SUM(INDEX('在庫使用計画 (一般)'!$A$1:$BF$557,MATCH($C178,'在庫使用計画 (一般)'!$C$1:$C$557,0),MATCH(AN$1,'在庫使用計画 (一般)'!$A$1:$BF$1,0)),INDEX('在庫使用計画 (法人)'!$A$1:$AT$578,MATCH($C178,'在庫使用計画 (法人)'!$C$1:$C$578,0),MATCH(AN$1,'在庫使用計画 (法人)'!$A$1:$AT$1,0)))),"")</f>
        <v/>
      </c>
      <c r="AO178" s="224" t="str">
        <f>IFERROR(IF(SUM(INDEX('在庫使用計画 (一般)'!$A$1:$BF$557,MATCH($C178,'在庫使用計画 (一般)'!$C$1:$C$557,0),MATCH(AO$1,'在庫使用計画 (一般)'!$A$1:$BF$1,0)),INDEX('在庫使用計画 (法人)'!$A$1:$AT$578,MATCH($C178,'在庫使用計画 (法人)'!$C$1:$C$578,0),MATCH(AO$1,'在庫使用計画 (法人)'!$A$1:$AT$1,0)))=0,"",SUM(INDEX('在庫使用計画 (一般)'!$A$1:$BF$557,MATCH($C178,'在庫使用計画 (一般)'!$C$1:$C$557,0),MATCH(AO$1,'在庫使用計画 (一般)'!$A$1:$BF$1,0)),INDEX('在庫使用計画 (法人)'!$A$1:$AT$578,MATCH($C178,'在庫使用計画 (法人)'!$C$1:$C$578,0),MATCH(AO$1,'在庫使用計画 (法人)'!$A$1:$AT$1,0)))),"")</f>
        <v/>
      </c>
      <c r="AP178" s="224" t="str">
        <f>IFERROR(IF(SUM(INDEX('在庫使用計画 (一般)'!$A$1:$BF$557,MATCH($C178,'在庫使用計画 (一般)'!$C$1:$C$557,0),MATCH(AP$1,'在庫使用計画 (一般)'!$A$1:$BF$1,0)),INDEX('在庫使用計画 (法人)'!$A$1:$AT$578,MATCH($C178,'在庫使用計画 (法人)'!$C$1:$C$578,0),MATCH(AP$1,'在庫使用計画 (法人)'!$A$1:$AT$1,0)))=0,"",SUM(INDEX('在庫使用計画 (一般)'!$A$1:$BF$557,MATCH($C178,'在庫使用計画 (一般)'!$C$1:$C$557,0),MATCH(AP$1,'在庫使用計画 (一般)'!$A$1:$BF$1,0)),INDEX('在庫使用計画 (法人)'!$A$1:$AT$578,MATCH($C178,'在庫使用計画 (法人)'!$C$1:$C$578,0),MATCH(AP$1,'在庫使用計画 (法人)'!$A$1:$AT$1,0)))),"")</f>
        <v/>
      </c>
      <c r="AQ178" s="224" t="str">
        <f>IFERROR(IF(SUM(INDEX('在庫使用計画 (一般)'!$A$1:$BF$557,MATCH($C178,'在庫使用計画 (一般)'!$C$1:$C$557,0),MATCH(AQ$1,'在庫使用計画 (一般)'!$A$1:$BF$1,0)),INDEX('在庫使用計画 (法人)'!$A$1:$AT$578,MATCH($C178,'在庫使用計画 (法人)'!$C$1:$C$578,0),MATCH(AQ$1,'在庫使用計画 (法人)'!$A$1:$AT$1,0)))=0,"",SUM(INDEX('在庫使用計画 (一般)'!$A$1:$BF$557,MATCH($C178,'在庫使用計画 (一般)'!$C$1:$C$557,0),MATCH(AQ$1,'在庫使用計画 (一般)'!$A$1:$BF$1,0)),INDEX('在庫使用計画 (法人)'!$A$1:$AT$578,MATCH($C178,'在庫使用計画 (法人)'!$C$1:$C$578,0),MATCH(AQ$1,'在庫使用計画 (法人)'!$A$1:$AT$1,0)))),"")</f>
        <v/>
      </c>
      <c r="AR178" s="224" t="str">
        <f>IFERROR(IF(SUM(INDEX('在庫使用計画 (一般)'!$A$1:$BF$557,MATCH($C178,'在庫使用計画 (一般)'!$C$1:$C$557,0),MATCH(AR$1,'在庫使用計画 (一般)'!$A$1:$BF$1,0)),INDEX('在庫使用計画 (法人)'!$A$1:$AT$578,MATCH($C178,'在庫使用計画 (法人)'!$C$1:$C$578,0),MATCH(AR$1,'在庫使用計画 (法人)'!$A$1:$AT$1,0)))=0,"",SUM(INDEX('在庫使用計画 (一般)'!$A$1:$BF$557,MATCH($C178,'在庫使用計画 (一般)'!$C$1:$C$557,0),MATCH(AR$1,'在庫使用計画 (一般)'!$A$1:$BF$1,0)),INDEX('在庫使用計画 (法人)'!$A$1:$AT$578,MATCH($C178,'在庫使用計画 (法人)'!$C$1:$C$578,0),MATCH(AR$1,'在庫使用計画 (法人)'!$A$1:$AT$1,0)))),"")</f>
        <v/>
      </c>
      <c r="AS178" s="224" t="str">
        <f>IFERROR(IF(SUM(INDEX('在庫使用計画 (一般)'!$A$1:$BF$557,MATCH($C178,'在庫使用計画 (一般)'!$C$1:$C$557,0),MATCH(AS$1,'在庫使用計画 (一般)'!$A$1:$BF$1,0)),INDEX('在庫使用計画 (法人)'!$A$1:$AT$578,MATCH($C178,'在庫使用計画 (法人)'!$C$1:$C$578,0),MATCH(AS$1,'在庫使用計画 (法人)'!$A$1:$AT$1,0)))=0,"",SUM(INDEX('在庫使用計画 (一般)'!$A$1:$BF$557,MATCH($C178,'在庫使用計画 (一般)'!$C$1:$C$557,0),MATCH(AS$1,'在庫使用計画 (一般)'!$A$1:$BF$1,0)),INDEX('在庫使用計画 (法人)'!$A$1:$AT$578,MATCH($C178,'在庫使用計画 (法人)'!$C$1:$C$578,0),MATCH(AS$1,'在庫使用計画 (法人)'!$A$1:$AT$1,0)))),"")</f>
        <v/>
      </c>
      <c r="AT178" s="224" t="str">
        <f>IFERROR(IF(SUM(INDEX('在庫使用計画 (一般)'!$A$1:$BF$557,MATCH($C178,'在庫使用計画 (一般)'!$C$1:$C$557,0),MATCH(AT$1,'在庫使用計画 (一般)'!$A$1:$BF$1,0)),INDEX('在庫使用計画 (法人)'!$A$1:$AT$578,MATCH($C178,'在庫使用計画 (法人)'!$C$1:$C$578,0),MATCH(AT$1,'在庫使用計画 (法人)'!$A$1:$AT$1,0)))=0,"",SUM(INDEX('在庫使用計画 (一般)'!$A$1:$BF$557,MATCH($C178,'在庫使用計画 (一般)'!$C$1:$C$557,0),MATCH(AT$1,'在庫使用計画 (一般)'!$A$1:$BF$1,0)),INDEX('在庫使用計画 (法人)'!$A$1:$AT$578,MATCH($C178,'在庫使用計画 (法人)'!$C$1:$C$578,0),MATCH(AT$1,'在庫使用計画 (法人)'!$A$1:$AT$1,0)))),"")</f>
        <v/>
      </c>
      <c r="AU178" s="224" t="str">
        <f>IFERROR(IF(SUM(INDEX('在庫使用計画 (一般)'!$A$1:$BF$557,MATCH($C178,'在庫使用計画 (一般)'!$C$1:$C$557,0),MATCH(AU$1,'在庫使用計画 (一般)'!$A$1:$BF$1,0)),INDEX('在庫使用計画 (法人)'!$A$1:$AT$578,MATCH($C178,'在庫使用計画 (法人)'!$C$1:$C$578,0),MATCH(AU$1,'在庫使用計画 (法人)'!$A$1:$AT$1,0)))=0,"",SUM(INDEX('在庫使用計画 (一般)'!$A$1:$BF$557,MATCH($C178,'在庫使用計画 (一般)'!$C$1:$C$557,0),MATCH(AU$1,'在庫使用計画 (一般)'!$A$1:$BF$1,0)),INDEX('在庫使用計画 (法人)'!$A$1:$AT$578,MATCH($C178,'在庫使用計画 (法人)'!$C$1:$C$578,0),MATCH(AU$1,'在庫使用計画 (法人)'!$A$1:$AT$1,0)))),"")</f>
        <v/>
      </c>
      <c r="AV178" s="21"/>
      <c r="AW178" s="21"/>
      <c r="AX178" s="21"/>
      <c r="AY178" s="21"/>
      <c r="AZ178" s="21"/>
      <c r="BA178" s="21"/>
      <c r="BB178" s="21"/>
      <c r="BC178" s="21"/>
      <c r="BD178" s="21"/>
      <c r="BE178" s="21"/>
      <c r="BF178" s="21"/>
      <c r="BG178" s="21"/>
      <c r="BH178" s="21"/>
      <c r="BI178" s="21"/>
      <c r="BJ178" s="21"/>
      <c r="BK178" s="21"/>
      <c r="BL178" s="21"/>
      <c r="BM178" s="21"/>
      <c r="BN178" s="21"/>
      <c r="BO178" s="21"/>
      <c r="BP178" s="21"/>
      <c r="BQ178" s="21"/>
      <c r="BR178" s="21"/>
      <c r="BS178" s="21"/>
      <c r="BT178" s="21"/>
    </row>
    <row r="179" spans="1:72" customFormat="1" ht="33">
      <c r="A179" s="1059"/>
      <c r="B179" s="26" t="s">
        <v>1716</v>
      </c>
      <c r="C179" s="24" t="s">
        <v>1717</v>
      </c>
      <c r="D179" s="2153" t="s">
        <v>1423</v>
      </c>
      <c r="E179" s="25" t="s">
        <v>1430</v>
      </c>
      <c r="F179" s="108" t="s">
        <v>1347</v>
      </c>
      <c r="G179" s="43">
        <f>SUMIFS(在庫確認!C:C,在庫確認!B:B,'在庫使用計画 (ノート全体試算)'!C:C)</f>
        <v>0</v>
      </c>
      <c r="H179" s="43"/>
      <c r="I179" s="43"/>
      <c r="J179" s="38"/>
      <c r="K179" s="38"/>
      <c r="L179" s="38">
        <v>236</v>
      </c>
      <c r="M179" s="38">
        <v>210</v>
      </c>
      <c r="N179" s="38">
        <v>283</v>
      </c>
      <c r="O179" s="38">
        <v>363</v>
      </c>
      <c r="P179" s="38">
        <v>323</v>
      </c>
      <c r="Q179" s="38">
        <v>190</v>
      </c>
      <c r="R179" s="38">
        <v>163</v>
      </c>
      <c r="S179" s="38">
        <v>193</v>
      </c>
      <c r="T179" s="219">
        <v>80</v>
      </c>
      <c r="U179" s="219">
        <v>87</v>
      </c>
      <c r="V179" s="219">
        <v>49</v>
      </c>
      <c r="W179" s="219" t="s">
        <v>21</v>
      </c>
      <c r="X179" s="224">
        <v>10</v>
      </c>
      <c r="Y179" s="237">
        <v>21</v>
      </c>
      <c r="Z179" s="299" t="s">
        <v>21</v>
      </c>
      <c r="AA179" s="299" t="s">
        <v>21</v>
      </c>
      <c r="AB179" s="299" t="s">
        <v>21</v>
      </c>
      <c r="AC179" s="299" t="s">
        <v>21</v>
      </c>
      <c r="AD179" s="299" t="s">
        <v>21</v>
      </c>
      <c r="AE179" s="299" t="s">
        <v>21</v>
      </c>
      <c r="AF179" s="299" t="s">
        <v>21</v>
      </c>
      <c r="AG179" s="299" t="s">
        <v>21</v>
      </c>
      <c r="AH179" s="299" t="s">
        <v>21</v>
      </c>
      <c r="AI179" s="299" t="s">
        <v>21</v>
      </c>
      <c r="AJ179" s="299" t="s">
        <v>21</v>
      </c>
      <c r="AK179" s="224" t="s">
        <v>21</v>
      </c>
      <c r="AL179" s="224" t="s">
        <v>21</v>
      </c>
      <c r="AM179" s="224" t="s">
        <v>21</v>
      </c>
      <c r="AN179" s="224" t="str">
        <f>IFERROR(IF(SUM(INDEX('在庫使用計画 (一般)'!$A$1:$BF$557,MATCH($C179,'在庫使用計画 (一般)'!$C$1:$C$557,0),MATCH(AN$1,'在庫使用計画 (一般)'!$A$1:$BF$1,0)),INDEX('在庫使用計画 (法人)'!$A$1:$AT$578,MATCH($C179,'在庫使用計画 (法人)'!$C$1:$C$578,0),MATCH(AN$1,'在庫使用計画 (法人)'!$A$1:$AT$1,0)))=0,"",SUM(INDEX('在庫使用計画 (一般)'!$A$1:$BF$557,MATCH($C179,'在庫使用計画 (一般)'!$C$1:$C$557,0),MATCH(AN$1,'在庫使用計画 (一般)'!$A$1:$BF$1,0)),INDEX('在庫使用計画 (法人)'!$A$1:$AT$578,MATCH($C179,'在庫使用計画 (法人)'!$C$1:$C$578,0),MATCH(AN$1,'在庫使用計画 (法人)'!$A$1:$AT$1,0)))),"")</f>
        <v/>
      </c>
      <c r="AO179" s="224" t="str">
        <f>IFERROR(IF(SUM(INDEX('在庫使用計画 (一般)'!$A$1:$BF$557,MATCH($C179,'在庫使用計画 (一般)'!$C$1:$C$557,0),MATCH(AO$1,'在庫使用計画 (一般)'!$A$1:$BF$1,0)),INDEX('在庫使用計画 (法人)'!$A$1:$AT$578,MATCH($C179,'在庫使用計画 (法人)'!$C$1:$C$578,0),MATCH(AO$1,'在庫使用計画 (法人)'!$A$1:$AT$1,0)))=0,"",SUM(INDEX('在庫使用計画 (一般)'!$A$1:$BF$557,MATCH($C179,'在庫使用計画 (一般)'!$C$1:$C$557,0),MATCH(AO$1,'在庫使用計画 (一般)'!$A$1:$BF$1,0)),INDEX('在庫使用計画 (法人)'!$A$1:$AT$578,MATCH($C179,'在庫使用計画 (法人)'!$C$1:$C$578,0),MATCH(AO$1,'在庫使用計画 (法人)'!$A$1:$AT$1,0)))),"")</f>
        <v/>
      </c>
      <c r="AP179" s="224" t="str">
        <f>IFERROR(IF(SUM(INDEX('在庫使用計画 (一般)'!$A$1:$BF$557,MATCH($C179,'在庫使用計画 (一般)'!$C$1:$C$557,0),MATCH(AP$1,'在庫使用計画 (一般)'!$A$1:$BF$1,0)),INDEX('在庫使用計画 (法人)'!$A$1:$AT$578,MATCH($C179,'在庫使用計画 (法人)'!$C$1:$C$578,0),MATCH(AP$1,'在庫使用計画 (法人)'!$A$1:$AT$1,0)))=0,"",SUM(INDEX('在庫使用計画 (一般)'!$A$1:$BF$557,MATCH($C179,'在庫使用計画 (一般)'!$C$1:$C$557,0),MATCH(AP$1,'在庫使用計画 (一般)'!$A$1:$BF$1,0)),INDEX('在庫使用計画 (法人)'!$A$1:$AT$578,MATCH($C179,'在庫使用計画 (法人)'!$C$1:$C$578,0),MATCH(AP$1,'在庫使用計画 (法人)'!$A$1:$AT$1,0)))),"")</f>
        <v/>
      </c>
      <c r="AQ179" s="224" t="str">
        <f>IFERROR(IF(SUM(INDEX('在庫使用計画 (一般)'!$A$1:$BF$557,MATCH($C179,'在庫使用計画 (一般)'!$C$1:$C$557,0),MATCH(AQ$1,'在庫使用計画 (一般)'!$A$1:$BF$1,0)),INDEX('在庫使用計画 (法人)'!$A$1:$AT$578,MATCH($C179,'在庫使用計画 (法人)'!$C$1:$C$578,0),MATCH(AQ$1,'在庫使用計画 (法人)'!$A$1:$AT$1,0)))=0,"",SUM(INDEX('在庫使用計画 (一般)'!$A$1:$BF$557,MATCH($C179,'在庫使用計画 (一般)'!$C$1:$C$557,0),MATCH(AQ$1,'在庫使用計画 (一般)'!$A$1:$BF$1,0)),INDEX('在庫使用計画 (法人)'!$A$1:$AT$578,MATCH($C179,'在庫使用計画 (法人)'!$C$1:$C$578,0),MATCH(AQ$1,'在庫使用計画 (法人)'!$A$1:$AT$1,0)))),"")</f>
        <v/>
      </c>
      <c r="AR179" s="224" t="str">
        <f>IFERROR(IF(SUM(INDEX('在庫使用計画 (一般)'!$A$1:$BF$557,MATCH($C179,'在庫使用計画 (一般)'!$C$1:$C$557,0),MATCH(AR$1,'在庫使用計画 (一般)'!$A$1:$BF$1,0)),INDEX('在庫使用計画 (法人)'!$A$1:$AT$578,MATCH($C179,'在庫使用計画 (法人)'!$C$1:$C$578,0),MATCH(AR$1,'在庫使用計画 (法人)'!$A$1:$AT$1,0)))=0,"",SUM(INDEX('在庫使用計画 (一般)'!$A$1:$BF$557,MATCH($C179,'在庫使用計画 (一般)'!$C$1:$C$557,0),MATCH(AR$1,'在庫使用計画 (一般)'!$A$1:$BF$1,0)),INDEX('在庫使用計画 (法人)'!$A$1:$AT$578,MATCH($C179,'在庫使用計画 (法人)'!$C$1:$C$578,0),MATCH(AR$1,'在庫使用計画 (法人)'!$A$1:$AT$1,0)))),"")</f>
        <v/>
      </c>
      <c r="AS179" s="224" t="str">
        <f>IFERROR(IF(SUM(INDEX('在庫使用計画 (一般)'!$A$1:$BF$557,MATCH($C179,'在庫使用計画 (一般)'!$C$1:$C$557,0),MATCH(AS$1,'在庫使用計画 (一般)'!$A$1:$BF$1,0)),INDEX('在庫使用計画 (法人)'!$A$1:$AT$578,MATCH($C179,'在庫使用計画 (法人)'!$C$1:$C$578,0),MATCH(AS$1,'在庫使用計画 (法人)'!$A$1:$AT$1,0)))=0,"",SUM(INDEX('在庫使用計画 (一般)'!$A$1:$BF$557,MATCH($C179,'在庫使用計画 (一般)'!$C$1:$C$557,0),MATCH(AS$1,'在庫使用計画 (一般)'!$A$1:$BF$1,0)),INDEX('在庫使用計画 (法人)'!$A$1:$AT$578,MATCH($C179,'在庫使用計画 (法人)'!$C$1:$C$578,0),MATCH(AS$1,'在庫使用計画 (法人)'!$A$1:$AT$1,0)))),"")</f>
        <v/>
      </c>
      <c r="AT179" s="224" t="str">
        <f>IFERROR(IF(SUM(INDEX('在庫使用計画 (一般)'!$A$1:$BF$557,MATCH($C179,'在庫使用計画 (一般)'!$C$1:$C$557,0),MATCH(AT$1,'在庫使用計画 (一般)'!$A$1:$BF$1,0)),INDEX('在庫使用計画 (法人)'!$A$1:$AT$578,MATCH($C179,'在庫使用計画 (法人)'!$C$1:$C$578,0),MATCH(AT$1,'在庫使用計画 (法人)'!$A$1:$AT$1,0)))=0,"",SUM(INDEX('在庫使用計画 (一般)'!$A$1:$BF$557,MATCH($C179,'在庫使用計画 (一般)'!$C$1:$C$557,0),MATCH(AT$1,'在庫使用計画 (一般)'!$A$1:$BF$1,0)),INDEX('在庫使用計画 (法人)'!$A$1:$AT$578,MATCH($C179,'在庫使用計画 (法人)'!$C$1:$C$578,0),MATCH(AT$1,'在庫使用計画 (法人)'!$A$1:$AT$1,0)))),"")</f>
        <v/>
      </c>
      <c r="AU179" s="224" t="str">
        <f>IFERROR(IF(SUM(INDEX('在庫使用計画 (一般)'!$A$1:$BF$557,MATCH($C179,'在庫使用計画 (一般)'!$C$1:$C$557,0),MATCH(AU$1,'在庫使用計画 (一般)'!$A$1:$BF$1,0)),INDEX('在庫使用計画 (法人)'!$A$1:$AT$578,MATCH($C179,'在庫使用計画 (法人)'!$C$1:$C$578,0),MATCH(AU$1,'在庫使用計画 (法人)'!$A$1:$AT$1,0)))=0,"",SUM(INDEX('在庫使用計画 (一般)'!$A$1:$BF$557,MATCH($C179,'在庫使用計画 (一般)'!$C$1:$C$557,0),MATCH(AU$1,'在庫使用計画 (一般)'!$A$1:$BF$1,0)),INDEX('在庫使用計画 (法人)'!$A$1:$AT$578,MATCH($C179,'在庫使用計画 (法人)'!$C$1:$C$578,0),MATCH(AU$1,'在庫使用計画 (法人)'!$A$1:$AT$1,0)))),"")</f>
        <v/>
      </c>
      <c r="AV179" s="21"/>
      <c r="AW179" s="21"/>
      <c r="AX179" s="21"/>
      <c r="AY179" s="21"/>
      <c r="AZ179" s="21"/>
      <c r="BA179" s="21"/>
      <c r="BB179" s="21"/>
      <c r="BC179" s="21"/>
      <c r="BD179" s="21"/>
      <c r="BE179" s="21"/>
      <c r="BF179" s="21"/>
      <c r="BG179" s="21"/>
      <c r="BH179" s="21"/>
      <c r="BI179" s="21"/>
      <c r="BJ179" s="21"/>
      <c r="BK179" s="21"/>
      <c r="BL179" s="21"/>
      <c r="BM179" s="21"/>
      <c r="BN179" s="21"/>
      <c r="BO179" s="21"/>
      <c r="BP179" s="21"/>
      <c r="BQ179" s="21"/>
      <c r="BR179" s="21"/>
      <c r="BS179" s="21"/>
      <c r="BT179" s="21"/>
    </row>
    <row r="180" spans="1:72" customFormat="1">
      <c r="A180" s="1059"/>
      <c r="B180" s="26"/>
      <c r="C180" s="24" t="s">
        <v>1718</v>
      </c>
      <c r="D180" s="2153"/>
      <c r="E180" s="25"/>
      <c r="F180" s="26"/>
      <c r="G180" s="43">
        <f>SUMIFS(在庫確認!C:C,在庫確認!B:B,'在庫使用計画 (ノート全体試算)'!C:C)</f>
        <v>0</v>
      </c>
      <c r="H180" s="43"/>
      <c r="I180" s="43"/>
      <c r="J180" s="38">
        <f>SUM(AD180:AF180)+IFERROR(AC180*0.3,0)+IFERROR(AG180*0.5,0)</f>
        <v>0</v>
      </c>
      <c r="K180" s="38"/>
      <c r="L180" s="38">
        <v>267</v>
      </c>
      <c r="M180" s="38">
        <v>225</v>
      </c>
      <c r="N180" s="38">
        <v>303</v>
      </c>
      <c r="O180" s="38">
        <v>378</v>
      </c>
      <c r="P180" s="38">
        <v>338</v>
      </c>
      <c r="Q180" s="38">
        <v>205</v>
      </c>
      <c r="R180" s="38">
        <v>183</v>
      </c>
      <c r="S180" s="38">
        <v>208</v>
      </c>
      <c r="T180" s="219">
        <v>95</v>
      </c>
      <c r="U180" s="219">
        <v>87</v>
      </c>
      <c r="V180" s="219">
        <v>49</v>
      </c>
      <c r="W180" s="219">
        <v>0</v>
      </c>
      <c r="X180" s="219">
        <v>10</v>
      </c>
      <c r="Y180" s="219">
        <v>21</v>
      </c>
      <c r="Z180" s="219">
        <v>0</v>
      </c>
      <c r="AA180" s="224" t="s">
        <v>21</v>
      </c>
      <c r="AB180" s="224" t="s">
        <v>21</v>
      </c>
      <c r="AC180" s="224" t="s">
        <v>21</v>
      </c>
      <c r="AD180" s="224" t="s">
        <v>21</v>
      </c>
      <c r="AE180" s="238"/>
      <c r="AF180" s="238"/>
      <c r="AG180" s="238"/>
      <c r="AH180" s="238"/>
      <c r="AI180" s="238"/>
      <c r="AJ180" s="238"/>
      <c r="AK180" s="224" t="s">
        <v>21</v>
      </c>
      <c r="AL180" s="224" t="s">
        <v>21</v>
      </c>
      <c r="AM180" s="224" t="s">
        <v>21</v>
      </c>
      <c r="AN180" s="224" t="str">
        <f>IFERROR(IF(SUM(INDEX('在庫使用計画 (一般)'!$A$1:$BF$557,MATCH($C180,'在庫使用計画 (一般)'!$C$1:$C$557,0),MATCH(AN$1,'在庫使用計画 (一般)'!$A$1:$BF$1,0)),INDEX('在庫使用計画 (法人)'!$A$1:$AT$578,MATCH($C180,'在庫使用計画 (法人)'!$C$1:$C$578,0),MATCH(AN$1,'在庫使用計画 (法人)'!$A$1:$AT$1,0)))=0,"",SUM(INDEX('在庫使用計画 (一般)'!$A$1:$BF$557,MATCH($C180,'在庫使用計画 (一般)'!$C$1:$C$557,0),MATCH(AN$1,'在庫使用計画 (一般)'!$A$1:$BF$1,0)),INDEX('在庫使用計画 (法人)'!$A$1:$AT$578,MATCH($C180,'在庫使用計画 (法人)'!$C$1:$C$578,0),MATCH(AN$1,'在庫使用計画 (法人)'!$A$1:$AT$1,0)))),"")</f>
        <v/>
      </c>
      <c r="AO180" s="224" t="str">
        <f>IFERROR(IF(SUM(INDEX('在庫使用計画 (一般)'!$A$1:$BF$557,MATCH($C180,'在庫使用計画 (一般)'!$C$1:$C$557,0),MATCH(AO$1,'在庫使用計画 (一般)'!$A$1:$BF$1,0)),INDEX('在庫使用計画 (法人)'!$A$1:$AT$578,MATCH($C180,'在庫使用計画 (法人)'!$C$1:$C$578,0),MATCH(AO$1,'在庫使用計画 (法人)'!$A$1:$AT$1,0)))=0,"",SUM(INDEX('在庫使用計画 (一般)'!$A$1:$BF$557,MATCH($C180,'在庫使用計画 (一般)'!$C$1:$C$557,0),MATCH(AO$1,'在庫使用計画 (一般)'!$A$1:$BF$1,0)),INDEX('在庫使用計画 (法人)'!$A$1:$AT$578,MATCH($C180,'在庫使用計画 (法人)'!$C$1:$C$578,0),MATCH(AO$1,'在庫使用計画 (法人)'!$A$1:$AT$1,0)))),"")</f>
        <v/>
      </c>
      <c r="AP180" s="224" t="str">
        <f>IFERROR(IF(SUM(INDEX('在庫使用計画 (一般)'!$A$1:$BF$557,MATCH($C180,'在庫使用計画 (一般)'!$C$1:$C$557,0),MATCH(AP$1,'在庫使用計画 (一般)'!$A$1:$BF$1,0)),INDEX('在庫使用計画 (法人)'!$A$1:$AT$578,MATCH($C180,'在庫使用計画 (法人)'!$C$1:$C$578,0),MATCH(AP$1,'在庫使用計画 (法人)'!$A$1:$AT$1,0)))=0,"",SUM(INDEX('在庫使用計画 (一般)'!$A$1:$BF$557,MATCH($C180,'在庫使用計画 (一般)'!$C$1:$C$557,0),MATCH(AP$1,'在庫使用計画 (一般)'!$A$1:$BF$1,0)),INDEX('在庫使用計画 (法人)'!$A$1:$AT$578,MATCH($C180,'在庫使用計画 (法人)'!$C$1:$C$578,0),MATCH(AP$1,'在庫使用計画 (法人)'!$A$1:$AT$1,0)))),"")</f>
        <v/>
      </c>
      <c r="AQ180" s="224" t="str">
        <f>IFERROR(IF(SUM(INDEX('在庫使用計画 (一般)'!$A$1:$BF$557,MATCH($C180,'在庫使用計画 (一般)'!$C$1:$C$557,0),MATCH(AQ$1,'在庫使用計画 (一般)'!$A$1:$BF$1,0)),INDEX('在庫使用計画 (法人)'!$A$1:$AT$578,MATCH($C180,'在庫使用計画 (法人)'!$C$1:$C$578,0),MATCH(AQ$1,'在庫使用計画 (法人)'!$A$1:$AT$1,0)))=0,"",SUM(INDEX('在庫使用計画 (一般)'!$A$1:$BF$557,MATCH($C180,'在庫使用計画 (一般)'!$C$1:$C$557,0),MATCH(AQ$1,'在庫使用計画 (一般)'!$A$1:$BF$1,0)),INDEX('在庫使用計画 (法人)'!$A$1:$AT$578,MATCH($C180,'在庫使用計画 (法人)'!$C$1:$C$578,0),MATCH(AQ$1,'在庫使用計画 (法人)'!$A$1:$AT$1,0)))),"")</f>
        <v/>
      </c>
      <c r="AR180" s="224" t="str">
        <f>IFERROR(IF(SUM(INDEX('在庫使用計画 (一般)'!$A$1:$BF$557,MATCH($C180,'在庫使用計画 (一般)'!$C$1:$C$557,0),MATCH(AR$1,'在庫使用計画 (一般)'!$A$1:$BF$1,0)),INDEX('在庫使用計画 (法人)'!$A$1:$AT$578,MATCH($C180,'在庫使用計画 (法人)'!$C$1:$C$578,0),MATCH(AR$1,'在庫使用計画 (法人)'!$A$1:$AT$1,0)))=0,"",SUM(INDEX('在庫使用計画 (一般)'!$A$1:$BF$557,MATCH($C180,'在庫使用計画 (一般)'!$C$1:$C$557,0),MATCH(AR$1,'在庫使用計画 (一般)'!$A$1:$BF$1,0)),INDEX('在庫使用計画 (法人)'!$A$1:$AT$578,MATCH($C180,'在庫使用計画 (法人)'!$C$1:$C$578,0),MATCH(AR$1,'在庫使用計画 (法人)'!$A$1:$AT$1,0)))),"")</f>
        <v/>
      </c>
      <c r="AS180" s="224" t="str">
        <f>IFERROR(IF(SUM(INDEX('在庫使用計画 (一般)'!$A$1:$BF$557,MATCH($C180,'在庫使用計画 (一般)'!$C$1:$C$557,0),MATCH(AS$1,'在庫使用計画 (一般)'!$A$1:$BF$1,0)),INDEX('在庫使用計画 (法人)'!$A$1:$AT$578,MATCH($C180,'在庫使用計画 (法人)'!$C$1:$C$578,0),MATCH(AS$1,'在庫使用計画 (法人)'!$A$1:$AT$1,0)))=0,"",SUM(INDEX('在庫使用計画 (一般)'!$A$1:$BF$557,MATCH($C180,'在庫使用計画 (一般)'!$C$1:$C$557,0),MATCH(AS$1,'在庫使用計画 (一般)'!$A$1:$BF$1,0)),INDEX('在庫使用計画 (法人)'!$A$1:$AT$578,MATCH($C180,'在庫使用計画 (法人)'!$C$1:$C$578,0),MATCH(AS$1,'在庫使用計画 (法人)'!$A$1:$AT$1,0)))),"")</f>
        <v/>
      </c>
      <c r="AT180" s="224" t="str">
        <f>IFERROR(IF(SUM(INDEX('在庫使用計画 (一般)'!$A$1:$BF$557,MATCH($C180,'在庫使用計画 (一般)'!$C$1:$C$557,0),MATCH(AT$1,'在庫使用計画 (一般)'!$A$1:$BF$1,0)),INDEX('在庫使用計画 (法人)'!$A$1:$AT$578,MATCH($C180,'在庫使用計画 (法人)'!$C$1:$C$578,0),MATCH(AT$1,'在庫使用計画 (法人)'!$A$1:$AT$1,0)))=0,"",SUM(INDEX('在庫使用計画 (一般)'!$A$1:$BF$557,MATCH($C180,'在庫使用計画 (一般)'!$C$1:$C$557,0),MATCH(AT$1,'在庫使用計画 (一般)'!$A$1:$BF$1,0)),INDEX('在庫使用計画 (法人)'!$A$1:$AT$578,MATCH($C180,'在庫使用計画 (法人)'!$C$1:$C$578,0),MATCH(AT$1,'在庫使用計画 (法人)'!$A$1:$AT$1,0)))),"")</f>
        <v/>
      </c>
      <c r="AU180" s="224" t="str">
        <f>IFERROR(IF(SUM(INDEX('在庫使用計画 (一般)'!$A$1:$BF$557,MATCH($C180,'在庫使用計画 (一般)'!$C$1:$C$557,0),MATCH(AU$1,'在庫使用計画 (一般)'!$A$1:$BF$1,0)),INDEX('在庫使用計画 (法人)'!$A$1:$AT$578,MATCH($C180,'在庫使用計画 (法人)'!$C$1:$C$578,0),MATCH(AU$1,'在庫使用計画 (法人)'!$A$1:$AT$1,0)))=0,"",SUM(INDEX('在庫使用計画 (一般)'!$A$1:$BF$557,MATCH($C180,'在庫使用計画 (一般)'!$C$1:$C$557,0),MATCH(AU$1,'在庫使用計画 (一般)'!$A$1:$BF$1,0)),INDEX('在庫使用計画 (法人)'!$A$1:$AT$578,MATCH($C180,'在庫使用計画 (法人)'!$C$1:$C$578,0),MATCH(AU$1,'在庫使用計画 (法人)'!$A$1:$AT$1,0)))),"")</f>
        <v/>
      </c>
      <c r="AV180" s="21"/>
      <c r="AW180" s="21"/>
      <c r="AX180" s="21"/>
      <c r="AY180" s="21"/>
      <c r="AZ180" s="21"/>
      <c r="BA180" s="21"/>
      <c r="BB180" s="21"/>
      <c r="BC180" s="21"/>
      <c r="BD180" s="21"/>
      <c r="BE180" s="21"/>
      <c r="BF180" s="21"/>
      <c r="BG180" s="21"/>
      <c r="BH180" s="21"/>
      <c r="BI180" s="21"/>
      <c r="BJ180" s="21"/>
      <c r="BK180" s="21"/>
      <c r="BL180" s="21"/>
      <c r="BM180" s="21"/>
      <c r="BN180" s="21"/>
      <c r="BO180" s="21"/>
      <c r="BP180" s="21"/>
      <c r="BQ180" s="21"/>
      <c r="BR180" s="21"/>
      <c r="BS180" s="21"/>
      <c r="BT180" s="21"/>
    </row>
  </sheetData>
  <autoFilter ref="A1:K180" xr:uid="{4E7CAA10-1922-4AA4-B427-439F1DAD6B81}"/>
  <phoneticPr fontId="4"/>
  <conditionalFormatting sqref="C1:C122">
    <cfRule type="duplicateValues" dxfId="75" priority="8"/>
  </conditionalFormatting>
  <conditionalFormatting sqref="C134:C1048576 C123:C127 C130:C131">
    <cfRule type="duplicateValues" dxfId="74" priority="392"/>
  </conditionalFormatting>
  <conditionalFormatting sqref="I1:J191 K50">
    <cfRule type="expression" dxfId="73" priority="6">
      <formula>OFFSET(INDIRECT(ADDRESS(ROW(),COLUMN())), 0, -1)&lt;INDIRECT(ADDRESS(ROW(),COLUMN()))</formula>
    </cfRule>
  </conditionalFormatting>
  <conditionalFormatting sqref="J1:J191 K50">
    <cfRule type="expression" priority="7">
      <formula>"$H:$H-$G:$G&lt;0"</formula>
    </cfRule>
  </conditionalFormatting>
  <conditionalFormatting sqref="K2:K25 K29:K45 K52:K104">
    <cfRule type="containsText" dxfId="72" priority="4" operator="containsText" text="不足">
      <formula>NOT(ISERROR(SEARCH("不足",K2)))</formula>
    </cfRule>
  </conditionalFormatting>
  <conditionalFormatting sqref="K111:K120">
    <cfRule type="containsText" dxfId="71" priority="1" operator="containsText" text="不足">
      <formula>NOT(ISERROR(SEARCH("不足",K111)))</formula>
    </cfRule>
  </conditionalFormatting>
  <conditionalFormatting sqref="L1:BS1">
    <cfRule type="timePeriod" dxfId="70" priority="69" timePeriod="thisMonth">
      <formula>AND(MONTH(L1)=MONTH(TODAY()),YEAR(L1)=YEAR(TODAY()))</formula>
    </cfRule>
  </conditionalFormatting>
  <conditionalFormatting sqref="L49:BS49">
    <cfRule type="expression" dxfId="69" priority="46">
      <formula>L$49&lt;L$50</formula>
    </cfRule>
  </conditionalFormatting>
  <conditionalFormatting sqref="L108:BS108">
    <cfRule type="expression" dxfId="68" priority="45">
      <formula>L$108&lt;L$109</formula>
    </cfRule>
  </conditionalFormatting>
  <conditionalFormatting sqref="L121:BS121">
    <cfRule type="expression" dxfId="67" priority="44">
      <formula>O$121&lt;O$122</formula>
    </cfRule>
  </conditionalFormatting>
  <conditionalFormatting sqref="AK2:BS122">
    <cfRule type="expression" dxfId="66" priority="11">
      <formula>AND(   $K2&lt;&gt;"",   ISNUMBER($K2),   DATE(YEAR(AK$1),MONTH(AK$1),1)&lt;=DATE(YEAR($K2),MONTH($K2),1) )</formula>
    </cfRule>
  </conditionalFormatting>
  <pageMargins left="0.7" right="0.7" top="0.75" bottom="0.75" header="0.3" footer="0.3"/>
  <pageSetup paperSize="9" orientation="portrait" verticalDpi="0" r:id="rId1"/>
  <ignoredErrors>
    <ignoredError sqref="AQ49:AZ49" formula="1"/>
  </ignoredErrors>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92105-EFA6-48CB-AF5D-0C919786D17A}">
  <sheetPr codeName="Sheet9">
    <tabColor theme="7" tint="0.39997558519241921"/>
  </sheetPr>
  <dimension ref="A1:BS160"/>
  <sheetViews>
    <sheetView tabSelected="1" zoomScaleNormal="85" workbookViewId="0">
      <pane xSplit="11" ySplit="1" topLeftCell="AF2" activePane="bottomRight" state="frozen"/>
      <selection activeCell="K3" sqref="K3"/>
      <selection pane="topRight" activeCell="K3" sqref="K3"/>
      <selection pane="bottomLeft" activeCell="K3" sqref="K3"/>
      <selection pane="bottomRight" activeCell="AP3" sqref="AP3"/>
    </sheetView>
  </sheetViews>
  <sheetFormatPr defaultColWidth="9" defaultRowHeight="16.5" outlineLevelCol="1"/>
  <cols>
    <col min="1" max="1" width="9" style="1143"/>
    <col min="2" max="2" width="27.5" style="1144" customWidth="1"/>
    <col min="3" max="3" width="16" style="1144" bestFit="1" customWidth="1"/>
    <col min="4" max="4" width="25" style="1140" hidden="1" customWidth="1" outlineLevel="1"/>
    <col min="5" max="5" width="9.75" style="1140" hidden="1" customWidth="1" outlineLevel="1"/>
    <col min="6" max="6" width="5.75" style="1140" hidden="1" customWidth="1" outlineLevel="1"/>
    <col min="7" max="7" width="9" style="1145" bestFit="1" customWidth="1" collapsed="1"/>
    <col min="8" max="10" width="9" style="1145" bestFit="1" customWidth="1"/>
    <col min="11" max="11" width="21.25" style="1433" customWidth="1"/>
    <col min="12" max="13" width="9" style="1139" hidden="1" customWidth="1" outlineLevel="1"/>
    <col min="14" max="14" width="9.125" style="1139" hidden="1" customWidth="1" outlineLevel="1"/>
    <col min="15" max="19" width="10.25" style="1139" hidden="1" customWidth="1" outlineLevel="1"/>
    <col min="20" max="23" width="10.75" style="1139" hidden="1" customWidth="1" outlineLevel="1"/>
    <col min="24" max="30" width="10.75" style="1140" hidden="1" customWidth="1" outlineLevel="1"/>
    <col min="31" max="33" width="9" style="1140" hidden="1" customWidth="1" outlineLevel="1"/>
    <col min="34" max="34" width="9" style="1140" hidden="1" customWidth="1" outlineLevel="1" collapsed="1"/>
    <col min="35" max="35" width="10.25" style="1146" hidden="1" customWidth="1" outlineLevel="1" collapsed="1"/>
    <col min="36" max="36" width="9.125" style="1146" hidden="1" customWidth="1" outlineLevel="1" collapsed="1"/>
    <col min="37" max="37" width="7.125" style="1146" hidden="1" customWidth="1" outlineLevel="1" collapsed="1"/>
    <col min="38" max="38" width="7" style="1146" hidden="1" customWidth="1" outlineLevel="1" collapsed="1"/>
    <col min="39" max="39" width="7" style="1146" customWidth="1" collapsed="1"/>
    <col min="40" max="58" width="7" style="1146" customWidth="1"/>
    <col min="59" max="71" width="7" style="1140" customWidth="1"/>
    <col min="72" max="16384" width="9" style="1140"/>
  </cols>
  <sheetData>
    <row r="1" spans="1:58" s="1139" customFormat="1" ht="18.75" customHeight="1">
      <c r="A1" s="1463" t="s">
        <v>1322</v>
      </c>
      <c r="B1" s="1464" t="s">
        <v>1757</v>
      </c>
      <c r="C1" s="1464" t="s">
        <v>1828</v>
      </c>
      <c r="D1" s="1464" t="s">
        <v>11</v>
      </c>
      <c r="E1" s="1464" t="s">
        <v>12</v>
      </c>
      <c r="F1" s="1464" t="s">
        <v>13</v>
      </c>
      <c r="G1" s="1464" t="s">
        <v>1327</v>
      </c>
      <c r="H1" s="1464" t="s">
        <v>15</v>
      </c>
      <c r="I1" s="1464" t="s">
        <v>1829</v>
      </c>
      <c r="J1" s="1464" t="s">
        <v>1830</v>
      </c>
      <c r="K1" s="1465" t="s">
        <v>1808</v>
      </c>
      <c r="L1" s="1466">
        <v>45323</v>
      </c>
      <c r="M1" s="1466">
        <v>45352</v>
      </c>
      <c r="N1" s="1467">
        <v>45383</v>
      </c>
      <c r="O1" s="1468">
        <v>45413</v>
      </c>
      <c r="P1" s="1468">
        <v>45444</v>
      </c>
      <c r="Q1" s="1468">
        <v>45474</v>
      </c>
      <c r="R1" s="1468">
        <v>45505</v>
      </c>
      <c r="S1" s="1468">
        <v>45536</v>
      </c>
      <c r="T1" s="1468">
        <v>45566</v>
      </c>
      <c r="U1" s="1468">
        <v>45597</v>
      </c>
      <c r="V1" s="1468">
        <v>45627</v>
      </c>
      <c r="W1" s="1469">
        <v>45658</v>
      </c>
      <c r="X1" s="1468">
        <v>45689</v>
      </c>
      <c r="Y1" s="1468">
        <v>45717</v>
      </c>
      <c r="Z1" s="1470">
        <v>45748</v>
      </c>
      <c r="AA1" s="1471">
        <v>45778</v>
      </c>
      <c r="AB1" s="1471">
        <v>45809</v>
      </c>
      <c r="AC1" s="1471">
        <v>45839</v>
      </c>
      <c r="AD1" s="1472">
        <v>45870</v>
      </c>
      <c r="AE1" s="1471">
        <v>45901</v>
      </c>
      <c r="AF1" s="1471">
        <v>45931</v>
      </c>
      <c r="AG1" s="1471">
        <v>45962</v>
      </c>
      <c r="AH1" s="1473">
        <v>45992</v>
      </c>
      <c r="AI1" s="1474">
        <v>46023</v>
      </c>
      <c r="AJ1" s="1471">
        <v>46054</v>
      </c>
      <c r="AK1" s="1471">
        <v>46082</v>
      </c>
      <c r="AL1" s="1471">
        <v>46113</v>
      </c>
      <c r="AM1" s="1471">
        <v>46143</v>
      </c>
      <c r="AN1" s="1471">
        <v>46174</v>
      </c>
      <c r="AO1" s="1471">
        <v>46204</v>
      </c>
      <c r="AP1" s="1471">
        <v>46235</v>
      </c>
      <c r="AQ1" s="1471">
        <v>46266</v>
      </c>
      <c r="AR1" s="1471">
        <v>46296</v>
      </c>
      <c r="AS1" s="1471">
        <v>46327</v>
      </c>
      <c r="AT1" s="1475">
        <v>46357</v>
      </c>
      <c r="AU1" s="1476">
        <v>46388</v>
      </c>
      <c r="AV1" s="920">
        <v>46419</v>
      </c>
      <c r="AW1" s="920">
        <v>46447</v>
      </c>
      <c r="AX1" s="920">
        <v>46478</v>
      </c>
      <c r="AY1" s="920">
        <v>46508</v>
      </c>
      <c r="AZ1" s="920">
        <v>46539</v>
      </c>
      <c r="BA1" s="920">
        <v>46569</v>
      </c>
      <c r="BB1" s="920">
        <v>46600</v>
      </c>
      <c r="BC1" s="920">
        <v>46631</v>
      </c>
      <c r="BD1" s="920">
        <v>46661</v>
      </c>
      <c r="BE1" s="920">
        <v>46692</v>
      </c>
      <c r="BF1" s="920">
        <v>46722</v>
      </c>
    </row>
    <row r="2" spans="1:58" ht="18.75" customHeight="1">
      <c r="A2" s="1080"/>
      <c r="B2" s="87" t="s">
        <v>21</v>
      </c>
      <c r="C2" s="87"/>
      <c r="D2" s="87"/>
      <c r="E2" s="87"/>
      <c r="F2" s="86"/>
      <c r="G2" s="74" t="str" cm="1">
        <f t="array" ref="G2:G25">IF($C2:$C25="","",SUMIF(マスタ_EOLリスト[[製品型番]:[製品型番]],$C2:$C25,マスタ_EOLリスト[[在庫+注残]:[在庫+注残]]))</f>
        <v/>
      </c>
      <c r="H2" s="499" t="str">
        <f ca="1">_xlfn.LET(_xlpm._今月から4ヶ月計画合計,
  SUM(
    OFFSET($A2,0,
      MATCH(
        EDATE(基準データ!$C$5,3),$A$1:$BD$1,1
      )-4,1,4)),
  IF($C2="","",_xlpm._今月から4ヶ月計画合計
)
)</f>
        <v/>
      </c>
      <c r="I2" s="499" t="str">
        <f>IF($C2="","",
_xlfn.LET(
  _xlpm._見出し範囲,$L$1:$BF$1,
  _xlpm._行範囲,$L2:$BF2,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
      </c>
      <c r="J2" s="499" t="str">
        <f>IF($C2="","",
_xlfn.LET(
  _xlpm._見出し範囲,'在庫使用計画 (法人)'!$L$1:$BF$1,
  _xlpm._行範囲,'在庫使用計画 (法人)'!$L2:$BF2,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
      </c>
      <c r="K2" s="1458" t="str" cm="1">
        <f t="array" ref="K2:K25">IF($C2:$C25="","",_xlfn.XLOOKUP($C2:$C25,'在庫使用計画 (ノート全体試算)'!C:C,'在庫使用計画 (ノート全体試算)'!K:K))</f>
        <v/>
      </c>
      <c r="L2" s="74"/>
      <c r="M2" s="74"/>
      <c r="N2" s="74"/>
      <c r="O2" s="74"/>
      <c r="P2" s="74"/>
      <c r="Q2" s="74"/>
      <c r="R2" s="74"/>
      <c r="S2" s="224"/>
      <c r="T2" s="224"/>
      <c r="U2" s="224"/>
      <c r="V2" s="299"/>
      <c r="W2" s="299"/>
      <c r="X2" s="299"/>
      <c r="Y2" s="1477">
        <v>30</v>
      </c>
      <c r="Z2" s="1477">
        <v>60</v>
      </c>
      <c r="AA2" s="224">
        <v>60</v>
      </c>
      <c r="AB2" s="224">
        <v>72</v>
      </c>
      <c r="AC2" s="224">
        <v>82</v>
      </c>
      <c r="AD2" s="237">
        <v>16</v>
      </c>
      <c r="AE2" s="224">
        <v>0</v>
      </c>
      <c r="AF2" s="224">
        <v>0</v>
      </c>
      <c r="AG2" s="224">
        <v>15</v>
      </c>
      <c r="AH2" s="237">
        <v>10.333333333333332</v>
      </c>
      <c r="AI2" s="1478">
        <v>12</v>
      </c>
      <c r="AJ2" s="1151"/>
      <c r="AK2" s="1151"/>
      <c r="AL2" s="1151"/>
      <c r="AM2" s="1151"/>
      <c r="AN2" s="1151"/>
      <c r="AO2" s="1151"/>
      <c r="AP2" s="1151"/>
      <c r="AQ2" s="1151"/>
      <c r="AR2" s="1151"/>
      <c r="AS2" s="1151"/>
      <c r="AT2" s="1150"/>
      <c r="AU2" s="1149"/>
      <c r="AV2" s="1193"/>
      <c r="AW2" s="1193"/>
      <c r="AX2" s="1193"/>
      <c r="AY2" s="1193"/>
      <c r="AZ2" s="1193"/>
      <c r="BA2" s="1193"/>
      <c r="BB2" s="1193"/>
      <c r="BC2" s="1193"/>
      <c r="BD2" s="1193"/>
      <c r="BE2" s="1193"/>
      <c r="BF2" s="1193"/>
    </row>
    <row r="3" spans="1:58" ht="18.75" customHeight="1">
      <c r="A3" s="1080" t="s">
        <v>1628</v>
      </c>
      <c r="B3" s="87" t="s">
        <v>152</v>
      </c>
      <c r="C3" s="639" t="s">
        <v>149</v>
      </c>
      <c r="D3" s="87" t="s">
        <v>1831</v>
      </c>
      <c r="E3" s="87">
        <v>5090</v>
      </c>
      <c r="F3" s="86" t="s">
        <v>20</v>
      </c>
      <c r="G3" s="499">
        <v>66</v>
      </c>
      <c r="H3" s="499">
        <f ca="1">_xlfn.LET(_xlpm._今月から4ヶ月計画合計,
  SUM(
    OFFSET($A3,0,
      MATCH(
        EDATE(基準データ!$C$5,3),$A$1:$BD$1,1
      )-4,1,4)),
  IF($C3="","",_xlpm._今月から4ヶ月計画合計
)
)</f>
        <v>0</v>
      </c>
      <c r="I3" s="499">
        <f>IF($C3="","",
_xlfn.LET(
  _xlpm._見出し範囲,$L$1:$BF$1,
  _xlpm._行範囲,$L3:$BF3,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0</v>
      </c>
      <c r="J3" s="499">
        <f>IF($C3="","",
_xlfn.LET(
  _xlpm._見出し範囲,'在庫使用計画 (法人)'!$L$1:$BF$1,
  _xlpm._行範囲,'在庫使用計画 (法人)'!$L3:$BF3,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55.193548387096769</v>
      </c>
      <c r="K3" s="1413">
        <v>46204</v>
      </c>
      <c r="L3" s="74"/>
      <c r="M3" s="74"/>
      <c r="N3" s="74"/>
      <c r="O3" s="74"/>
      <c r="P3" s="74"/>
      <c r="Q3" s="74"/>
      <c r="R3" s="74"/>
      <c r="S3" s="224"/>
      <c r="T3" s="224"/>
      <c r="U3" s="224"/>
      <c r="V3" s="299"/>
      <c r="W3" s="299"/>
      <c r="X3" s="299"/>
      <c r="Y3" s="1477">
        <v>30</v>
      </c>
      <c r="Z3" s="1477">
        <v>60</v>
      </c>
      <c r="AA3" s="224">
        <v>60</v>
      </c>
      <c r="AB3" s="224">
        <v>72</v>
      </c>
      <c r="AC3" s="224">
        <v>82</v>
      </c>
      <c r="AD3" s="237">
        <v>16</v>
      </c>
      <c r="AE3" s="224">
        <v>16.76988785934557</v>
      </c>
      <c r="AF3" s="224">
        <v>14.580322994691301</v>
      </c>
      <c r="AG3" s="224">
        <v>15</v>
      </c>
      <c r="AH3" s="237">
        <v>10.333333333333332</v>
      </c>
      <c r="AI3" s="1478">
        <v>12</v>
      </c>
      <c r="AJ3" s="1152">
        <v>12.042352352804164</v>
      </c>
      <c r="AK3" s="1152">
        <v>13</v>
      </c>
      <c r="AL3" s="1152">
        <v>9</v>
      </c>
      <c r="AM3" s="1170" t="s">
        <v>914</v>
      </c>
      <c r="AN3" s="1151"/>
      <c r="AO3" s="1151"/>
      <c r="AP3" s="1151"/>
      <c r="AQ3" s="1151"/>
      <c r="AR3" s="1151"/>
      <c r="AS3" s="1151"/>
      <c r="AT3" s="1150"/>
      <c r="AU3" s="1149"/>
      <c r="AV3" s="1193"/>
      <c r="AW3" s="1193"/>
      <c r="AX3" s="1193"/>
      <c r="AY3" s="1193"/>
      <c r="AZ3" s="1193"/>
      <c r="BA3" s="1193"/>
      <c r="BB3" s="1193"/>
      <c r="BC3" s="1193"/>
      <c r="BD3" s="1193"/>
      <c r="BE3" s="1193"/>
      <c r="BF3" s="1193"/>
    </row>
    <row r="4" spans="1:58" ht="18.75" customHeight="1">
      <c r="A4" s="1479" t="s">
        <v>1628</v>
      </c>
      <c r="B4" s="1480" t="s">
        <v>186</v>
      </c>
      <c r="C4" s="1481" t="s">
        <v>184</v>
      </c>
      <c r="D4" s="1482" t="s">
        <v>295</v>
      </c>
      <c r="E4" s="87">
        <v>5090</v>
      </c>
      <c r="F4" s="86" t="s">
        <v>20</v>
      </c>
      <c r="G4" s="499">
        <v>137</v>
      </c>
      <c r="H4" s="499">
        <f ca="1">_xlfn.LET(_xlpm._今月から4ヶ月計画合計,
  SUM(
    OFFSET($A4,0,
      MATCH(
        EDATE(基準データ!$C$5,3),$A$1:$BD$1,1
      )-4,1,4)),
  IF($C4="","",_xlpm._今月から4ヶ月計画合計
)
)</f>
        <v>52.364173383328968</v>
      </c>
      <c r="I4" s="499">
        <f>IF($C4="","",
_xlfn.LET(
  _xlpm._見出し範囲,$L$1:$BF$1,
  _xlpm._行範囲,$L4:$BF4,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155.89587278610895</v>
      </c>
      <c r="J4" s="499">
        <f>IF($C4="","",
_xlfn.LET(
  _xlpm._見出し範囲,'在庫使用計画 (法人)'!$L$1:$BF$1,
  _xlpm._行範囲,'在庫使用計画 (法人)'!$L4:$BF4,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50</v>
      </c>
      <c r="K4" s="1413">
        <v>46357</v>
      </c>
      <c r="L4" s="74"/>
      <c r="M4" s="74"/>
      <c r="N4" s="74"/>
      <c r="O4" s="74"/>
      <c r="P4" s="74"/>
      <c r="Q4" s="74"/>
      <c r="R4" s="74"/>
      <c r="S4" s="224"/>
      <c r="T4" s="379"/>
      <c r="U4" s="224"/>
      <c r="V4" s="678"/>
      <c r="W4" s="678"/>
      <c r="X4" s="678"/>
      <c r="Y4" s="1483"/>
      <c r="Z4" s="1484"/>
      <c r="AA4" s="224"/>
      <c r="AB4" s="224"/>
      <c r="AC4" s="224"/>
      <c r="AD4" s="237"/>
      <c r="AE4" s="224"/>
      <c r="AF4" s="224"/>
      <c r="AG4" s="224"/>
      <c r="AH4" s="237"/>
      <c r="AI4" s="1478"/>
      <c r="AJ4" s="1151"/>
      <c r="AK4" s="1147">
        <v>3</v>
      </c>
      <c r="AL4" s="1147">
        <v>2.2304413469132101</v>
      </c>
      <c r="AM4" s="1147">
        <v>10</v>
      </c>
      <c r="AN4" s="1147">
        <v>11.571092817687738</v>
      </c>
      <c r="AO4" s="1147">
        <v>14.677271498425696</v>
      </c>
      <c r="AP4" s="1147">
        <v>14.294817620538364</v>
      </c>
      <c r="AQ4" s="1147">
        <v>12.220765020512381</v>
      </c>
      <c r="AR4" s="1147">
        <v>11.171319243852528</v>
      </c>
      <c r="AS4" s="1147">
        <v>11.6869185935688</v>
      </c>
      <c r="AT4" s="1147">
        <v>20.327893524118746</v>
      </c>
      <c r="AU4" s="1149">
        <f>+AT4*AU$25</f>
        <v>24.230849080749543</v>
      </c>
      <c r="AV4" s="1149">
        <f>+AU4*AV$25</f>
        <v>25.58777662927152</v>
      </c>
      <c r="AW4" s="1149">
        <f>+AV4*AW$25</f>
        <v>22.645182316905295</v>
      </c>
      <c r="AX4" s="1193"/>
      <c r="AY4" s="1193"/>
      <c r="AZ4" s="1193"/>
      <c r="BA4" s="1193"/>
      <c r="BB4" s="1193"/>
      <c r="BC4" s="1193"/>
      <c r="BD4" s="1193"/>
      <c r="BE4" s="1193"/>
      <c r="BF4" s="1193"/>
    </row>
    <row r="5" spans="1:58" ht="18.75" customHeight="1">
      <c r="A5" s="1479" t="s">
        <v>1630</v>
      </c>
      <c r="B5" s="1480" t="s">
        <v>193</v>
      </c>
      <c r="C5" s="1481" t="s">
        <v>190</v>
      </c>
      <c r="D5" s="1482" t="s">
        <v>295</v>
      </c>
      <c r="E5" s="87">
        <v>5080</v>
      </c>
      <c r="F5" s="86" t="s">
        <v>20</v>
      </c>
      <c r="G5" s="499">
        <v>341</v>
      </c>
      <c r="H5" s="499">
        <f ca="1">_xlfn.LET(_xlpm._今月から4ヶ月計画合計,
  SUM(
    OFFSET($A5,0,
      MATCH(
        EDATE(基準データ!$C$5,3),$A$1:$BD$1,1
      )-4,1,4)),
  IF($C5="","",_xlpm._今月から4ヶ月計画合計
)
)</f>
        <v>90.216650270245495</v>
      </c>
      <c r="I5" s="499">
        <f>IF($C5="","",
_xlfn.LET(
  _xlpm._見出し範囲,$L$1:$BF$1,
  _xlpm._行範囲,$L5:$BF5,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282.45931854017442</v>
      </c>
      <c r="J5" s="499">
        <f>IF($C5="","",
_xlfn.LET(
  _xlpm._見出し範囲,'在庫使用計画 (法人)'!$L$1:$BF$1,
  _xlpm._行範囲,'在庫使用計画 (法人)'!$L5:$BF5,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193</v>
      </c>
      <c r="K5" s="1413">
        <v>46357</v>
      </c>
      <c r="L5" s="74"/>
      <c r="M5" s="74"/>
      <c r="N5" s="74"/>
      <c r="O5" s="74"/>
      <c r="P5" s="74"/>
      <c r="Q5" s="74"/>
      <c r="R5" s="74"/>
      <c r="S5" s="224"/>
      <c r="T5" s="379"/>
      <c r="U5" s="224"/>
      <c r="V5" s="678"/>
      <c r="W5" s="678"/>
      <c r="X5" s="678"/>
      <c r="Y5" s="1483"/>
      <c r="Z5" s="1484"/>
      <c r="AA5" s="224"/>
      <c r="AB5" s="224"/>
      <c r="AC5" s="224"/>
      <c r="AD5" s="237"/>
      <c r="AE5" s="224"/>
      <c r="AF5" s="224"/>
      <c r="AG5" s="224"/>
      <c r="AH5" s="237"/>
      <c r="AI5" s="1478"/>
      <c r="AJ5" s="1151"/>
      <c r="AK5" s="1485"/>
      <c r="AL5" s="1485">
        <v>50</v>
      </c>
      <c r="AM5" s="1147">
        <v>15</v>
      </c>
      <c r="AN5" s="1147">
        <v>15</v>
      </c>
      <c r="AO5" s="1147">
        <v>15</v>
      </c>
      <c r="AP5" s="1147">
        <v>30</v>
      </c>
      <c r="AQ5" s="1147">
        <f t="shared" ref="AQ5:AX5" si="0">+AP5*AQ26</f>
        <v>24.187338258671495</v>
      </c>
      <c r="AR5" s="1147">
        <f t="shared" si="0"/>
        <v>21.029312011573992</v>
      </c>
      <c r="AS5" s="1147">
        <f t="shared" si="0"/>
        <v>23.899343266259947</v>
      </c>
      <c r="AT5" s="1147">
        <f t="shared" si="0"/>
        <v>37.577615492781398</v>
      </c>
      <c r="AU5" s="1147">
        <f t="shared" si="0"/>
        <v>31.422055946032678</v>
      </c>
      <c r="AV5" s="1147">
        <f t="shared" si="0"/>
        <v>28.286018722665457</v>
      </c>
      <c r="AW5" s="1147">
        <f t="shared" si="0"/>
        <v>40.697860543666614</v>
      </c>
      <c r="AX5" s="1147">
        <f t="shared" si="0"/>
        <v>31.327516234006765</v>
      </c>
      <c r="AY5" s="1193"/>
      <c r="AZ5" s="1193"/>
      <c r="BA5" s="1193"/>
      <c r="BB5" s="1193"/>
      <c r="BC5" s="1193"/>
      <c r="BD5" s="1193"/>
      <c r="BE5" s="1193"/>
      <c r="BF5" s="1193"/>
    </row>
    <row r="6" spans="1:58" ht="18.75" customHeight="1">
      <c r="A6" s="1080"/>
      <c r="B6" s="87" t="s">
        <v>21</v>
      </c>
      <c r="C6" s="305"/>
      <c r="D6" s="87"/>
      <c r="E6" s="87"/>
      <c r="F6" s="87"/>
      <c r="G6" s="499" t="str">
        <v/>
      </c>
      <c r="H6" s="499" t="str">
        <f ca="1">_xlfn.LET(_xlpm._今月から4ヶ月計画合計,
  SUM(
    OFFSET($A6,0,
      MATCH(
        EDATE(基準データ!$C$5,3),$A$1:$BD$1,1
      )-4,1,4)),
  IF($C6="","",_xlpm._今月から4ヶ月計画合計
)
)</f>
        <v/>
      </c>
      <c r="I6" s="499" t="str">
        <f>IF($C6="","",
_xlfn.LET(
  _xlpm._見出し範囲,$L$1:$BF$1,
  _xlpm._行範囲,$L6:$BF6,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
      </c>
      <c r="J6" s="499" t="str">
        <f>IF($C6="","",
_xlfn.LET(
  _xlpm._見出し範囲,'在庫使用計画 (法人)'!$L$1:$BF$1,
  _xlpm._行範囲,'在庫使用計画 (法人)'!$L6:$BF6,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
      </c>
      <c r="K6" s="1413" t="str">
        <v/>
      </c>
      <c r="L6" s="74"/>
      <c r="M6" s="74"/>
      <c r="N6" s="74"/>
      <c r="O6" s="74"/>
      <c r="P6" s="74"/>
      <c r="Q6" s="74"/>
      <c r="R6" s="74"/>
      <c r="S6" s="224"/>
      <c r="T6" s="379"/>
      <c r="U6" s="224"/>
      <c r="V6" s="223"/>
      <c r="W6" s="223"/>
      <c r="X6" s="223"/>
      <c r="Y6" s="223"/>
      <c r="Z6" s="241"/>
      <c r="AA6" s="224"/>
      <c r="AB6" s="224"/>
      <c r="AC6" s="224"/>
      <c r="AD6" s="237"/>
      <c r="AE6" s="224"/>
      <c r="AF6" s="224"/>
      <c r="AG6" s="224"/>
      <c r="AH6" s="237"/>
      <c r="AI6" s="1478"/>
      <c r="AJ6" s="1151"/>
      <c r="AK6" s="1151"/>
      <c r="AL6" s="1151"/>
      <c r="AM6" s="1151"/>
      <c r="AN6" s="1151"/>
      <c r="AO6" s="1151"/>
      <c r="AP6" s="1151"/>
      <c r="AQ6" s="1151"/>
      <c r="AR6" s="1151"/>
      <c r="AS6" s="1151"/>
      <c r="AT6" s="1150"/>
      <c r="AU6" s="1149"/>
      <c r="AV6" s="1193"/>
      <c r="AW6" s="1193"/>
      <c r="AX6" s="1193"/>
      <c r="AY6" s="1193"/>
      <c r="AZ6" s="1193"/>
      <c r="BA6" s="1193"/>
      <c r="BB6" s="1193"/>
      <c r="BC6" s="1193"/>
      <c r="BD6" s="1193"/>
      <c r="BE6" s="1193"/>
      <c r="BF6" s="1193"/>
    </row>
    <row r="7" spans="1:58" ht="18.75" customHeight="1">
      <c r="A7" s="1080" t="s">
        <v>1632</v>
      </c>
      <c r="B7" s="87" t="s">
        <v>198</v>
      </c>
      <c r="C7" s="491" t="s">
        <v>195</v>
      </c>
      <c r="D7" s="87" t="s">
        <v>1832</v>
      </c>
      <c r="E7" s="86" t="s">
        <v>200</v>
      </c>
      <c r="F7" s="86" t="s">
        <v>20</v>
      </c>
      <c r="G7" s="499">
        <v>11</v>
      </c>
      <c r="H7" s="499">
        <f ca="1">_xlfn.LET(_xlpm._今月から4ヶ月計画合計,
  SUM(
    OFFSET($A7,0,
      MATCH(
        EDATE(基準データ!$C$5,3),$A$1:$BD$1,1
      )-4,1,4)),
  IF($C7="","",_xlpm._今月から4ヶ月計画合計
)
)</f>
        <v>0</v>
      </c>
      <c r="I7" s="499">
        <f>IF($C7="","",
_xlfn.LET(
  _xlpm._見出し範囲,$L$1:$BF$1,
  _xlpm._行範囲,$L7:$BF7,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0</v>
      </c>
      <c r="J7" s="499">
        <f>IF($C7="","",
_xlfn.LET(
  _xlpm._見出し範囲,'在庫使用計画 (法人)'!$L$1:$BF$1,
  _xlpm._行範囲,'在庫使用計画 (法人)'!$L7:$BF7,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0</v>
      </c>
      <c r="K7" s="1486" t="str">
        <v>計画なし</v>
      </c>
      <c r="L7" s="1487"/>
      <c r="M7" s="1487"/>
      <c r="N7" s="1488"/>
      <c r="O7" s="1489"/>
      <c r="P7" s="1489"/>
      <c r="Q7" s="1489"/>
      <c r="R7" s="1489"/>
      <c r="S7" s="349"/>
      <c r="T7" s="1490"/>
      <c r="U7" s="1491"/>
      <c r="V7" s="1492"/>
      <c r="W7" s="1492"/>
      <c r="X7" s="1492"/>
      <c r="Y7" s="379"/>
      <c r="Z7" s="379"/>
      <c r="AA7" s="379">
        <v>70</v>
      </c>
      <c r="AB7" s="379">
        <v>144.375</v>
      </c>
      <c r="AC7" s="379">
        <v>148.36729976102956</v>
      </c>
      <c r="AD7" s="1493">
        <v>124.53633094634384</v>
      </c>
      <c r="AE7" s="224">
        <v>130.52876902403332</v>
      </c>
      <c r="AF7" s="224">
        <v>73.025604016148819</v>
      </c>
      <c r="AG7" s="224">
        <v>71.617599095104822</v>
      </c>
      <c r="AH7" s="237">
        <v>36.166666666666671</v>
      </c>
      <c r="AI7" s="1478">
        <v>27</v>
      </c>
      <c r="AJ7" s="1152">
        <v>36.12705705841249</v>
      </c>
      <c r="AK7" s="1152">
        <v>53.933108910309755</v>
      </c>
      <c r="AL7" s="1152">
        <v>40.098212027042713</v>
      </c>
      <c r="AM7" s="1152">
        <v>50</v>
      </c>
      <c r="AN7" s="1152">
        <v>23</v>
      </c>
      <c r="AO7" s="1170" t="s">
        <v>914</v>
      </c>
      <c r="AP7" s="1151"/>
      <c r="AQ7" s="1151"/>
      <c r="AR7" s="1151"/>
      <c r="AS7" s="1151"/>
      <c r="AT7" s="1151"/>
      <c r="AU7" s="1151"/>
      <c r="AV7" s="1193"/>
      <c r="AW7" s="1193"/>
      <c r="AX7" s="1193"/>
      <c r="AY7" s="1193"/>
      <c r="AZ7" s="1193"/>
      <c r="BA7" s="1193"/>
      <c r="BB7" s="1193"/>
      <c r="BC7" s="1193"/>
      <c r="BD7" s="1193"/>
      <c r="BE7" s="1193"/>
      <c r="BF7" s="1193"/>
    </row>
    <row r="8" spans="1:58" ht="18.75" customHeight="1">
      <c r="A8" s="1080" t="s">
        <v>1632</v>
      </c>
      <c r="B8" s="105" t="s">
        <v>211</v>
      </c>
      <c r="C8" s="1494" t="s">
        <v>209</v>
      </c>
      <c r="D8" s="1482" t="s">
        <v>1720</v>
      </c>
      <c r="E8" s="86" t="s">
        <v>200</v>
      </c>
      <c r="F8" s="86" t="s">
        <v>20</v>
      </c>
      <c r="G8" s="499">
        <v>553</v>
      </c>
      <c r="H8" s="499">
        <f ca="1">_xlfn.LET(_xlpm._今月から4ヶ月計画合計,
  SUM(
    OFFSET($A8,0,
      MATCH(
        EDATE(基準データ!$C$5,3),$A$1:$BD$1,1
      )-4,1,4)),
  IF($C8="","",_xlpm._今月から4ヶ月計画合計
)
)</f>
        <v>254.51025661556838</v>
      </c>
      <c r="I8" s="499">
        <f>IF($C8="","",
_xlfn.LET(
  _xlpm._見出し範囲,$L$1:$BF$1,
  _xlpm._行範囲,$L8:$BF8,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816.84036474784148</v>
      </c>
      <c r="J8" s="499">
        <f>IF($C8="","",
_xlfn.LET(
  _xlpm._見出し範囲,'在庫使用計画 (法人)'!$L$1:$BF$1,
  _xlpm._行範囲,'在庫使用計画 (法人)'!$L8:$BF8,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658.35483870967744</v>
      </c>
      <c r="K8" s="1486">
        <v>46296</v>
      </c>
      <c r="L8" s="1487"/>
      <c r="M8" s="1487"/>
      <c r="N8" s="1488"/>
      <c r="O8" s="121"/>
      <c r="P8" s="121"/>
      <c r="Q8" s="121"/>
      <c r="R8" s="1495"/>
      <c r="S8" s="335"/>
      <c r="T8" s="335"/>
      <c r="U8" s="1491"/>
      <c r="V8" s="1492"/>
      <c r="W8" s="1492"/>
      <c r="X8" s="1492"/>
      <c r="Y8" s="379"/>
      <c r="Z8" s="379"/>
      <c r="AA8" s="1493"/>
      <c r="AB8" s="379"/>
      <c r="AC8" s="379">
        <v>54</v>
      </c>
      <c r="AD8" s="1493">
        <v>52</v>
      </c>
      <c r="AE8" s="224">
        <v>55.457978025489659</v>
      </c>
      <c r="AF8" s="224">
        <v>25.648028840232314</v>
      </c>
      <c r="AG8" s="224">
        <v>23.920777577795949</v>
      </c>
      <c r="AH8" s="237">
        <v>67.166666666666657</v>
      </c>
      <c r="AI8" s="1478">
        <v>32</v>
      </c>
      <c r="AJ8" s="1152">
        <v>34.406721008011893</v>
      </c>
      <c r="AK8" s="1152">
        <v>51.364865628866433</v>
      </c>
      <c r="AL8" s="1151"/>
      <c r="AM8" s="1151"/>
      <c r="AN8" s="1151"/>
      <c r="AO8" s="1151">
        <v>50</v>
      </c>
      <c r="AP8" s="1151">
        <v>40</v>
      </c>
      <c r="AQ8" s="1151">
        <v>88</v>
      </c>
      <c r="AR8" s="1151">
        <v>76.510256615568395</v>
      </c>
      <c r="AS8" s="1151">
        <v>86.95219725869876</v>
      </c>
      <c r="AT8" s="1151">
        <v>136.71740676877573</v>
      </c>
      <c r="AU8" s="1151">
        <v>114.32183623014137</v>
      </c>
      <c r="AV8" s="1149">
        <f>+AU8*AV$25</f>
        <v>120.72385905902929</v>
      </c>
      <c r="AW8" s="1149">
        <f>+AV8*AW$25</f>
        <v>106.84061526724092</v>
      </c>
      <c r="AX8" s="1193"/>
      <c r="AY8" s="1193"/>
      <c r="AZ8" s="1193"/>
      <c r="BA8" s="1193"/>
      <c r="BB8" s="1193"/>
      <c r="BC8" s="1193"/>
      <c r="BD8" s="1193"/>
      <c r="BE8" s="1193"/>
      <c r="BF8" s="1193"/>
    </row>
    <row r="9" spans="1:58" ht="18.75" customHeight="1">
      <c r="A9" s="1080" t="s">
        <v>1632</v>
      </c>
      <c r="B9" s="105" t="s">
        <v>217</v>
      </c>
      <c r="C9" s="1494" t="s">
        <v>215</v>
      </c>
      <c r="D9" s="1482" t="s">
        <v>1721</v>
      </c>
      <c r="E9" s="86">
        <v>5070</v>
      </c>
      <c r="F9" s="86" t="s">
        <v>20</v>
      </c>
      <c r="G9" s="499">
        <v>268</v>
      </c>
      <c r="H9" s="499">
        <f ca="1">_xlfn.LET(_xlpm._今月から4ヶ月計画合計,
  SUM(
    OFFSET($A9,0,
      MATCH(
        EDATE(基準データ!$C$5,3),$A$1:$BD$1,1
      )-4,1,4)),
  IF($C9="","",_xlpm._今月から4ヶ月計画合計
)
)</f>
        <v>206.03851990217726</v>
      </c>
      <c r="I9" s="499">
        <f>IF($C9="","",
_xlfn.LET(
  _xlpm._見出し範囲,$L$1:$BF$1,
  _xlpm._行範囲,$L9:$BF9,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445.41713697689056</v>
      </c>
      <c r="J9" s="499">
        <f>IF($C9="","",
_xlfn.LET(
  _xlpm._見出し範囲,'在庫使用計画 (法人)'!$L$1:$BF$1,
  _xlpm._行範囲,'在庫使用計画 (法人)'!$L9:$BF9,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217.16129032258064</v>
      </c>
      <c r="K9" s="1486">
        <v>46266</v>
      </c>
      <c r="L9" s="1487"/>
      <c r="M9" s="1487"/>
      <c r="N9" s="1488"/>
      <c r="O9" s="121"/>
      <c r="P9" s="121"/>
      <c r="Q9" s="121"/>
      <c r="R9" s="1495"/>
      <c r="S9" s="335"/>
      <c r="T9" s="335"/>
      <c r="U9" s="1491"/>
      <c r="V9" s="1492"/>
      <c r="W9" s="1492"/>
      <c r="X9" s="1492"/>
      <c r="Y9" s="379"/>
      <c r="Z9" s="379"/>
      <c r="AA9" s="1493"/>
      <c r="AB9" s="379"/>
      <c r="AC9" s="379"/>
      <c r="AD9" s="1493">
        <v>105</v>
      </c>
      <c r="AE9" s="224">
        <v>111.98245562839257</v>
      </c>
      <c r="AF9" s="224">
        <v>68.834868825909425</v>
      </c>
      <c r="AG9" s="224">
        <v>65.019787590315573</v>
      </c>
      <c r="AH9" s="237">
        <v>56.833333333333329</v>
      </c>
      <c r="AI9" s="1478">
        <v>43</v>
      </c>
      <c r="AJ9" s="1152">
        <v>40</v>
      </c>
      <c r="AK9" s="1152">
        <v>59.714920950363961</v>
      </c>
      <c r="AL9" s="1152">
        <v>13</v>
      </c>
      <c r="AM9" s="1152">
        <v>30</v>
      </c>
      <c r="AN9" s="1152">
        <v>40</v>
      </c>
      <c r="AO9" s="1152">
        <v>75</v>
      </c>
      <c r="AP9" s="1152">
        <v>60</v>
      </c>
      <c r="AQ9" s="1151">
        <v>38</v>
      </c>
      <c r="AR9" s="1151">
        <v>33.038519902177264</v>
      </c>
      <c r="AS9" s="1151">
        <v>37.547539725347193</v>
      </c>
      <c r="AT9" s="1151">
        <v>59.037062013789523</v>
      </c>
      <c r="AU9" s="1151">
        <v>49.36624746301559</v>
      </c>
      <c r="AV9" s="1149">
        <f>+AU9*AV$25</f>
        <v>52.130757320944468</v>
      </c>
      <c r="AW9" s="1149">
        <f>+AV9*AW$25</f>
        <v>46.135720229035854</v>
      </c>
      <c r="AX9" s="1193"/>
      <c r="AY9" s="1193"/>
      <c r="AZ9" s="1193"/>
      <c r="BA9" s="1193"/>
      <c r="BB9" s="1193"/>
      <c r="BC9" s="1193"/>
      <c r="BD9" s="1193"/>
      <c r="BE9" s="1193"/>
      <c r="BF9" s="1193"/>
    </row>
    <row r="10" spans="1:58" ht="18.75" customHeight="1">
      <c r="A10" s="1080" t="s">
        <v>1632</v>
      </c>
      <c r="B10" s="87" t="s">
        <v>247</v>
      </c>
      <c r="C10" s="1496" t="s">
        <v>244</v>
      </c>
      <c r="D10" s="87" t="s">
        <v>1722</v>
      </c>
      <c r="E10" s="86">
        <v>5060</v>
      </c>
      <c r="F10" s="86" t="s">
        <v>20</v>
      </c>
      <c r="G10" s="499">
        <v>0</v>
      </c>
      <c r="H10" s="499">
        <f ca="1">_xlfn.LET(_xlpm._今月から4ヶ月計画合計,
  SUM(
    OFFSET($A10,0,
      MATCH(
        EDATE(基準データ!$C$5,3),$A$1:$BD$1,1
      )-4,1,4)),
  IF($C10="","",_xlpm._今月から4ヶ月計画合計
)
)</f>
        <v>0</v>
      </c>
      <c r="I10" s="499">
        <f>IF($C10="","",
_xlfn.LET(
  _xlpm._見出し範囲,$L$1:$BF$1,
  _xlpm._行範囲,$L10:$BF10,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0</v>
      </c>
      <c r="J10" s="499">
        <f>IF($C10="","",
_xlfn.LET(
  _xlpm._見出し範囲,'在庫使用計画 (法人)'!$L$1:$BF$1,
  _xlpm._行範囲,'在庫使用計画 (法人)'!$L10:$BF10,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0</v>
      </c>
      <c r="K10" s="1413" t="str">
        <v>在庫無し</v>
      </c>
      <c r="L10" s="74"/>
      <c r="M10" s="74"/>
      <c r="N10" s="74"/>
      <c r="O10" s="1497"/>
      <c r="P10" s="1497"/>
      <c r="Q10" s="1498"/>
      <c r="R10" s="121"/>
      <c r="S10" s="335"/>
      <c r="T10" s="335"/>
      <c r="U10" s="244"/>
      <c r="V10" s="299"/>
      <c r="W10" s="299"/>
      <c r="X10" s="299"/>
      <c r="Y10" s="224"/>
      <c r="Z10" s="224"/>
      <c r="AA10" s="1499">
        <v>75</v>
      </c>
      <c r="AB10" s="224">
        <v>87</v>
      </c>
      <c r="AC10" s="224">
        <v>90</v>
      </c>
      <c r="AD10" s="237">
        <v>75</v>
      </c>
      <c r="AE10" s="224">
        <v>79.987468305994724</v>
      </c>
      <c r="AF10" s="224">
        <v>75</v>
      </c>
      <c r="AG10" s="224">
        <v>73.553926797305948</v>
      </c>
      <c r="AH10" s="237">
        <v>67.166666666666657</v>
      </c>
      <c r="AI10" s="1478">
        <v>42</v>
      </c>
      <c r="AJ10" s="1152">
        <v>39.567729159213684</v>
      </c>
      <c r="AK10" s="1500">
        <v>59.069595473196408</v>
      </c>
      <c r="AL10" s="1152">
        <v>43.91708936295155</v>
      </c>
      <c r="AM10" s="1170" t="s">
        <v>914</v>
      </c>
      <c r="AN10" s="1151"/>
      <c r="AO10" s="1151"/>
      <c r="AP10" s="1151"/>
      <c r="AQ10" s="1151"/>
      <c r="AR10" s="1151"/>
      <c r="AS10" s="1151"/>
      <c r="AT10" s="1150"/>
      <c r="AU10" s="1149"/>
      <c r="AV10" s="1193"/>
      <c r="AW10" s="1193"/>
      <c r="AX10" s="1193"/>
      <c r="AY10" s="1193"/>
      <c r="AZ10" s="1193"/>
      <c r="BA10" s="1193"/>
      <c r="BB10" s="1193"/>
      <c r="BC10" s="1193"/>
      <c r="BD10" s="1193"/>
      <c r="BE10" s="1193"/>
      <c r="BF10" s="1193"/>
    </row>
    <row r="11" spans="1:58" ht="18.75" customHeight="1">
      <c r="A11" s="1080" t="s">
        <v>1632</v>
      </c>
      <c r="B11" s="105" t="s">
        <v>259</v>
      </c>
      <c r="C11" s="62" t="s">
        <v>256</v>
      </c>
      <c r="D11" s="87" t="s">
        <v>1721</v>
      </c>
      <c r="E11" s="86">
        <v>5060</v>
      </c>
      <c r="F11" s="86" t="s">
        <v>20</v>
      </c>
      <c r="G11" s="499">
        <v>5</v>
      </c>
      <c r="H11" s="499">
        <f ca="1">_xlfn.LET(_xlpm._今月から4ヶ月計画合計,
  SUM(
    OFFSET($A11,0,
      MATCH(
        EDATE(基準データ!$C$5,3),$A$1:$BD$1,1
      )-4,1,4)),
  IF($C11="","",_xlpm._今月から4ヶ月計画合計
)
)</f>
        <v>0</v>
      </c>
      <c r="I11" s="499">
        <f>IF($C11="","",
_xlfn.LET(
  _xlpm._見出し範囲,$L$1:$BF$1,
  _xlpm._行範囲,$L11:$BF11,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0</v>
      </c>
      <c r="J11" s="499">
        <f>IF($C11="","",
_xlfn.LET(
  _xlpm._見出し範囲,'在庫使用計画 (法人)'!$L$1:$BF$1,
  _xlpm._行範囲,'在庫使用計画 (法人)'!$L11:$BF11,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0</v>
      </c>
      <c r="K11" s="1413" t="str">
        <v>計画なし</v>
      </c>
      <c r="L11" s="74"/>
      <c r="M11" s="74"/>
      <c r="N11" s="74"/>
      <c r="O11" s="74"/>
      <c r="P11" s="74"/>
      <c r="Q11" s="74"/>
      <c r="R11" s="1497"/>
      <c r="S11" s="223"/>
      <c r="T11" s="223"/>
      <c r="U11" s="224"/>
      <c r="V11" s="299"/>
      <c r="W11" s="299"/>
      <c r="X11" s="299"/>
      <c r="Y11" s="299"/>
      <c r="Z11" s="299"/>
      <c r="AA11" s="224"/>
      <c r="AB11" s="224"/>
      <c r="AC11" s="224"/>
      <c r="AD11" s="74"/>
      <c r="AE11" s="224">
        <v>120</v>
      </c>
      <c r="AF11" s="224">
        <v>21.992692142991729</v>
      </c>
      <c r="AG11" s="237">
        <v>20.726888702177551</v>
      </c>
      <c r="AH11" s="237">
        <v>6.8888888888888884</v>
      </c>
      <c r="AI11" s="1478">
        <v>6.0192836145914868</v>
      </c>
      <c r="AJ11" s="1501">
        <v>10.322016302403568</v>
      </c>
      <c r="AK11" s="1502">
        <v>15.409459688659929</v>
      </c>
      <c r="AL11" s="1503">
        <v>130</v>
      </c>
      <c r="AM11" s="1152">
        <v>230</v>
      </c>
      <c r="AN11" s="1170" t="s">
        <v>914</v>
      </c>
      <c r="AO11" s="1151"/>
      <c r="AP11" s="1151"/>
      <c r="AQ11" s="1151"/>
      <c r="AR11" s="1151"/>
      <c r="AS11" s="1151"/>
      <c r="AT11" s="1150"/>
      <c r="AU11" s="1151"/>
      <c r="AV11" s="1151"/>
      <c r="AW11" s="1193"/>
      <c r="AX11" s="1193"/>
      <c r="AY11" s="1193"/>
      <c r="AZ11" s="1193"/>
      <c r="BA11" s="1193"/>
      <c r="BB11" s="1193"/>
      <c r="BC11" s="1193"/>
      <c r="BD11" s="1193"/>
      <c r="BE11" s="1193"/>
      <c r="BF11" s="1193"/>
    </row>
    <row r="12" spans="1:58" ht="18.75" customHeight="1">
      <c r="A12" s="1504"/>
      <c r="B12" s="1505" t="s">
        <v>21</v>
      </c>
      <c r="C12" s="1506"/>
      <c r="D12" s="1507"/>
      <c r="E12" s="1507"/>
      <c r="F12" s="1508"/>
      <c r="G12" s="499" t="str">
        <v/>
      </c>
      <c r="H12" s="1509" t="str">
        <f ca="1">_xlfn.LET(_xlpm._今月から4ヶ月計画合計,
  SUM(
    OFFSET($A12,0,
      MATCH(
        EDATE(基準データ!$C$5,3),$A$1:$BD$1,1
      )-4,1,4)),
  IF($C12="","",_xlpm._今月から4ヶ月計画合計
)
)</f>
        <v/>
      </c>
      <c r="I12" s="499" t="str">
        <f>IF($C12="","",
_xlfn.LET(
  _xlpm._見出し範囲,$L$1:$BF$1,
  _xlpm._行範囲,$L12:$BF12,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
      </c>
      <c r="J12" s="499" t="str">
        <f>IF($C12="","",
_xlfn.LET(
  _xlpm._見出し範囲,'在庫使用計画 (法人)'!$L$1:$BF$1,
  _xlpm._行範囲,'在庫使用計画 (法人)'!$L12:$BF12,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
      </c>
      <c r="K12" s="1413" t="str">
        <v/>
      </c>
      <c r="L12" s="1510"/>
      <c r="M12" s="1510"/>
      <c r="N12" s="1511"/>
      <c r="O12" s="1512"/>
      <c r="P12" s="1512"/>
      <c r="Q12" s="1512"/>
      <c r="R12" s="1512"/>
      <c r="S12" s="1512"/>
      <c r="T12" s="1512"/>
      <c r="U12" s="1512"/>
      <c r="V12" s="1513"/>
      <c r="W12" s="1514"/>
      <c r="X12" s="121"/>
      <c r="Y12" s="121"/>
      <c r="Z12" s="1515"/>
      <c r="AA12" s="1516"/>
      <c r="AB12" s="1516"/>
      <c r="AC12" s="1517"/>
      <c r="AD12" s="1518"/>
      <c r="AE12" s="1519"/>
      <c r="AF12" s="1519"/>
      <c r="AG12" s="1519"/>
      <c r="AH12" s="1520"/>
      <c r="AI12" s="1521"/>
      <c r="AJ12" s="1409"/>
      <c r="AK12" s="1409"/>
      <c r="AL12" s="1409"/>
      <c r="AM12" s="1409"/>
      <c r="AN12" s="1409"/>
      <c r="AO12" s="1409"/>
      <c r="AP12" s="1409"/>
      <c r="AQ12" s="1409"/>
      <c r="AR12" s="1409"/>
      <c r="AS12" s="1409"/>
      <c r="AT12" s="1522"/>
      <c r="AU12" s="1523"/>
      <c r="AV12" s="1524"/>
      <c r="AW12" s="1524"/>
      <c r="AX12" s="1524"/>
      <c r="AY12" s="1524"/>
      <c r="AZ12" s="1524"/>
      <c r="BA12" s="1524"/>
      <c r="BB12" s="1524"/>
      <c r="BC12" s="1524"/>
      <c r="BD12" s="1524"/>
      <c r="BE12" s="1524"/>
      <c r="BF12" s="1524"/>
    </row>
    <row r="13" spans="1:58" ht="18.75" customHeight="1">
      <c r="A13" s="1525" t="s">
        <v>1633</v>
      </c>
      <c r="B13" s="1526" t="s">
        <v>395</v>
      </c>
      <c r="C13" s="1527" t="s">
        <v>394</v>
      </c>
      <c r="D13" s="1528" t="s">
        <v>1723</v>
      </c>
      <c r="E13" s="1528">
        <v>5070</v>
      </c>
      <c r="F13" s="1529" t="s">
        <v>20</v>
      </c>
      <c r="G13" s="1530">
        <v>0</v>
      </c>
      <c r="H13" s="1531">
        <f ca="1">_xlfn.LET(_xlpm._今月から4ヶ月計画合計,
  SUM(
    OFFSET($A13,0,
      MATCH(
        EDATE(基準データ!$C$5,3),$A$1:$BD$1,1
      )-4,1,4)),
  IF($C13="","",_xlpm._今月から4ヶ月計画合計
)
)</f>
        <v>0</v>
      </c>
      <c r="I13" s="1532">
        <f>IF($C13="","",
_xlfn.LET(
  _xlpm._見出し範囲,$L$1:$BF$1,
  _xlpm._行範囲,$L13:$BF13,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0</v>
      </c>
      <c r="J13" s="1531">
        <f>IF($C13="","",
_xlfn.LET(
  _xlpm._見出し範囲,'在庫使用計画 (法人)'!$L$1:$BF$1,
  _xlpm._行範囲,'在庫使用計画 (法人)'!$L13:$BF13,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0</v>
      </c>
      <c r="K13" s="1533" t="str">
        <v>在庫無し</v>
      </c>
      <c r="L13" s="1534"/>
      <c r="M13" s="1534"/>
      <c r="N13" s="1535"/>
      <c r="O13" s="1536"/>
      <c r="P13" s="1536"/>
      <c r="Q13" s="1536"/>
      <c r="R13" s="1536"/>
      <c r="S13" s="1536"/>
      <c r="T13" s="1536"/>
      <c r="U13" s="1536"/>
      <c r="V13" s="1537"/>
      <c r="W13" s="1538"/>
      <c r="X13" s="1539"/>
      <c r="Y13" s="1539"/>
      <c r="Z13" s="1540"/>
      <c r="AA13" s="1541"/>
      <c r="AB13" s="1541"/>
      <c r="AC13" s="1542"/>
      <c r="AD13" s="1543"/>
      <c r="AE13" s="1544"/>
      <c r="AF13" s="1544"/>
      <c r="AG13" s="1544"/>
      <c r="AH13" s="1545"/>
      <c r="AI13" s="1546"/>
      <c r="AJ13" s="1285"/>
      <c r="AK13" s="1285"/>
      <c r="AL13" s="1285"/>
      <c r="AM13" s="1285"/>
      <c r="AN13" s="1285"/>
      <c r="AO13" s="1285"/>
      <c r="AP13" s="1285"/>
      <c r="AQ13" s="1285"/>
      <c r="AR13" s="1285"/>
      <c r="AS13" s="1285"/>
      <c r="AT13" s="1285"/>
      <c r="AU13" s="1286"/>
      <c r="AV13" s="1547"/>
      <c r="AW13" s="1547"/>
      <c r="AX13" s="1547"/>
      <c r="AY13" s="1547"/>
      <c r="AZ13" s="1547"/>
      <c r="BA13" s="1547"/>
      <c r="BB13" s="1547"/>
      <c r="BC13" s="1547"/>
      <c r="BD13" s="1547"/>
      <c r="BE13" s="1547"/>
      <c r="BF13" s="1547"/>
    </row>
    <row r="14" spans="1:58" ht="18.75" customHeight="1">
      <c r="A14" s="1080" t="s">
        <v>1633</v>
      </c>
      <c r="B14" s="105" t="s">
        <v>301</v>
      </c>
      <c r="C14" s="639" t="s">
        <v>298</v>
      </c>
      <c r="D14" s="87" t="s">
        <v>1723</v>
      </c>
      <c r="E14" s="87">
        <v>5060</v>
      </c>
      <c r="F14" s="86" t="s">
        <v>20</v>
      </c>
      <c r="G14" s="499">
        <v>152</v>
      </c>
      <c r="H14" s="1548">
        <f ca="1">_xlfn.LET(_xlpm._今月から4ヶ月計画合計,
  SUM(
    OFFSET($A14,0,
      MATCH(
        EDATE(基準データ!$C$5,3),$A$1:$BD$1,1
      )-4,1,4)),
  IF($C14="","",_xlpm._今月から4ヶ月計画合計
)
)</f>
        <v>140</v>
      </c>
      <c r="I14" s="499">
        <f>IF($C14="","",
_xlfn.LET(
  _xlpm._見出し範囲,$L$1:$BF$1,
  _xlpm._行範囲,$L14:$BF14,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130.96774193548387</v>
      </c>
      <c r="J14" s="499">
        <f>IF($C14="","",
_xlfn.LET(
  _xlpm._見出し範囲,'在庫使用計画 (法人)'!$L$1:$BF$1,
  _xlpm._行範囲,'在庫使用計画 (法人)'!$L14:$BF14,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0</v>
      </c>
      <c r="K14" s="1413">
        <v>46204</v>
      </c>
      <c r="L14" s="74"/>
      <c r="M14" s="74"/>
      <c r="N14" s="118"/>
      <c r="O14" s="121"/>
      <c r="P14" s="121"/>
      <c r="Q14" s="121"/>
      <c r="R14" s="121"/>
      <c r="S14" s="121"/>
      <c r="T14" s="121"/>
      <c r="U14" s="121"/>
      <c r="V14" s="1325"/>
      <c r="W14" s="192"/>
      <c r="X14" s="1549"/>
      <c r="Y14" s="1549"/>
      <c r="Z14" s="1550"/>
      <c r="AA14" s="62"/>
      <c r="AB14" s="62"/>
      <c r="AC14" s="217"/>
      <c r="AD14" s="1551"/>
      <c r="AE14" s="224"/>
      <c r="AF14" s="224">
        <v>400</v>
      </c>
      <c r="AG14" s="224">
        <v>270</v>
      </c>
      <c r="AH14" s="237">
        <v>328.94444444444446</v>
      </c>
      <c r="AI14" s="1478">
        <v>281</v>
      </c>
      <c r="AJ14" s="1152">
        <v>294.17746461850174</v>
      </c>
      <c r="AK14" s="1152">
        <v>439.16960112680806</v>
      </c>
      <c r="AL14" s="1152">
        <v>229</v>
      </c>
      <c r="AM14" s="1152">
        <v>204</v>
      </c>
      <c r="AN14" s="1152">
        <v>350</v>
      </c>
      <c r="AO14" s="1152">
        <v>140</v>
      </c>
      <c r="AP14" s="1170" t="s">
        <v>914</v>
      </c>
      <c r="AQ14" s="1151"/>
      <c r="AR14" s="1151"/>
      <c r="AS14" s="1151"/>
      <c r="AT14" s="1151"/>
      <c r="AU14" s="1149"/>
      <c r="AV14" s="1193"/>
      <c r="AW14" s="1193"/>
      <c r="AX14" s="1193"/>
      <c r="AY14" s="1193"/>
      <c r="AZ14" s="1193"/>
      <c r="BA14" s="1193"/>
      <c r="BB14" s="1193"/>
      <c r="BC14" s="1193"/>
      <c r="BD14" s="1193"/>
      <c r="BE14" s="1193"/>
      <c r="BF14" s="1193"/>
    </row>
    <row r="15" spans="1:58" ht="18.75" customHeight="1">
      <c r="A15" s="1552" t="s">
        <v>1633</v>
      </c>
      <c r="B15" s="1553" t="s">
        <v>397</v>
      </c>
      <c r="C15" s="1554" t="s">
        <v>306</v>
      </c>
      <c r="D15" s="1555" t="s">
        <v>1723</v>
      </c>
      <c r="E15" s="1507">
        <v>5060</v>
      </c>
      <c r="F15" s="1508" t="s">
        <v>20</v>
      </c>
      <c r="G15" s="499">
        <v>1355</v>
      </c>
      <c r="H15" s="499">
        <f ca="1">_xlfn.LET(_xlpm._今月から4ヶ月計画合計,
  SUM(
    OFFSET($A15,0,
      MATCH(
        EDATE(基準データ!$C$5,3),$A$1:$BD$1,1
      )-4,1,4)),
  IF($C15="","",_xlpm._今月から4ヶ月計画合計
)
)</f>
        <v>800</v>
      </c>
      <c r="I15" s="499">
        <f>IF($C15="","",
_xlfn.LET(
  _xlpm._見出し範囲,$L$1:$BF$1,
  _xlpm._行範囲,$L15:$BF15,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2082.6241935483872</v>
      </c>
      <c r="J15" s="499">
        <f>IF($C15="","",
_xlfn.LET(
  _xlpm._見出し範囲,'在庫使用計画 (法人)'!$L$1:$BF$1,
  _xlpm._行範囲,'在庫使用計画 (法人)'!$L15:$BF15,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410</v>
      </c>
      <c r="K15" s="1413">
        <v>46327</v>
      </c>
      <c r="L15" s="1510"/>
      <c r="M15" s="1510"/>
      <c r="N15" s="1511"/>
      <c r="O15" s="1512"/>
      <c r="P15" s="1512"/>
      <c r="Q15" s="1512"/>
      <c r="R15" s="1512"/>
      <c r="S15" s="1512"/>
      <c r="T15" s="1512"/>
      <c r="U15" s="1512"/>
      <c r="V15" s="1513"/>
      <c r="W15" s="1514"/>
      <c r="X15" s="121"/>
      <c r="Y15" s="121"/>
      <c r="Z15" s="1515"/>
      <c r="AA15" s="1516"/>
      <c r="AB15" s="1516"/>
      <c r="AC15" s="1517"/>
      <c r="AD15" s="1518"/>
      <c r="AE15" s="1519"/>
      <c r="AF15" s="1519"/>
      <c r="AG15" s="1519"/>
      <c r="AH15" s="1520"/>
      <c r="AI15" s="1521"/>
      <c r="AJ15" s="1409"/>
      <c r="AK15" s="1409"/>
      <c r="AL15" s="1409"/>
      <c r="AM15" s="1409"/>
      <c r="AN15" s="1409"/>
      <c r="AO15" s="1400">
        <v>50</v>
      </c>
      <c r="AP15" s="1400">
        <v>250</v>
      </c>
      <c r="AQ15" s="1400">
        <v>280</v>
      </c>
      <c r="AR15" s="1400">
        <v>220</v>
      </c>
      <c r="AS15" s="1397">
        <v>200</v>
      </c>
      <c r="AT15" s="1397">
        <v>440</v>
      </c>
      <c r="AU15" s="1398">
        <v>250</v>
      </c>
      <c r="AV15" s="1399">
        <v>210</v>
      </c>
      <c r="AW15" s="1149">
        <f>+AV15*AW$25</f>
        <v>185.85</v>
      </c>
      <c r="AX15" s="1193"/>
      <c r="AY15" s="1193"/>
      <c r="AZ15" s="1193"/>
      <c r="BA15" s="1193"/>
      <c r="BB15" s="1524"/>
      <c r="BC15" s="1524"/>
      <c r="BD15" s="1524"/>
      <c r="BE15" s="1524"/>
      <c r="BF15" s="1524"/>
    </row>
    <row r="16" spans="1:58" ht="18.75" customHeight="1">
      <c r="A16" s="1080" t="s">
        <v>1633</v>
      </c>
      <c r="B16" s="105" t="s">
        <v>311</v>
      </c>
      <c r="C16" s="305" t="s">
        <v>309</v>
      </c>
      <c r="D16" s="87" t="s">
        <v>1723</v>
      </c>
      <c r="E16" s="87">
        <v>5050</v>
      </c>
      <c r="F16" s="87" t="s">
        <v>20</v>
      </c>
      <c r="G16" s="499">
        <v>702</v>
      </c>
      <c r="H16" s="499">
        <f ca="1">_xlfn.LET(_xlpm._今月から4ヶ月計画合計,
  SUM(
    OFFSET($A16,0,
      MATCH(
        EDATE(基準データ!$C$5,3),$A$1:$BD$1,1
      )-4,1,4)),
  IF($C16="","",_xlpm._今月から4ヶ月計画合計
)
)</f>
        <v>580</v>
      </c>
      <c r="I16" s="499">
        <f>IF($C16="","",
_xlfn.LET(
  _xlpm._見出し範囲,$L$1:$BF$1,
  _xlpm._行範囲,$L16:$BF16,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568.38709677419354</v>
      </c>
      <c r="J16" s="499">
        <f>IF($C16="","",
_xlfn.LET(
  _xlpm._見出し範囲,'在庫使用計画 (法人)'!$L$1:$BF$1,
  _xlpm._行範囲,'在庫使用計画 (法人)'!$L16:$BF16,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37.419354838709673</v>
      </c>
      <c r="K16" s="1413">
        <v>46296</v>
      </c>
      <c r="L16" s="74"/>
      <c r="M16" s="74"/>
      <c r="N16" s="74"/>
      <c r="O16" s="74"/>
      <c r="P16" s="74"/>
      <c r="Q16" s="74"/>
      <c r="R16" s="74"/>
      <c r="S16" s="224"/>
      <c r="T16" s="224"/>
      <c r="U16" s="224"/>
      <c r="V16" s="224"/>
      <c r="W16" s="224"/>
      <c r="X16" s="224"/>
      <c r="Y16" s="224"/>
      <c r="Z16" s="237"/>
      <c r="AA16" s="224"/>
      <c r="AB16" s="224"/>
      <c r="AC16" s="224">
        <v>377.70078740157481</v>
      </c>
      <c r="AD16" s="1556">
        <v>300</v>
      </c>
      <c r="AE16" s="224">
        <v>319.94987322397839</v>
      </c>
      <c r="AF16" s="224">
        <v>198.46911044368861</v>
      </c>
      <c r="AG16" s="224">
        <v>354.36161303986319</v>
      </c>
      <c r="AH16" s="237">
        <v>396.11111111111114</v>
      </c>
      <c r="AI16" s="1478">
        <v>173</v>
      </c>
      <c r="AJ16" s="1152">
        <v>200</v>
      </c>
      <c r="AK16" s="1152">
        <v>298.57460475181983</v>
      </c>
      <c r="AL16" s="1152">
        <v>146</v>
      </c>
      <c r="AM16" s="1152">
        <v>131</v>
      </c>
      <c r="AN16" s="1152">
        <v>145</v>
      </c>
      <c r="AO16" s="1152">
        <v>180</v>
      </c>
      <c r="AP16" s="1151">
        <v>200</v>
      </c>
      <c r="AQ16" s="1400">
        <v>100</v>
      </c>
      <c r="AR16" s="1150">
        <v>100</v>
      </c>
      <c r="AS16" s="1150"/>
      <c r="AT16" s="1150"/>
      <c r="AU16" s="1149"/>
      <c r="AV16" s="1193"/>
      <c r="AW16" s="1193"/>
      <c r="AX16" s="1193"/>
      <c r="AY16" s="1193"/>
      <c r="AZ16" s="1193"/>
      <c r="BA16" s="1193"/>
      <c r="BB16" s="1193"/>
      <c r="BC16" s="1193"/>
      <c r="BD16" s="1193"/>
      <c r="BE16" s="1193"/>
      <c r="BF16" s="1193"/>
    </row>
    <row r="17" spans="1:58" ht="18.75" customHeight="1">
      <c r="A17" s="1504" t="s">
        <v>1633</v>
      </c>
      <c r="B17" s="1505" t="s">
        <v>393</v>
      </c>
      <c r="C17" s="1506" t="s">
        <v>391</v>
      </c>
      <c r="D17" s="1507" t="s">
        <v>1723</v>
      </c>
      <c r="E17" s="1507">
        <v>5060</v>
      </c>
      <c r="F17" s="1508" t="s">
        <v>20</v>
      </c>
      <c r="G17" s="499">
        <v>0</v>
      </c>
      <c r="H17" s="499">
        <f ca="1">_xlfn.LET(_xlpm._今月から4ヶ月計画合計,
  SUM(
    OFFSET($A17,0,
      MATCH(
        EDATE(基準データ!$C$5,3),$A$1:$BD$1,1
      )-4,1,4)),
  IF($C17="","",_xlpm._今月から4ヶ月計画合計
)
)</f>
        <v>0</v>
      </c>
      <c r="I17" s="499">
        <f>IF($C17="","",
_xlfn.LET(
  _xlpm._見出し範囲,$L$1:$BF$1,
  _xlpm._行範囲,$L17:$BF17,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0</v>
      </c>
      <c r="J17" s="499">
        <f>IF($C17="","",
_xlfn.LET(
  _xlpm._見出し範囲,'在庫使用計画 (法人)'!$L$1:$BF$1,
  _xlpm._行範囲,'在庫使用計画 (法人)'!$L17:$BF17,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251</v>
      </c>
      <c r="K17" s="1413" t="str">
        <v>在庫無し</v>
      </c>
      <c r="L17" s="1510"/>
      <c r="M17" s="1510"/>
      <c r="N17" s="1511"/>
      <c r="O17" s="1512"/>
      <c r="P17" s="1512"/>
      <c r="Q17" s="1512"/>
      <c r="R17" s="1512"/>
      <c r="S17" s="1512"/>
      <c r="T17" s="1512"/>
      <c r="U17" s="1512"/>
      <c r="V17" s="1513"/>
      <c r="W17" s="1514"/>
      <c r="X17" s="121"/>
      <c r="Y17" s="121"/>
      <c r="Z17" s="1515"/>
      <c r="AA17" s="1516"/>
      <c r="AB17" s="1516"/>
      <c r="AC17" s="1517"/>
      <c r="AD17" s="1518"/>
      <c r="AE17" s="1519"/>
      <c r="AF17" s="1519"/>
      <c r="AG17" s="1519"/>
      <c r="AH17" s="1520"/>
      <c r="AI17" s="1521"/>
      <c r="AJ17" s="1409"/>
      <c r="AK17" s="1409"/>
      <c r="AL17" s="1409"/>
      <c r="AM17" s="1409"/>
      <c r="AN17" s="1409"/>
      <c r="AO17" s="1409"/>
      <c r="AP17" s="1409"/>
      <c r="AQ17" s="1409"/>
      <c r="AR17" s="1409"/>
      <c r="AS17" s="1409"/>
      <c r="AT17" s="1409"/>
      <c r="AU17" s="1149"/>
      <c r="AV17" s="1524"/>
      <c r="AW17" s="1524"/>
      <c r="AX17" s="1524"/>
      <c r="AY17" s="1524"/>
      <c r="AZ17" s="1524"/>
      <c r="BA17" s="1524"/>
      <c r="BB17" s="1524"/>
      <c r="BC17" s="1524"/>
      <c r="BD17" s="1524"/>
      <c r="BE17" s="1524"/>
      <c r="BF17" s="1524"/>
    </row>
    <row r="18" spans="1:58" ht="18.75" customHeight="1">
      <c r="A18" s="1080" t="s">
        <v>1633</v>
      </c>
      <c r="B18" s="87" t="s">
        <v>327</v>
      </c>
      <c r="C18" s="639" t="s">
        <v>324</v>
      </c>
      <c r="D18" s="87" t="s">
        <v>1365</v>
      </c>
      <c r="E18" s="87">
        <v>4050</v>
      </c>
      <c r="F18" s="86" t="s">
        <v>20</v>
      </c>
      <c r="G18" s="499">
        <v>1414</v>
      </c>
      <c r="H18" s="499">
        <f ca="1">_xlfn.LET(_xlpm._今月から4ヶ月計画合計,
  SUM(
    OFFSET($A18,0,
      MATCH(
        EDATE(基準データ!$C$5,3),$A$1:$BD$1,1
      )-4,1,4)),
  IF($C18="","",_xlpm._今月から4ヶ月計画合計
)
)</f>
        <v>1400</v>
      </c>
      <c r="I18" s="499">
        <f>IF($C18="","",
_xlfn.LET(
  _xlpm._見出し範囲,$L$1:$BF$1,
  _xlpm._行範囲,$L18:$BF18,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1370.9677419354839</v>
      </c>
      <c r="J18" s="499">
        <f>IF($C18="","",
_xlfn.LET(
  _xlpm._見出し範囲,'在庫使用計画 (法人)'!$L$1:$BF$1,
  _xlpm._行範囲,'在庫使用計画 (法人)'!$L18:$BF18,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232</v>
      </c>
      <c r="K18" s="1413">
        <v>46266</v>
      </c>
      <c r="L18" s="74"/>
      <c r="M18" s="74"/>
      <c r="N18" s="118"/>
      <c r="O18" s="121"/>
      <c r="P18" s="121"/>
      <c r="Q18" s="121"/>
      <c r="R18" s="121"/>
      <c r="S18" s="121"/>
      <c r="T18" s="121">
        <v>25</v>
      </c>
      <c r="U18" s="121">
        <v>300.30902503794056</v>
      </c>
      <c r="V18" s="1325">
        <v>437.56251493856411</v>
      </c>
      <c r="W18" s="1557">
        <v>400.86678181694236</v>
      </c>
      <c r="X18" s="1557">
        <v>254</v>
      </c>
      <c r="Y18" s="1557">
        <v>410</v>
      </c>
      <c r="Z18" s="1558">
        <v>319.76160068114092</v>
      </c>
      <c r="AA18" s="1516">
        <v>408.26990208599398</v>
      </c>
      <c r="AB18" s="1516">
        <v>563</v>
      </c>
      <c r="AC18" s="1516">
        <v>647</v>
      </c>
      <c r="AD18" s="1559">
        <v>806</v>
      </c>
      <c r="AE18" s="1499">
        <v>844.78310091453307</v>
      </c>
      <c r="AF18" s="224">
        <v>738</v>
      </c>
      <c r="AG18" s="1499">
        <v>296.66666666666669</v>
      </c>
      <c r="AH18" s="237">
        <v>506.33333333333331</v>
      </c>
      <c r="AI18" s="1478">
        <v>336</v>
      </c>
      <c r="AJ18" s="1560">
        <v>498.89745461617201</v>
      </c>
      <c r="AK18" s="1560">
        <v>744.7905516185632</v>
      </c>
      <c r="AL18" s="1560">
        <v>369</v>
      </c>
      <c r="AM18" s="1560">
        <v>332</v>
      </c>
      <c r="AN18" s="1561">
        <v>450</v>
      </c>
      <c r="AO18" s="1152">
        <v>450</v>
      </c>
      <c r="AP18" s="1152">
        <v>550</v>
      </c>
      <c r="AQ18" s="1151">
        <v>400</v>
      </c>
      <c r="AR18" s="1170" t="s">
        <v>914</v>
      </c>
      <c r="AS18" s="1151"/>
      <c r="AT18" s="1150"/>
      <c r="AU18" s="1149"/>
      <c r="AV18" s="1193"/>
      <c r="AW18" s="1193"/>
      <c r="AX18" s="1193"/>
      <c r="AY18" s="1193"/>
      <c r="AZ18" s="1193"/>
      <c r="BA18" s="1193"/>
      <c r="BB18" s="1193"/>
      <c r="BC18" s="1193"/>
      <c r="BD18" s="1193"/>
      <c r="BE18" s="1193"/>
      <c r="BF18" s="1193"/>
    </row>
    <row r="19" spans="1:58" ht="18.75" customHeight="1">
      <c r="A19" s="1552" t="s">
        <v>1633</v>
      </c>
      <c r="B19" s="1553" t="s">
        <v>399</v>
      </c>
      <c r="C19" s="1554" t="s">
        <v>334</v>
      </c>
      <c r="D19" s="1555" t="s">
        <v>1809</v>
      </c>
      <c r="E19" s="1507">
        <v>5050</v>
      </c>
      <c r="F19" s="1508" t="s">
        <v>20</v>
      </c>
      <c r="G19" s="499">
        <v>1805</v>
      </c>
      <c r="H19" s="499">
        <f ca="1">_xlfn.LET(_xlpm._今月から4ヶ月計画合計,
  SUM(
    OFFSET($A19,0,
      MATCH(
        EDATE(基準データ!$C$5,3),$A$1:$BD$1,1
      )-4,1,4)),
  IF($C19="","",_xlpm._今月から4ヶ月計画合計
)
)</f>
        <v>1656</v>
      </c>
      <c r="I19" s="499">
        <f>IF($C19="","",
_xlfn.LET(
  _xlpm._見出し範囲,$L$1:$BF$1,
  _xlpm._行範囲,$L19:$BF19,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9015.2539095662396</v>
      </c>
      <c r="J19" s="499">
        <f>IF($C19="","",
_xlfn.LET(
  _xlpm._見出し範囲,'在庫使用計画 (法人)'!$L$1:$BF$1,
  _xlpm._行範囲,'在庫使用計画 (法人)'!$L19:$BF19,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231</v>
      </c>
      <c r="K19" s="1413">
        <v>46296</v>
      </c>
      <c r="L19" s="1510"/>
      <c r="M19" s="1510"/>
      <c r="N19" s="1511"/>
      <c r="O19" s="1512"/>
      <c r="P19" s="1512"/>
      <c r="Q19" s="1512"/>
      <c r="R19" s="1512"/>
      <c r="S19" s="1512"/>
      <c r="T19" s="1512"/>
      <c r="U19" s="1512"/>
      <c r="V19" s="1513"/>
      <c r="W19" s="1514"/>
      <c r="X19" s="121"/>
      <c r="Y19" s="121"/>
      <c r="Z19" s="1515"/>
      <c r="AA19" s="1516"/>
      <c r="AB19" s="1516"/>
      <c r="AC19" s="1517"/>
      <c r="AD19" s="1518"/>
      <c r="AE19" s="1519"/>
      <c r="AF19" s="1519"/>
      <c r="AG19" s="1519"/>
      <c r="AH19" s="1520"/>
      <c r="AI19" s="1521"/>
      <c r="AJ19" s="1409"/>
      <c r="AK19" s="1409"/>
      <c r="AL19" s="1409"/>
      <c r="AM19" s="1409"/>
      <c r="AN19" s="1409"/>
      <c r="AO19" s="1409"/>
      <c r="AP19" s="1409"/>
      <c r="AQ19" s="1400">
        <v>700</v>
      </c>
      <c r="AR19" s="1400">
        <v>956</v>
      </c>
      <c r="AS19" s="1400">
        <f>+AR19*AS26</f>
        <v>1086.4726411386964</v>
      </c>
      <c r="AT19" s="1400">
        <f>+AS19*AT26</f>
        <v>1708.2917592038796</v>
      </c>
      <c r="AU19" s="1400">
        <f>+AT19*AU$26</f>
        <v>1428.4578338974798</v>
      </c>
      <c r="AV19" s="1400">
        <f>+AU19*AV26</f>
        <v>1285.8924668569882</v>
      </c>
      <c r="AW19" s="1400">
        <f>+AV19*AW$26</f>
        <v>1850.139208469197</v>
      </c>
      <c r="AX19" s="1193"/>
      <c r="AY19" s="1193"/>
      <c r="AZ19" s="1193"/>
      <c r="BA19" s="1193"/>
      <c r="BB19" s="1193"/>
      <c r="BC19" s="1193"/>
      <c r="BD19" s="1524"/>
      <c r="BE19" s="1524"/>
      <c r="BF19" s="1524"/>
    </row>
    <row r="20" spans="1:58" ht="18.75" customHeight="1">
      <c r="A20" s="1073" t="s">
        <v>1633</v>
      </c>
      <c r="B20" s="87" t="s">
        <v>338</v>
      </c>
      <c r="C20" s="1496" t="s">
        <v>336</v>
      </c>
      <c r="D20" s="108" t="s">
        <v>1365</v>
      </c>
      <c r="E20" s="108">
        <v>3050</v>
      </c>
      <c r="F20" s="86" t="s">
        <v>20</v>
      </c>
      <c r="G20" s="499">
        <v>2039</v>
      </c>
      <c r="H20" s="499">
        <f ca="1">_xlfn.LET(_xlpm._今月から4ヶ月計画合計,
  SUM(
    OFFSET($A20,0,
      MATCH(
        EDATE(基準データ!$C$5,3),$A$1:$BD$1,1
      )-4,1,4)),
  IF($C20="","",_xlpm._今月から4ヶ月計画合計
)
)</f>
        <v>1994</v>
      </c>
      <c r="I20" s="499">
        <f>IF($C20="","",
_xlfn.LET(
  _xlpm._見出し範囲,$L$1:$BF$1,
  _xlpm._行範囲,$L20:$BF20,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1921.6129032258063</v>
      </c>
      <c r="J20" s="499">
        <f>IF($C20="","",
_xlfn.LET(
  _xlpm._見出し範囲,'在庫使用計画 (法人)'!$L$1:$BF$1,
  _xlpm._行範囲,'在庫使用計画 (法人)'!$L20:$BF20,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102.9032258064516</v>
      </c>
      <c r="K20" s="1414">
        <v>46235</v>
      </c>
      <c r="L20" s="1562"/>
      <c r="M20" s="1562"/>
      <c r="N20" s="1563"/>
      <c r="O20" s="1564">
        <v>334.7876378723364</v>
      </c>
      <c r="P20" s="1565">
        <v>662.45809283936887</v>
      </c>
      <c r="Q20" s="1565">
        <v>680.77657793536696</v>
      </c>
      <c r="R20" s="1565">
        <v>571.42926606356662</v>
      </c>
      <c r="S20" s="1565">
        <v>678.41411776724442</v>
      </c>
      <c r="T20" s="1565">
        <v>608.77017872667273</v>
      </c>
      <c r="U20" s="1565">
        <v>654.24466168979893</v>
      </c>
      <c r="V20" s="1566">
        <v>602.80104094095418</v>
      </c>
      <c r="W20" s="1567">
        <v>537.96219146259034</v>
      </c>
      <c r="X20" s="1568">
        <v>454</v>
      </c>
      <c r="Y20" s="1568">
        <v>674.2556427377931</v>
      </c>
      <c r="Z20" s="1569">
        <v>825</v>
      </c>
      <c r="AA20" s="1570">
        <v>733.36000793911717</v>
      </c>
      <c r="AB20" s="1570">
        <v>1271</v>
      </c>
      <c r="AC20" s="1570">
        <v>1462</v>
      </c>
      <c r="AD20" s="1570">
        <v>1250</v>
      </c>
      <c r="AE20" s="1571">
        <v>1310.1474890113725</v>
      </c>
      <c r="AF20" s="224">
        <v>1139.0877339602578</v>
      </c>
      <c r="AG20" s="1499">
        <v>1016</v>
      </c>
      <c r="AH20" s="237">
        <v>899</v>
      </c>
      <c r="AI20" s="1478">
        <v>494</v>
      </c>
      <c r="AJ20" s="1152">
        <v>500</v>
      </c>
      <c r="AK20" s="1572">
        <v>300</v>
      </c>
      <c r="AL20" s="1152">
        <v>700</v>
      </c>
      <c r="AM20" s="1152">
        <v>818</v>
      </c>
      <c r="AN20" s="1152">
        <v>905</v>
      </c>
      <c r="AO20" s="1152">
        <v>1122</v>
      </c>
      <c r="AP20" s="1409">
        <v>872</v>
      </c>
      <c r="AQ20" s="1170" t="s">
        <v>914</v>
      </c>
      <c r="AR20" s="1409"/>
      <c r="AS20" s="1409"/>
      <c r="AT20" s="1409"/>
      <c r="AU20" s="1149"/>
      <c r="AV20" s="1573"/>
      <c r="AW20" s="1193"/>
      <c r="AX20" s="1193"/>
      <c r="AY20" s="1193"/>
      <c r="AZ20" s="1193"/>
      <c r="BA20" s="1193"/>
      <c r="BB20" s="1193"/>
      <c r="BC20" s="1193"/>
      <c r="BD20" s="1573"/>
      <c r="BE20" s="1573"/>
      <c r="BF20" s="1573"/>
    </row>
    <row r="21" spans="1:58" ht="18.75" customHeight="1">
      <c r="A21" s="1073" t="s">
        <v>1633</v>
      </c>
      <c r="B21" s="87" t="s">
        <v>349</v>
      </c>
      <c r="C21" s="100" t="s">
        <v>347</v>
      </c>
      <c r="D21" s="87" t="s">
        <v>1369</v>
      </c>
      <c r="E21" s="87">
        <v>3050</v>
      </c>
      <c r="F21" s="1574" t="s">
        <v>1725</v>
      </c>
      <c r="G21" s="499">
        <v>5</v>
      </c>
      <c r="H21" s="499">
        <f ca="1">_xlfn.LET(_xlpm._今月から4ヶ月計画合計,
  SUM(
    OFFSET($A21,0,
      MATCH(
        EDATE(基準データ!$C$5,3),$A$1:$BD$1,1
      )-4,1,4)),
  IF($C21="","",_xlpm._今月から4ヶ月計画合計
)
)</f>
        <v>0</v>
      </c>
      <c r="I21" s="499">
        <f>IF($C21="","",
_xlfn.LET(
  _xlpm._見出し範囲,$L$1:$BF$1,
  _xlpm._行範囲,$L21:$BF21,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0</v>
      </c>
      <c r="J21" s="499">
        <f>IF($C21="","",
_xlfn.LET(
  _xlpm._見出し範囲,'在庫使用計画 (法人)'!$L$1:$BF$1,
  _xlpm._行範囲,'在庫使用計画 (法人)'!$L21:$BF21,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0</v>
      </c>
      <c r="K21" s="1413" t="str">
        <v>計画なし</v>
      </c>
      <c r="L21" s="74"/>
      <c r="M21" s="74"/>
      <c r="N21" s="118"/>
      <c r="O21" s="121"/>
      <c r="P21" s="1512"/>
      <c r="Q21" s="1512"/>
      <c r="R21" s="1512"/>
      <c r="S21" s="1512"/>
      <c r="T21" s="1512"/>
      <c r="U21" s="1512"/>
      <c r="V21" s="1513"/>
      <c r="W21" s="1514"/>
      <c r="X21" s="1557"/>
      <c r="Y21" s="1557"/>
      <c r="Z21" s="1558"/>
      <c r="AA21" s="1556"/>
      <c r="AB21" s="1556"/>
      <c r="AC21" s="1556"/>
      <c r="AD21" s="1551"/>
      <c r="AE21" s="224"/>
      <c r="AF21" s="224">
        <v>10</v>
      </c>
      <c r="AG21" s="224">
        <v>70</v>
      </c>
      <c r="AH21" s="237">
        <v>160</v>
      </c>
      <c r="AI21" s="1478">
        <v>0</v>
      </c>
      <c r="AJ21" s="1152">
        <v>100</v>
      </c>
      <c r="AK21" s="1152">
        <v>300</v>
      </c>
      <c r="AL21" s="1152">
        <v>197</v>
      </c>
      <c r="AM21" s="1151"/>
      <c r="AN21" s="1151"/>
      <c r="AO21" s="1151"/>
      <c r="AP21" s="1151"/>
      <c r="AQ21" s="1151"/>
      <c r="AR21" s="1151"/>
      <c r="AS21" s="1151"/>
      <c r="AT21" s="1151"/>
      <c r="AU21" s="1151"/>
      <c r="AV21" s="1168"/>
      <c r="AW21" s="1168"/>
      <c r="AX21" s="1168"/>
      <c r="AY21" s="1168"/>
      <c r="AZ21" s="1168"/>
      <c r="BA21" s="1168"/>
      <c r="BB21" s="1168"/>
      <c r="BC21" s="1168"/>
      <c r="BD21" s="1168"/>
      <c r="BE21" s="1168"/>
      <c r="BF21" s="1168"/>
    </row>
    <row r="22" spans="1:58" ht="18.75" customHeight="1">
      <c r="A22" s="1090" t="s">
        <v>1633</v>
      </c>
      <c r="B22" s="87" t="s">
        <v>344</v>
      </c>
      <c r="C22" s="100" t="s">
        <v>342</v>
      </c>
      <c r="D22" s="87"/>
      <c r="E22" s="87"/>
      <c r="F22" s="1574"/>
      <c r="G22" s="499">
        <v>0</v>
      </c>
      <c r="H22" s="499">
        <f ca="1">_xlfn.LET(_xlpm._今月から4ヶ月計画合計,
  SUM(
    OFFSET($A22,0,
      MATCH(
        EDATE(基準データ!$C$5,3),$A$1:$BD$1,1
      )-4,1,4)),
  IF($C22="","",_xlpm._今月から4ヶ月計画合計
)
)</f>
        <v>0</v>
      </c>
      <c r="I22" s="499">
        <f>IF($C22="","",
_xlfn.LET(
  _xlpm._見出し範囲,$L$1:$BF$1,
  _xlpm._行範囲,$L22:$BF22,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0</v>
      </c>
      <c r="J22" s="499">
        <f>IF($C22="","",
_xlfn.LET(
  _xlpm._見出し範囲,'在庫使用計画 (法人)'!$L$1:$BF$1,
  _xlpm._行範囲,'在庫使用計画 (法人)'!$L22:$BF22,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0</v>
      </c>
      <c r="K22" s="1413" t="str">
        <v>在庫無し</v>
      </c>
      <c r="L22" s="74"/>
      <c r="M22" s="74"/>
      <c r="N22" s="118"/>
      <c r="O22" s="121"/>
      <c r="P22" s="1512"/>
      <c r="Q22" s="1512"/>
      <c r="R22" s="1512"/>
      <c r="S22" s="1512"/>
      <c r="T22" s="1512"/>
      <c r="U22" s="1512"/>
      <c r="V22" s="1513"/>
      <c r="W22" s="1514"/>
      <c r="X22" s="1557"/>
      <c r="Y22" s="1557"/>
      <c r="Z22" s="1558"/>
      <c r="AA22" s="1556"/>
      <c r="AB22" s="1556"/>
      <c r="AC22" s="1556"/>
      <c r="AD22" s="1551"/>
      <c r="AE22" s="224"/>
      <c r="AF22" s="224"/>
      <c r="AG22" s="224"/>
      <c r="AH22" s="237"/>
      <c r="AI22" s="1478"/>
      <c r="AJ22" s="1151"/>
      <c r="AK22" s="1151"/>
      <c r="AL22" s="1151"/>
      <c r="AM22" s="1151"/>
      <c r="AN22" s="1409"/>
      <c r="AO22" s="1409"/>
      <c r="AP22" s="1409"/>
      <c r="AQ22" s="1409"/>
      <c r="AR22" s="1409"/>
      <c r="AS22" s="1409"/>
      <c r="AT22" s="1522"/>
      <c r="AU22" s="1523"/>
      <c r="AV22" s="1168"/>
      <c r="AW22" s="1168"/>
      <c r="AX22" s="1168"/>
      <c r="AY22" s="1168"/>
      <c r="AZ22" s="1168"/>
      <c r="BA22" s="1168"/>
      <c r="BB22" s="1168"/>
      <c r="BC22" s="1168"/>
      <c r="BD22" s="1168"/>
      <c r="BE22" s="1168"/>
      <c r="BF22" s="1168"/>
    </row>
    <row r="23" spans="1:58" ht="18.75" customHeight="1">
      <c r="A23" s="1080"/>
      <c r="B23" s="87" t="s">
        <v>21</v>
      </c>
      <c r="C23" s="97"/>
      <c r="D23" s="97"/>
      <c r="E23" s="87"/>
      <c r="F23" s="1163"/>
      <c r="G23" s="499" t="str">
        <v/>
      </c>
      <c r="H23" s="499" t="str">
        <f ca="1">_xlfn.LET(_xlpm._今月から4ヶ月計画合計,
  SUM(
    OFFSET($A23,0,
      MATCH(
        EDATE(基準データ!$C$5,3),$A$1:$BD$1,1
      )-4,1,4)),
  IF($C23="","",_xlpm._今月から4ヶ月計画合計
)
)</f>
        <v/>
      </c>
      <c r="I23" s="499" t="str">
        <f>IF($C23="","",
_xlfn.LET(
  _xlpm._見出し範囲,$L$1:$BF$1,
  _xlpm._行範囲,$L23:$BF23,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
      </c>
      <c r="J23" s="499" t="str">
        <f>IF($C23="","",
_xlfn.LET(
  _xlpm._見出し範囲,'在庫使用計画 (法人)'!$L$1:$BF$1,
  _xlpm._行範囲,'在庫使用計画 (法人)'!$L23:$BF23,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
      </c>
      <c r="K23" s="1413" t="str">
        <v/>
      </c>
      <c r="L23" s="74"/>
      <c r="M23" s="74"/>
      <c r="N23" s="118"/>
      <c r="O23" s="121"/>
      <c r="P23" s="121"/>
      <c r="Q23" s="121"/>
      <c r="R23" s="121"/>
      <c r="S23" s="121"/>
      <c r="T23" s="121"/>
      <c r="U23" s="121"/>
      <c r="V23" s="1325"/>
      <c r="W23" s="192"/>
      <c r="X23" s="1549"/>
      <c r="Y23" s="1549"/>
      <c r="Z23" s="1550"/>
      <c r="AA23" s="62"/>
      <c r="AB23" s="62"/>
      <c r="AC23" s="62"/>
      <c r="AD23" s="1323"/>
      <c r="AE23" s="239"/>
      <c r="AF23" s="239"/>
      <c r="AG23" s="239"/>
      <c r="AH23" s="1307"/>
      <c r="AI23" s="1478"/>
      <c r="AJ23" s="1151"/>
      <c r="AK23" s="1151"/>
      <c r="AL23" s="1151"/>
      <c r="AM23" s="1151"/>
      <c r="AN23" s="1151"/>
      <c r="AO23" s="1151"/>
      <c r="AP23" s="1151"/>
      <c r="AQ23" s="1151"/>
      <c r="AR23" s="1151"/>
      <c r="AS23" s="1151"/>
      <c r="AT23" s="1150"/>
      <c r="AU23" s="1149"/>
      <c r="AV23" s="1192"/>
      <c r="AW23" s="1192"/>
      <c r="AX23" s="1192"/>
      <c r="AY23" s="1192"/>
      <c r="AZ23" s="1192"/>
      <c r="BA23" s="1192"/>
      <c r="BB23" s="1192"/>
      <c r="BC23" s="1192"/>
      <c r="BD23" s="1192"/>
      <c r="BE23" s="1192"/>
      <c r="BF23" s="1192"/>
    </row>
    <row r="24" spans="1:58" ht="18.75" customHeight="1">
      <c r="A24" s="1090" t="s">
        <v>1727</v>
      </c>
      <c r="B24" s="87" t="s">
        <v>358</v>
      </c>
      <c r="C24" s="62" t="s">
        <v>355</v>
      </c>
      <c r="D24" s="108" t="s">
        <v>35</v>
      </c>
      <c r="E24" s="108">
        <v>4050</v>
      </c>
      <c r="F24" s="1574"/>
      <c r="G24" s="499">
        <v>290</v>
      </c>
      <c r="H24" s="499">
        <f ca="1">_xlfn.LET(_xlpm._今月から4ヶ月計画合計,
  SUM(
    OFFSET($A24,0,
      MATCH(
        EDATE(基準データ!$C$5,3),$A$1:$BD$1,1
      )-4,1,4)),
  IF($C24="","",_xlpm._今月から4ヶ月計画合計
)
)</f>
        <v>0</v>
      </c>
      <c r="I24" s="499">
        <f>IF($C24="","",
_xlfn.LET(
  _xlpm._見出し範囲,$L$1:$BF$1,
  _xlpm._行範囲,$L24:$BF24,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0</v>
      </c>
      <c r="J24" s="499">
        <f>IF($C24="","",
_xlfn.LET(
  _xlpm._見出し範囲,'在庫使用計画 (法人)'!$L$1:$BF$1,
  _xlpm._行範囲,'在庫使用計画 (法人)'!$L24:$BF24,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196.7741935483871</v>
      </c>
      <c r="K24" s="1413" t="str">
        <v>合計197、在庫+注残290のため不足</v>
      </c>
      <c r="L24" s="74"/>
      <c r="M24" s="74"/>
      <c r="N24" s="118"/>
      <c r="O24" s="121"/>
      <c r="P24" s="121">
        <v>147.21290951985975</v>
      </c>
      <c r="Q24" s="121">
        <v>151.28368398563711</v>
      </c>
      <c r="R24" s="121">
        <v>126.98428134745923</v>
      </c>
      <c r="S24" s="121">
        <v>111.21542914217122</v>
      </c>
      <c r="T24" s="121">
        <v>99.798389955192263</v>
      </c>
      <c r="U24" s="121">
        <v>104.75053060496808</v>
      </c>
      <c r="V24" s="1325">
        <v>106.84554121706744</v>
      </c>
      <c r="W24" s="1514">
        <v>147.48874709179503</v>
      </c>
      <c r="X24" s="1514">
        <v>154</v>
      </c>
      <c r="Y24" s="1514">
        <v>226</v>
      </c>
      <c r="Z24" s="1575">
        <v>200</v>
      </c>
      <c r="AA24" s="1576">
        <v>130</v>
      </c>
      <c r="AB24" s="1577">
        <v>80</v>
      </c>
      <c r="AC24" s="1577"/>
      <c r="AD24" s="1578"/>
      <c r="AE24" s="1519"/>
      <c r="AF24" s="1519"/>
      <c r="AG24" s="1519"/>
      <c r="AH24" s="1520"/>
      <c r="AI24" s="1521"/>
      <c r="AJ24" s="1409"/>
      <c r="AK24" s="1409"/>
      <c r="AL24" s="1409"/>
      <c r="AM24" s="1409"/>
      <c r="AN24" s="1409"/>
      <c r="AO24" s="1409"/>
      <c r="AP24" s="1409"/>
      <c r="AQ24" s="1409"/>
      <c r="AR24" s="1409"/>
      <c r="AS24" s="1409"/>
      <c r="AT24" s="1522"/>
      <c r="AU24" s="1523"/>
      <c r="AV24" s="1168"/>
      <c r="AW24" s="1168"/>
      <c r="AX24" s="1168"/>
      <c r="AY24" s="1168"/>
      <c r="AZ24" s="1168"/>
      <c r="BA24" s="1168"/>
      <c r="BB24" s="1168"/>
      <c r="BC24" s="1168"/>
      <c r="BD24" s="1168"/>
      <c r="BE24" s="1168"/>
      <c r="BF24" s="1168"/>
    </row>
    <row r="25" spans="1:58" s="1141" customFormat="1" ht="18.75" customHeight="1">
      <c r="A25" s="1579"/>
      <c r="B25" s="1580" t="s">
        <v>21</v>
      </c>
      <c r="C25" s="1581"/>
      <c r="D25" s="1582"/>
      <c r="E25" s="1582"/>
      <c r="F25" s="1583"/>
      <c r="G25" s="1584" t="str">
        <v/>
      </c>
      <c r="H25" s="1584"/>
      <c r="I25" s="1584" t="str">
        <f>IF(C25="","",
_xlfn.LET(
  _xlpm._見出し範囲,$L$1:$BF$1,
  _xlpm._行範囲,$L25:$BF25,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
      </c>
      <c r="J25" s="499"/>
      <c r="K25" s="1585" t="str">
        <v/>
      </c>
      <c r="L25" s="1586"/>
      <c r="M25" s="1586"/>
      <c r="N25" s="1587"/>
      <c r="O25" s="1588"/>
      <c r="P25" s="1588"/>
      <c r="Q25" s="1588"/>
      <c r="R25" s="1588"/>
      <c r="S25" s="1588"/>
      <c r="T25" s="1588"/>
      <c r="U25" s="1588"/>
      <c r="V25" s="1589"/>
      <c r="W25" s="1590"/>
      <c r="X25" s="1591"/>
      <c r="Y25" s="1591"/>
      <c r="Z25" s="1592"/>
      <c r="AA25" s="1593"/>
      <c r="AB25" s="1593"/>
      <c r="AC25" s="1593"/>
      <c r="AD25" s="1594"/>
      <c r="AE25" s="1593"/>
      <c r="AF25" s="1593"/>
      <c r="AG25" s="1593"/>
      <c r="AH25" s="1594"/>
      <c r="AI25" s="1595"/>
      <c r="AJ25" s="1596">
        <v>1.454</v>
      </c>
      <c r="AK25" s="1596">
        <v>0.877</v>
      </c>
      <c r="AL25" s="1596">
        <v>1.484</v>
      </c>
      <c r="AM25" s="1596">
        <v>0.81100000000000005</v>
      </c>
      <c r="AN25" s="1596">
        <v>0.80800000000000005</v>
      </c>
      <c r="AO25" s="1596">
        <v>1.1839999999999999</v>
      </c>
      <c r="AP25" s="1596">
        <v>1.3129999999999999</v>
      </c>
      <c r="AQ25" s="1596">
        <v>0.77500000000000002</v>
      </c>
      <c r="AR25" s="1596">
        <v>0.89600000000000002</v>
      </c>
      <c r="AS25" s="1596">
        <v>0.874</v>
      </c>
      <c r="AT25" s="1597">
        <v>1.0589999999999999</v>
      </c>
      <c r="AU25" s="1598">
        <v>1.1919999999999999</v>
      </c>
      <c r="AV25" s="1599">
        <v>1.056</v>
      </c>
      <c r="AW25" s="1599">
        <v>0.88500000000000001</v>
      </c>
      <c r="AX25" s="1599">
        <v>1.448</v>
      </c>
      <c r="AY25" s="1599">
        <v>0.82099999999999995</v>
      </c>
      <c r="AZ25" s="1599">
        <v>0.82</v>
      </c>
      <c r="BA25" s="1599">
        <v>1.17</v>
      </c>
      <c r="BB25" s="1599">
        <v>1.292</v>
      </c>
      <c r="BC25" s="1599">
        <v>0.78600000000000003</v>
      </c>
      <c r="BD25" s="1599">
        <v>0.90300000000000002</v>
      </c>
      <c r="BE25" s="1599">
        <v>0.88300000000000001</v>
      </c>
      <c r="BF25" s="1599">
        <v>1.054</v>
      </c>
    </row>
    <row r="26" spans="1:58" s="1230" customFormat="1" ht="18.75" customHeight="1">
      <c r="A26" s="1600"/>
      <c r="B26" s="1601"/>
      <c r="C26" s="1602" t="s">
        <v>1810</v>
      </c>
      <c r="D26" s="1603"/>
      <c r="E26" s="1603"/>
      <c r="F26" s="1603"/>
      <c r="G26" s="1221"/>
      <c r="H26" s="1221"/>
      <c r="I26" s="1221"/>
      <c r="J26" s="1221"/>
      <c r="K26" s="1415"/>
      <c r="L26" s="1223"/>
      <c r="M26" s="1223"/>
      <c r="N26" s="1223"/>
      <c r="O26" s="1223"/>
      <c r="P26" s="1223"/>
      <c r="Q26" s="1223"/>
      <c r="R26" s="1223"/>
      <c r="S26" s="1223"/>
      <c r="T26" s="1223"/>
      <c r="U26" s="1223"/>
      <c r="V26" s="1223"/>
      <c r="W26" s="1604"/>
      <c r="X26" s="1605"/>
      <c r="Y26" s="1605"/>
      <c r="Z26" s="1605"/>
      <c r="AA26" s="1605"/>
      <c r="AB26" s="1605"/>
      <c r="AC26" s="1605"/>
      <c r="AD26" s="1606">
        <v>0.81728600837659349</v>
      </c>
      <c r="AE26" s="1606">
        <v>0.80624460862238312</v>
      </c>
      <c r="AF26" s="1606">
        <v>0.8694347342678227</v>
      </c>
      <c r="AG26" s="1606">
        <v>1.1364776580948708</v>
      </c>
      <c r="AH26" s="1607">
        <v>1.5723283721286114</v>
      </c>
      <c r="AI26" s="1608">
        <v>0.83619078895702703</v>
      </c>
      <c r="AJ26" s="1609">
        <v>0.9001963070540846</v>
      </c>
      <c r="AK26" s="1609">
        <v>1.4387977658748987</v>
      </c>
      <c r="AL26" s="1609">
        <v>0.76975830708334225</v>
      </c>
      <c r="AM26" s="1609">
        <v>0.79831795873914724</v>
      </c>
      <c r="AN26" s="1609">
        <v>1.1571092817687738</v>
      </c>
      <c r="AO26" s="1609">
        <v>1.2684429837076243</v>
      </c>
      <c r="AP26" s="1610">
        <v>0.81728600837659349</v>
      </c>
      <c r="AQ26" s="1610">
        <v>0.80624460862238312</v>
      </c>
      <c r="AR26" s="1610">
        <v>0.8694347342678227</v>
      </c>
      <c r="AS26" s="1610">
        <v>1.1364776580948708</v>
      </c>
      <c r="AT26" s="1611">
        <v>1.5723283721286114</v>
      </c>
      <c r="AU26" s="1612">
        <v>0.83619078895702703</v>
      </c>
      <c r="AV26" s="1610">
        <v>0.9001963070540846</v>
      </c>
      <c r="AW26" s="1610">
        <v>1.4387977658748987</v>
      </c>
      <c r="AX26" s="1610">
        <v>0.76975830708334225</v>
      </c>
      <c r="AY26" s="1610">
        <v>0.79831795873914724</v>
      </c>
      <c r="AZ26" s="1610">
        <v>1.1571092817687738</v>
      </c>
      <c r="BA26" s="1610">
        <v>1.2684429837076243</v>
      </c>
      <c r="BB26" s="1610">
        <v>0.81728600837659349</v>
      </c>
      <c r="BC26" s="1610">
        <v>0.80624460862238312</v>
      </c>
      <c r="BD26" s="1610">
        <v>0.8694347342678227</v>
      </c>
      <c r="BE26" s="1610">
        <v>1.1364776580948708</v>
      </c>
      <c r="BF26" s="1610">
        <v>1.5723283721286114</v>
      </c>
    </row>
    <row r="27" spans="1:58" ht="18.75" customHeight="1">
      <c r="A27" s="1613"/>
      <c r="B27" s="163" t="s">
        <v>1376</v>
      </c>
      <c r="C27" s="163" t="s">
        <v>1377</v>
      </c>
      <c r="D27" s="1614"/>
      <c r="E27" s="1614"/>
      <c r="F27" s="1615"/>
      <c r="G27" s="1619">
        <f>SUM(G2:G24)</f>
        <v>9143</v>
      </c>
      <c r="H27" s="1616">
        <f ca="1">SUM(H2:H24)</f>
        <v>7173.1296001713199</v>
      </c>
      <c r="I27" s="1616"/>
      <c r="J27" s="1616"/>
      <c r="K27" s="1419"/>
      <c r="L27" s="376">
        <v>0</v>
      </c>
      <c r="M27" s="376">
        <v>0</v>
      </c>
      <c r="N27" s="376">
        <v>0</v>
      </c>
      <c r="O27" s="376">
        <v>334.7876378723364</v>
      </c>
      <c r="P27" s="376">
        <v>809.67100235922862</v>
      </c>
      <c r="Q27" s="376">
        <v>832.0602619210041</v>
      </c>
      <c r="R27" s="376">
        <v>698.41354741102589</v>
      </c>
      <c r="S27" s="376">
        <v>789.62954690941569</v>
      </c>
      <c r="T27" s="376">
        <v>733.56856868186503</v>
      </c>
      <c r="U27" s="376">
        <v>1059.3042173327076</v>
      </c>
      <c r="V27" s="376">
        <v>1147.2090970965858</v>
      </c>
      <c r="W27" s="376">
        <v>1086.3177203713276</v>
      </c>
      <c r="X27" s="376">
        <v>862</v>
      </c>
      <c r="Y27" s="376">
        <v>1340.2556427377931</v>
      </c>
      <c r="Z27" s="376">
        <v>1404.7616006811409</v>
      </c>
      <c r="AA27" s="376">
        <v>1476.6299100251113</v>
      </c>
      <c r="AB27" s="376">
        <v>2217.375</v>
      </c>
      <c r="AC27" s="376">
        <v>2861.0680871626046</v>
      </c>
      <c r="AD27" s="376">
        <v>2728.5363309463437</v>
      </c>
      <c r="AE27" s="376">
        <v>2989.6070219931398</v>
      </c>
      <c r="AF27" s="376">
        <f>SUM(AF2:AF24)</f>
        <v>2764.6383612239197</v>
      </c>
      <c r="AG27" s="376">
        <f t="shared" ref="AG27:AM27" si="1">SUM(AG2:AG24)</f>
        <v>2291.8672594692298</v>
      </c>
      <c r="AH27" s="1617">
        <f t="shared" si="1"/>
        <v>2545.2777777777774</v>
      </c>
      <c r="AI27" s="1618">
        <f t="shared" si="1"/>
        <v>1458.0192836145916</v>
      </c>
      <c r="AJ27" s="1619">
        <f t="shared" si="1"/>
        <v>1765.5407951155196</v>
      </c>
      <c r="AK27" s="1619">
        <f t="shared" si="1"/>
        <v>2338.0267081485877</v>
      </c>
      <c r="AL27" s="1619">
        <f t="shared" si="1"/>
        <v>1929.2457427369075</v>
      </c>
      <c r="AM27" s="1619">
        <f t="shared" si="1"/>
        <v>1820</v>
      </c>
      <c r="AN27" s="1619">
        <f t="shared" ref="AN27:BF27" si="2">SUM(AN2:AN24)</f>
        <v>1939.5710928176877</v>
      </c>
      <c r="AO27" s="1619">
        <f t="shared" si="2"/>
        <v>2096.6772714984254</v>
      </c>
      <c r="AP27" s="1619">
        <f t="shared" si="2"/>
        <v>2016.2948176205384</v>
      </c>
      <c r="AQ27" s="1619">
        <f t="shared" si="2"/>
        <v>1642.4081032791839</v>
      </c>
      <c r="AR27" s="1619">
        <f t="shared" si="2"/>
        <v>1417.7494077731722</v>
      </c>
      <c r="AS27" s="1619">
        <f t="shared" si="2"/>
        <v>1446.5586399825711</v>
      </c>
      <c r="AT27" s="1620">
        <f t="shared" si="2"/>
        <v>2401.951737003345</v>
      </c>
      <c r="AU27" s="1621">
        <f t="shared" si="2"/>
        <v>1897.7988226174189</v>
      </c>
      <c r="AV27" s="1622">
        <f t="shared" si="2"/>
        <v>1722.6208785888989</v>
      </c>
      <c r="AW27" s="1622">
        <f t="shared" si="2"/>
        <v>2252.3085868260459</v>
      </c>
      <c r="AX27" s="1622">
        <f t="shared" si="2"/>
        <v>31.327516234006765</v>
      </c>
      <c r="AY27" s="1622">
        <f t="shared" si="2"/>
        <v>0</v>
      </c>
      <c r="AZ27" s="1622">
        <f t="shared" si="2"/>
        <v>0</v>
      </c>
      <c r="BA27" s="1622">
        <f t="shared" si="2"/>
        <v>0</v>
      </c>
      <c r="BB27" s="1622">
        <f t="shared" si="2"/>
        <v>0</v>
      </c>
      <c r="BC27" s="1622">
        <f t="shared" si="2"/>
        <v>0</v>
      </c>
      <c r="BD27" s="1622">
        <f t="shared" si="2"/>
        <v>0</v>
      </c>
      <c r="BE27" s="1622">
        <f t="shared" si="2"/>
        <v>0</v>
      </c>
      <c r="BF27" s="1622">
        <f t="shared" si="2"/>
        <v>0</v>
      </c>
    </row>
    <row r="28" spans="1:58" ht="18.75" customHeight="1">
      <c r="A28" s="1063"/>
      <c r="B28" s="1623" t="s">
        <v>1378</v>
      </c>
      <c r="C28" s="1624"/>
      <c r="D28" s="1624"/>
      <c r="E28" s="1623"/>
      <c r="F28" s="1623"/>
      <c r="G28" s="1616"/>
      <c r="H28" s="1616">
        <v>0</v>
      </c>
      <c r="I28" s="1616"/>
      <c r="J28" s="1616"/>
      <c r="K28" s="1625"/>
      <c r="L28" s="267"/>
      <c r="M28" s="267"/>
      <c r="N28" s="267"/>
      <c r="O28" s="267"/>
      <c r="P28" s="267"/>
      <c r="Q28" s="267"/>
      <c r="R28" s="1626">
        <v>1863.3883001336967</v>
      </c>
      <c r="S28" s="1626">
        <v>1791.1562435075539</v>
      </c>
      <c r="T28" s="1626">
        <v>1735.8933027107828</v>
      </c>
      <c r="U28" s="1626">
        <v>1859.1044128420247</v>
      </c>
      <c r="V28" s="1627">
        <v>3067.1798503177079</v>
      </c>
      <c r="W28" s="1628">
        <v>2834.3360649639976</v>
      </c>
      <c r="X28" s="1628">
        <v>2042.8383073069936</v>
      </c>
      <c r="Y28" s="1628">
        <v>3541.7691502528769</v>
      </c>
      <c r="Z28" s="1629">
        <v>2980.4984588960642</v>
      </c>
      <c r="AA28" s="1626">
        <v>2698.1283159316486</v>
      </c>
      <c r="AB28" s="1630">
        <v>2848.4140887238877</v>
      </c>
      <c r="AC28" s="1630">
        <v>3198.2935044127648</v>
      </c>
      <c r="AD28" s="1631"/>
      <c r="AE28" s="1632"/>
      <c r="AF28" s="1632"/>
      <c r="AG28" s="1632"/>
      <c r="AH28" s="1631"/>
      <c r="AI28" s="1633"/>
      <c r="AJ28" s="1634"/>
      <c r="AK28" s="1634"/>
      <c r="AL28" s="1634"/>
      <c r="AM28" s="1634"/>
      <c r="AN28" s="1634"/>
      <c r="AO28" s="1634"/>
      <c r="AP28" s="1634"/>
      <c r="AQ28" s="1634"/>
      <c r="AR28" s="1634"/>
      <c r="AS28" s="1634"/>
      <c r="AT28" s="1635"/>
      <c r="AU28" s="1636"/>
      <c r="AV28" s="1637"/>
      <c r="AW28" s="1637"/>
      <c r="AX28" s="1637"/>
      <c r="AY28" s="1637"/>
      <c r="AZ28" s="1637"/>
      <c r="BA28" s="1637"/>
      <c r="BB28" s="1637"/>
      <c r="BC28" s="1637"/>
      <c r="BD28" s="1637"/>
      <c r="BE28" s="1637"/>
      <c r="BF28" s="1637"/>
    </row>
    <row r="29" spans="1:58" ht="18.75" customHeight="1" thickBot="1">
      <c r="A29" s="1080"/>
      <c r="B29" s="87"/>
      <c r="C29" s="639"/>
      <c r="D29" s="87"/>
      <c r="E29" s="87"/>
      <c r="F29" s="1163"/>
      <c r="G29" s="499" t="str" cm="1">
        <f t="array" ref="G29:G45">IF($C29:$C45="","",SUMIF(マスタ_EOLリスト[[製品型番]:[製品型番]],$C29:$C45,マスタ_EOLリスト[[在庫+注残]:[在庫+注残]]))</f>
        <v/>
      </c>
      <c r="H29" s="499" t="str">
        <f ca="1">_xlfn.LET(_xlpm._今月から4ヶ月計画合計,
  SUM(
    OFFSET($A29,0,
      MATCH(
        EDATE(基準データ!$C$5,3),$A$1:$BD$1,1
      )-4,1,4)),
  IF($C29="","",_xlpm._今月から4ヶ月計画合計
)
)</f>
        <v/>
      </c>
      <c r="I29" s="499" t="str">
        <f>IF($C29="","",
_xlfn.LET(
  _xlpm._見出し範囲,$L$1:$BF$1,
  _xlpm._行範囲,$L29:$BF29,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
      </c>
      <c r="J29" s="499" t="str">
        <f>IF($C29="","",
_xlfn.LET(
  _xlpm._見出し範囲,'在庫使用計画 (法人)'!$L$1:$BF$1,
  _xlpm._行範囲,'在庫使用計画 (法人)'!$L29:$BF29,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
      </c>
      <c r="K29" s="1413" t="str" cm="1">
        <f t="array" ref="K29:K45">IF($C29:$C45="","",_xlfn.XLOOKUP($C29:$C45,'在庫使用計画 (ノート全体試算)'!C:C,'在庫使用計画 (ノート全体試算)'!K:K))</f>
        <v/>
      </c>
      <c r="L29" s="74"/>
      <c r="M29" s="74"/>
      <c r="N29" s="118"/>
      <c r="O29" s="121"/>
      <c r="P29" s="121"/>
      <c r="Q29" s="121"/>
      <c r="R29" s="121"/>
      <c r="S29" s="121"/>
      <c r="T29" s="121"/>
      <c r="U29" s="121"/>
      <c r="V29" s="1325"/>
      <c r="W29" s="1325"/>
      <c r="X29" s="1325"/>
      <c r="Y29" s="1325"/>
      <c r="Z29" s="1325"/>
      <c r="AA29" s="62"/>
      <c r="AB29" s="137"/>
      <c r="AC29" s="137"/>
      <c r="AD29" s="1578"/>
      <c r="AE29" s="137"/>
      <c r="AF29" s="137"/>
      <c r="AG29" s="137"/>
      <c r="AH29" s="1578"/>
      <c r="AI29" s="1638"/>
      <c r="AJ29" s="1168"/>
      <c r="AK29" s="1168"/>
      <c r="AL29" s="1168"/>
      <c r="AM29" s="1168"/>
      <c r="AN29" s="1168"/>
      <c r="AO29" s="1168"/>
      <c r="AP29" s="1168"/>
      <c r="AQ29" s="1168"/>
      <c r="AR29" s="1168"/>
      <c r="AS29" s="1168"/>
      <c r="AT29" s="1639"/>
      <c r="AU29" s="1172"/>
      <c r="AV29" s="1168"/>
      <c r="AW29" s="1168"/>
      <c r="AX29" s="1168"/>
      <c r="AY29" s="1168"/>
      <c r="AZ29" s="1168"/>
      <c r="BA29" s="1168"/>
      <c r="BB29" s="1168"/>
      <c r="BC29" s="1168"/>
      <c r="BD29" s="1168"/>
      <c r="BE29" s="1168"/>
      <c r="BF29" s="1168"/>
    </row>
    <row r="30" spans="1:58" ht="18" customHeight="1" thickBot="1">
      <c r="A30" s="1073" t="s">
        <v>1637</v>
      </c>
      <c r="B30" s="87" t="s">
        <v>411</v>
      </c>
      <c r="C30" s="2057" t="s">
        <v>408</v>
      </c>
      <c r="D30" s="1482" t="s">
        <v>1381</v>
      </c>
      <c r="E30" s="1640">
        <v>5070</v>
      </c>
      <c r="F30" s="86" t="s">
        <v>20</v>
      </c>
      <c r="G30" s="1641">
        <v>128</v>
      </c>
      <c r="H30" s="499">
        <f ca="1">_xlfn.LET(_xlpm._今月から4ヶ月計画合計,
  SUM(
    OFFSET($A30,0,
      MATCH(
        EDATE(基準データ!$C$5,3),$A$1:$BD$1,1
      )-4,1,4)),
  IF($C30="","",_xlpm._今月から4ヶ月計画合計
)
)</f>
        <v>70</v>
      </c>
      <c r="I30" s="499">
        <f>IF($C30="","",
_xlfn.LET(
  _xlpm._見出し範囲,$L$1:$BF$1,
  _xlpm._行範囲,$L30:$BF30,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257.70648633089121</v>
      </c>
      <c r="J30" s="499">
        <f>IF($C30="","",
_xlfn.LET(
  _xlpm._見出し範囲,'在庫使用計画 (法人)'!$L$1:$BF$1,
  _xlpm._行範囲,'在庫使用計画 (法人)'!$L30:$BF30,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84</v>
      </c>
      <c r="K30" s="1413">
        <v>46327</v>
      </c>
      <c r="L30" s="74"/>
      <c r="M30" s="74"/>
      <c r="N30" s="118"/>
      <c r="O30" s="121"/>
      <c r="P30" s="121"/>
      <c r="Q30" s="121"/>
      <c r="R30" s="121"/>
      <c r="S30" s="121"/>
      <c r="T30" s="121"/>
      <c r="U30" s="121"/>
      <c r="V30" s="1325"/>
      <c r="W30" s="1642"/>
      <c r="X30" s="1642"/>
      <c r="Y30" s="1642"/>
      <c r="Z30" s="1643"/>
      <c r="AA30" s="1154"/>
      <c r="AB30" s="1644">
        <v>0</v>
      </c>
      <c r="AC30" s="482">
        <v>60</v>
      </c>
      <c r="AD30" s="1645">
        <v>90</v>
      </c>
      <c r="AE30" s="482">
        <v>80</v>
      </c>
      <c r="AF30" s="1646">
        <v>86.151389718421868</v>
      </c>
      <c r="AG30" s="1646">
        <v>40</v>
      </c>
      <c r="AH30" s="1647">
        <v>49.944444444444443</v>
      </c>
      <c r="AI30" s="1648">
        <v>34</v>
      </c>
      <c r="AJ30" s="1167">
        <v>34.807350689127105</v>
      </c>
      <c r="AK30" s="1167">
        <v>45.710362429811127</v>
      </c>
      <c r="AL30" s="1167">
        <v>77</v>
      </c>
      <c r="AM30" s="1167">
        <v>69</v>
      </c>
      <c r="AN30" s="1167">
        <v>70</v>
      </c>
      <c r="AO30" s="1168"/>
      <c r="AP30" s="1168">
        <v>18</v>
      </c>
      <c r="AQ30" s="1168">
        <v>25</v>
      </c>
      <c r="AR30" s="1444">
        <v>27</v>
      </c>
      <c r="AS30" s="1444">
        <f>+AR30*AS46</f>
        <v>27.943644689740179</v>
      </c>
      <c r="AT30" s="1444">
        <f>+AS30*AT46</f>
        <v>41.186925171367285</v>
      </c>
      <c r="AU30" s="1444">
        <f>+AT30*AU46</f>
        <v>35.543019363286746</v>
      </c>
      <c r="AV30" s="1444">
        <f>+AU30*AV46</f>
        <v>33.510405369915219</v>
      </c>
      <c r="AW30" s="1444">
        <f>+AV30*AW46</f>
        <v>49.522491736581777</v>
      </c>
      <c r="AX30" s="1168"/>
      <c r="AY30" s="1168"/>
      <c r="AZ30" s="1168"/>
      <c r="BA30" s="1168"/>
      <c r="BB30" s="1168"/>
      <c r="BC30" s="1168"/>
      <c r="BD30" s="1168"/>
      <c r="BE30" s="1168"/>
      <c r="BF30" s="1168"/>
    </row>
    <row r="31" spans="1:58" ht="18.75" customHeight="1" thickBot="1">
      <c r="A31" s="1080" t="s">
        <v>1639</v>
      </c>
      <c r="B31" s="2055" t="s">
        <v>1833</v>
      </c>
      <c r="C31" s="1481" t="s">
        <v>1640</v>
      </c>
      <c r="D31" s="1482" t="s">
        <v>1834</v>
      </c>
      <c r="E31" s="87">
        <v>5070</v>
      </c>
      <c r="F31" s="1163" t="s">
        <v>20</v>
      </c>
      <c r="G31" s="1641">
        <v>0</v>
      </c>
      <c r="H31" s="499">
        <f ca="1">_xlfn.LET(_xlpm._今月から4ヶ月計画合計,
  SUM(
    OFFSET($A31,0,
      MATCH(
        EDATE(基準データ!$C$5,3),$A$1:$BD$1,1
      )-4,1,4)),
  IF($C31="","",_xlpm._今月から4ヶ月計画合計
)
)</f>
        <v>39</v>
      </c>
      <c r="I31" s="499">
        <f>IF($C31="","",
_xlfn.LET(
  _xlpm._見出し範囲,$L$1:$BF$1,
  _xlpm._行範囲,$L31:$BF31,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78</v>
      </c>
      <c r="J31" s="499">
        <f>IF($C31="","",
_xlfn.LET(
  _xlpm._見出し範囲,'在庫使用計画 (法人)'!$L$1:$BF$1,
  _xlpm._行範囲,'在庫使用計画 (法人)'!$L31:$BF31,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222</v>
      </c>
      <c r="K31" s="1413" t="str">
        <v>在庫なし</v>
      </c>
      <c r="L31" s="74"/>
      <c r="M31" s="74"/>
      <c r="N31" s="118"/>
      <c r="O31" s="121"/>
      <c r="P31" s="121"/>
      <c r="Q31" s="121"/>
      <c r="R31" s="121"/>
      <c r="S31" s="121"/>
      <c r="T31" s="121"/>
      <c r="U31" s="121"/>
      <c r="V31" s="1325"/>
      <c r="W31" s="1325"/>
      <c r="X31" s="1325"/>
      <c r="Y31" s="1325"/>
      <c r="Z31" s="1325"/>
      <c r="AA31" s="62"/>
      <c r="AB31" s="137"/>
      <c r="AC31" s="137"/>
      <c r="AD31" s="1578"/>
      <c r="AE31" s="137"/>
      <c r="AF31" s="137"/>
      <c r="AG31" s="137"/>
      <c r="AH31" s="1578"/>
      <c r="AI31" s="1638"/>
      <c r="AJ31" s="1168"/>
      <c r="AK31" s="1168"/>
      <c r="AL31" s="1168"/>
      <c r="AM31" s="1168"/>
      <c r="AN31" s="1168"/>
      <c r="AO31" s="1168"/>
      <c r="AP31" s="1168"/>
      <c r="AQ31" s="1168"/>
      <c r="AR31" s="1147">
        <v>39</v>
      </c>
      <c r="AS31" s="1147">
        <v>39</v>
      </c>
      <c r="AT31" s="1148"/>
      <c r="AU31" s="1172"/>
      <c r="AV31" s="1168"/>
      <c r="AW31" s="1168"/>
      <c r="AX31" s="1168"/>
      <c r="AY31" s="1168"/>
      <c r="AZ31" s="1168"/>
      <c r="BA31" s="1168"/>
      <c r="BB31" s="1168"/>
      <c r="BC31" s="1168"/>
      <c r="BD31" s="1168"/>
      <c r="BE31" s="1168"/>
      <c r="BF31" s="1168"/>
    </row>
    <row r="32" spans="1:58" ht="18.75" customHeight="1" thickBot="1">
      <c r="A32" s="1080" t="s">
        <v>1639</v>
      </c>
      <c r="B32" s="87" t="s">
        <v>423</v>
      </c>
      <c r="C32" s="1809" t="s">
        <v>420</v>
      </c>
      <c r="D32" s="87" t="s">
        <v>1384</v>
      </c>
      <c r="E32" s="86">
        <v>5060</v>
      </c>
      <c r="F32" s="86" t="s">
        <v>20</v>
      </c>
      <c r="G32" s="1641">
        <v>20</v>
      </c>
      <c r="H32" s="499">
        <f ca="1">_xlfn.LET(_xlpm._今月から4ヶ月計画合計,
  SUM(
    OFFSET($A32,0,
      MATCH(
        EDATE(基準データ!$C$5,3),$A$1:$BD$1,1
      )-4,1,4)),
  IF($C32="","",_xlpm._今月から4ヶ月計画合計
)
)</f>
        <v>0</v>
      </c>
      <c r="I32" s="499">
        <f>IF($C32="","",
_xlfn.LET(
  _xlpm._見出し範囲,$L$1:$BF$1,
  _xlpm._行範囲,$L32:$BF32,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0</v>
      </c>
      <c r="J32" s="499">
        <f>IF($C32="","",
_xlfn.LET(
  _xlpm._見出し範囲,'在庫使用計画 (法人)'!$L$1:$BF$1,
  _xlpm._行範囲,'在庫使用計画 (法人)'!$L32:$BF32,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0</v>
      </c>
      <c r="K32" s="1413" t="str">
        <v>計画なし</v>
      </c>
      <c r="L32" s="74"/>
      <c r="M32" s="74"/>
      <c r="N32" s="118"/>
      <c r="O32" s="422"/>
      <c r="P32" s="422"/>
      <c r="Q32" s="422"/>
      <c r="R32" s="422"/>
      <c r="S32" s="422"/>
      <c r="T32" s="422"/>
      <c r="U32" s="422"/>
      <c r="V32" s="422"/>
      <c r="W32" s="217"/>
      <c r="X32" s="62"/>
      <c r="Y32" s="62"/>
      <c r="Z32" s="62"/>
      <c r="AA32" s="62"/>
      <c r="AB32" s="137"/>
      <c r="AC32" s="137"/>
      <c r="AD32" s="1578"/>
      <c r="AE32" s="482"/>
      <c r="AF32" s="74">
        <v>100</v>
      </c>
      <c r="AG32" s="217">
        <v>100</v>
      </c>
      <c r="AH32" s="118">
        <v>10.333333333333332</v>
      </c>
      <c r="AI32" s="1649">
        <v>14</v>
      </c>
      <c r="AJ32" s="1167">
        <v>34</v>
      </c>
      <c r="AK32" s="1167">
        <v>30</v>
      </c>
      <c r="AL32" s="1167">
        <v>214</v>
      </c>
      <c r="AM32" s="1167">
        <v>193</v>
      </c>
      <c r="AN32" s="1167">
        <v>66</v>
      </c>
      <c r="AO32" s="1170" t="s">
        <v>914</v>
      </c>
      <c r="AP32" s="1168"/>
      <c r="AQ32" s="1168"/>
      <c r="AR32" s="1168"/>
      <c r="AS32" s="1168"/>
      <c r="AT32" s="1639"/>
      <c r="AU32" s="1172"/>
      <c r="AV32" s="1168"/>
      <c r="AW32" s="1168"/>
      <c r="AX32" s="1168"/>
      <c r="AY32" s="1168"/>
      <c r="AZ32" s="1168"/>
      <c r="BA32" s="1168"/>
      <c r="BB32" s="1168"/>
      <c r="BC32" s="1168"/>
      <c r="BD32" s="1168"/>
      <c r="BE32" s="1168"/>
      <c r="BF32" s="1168"/>
    </row>
    <row r="33" spans="1:58" ht="18.75" customHeight="1" thickBot="1">
      <c r="A33" s="1080" t="s">
        <v>1639</v>
      </c>
      <c r="B33" s="1163" t="s">
        <v>1835</v>
      </c>
      <c r="C33" s="2061" t="s">
        <v>427</v>
      </c>
      <c r="D33" s="1482"/>
      <c r="E33" s="86">
        <v>5060</v>
      </c>
      <c r="F33" s="86"/>
      <c r="G33" s="1641">
        <v>348</v>
      </c>
      <c r="H33" s="499">
        <f ca="1">_xlfn.LET(_xlpm._今月から4ヶ月計画合計,
  SUM(
    OFFSET($A33,0,
      MATCH(
        EDATE(基準データ!$C$5,3),$A$1:$BD$1,1
      )-4,1,4)),
  IF($C33="","",_xlpm._今月から4ヶ月計画合計
)
)</f>
        <v>119.49768179284789</v>
      </c>
      <c r="I33" s="499">
        <f>IF($C33="","",
_xlfn.LET(
  _xlpm._見出し範囲,$L$1:$BF$1,
  _xlpm._行範囲,$L33:$BF33,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340.71323616737163</v>
      </c>
      <c r="J33" s="499">
        <f>IF($C33="","",
_xlfn.LET(
  _xlpm._見出し範囲,'在庫使用計画 (法人)'!$L$1:$BF$1,
  _xlpm._行範囲,'在庫使用計画 (法人)'!$L33:$BF33,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89</v>
      </c>
      <c r="K33" s="1413">
        <v>46357</v>
      </c>
      <c r="L33" s="74"/>
      <c r="M33" s="74"/>
      <c r="N33" s="118"/>
      <c r="O33" s="422"/>
      <c r="P33" s="422"/>
      <c r="Q33" s="422"/>
      <c r="R33" s="422"/>
      <c r="S33" s="422"/>
      <c r="T33" s="422"/>
      <c r="U33" s="422"/>
      <c r="V33" s="422"/>
      <c r="W33" s="217"/>
      <c r="X33" s="62"/>
      <c r="Y33" s="62"/>
      <c r="Z33" s="62"/>
      <c r="AA33" s="62"/>
      <c r="AB33" s="137"/>
      <c r="AC33" s="137"/>
      <c r="AD33" s="1578"/>
      <c r="AE33" s="482"/>
      <c r="AF33" s="482"/>
      <c r="AG33" s="137"/>
      <c r="AH33" s="1578"/>
      <c r="AI33" s="1638">
        <v>0</v>
      </c>
      <c r="AJ33" s="1573">
        <v>20</v>
      </c>
      <c r="AK33" s="1573">
        <v>20</v>
      </c>
      <c r="AL33" s="1573">
        <v>5</v>
      </c>
      <c r="AM33" s="1573">
        <v>5</v>
      </c>
      <c r="AN33" s="1573">
        <v>5</v>
      </c>
      <c r="AO33" s="1573">
        <v>30</v>
      </c>
      <c r="AP33" s="2053">
        <f>+AO33*AP46</f>
        <v>27.592773241475808</v>
      </c>
      <c r="AQ33" s="2053">
        <f>+AP33*AQ46</f>
        <v>29.80650774274369</v>
      </c>
      <c r="AR33" s="2053">
        <f>+AQ33*AR46</f>
        <v>32.098400808628384</v>
      </c>
      <c r="AS33" s="2053">
        <f>+AR33*AS46</f>
        <v>33.220233603895572</v>
      </c>
      <c r="AT33" s="2053">
        <f>+AS33*AT46</f>
        <v>48.964238230575276</v>
      </c>
      <c r="AU33" s="2053">
        <f>+AT33*AU$46</f>
        <v>42.254595610059908</v>
      </c>
      <c r="AV33" s="2053">
        <f>+AU33*AV$46</f>
        <v>39.838163808264873</v>
      </c>
      <c r="AW33" s="2053">
        <f>+AV33*AW$46</f>
        <v>58.873806992695883</v>
      </c>
      <c r="AX33" s="1168"/>
      <c r="AY33" s="1168"/>
      <c r="AZ33" s="1168"/>
      <c r="BA33" s="1168"/>
      <c r="BB33" s="1168"/>
      <c r="BC33" s="1168"/>
      <c r="BD33" s="1168"/>
      <c r="BE33" s="1168"/>
      <c r="BF33" s="1168"/>
    </row>
    <row r="34" spans="1:58" ht="18.75" customHeight="1" thickBot="1">
      <c r="A34" s="1073" t="s">
        <v>1639</v>
      </c>
      <c r="B34" s="1125" t="s">
        <v>488</v>
      </c>
      <c r="C34" s="2059" t="s">
        <v>486</v>
      </c>
      <c r="D34" s="1650" t="s">
        <v>1782</v>
      </c>
      <c r="E34" s="108" t="s">
        <v>1783</v>
      </c>
      <c r="F34" s="1574" t="s">
        <v>20</v>
      </c>
      <c r="G34" s="1641">
        <v>26</v>
      </c>
      <c r="H34" s="499">
        <f ca="1">_xlfn.LET(_xlpm._今月から4ヶ月計画合計,
  SUM(
    OFFSET($A34,0,
      MATCH(
        EDATE(基準データ!$C$5,3),$A$1:$BD$1,1
      )-4,1,4)),
  IF($C34="","",_xlpm._今月から4ヶ月計画合計
)
)</f>
        <v>20</v>
      </c>
      <c r="I34" s="499">
        <f>IF($C34="","",
_xlfn.LET(
  _xlpm._見出し範囲,$L$1:$BF$1,
  _xlpm._行範囲,$L34:$BF34,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18.709677419354836</v>
      </c>
      <c r="J34" s="499">
        <f>IF($C34="","",
_xlfn.LET(
  _xlpm._見出し範囲,'在庫使用計画 (法人)'!$L$1:$BF$1,
  _xlpm._行範囲,'在庫使用計画 (法人)'!$L34:$BF34,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0</v>
      </c>
      <c r="K34" s="1413" t="str">
        <v>合計19、在庫+注残26のため不足</v>
      </c>
      <c r="L34" s="74"/>
      <c r="M34" s="74"/>
      <c r="N34" s="118"/>
      <c r="O34" s="121"/>
      <c r="P34" s="121"/>
      <c r="Q34" s="121"/>
      <c r="R34" s="121"/>
      <c r="S34" s="121"/>
      <c r="T34" s="121"/>
      <c r="U34" s="121"/>
      <c r="V34" s="1325"/>
      <c r="W34" s="1651"/>
      <c r="X34" s="192">
        <v>40</v>
      </c>
      <c r="Y34" s="192">
        <v>250</v>
      </c>
      <c r="Z34" s="354">
        <v>150</v>
      </c>
      <c r="AA34" s="1652">
        <v>170</v>
      </c>
      <c r="AB34" s="1652">
        <v>180</v>
      </c>
      <c r="AC34" s="1652">
        <v>190</v>
      </c>
      <c r="AD34" s="1653">
        <v>120</v>
      </c>
      <c r="AE34" s="1653">
        <v>156</v>
      </c>
      <c r="AF34" s="1654">
        <v>200</v>
      </c>
      <c r="AG34" s="1653">
        <v>130</v>
      </c>
      <c r="AH34" s="1655">
        <v>146.38888888888889</v>
      </c>
      <c r="AI34" s="1656">
        <v>88</v>
      </c>
      <c r="AJ34" s="1657">
        <v>105.760796324655</v>
      </c>
      <c r="AK34" s="1167">
        <v>138.88917815211843</v>
      </c>
      <c r="AL34" s="1167">
        <v>214</v>
      </c>
      <c r="AM34" s="1167">
        <v>193</v>
      </c>
      <c r="AN34" s="1167">
        <v>165</v>
      </c>
      <c r="AO34" s="1168">
        <v>20</v>
      </c>
      <c r="AP34" s="1168"/>
      <c r="AQ34" s="1658"/>
      <c r="AR34" s="1168"/>
      <c r="AS34" s="1168"/>
      <c r="AT34" s="1639"/>
      <c r="AU34" s="1172"/>
      <c r="AV34" s="1168"/>
      <c r="AW34" s="1168"/>
      <c r="AX34" s="1168"/>
      <c r="AY34" s="1168"/>
      <c r="AZ34" s="1168"/>
      <c r="BA34" s="1168"/>
      <c r="BB34" s="1168"/>
      <c r="BC34" s="1168"/>
      <c r="BD34" s="1168"/>
      <c r="BE34" s="1168"/>
      <c r="BF34" s="1168"/>
    </row>
    <row r="35" spans="1:58" ht="18.75" customHeight="1" thickBot="1">
      <c r="A35" s="1073" t="s">
        <v>1641</v>
      </c>
      <c r="B35" s="2055" t="s">
        <v>437</v>
      </c>
      <c r="C35" s="1450" t="s">
        <v>435</v>
      </c>
      <c r="D35" s="1650" t="s">
        <v>1812</v>
      </c>
      <c r="E35" s="108" t="s">
        <v>438</v>
      </c>
      <c r="F35" s="108"/>
      <c r="G35" s="1641">
        <v>420</v>
      </c>
      <c r="H35" s="499">
        <f ca="1">_xlfn.LET(_xlpm._今月から4ヶ月計画合計,
  SUM(
    OFFSET($A35,0,
      MATCH(
        EDATE(基準データ!$C$5,3),$A$1:$BD$1,1
      )-4,1,4)),
  IF($C35="","",_xlpm._今月から4ヶ月計画合計
)
)</f>
        <v>378.40373973593449</v>
      </c>
      <c r="I35" s="499">
        <f>IF($C35="","",
_xlfn.LET(
  _xlpm._見出し範囲,$L$1:$BF$1,
  _xlpm._行範囲,$L35:$BF35,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977.80151668430562</v>
      </c>
      <c r="J35" s="499">
        <f>IF($C35="","",
_xlfn.LET(
  _xlpm._見出し範囲,'在庫使用計画 (法人)'!$L$1:$BF$1,
  _xlpm._行範囲,'在庫使用計画 (法人)'!$L35:$BF35,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53.41935483870968</v>
      </c>
      <c r="K35" s="1413">
        <v>46296</v>
      </c>
      <c r="L35" s="1487"/>
      <c r="M35" s="1487"/>
      <c r="N35" s="1488"/>
      <c r="O35" s="121"/>
      <c r="P35" s="121"/>
      <c r="Q35" s="121"/>
      <c r="R35" s="121"/>
      <c r="S35" s="121"/>
      <c r="T35" s="121"/>
      <c r="U35" s="121"/>
      <c r="V35" s="1325"/>
      <c r="W35" s="1651"/>
      <c r="X35" s="192"/>
      <c r="Y35" s="192"/>
      <c r="Z35" s="354"/>
      <c r="AA35" s="1652"/>
      <c r="AB35" s="1652"/>
      <c r="AC35" s="1652"/>
      <c r="AD35" s="1655"/>
      <c r="AE35" s="1653"/>
      <c r="AF35" s="1646"/>
      <c r="AG35" s="1653"/>
      <c r="AH35" s="1655"/>
      <c r="AI35" s="1659"/>
      <c r="AJ35" s="1573">
        <v>20</v>
      </c>
      <c r="AK35" s="1573">
        <v>20</v>
      </c>
      <c r="AL35" s="1573">
        <v>5</v>
      </c>
      <c r="AM35" s="1573">
        <v>5</v>
      </c>
      <c r="AN35" s="1573">
        <v>5</v>
      </c>
      <c r="AO35" s="1573">
        <v>80</v>
      </c>
      <c r="AP35" s="2053">
        <v>92</v>
      </c>
      <c r="AQ35" s="2053">
        <f>+AP35*AQ$46</f>
        <v>99.381047650930213</v>
      </c>
      <c r="AR35" s="2053">
        <f>+AQ35*AR$46</f>
        <v>107.02269208500429</v>
      </c>
      <c r="AS35" s="2053">
        <v>90</v>
      </c>
      <c r="AT35" s="2053">
        <f>+AS35*AT$46</f>
        <v>132.65353559208609</v>
      </c>
      <c r="AU35" s="2053">
        <f>+AT35*AU$46</f>
        <v>114.47582368774925</v>
      </c>
      <c r="AV35" s="2053">
        <f>+AU35*AV$46</f>
        <v>107.92924533569183</v>
      </c>
      <c r="AW35" s="2053">
        <f>+AV35*AW$46</f>
        <v>159.50046265542471</v>
      </c>
      <c r="AX35" s="2053"/>
      <c r="AY35" s="2053"/>
      <c r="AZ35" s="2053"/>
      <c r="BA35" s="2053"/>
      <c r="BB35" s="2053"/>
      <c r="BC35" s="2053"/>
      <c r="BD35" s="2053"/>
      <c r="BE35" s="1168"/>
      <c r="BF35" s="1168"/>
    </row>
    <row r="36" spans="1:58" ht="18.75" customHeight="1">
      <c r="A36" s="1073"/>
      <c r="B36" s="87"/>
      <c r="C36" s="1496"/>
      <c r="D36" s="87"/>
      <c r="E36" s="1640"/>
      <c r="F36" s="86"/>
      <c r="G36" s="1641" t="str">
        <v/>
      </c>
      <c r="H36" s="499" t="str">
        <f ca="1">_xlfn.LET(_xlpm._今月から4ヶ月計画合計,
  SUM(
    OFFSET($A36,0,
      MATCH(
        EDATE(基準データ!$C$5,3),$A$1:$BD$1,1
      )-4,1,4)),
  IF($C36="","",_xlpm._今月から4ヶ月計画合計
)
)</f>
        <v/>
      </c>
      <c r="I36" s="499" t="str">
        <f>IF($C36="","",
_xlfn.LET(
  _xlpm._見出し範囲,$L$1:$BF$1,
  _xlpm._行範囲,$L36:$BF36,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
      </c>
      <c r="J36" s="499" t="str">
        <f>IF($C36="","",
_xlfn.LET(
  _xlpm._見出し範囲,'在庫使用計画 (法人)'!$L$1:$BF$1,
  _xlpm._行範囲,'在庫使用計画 (法人)'!$L36:$BF36,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
      </c>
      <c r="K36" s="1413" t="str">
        <v/>
      </c>
      <c r="L36" s="74"/>
      <c r="M36" s="74"/>
      <c r="N36" s="118"/>
      <c r="O36" s="121"/>
      <c r="P36" s="121"/>
      <c r="Q36" s="121"/>
      <c r="R36" s="1564"/>
      <c r="S36" s="121"/>
      <c r="T36" s="121"/>
      <c r="U36" s="121"/>
      <c r="V36" s="1325"/>
      <c r="W36" s="184"/>
      <c r="X36" s="184"/>
      <c r="Y36" s="184"/>
      <c r="Z36" s="1660"/>
      <c r="AA36" s="482"/>
      <c r="AB36" s="482"/>
      <c r="AC36" s="137"/>
      <c r="AD36" s="1578"/>
      <c r="AE36" s="137"/>
      <c r="AF36" s="137"/>
      <c r="AG36" s="137"/>
      <c r="AH36" s="1578"/>
      <c r="AI36" s="1638"/>
      <c r="AJ36" s="1168"/>
      <c r="AK36" s="1168"/>
      <c r="AL36" s="1168"/>
      <c r="AM36" s="1168"/>
      <c r="AN36" s="1168"/>
      <c r="AO36" s="1168"/>
      <c r="AP36" s="1168"/>
      <c r="AQ36" s="1168"/>
      <c r="AR36" s="1168"/>
      <c r="AS36" s="1168"/>
      <c r="AT36" s="1639"/>
      <c r="AU36" s="1172"/>
      <c r="AV36" s="1168"/>
      <c r="AW36" s="1168"/>
      <c r="AX36" s="1168"/>
      <c r="AY36" s="1168"/>
      <c r="AZ36" s="1168"/>
      <c r="BA36" s="1168"/>
      <c r="BB36" s="1168"/>
      <c r="BC36" s="1168"/>
      <c r="BD36" s="1168"/>
      <c r="BE36" s="1168"/>
      <c r="BF36" s="1168"/>
    </row>
    <row r="37" spans="1:58" ht="18.75" customHeight="1" thickBot="1">
      <c r="A37" s="1073" t="s">
        <v>1642</v>
      </c>
      <c r="B37" s="87" t="s">
        <v>446</v>
      </c>
      <c r="C37" s="1789" t="s">
        <v>444</v>
      </c>
      <c r="D37" s="108" t="s">
        <v>1387</v>
      </c>
      <c r="E37" s="108"/>
      <c r="F37" s="108"/>
      <c r="G37" s="1641">
        <v>536</v>
      </c>
      <c r="H37" s="499">
        <f ca="1">_xlfn.LET(_xlpm._今月から4ヶ月計画合計,
  SUM(
    OFFSET($A37,0,
      MATCH(
        EDATE(基準データ!$C$5,3),$A$1:$BD$1,1
      )-4,1,4)),
  IF($C37="","",_xlpm._今月から4ヶ月計画合計
)
)</f>
        <v>344.24424598020568</v>
      </c>
      <c r="I37" s="499">
        <f>IF($C37="","",
_xlfn.LET(
  _xlpm._見出し範囲,$L$1:$BF$1,
  _xlpm._行範囲,$L37:$BF37,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334.50231049633464</v>
      </c>
      <c r="J37" s="499">
        <f>IF($C37="","",
_xlfn.LET(
  _xlpm._見出し範囲,'在庫使用計画 (法人)'!$L$1:$BF$1,
  _xlpm._行範囲,'在庫使用計画 (法人)'!$L37:$BF37,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122.96774193548387</v>
      </c>
      <c r="K37" s="2105">
        <v>46266</v>
      </c>
      <c r="L37" s="74"/>
      <c r="M37" s="74"/>
      <c r="N37" s="74"/>
      <c r="O37" s="74"/>
      <c r="P37" s="74"/>
      <c r="Q37" s="74"/>
      <c r="R37" s="74"/>
      <c r="S37" s="224"/>
      <c r="T37" s="224"/>
      <c r="U37" s="224"/>
      <c r="V37" s="237"/>
      <c r="W37" s="224"/>
      <c r="X37" s="224"/>
      <c r="Y37" s="224"/>
      <c r="Z37" s="224"/>
      <c r="AA37" s="224"/>
      <c r="AB37" s="224"/>
      <c r="AC37" s="224">
        <v>180</v>
      </c>
      <c r="AD37" s="224">
        <v>80</v>
      </c>
      <c r="AE37" s="482">
        <v>220</v>
      </c>
      <c r="AF37" s="1646">
        <v>150</v>
      </c>
      <c r="AG37" s="224">
        <v>130</v>
      </c>
      <c r="AH37" s="237">
        <v>201.5</v>
      </c>
      <c r="AI37" s="1478">
        <v>104</v>
      </c>
      <c r="AJ37" s="1152">
        <v>101.74456355283307</v>
      </c>
      <c r="AK37" s="1152">
        <v>133.61490556406329</v>
      </c>
      <c r="AL37" s="1152">
        <v>80</v>
      </c>
      <c r="AM37" s="1152">
        <v>73</v>
      </c>
      <c r="AN37" s="1169">
        <v>81</v>
      </c>
      <c r="AO37" s="1393">
        <v>151</v>
      </c>
      <c r="AP37" s="1393">
        <v>92.895669912968557</v>
      </c>
      <c r="AQ37" s="1393">
        <v>100.34857606723709</v>
      </c>
      <c r="AR37" s="1170" t="s">
        <v>914</v>
      </c>
      <c r="AS37" s="1168"/>
      <c r="AT37" s="1168"/>
      <c r="AU37" s="1168"/>
      <c r="AV37" s="1168"/>
      <c r="AW37" s="1168"/>
      <c r="AX37" s="1168"/>
      <c r="AY37" s="1168"/>
      <c r="AZ37" s="1168"/>
      <c r="BA37" s="1168"/>
      <c r="BB37" s="1168"/>
      <c r="BC37" s="1168"/>
      <c r="BD37" s="1168"/>
      <c r="BE37" s="1168"/>
      <c r="BF37" s="1168"/>
    </row>
    <row r="38" spans="1:58" ht="18.75" customHeight="1" thickBot="1">
      <c r="A38" s="1080" t="s">
        <v>1643</v>
      </c>
      <c r="B38" s="1163" t="s">
        <v>475</v>
      </c>
      <c r="C38" s="1494" t="s">
        <v>448</v>
      </c>
      <c r="D38" s="1482" t="s">
        <v>1813</v>
      </c>
      <c r="E38" s="86">
        <v>5060</v>
      </c>
      <c r="F38" s="86" t="s">
        <v>20</v>
      </c>
      <c r="G38" s="1641">
        <v>1100</v>
      </c>
      <c r="H38" s="499">
        <f ca="1">_xlfn.LET(_xlpm._今月から4ヶ月計画合計,
  SUM(
    OFFSET($A38,0,
      MATCH(
        EDATE(基準データ!$C$5,3),$A$1:$BD$1,1
      )-4,1,4)),
  IF($C38="","",_xlpm._今月から4ヶ月計画合計
)
)</f>
        <v>420</v>
      </c>
      <c r="I38" s="499">
        <f>IF($C38="","",
_xlfn.LET(
  _xlpm._見出し範囲,$L$1:$BF$1,
  _xlpm._行範囲,$L38:$BF38,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2561.905536008886</v>
      </c>
      <c r="J38" s="499">
        <f>IF($C38="","",
_xlfn.LET(
  _xlpm._見出し範囲,'在庫使用計画 (法人)'!$L$1:$BF$1,
  _xlpm._行範囲,'在庫使用計画 (法人)'!$L38:$BF38,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60</v>
      </c>
      <c r="K38" s="1413">
        <v>46357</v>
      </c>
      <c r="L38" s="74"/>
      <c r="M38" s="74"/>
      <c r="N38" s="118"/>
      <c r="O38" s="422"/>
      <c r="P38" s="422"/>
      <c r="Q38" s="422"/>
      <c r="R38" s="422"/>
      <c r="S38" s="422"/>
      <c r="T38" s="422"/>
      <c r="U38" s="422"/>
      <c r="V38" s="422"/>
      <c r="W38" s="217"/>
      <c r="X38" s="62"/>
      <c r="Y38" s="62"/>
      <c r="Z38" s="62"/>
      <c r="AA38" s="62"/>
      <c r="AB38" s="137"/>
      <c r="AC38" s="137"/>
      <c r="AD38" s="1578"/>
      <c r="AE38" s="482"/>
      <c r="AF38" s="482"/>
      <c r="AG38" s="137"/>
      <c r="AH38" s="1578"/>
      <c r="AI38" s="1638"/>
      <c r="AJ38" s="1168"/>
      <c r="AK38" s="1168"/>
      <c r="AL38" s="1661"/>
      <c r="AM38" s="1661"/>
      <c r="AN38" s="1662"/>
      <c r="AO38" s="1395"/>
      <c r="AP38" s="1395"/>
      <c r="AQ38" s="1663">
        <v>150</v>
      </c>
      <c r="AR38" s="1663">
        <v>270</v>
      </c>
      <c r="AS38" s="1663">
        <v>280</v>
      </c>
      <c r="AT38" s="1663">
        <v>480</v>
      </c>
      <c r="AU38" s="2053">
        <f>+AT38*AU$46</f>
        <v>414.22488382886178</v>
      </c>
      <c r="AV38" s="2053">
        <f>+AU38*AV$46</f>
        <v>390.53642656338479</v>
      </c>
      <c r="AW38" s="2053">
        <f>+AV38*AW$46</f>
        <v>577.14422561663957</v>
      </c>
      <c r="AX38" s="1168"/>
      <c r="AY38" s="1168"/>
      <c r="AZ38" s="1168"/>
      <c r="BA38" s="1168"/>
      <c r="BB38" s="1168"/>
      <c r="BC38" s="1168"/>
      <c r="BD38" s="1168"/>
      <c r="BE38" s="1168"/>
      <c r="BF38" s="1168"/>
    </row>
    <row r="39" spans="1:58" ht="18.75" customHeight="1" thickBot="1">
      <c r="A39" s="1073" t="s">
        <v>1642</v>
      </c>
      <c r="B39" s="87" t="s">
        <v>451</v>
      </c>
      <c r="C39" s="1789" t="s">
        <v>449</v>
      </c>
      <c r="D39" s="108" t="s">
        <v>1387</v>
      </c>
      <c r="E39" s="108"/>
      <c r="F39" s="108"/>
      <c r="G39" s="1641">
        <v>42</v>
      </c>
      <c r="H39" s="499">
        <f ca="1">_xlfn.LET(_xlpm._今月から4ヶ月計画合計,
  SUM(
    OFFSET($A39,0,
      MATCH(
        EDATE(基準データ!$C$5,3),$A$1:$BD$1,1
      )-4,1,4)),
  IF($C39="","",_xlpm._今月から4ヶ月計画合計
)
)</f>
        <v>68.120554374283486</v>
      </c>
      <c r="I39" s="499">
        <f>IF($C39="","",
_xlfn.LET(
  _xlpm._見出し範囲,$L$1:$BF$1,
  _xlpm._行範囲,$L39:$BF39,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63.725679898523261</v>
      </c>
      <c r="J39" s="499">
        <f>IF($C39="","",
_xlfn.LET(
  _xlpm._見出し範囲,'在庫使用計画 (法人)'!$L$1:$BF$1,
  _xlpm._行範囲,'在庫使用計画 (法人)'!$L39:$BF39,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9.3548387096774182</v>
      </c>
      <c r="K39" s="1413">
        <v>46204</v>
      </c>
      <c r="L39" s="74"/>
      <c r="M39" s="74"/>
      <c r="N39" s="74"/>
      <c r="O39" s="74"/>
      <c r="P39" s="74"/>
      <c r="Q39" s="74"/>
      <c r="R39" s="74"/>
      <c r="S39" s="224"/>
      <c r="T39" s="224"/>
      <c r="U39" s="224"/>
      <c r="V39" s="237"/>
      <c r="W39" s="224"/>
      <c r="X39" s="224"/>
      <c r="Y39" s="224"/>
      <c r="Z39" s="224"/>
      <c r="AA39" s="224"/>
      <c r="AB39" s="224"/>
      <c r="AC39" s="224">
        <v>200</v>
      </c>
      <c r="AD39" s="224">
        <v>100</v>
      </c>
      <c r="AE39" s="482">
        <v>130</v>
      </c>
      <c r="AF39" s="1646">
        <v>139.99600829243553</v>
      </c>
      <c r="AG39" s="224">
        <v>120</v>
      </c>
      <c r="AH39" s="237">
        <v>115.38888888888889</v>
      </c>
      <c r="AI39" s="1478">
        <v>76</v>
      </c>
      <c r="AJ39" s="1152">
        <v>76.308422664624814</v>
      </c>
      <c r="AK39" s="1152">
        <v>100.21117917304748</v>
      </c>
      <c r="AL39" s="1152">
        <v>77.75160796324657</v>
      </c>
      <c r="AM39" s="1152">
        <v>59.531393568147024</v>
      </c>
      <c r="AN39" s="1169">
        <v>62.073966525012672</v>
      </c>
      <c r="AO39" s="1394">
        <v>68.120554374283486</v>
      </c>
      <c r="AP39" s="1170" t="s">
        <v>914</v>
      </c>
      <c r="AQ39" s="1390"/>
      <c r="AS39" s="1396"/>
      <c r="AT39" s="1396"/>
      <c r="AU39" s="1444"/>
      <c r="AV39" s="1168"/>
      <c r="AW39" s="1168"/>
      <c r="AX39" s="1168"/>
      <c r="AY39" s="1168"/>
      <c r="AZ39" s="1168"/>
      <c r="BA39" s="1168"/>
      <c r="BB39" s="1168"/>
      <c r="BC39" s="1168"/>
      <c r="BD39" s="1168"/>
      <c r="BE39" s="1168"/>
      <c r="BF39" s="1168"/>
    </row>
    <row r="40" spans="1:58" ht="18.75" customHeight="1" thickBot="1">
      <c r="A40" s="1080" t="s">
        <v>1643</v>
      </c>
      <c r="B40" s="1163" t="s">
        <v>478</v>
      </c>
      <c r="C40" s="1494" t="s">
        <v>453</v>
      </c>
      <c r="D40" s="1482" t="s">
        <v>1813</v>
      </c>
      <c r="E40" s="86">
        <v>5050</v>
      </c>
      <c r="F40" s="86" t="s">
        <v>20</v>
      </c>
      <c r="G40" s="1641">
        <v>730</v>
      </c>
      <c r="H40" s="499">
        <f ca="1">_xlfn.LET(_xlpm._今月から4ヶ月計画合計,
  SUM(
    OFFSET($A40,0,
      MATCH(
        EDATE(基準データ!$C$5,3),$A$1:$BD$1,1
      )-4,1,4)),
  IF($C40="","",_xlpm._今月から4ヶ月計画合計
)
)</f>
        <v>229</v>
      </c>
      <c r="I40" s="499">
        <f>IF($C40="","",
_xlfn.LET(
  _xlpm._見出し範囲,$L$1:$BF$1,
  _xlpm._行範囲,$L40:$BF40,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1125.8198791364803</v>
      </c>
      <c r="J40" s="499">
        <f>IF($C40="","",
_xlfn.LET(
  _xlpm._見出し範囲,'在庫使用計画 (法人)'!$L$1:$BF$1,
  _xlpm._行範囲,'在庫使用計画 (法人)'!$L40:$BF40,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103</v>
      </c>
      <c r="K40" s="1413">
        <v>46357</v>
      </c>
      <c r="L40" s="74"/>
      <c r="M40" s="74"/>
      <c r="N40" s="118"/>
      <c r="O40" s="422"/>
      <c r="P40" s="422"/>
      <c r="Q40" s="422"/>
      <c r="R40" s="422"/>
      <c r="S40" s="422"/>
      <c r="T40" s="422"/>
      <c r="U40" s="422"/>
      <c r="V40" s="422"/>
      <c r="W40" s="217"/>
      <c r="X40" s="62"/>
      <c r="Y40" s="62"/>
      <c r="Z40" s="62"/>
      <c r="AA40" s="62"/>
      <c r="AB40" s="137"/>
      <c r="AC40" s="137"/>
      <c r="AD40" s="1578"/>
      <c r="AE40" s="482"/>
      <c r="AF40" s="482"/>
      <c r="AG40" s="137"/>
      <c r="AH40" s="1578"/>
      <c r="AI40" s="1638"/>
      <c r="AJ40" s="1168"/>
      <c r="AK40" s="1168"/>
      <c r="AL40" s="1168"/>
      <c r="AM40" s="1168"/>
      <c r="AN40" s="1168"/>
      <c r="AO40" s="1664"/>
      <c r="AP40" s="1395"/>
      <c r="AQ40" s="1663">
        <v>100</v>
      </c>
      <c r="AR40" s="1663">
        <v>129</v>
      </c>
      <c r="AS40" s="2054">
        <f>+AR40*AS$46</f>
        <v>133.50852462875864</v>
      </c>
      <c r="AT40" s="2054">
        <f>+AS40*AT$46</f>
        <v>196.78197581875483</v>
      </c>
      <c r="AU40" s="2054">
        <f>+AT40*AU$46</f>
        <v>169.81664806903669</v>
      </c>
      <c r="AV40" s="2054">
        <f>+AU40*AV$46</f>
        <v>160.10527010070606</v>
      </c>
      <c r="AW40" s="2054">
        <f>+AV40*AW$46</f>
        <v>236.60746051922408</v>
      </c>
      <c r="AX40" s="1395"/>
      <c r="AY40" s="1168"/>
      <c r="AZ40" s="1168"/>
      <c r="BA40" s="1168"/>
      <c r="BB40" s="1168"/>
      <c r="BC40" s="1168"/>
      <c r="BD40" s="1168"/>
      <c r="BE40" s="1168"/>
      <c r="BF40" s="1168"/>
    </row>
    <row r="41" spans="1:58" ht="18.75" customHeight="1">
      <c r="A41" s="1073" t="s">
        <v>1642</v>
      </c>
      <c r="B41" s="87" t="s">
        <v>470</v>
      </c>
      <c r="C41" s="1496" t="s">
        <v>458</v>
      </c>
      <c r="D41" s="108" t="s">
        <v>1365</v>
      </c>
      <c r="E41" s="108">
        <v>4050</v>
      </c>
      <c r="F41" s="108" t="s">
        <v>20</v>
      </c>
      <c r="G41" s="1641">
        <v>555</v>
      </c>
      <c r="H41" s="499">
        <f ca="1">_xlfn.LET(_xlpm._今月から4ヶ月計画合計,
  SUM(
    OFFSET($A41,0,
      MATCH(
        EDATE(基準データ!$C$5,3),$A$1:$BD$1,1
      )-4,1,4)),
  IF($C41="","",_xlpm._今月から4ヶ月計画合計
)
)</f>
        <v>479.93977701229841</v>
      </c>
      <c r="I41" s="499">
        <f>IF($C41="","",
_xlfn.LET(
  _xlpm._見出し範囲,$L$1:$BF$1,
  _xlpm._行範囲,$L41:$BF41,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463.81074475423384</v>
      </c>
      <c r="J41" s="499">
        <f>IF($C41="","",
_xlfn.LET(
  _xlpm._見出し範囲,'在庫使用計画 (法人)'!$L$1:$BF$1,
  _xlpm._行範囲,'在庫使用計画 (法人)'!$L41:$BF41,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35.322580645161288</v>
      </c>
      <c r="K41" s="1413">
        <v>46235</v>
      </c>
      <c r="L41" s="74"/>
      <c r="M41" s="74"/>
      <c r="N41" s="118"/>
      <c r="O41" s="121">
        <v>281.92643189249378</v>
      </c>
      <c r="P41" s="121">
        <v>293.72647030090781</v>
      </c>
      <c r="Q41" s="121">
        <v>301.84868063642557</v>
      </c>
      <c r="R41" s="121">
        <v>200</v>
      </c>
      <c r="S41" s="121">
        <v>180</v>
      </c>
      <c r="T41" s="121">
        <v>240</v>
      </c>
      <c r="U41" s="121">
        <v>250</v>
      </c>
      <c r="V41" s="1325">
        <v>300</v>
      </c>
      <c r="W41" s="184">
        <v>140</v>
      </c>
      <c r="X41" s="192">
        <v>100</v>
      </c>
      <c r="Y41" s="192">
        <v>150</v>
      </c>
      <c r="Z41" s="354">
        <v>120</v>
      </c>
      <c r="AA41" s="217">
        <v>100</v>
      </c>
      <c r="AB41" s="217">
        <v>120</v>
      </c>
      <c r="AC41" s="217">
        <v>140</v>
      </c>
      <c r="AD41" s="259">
        <v>150</v>
      </c>
      <c r="AE41" s="482">
        <v>195</v>
      </c>
      <c r="AF41" s="1646">
        <v>209.9940124386533</v>
      </c>
      <c r="AG41" s="482">
        <v>140</v>
      </c>
      <c r="AH41" s="1647">
        <v>117.11111111111111</v>
      </c>
      <c r="AI41" s="1648">
        <v>80</v>
      </c>
      <c r="AJ41" s="1167">
        <v>81.663399693721288</v>
      </c>
      <c r="AK41" s="1167">
        <v>107.24354262378766</v>
      </c>
      <c r="AL41" s="1167">
        <v>65.850976504137847</v>
      </c>
      <c r="AM41" s="1167">
        <v>180</v>
      </c>
      <c r="AN41" s="1167">
        <v>220</v>
      </c>
      <c r="AO41" s="1169">
        <v>250</v>
      </c>
      <c r="AP41" s="2054">
        <f>+AO41*AP$46</f>
        <v>229.93977701229841</v>
      </c>
      <c r="AQ41" s="1170" t="s">
        <v>914</v>
      </c>
      <c r="AR41" s="1665"/>
      <c r="AS41" s="1665"/>
      <c r="AT41" s="1666"/>
      <c r="AU41" s="1172"/>
      <c r="AV41" s="1168"/>
      <c r="AW41" s="1168"/>
      <c r="AX41" s="1168"/>
      <c r="AY41" s="1168"/>
      <c r="AZ41" s="1168"/>
      <c r="BA41" s="1168"/>
      <c r="BB41" s="1168"/>
      <c r="BC41" s="1168"/>
      <c r="BD41" s="1168"/>
      <c r="BE41" s="1168"/>
      <c r="BF41" s="1168"/>
    </row>
    <row r="42" spans="1:58" ht="18.75" customHeight="1" thickBot="1">
      <c r="A42" s="1073" t="s">
        <v>1642</v>
      </c>
      <c r="B42" s="87" t="s">
        <v>472</v>
      </c>
      <c r="C42" s="491" t="s">
        <v>463</v>
      </c>
      <c r="D42" s="108" t="s">
        <v>1365</v>
      </c>
      <c r="E42" s="108">
        <v>3050</v>
      </c>
      <c r="F42" s="108" t="s">
        <v>20</v>
      </c>
      <c r="G42" s="1641">
        <v>11</v>
      </c>
      <c r="H42" s="499">
        <f ca="1">_xlfn.LET(_xlpm._今月から4ヶ月計画合計,
  SUM(
    OFFSET($A42,0,
      MATCH(
        EDATE(基準データ!$C$5,3),$A$1:$BD$1,1
      )-4,1,4)),
  IF($C42="","",_xlpm._今月から4ヶ月計画合計
)
)</f>
        <v>0</v>
      </c>
      <c r="I42" s="499">
        <f>IF($C42="","",
_xlfn.LET(
  _xlpm._見出し範囲,$L$1:$BF$1,
  _xlpm._行範囲,$L42:$BF42,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0</v>
      </c>
      <c r="J42" s="499">
        <f>IF($C42="","",
_xlfn.LET(
  _xlpm._見出し範囲,'在庫使用計画 (法人)'!$L$1:$BF$1,
  _xlpm._行範囲,'在庫使用計画 (法人)'!$L42:$BF42,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9.3548387096774182</v>
      </c>
      <c r="K42" s="1413">
        <v>46204</v>
      </c>
      <c r="L42" s="74"/>
      <c r="M42" s="74"/>
      <c r="N42" s="118"/>
      <c r="O42" s="121">
        <v>352.40803986561724</v>
      </c>
      <c r="P42" s="121">
        <v>367.15808787613474</v>
      </c>
      <c r="Q42" s="121">
        <v>377.31085079553196</v>
      </c>
      <c r="R42" s="121">
        <v>316.70663994021902</v>
      </c>
      <c r="S42" s="121">
        <v>277.37814869187599</v>
      </c>
      <c r="T42" s="121">
        <v>300</v>
      </c>
      <c r="U42" s="121">
        <v>320</v>
      </c>
      <c r="V42" s="1325">
        <v>500</v>
      </c>
      <c r="W42" s="184">
        <v>480</v>
      </c>
      <c r="X42" s="192">
        <v>350</v>
      </c>
      <c r="Y42" s="192">
        <v>500</v>
      </c>
      <c r="Z42" s="354">
        <v>220</v>
      </c>
      <c r="AA42" s="217">
        <v>200</v>
      </c>
      <c r="AB42" s="217">
        <v>330</v>
      </c>
      <c r="AC42" s="217">
        <v>240</v>
      </c>
      <c r="AD42" s="259">
        <v>250</v>
      </c>
      <c r="AE42" s="482">
        <v>325</v>
      </c>
      <c r="AF42" s="1646">
        <v>349.99002073108886</v>
      </c>
      <c r="AG42" s="482">
        <v>280</v>
      </c>
      <c r="AH42" s="1647">
        <v>218.72222222222223</v>
      </c>
      <c r="AI42" s="1648">
        <v>177</v>
      </c>
      <c r="AJ42" s="1167">
        <v>157.97182235834609</v>
      </c>
      <c r="AK42" s="1167">
        <v>207.45472179683512</v>
      </c>
      <c r="AL42" s="1167">
        <v>86</v>
      </c>
      <c r="AM42" s="1169">
        <v>120</v>
      </c>
      <c r="AN42" s="1168"/>
      <c r="AO42" s="1168"/>
      <c r="AP42" s="1168"/>
      <c r="AQ42" s="1168"/>
      <c r="AR42" s="1168"/>
      <c r="AS42" s="1168"/>
      <c r="AT42" s="1639"/>
      <c r="AU42" s="1172"/>
      <c r="AV42" s="1168"/>
      <c r="AW42" s="1168"/>
      <c r="AX42" s="1168"/>
      <c r="AY42" s="1168"/>
      <c r="AZ42" s="1168"/>
      <c r="BA42" s="1168"/>
      <c r="BB42" s="1168"/>
      <c r="BC42" s="1168"/>
      <c r="BD42" s="1168"/>
      <c r="BE42" s="1168"/>
      <c r="BF42" s="1168"/>
    </row>
    <row r="43" spans="1:58" ht="18.75" customHeight="1" thickBot="1">
      <c r="A43" s="1073" t="s">
        <v>1644</v>
      </c>
      <c r="B43" s="1163" t="s">
        <v>485</v>
      </c>
      <c r="C43" s="2071" t="s">
        <v>1645</v>
      </c>
      <c r="D43" s="1650" t="s">
        <v>1814</v>
      </c>
      <c r="E43" s="108" t="s">
        <v>438</v>
      </c>
      <c r="F43" s="86"/>
      <c r="G43" s="1641">
        <v>555</v>
      </c>
      <c r="H43" s="499">
        <f ca="1">_xlfn.LET(_xlpm._今月から4ヶ月計画合計,
  SUM(
    OFFSET($A43,0,
      MATCH(
        EDATE(基準データ!$C$5,3),$A$1:$BD$1,1
      )-4,1,4)),
  IF($C43="","",_xlpm._今月から4ヶ月計画合計
)
)</f>
        <v>160</v>
      </c>
      <c r="I43" s="499">
        <f>IF($C43="","",
_xlfn.LET(
  _xlpm._見出し範囲,$L$1:$BF$1,
  _xlpm._行範囲,$L43:$BF43,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1300</v>
      </c>
      <c r="J43" s="499">
        <f>IF($C43="","",
_xlfn.LET(
  _xlpm._見出し範囲,'在庫使用計画 (法人)'!$L$1:$BF$1,
  _xlpm._行範囲,'在庫使用計画 (法人)'!$L43:$BF43,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54</v>
      </c>
      <c r="K43" s="1413">
        <v>46357</v>
      </c>
      <c r="L43" s="1487"/>
      <c r="M43" s="1487"/>
      <c r="N43" s="1488"/>
      <c r="O43" s="121"/>
      <c r="P43" s="121"/>
      <c r="Q43" s="121"/>
      <c r="R43" s="121"/>
      <c r="S43" s="121"/>
      <c r="T43" s="121"/>
      <c r="U43" s="121"/>
      <c r="V43" s="1325"/>
      <c r="W43" s="1651"/>
      <c r="X43" s="192"/>
      <c r="Y43" s="192"/>
      <c r="Z43" s="354"/>
      <c r="AA43" s="1652"/>
      <c r="AB43" s="1652"/>
      <c r="AC43" s="1652"/>
      <c r="AD43" s="1655"/>
      <c r="AE43" s="1653"/>
      <c r="AF43" s="1646"/>
      <c r="AG43" s="1653"/>
      <c r="AH43" s="1655"/>
      <c r="AI43" s="1659"/>
      <c r="AJ43" s="1667"/>
      <c r="AK43" s="1668"/>
      <c r="AL43" s="1668"/>
      <c r="AM43" s="1668"/>
      <c r="AN43" s="1668"/>
      <c r="AO43" s="1668"/>
      <c r="AP43" s="1668"/>
      <c r="AQ43" s="2074">
        <v>50</v>
      </c>
      <c r="AR43" s="2074">
        <v>110</v>
      </c>
      <c r="AS43" s="2074">
        <v>100</v>
      </c>
      <c r="AT43" s="2075">
        <v>160</v>
      </c>
      <c r="AU43" s="2076">
        <v>150</v>
      </c>
      <c r="AV43" s="1979">
        <v>100</v>
      </c>
      <c r="AW43" s="1979">
        <v>160</v>
      </c>
      <c r="AX43" s="1979">
        <v>100</v>
      </c>
      <c r="AY43" s="1979">
        <v>80</v>
      </c>
      <c r="AZ43" s="1979">
        <v>80</v>
      </c>
      <c r="BA43" s="1979">
        <v>80</v>
      </c>
      <c r="BB43" s="1979">
        <v>130</v>
      </c>
      <c r="BC43" s="1168"/>
      <c r="BD43" s="1168"/>
      <c r="BE43" s="1168"/>
      <c r="BF43" s="1168"/>
    </row>
    <row r="44" spans="1:58" ht="18.75" customHeight="1" collapsed="1" thickBot="1">
      <c r="A44" s="1669" t="s">
        <v>1644</v>
      </c>
      <c r="B44" s="1053" t="s">
        <v>482</v>
      </c>
      <c r="C44" s="2071" t="s">
        <v>1646</v>
      </c>
      <c r="D44" s="2072" t="s">
        <v>1814</v>
      </c>
      <c r="E44" s="1670" t="s">
        <v>438</v>
      </c>
      <c r="F44" s="1671"/>
      <c r="G44" s="1641">
        <v>505</v>
      </c>
      <c r="H44" s="499">
        <f ca="1">_xlfn.LET(_xlpm._今月から4ヶ月計画合計,
  SUM(
    OFFSET($A44,0,
      MATCH(
        EDATE(基準データ!$C$5,3),$A$1:$BD$1,1
      )-4,1,4)),
  IF($C44="","",_xlpm._今月から4ヶ月計画合計
)
)</f>
        <v>130</v>
      </c>
      <c r="I44" s="499">
        <f>IF($C44="","",
_xlfn.LET(
  _xlpm._見出し範囲,$L$1:$BF$1,
  _xlpm._行範囲,$L44:$BF44,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1200</v>
      </c>
      <c r="J44" s="499">
        <f>IF($C44="","",
_xlfn.LET(
  _xlpm._見出し範囲,'在庫使用計画 (法人)'!$L$1:$BF$1,
  _xlpm._行範囲,'在庫使用計画 (法人)'!$L44:$BF44,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54</v>
      </c>
      <c r="K44" s="1413">
        <v>46357</v>
      </c>
      <c r="L44" s="1487"/>
      <c r="M44" s="1487"/>
      <c r="N44" s="1488"/>
      <c r="O44" s="121"/>
      <c r="P44" s="121"/>
      <c r="Q44" s="121"/>
      <c r="R44" s="121"/>
      <c r="S44" s="121"/>
      <c r="T44" s="121"/>
      <c r="U44" s="121"/>
      <c r="V44" s="1325"/>
      <c r="W44" s="1651"/>
      <c r="X44" s="192"/>
      <c r="Y44" s="192"/>
      <c r="Z44" s="354"/>
      <c r="AA44" s="1652"/>
      <c r="AB44" s="1652"/>
      <c r="AC44" s="1652"/>
      <c r="AD44" s="1655"/>
      <c r="AE44" s="1653"/>
      <c r="AF44" s="1646"/>
      <c r="AG44" s="1653"/>
      <c r="AH44" s="1655"/>
      <c r="AI44" s="1659"/>
      <c r="AJ44" s="1667"/>
      <c r="AK44" s="1668"/>
      <c r="AL44" s="1668"/>
      <c r="AM44" s="1668"/>
      <c r="AN44" s="1668"/>
      <c r="AO44" s="1668"/>
      <c r="AP44" s="1668"/>
      <c r="AQ44" s="2074">
        <v>40</v>
      </c>
      <c r="AR44" s="2074">
        <v>90</v>
      </c>
      <c r="AS44" s="2074">
        <v>80</v>
      </c>
      <c r="AT44" s="2075">
        <v>160</v>
      </c>
      <c r="AU44" s="2076">
        <v>150</v>
      </c>
      <c r="AV44" s="1979">
        <v>100</v>
      </c>
      <c r="AW44" s="1979">
        <v>160</v>
      </c>
      <c r="AX44" s="1979">
        <v>90</v>
      </c>
      <c r="AY44" s="1979">
        <v>70</v>
      </c>
      <c r="AZ44" s="1979">
        <v>70</v>
      </c>
      <c r="BA44" s="1979">
        <v>70</v>
      </c>
      <c r="BB44" s="1979">
        <v>120</v>
      </c>
      <c r="BC44" s="1168"/>
      <c r="BD44" s="1168"/>
      <c r="BE44" s="1168"/>
      <c r="BF44" s="1168"/>
    </row>
    <row r="45" spans="1:58" ht="18.75" customHeight="1">
      <c r="A45" s="1669"/>
      <c r="B45" s="639"/>
      <c r="C45" s="1857"/>
      <c r="D45" s="639"/>
      <c r="E45" s="639"/>
      <c r="F45" s="1053"/>
      <c r="G45" s="1641" t="str">
        <v/>
      </c>
      <c r="H45" s="499" t="str">
        <f ca="1">_xlfn.LET(_xlpm._今月から4ヶ月計画合計,
  SUM(
    OFFSET($A45,0,
      MATCH(
        EDATE(基準データ!$C$5,3),$A$1:$BD$1,1
      )-4,1,4)),
  IF($C45="","",_xlpm._今月から4ヶ月計画合計
)
)</f>
        <v/>
      </c>
      <c r="I45" s="499" t="str">
        <f>IF($C45="","",
_xlfn.LET(
  _xlpm._見出し範囲,$L$1:$BF$1,
  _xlpm._行範囲,$L45:$BF45,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
      </c>
      <c r="J45" s="499" t="str">
        <f>IF($C45="","",
_xlfn.LET(
  _xlpm._見出し範囲,'在庫使用計画 (法人)'!$L$1:$BF$1,
  _xlpm._行範囲,'在庫使用計画 (法人)'!$L45:$BF45,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
      </c>
      <c r="K45" s="1413" t="str">
        <v/>
      </c>
      <c r="L45" s="1487"/>
      <c r="M45" s="1487"/>
      <c r="N45" s="1488"/>
      <c r="O45" s="121"/>
      <c r="P45" s="121"/>
      <c r="Q45" s="121"/>
      <c r="R45" s="121"/>
      <c r="S45" s="121"/>
      <c r="T45" s="121"/>
      <c r="U45" s="121"/>
      <c r="V45" s="1325"/>
      <c r="W45" s="192"/>
      <c r="X45" s="1549"/>
      <c r="Y45" s="1549"/>
      <c r="Z45" s="1550"/>
      <c r="AA45" s="62"/>
      <c r="AB45" s="137"/>
      <c r="AC45" s="137"/>
      <c r="AD45" s="1578"/>
      <c r="AE45" s="137"/>
      <c r="AF45" s="137"/>
      <c r="AG45" s="137"/>
      <c r="AH45" s="1578"/>
      <c r="AI45" s="1673"/>
      <c r="AJ45" s="1668"/>
      <c r="AK45" s="1668"/>
      <c r="AL45" s="1668"/>
      <c r="AM45" s="1668"/>
      <c r="AN45" s="1668"/>
      <c r="AO45" s="1668"/>
      <c r="AP45" s="1668"/>
      <c r="AQ45" s="1668"/>
      <c r="AR45" s="1668"/>
      <c r="AS45" s="1668"/>
      <c r="AT45" s="1672"/>
      <c r="AU45" s="1172"/>
      <c r="AV45" s="1168"/>
      <c r="AW45" s="1168"/>
      <c r="AX45" s="1168"/>
      <c r="AY45" s="1168"/>
      <c r="AZ45" s="1168"/>
      <c r="BA45" s="1168"/>
      <c r="BB45" s="1168"/>
      <c r="BC45" s="1168"/>
      <c r="BD45" s="1168"/>
      <c r="BE45" s="1168"/>
      <c r="BF45" s="1168"/>
    </row>
    <row r="46" spans="1:58" s="1230" customFormat="1" ht="18.75" customHeight="1">
      <c r="A46" s="1600"/>
      <c r="B46" s="1601"/>
      <c r="C46" s="1602" t="s">
        <v>1810</v>
      </c>
      <c r="D46" s="1603"/>
      <c r="E46" s="1603"/>
      <c r="F46" s="1603"/>
      <c r="G46" s="1221"/>
      <c r="H46" s="1221"/>
      <c r="I46" s="1221"/>
      <c r="J46" s="1221"/>
      <c r="K46" s="1415"/>
      <c r="L46" s="1223"/>
      <c r="M46" s="1223"/>
      <c r="N46" s="1223"/>
      <c r="O46" s="1223"/>
      <c r="P46" s="1223"/>
      <c r="Q46" s="1223"/>
      <c r="R46" s="1223"/>
      <c r="S46" s="1223"/>
      <c r="T46" s="1223"/>
      <c r="U46" s="1223"/>
      <c r="V46" s="1223"/>
      <c r="W46" s="1604"/>
      <c r="X46" s="1605"/>
      <c r="Y46" s="1605"/>
      <c r="Z46" s="1605"/>
      <c r="AA46" s="1605"/>
      <c r="AB46" s="1605"/>
      <c r="AC46" s="1605"/>
      <c r="AD46" s="1606">
        <v>0.91975910804919359</v>
      </c>
      <c r="AE46" s="1606">
        <v>1.0802287788144589</v>
      </c>
      <c r="AF46" s="1606">
        <v>1.0768923714802734</v>
      </c>
      <c r="AG46" s="1606">
        <v>1.0349498033237103</v>
      </c>
      <c r="AH46" s="1607">
        <v>1.4739281732454008</v>
      </c>
      <c r="AI46" s="1608">
        <v>0.86296850797679536</v>
      </c>
      <c r="AJ46" s="1609">
        <v>0.94281256826843862</v>
      </c>
      <c r="AK46" s="1609">
        <v>1.4778243112821845</v>
      </c>
      <c r="AL46" s="1609">
        <v>0.61403208895424399</v>
      </c>
      <c r="AM46" s="1609">
        <v>0.72523030349579054</v>
      </c>
      <c r="AN46" s="1609">
        <v>1.0427097839387063</v>
      </c>
      <c r="AO46" s="1609">
        <v>1.0974094002327746</v>
      </c>
      <c r="AP46" s="1610">
        <v>0.91975910804919359</v>
      </c>
      <c r="AQ46" s="1610">
        <v>1.0802287788144589</v>
      </c>
      <c r="AR46" s="1610">
        <v>1.0768923714802734</v>
      </c>
      <c r="AS46" s="1610">
        <v>1.0349498033237103</v>
      </c>
      <c r="AT46" s="1611">
        <v>1.4739281732454008</v>
      </c>
      <c r="AU46" s="1612">
        <v>0.86296850797679536</v>
      </c>
      <c r="AV46" s="1610">
        <v>0.94281256826843862</v>
      </c>
      <c r="AW46" s="1610">
        <v>1.4778243112821845</v>
      </c>
      <c r="AX46" s="1610">
        <v>0.61403208895424399</v>
      </c>
      <c r="AY46" s="1610">
        <v>0.72523030349579054</v>
      </c>
      <c r="AZ46" s="1610">
        <v>1.0427097839387063</v>
      </c>
      <c r="BA46" s="1610">
        <v>1.0974094002327746</v>
      </c>
      <c r="BB46" s="1610">
        <v>0.91975910804919359</v>
      </c>
      <c r="BC46" s="1610">
        <v>1.0802287788144589</v>
      </c>
      <c r="BD46" s="1610">
        <v>1.0768923714802734</v>
      </c>
      <c r="BE46" s="1610">
        <v>1.0349498033237103</v>
      </c>
      <c r="BF46" s="1610">
        <v>1.4739281732454008</v>
      </c>
    </row>
    <row r="47" spans="1:58" ht="18.75" customHeight="1">
      <c r="A47" s="1613"/>
      <c r="B47" s="163" t="s">
        <v>1390</v>
      </c>
      <c r="C47" s="163" t="s">
        <v>1815</v>
      </c>
      <c r="D47" s="163"/>
      <c r="E47" s="163"/>
      <c r="F47" s="163"/>
      <c r="G47" s="1675">
        <f>SUM(G29:G45)</f>
        <v>4976</v>
      </c>
      <c r="H47" s="1675">
        <f ca="1">SUM(H29:H45)</f>
        <v>2458.2059988955698</v>
      </c>
      <c r="I47" s="1616"/>
      <c r="J47" s="1616"/>
      <c r="K47" s="1625"/>
      <c r="L47" s="155">
        <v>0</v>
      </c>
      <c r="M47" s="155">
        <v>0</v>
      </c>
      <c r="N47" s="155">
        <v>0</v>
      </c>
      <c r="O47" s="155">
        <v>634.33447175811102</v>
      </c>
      <c r="P47" s="155">
        <v>660.88455817704255</v>
      </c>
      <c r="Q47" s="155">
        <v>679.15953143195748</v>
      </c>
      <c r="R47" s="155">
        <v>516.70663994021902</v>
      </c>
      <c r="S47" s="155">
        <v>457.37814869187599</v>
      </c>
      <c r="T47" s="155">
        <v>540</v>
      </c>
      <c r="U47" s="155">
        <v>570</v>
      </c>
      <c r="V47" s="155">
        <v>800</v>
      </c>
      <c r="W47" s="155">
        <v>620</v>
      </c>
      <c r="X47" s="155">
        <v>490</v>
      </c>
      <c r="Y47" s="155">
        <v>900</v>
      </c>
      <c r="Z47" s="155">
        <v>490</v>
      </c>
      <c r="AA47" s="155">
        <v>470</v>
      </c>
      <c r="AB47" s="155">
        <v>630</v>
      </c>
      <c r="AC47" s="155">
        <v>1010</v>
      </c>
      <c r="AD47" s="274">
        <v>790</v>
      </c>
      <c r="AE47" s="155">
        <v>1106</v>
      </c>
      <c r="AF47" s="155">
        <f>SUM(AF29:AF45)</f>
        <v>1236.1314311805995</v>
      </c>
      <c r="AG47" s="155">
        <f>SUM(AG29:AG45)</f>
        <v>940</v>
      </c>
      <c r="AH47" s="274">
        <f t="shared" ref="AH47:AM47" si="3">SUM(AH29:AH45)</f>
        <v>859.38888888888891</v>
      </c>
      <c r="AI47" s="1674">
        <f t="shared" si="3"/>
        <v>573</v>
      </c>
      <c r="AJ47" s="1675">
        <f t="shared" si="3"/>
        <v>632.25635528330736</v>
      </c>
      <c r="AK47" s="1675">
        <f t="shared" si="3"/>
        <v>803.12388973966301</v>
      </c>
      <c r="AL47" s="1675">
        <f t="shared" si="3"/>
        <v>824.60258446738442</v>
      </c>
      <c r="AM47" s="1675">
        <f t="shared" si="3"/>
        <v>897.531393568147</v>
      </c>
      <c r="AN47" s="1675">
        <f t="shared" ref="AN47:BF47" si="4">SUM(AN29:AN45)</f>
        <v>674.07396652501268</v>
      </c>
      <c r="AO47" s="1675">
        <f t="shared" si="4"/>
        <v>599.12055437428353</v>
      </c>
      <c r="AP47" s="1675">
        <f t="shared" si="4"/>
        <v>460.42822016674279</v>
      </c>
      <c r="AQ47" s="1675">
        <f t="shared" si="4"/>
        <v>594.53613146091107</v>
      </c>
      <c r="AR47" s="1675">
        <f t="shared" si="4"/>
        <v>804.12109289363275</v>
      </c>
      <c r="AS47" s="1675">
        <f t="shared" si="4"/>
        <v>783.67240292239444</v>
      </c>
      <c r="AT47" s="1676">
        <f t="shared" si="4"/>
        <v>1219.5866748127835</v>
      </c>
      <c r="AU47" s="1677">
        <f t="shared" si="4"/>
        <v>1076.3149705589944</v>
      </c>
      <c r="AV47" s="1678">
        <f t="shared" si="4"/>
        <v>931.91951117796282</v>
      </c>
      <c r="AW47" s="1678">
        <f t="shared" si="4"/>
        <v>1401.6484475205659</v>
      </c>
      <c r="AX47" s="1678">
        <f t="shared" si="4"/>
        <v>190</v>
      </c>
      <c r="AY47" s="1678">
        <f t="shared" si="4"/>
        <v>150</v>
      </c>
      <c r="AZ47" s="1678">
        <f t="shared" si="4"/>
        <v>150</v>
      </c>
      <c r="BA47" s="1678">
        <f t="shared" si="4"/>
        <v>150</v>
      </c>
      <c r="BB47" s="1678">
        <f t="shared" si="4"/>
        <v>250</v>
      </c>
      <c r="BC47" s="1678">
        <f t="shared" si="4"/>
        <v>0</v>
      </c>
      <c r="BD47" s="1678">
        <f t="shared" si="4"/>
        <v>0</v>
      </c>
      <c r="BE47" s="1678">
        <f t="shared" si="4"/>
        <v>0</v>
      </c>
      <c r="BF47" s="1678">
        <f t="shared" si="4"/>
        <v>0</v>
      </c>
    </row>
    <row r="48" spans="1:58" ht="18.75" customHeight="1">
      <c r="A48" s="1679"/>
      <c r="B48" s="163" t="s">
        <v>1392</v>
      </c>
      <c r="C48" s="1680"/>
      <c r="D48" s="1680"/>
      <c r="E48" s="163"/>
      <c r="F48" s="163"/>
      <c r="G48" s="1616"/>
      <c r="H48" s="1616"/>
      <c r="I48" s="1616"/>
      <c r="J48" s="1616"/>
      <c r="K48" s="1681"/>
      <c r="L48" s="1682"/>
      <c r="M48" s="1682"/>
      <c r="N48" s="185"/>
      <c r="O48" s="185"/>
      <c r="P48" s="185"/>
      <c r="Q48" s="185"/>
      <c r="R48" s="1630">
        <v>1022</v>
      </c>
      <c r="S48" s="1630">
        <v>903</v>
      </c>
      <c r="T48" s="1630">
        <v>943</v>
      </c>
      <c r="U48" s="1630">
        <v>1202</v>
      </c>
      <c r="V48" s="1630">
        <v>1994</v>
      </c>
      <c r="W48" s="1630">
        <v>1607</v>
      </c>
      <c r="X48" s="1630">
        <v>1110</v>
      </c>
      <c r="Y48" s="1683">
        <v>2007</v>
      </c>
      <c r="Z48" s="1683">
        <v>1689</v>
      </c>
      <c r="AA48" s="1683">
        <v>1529</v>
      </c>
      <c r="AB48" s="1683">
        <v>1614</v>
      </c>
      <c r="AC48" s="1630">
        <v>1812</v>
      </c>
      <c r="AD48" s="1631"/>
      <c r="AE48" s="1632"/>
      <c r="AF48" s="1632"/>
      <c r="AG48" s="1632"/>
      <c r="AH48" s="1631"/>
      <c r="AI48" s="1684"/>
      <c r="AJ48" s="1685"/>
      <c r="AK48" s="1685"/>
      <c r="AL48" s="1685">
        <v>3150</v>
      </c>
      <c r="AM48" s="1685"/>
      <c r="AN48" s="1685"/>
      <c r="AO48" s="1685"/>
      <c r="AP48" s="1685"/>
      <c r="AQ48" s="1685"/>
      <c r="AR48" s="1685"/>
      <c r="AS48" s="1685"/>
      <c r="AT48" s="1686"/>
      <c r="AU48" s="1687"/>
      <c r="AV48" s="1688"/>
      <c r="AW48" s="1688"/>
      <c r="AX48" s="1688"/>
      <c r="AY48" s="1688"/>
      <c r="AZ48" s="1688"/>
      <c r="BA48" s="1688"/>
      <c r="BB48" s="1688"/>
      <c r="BC48" s="1688"/>
      <c r="BD48" s="1688"/>
      <c r="BE48" s="1688"/>
      <c r="BF48" s="1688"/>
    </row>
    <row r="49" spans="1:58" ht="18.75" customHeight="1">
      <c r="A49" s="1689"/>
      <c r="B49" s="163" t="s">
        <v>1836</v>
      </c>
      <c r="C49" s="163"/>
      <c r="D49" s="163"/>
      <c r="E49" s="163"/>
      <c r="F49" s="163"/>
      <c r="G49" s="1616"/>
      <c r="H49" s="1690"/>
      <c r="I49" s="1690"/>
      <c r="J49" s="1690"/>
      <c r="K49" s="1691"/>
      <c r="L49" s="1692">
        <v>0</v>
      </c>
      <c r="M49" s="1692">
        <v>0</v>
      </c>
      <c r="N49" s="1693">
        <v>0</v>
      </c>
      <c r="O49" s="376">
        <v>969.12210963044743</v>
      </c>
      <c r="P49" s="376">
        <v>1470.5555605362711</v>
      </c>
      <c r="Q49" s="376">
        <v>1511.2197933529615</v>
      </c>
      <c r="R49" s="376">
        <v>1215.120187351245</v>
      </c>
      <c r="S49" s="376">
        <v>1247.0076956012917</v>
      </c>
      <c r="T49" s="376">
        <v>1273.5685686818651</v>
      </c>
      <c r="U49" s="376">
        <v>1629.3042173327076</v>
      </c>
      <c r="V49" s="376">
        <v>1947.2090970965858</v>
      </c>
      <c r="W49" s="376">
        <v>1706.3177203713276</v>
      </c>
      <c r="X49" s="376">
        <v>1352</v>
      </c>
      <c r="Y49" s="376">
        <v>2240.2556427377931</v>
      </c>
      <c r="Z49" s="376">
        <v>1894.7616006811409</v>
      </c>
      <c r="AA49" s="376">
        <v>1946.6299100251113</v>
      </c>
      <c r="AB49" s="376">
        <v>2847.375</v>
      </c>
      <c r="AC49" s="376">
        <v>3871.0680871626046</v>
      </c>
      <c r="AD49" s="1617">
        <v>3518.5363309463437</v>
      </c>
      <c r="AE49" s="155">
        <v>4095.6070219931398</v>
      </c>
      <c r="AF49" s="155">
        <v>4000.7697924045192</v>
      </c>
      <c r="AG49" s="155">
        <f>AG27+AG47</f>
        <v>3231.8672594692298</v>
      </c>
      <c r="AH49" s="274">
        <f t="shared" ref="AH49:AM49" si="5">AH27+AH47</f>
        <v>3404.6666666666661</v>
      </c>
      <c r="AI49" s="1674">
        <f t="shared" si="5"/>
        <v>2031.0192836145916</v>
      </c>
      <c r="AJ49" s="1675">
        <f t="shared" si="5"/>
        <v>2397.7971503988269</v>
      </c>
      <c r="AK49" s="1675">
        <f t="shared" si="5"/>
        <v>3141.1505978882506</v>
      </c>
      <c r="AL49" s="1675">
        <f t="shared" si="5"/>
        <v>2753.8483272042918</v>
      </c>
      <c r="AM49" s="1675">
        <f t="shared" si="5"/>
        <v>2717.531393568147</v>
      </c>
      <c r="AN49" s="1675">
        <f t="shared" ref="AN49:BF49" si="6">AN27+AN47</f>
        <v>2613.6450593427003</v>
      </c>
      <c r="AO49" s="1675">
        <f t="shared" si="6"/>
        <v>2695.7978258727089</v>
      </c>
      <c r="AP49" s="1675">
        <f t="shared" si="6"/>
        <v>2476.7230377872811</v>
      </c>
      <c r="AQ49" s="1675">
        <f t="shared" si="6"/>
        <v>2236.944234740095</v>
      </c>
      <c r="AR49" s="1675">
        <f t="shared" si="6"/>
        <v>2221.8705006668051</v>
      </c>
      <c r="AS49" s="1675">
        <f t="shared" si="6"/>
        <v>2230.2310429049658</v>
      </c>
      <c r="AT49" s="1676">
        <f t="shared" si="6"/>
        <v>3621.5384118161282</v>
      </c>
      <c r="AU49" s="1677">
        <f t="shared" si="6"/>
        <v>2974.1137931764133</v>
      </c>
      <c r="AV49" s="1678">
        <f t="shared" si="6"/>
        <v>2654.5403897668616</v>
      </c>
      <c r="AW49" s="1678">
        <f t="shared" si="6"/>
        <v>3653.9570343466121</v>
      </c>
      <c r="AX49" s="1678">
        <f t="shared" si="6"/>
        <v>221.32751623400677</v>
      </c>
      <c r="AY49" s="1678">
        <f t="shared" si="6"/>
        <v>150</v>
      </c>
      <c r="AZ49" s="1678">
        <f t="shared" si="6"/>
        <v>150</v>
      </c>
      <c r="BA49" s="1678">
        <f t="shared" si="6"/>
        <v>150</v>
      </c>
      <c r="BB49" s="1678">
        <f t="shared" si="6"/>
        <v>250</v>
      </c>
      <c r="BC49" s="1678">
        <f t="shared" si="6"/>
        <v>0</v>
      </c>
      <c r="BD49" s="1678">
        <f t="shared" si="6"/>
        <v>0</v>
      </c>
      <c r="BE49" s="1678">
        <f t="shared" si="6"/>
        <v>0</v>
      </c>
      <c r="BF49" s="1678">
        <f t="shared" si="6"/>
        <v>0</v>
      </c>
    </row>
    <row r="50" spans="1:58" ht="18.75" customHeight="1" thickBot="1">
      <c r="A50" s="1694"/>
      <c r="B50" s="1695" t="s">
        <v>1394</v>
      </c>
      <c r="C50" s="1696"/>
      <c r="D50" s="1696"/>
      <c r="E50" s="1695"/>
      <c r="F50" s="1697"/>
      <c r="G50" s="1698"/>
      <c r="H50" s="1699"/>
      <c r="I50" s="1699"/>
      <c r="J50" s="1699"/>
      <c r="K50" s="1700"/>
      <c r="L50" s="1701"/>
      <c r="M50" s="1701"/>
      <c r="N50" s="1701"/>
      <c r="O50" s="1702"/>
      <c r="P50" s="1703"/>
      <c r="Q50" s="1703"/>
      <c r="R50" s="1704">
        <v>2885.3883001336967</v>
      </c>
      <c r="S50" s="1704">
        <v>2694.1562435075539</v>
      </c>
      <c r="T50" s="1704">
        <v>2678.8933027107828</v>
      </c>
      <c r="U50" s="1704">
        <v>3061.1044128420244</v>
      </c>
      <c r="V50" s="1704">
        <v>5061.1798503177079</v>
      </c>
      <c r="W50" s="1704">
        <v>4441.3360649639981</v>
      </c>
      <c r="X50" s="1704">
        <v>3152.8383073069936</v>
      </c>
      <c r="Y50" s="1704">
        <v>5548.7691502528769</v>
      </c>
      <c r="Z50" s="1704">
        <v>4669.4984588960642</v>
      </c>
      <c r="AA50" s="1704">
        <v>4227.1283159316481</v>
      </c>
      <c r="AB50" s="1704">
        <v>4462.4140887238882</v>
      </c>
      <c r="AC50" s="1704">
        <v>5010.2935044127644</v>
      </c>
      <c r="AD50" s="1705">
        <v>3368.9840101085174</v>
      </c>
      <c r="AE50" s="1705">
        <v>3102.1928797265441</v>
      </c>
      <c r="AF50" s="1705">
        <v>3047.2423794642309</v>
      </c>
      <c r="AG50" s="1705">
        <v>3392.6890252102403</v>
      </c>
      <c r="AH50" s="1706">
        <v>5338.5531362078655</v>
      </c>
      <c r="AI50" s="1707">
        <v>4834.0466798762864</v>
      </c>
      <c r="AJ50" s="1708">
        <v>3627.6569488239702</v>
      </c>
      <c r="AK50" s="1708">
        <v>5050.413841319827</v>
      </c>
      <c r="AL50" s="1708">
        <v>3962.2541760071813</v>
      </c>
      <c r="AM50" s="1708">
        <v>3376.3535670812016</v>
      </c>
      <c r="AN50" s="1708">
        <v>3532.6821321320831</v>
      </c>
      <c r="AO50" s="1709">
        <v>4078.9154963089036</v>
      </c>
      <c r="AP50" s="1710"/>
      <c r="AQ50" s="1710"/>
      <c r="AR50" s="1710"/>
      <c r="AS50" s="1710"/>
      <c r="AT50" s="1711"/>
      <c r="AU50" s="1712"/>
      <c r="AV50" s="1713"/>
      <c r="AW50" s="1713"/>
      <c r="AX50" s="1713"/>
      <c r="AY50" s="1713"/>
      <c r="AZ50" s="1713"/>
      <c r="BA50" s="1713"/>
      <c r="BB50" s="1713"/>
      <c r="BC50" s="1713"/>
      <c r="BD50" s="1713"/>
      <c r="BE50" s="1713"/>
      <c r="BF50" s="1713"/>
    </row>
    <row r="51" spans="1:58" ht="18.75" customHeight="1">
      <c r="A51" s="1714"/>
      <c r="B51" s="1715" t="s">
        <v>1728</v>
      </c>
      <c r="C51" s="1715" t="s">
        <v>10</v>
      </c>
      <c r="D51" s="1715" t="s">
        <v>11</v>
      </c>
      <c r="E51" s="1715" t="s">
        <v>12</v>
      </c>
      <c r="F51" s="1716" t="s">
        <v>13</v>
      </c>
      <c r="G51" s="1716" t="s">
        <v>14</v>
      </c>
      <c r="H51" s="1717" t="s">
        <v>15</v>
      </c>
      <c r="I51" s="1717"/>
      <c r="J51" s="1717"/>
      <c r="K51" s="1718"/>
      <c r="L51" s="1719">
        <v>45323</v>
      </c>
      <c r="M51" s="1719">
        <v>45352</v>
      </c>
      <c r="N51" s="1719">
        <v>45383</v>
      </c>
      <c r="O51" s="1720">
        <v>45413</v>
      </c>
      <c r="P51" s="1721">
        <v>45444</v>
      </c>
      <c r="Q51" s="1721">
        <v>45474</v>
      </c>
      <c r="R51" s="1721">
        <v>45505</v>
      </c>
      <c r="S51" s="1721">
        <v>45536</v>
      </c>
      <c r="T51" s="1721">
        <v>45566</v>
      </c>
      <c r="U51" s="1721">
        <v>45597</v>
      </c>
      <c r="V51" s="1721">
        <v>45627</v>
      </c>
      <c r="W51" s="1722">
        <v>45658</v>
      </c>
      <c r="X51" s="1723">
        <v>45689</v>
      </c>
      <c r="Y51" s="1723">
        <v>45717</v>
      </c>
      <c r="Z51" s="1724">
        <v>45748</v>
      </c>
      <c r="AA51" s="1725">
        <v>45778</v>
      </c>
      <c r="AB51" s="1725">
        <v>45809</v>
      </c>
      <c r="AC51" s="1725">
        <v>45839</v>
      </c>
      <c r="AD51" s="1726">
        <v>45870</v>
      </c>
      <c r="AE51" s="1725">
        <v>45901</v>
      </c>
      <c r="AF51" s="1725">
        <v>45931</v>
      </c>
      <c r="AG51" s="1725">
        <v>45962</v>
      </c>
      <c r="AH51" s="1727">
        <v>45992</v>
      </c>
      <c r="AI51" s="1728">
        <v>46023</v>
      </c>
      <c r="AJ51" s="1729">
        <v>46054</v>
      </c>
      <c r="AK51" s="1729">
        <v>46082</v>
      </c>
      <c r="AL51" s="1729">
        <v>46113</v>
      </c>
      <c r="AM51" s="1729">
        <v>46143</v>
      </c>
      <c r="AN51" s="1729">
        <v>46174</v>
      </c>
      <c r="AO51" s="1729">
        <v>46204</v>
      </c>
      <c r="AP51" s="1729">
        <v>46235</v>
      </c>
      <c r="AQ51" s="1729">
        <v>46266</v>
      </c>
      <c r="AR51" s="1729">
        <v>46296</v>
      </c>
      <c r="AS51" s="1473">
        <v>46327</v>
      </c>
      <c r="AT51" s="1729">
        <v>46357</v>
      </c>
      <c r="AU51" s="1729">
        <v>46388</v>
      </c>
      <c r="AV51" s="1476">
        <v>46419</v>
      </c>
      <c r="AW51" s="920">
        <v>46447</v>
      </c>
      <c r="AX51" s="920">
        <v>46478</v>
      </c>
      <c r="AY51" s="920">
        <v>46508</v>
      </c>
      <c r="AZ51" s="920">
        <v>46539</v>
      </c>
      <c r="BA51" s="920">
        <v>46569</v>
      </c>
      <c r="BB51" s="920">
        <v>46600</v>
      </c>
      <c r="BC51" s="920">
        <v>46631</v>
      </c>
      <c r="BD51" s="920">
        <v>46661</v>
      </c>
      <c r="BE51" s="920">
        <v>46692</v>
      </c>
      <c r="BF51" s="920">
        <v>46722</v>
      </c>
    </row>
    <row r="52" spans="1:58" ht="18.75" customHeight="1">
      <c r="A52" s="1067" t="s">
        <v>1649</v>
      </c>
      <c r="B52" s="100" t="s">
        <v>850</v>
      </c>
      <c r="C52" s="100" t="s">
        <v>847</v>
      </c>
      <c r="D52" s="108" t="s">
        <v>1816</v>
      </c>
      <c r="E52" s="102" t="s">
        <v>1506</v>
      </c>
      <c r="F52" s="87"/>
      <c r="G52" s="74" cm="1">
        <f t="array" ref="G52:G104">IF($C52:$C104="","",SUMIF(マスタ_EOLリスト[[製品型番]:[製品型番]],$C52:$C104,マスタ_EOLリスト[[在庫+注残]:[在庫+注残]]))</f>
        <v>177</v>
      </c>
      <c r="H52" s="499">
        <f ca="1">_xlfn.LET(_xlpm._今月から4ヶ月計画合計,
  SUM(
    OFFSET($A52,0,
      MATCH(
        EDATE(基準データ!$C$5,3),$A$1:$BD$1,1
      )-4,1,4)),
  IF($C52="","",_xlpm._今月から4ヶ月計画合計
)
)</f>
        <v>0</v>
      </c>
      <c r="I52" s="499">
        <f>IF($C52="","",
_xlfn.LET(
  _xlpm._見出し範囲,$L$1:$BF$1,
  _xlpm._行範囲,$L52:$BF52,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0</v>
      </c>
      <c r="J52" s="499">
        <f>IF($C52="","",
_xlfn.LET(
  _xlpm._見出し範囲,'在庫使用計画 (法人)'!$L$1:$BF$1,
  _xlpm._行範囲,'在庫使用計画 (法人)'!$L52:$BF52,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127.16129032258064</v>
      </c>
      <c r="K52" s="1413" t="str" cm="1">
        <f t="array" ref="K52:K104">IF($C52:$C104="","",_xlfn.XLOOKUP($C52:$C104,'在庫使用計画 (ノート全体試算)'!C:C,'在庫使用計画 (ノート全体試算)'!K:K))</f>
        <v>合計128、在庫+注残177のため不足</v>
      </c>
      <c r="L52" s="65"/>
      <c r="M52" s="65"/>
      <c r="N52" s="65"/>
      <c r="O52" s="65"/>
      <c r="P52" s="65"/>
      <c r="Q52" s="65"/>
      <c r="R52" s="65"/>
      <c r="S52" s="65"/>
      <c r="T52" s="65"/>
      <c r="U52" s="65"/>
      <c r="V52" s="371"/>
      <c r="W52" s="192"/>
      <c r="X52" s="192"/>
      <c r="Y52" s="192"/>
      <c r="Z52" s="192"/>
      <c r="AA52" s="354"/>
      <c r="AB52" s="192"/>
      <c r="AC52" s="192"/>
      <c r="AD52" s="192"/>
      <c r="AE52" s="192"/>
      <c r="AF52" s="192"/>
      <c r="AG52" s="192"/>
      <c r="AH52" s="1730"/>
      <c r="AI52" s="1731"/>
      <c r="AJ52" s="1193"/>
      <c r="AK52" s="1193"/>
      <c r="AL52" s="1193"/>
      <c r="AM52" s="1193"/>
      <c r="AN52" s="1193"/>
      <c r="AO52" s="1193"/>
      <c r="AP52" s="1193"/>
      <c r="AQ52" s="1193"/>
      <c r="AR52" s="1193"/>
      <c r="AS52" s="1193"/>
      <c r="AT52" s="1732"/>
      <c r="AU52" s="1733"/>
      <c r="AV52" s="1193"/>
      <c r="AW52" s="1193"/>
      <c r="AX52" s="1193"/>
      <c r="AY52" s="1193"/>
      <c r="AZ52" s="1193"/>
      <c r="BA52" s="1193"/>
      <c r="BB52" s="1193"/>
      <c r="BC52" s="1193"/>
      <c r="BD52" s="1193"/>
      <c r="BE52" s="1193"/>
      <c r="BF52" s="1193"/>
    </row>
    <row r="53" spans="1:58" ht="18.75" customHeight="1">
      <c r="A53" s="1067" t="s">
        <v>1649</v>
      </c>
      <c r="B53" s="100" t="s">
        <v>857</v>
      </c>
      <c r="C53" s="100" t="s">
        <v>854</v>
      </c>
      <c r="D53" s="108" t="s">
        <v>1816</v>
      </c>
      <c r="E53" s="102" t="s">
        <v>1507</v>
      </c>
      <c r="F53" s="87"/>
      <c r="G53" s="499">
        <v>36</v>
      </c>
      <c r="H53" s="499">
        <f ca="1">_xlfn.LET(_xlpm._今月から4ヶ月計画合計,
  SUM(
    OFFSET($A53,0,
      MATCH(
        EDATE(基準データ!$C$5,3),$A$1:$BD$1,1
      )-4,1,4)),
  IF($C53="","",_xlpm._今月から4ヶ月計画合計
)
)</f>
        <v>0</v>
      </c>
      <c r="I53" s="499">
        <f>IF($C53="","",
_xlfn.LET(
  _xlpm._見出し範囲,$L$1:$BF$1,
  _xlpm._行範囲,$L53:$BF53,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0</v>
      </c>
      <c r="J53" s="499">
        <f>IF($C53="","",
_xlfn.LET(
  _xlpm._見出し範囲,'在庫使用計画 (法人)'!$L$1:$BF$1,
  _xlpm._行範囲,'在庫使用計画 (法人)'!$L53:$BF53,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5.6129032258064511</v>
      </c>
      <c r="K53" s="1413" t="str">
        <v>合計6、在庫+注残36のため不足</v>
      </c>
      <c r="L53" s="65"/>
      <c r="M53" s="65"/>
      <c r="N53" s="65"/>
      <c r="O53" s="65"/>
      <c r="P53" s="65"/>
      <c r="Q53" s="65"/>
      <c r="R53" s="65"/>
      <c r="S53" s="65"/>
      <c r="T53" s="65"/>
      <c r="U53" s="65"/>
      <c r="V53" s="371"/>
      <c r="W53" s="192"/>
      <c r="X53" s="192"/>
      <c r="Y53" s="192"/>
      <c r="Z53" s="192"/>
      <c r="AA53" s="354"/>
      <c r="AB53" s="192"/>
      <c r="AC53" s="310"/>
      <c r="AD53" s="310"/>
      <c r="AE53" s="310"/>
      <c r="AF53" s="310"/>
      <c r="AG53" s="310"/>
      <c r="AH53" s="1734"/>
      <c r="AI53" s="1735"/>
      <c r="AJ53" s="1736"/>
      <c r="AK53" s="1736"/>
      <c r="AL53" s="1193"/>
      <c r="AM53" s="1193"/>
      <c r="AN53" s="1193"/>
      <c r="AO53" s="1193"/>
      <c r="AP53" s="1193"/>
      <c r="AQ53" s="1193"/>
      <c r="AR53" s="1193"/>
      <c r="AS53" s="1193"/>
      <c r="AT53" s="1270"/>
      <c r="AU53" s="1193"/>
      <c r="AV53" s="1193"/>
      <c r="AW53" s="1193"/>
      <c r="AX53" s="1193"/>
      <c r="AY53" s="1193"/>
      <c r="AZ53" s="1193"/>
      <c r="BA53" s="1193"/>
      <c r="BB53" s="1193"/>
      <c r="BC53" s="1193"/>
      <c r="BD53" s="1193"/>
      <c r="BE53" s="1193"/>
      <c r="BF53" s="1193"/>
    </row>
    <row r="54" spans="1:58" ht="18.75" customHeight="1">
      <c r="A54" s="1067" t="s">
        <v>1649</v>
      </c>
      <c r="B54" s="100" t="s">
        <v>588</v>
      </c>
      <c r="C54" s="100" t="s">
        <v>586</v>
      </c>
      <c r="D54" s="87" t="s">
        <v>1723</v>
      </c>
      <c r="E54" s="87">
        <v>5060</v>
      </c>
      <c r="F54" s="87"/>
      <c r="G54" s="499">
        <v>230</v>
      </c>
      <c r="H54" s="499">
        <f ca="1">_xlfn.LET(_xlpm._今月から4ヶ月計画合計,
  SUM(
    OFFSET($A54,0,
      MATCH(
        EDATE(基準データ!$C$5,3),$A$1:$BD$1,1
      )-4,1,4)),
  IF($C54="","",_xlpm._今月から4ヶ月計画合計
)
)</f>
        <v>0</v>
      </c>
      <c r="I54" s="499">
        <f>IF($C54="","",
_xlfn.LET(
  _xlpm._見出し範囲,$L$1:$BF$1,
  _xlpm._行範囲,$L54:$BF54,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0</v>
      </c>
      <c r="J54" s="499">
        <f>IF($C54="","",
_xlfn.LET(
  _xlpm._見出し範囲,'在庫使用計画 (法人)'!$L$1:$BF$1,
  _xlpm._行範囲,'在庫使用計画 (法人)'!$L54:$BF54,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2712.9032258064517</v>
      </c>
      <c r="K54" s="1413">
        <v>46235</v>
      </c>
      <c r="L54" s="65"/>
      <c r="M54" s="422"/>
      <c r="N54" s="422"/>
      <c r="O54" s="422"/>
      <c r="P54" s="422"/>
      <c r="Q54" s="422"/>
      <c r="R54" s="422"/>
      <c r="S54" s="422"/>
      <c r="T54" s="422"/>
      <c r="U54" s="422"/>
      <c r="V54" s="422"/>
      <c r="W54" s="290"/>
      <c r="X54" s="348"/>
      <c r="Y54" s="348"/>
      <c r="Z54" s="1737"/>
      <c r="AA54" s="361"/>
      <c r="AB54" s="361"/>
      <c r="AC54" s="217"/>
      <c r="AD54" s="217"/>
      <c r="AE54" s="217"/>
      <c r="AF54" s="217"/>
      <c r="AG54" s="217"/>
      <c r="AH54" s="1738"/>
      <c r="AI54" s="1739"/>
      <c r="AJ54" s="1193"/>
      <c r="AK54" s="1193"/>
      <c r="AL54" s="1193"/>
      <c r="AM54" s="1193"/>
      <c r="AN54" s="1193"/>
      <c r="AO54" s="1193"/>
      <c r="AP54" s="1193"/>
      <c r="AQ54" s="1193"/>
      <c r="AR54" s="1193"/>
      <c r="AS54" s="1193"/>
      <c r="AT54" s="1270"/>
      <c r="AU54" s="1193"/>
      <c r="AV54" s="1193"/>
      <c r="AW54" s="1193"/>
      <c r="AX54" s="1193"/>
      <c r="AY54" s="1193"/>
      <c r="AZ54" s="1193"/>
      <c r="BA54" s="1193"/>
      <c r="BB54" s="1193"/>
      <c r="BC54" s="1193"/>
      <c r="BD54" s="1193"/>
      <c r="BE54" s="1193"/>
      <c r="BF54" s="1193"/>
    </row>
    <row r="55" spans="1:58" ht="18.75" customHeight="1">
      <c r="A55" s="1740"/>
      <c r="B55" s="100"/>
      <c r="C55" s="100"/>
      <c r="D55" s="305"/>
      <c r="E55" s="87"/>
      <c r="F55" s="87"/>
      <c r="G55" s="1548" t="str">
        <v/>
      </c>
      <c r="H55" s="499" t="str">
        <f ca="1">_xlfn.LET(_xlpm._今月から4ヶ月計画合計,
  SUM(
    OFFSET($A55,0,
      MATCH(
        EDATE(基準データ!$C$5,3),$A$1:$BD$1,1
      )-4,1,4)),
  IF($C55="","",_xlpm._今月から4ヶ月計画合計
)
)</f>
        <v/>
      </c>
      <c r="I55" s="499" t="str">
        <f>IF($C55="","",
_xlfn.LET(
  _xlpm._見出し範囲,$L$1:$BF$1,
  _xlpm._行範囲,$L55:$BF55,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
      </c>
      <c r="J55" s="499" t="str">
        <f>IF($C55="","",
_xlfn.LET(
  _xlpm._見出し範囲,'在庫使用計画 (法人)'!$L$1:$BF$1,
  _xlpm._行範囲,'在庫使用計画 (法人)'!$L55:$BF55,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
      </c>
      <c r="K55" s="1413" t="str">
        <v/>
      </c>
      <c r="L55" s="65"/>
      <c r="M55" s="422"/>
      <c r="N55" s="422"/>
      <c r="O55" s="422"/>
      <c r="P55" s="422"/>
      <c r="Q55" s="422"/>
      <c r="R55" s="422"/>
      <c r="S55" s="422"/>
      <c r="T55" s="422"/>
      <c r="U55" s="422"/>
      <c r="V55" s="422"/>
      <c r="W55" s="290"/>
      <c r="X55" s="348"/>
      <c r="Y55" s="348"/>
      <c r="Z55" s="1737"/>
      <c r="AA55" s="361"/>
      <c r="AB55" s="361"/>
      <c r="AC55" s="64"/>
      <c r="AD55" s="377"/>
      <c r="AE55" s="217"/>
      <c r="AF55" s="217"/>
      <c r="AG55" s="217"/>
      <c r="AH55" s="1738"/>
      <c r="AI55" s="1739"/>
      <c r="AJ55" s="1193"/>
      <c r="AK55" s="1193"/>
      <c r="AL55" s="1193"/>
      <c r="AM55" s="1193"/>
      <c r="AN55" s="1193"/>
      <c r="AO55" s="1193"/>
      <c r="AP55" s="1193"/>
      <c r="AQ55" s="1193"/>
      <c r="AR55" s="1193"/>
      <c r="AS55" s="1193"/>
      <c r="AT55" s="1270"/>
      <c r="AU55" s="1193"/>
      <c r="AV55" s="1193"/>
      <c r="AW55" s="1193"/>
      <c r="AX55" s="1193"/>
      <c r="AY55" s="1193"/>
      <c r="AZ55" s="1193"/>
      <c r="BA55" s="1193"/>
      <c r="BB55" s="1193"/>
      <c r="BC55" s="1193"/>
      <c r="BD55" s="1193"/>
      <c r="BE55" s="1193"/>
      <c r="BF55" s="1193"/>
    </row>
    <row r="56" spans="1:58" ht="18.75" customHeight="1">
      <c r="A56" s="1741" t="s">
        <v>1403</v>
      </c>
      <c r="B56" s="304" t="s">
        <v>1404</v>
      </c>
      <c r="C56" s="304" t="s">
        <v>623</v>
      </c>
      <c r="D56" s="304" t="s">
        <v>1405</v>
      </c>
      <c r="E56" s="108" t="s">
        <v>438</v>
      </c>
      <c r="F56" s="1652"/>
      <c r="G56" s="1641">
        <v>436</v>
      </c>
      <c r="H56" s="499">
        <f ca="1">_xlfn.LET(_xlpm._今月から4ヶ月計画合計,
  SUM(
    OFFSET($A56,0,
      MATCH(
        EDATE(基準データ!$C$5,3),$A$1:$BD$1,1
      )-4,1,4)),
  IF($C56="","",_xlpm._今月から4ヶ月計画合計
)
)</f>
        <v>140</v>
      </c>
      <c r="I56" s="499">
        <f>IF($C56="","",
_xlfn.LET(
  _xlpm._見出し範囲,$L$1:$BF$1,
  _xlpm._行範囲,$L56:$BF56,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387.41935483870969</v>
      </c>
      <c r="J56" s="499">
        <f>IF($C56="","",
_xlfn.LET(
  _xlpm._見出し範囲,'在庫使用計画 (法人)'!$L$1:$BF$1,
  _xlpm._行範囲,'在庫使用計画 (法人)'!$L56:$BF56,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36.709677419354833</v>
      </c>
      <c r="K56" s="1413">
        <v>46419</v>
      </c>
      <c r="L56" s="1742"/>
      <c r="M56" s="1742"/>
      <c r="N56" s="1742"/>
      <c r="O56" s="1743"/>
      <c r="P56" s="1742"/>
      <c r="Q56" s="1742"/>
      <c r="R56" s="1742"/>
      <c r="S56" s="1742"/>
      <c r="T56" s="1744">
        <v>30</v>
      </c>
      <c r="U56" s="1744">
        <v>30</v>
      </c>
      <c r="V56" s="1550">
        <v>20</v>
      </c>
      <c r="W56" s="1549"/>
      <c r="X56" s="1745"/>
      <c r="Y56" s="1745"/>
      <c r="Z56" s="1746"/>
      <c r="AA56" s="62"/>
      <c r="AB56" s="1283"/>
      <c r="AC56" s="1283"/>
      <c r="AD56" s="479"/>
      <c r="AE56" s="62"/>
      <c r="AF56" s="62"/>
      <c r="AG56" s="62"/>
      <c r="AH56" s="1747"/>
      <c r="AI56" s="1739">
        <v>10</v>
      </c>
      <c r="AJ56" s="1168">
        <v>30</v>
      </c>
      <c r="AK56" s="1168">
        <v>40</v>
      </c>
      <c r="AL56" s="1168">
        <v>30</v>
      </c>
      <c r="AM56" s="1168">
        <v>20</v>
      </c>
      <c r="AN56" s="1168">
        <v>20</v>
      </c>
      <c r="AO56" s="1168">
        <v>40</v>
      </c>
      <c r="AP56" s="1168">
        <v>30</v>
      </c>
      <c r="AQ56" s="1168">
        <v>30</v>
      </c>
      <c r="AR56" s="1168">
        <v>40</v>
      </c>
      <c r="AS56" s="1168">
        <v>40</v>
      </c>
      <c r="AT56" s="1664">
        <v>60</v>
      </c>
      <c r="AU56" s="1168">
        <v>50</v>
      </c>
      <c r="AV56" s="1168">
        <v>40</v>
      </c>
      <c r="AW56" s="1168">
        <v>60</v>
      </c>
      <c r="AX56" s="1168"/>
      <c r="AY56" s="1168"/>
      <c r="AZ56" s="1168"/>
      <c r="BA56" s="1168"/>
      <c r="BB56" s="1168"/>
      <c r="BC56" s="1168"/>
      <c r="BD56" s="1168"/>
      <c r="BE56" s="1168"/>
      <c r="BF56" s="1168"/>
    </row>
    <row r="57" spans="1:58" ht="18.75" customHeight="1">
      <c r="A57" s="1741"/>
      <c r="B57" s="1748"/>
      <c r="C57" s="1748"/>
      <c r="D57" s="1748"/>
      <c r="E57" s="1748"/>
      <c r="F57" s="1652"/>
      <c r="G57" s="1641" t="str">
        <v/>
      </c>
      <c r="H57" s="499" t="str">
        <f ca="1">_xlfn.LET(_xlpm._今月から4ヶ月計画合計,
  SUM(
    OFFSET($A57,0,
      MATCH(
        EDATE(基準データ!$C$5,3),$A$1:$BD$1,1
      )-4,1,4)),
  IF($C57="","",_xlpm._今月から4ヶ月計画合計
)
)</f>
        <v/>
      </c>
      <c r="I57" s="499" t="str">
        <f>IF($C57="","",
_xlfn.LET(
  _xlpm._見出し範囲,$L$1:$BF$1,
  _xlpm._行範囲,$L57:$BF57,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
      </c>
      <c r="J57" s="499" t="str">
        <f>IF($C57="","",
_xlfn.LET(
  _xlpm._見出し範囲,'在庫使用計画 (法人)'!$L$1:$BF$1,
  _xlpm._行範囲,'在庫使用計画 (法人)'!$L57:$BF57,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
      </c>
      <c r="K57" s="1413" t="str">
        <v/>
      </c>
      <c r="L57" s="1749"/>
      <c r="M57" s="1749"/>
      <c r="N57" s="1749"/>
      <c r="O57" s="1750"/>
      <c r="P57" s="1751"/>
      <c r="Q57" s="1751"/>
      <c r="R57" s="1751"/>
      <c r="S57" s="1751"/>
      <c r="T57" s="1751"/>
      <c r="U57" s="1751"/>
      <c r="V57" s="1752"/>
      <c r="W57" s="1753"/>
      <c r="X57" s="1754"/>
      <c r="Y57" s="1754"/>
      <c r="Z57" s="1755"/>
      <c r="AA57" s="1756"/>
      <c r="AB57" s="1757"/>
      <c r="AC57" s="1757"/>
      <c r="AD57" s="1758"/>
      <c r="AE57" s="1756"/>
      <c r="AF57" s="1756"/>
      <c r="AG57" s="1756"/>
      <c r="AH57" s="1759"/>
      <c r="AI57" s="1760"/>
      <c r="AJ57" s="1761"/>
      <c r="AK57" s="1761"/>
      <c r="AL57" s="1761"/>
      <c r="AM57" s="1761"/>
      <c r="AN57" s="1761"/>
      <c r="AO57" s="1761"/>
      <c r="AP57" s="1761"/>
      <c r="AQ57" s="1761"/>
      <c r="AR57" s="1761"/>
      <c r="AS57" s="1761"/>
      <c r="AT57" s="1762"/>
      <c r="AU57" s="1168"/>
      <c r="AV57" s="1168"/>
      <c r="AW57" s="1168"/>
      <c r="AX57" s="1168"/>
      <c r="AY57" s="1168"/>
      <c r="AZ57" s="1168"/>
      <c r="BA57" s="1168"/>
      <c r="BB57" s="1168"/>
      <c r="BC57" s="1168"/>
      <c r="BD57" s="1168"/>
      <c r="BE57" s="1168"/>
      <c r="BF57" s="1168"/>
    </row>
    <row r="58" spans="1:58" ht="18.75" customHeight="1">
      <c r="A58" s="1073" t="s">
        <v>1650</v>
      </c>
      <c r="B58" s="1126" t="s">
        <v>561</v>
      </c>
      <c r="C58" s="717" t="s">
        <v>551</v>
      </c>
      <c r="D58" s="717" t="s">
        <v>1448</v>
      </c>
      <c r="E58" s="1126" t="s">
        <v>438</v>
      </c>
      <c r="F58" s="1773"/>
      <c r="G58" s="1641">
        <v>168</v>
      </c>
      <c r="H58" s="499">
        <f ca="1">_xlfn.LET(_xlpm._今月から4ヶ月計画合計,
  SUM(
    OFFSET($A58,0,
      MATCH(
        EDATE(基準データ!$C$5,3),$A$1:$BD$1,1
      )-4,1,4)),
  IF($C58="","",_xlpm._今月から4ヶ月計画合計
)
)</f>
        <v>68</v>
      </c>
      <c r="I58" s="499">
        <f>IF($C58="","",
_xlfn.LET(
  _xlpm._見出し範囲,$L$1:$BF$1,
  _xlpm._行範囲,$L58:$BF58,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139.7741935483871</v>
      </c>
      <c r="J58" s="499">
        <f>IF($C58="","",
_xlfn.LET(
  _xlpm._見出し範囲,'在庫使用計画 (法人)'!$L$1:$BF$1,
  _xlpm._行範囲,'在庫使用計画 (法人)'!$L58:$BF58,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18.548387096774192</v>
      </c>
      <c r="K58" s="1413">
        <v>46388</v>
      </c>
      <c r="L58" s="1497"/>
      <c r="M58" s="1497"/>
      <c r="N58" s="1498"/>
      <c r="O58" s="422"/>
      <c r="P58" s="422"/>
      <c r="Q58" s="422"/>
      <c r="R58" s="422"/>
      <c r="S58" s="422"/>
      <c r="T58" s="422"/>
      <c r="U58" s="422"/>
      <c r="V58" s="422"/>
      <c r="W58" s="361"/>
      <c r="X58" s="361"/>
      <c r="Y58" s="361"/>
      <c r="Z58" s="361"/>
      <c r="AA58" s="361"/>
      <c r="AB58" s="361"/>
      <c r="AC58" s="361"/>
      <c r="AD58" s="361"/>
      <c r="AE58" s="224"/>
      <c r="AF58" s="224"/>
      <c r="AG58" s="224"/>
      <c r="AH58" s="1774"/>
      <c r="AI58" s="1151"/>
      <c r="AJ58" s="1151">
        <v>35</v>
      </c>
      <c r="AK58" s="1151">
        <v>50</v>
      </c>
      <c r="AL58" s="1193">
        <v>40</v>
      </c>
      <c r="AM58" s="1168">
        <v>15</v>
      </c>
      <c r="AN58" s="1168">
        <v>15</v>
      </c>
      <c r="AO58" s="1168">
        <v>19</v>
      </c>
      <c r="AP58" s="1168">
        <v>17</v>
      </c>
      <c r="AQ58" s="1168">
        <v>16</v>
      </c>
      <c r="AR58" s="1168">
        <v>16</v>
      </c>
      <c r="AS58" s="1168">
        <v>14</v>
      </c>
      <c r="AT58" s="1664">
        <v>20</v>
      </c>
      <c r="AU58" s="1193">
        <v>22</v>
      </c>
      <c r="AV58" s="1193">
        <v>17</v>
      </c>
      <c r="AW58" s="1193"/>
      <c r="AX58" s="1193"/>
      <c r="AY58" s="1193"/>
      <c r="AZ58" s="1193"/>
      <c r="BA58" s="1193"/>
      <c r="BB58" s="1193"/>
      <c r="BC58" s="1193"/>
      <c r="BD58" s="1193"/>
      <c r="BE58" s="1193"/>
      <c r="BF58" s="1193"/>
    </row>
    <row r="59" spans="1:58" ht="18.75" customHeight="1">
      <c r="A59" s="1073"/>
      <c r="B59" s="97"/>
      <c r="C59" s="62"/>
      <c r="D59" s="1640"/>
      <c r="E59" s="108"/>
      <c r="F59" s="1574"/>
      <c r="G59" s="1641" t="str">
        <v/>
      </c>
      <c r="H59" s="499" t="str">
        <f ca="1">_xlfn.LET(_xlpm._今月から4ヶ月計画合計,
  SUM(
    OFFSET($A59,0,
      MATCH(
        EDATE(基準データ!$C$5,3),$A$1:$BD$1,1
      )-4,1,4)),
  IF($C59="","",_xlpm._今月から4ヶ月計画合計
)
)</f>
        <v/>
      </c>
      <c r="I59" s="499" t="str">
        <f>IF($C59="","",
_xlfn.LET(
  _xlpm._見出し範囲,$L$1:$BF$1,
  _xlpm._行範囲,$L59:$BF59,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
      </c>
      <c r="J59" s="499" t="str">
        <f>IF($C59="","",
_xlfn.LET(
  _xlpm._見出し範囲,'在庫使用計画 (法人)'!$L$1:$BF$1,
  _xlpm._行範囲,'在庫使用計画 (法人)'!$L59:$BF59,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
      </c>
      <c r="K59" s="1413" t="str">
        <v/>
      </c>
      <c r="L59" s="74"/>
      <c r="M59" s="74"/>
      <c r="N59" s="118"/>
      <c r="O59" s="121"/>
      <c r="P59" s="121"/>
      <c r="Q59" s="121"/>
      <c r="R59" s="121"/>
      <c r="S59" s="121"/>
      <c r="T59" s="1744"/>
      <c r="U59" s="1744"/>
      <c r="V59" s="1767"/>
      <c r="W59" s="1768"/>
      <c r="X59" s="1769"/>
      <c r="Y59" s="1769"/>
      <c r="Z59" s="1775"/>
      <c r="AA59" s="1776"/>
      <c r="AB59" s="1777"/>
      <c r="AC59" s="1777"/>
      <c r="AD59" s="1778"/>
      <c r="AE59" s="1779"/>
      <c r="AF59" s="1779"/>
      <c r="AG59" s="1779"/>
      <c r="AH59" s="1780"/>
      <c r="AI59" s="1770"/>
      <c r="AJ59" s="1771"/>
      <c r="AK59" s="1771"/>
      <c r="AL59" s="1771"/>
      <c r="AM59" s="1168"/>
      <c r="AN59" s="1168"/>
      <c r="AO59" s="1168"/>
      <c r="AP59" s="1168"/>
      <c r="AQ59" s="1168"/>
      <c r="AR59" s="1168"/>
      <c r="AS59" s="1168"/>
      <c r="AT59" s="1168"/>
      <c r="AU59" s="1168"/>
      <c r="AV59" s="1168"/>
      <c r="AW59" s="1168"/>
      <c r="AX59" s="1168"/>
      <c r="AY59" s="1168"/>
      <c r="AZ59" s="1168"/>
      <c r="BA59" s="1168"/>
      <c r="BB59" s="1168"/>
      <c r="BC59" s="1168"/>
      <c r="BD59" s="1168"/>
      <c r="BE59" s="1168"/>
      <c r="BF59" s="1168"/>
    </row>
    <row r="60" spans="1:58" ht="18.75" customHeight="1">
      <c r="A60" s="1073" t="s">
        <v>1651</v>
      </c>
      <c r="B60" s="97" t="s">
        <v>583</v>
      </c>
      <c r="C60" s="62" t="s">
        <v>580</v>
      </c>
      <c r="D60" s="86" t="s">
        <v>1426</v>
      </c>
      <c r="E60" s="87" t="s">
        <v>438</v>
      </c>
      <c r="F60" s="1163"/>
      <c r="G60" s="1641">
        <v>104</v>
      </c>
      <c r="H60" s="499">
        <f ca="1">_xlfn.LET(_xlpm._今月から4ヶ月計画合計,
  SUM(
    OFFSET($A60,0,
      MATCH(
        EDATE(基準データ!$C$5,3),$A$1:$BD$1,1
      )-4,1,4)),
  IF($C60="","",_xlpm._今月から4ヶ月計画合計
)
)</f>
        <v>0</v>
      </c>
      <c r="I60" s="499">
        <f>IF($C60="","",
_xlfn.LET(
  _xlpm._見出し範囲,$L$1:$BF$1,
  _xlpm._行範囲,$L60:$BF60,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0</v>
      </c>
      <c r="J60" s="499">
        <f>IF($C60="","",
_xlfn.LET(
  _xlpm._見出し範囲,'在庫使用計画 (法人)'!$L$1:$BF$1,
  _xlpm._行範囲,'在庫使用計画 (法人)'!$L60:$BF60,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0</v>
      </c>
      <c r="K60" s="1413" t="str">
        <v>計画なし</v>
      </c>
      <c r="L60" s="74">
        <v>200</v>
      </c>
      <c r="M60" s="74">
        <v>300</v>
      </c>
      <c r="N60" s="118">
        <v>300</v>
      </c>
      <c r="O60" s="121">
        <v>270</v>
      </c>
      <c r="P60" s="121">
        <v>292</v>
      </c>
      <c r="Q60" s="121">
        <v>300</v>
      </c>
      <c r="R60" s="121">
        <v>250</v>
      </c>
      <c r="S60" s="121">
        <v>260</v>
      </c>
      <c r="T60" s="1744">
        <v>290</v>
      </c>
      <c r="U60" s="1744">
        <v>290</v>
      </c>
      <c r="V60" s="1767">
        <v>320</v>
      </c>
      <c r="W60" s="1781">
        <v>280</v>
      </c>
      <c r="X60" s="1764">
        <v>240</v>
      </c>
      <c r="Y60" s="1764">
        <v>360</v>
      </c>
      <c r="Z60" s="1765">
        <v>0</v>
      </c>
      <c r="AA60" s="1496"/>
      <c r="AB60" s="63" t="s">
        <v>1317</v>
      </c>
      <c r="AC60" s="63" t="s">
        <v>1317</v>
      </c>
      <c r="AD60" s="1782" t="s">
        <v>1317</v>
      </c>
      <c r="AE60" s="1783">
        <v>161</v>
      </c>
      <c r="AF60" s="1783">
        <v>146</v>
      </c>
      <c r="AG60" s="1783">
        <v>110</v>
      </c>
      <c r="AH60" s="1784">
        <v>190</v>
      </c>
      <c r="AI60" s="1785">
        <v>80</v>
      </c>
      <c r="AJ60" s="1269">
        <v>61</v>
      </c>
      <c r="AK60" s="1269">
        <v>89</v>
      </c>
      <c r="AL60" s="1269">
        <v>50</v>
      </c>
      <c r="AM60" s="1269">
        <v>0</v>
      </c>
      <c r="AN60" s="1269">
        <v>0</v>
      </c>
      <c r="AO60" s="1269">
        <v>0</v>
      </c>
      <c r="AP60" s="1269"/>
      <c r="AQ60" s="1269"/>
      <c r="AR60" s="1269"/>
      <c r="AS60" s="1269"/>
      <c r="AT60" s="1269"/>
      <c r="AU60" s="1269"/>
      <c r="AV60" s="1269"/>
      <c r="AW60" s="1269"/>
      <c r="AX60" s="1193"/>
      <c r="AY60" s="1193"/>
      <c r="AZ60" s="1193"/>
      <c r="BA60" s="1193"/>
      <c r="BB60" s="1193"/>
      <c r="BC60" s="1193"/>
      <c r="BD60" s="1193"/>
      <c r="BE60" s="1193"/>
      <c r="BF60" s="1193"/>
    </row>
    <row r="61" spans="1:58" ht="18.75" customHeight="1">
      <c r="A61" s="1073" t="s">
        <v>1651</v>
      </c>
      <c r="B61" s="87" t="s">
        <v>570</v>
      </c>
      <c r="C61" s="62" t="s">
        <v>567</v>
      </c>
      <c r="D61" s="86" t="s">
        <v>1426</v>
      </c>
      <c r="E61" s="87" t="s">
        <v>438</v>
      </c>
      <c r="F61" s="87"/>
      <c r="G61" s="1641">
        <v>69</v>
      </c>
      <c r="H61" s="499">
        <f ca="1">_xlfn.LET(_xlpm._今月から4ヶ月計画合計,
  SUM(
    OFFSET($A61,0,
      MATCH(
        EDATE(基準データ!$C$5,3),$A$1:$BD$1,1
      )-4,1,4)),
  IF($C61="","",_xlpm._今月から4ヶ月計画合計
)
)</f>
        <v>0</v>
      </c>
      <c r="I61" s="499">
        <f>IF($C61="","",
_xlfn.LET(
  _xlpm._見出し範囲,$L$1:$BF$1,
  _xlpm._行範囲,$L61:$BF61,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0</v>
      </c>
      <c r="J61" s="499">
        <f>IF($C61="","",
_xlfn.LET(
  _xlpm._見出し範囲,'在庫使用計画 (法人)'!$L$1:$BF$1,
  _xlpm._行範囲,'在庫使用計画 (法人)'!$L61:$BF61,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0</v>
      </c>
      <c r="K61" s="1413" t="str">
        <v>計画なし</v>
      </c>
      <c r="L61" s="180"/>
      <c r="M61" s="180"/>
      <c r="N61" s="180"/>
      <c r="O61" s="180"/>
      <c r="P61" s="180"/>
      <c r="Q61" s="180"/>
      <c r="R61" s="299"/>
      <c r="S61" s="299"/>
      <c r="T61" s="1786"/>
      <c r="U61" s="1786"/>
      <c r="V61" s="1787" t="s">
        <v>1317</v>
      </c>
      <c r="W61" s="1788" t="s">
        <v>1317</v>
      </c>
      <c r="X61" s="1789" t="s">
        <v>1317</v>
      </c>
      <c r="Y61" s="1789" t="s">
        <v>1317</v>
      </c>
      <c r="Z61" s="1790">
        <v>180</v>
      </c>
      <c r="AA61" s="1790">
        <v>150</v>
      </c>
      <c r="AB61" s="1789">
        <v>160</v>
      </c>
      <c r="AC61" s="1789">
        <v>200</v>
      </c>
      <c r="AD61" s="77">
        <v>116</v>
      </c>
      <c r="AE61" s="491"/>
      <c r="AF61" s="491">
        <v>180</v>
      </c>
      <c r="AG61" s="62">
        <v>180</v>
      </c>
      <c r="AH61" s="1747">
        <v>160</v>
      </c>
      <c r="AI61" s="1739">
        <v>0</v>
      </c>
      <c r="AJ61" s="1269">
        <v>50</v>
      </c>
      <c r="AK61" s="1791" t="s">
        <v>1837</v>
      </c>
      <c r="AL61" s="1791"/>
      <c r="AM61" s="1792"/>
      <c r="AN61" s="1792"/>
      <c r="AO61" s="1792"/>
      <c r="AP61" s="1792"/>
      <c r="AQ61" s="1792"/>
      <c r="AR61" s="1792"/>
      <c r="AS61" s="1792"/>
      <c r="AT61" s="1793"/>
      <c r="AU61" s="1193"/>
      <c r="AV61" s="1193"/>
      <c r="AW61" s="1193"/>
      <c r="AX61" s="1193"/>
      <c r="AY61" s="1193"/>
      <c r="AZ61" s="1193"/>
      <c r="BA61" s="1193"/>
      <c r="BB61" s="1193"/>
      <c r="BC61" s="1193"/>
      <c r="BD61" s="1193"/>
      <c r="BE61" s="1193"/>
      <c r="BF61" s="1193"/>
    </row>
    <row r="62" spans="1:58" ht="18.75" customHeight="1">
      <c r="A62" s="1073" t="s">
        <v>1651</v>
      </c>
      <c r="B62" s="97" t="s">
        <v>1838</v>
      </c>
      <c r="C62" s="62" t="s">
        <v>579</v>
      </c>
      <c r="D62" s="86" t="s">
        <v>1426</v>
      </c>
      <c r="E62" s="87" t="s">
        <v>438</v>
      </c>
      <c r="F62" s="1163" t="s">
        <v>20</v>
      </c>
      <c r="G62" s="1641">
        <v>702</v>
      </c>
      <c r="H62" s="499">
        <f ca="1">_xlfn.LET(_xlpm._今月から4ヶ月計画合計,
  SUM(
    OFFSET($A62,0,
      MATCH(
        EDATE(基準データ!$C$5,3),$A$1:$BD$1,1
      )-4,1,4)),
  IF($C62="","",_xlpm._今月から4ヶ月計画合計
)
)</f>
        <v>0</v>
      </c>
      <c r="I62" s="499">
        <f>IF($C62="","",
_xlfn.LET(
  _xlpm._見出し範囲,$L$1:$BF$1,
  _xlpm._行範囲,$L62:$BF62,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0</v>
      </c>
      <c r="J62" s="499">
        <f>IF($C62="","",
_xlfn.LET(
  _xlpm._見出し範囲,'在庫使用計画 (法人)'!$L$1:$BF$1,
  _xlpm._行範囲,'在庫使用計画 (法人)'!$L62:$BF62,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418.16129032258061</v>
      </c>
      <c r="K62" s="1413" t="str">
        <v>合計431、在庫+注残702のため不足</v>
      </c>
      <c r="L62" s="74"/>
      <c r="M62" s="74"/>
      <c r="N62" s="118"/>
      <c r="O62" s="121"/>
      <c r="P62" s="121"/>
      <c r="Q62" s="121"/>
      <c r="R62" s="121"/>
      <c r="S62" s="121"/>
      <c r="T62" s="1744"/>
      <c r="U62" s="1744"/>
      <c r="V62" s="1767"/>
      <c r="W62" s="1781"/>
      <c r="X62" s="1764"/>
      <c r="Y62" s="1764"/>
      <c r="Z62" s="1764"/>
      <c r="AA62" s="1764"/>
      <c r="AB62" s="1764"/>
      <c r="AC62" s="1764"/>
      <c r="AD62" s="1782"/>
      <c r="AE62" s="1783"/>
      <c r="AF62" s="1783"/>
      <c r="AG62" s="1783"/>
      <c r="AH62" s="1784"/>
      <c r="AI62" s="1785"/>
      <c r="AJ62" s="1168">
        <v>10</v>
      </c>
      <c r="AK62" s="1269">
        <v>74</v>
      </c>
      <c r="AL62" s="1269">
        <v>92</v>
      </c>
      <c r="AM62" s="1269">
        <v>116</v>
      </c>
      <c r="AN62" s="1269">
        <v>112</v>
      </c>
      <c r="AO62" s="1269"/>
      <c r="AP62" s="1269"/>
      <c r="AQ62" s="1269"/>
      <c r="AR62" s="1269"/>
      <c r="AS62" s="1269"/>
      <c r="AT62" s="1269"/>
      <c r="AU62" s="1269"/>
      <c r="AV62" s="1269"/>
      <c r="AW62" s="1269"/>
      <c r="AX62" s="1193"/>
      <c r="AY62" s="1193"/>
      <c r="AZ62" s="1193"/>
      <c r="BA62" s="1193"/>
      <c r="BB62" s="1193"/>
      <c r="BC62" s="1193"/>
      <c r="BD62" s="1193"/>
      <c r="BE62" s="1193"/>
      <c r="BF62" s="1193"/>
    </row>
    <row r="63" spans="1:58" ht="18.75" customHeight="1">
      <c r="A63" s="1073" t="s">
        <v>1651</v>
      </c>
      <c r="B63" s="1125" t="s">
        <v>595</v>
      </c>
      <c r="C63" s="506" t="s">
        <v>592</v>
      </c>
      <c r="D63" s="1123" t="s">
        <v>1426</v>
      </c>
      <c r="E63" s="87" t="s">
        <v>438</v>
      </c>
      <c r="F63" s="1163" t="s">
        <v>1725</v>
      </c>
      <c r="G63" s="1641">
        <v>99</v>
      </c>
      <c r="H63" s="499">
        <f ca="1">_xlfn.LET(_xlpm._今月から4ヶ月計画合計,
  SUM(
    OFFSET($A63,0,
      MATCH(
        EDATE(基準データ!$C$5,3),$A$1:$BD$1,1
      )-4,1,4)),
  IF($C63="","",_xlpm._今月から4ヶ月計画合計
)
)</f>
        <v>140</v>
      </c>
      <c r="I63" s="499">
        <f>IF($C63="","",
_xlfn.LET(
  _xlpm._見出し範囲,$L$1:$BF$1,
  _xlpm._行範囲,$L63:$BF63,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134.83870967741933</v>
      </c>
      <c r="J63" s="499">
        <f>IF($C63="","",
_xlfn.LET(
  _xlpm._見出し範囲,'在庫使用計画 (法人)'!$L$1:$BF$1,
  _xlpm._行範囲,'在庫使用計画 (法人)'!$L63:$BF63,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0</v>
      </c>
      <c r="K63" s="1413">
        <v>46204</v>
      </c>
      <c r="L63" s="74"/>
      <c r="M63" s="74"/>
      <c r="N63" s="118"/>
      <c r="O63" s="121"/>
      <c r="P63" s="121"/>
      <c r="Q63" s="121"/>
      <c r="R63" s="121"/>
      <c r="S63" s="121"/>
      <c r="T63" s="1744"/>
      <c r="U63" s="1744"/>
      <c r="V63" s="1767"/>
      <c r="W63" s="1781"/>
      <c r="X63" s="1764"/>
      <c r="Y63" s="1764"/>
      <c r="Z63" s="1765"/>
      <c r="AA63" s="77"/>
      <c r="AB63" s="77"/>
      <c r="AC63" s="77"/>
      <c r="AD63" s="1782"/>
      <c r="AE63" s="1783"/>
      <c r="AF63" s="1783"/>
      <c r="AG63" s="1783"/>
      <c r="AH63" s="1784"/>
      <c r="AI63" s="1785"/>
      <c r="AJ63" s="1664"/>
      <c r="AK63" s="1269"/>
      <c r="AL63" s="1269"/>
      <c r="AM63" s="1269"/>
      <c r="AN63" s="1269"/>
      <c r="AO63" s="1269">
        <v>80</v>
      </c>
      <c r="AP63" s="1269">
        <v>60</v>
      </c>
      <c r="AQ63" s="1269"/>
      <c r="AR63" s="1269"/>
      <c r="AS63" s="1269"/>
      <c r="AT63" s="1269"/>
      <c r="AU63" s="1269"/>
      <c r="AV63" s="1269"/>
      <c r="AW63" s="1269"/>
      <c r="AX63" s="1193"/>
      <c r="AY63" s="1193"/>
      <c r="AZ63" s="1193"/>
      <c r="BA63" s="1193"/>
      <c r="BB63" s="1193"/>
      <c r="BC63" s="1193"/>
      <c r="BD63" s="1193"/>
      <c r="BE63" s="1193"/>
      <c r="BF63" s="1193"/>
    </row>
    <row r="64" spans="1:58" ht="18.75" customHeight="1">
      <c r="A64" s="1073" t="s">
        <v>1651</v>
      </c>
      <c r="B64" s="1125" t="s">
        <v>795</v>
      </c>
      <c r="C64" s="506" t="s">
        <v>792</v>
      </c>
      <c r="D64" s="1123"/>
      <c r="E64" s="87" t="s">
        <v>438</v>
      </c>
      <c r="F64" s="1163" t="s">
        <v>1725</v>
      </c>
      <c r="G64" s="1641">
        <v>2201</v>
      </c>
      <c r="H64" s="499">
        <f ca="1">_xlfn.LET(_xlpm._今月から4ヶ月計画合計,
  SUM(
    OFFSET($A64,0,
      MATCH(
        EDATE(基準データ!$C$5,3),$A$1:$BD$1,1
      )-4,1,4)),
  IF($C64="","",_xlpm._今月から4ヶ月計画合計
)
)</f>
        <v>128</v>
      </c>
      <c r="I64" s="499">
        <f>IF($C64="","",
_xlfn.LET(
  _xlpm._見出し範囲,$L$1:$BF$1,
  _xlpm._行範囲,$L64:$BF64,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873</v>
      </c>
      <c r="J64" s="499">
        <f>IF($C64="","",
_xlfn.LET(
  _xlpm._見出し範囲,'在庫使用計画 (法人)'!$L$1:$BF$1,
  _xlpm._行範囲,'在庫使用計画 (法人)'!$L64:$BF64,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5317.7419354838712</v>
      </c>
      <c r="K64" s="1413">
        <v>46296</v>
      </c>
      <c r="L64" s="74"/>
      <c r="M64" s="74"/>
      <c r="N64" s="118"/>
      <c r="O64" s="121"/>
      <c r="P64" s="121"/>
      <c r="Q64" s="121"/>
      <c r="R64" s="121"/>
      <c r="S64" s="121"/>
      <c r="T64" s="1744"/>
      <c r="U64" s="1744"/>
      <c r="V64" s="1767"/>
      <c r="W64" s="1781"/>
      <c r="X64" s="1764"/>
      <c r="Y64" s="1764"/>
      <c r="Z64" s="1765"/>
      <c r="AA64" s="77"/>
      <c r="AB64" s="77"/>
      <c r="AC64" s="77"/>
      <c r="AD64" s="1782"/>
      <c r="AE64" s="1783"/>
      <c r="AF64" s="1783"/>
      <c r="AG64" s="1783"/>
      <c r="AH64" s="1784"/>
      <c r="AI64" s="1785"/>
      <c r="AJ64" s="1664"/>
      <c r="AK64" s="1269"/>
      <c r="AL64" s="1269"/>
      <c r="AM64" s="1269"/>
      <c r="AN64" s="1269"/>
      <c r="AO64" s="1269"/>
      <c r="AP64" s="1269"/>
      <c r="AQ64" s="2111">
        <v>65</v>
      </c>
      <c r="AR64" s="2111">
        <v>63</v>
      </c>
      <c r="AS64" s="2111">
        <v>59</v>
      </c>
      <c r="AT64" s="2111">
        <v>82</v>
      </c>
      <c r="AU64" s="2111">
        <v>88</v>
      </c>
      <c r="AV64" s="2111">
        <v>70</v>
      </c>
      <c r="AW64" s="2111">
        <v>92</v>
      </c>
      <c r="AX64" s="1842">
        <v>79</v>
      </c>
      <c r="AY64" s="1842">
        <v>65</v>
      </c>
      <c r="AZ64" s="1842">
        <v>64</v>
      </c>
      <c r="BA64" s="1842">
        <v>79</v>
      </c>
      <c r="BB64" s="1842">
        <v>67</v>
      </c>
      <c r="BC64" s="1193"/>
      <c r="BD64" s="1193"/>
      <c r="BE64" s="1193"/>
      <c r="BF64" s="1193"/>
    </row>
    <row r="65" spans="1:58" ht="18.75" customHeight="1">
      <c r="A65" s="1073" t="s">
        <v>1651</v>
      </c>
      <c r="B65" s="97" t="s">
        <v>646</v>
      </c>
      <c r="C65" s="62" t="s">
        <v>644</v>
      </c>
      <c r="D65" s="62" t="s">
        <v>1732</v>
      </c>
      <c r="E65" s="87" t="s">
        <v>438</v>
      </c>
      <c r="F65" s="1163"/>
      <c r="G65" s="1641">
        <v>302</v>
      </c>
      <c r="H65" s="499">
        <f ca="1">_xlfn.LET(_xlpm._今月から4ヶ月計画合計,
  SUM(
    OFFSET($A65,0,
      MATCH(
        EDATE(基準データ!$C$5,3),$A$1:$BD$1,1
      )-4,1,4)),
  IF($C65="","",_xlpm._今月から4ヶ月計画合計
)
)</f>
        <v>300</v>
      </c>
      <c r="I65" s="499">
        <f>IF($C65="","",
_xlfn.LET(
  _xlpm._見出し範囲,$L$1:$BF$1,
  _xlpm._行範囲,$L65:$BF65,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280.64516129032256</v>
      </c>
      <c r="J65" s="499">
        <f>IF($C65="","",
_xlfn.LET(
  _xlpm._見出し範囲,'在庫使用計画 (法人)'!$L$1:$BF$1,
  _xlpm._行範囲,'在庫使用計画 (法人)'!$L65:$BF65,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0</v>
      </c>
      <c r="K65" s="1413">
        <v>46204</v>
      </c>
      <c r="L65" s="74">
        <v>300</v>
      </c>
      <c r="M65" s="74">
        <v>400</v>
      </c>
      <c r="N65" s="118">
        <v>450</v>
      </c>
      <c r="O65" s="121">
        <v>450</v>
      </c>
      <c r="P65" s="121">
        <v>480</v>
      </c>
      <c r="Q65" s="121">
        <v>550</v>
      </c>
      <c r="R65" s="121">
        <v>300</v>
      </c>
      <c r="S65" s="121">
        <v>420</v>
      </c>
      <c r="T65" s="1744">
        <v>430</v>
      </c>
      <c r="U65" s="1744">
        <v>430</v>
      </c>
      <c r="V65" s="1767">
        <v>410</v>
      </c>
      <c r="W65" s="1781">
        <v>450</v>
      </c>
      <c r="X65" s="1764">
        <v>400</v>
      </c>
      <c r="Y65" s="1764">
        <v>510</v>
      </c>
      <c r="Z65" s="1765">
        <v>300</v>
      </c>
      <c r="AA65" s="1496">
        <v>250</v>
      </c>
      <c r="AB65" s="63">
        <v>280</v>
      </c>
      <c r="AC65" s="63">
        <v>240</v>
      </c>
      <c r="AD65" s="1766">
        <v>86</v>
      </c>
      <c r="AE65" s="1794"/>
      <c r="AF65" s="1795"/>
      <c r="AG65" s="62">
        <v>120</v>
      </c>
      <c r="AH65" s="1747">
        <v>180</v>
      </c>
      <c r="AI65" s="1739">
        <v>160</v>
      </c>
      <c r="AJ65" s="1269">
        <v>60</v>
      </c>
      <c r="AK65" s="1269">
        <v>80</v>
      </c>
      <c r="AL65" s="1269">
        <v>100</v>
      </c>
      <c r="AM65" s="1269">
        <v>376</v>
      </c>
      <c r="AN65" s="1269">
        <v>290</v>
      </c>
      <c r="AO65" s="2111">
        <v>300</v>
      </c>
      <c r="AP65" s="1269">
        <v>0</v>
      </c>
      <c r="AQ65" s="1269">
        <v>0</v>
      </c>
      <c r="AR65" s="1269">
        <v>0</v>
      </c>
      <c r="AS65" s="1269">
        <v>0</v>
      </c>
      <c r="AT65" s="1269">
        <v>0</v>
      </c>
      <c r="AU65" s="1269">
        <v>0</v>
      </c>
      <c r="AV65" s="1269">
        <v>0</v>
      </c>
      <c r="AW65" s="1269">
        <v>0</v>
      </c>
      <c r="AX65" s="1193"/>
      <c r="AY65" s="1193"/>
      <c r="AZ65" s="1193"/>
      <c r="BA65" s="1193"/>
      <c r="BB65" s="1193"/>
      <c r="BC65" s="1193"/>
      <c r="BD65" s="1193"/>
      <c r="BE65" s="1193"/>
      <c r="BF65" s="1193"/>
    </row>
    <row r="66" spans="1:58" ht="18.75" customHeight="1">
      <c r="A66" s="1073" t="s">
        <v>1651</v>
      </c>
      <c r="B66" s="87" t="s">
        <v>640</v>
      </c>
      <c r="C66" s="62" t="s">
        <v>638</v>
      </c>
      <c r="D66" s="62" t="s">
        <v>1732</v>
      </c>
      <c r="E66" s="87" t="s">
        <v>438</v>
      </c>
      <c r="F66" s="87"/>
      <c r="G66" s="1641">
        <v>1</v>
      </c>
      <c r="H66" s="499">
        <f ca="1">_xlfn.LET(_xlpm._今月から4ヶ月計画合計,
  SUM(
    OFFSET($A66,0,
      MATCH(
        EDATE(基準データ!$C$5,3),$A$1:$BD$1,1
      )-4,1,4)),
  IF($C66="","",_xlpm._今月から4ヶ月計画合計
)
)</f>
        <v>0</v>
      </c>
      <c r="I66" s="499">
        <f>IF($C66="","",
_xlfn.LET(
  _xlpm._見出し範囲,$L$1:$BF$1,
  _xlpm._行範囲,$L66:$BF66,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0</v>
      </c>
      <c r="J66" s="499">
        <f>IF($C66="","",
_xlfn.LET(
  _xlpm._見出し範囲,'在庫使用計画 (法人)'!$L$1:$BF$1,
  _xlpm._行範囲,'在庫使用計画 (法人)'!$L66:$BF66,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0</v>
      </c>
      <c r="K66" s="1413" t="str">
        <v>計画なし</v>
      </c>
      <c r="L66" s="180"/>
      <c r="M66" s="180"/>
      <c r="N66" s="180"/>
      <c r="O66" s="180"/>
      <c r="P66" s="180"/>
      <c r="Q66" s="180"/>
      <c r="R66" s="299"/>
      <c r="S66" s="299"/>
      <c r="T66" s="1786"/>
      <c r="U66" s="1786"/>
      <c r="V66" s="1796" t="s">
        <v>1317</v>
      </c>
      <c r="W66" s="1797" t="s">
        <v>1317</v>
      </c>
      <c r="X66" s="62" t="s">
        <v>1317</v>
      </c>
      <c r="Y66" s="62" t="s">
        <v>1317</v>
      </c>
      <c r="Z66" s="1798"/>
      <c r="AA66" s="1798"/>
      <c r="AB66" s="1798"/>
      <c r="AC66" s="137">
        <v>0</v>
      </c>
      <c r="AD66" s="62">
        <v>131</v>
      </c>
      <c r="AE66" s="1794"/>
      <c r="AF66" s="1794"/>
      <c r="AG66" s="1794"/>
      <c r="AH66" s="1799"/>
      <c r="AI66" s="1800"/>
      <c r="AJ66" s="1801"/>
      <c r="AK66" s="1801"/>
      <c r="AL66" s="1801"/>
      <c r="AM66" s="1801"/>
      <c r="AN66" s="1801"/>
      <c r="AO66" s="1801"/>
      <c r="AP66" s="1193"/>
      <c r="AQ66" s="1193"/>
      <c r="AR66" s="1193"/>
      <c r="AS66" s="1193"/>
      <c r="AT66" s="1270"/>
      <c r="AU66" s="1193"/>
      <c r="AV66" s="1193"/>
      <c r="AW66" s="1193"/>
      <c r="AX66" s="1193"/>
      <c r="AY66" s="1193"/>
      <c r="AZ66" s="1193"/>
      <c r="BA66" s="1193"/>
      <c r="BB66" s="1193"/>
      <c r="BC66" s="1193"/>
      <c r="BD66" s="1193"/>
      <c r="BE66" s="1193"/>
      <c r="BF66" s="1193"/>
    </row>
    <row r="67" spans="1:58" ht="18.75" customHeight="1">
      <c r="A67" s="1073" t="s">
        <v>1651</v>
      </c>
      <c r="B67" s="87" t="s">
        <v>634</v>
      </c>
      <c r="C67" s="62" t="s">
        <v>632</v>
      </c>
      <c r="D67" s="62" t="s">
        <v>1405</v>
      </c>
      <c r="E67" s="87" t="s">
        <v>438</v>
      </c>
      <c r="F67" s="1163"/>
      <c r="G67" s="1641">
        <v>244</v>
      </c>
      <c r="H67" s="499">
        <f ca="1">_xlfn.LET(_xlpm._今月から4ヶ月計画合計,
  SUM(
    OFFSET($A67,0,
      MATCH(
        EDATE(基準データ!$C$5,3),$A$1:$BD$1,1
      )-4,1,4)),
  IF($C67="","",_xlpm._今月から4ヶ月計画合計
)
)</f>
        <v>0</v>
      </c>
      <c r="I67" s="499">
        <f>IF($C67="","",
_xlfn.LET(
  _xlpm._見出し範囲,$L$1:$BF$1,
  _xlpm._行範囲,$L67:$BF67,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0</v>
      </c>
      <c r="J67" s="499">
        <f>IF($C67="","",
_xlfn.LET(
  _xlpm._見出し範囲,'在庫使用計画 (法人)'!$L$1:$BF$1,
  _xlpm._行範囲,'在庫使用計画 (法人)'!$L67:$BF67,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54.258064516129032</v>
      </c>
      <c r="K67" s="1413" t="str">
        <v>合計56、在庫+注残244のため不足</v>
      </c>
      <c r="L67" s="180"/>
      <c r="M67" s="180"/>
      <c r="N67" s="1328"/>
      <c r="O67" s="1802"/>
      <c r="P67" s="1802"/>
      <c r="Q67" s="1802"/>
      <c r="R67" s="1803"/>
      <c r="S67" s="1803"/>
      <c r="T67" s="1804"/>
      <c r="U67" s="1804"/>
      <c r="V67" s="1805"/>
      <c r="W67" s="1797"/>
      <c r="X67" s="62"/>
      <c r="Y67" s="62"/>
      <c r="Z67" s="1798"/>
      <c r="AA67" s="1798"/>
      <c r="AB67" s="1798"/>
      <c r="AC67" s="137"/>
      <c r="AD67" s="62"/>
      <c r="AE67" s="62">
        <v>209</v>
      </c>
      <c r="AF67" s="62">
        <v>200</v>
      </c>
      <c r="AG67" s="1283">
        <v>200</v>
      </c>
      <c r="AH67" s="1747">
        <v>338</v>
      </c>
      <c r="AI67" s="1739">
        <v>344</v>
      </c>
      <c r="AJ67" s="1168">
        <v>234</v>
      </c>
      <c r="AK67" s="1168">
        <v>400</v>
      </c>
      <c r="AL67" s="1806" t="s">
        <v>1839</v>
      </c>
      <c r="AM67" s="1801"/>
      <c r="AN67" s="1801"/>
      <c r="AO67" s="1801"/>
      <c r="AP67" s="1193"/>
      <c r="AQ67" s="1193"/>
      <c r="AR67" s="1193"/>
      <c r="AS67" s="1193"/>
      <c r="AT67" s="1270"/>
      <c r="AU67" s="1193"/>
      <c r="AV67" s="1193"/>
      <c r="AW67" s="1193"/>
      <c r="AX67" s="1193"/>
      <c r="AY67" s="1193"/>
      <c r="AZ67" s="1193"/>
      <c r="BA67" s="1193"/>
      <c r="BB67" s="1193"/>
      <c r="BC67" s="1193"/>
      <c r="BD67" s="1193"/>
      <c r="BE67" s="1193"/>
      <c r="BF67" s="1193"/>
    </row>
    <row r="68" spans="1:58" ht="18.75" customHeight="1">
      <c r="A68" s="1073" t="s">
        <v>1651</v>
      </c>
      <c r="B68" s="97" t="s">
        <v>1840</v>
      </c>
      <c r="C68" s="62" t="s">
        <v>637</v>
      </c>
      <c r="D68" s="86" t="s">
        <v>1405</v>
      </c>
      <c r="E68" s="87" t="s">
        <v>438</v>
      </c>
      <c r="F68" s="1163" t="s">
        <v>20</v>
      </c>
      <c r="G68" s="1641">
        <v>471</v>
      </c>
      <c r="H68" s="499">
        <f ca="1">_xlfn.LET(_xlpm._今月から4ヶ月計画合計,
  SUM(
    OFFSET($A68,0,
      MATCH(
        EDATE(基準データ!$C$5,3),$A$1:$BD$1,1
      )-4,1,4)),
  IF($C68="","",_xlpm._今月から4ヶ月計画合計
)
)</f>
        <v>0</v>
      </c>
      <c r="I68" s="499">
        <f>IF($C68="","",
_xlfn.LET(
  _xlpm._見出し範囲,$L$1:$BF$1,
  _xlpm._行範囲,$L68:$BF68,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0</v>
      </c>
      <c r="J68" s="499">
        <f>IF($C68="","",
_xlfn.LET(
  _xlpm._見出し範囲,'在庫使用計画 (法人)'!$L$1:$BF$1,
  _xlpm._行範囲,'在庫使用計画 (法人)'!$L68:$BF68,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292.87096774193549</v>
      </c>
      <c r="K68" s="1413" t="str">
        <v>合計300、在庫+注残471のため不足</v>
      </c>
      <c r="L68" s="74"/>
      <c r="M68" s="74"/>
      <c r="N68" s="118"/>
      <c r="O68" s="121"/>
      <c r="P68" s="121"/>
      <c r="Q68" s="121"/>
      <c r="R68" s="121"/>
      <c r="S68" s="121"/>
      <c r="T68" s="1744"/>
      <c r="U68" s="1744"/>
      <c r="V68" s="1767"/>
      <c r="W68" s="1781"/>
      <c r="X68" s="1764"/>
      <c r="Y68" s="1764"/>
      <c r="Z68" s="1765"/>
      <c r="AA68" s="77"/>
      <c r="AB68" s="1766"/>
      <c r="AC68" s="1766"/>
      <c r="AD68" s="1782"/>
      <c r="AE68" s="1783"/>
      <c r="AF68" s="1783"/>
      <c r="AG68" s="1783"/>
      <c r="AH68" s="1784"/>
      <c r="AI68" s="1785"/>
      <c r="AJ68" s="1168"/>
      <c r="AK68" s="1168"/>
      <c r="AL68" s="1269">
        <v>270</v>
      </c>
      <c r="AM68" s="1269">
        <v>0</v>
      </c>
      <c r="AN68" s="1269">
        <v>0</v>
      </c>
      <c r="AO68" s="1269">
        <v>0</v>
      </c>
      <c r="AP68" s="1269">
        <v>0</v>
      </c>
      <c r="AQ68" s="1269"/>
      <c r="AR68" s="1269"/>
      <c r="AS68" s="1269"/>
      <c r="AT68" s="1269"/>
      <c r="AU68" s="1269"/>
      <c r="AV68" s="1269"/>
      <c r="AW68" s="1269"/>
      <c r="AX68" s="1193"/>
      <c r="AY68" s="1193"/>
      <c r="AZ68" s="1193"/>
      <c r="BA68" s="1193"/>
      <c r="BB68" s="1193"/>
      <c r="BC68" s="1193"/>
      <c r="BD68" s="1193"/>
      <c r="BE68" s="1193"/>
      <c r="BF68" s="1193"/>
    </row>
    <row r="69" spans="1:58" ht="18.75" customHeight="1">
      <c r="A69" s="1073" t="s">
        <v>1651</v>
      </c>
      <c r="B69" s="1125" t="s">
        <v>655</v>
      </c>
      <c r="C69" s="506" t="s">
        <v>653</v>
      </c>
      <c r="D69" s="1123" t="s">
        <v>1732</v>
      </c>
      <c r="E69" s="87" t="s">
        <v>438</v>
      </c>
      <c r="F69" s="1163" t="s">
        <v>1725</v>
      </c>
      <c r="G69" s="1641">
        <v>833</v>
      </c>
      <c r="H69" s="499">
        <f ca="1">_xlfn.LET(_xlpm._今月から4ヶ月計画合計,
  SUM(
    OFFSET($A69,0,
      MATCH(
        EDATE(基準データ!$C$5,3),$A$1:$BD$1,1
      )-4,1,4)),
  IF($C69="","",_xlpm._今月から4ヶ月計画合計
)
)</f>
        <v>790</v>
      </c>
      <c r="I69" s="499">
        <f>IF($C69="","",
_xlfn.LET(
  _xlpm._見出し範囲,$L$1:$BF$1,
  _xlpm._行範囲,$L69:$BF69,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770.64516129032256</v>
      </c>
      <c r="J69" s="499">
        <f>IF($C69="","",
_xlfn.LET(
  _xlpm._見出し範囲,'在庫使用計画 (法人)'!$L$1:$BF$1,
  _xlpm._行範囲,'在庫使用計画 (法人)'!$L69:$BF69,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0</v>
      </c>
      <c r="K69" s="1413">
        <v>46266</v>
      </c>
      <c r="L69" s="74"/>
      <c r="M69" s="74"/>
      <c r="N69" s="118"/>
      <c r="O69" s="121"/>
      <c r="P69" s="121"/>
      <c r="Q69" s="121"/>
      <c r="R69" s="121"/>
      <c r="S69" s="121"/>
      <c r="T69" s="1744"/>
      <c r="U69" s="1744"/>
      <c r="V69" s="1767"/>
      <c r="W69" s="77"/>
      <c r="X69" s="77"/>
      <c r="Y69" s="77"/>
      <c r="Z69" s="77"/>
      <c r="AA69" s="77"/>
      <c r="AB69" s="1766"/>
      <c r="AC69" s="1766"/>
      <c r="AD69" s="1782"/>
      <c r="AE69" s="1783"/>
      <c r="AF69" s="1783"/>
      <c r="AG69" s="1807"/>
      <c r="AH69" s="1784"/>
      <c r="AI69" s="1785"/>
      <c r="AJ69" s="1664"/>
      <c r="AK69" s="1664"/>
      <c r="AL69" s="1271"/>
      <c r="AM69" s="1269"/>
      <c r="AN69" s="1269">
        <v>100</v>
      </c>
      <c r="AO69" s="1269">
        <v>300</v>
      </c>
      <c r="AP69" s="1269">
        <v>300</v>
      </c>
      <c r="AQ69" s="1269">
        <v>190</v>
      </c>
      <c r="AR69" s="1269"/>
      <c r="AS69" s="1269"/>
      <c r="AT69" s="1269"/>
      <c r="AU69" s="1269"/>
      <c r="AV69" s="1269"/>
      <c r="AW69" s="1269"/>
      <c r="AX69" s="1193"/>
      <c r="AY69" s="1193"/>
      <c r="AZ69" s="1193"/>
      <c r="BA69" s="1193"/>
      <c r="BB69" s="1193"/>
      <c r="BC69" s="1193"/>
      <c r="BD69" s="1193"/>
      <c r="BE69" s="1193"/>
      <c r="BF69" s="1193"/>
    </row>
    <row r="70" spans="1:58" ht="18.75" customHeight="1">
      <c r="A70" s="1073" t="s">
        <v>1651</v>
      </c>
      <c r="B70" s="1125" t="s">
        <v>651</v>
      </c>
      <c r="C70" s="506" t="s">
        <v>649</v>
      </c>
      <c r="D70" s="1123"/>
      <c r="E70" s="87"/>
      <c r="F70" s="1163"/>
      <c r="G70" s="1641">
        <v>1331</v>
      </c>
      <c r="H70" s="499">
        <f ca="1">_xlfn.LET(_xlpm._今月から4ヶ月計画合計,
  SUM(
    OFFSET($A70,0,
      MATCH(
        EDATE(基準データ!$C$5,3),$A$1:$BD$1,1
      )-4,1,4)),
  IF($C70="","",_xlpm._今月から4ヶ月計画合計
)
)</f>
        <v>0</v>
      </c>
      <c r="I70" s="499">
        <f>IF($C70="","",
_xlfn.LET(
  _xlpm._見出し範囲,$L$1:$BF$1,
  _xlpm._行範囲,$L70:$BF70,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0</v>
      </c>
      <c r="J70" s="499">
        <f>IF($C70="","",
_xlfn.LET(
  _xlpm._見出し範囲,'在庫使用計画 (法人)'!$L$1:$BF$1,
  _xlpm._行範囲,'在庫使用計画 (法人)'!$L70:$BF70,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1071.9354838709678</v>
      </c>
      <c r="K70" s="1413">
        <v>46327</v>
      </c>
      <c r="L70" s="74"/>
      <c r="M70" s="74"/>
      <c r="N70" s="118"/>
      <c r="O70" s="121"/>
      <c r="P70" s="121"/>
      <c r="Q70" s="121"/>
      <c r="R70" s="121"/>
      <c r="S70" s="121"/>
      <c r="T70" s="1744"/>
      <c r="U70" s="1744"/>
      <c r="V70" s="1767"/>
      <c r="W70" s="77"/>
      <c r="X70" s="77"/>
      <c r="Y70" s="77"/>
      <c r="Z70" s="77"/>
      <c r="AA70" s="77"/>
      <c r="AB70" s="1766"/>
      <c r="AC70" s="1766"/>
      <c r="AD70" s="1782"/>
      <c r="AE70" s="1783"/>
      <c r="AF70" s="1783"/>
      <c r="AG70" s="1807"/>
      <c r="AH70" s="1784"/>
      <c r="AI70" s="1785"/>
      <c r="AJ70" s="1664"/>
      <c r="AK70" s="1664"/>
      <c r="AL70" s="1271" t="s">
        <v>1841</v>
      </c>
      <c r="AM70" s="1271"/>
      <c r="AN70" s="1269"/>
      <c r="AO70" s="1269"/>
      <c r="AP70" s="1269"/>
      <c r="AQ70" s="1269"/>
      <c r="AR70" s="1269"/>
      <c r="AS70" s="1269"/>
      <c r="AT70" s="1269"/>
      <c r="AU70" s="1269"/>
      <c r="AV70" s="1269"/>
      <c r="AW70" s="1269"/>
      <c r="AX70" s="1193"/>
      <c r="AY70" s="1193"/>
      <c r="AZ70" s="1193"/>
      <c r="BA70" s="1193"/>
      <c r="BB70" s="1193"/>
      <c r="BC70" s="1193"/>
      <c r="BD70" s="1193"/>
      <c r="BE70" s="1193"/>
      <c r="BF70" s="1193"/>
    </row>
    <row r="71" spans="1:58" ht="18.75" customHeight="1">
      <c r="A71" s="1073" t="s">
        <v>1651</v>
      </c>
      <c r="B71" s="1125" t="s">
        <v>798</v>
      </c>
      <c r="C71" s="506" t="s">
        <v>1659</v>
      </c>
      <c r="D71" s="1123"/>
      <c r="E71" s="87"/>
      <c r="F71" s="1163"/>
      <c r="G71" s="1641">
        <v>0</v>
      </c>
      <c r="H71" s="499">
        <f ca="1">_xlfn.LET(_xlpm._今月から4ヶ月計画合計,
  SUM(
    OFFSET($A71,0,
      MATCH(
        EDATE(基準データ!$C$5,3),$A$1:$BD$1,1
      )-4,1,4)),
  IF($C71="","",_xlpm._今月から4ヶ月計画合計
)
)</f>
        <v>328</v>
      </c>
      <c r="I71" s="499">
        <f>IF($C71="","",
_xlfn.LET(
  _xlpm._見出し範囲,$L$1:$BF$1,
  _xlpm._行範囲,$L71:$BF71,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3317</v>
      </c>
      <c r="J71" s="499">
        <f>IF($C71="","",
_xlfn.LET(
  _xlpm._見出し範囲,'在庫使用計画 (法人)'!$L$1:$BF$1,
  _xlpm._行範囲,'在庫使用計画 (法人)'!$L71:$BF71,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5290</v>
      </c>
      <c r="K71" s="1413" t="str">
        <v>在庫なし</v>
      </c>
      <c r="L71" s="74"/>
      <c r="M71" s="74"/>
      <c r="N71" s="118"/>
      <c r="O71" s="121"/>
      <c r="P71" s="121"/>
      <c r="Q71" s="121"/>
      <c r="R71" s="121"/>
      <c r="S71" s="121"/>
      <c r="T71" s="1744"/>
      <c r="U71" s="1744"/>
      <c r="V71" s="1767"/>
      <c r="W71" s="77"/>
      <c r="X71" s="77"/>
      <c r="Y71" s="77"/>
      <c r="Z71" s="77"/>
      <c r="AA71" s="77"/>
      <c r="AB71" s="1766"/>
      <c r="AC71" s="1766"/>
      <c r="AD71" s="1782"/>
      <c r="AE71" s="1783"/>
      <c r="AF71" s="1783"/>
      <c r="AG71" s="1807"/>
      <c r="AH71" s="1784"/>
      <c r="AI71" s="1785"/>
      <c r="AJ71" s="1664"/>
      <c r="AK71" s="1664"/>
      <c r="AL71" s="1269"/>
      <c r="AM71" s="1269"/>
      <c r="AN71" s="1269"/>
      <c r="AO71" s="1269"/>
      <c r="AP71" s="1269"/>
      <c r="AQ71" s="1269">
        <v>75</v>
      </c>
      <c r="AR71" s="2111">
        <v>253</v>
      </c>
      <c r="AS71" s="2111">
        <v>236</v>
      </c>
      <c r="AT71" s="2111">
        <v>331</v>
      </c>
      <c r="AU71" s="2111">
        <v>353</v>
      </c>
      <c r="AV71" s="2111">
        <v>280</v>
      </c>
      <c r="AW71" s="2111">
        <v>370</v>
      </c>
      <c r="AX71" s="1842">
        <v>317</v>
      </c>
      <c r="AY71" s="1842">
        <v>260</v>
      </c>
      <c r="AZ71" s="1842">
        <v>257</v>
      </c>
      <c r="BA71" s="1842">
        <v>316</v>
      </c>
      <c r="BB71" s="1842">
        <v>269</v>
      </c>
      <c r="BC71" s="1193"/>
      <c r="BD71" s="1193"/>
      <c r="BE71" s="1193"/>
      <c r="BF71" s="1193"/>
    </row>
    <row r="72" spans="1:58" ht="18.75" customHeight="1">
      <c r="A72" s="1073" t="s">
        <v>1651</v>
      </c>
      <c r="B72" s="87" t="s">
        <v>670</v>
      </c>
      <c r="C72" s="62" t="s">
        <v>668</v>
      </c>
      <c r="D72" s="86" t="s">
        <v>1734</v>
      </c>
      <c r="E72" s="86" t="s">
        <v>438</v>
      </c>
      <c r="F72" s="1808"/>
      <c r="G72" s="1641">
        <v>45</v>
      </c>
      <c r="H72" s="499">
        <f ca="1">_xlfn.LET(_xlpm._今月から4ヶ月計画合計,
  SUM(
    OFFSET($A72,0,
      MATCH(
        EDATE(基準データ!$C$5,3),$A$1:$BD$1,1
      )-4,1,4)),
  IF($C72="","",_xlpm._今月から4ヶ月計画合計
)
)</f>
        <v>0</v>
      </c>
      <c r="I72" s="499">
        <f>IF($C72="","",
_xlfn.LET(
  _xlpm._見出し範囲,$L$1:$BF$1,
  _xlpm._行範囲,$L72:$BF72,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0</v>
      </c>
      <c r="J72" s="499">
        <f>IF($C72="","",
_xlfn.LET(
  _xlpm._見出し範囲,'在庫使用計画 (法人)'!$L$1:$BF$1,
  _xlpm._行範囲,'在庫使用計画 (法人)'!$L72:$BF72,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18.709677419354836</v>
      </c>
      <c r="K72" s="1413" t="str">
        <v>合計19、在庫+注残45のため不足</v>
      </c>
      <c r="L72" s="74">
        <v>50</v>
      </c>
      <c r="M72" s="74">
        <v>150</v>
      </c>
      <c r="N72" s="118">
        <v>70</v>
      </c>
      <c r="O72" s="121">
        <v>70</v>
      </c>
      <c r="P72" s="121">
        <v>70</v>
      </c>
      <c r="Q72" s="121">
        <v>100</v>
      </c>
      <c r="R72" s="121">
        <v>80</v>
      </c>
      <c r="S72" s="121">
        <v>80</v>
      </c>
      <c r="T72" s="1744">
        <v>0</v>
      </c>
      <c r="U72" s="1744">
        <v>0</v>
      </c>
      <c r="V72" s="1767">
        <v>0</v>
      </c>
      <c r="W72" s="62">
        <v>60</v>
      </c>
      <c r="X72" s="62">
        <v>150</v>
      </c>
      <c r="Y72" s="62">
        <v>40</v>
      </c>
      <c r="Z72" s="62">
        <v>50</v>
      </c>
      <c r="AA72" s="62">
        <v>50</v>
      </c>
      <c r="AB72" s="62">
        <v>50</v>
      </c>
      <c r="AC72" s="62">
        <v>150</v>
      </c>
      <c r="AD72" s="62">
        <v>70</v>
      </c>
      <c r="AE72" s="62">
        <v>136</v>
      </c>
      <c r="AF72" s="62">
        <v>250</v>
      </c>
      <c r="AG72" s="1283">
        <v>200</v>
      </c>
      <c r="AH72" s="1747">
        <v>280</v>
      </c>
      <c r="AI72" s="1739">
        <v>280</v>
      </c>
      <c r="AJ72" s="1269">
        <v>70</v>
      </c>
      <c r="AK72" s="1269">
        <v>150</v>
      </c>
      <c r="AL72" s="1269">
        <v>75</v>
      </c>
      <c r="AM72" s="1269">
        <v>200</v>
      </c>
      <c r="AN72" s="1269">
        <v>30</v>
      </c>
      <c r="AO72" s="1270">
        <v>0</v>
      </c>
      <c r="AP72" s="1270">
        <v>0</v>
      </c>
      <c r="AQ72" s="1270">
        <v>0</v>
      </c>
      <c r="AR72" s="1270">
        <v>0</v>
      </c>
      <c r="AS72" s="1270">
        <v>0</v>
      </c>
      <c r="AT72" s="1270">
        <v>0</v>
      </c>
      <c r="AU72" s="1193"/>
      <c r="AV72" s="1193"/>
      <c r="AW72" s="1193"/>
      <c r="AX72" s="1193"/>
      <c r="AY72" s="1193"/>
      <c r="AZ72" s="1193"/>
      <c r="BA72" s="1193"/>
      <c r="BB72" s="1193"/>
      <c r="BC72" s="1193"/>
      <c r="BD72" s="1193"/>
      <c r="BE72" s="1193"/>
      <c r="BF72" s="1193"/>
    </row>
    <row r="73" spans="1:58" ht="18.75" customHeight="1">
      <c r="A73" s="1073" t="s">
        <v>1651</v>
      </c>
      <c r="B73" s="97" t="s">
        <v>1842</v>
      </c>
      <c r="C73" s="62" t="s">
        <v>678</v>
      </c>
      <c r="D73" s="86" t="s">
        <v>1734</v>
      </c>
      <c r="E73" s="87" t="s">
        <v>438</v>
      </c>
      <c r="F73" s="1163" t="s">
        <v>20</v>
      </c>
      <c r="G73" s="1641">
        <v>442</v>
      </c>
      <c r="H73" s="499">
        <f ca="1">_xlfn.LET(_xlpm._今月から4ヶ月計画合計,
  SUM(
    OFFSET($A73,0,
      MATCH(
        EDATE(基準データ!$C$5,3),$A$1:$BD$1,1
      )-4,1,4)),
  IF($C73="","",_xlpm._今月から4ヶ月計画合計
)
)</f>
        <v>380</v>
      </c>
      <c r="I73" s="499">
        <f>IF($C73="","",
_xlfn.LET(
  _xlpm._見出し範囲,$L$1:$BF$1,
  _xlpm._行範囲,$L73:$BF73,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372.90322580645159</v>
      </c>
      <c r="J73" s="499">
        <f>IF($C73="","",
_xlfn.LET(
  _xlpm._見出し範囲,'在庫使用計画 (法人)'!$L$1:$BF$1,
  _xlpm._行範囲,'在庫使用計画 (法人)'!$L73:$BF73,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47.709677419354833</v>
      </c>
      <c r="K73" s="1413">
        <v>46266</v>
      </c>
      <c r="L73" s="74"/>
      <c r="M73" s="74"/>
      <c r="N73" s="118"/>
      <c r="O73" s="121"/>
      <c r="P73" s="121"/>
      <c r="Q73" s="121"/>
      <c r="R73" s="121"/>
      <c r="S73" s="121"/>
      <c r="T73" s="1744"/>
      <c r="U73" s="1744"/>
      <c r="V73" s="1767"/>
      <c r="W73" s="1781"/>
      <c r="X73" s="1764"/>
      <c r="Y73" s="1764"/>
      <c r="Z73" s="1765"/>
      <c r="AA73" s="77"/>
      <c r="AB73" s="1766"/>
      <c r="AC73" s="1766"/>
      <c r="AD73" s="1782"/>
      <c r="AE73" s="1783"/>
      <c r="AF73" s="1783"/>
      <c r="AG73" s="1783"/>
      <c r="AH73" s="1784"/>
      <c r="AI73" s="1785"/>
      <c r="AJ73" s="1168"/>
      <c r="AK73" s="1193">
        <v>5</v>
      </c>
      <c r="AL73" s="1193">
        <v>5</v>
      </c>
      <c r="AM73" s="1193">
        <v>5</v>
      </c>
      <c r="AN73" s="1193">
        <v>60</v>
      </c>
      <c r="AO73" s="1193">
        <v>110</v>
      </c>
      <c r="AP73" s="1193">
        <v>100</v>
      </c>
      <c r="AQ73" s="1193">
        <v>100</v>
      </c>
      <c r="AR73" s="1193">
        <v>70</v>
      </c>
      <c r="AS73" s="1193">
        <v>0</v>
      </c>
      <c r="AT73" s="1193">
        <v>0</v>
      </c>
      <c r="AU73" s="1193">
        <v>0</v>
      </c>
      <c r="AV73" s="1193">
        <v>0</v>
      </c>
      <c r="AW73" s="1193">
        <v>0</v>
      </c>
      <c r="AX73" s="1193">
        <v>0</v>
      </c>
      <c r="AY73" s="1193">
        <v>0</v>
      </c>
      <c r="AZ73" s="1193"/>
      <c r="BA73" s="1193"/>
      <c r="BB73" s="1193"/>
      <c r="BC73" s="1193"/>
      <c r="BD73" s="1193"/>
      <c r="BE73" s="1193"/>
      <c r="BF73" s="1193"/>
    </row>
    <row r="74" spans="1:58" ht="18.75" customHeight="1">
      <c r="A74" s="1073" t="s">
        <v>1651</v>
      </c>
      <c r="B74" s="1125" t="s">
        <v>661</v>
      </c>
      <c r="C74" s="506" t="s">
        <v>1817</v>
      </c>
      <c r="D74" s="1123"/>
      <c r="E74" s="87"/>
      <c r="F74" s="1163"/>
      <c r="G74" s="1641">
        <v>0</v>
      </c>
      <c r="H74" s="499">
        <f ca="1">_xlfn.LET(_xlpm._今月から4ヶ月計画合計,
  SUM(
    OFFSET($A74,0,
      MATCH(
        EDATE(基準データ!$C$5,3),$A$1:$BD$1,1
      )-4,1,4)),
  IF($C74="","",_xlpm._今月から4ヶ月計画合計
)
)</f>
        <v>0</v>
      </c>
      <c r="I74" s="499">
        <f>IF($C74="","",
_xlfn.LET(
  _xlpm._見出し範囲,$L$1:$BF$1,
  _xlpm._行範囲,$L74:$BF74,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0</v>
      </c>
      <c r="J74" s="499">
        <f>IF($C74="","",
_xlfn.LET(
  _xlpm._見出し範囲,'在庫使用計画 (法人)'!$L$1:$BF$1,
  _xlpm._行範囲,'在庫使用計画 (法人)'!$L74:$BF74,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0</v>
      </c>
      <c r="K74" s="1413" t="str">
        <v>在庫なし</v>
      </c>
      <c r="L74" s="74"/>
      <c r="M74" s="74"/>
      <c r="N74" s="118"/>
      <c r="O74" s="121"/>
      <c r="P74" s="121"/>
      <c r="Q74" s="121"/>
      <c r="R74" s="121"/>
      <c r="S74" s="121"/>
      <c r="T74" s="1744"/>
      <c r="U74" s="1744"/>
      <c r="V74" s="1767"/>
      <c r="W74" s="77"/>
      <c r="X74" s="77"/>
      <c r="Y74" s="77"/>
      <c r="Z74" s="77"/>
      <c r="AA74" s="77"/>
      <c r="AB74" s="1766"/>
      <c r="AC74" s="1766"/>
      <c r="AD74" s="1782"/>
      <c r="AE74" s="1783"/>
      <c r="AF74" s="1783"/>
      <c r="AG74" s="1807"/>
      <c r="AH74" s="1784"/>
      <c r="AI74" s="1785"/>
      <c r="AJ74" s="1664"/>
      <c r="AK74" s="1664"/>
      <c r="AL74" s="1269"/>
      <c r="AM74" s="1269"/>
      <c r="AN74" s="1269"/>
      <c r="AO74" s="1269"/>
      <c r="AP74" s="1269"/>
      <c r="AQ74" s="1269"/>
      <c r="AR74" s="1269"/>
      <c r="AS74" s="1269"/>
      <c r="AT74" s="1269"/>
      <c r="AU74" s="1269"/>
      <c r="AV74" s="1269"/>
      <c r="AW74" s="1269"/>
      <c r="AX74" s="1269"/>
      <c r="AY74" s="1269"/>
      <c r="AZ74" s="1269"/>
      <c r="BA74" s="1269"/>
      <c r="BB74" s="1269"/>
      <c r="BC74" s="1193"/>
      <c r="BD74" s="1193"/>
      <c r="BE74" s="1193"/>
      <c r="BF74" s="1193"/>
    </row>
    <row r="75" spans="1:58" ht="18.75" customHeight="1">
      <c r="A75" s="1080"/>
      <c r="B75" s="87"/>
      <c r="C75" s="86"/>
      <c r="D75" s="62"/>
      <c r="E75" s="86"/>
      <c r="F75" s="1808"/>
      <c r="G75" s="1641" t="str">
        <v/>
      </c>
      <c r="H75" s="499" t="str">
        <f ca="1">_xlfn.LET(_xlpm._今月から4ヶ月計画合計,
  SUM(
    OFFSET($A75,0,
      MATCH(
        EDATE(基準データ!$C$5,3),$A$1:$BD$1,1
      )-4,1,4)),
  IF($C75="","",_xlpm._今月から4ヶ月計画合計
)
)</f>
        <v/>
      </c>
      <c r="I75" s="499" t="str">
        <f>IF($C75="","",
_xlfn.LET(
  _xlpm._見出し範囲,$L$1:$BF$1,
  _xlpm._行範囲,$L75:$BF75,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
      </c>
      <c r="J75" s="499" t="str">
        <f>IF($C75="","",
_xlfn.LET(
  _xlpm._見出し範囲,'在庫使用計画 (法人)'!$L$1:$BF$1,
  _xlpm._行範囲,'在庫使用計画 (法人)'!$L75:$BF75,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
      </c>
      <c r="K75" s="1413" t="str">
        <v/>
      </c>
      <c r="L75" s="74"/>
      <c r="M75" s="74"/>
      <c r="N75" s="118"/>
      <c r="O75" s="121"/>
      <c r="P75" s="121"/>
      <c r="Q75" s="121"/>
      <c r="R75" s="121"/>
      <c r="S75" s="121"/>
      <c r="T75" s="1744"/>
      <c r="U75" s="1744"/>
      <c r="V75" s="1767" t="s">
        <v>1317</v>
      </c>
      <c r="W75" s="1781" t="s">
        <v>1317</v>
      </c>
      <c r="X75" s="1764" t="s">
        <v>1317</v>
      </c>
      <c r="Y75" s="1764" t="s">
        <v>1317</v>
      </c>
      <c r="Z75" s="77" t="s">
        <v>1317</v>
      </c>
      <c r="AA75" s="1809" t="s">
        <v>1317</v>
      </c>
      <c r="AB75" s="1789" t="s">
        <v>1317</v>
      </c>
      <c r="AC75" s="1789" t="s">
        <v>1317</v>
      </c>
      <c r="AD75" s="77" t="s">
        <v>1317</v>
      </c>
      <c r="AE75" s="1809" t="s">
        <v>1317</v>
      </c>
      <c r="AF75" s="1809" t="s">
        <v>1317</v>
      </c>
      <c r="AG75" s="491" t="s">
        <v>1317</v>
      </c>
      <c r="AH75" s="1747" t="s">
        <v>1317</v>
      </c>
      <c r="AI75" s="1739" t="s">
        <v>1317</v>
      </c>
      <c r="AJ75" s="1193"/>
      <c r="AK75" s="1193"/>
      <c r="AL75" s="1193"/>
      <c r="AM75" s="1193"/>
      <c r="AN75" s="1193"/>
      <c r="AO75" s="1193"/>
      <c r="AP75" s="1193"/>
      <c r="AQ75" s="1193"/>
      <c r="AR75" s="1193"/>
      <c r="AS75" s="1193"/>
      <c r="AT75" s="1193"/>
      <c r="AU75" s="1193"/>
      <c r="AV75" s="1193"/>
      <c r="AW75" s="1193"/>
      <c r="AX75" s="1193"/>
      <c r="AY75" s="1193"/>
      <c r="AZ75" s="1193"/>
      <c r="BA75" s="1193"/>
      <c r="BB75" s="1193"/>
      <c r="BC75" s="1193"/>
      <c r="BD75" s="1193"/>
      <c r="BE75" s="1193"/>
      <c r="BF75" s="1193"/>
    </row>
    <row r="76" spans="1:58" ht="18.75" customHeight="1">
      <c r="A76" s="1097" t="s">
        <v>1473</v>
      </c>
      <c r="B76" s="304" t="s">
        <v>726</v>
      </c>
      <c r="C76" s="305" t="s">
        <v>724</v>
      </c>
      <c r="D76" s="305" t="s">
        <v>1729</v>
      </c>
      <c r="E76" s="108" t="s">
        <v>438</v>
      </c>
      <c r="F76" s="306"/>
      <c r="G76" s="1641">
        <v>62</v>
      </c>
      <c r="H76" s="499">
        <f ca="1">_xlfn.LET(_xlpm._今月から4ヶ月計画合計,
  SUM(
    OFFSET($A76,0,
      MATCH(
        EDATE(基準データ!$C$5,3),$A$1:$BD$1,1
      )-4,1,4)),
  IF($C76="","",_xlpm._今月から4ヶ月計画合計
)
)</f>
        <v>0</v>
      </c>
      <c r="I76" s="499">
        <f>IF($C76="","",
_xlfn.LET(
  _xlpm._見出し範囲,$L$1:$BF$1,
  _xlpm._行範囲,$L76:$BF76,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0</v>
      </c>
      <c r="J76" s="499">
        <f>IF($C76="","",
_xlfn.LET(
  _xlpm._見出し範囲,'在庫使用計画 (法人)'!$L$1:$BF$1,
  _xlpm._行範囲,'在庫使用計画 (法人)'!$L76:$BF76,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83.774193548387103</v>
      </c>
      <c r="K76" s="1413">
        <v>46204</v>
      </c>
      <c r="L76" s="1810"/>
      <c r="M76" s="1810"/>
      <c r="N76" s="1810"/>
      <c r="O76" s="1810"/>
      <c r="P76" s="1810"/>
      <c r="Q76" s="1810"/>
      <c r="R76" s="1810"/>
      <c r="S76" s="180"/>
      <c r="T76" s="1811">
        <v>30</v>
      </c>
      <c r="U76" s="1811">
        <v>30</v>
      </c>
      <c r="V76" s="1776">
        <v>40</v>
      </c>
      <c r="W76" s="1777">
        <v>30</v>
      </c>
      <c r="X76" s="1777">
        <v>30</v>
      </c>
      <c r="Y76" s="1777">
        <v>80</v>
      </c>
      <c r="Z76" s="1807">
        <v>40</v>
      </c>
      <c r="AA76" s="1807">
        <v>40</v>
      </c>
      <c r="AB76" s="1807">
        <v>40</v>
      </c>
      <c r="AC76" s="1812">
        <v>0</v>
      </c>
      <c r="AD76" s="1813">
        <v>16</v>
      </c>
      <c r="AE76" s="1813">
        <v>18</v>
      </c>
      <c r="AF76" s="1813">
        <v>16</v>
      </c>
      <c r="AG76" s="1813">
        <v>16</v>
      </c>
      <c r="AH76" s="1814">
        <v>20</v>
      </c>
      <c r="AI76" s="1739">
        <v>20</v>
      </c>
      <c r="AJ76" s="1168">
        <v>5</v>
      </c>
      <c r="AK76" s="1791" t="s">
        <v>1843</v>
      </c>
      <c r="AL76" s="1801"/>
      <c r="AM76" s="1801"/>
      <c r="AN76" s="1801"/>
      <c r="AO76" s="1801"/>
      <c r="AP76" s="1801"/>
      <c r="AQ76" s="1801"/>
      <c r="AR76" s="1801"/>
      <c r="AS76" s="1801"/>
      <c r="AT76" s="1664"/>
      <c r="AU76" s="1168"/>
      <c r="AV76" s="1168"/>
      <c r="AW76" s="1168"/>
      <c r="AX76" s="1168"/>
      <c r="AY76" s="1168"/>
      <c r="AZ76" s="1168"/>
      <c r="BA76" s="1168"/>
      <c r="BB76" s="1168"/>
      <c r="BC76" s="1168"/>
      <c r="BD76" s="1168"/>
      <c r="BE76" s="1168"/>
      <c r="BF76" s="1168"/>
    </row>
    <row r="77" spans="1:58" ht="18.75" customHeight="1">
      <c r="A77" s="1097" t="s">
        <v>1473</v>
      </c>
      <c r="B77" s="304" t="s">
        <v>779</v>
      </c>
      <c r="C77" s="305" t="s">
        <v>777</v>
      </c>
      <c r="D77" s="305" t="s">
        <v>1731</v>
      </c>
      <c r="E77" s="108" t="s">
        <v>438</v>
      </c>
      <c r="F77" s="306"/>
      <c r="G77" s="1641">
        <v>0</v>
      </c>
      <c r="H77" s="499">
        <f ca="1">_xlfn.LET(_xlpm._今月から4ヶ月計画合計,
  SUM(
    OFFSET($A77,0,
      MATCH(
        EDATE(基準データ!$C$5,3),$A$1:$BD$1,1
      )-4,1,4)),
  IF($C77="","",_xlpm._今月から4ヶ月計画合計
)
)</f>
        <v>0</v>
      </c>
      <c r="I77" s="499">
        <f>IF($C77="","",
_xlfn.LET(
  _xlpm._見出し範囲,$L$1:$BF$1,
  _xlpm._行範囲,$L77:$BF77,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0</v>
      </c>
      <c r="J77" s="499">
        <f>IF($C77="","",
_xlfn.LET(
  _xlpm._見出し範囲,'在庫使用計画 (法人)'!$L$1:$BF$1,
  _xlpm._行範囲,'在庫使用計画 (法人)'!$L77:$BF77,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0</v>
      </c>
      <c r="K77" s="1413" t="str">
        <v>在庫なし</v>
      </c>
      <c r="L77" s="1810"/>
      <c r="M77" s="1810"/>
      <c r="N77" s="1810"/>
      <c r="O77" s="1810"/>
      <c r="P77" s="1810"/>
      <c r="Q77" s="1810"/>
      <c r="R77" s="1810"/>
      <c r="S77" s="180"/>
      <c r="T77" s="1815"/>
      <c r="U77" s="1815"/>
      <c r="V77" s="1776">
        <v>10</v>
      </c>
      <c r="W77" s="1816">
        <v>20</v>
      </c>
      <c r="X77" s="1816">
        <v>20</v>
      </c>
      <c r="Y77" s="1816">
        <v>80</v>
      </c>
      <c r="Z77" s="1777">
        <v>40</v>
      </c>
      <c r="AA77" s="1777">
        <v>40</v>
      </c>
      <c r="AB77" s="1777">
        <v>40</v>
      </c>
      <c r="AC77" s="1777">
        <v>30</v>
      </c>
      <c r="AD77" s="1817">
        <v>23</v>
      </c>
      <c r="AE77" s="1776">
        <v>30</v>
      </c>
      <c r="AF77" s="1776">
        <v>27</v>
      </c>
      <c r="AG77" s="1776">
        <v>22</v>
      </c>
      <c r="AH77" s="1784">
        <v>28</v>
      </c>
      <c r="AI77" s="1739">
        <v>29</v>
      </c>
      <c r="AJ77" s="1193">
        <v>0</v>
      </c>
      <c r="AK77" s="1791" t="s">
        <v>1843</v>
      </c>
      <c r="AL77" s="1801"/>
      <c r="AM77" s="1801"/>
      <c r="AN77" s="1801"/>
      <c r="AO77" s="1801"/>
      <c r="AP77" s="1801"/>
      <c r="AQ77" s="1801"/>
      <c r="AR77" s="1801"/>
      <c r="AS77" s="1801"/>
      <c r="AT77" s="1664"/>
      <c r="AU77" s="1168"/>
      <c r="AV77" s="1168"/>
      <c r="AW77" s="1168"/>
      <c r="AX77" s="1168"/>
      <c r="AY77" s="1168"/>
      <c r="AZ77" s="1168"/>
      <c r="BA77" s="1168"/>
      <c r="BB77" s="1168"/>
      <c r="BC77" s="1168"/>
      <c r="BD77" s="1168"/>
      <c r="BE77" s="1168"/>
      <c r="BF77" s="1168"/>
    </row>
    <row r="78" spans="1:58" ht="18.75" customHeight="1">
      <c r="A78" s="1097" t="s">
        <v>1473</v>
      </c>
      <c r="B78" s="304" t="s">
        <v>783</v>
      </c>
      <c r="C78" s="305" t="s">
        <v>781</v>
      </c>
      <c r="D78" s="305" t="s">
        <v>1738</v>
      </c>
      <c r="E78" s="108" t="s">
        <v>438</v>
      </c>
      <c r="F78" s="306"/>
      <c r="G78" s="1641">
        <v>625</v>
      </c>
      <c r="H78" s="499">
        <f ca="1">_xlfn.LET(_xlpm._今月から4ヶ月計画合計,
  SUM(
    OFFSET($A78,0,
      MATCH(
        EDATE(基準データ!$C$5,3),$A$1:$BD$1,1
      )-4,1,4)),
  IF($C78="","",_xlpm._今月から4ヶ月計画合計
)
)</f>
        <v>0</v>
      </c>
      <c r="I78" s="499">
        <f>IF($C78="","",
_xlfn.LET(
  _xlpm._見出し範囲,$L$1:$BF$1,
  _xlpm._行範囲,$L78:$BF78,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0</v>
      </c>
      <c r="J78" s="499">
        <f>IF($C78="","",
_xlfn.LET(
  _xlpm._見出し範囲,'在庫使用計画 (法人)'!$L$1:$BF$1,
  _xlpm._行範囲,'在庫使用計画 (法人)'!$L78:$BF78,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508.38709677419354</v>
      </c>
      <c r="K78" s="1413">
        <v>46204</v>
      </c>
      <c r="L78" s="1810"/>
      <c r="M78" s="1810"/>
      <c r="N78" s="1810"/>
      <c r="O78" s="1810"/>
      <c r="P78" s="1810"/>
      <c r="Q78" s="1810"/>
      <c r="R78" s="1810"/>
      <c r="S78" s="180"/>
      <c r="T78" s="1811">
        <v>30</v>
      </c>
      <c r="U78" s="1811">
        <v>30</v>
      </c>
      <c r="V78" s="1818">
        <v>20</v>
      </c>
      <c r="W78" s="1783">
        <v>20</v>
      </c>
      <c r="X78" s="1807">
        <v>20</v>
      </c>
      <c r="Y78" s="1807">
        <v>80</v>
      </c>
      <c r="Z78" s="1777">
        <v>90</v>
      </c>
      <c r="AA78" s="1777">
        <v>80</v>
      </c>
      <c r="AB78" s="1777">
        <v>80</v>
      </c>
      <c r="AC78" s="1777">
        <v>30</v>
      </c>
      <c r="AD78" s="1817">
        <v>43</v>
      </c>
      <c r="AE78" s="1783">
        <v>55</v>
      </c>
      <c r="AF78" s="1783">
        <v>50</v>
      </c>
      <c r="AG78" s="1783">
        <v>10</v>
      </c>
      <c r="AH78" s="1784">
        <v>13</v>
      </c>
      <c r="AI78" s="1739">
        <v>13</v>
      </c>
      <c r="AJ78" s="1168">
        <v>10</v>
      </c>
      <c r="AK78" s="1791" t="s">
        <v>1843</v>
      </c>
      <c r="AL78" s="1801"/>
      <c r="AM78" s="1801"/>
      <c r="AN78" s="1801"/>
      <c r="AO78" s="1801"/>
      <c r="AP78" s="1801"/>
      <c r="AQ78" s="1801"/>
      <c r="AR78" s="1801"/>
      <c r="AS78" s="1801"/>
      <c r="AT78" s="1664"/>
      <c r="AU78" s="1168"/>
      <c r="AV78" s="1168"/>
      <c r="AW78" s="1168"/>
      <c r="AX78" s="1168"/>
      <c r="AY78" s="1168"/>
      <c r="AZ78" s="1168"/>
      <c r="BA78" s="1168"/>
      <c r="BB78" s="1168"/>
      <c r="BC78" s="1168"/>
      <c r="BD78" s="1168"/>
      <c r="BE78" s="1168"/>
      <c r="BF78" s="1168"/>
    </row>
    <row r="79" spans="1:58" ht="18.75" customHeight="1">
      <c r="A79" s="1097" t="s">
        <v>1473</v>
      </c>
      <c r="B79" s="1126" t="s">
        <v>721</v>
      </c>
      <c r="C79" s="717" t="s">
        <v>718</v>
      </c>
      <c r="D79" s="717" t="s">
        <v>1448</v>
      </c>
      <c r="E79" s="1126" t="s">
        <v>438</v>
      </c>
      <c r="F79" s="1773"/>
      <c r="G79" s="1641">
        <v>1001</v>
      </c>
      <c r="H79" s="499">
        <f ca="1">_xlfn.LET(_xlpm._今月から4ヶ月計画合計,
  SUM(
    OFFSET($A79,0,
      MATCH(
        EDATE(基準データ!$C$5,3),$A$1:$BD$1,1
      )-4,1,4)),
  IF($C79="","",_xlpm._今月から4ヶ月計画合計
)
)</f>
        <v>42</v>
      </c>
      <c r="I79" s="499">
        <f>IF($C79="","",
_xlfn.LET(
  _xlpm._見出し範囲,$L$1:$BF$1,
  _xlpm._行範囲,$L79:$BF79,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102.2258064516129</v>
      </c>
      <c r="J79" s="499">
        <f>IF($C79="","",
_xlfn.LET(
  _xlpm._見出し範囲,'在庫使用計画 (法人)'!$L$1:$BF$1,
  _xlpm._行範囲,'在庫使用計画 (法人)'!$L79:$BF79,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2323.2258064516127</v>
      </c>
      <c r="K79" s="1413">
        <v>46296</v>
      </c>
      <c r="L79" s="1497"/>
      <c r="M79" s="1497"/>
      <c r="N79" s="1498"/>
      <c r="O79" s="422"/>
      <c r="P79" s="422"/>
      <c r="Q79" s="422"/>
      <c r="R79" s="422"/>
      <c r="S79" s="422"/>
      <c r="T79" s="422"/>
      <c r="U79" s="422"/>
      <c r="V79" s="422"/>
      <c r="W79" s="361"/>
      <c r="X79" s="361"/>
      <c r="Y79" s="361"/>
      <c r="Z79" s="361"/>
      <c r="AA79" s="361"/>
      <c r="AB79" s="361"/>
      <c r="AC79" s="361"/>
      <c r="AD79" s="361"/>
      <c r="AE79" s="224"/>
      <c r="AF79" s="224"/>
      <c r="AG79" s="224"/>
      <c r="AH79" s="1774"/>
      <c r="AI79" s="1151"/>
      <c r="AJ79" s="1151">
        <v>20</v>
      </c>
      <c r="AK79" s="1151">
        <v>30</v>
      </c>
      <c r="AL79" s="1193">
        <v>20</v>
      </c>
      <c r="AM79" s="1168">
        <v>12</v>
      </c>
      <c r="AN79" s="1168">
        <v>10</v>
      </c>
      <c r="AO79" s="1168">
        <v>12</v>
      </c>
      <c r="AP79" s="1168">
        <v>10</v>
      </c>
      <c r="AQ79" s="1168">
        <v>10</v>
      </c>
      <c r="AR79" s="1168">
        <v>10</v>
      </c>
      <c r="AS79" s="1168">
        <v>9</v>
      </c>
      <c r="AT79" s="1664">
        <v>13</v>
      </c>
      <c r="AU79" s="1193">
        <v>14</v>
      </c>
      <c r="AV79" s="1193">
        <v>10</v>
      </c>
      <c r="AW79" s="1193">
        <v>15</v>
      </c>
      <c r="AX79" s="1193"/>
      <c r="AY79" s="1193"/>
      <c r="AZ79" s="1193"/>
      <c r="BA79" s="1193"/>
      <c r="BB79" s="1193"/>
      <c r="BC79" s="1193"/>
      <c r="BD79" s="1193"/>
      <c r="BE79" s="1193"/>
      <c r="BF79" s="1193"/>
    </row>
    <row r="80" spans="1:58" ht="18.75" customHeight="1">
      <c r="A80" s="1097" t="s">
        <v>1473</v>
      </c>
      <c r="B80" s="1126" t="s">
        <v>773</v>
      </c>
      <c r="C80" s="717" t="s">
        <v>771</v>
      </c>
      <c r="D80" s="717" t="s">
        <v>1450</v>
      </c>
      <c r="E80" s="1126" t="s">
        <v>438</v>
      </c>
      <c r="F80" s="1773"/>
      <c r="G80" s="1641">
        <v>1247</v>
      </c>
      <c r="H80" s="499">
        <f ca="1">_xlfn.LET(_xlpm._今月から4ヶ月計画合計,
  SUM(
    OFFSET($A80,0,
      MATCH(
        EDATE(基準データ!$C$5,3),$A$1:$BD$1,1
      )-4,1,4)),
  IF($C80="","",_xlpm._今月から4ヶ月計画合計
)
)</f>
        <v>34</v>
      </c>
      <c r="I80" s="499">
        <f>IF($C80="","",
_xlfn.LET(
  _xlpm._見出し範囲,$L$1:$BF$1,
  _xlpm._行範囲,$L80:$BF80,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82.354838709677423</v>
      </c>
      <c r="J80" s="499">
        <f>IF($C80="","",
_xlfn.LET(
  _xlpm._見出し範囲,'在庫使用計画 (法人)'!$L$1:$BF$1,
  _xlpm._行範囲,'在庫使用計画 (法人)'!$L80:$BF80,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3753.0645161290322</v>
      </c>
      <c r="K80" s="1413">
        <v>46296</v>
      </c>
      <c r="L80" s="1497"/>
      <c r="M80" s="1497"/>
      <c r="N80" s="1498"/>
      <c r="O80" s="422"/>
      <c r="P80" s="422"/>
      <c r="Q80" s="422"/>
      <c r="R80" s="422"/>
      <c r="S80" s="422"/>
      <c r="T80" s="422"/>
      <c r="U80" s="422"/>
      <c r="V80" s="422"/>
      <c r="W80" s="361"/>
      <c r="X80" s="361"/>
      <c r="Y80" s="361"/>
      <c r="Z80" s="361"/>
      <c r="AA80" s="361"/>
      <c r="AB80" s="361"/>
      <c r="AC80" s="361"/>
      <c r="AD80" s="361"/>
      <c r="AE80" s="224"/>
      <c r="AF80" s="224"/>
      <c r="AG80" s="224"/>
      <c r="AH80" s="1774"/>
      <c r="AI80" s="1151"/>
      <c r="AJ80" s="1151">
        <v>30</v>
      </c>
      <c r="AK80" s="1151">
        <v>40</v>
      </c>
      <c r="AL80" s="1193">
        <v>15</v>
      </c>
      <c r="AM80" s="1168">
        <v>8</v>
      </c>
      <c r="AN80" s="1168">
        <v>8</v>
      </c>
      <c r="AO80" s="1168">
        <v>10</v>
      </c>
      <c r="AP80" s="1168">
        <v>8</v>
      </c>
      <c r="AQ80" s="1168">
        <v>8</v>
      </c>
      <c r="AR80" s="1168">
        <v>8</v>
      </c>
      <c r="AS80" s="1168">
        <v>7</v>
      </c>
      <c r="AT80" s="1664">
        <v>10</v>
      </c>
      <c r="AU80" s="1193">
        <v>11</v>
      </c>
      <c r="AV80" s="1193">
        <v>9</v>
      </c>
      <c r="AW80" s="1193">
        <v>12</v>
      </c>
      <c r="AX80" s="1193"/>
      <c r="AY80" s="1193"/>
      <c r="AZ80" s="1193"/>
      <c r="BA80" s="1193"/>
      <c r="BB80" s="1193"/>
      <c r="BC80" s="1193"/>
      <c r="BD80" s="1193"/>
      <c r="BE80" s="1193"/>
      <c r="BF80" s="1193"/>
    </row>
    <row r="81" spans="1:58" ht="18.75" customHeight="1">
      <c r="A81" s="1080"/>
      <c r="B81" s="97"/>
      <c r="C81" s="86"/>
      <c r="D81" s="62"/>
      <c r="E81" s="87"/>
      <c r="F81" s="87"/>
      <c r="G81" s="1641" t="str">
        <v/>
      </c>
      <c r="H81" s="499" t="str">
        <f ca="1">_xlfn.LET(_xlpm._今月から4ヶ月計画合計,
  SUM(
    OFFSET($A81,0,
      MATCH(
        EDATE(基準データ!$C$5,3),$A$1:$BD$1,1
      )-4,1,4)),
  IF($C81="","",_xlpm._今月から4ヶ月計画合計
)
)</f>
        <v/>
      </c>
      <c r="I81" s="499" t="str">
        <f>IF($C81="","",
_xlfn.LET(
  _xlpm._見出し範囲,$L$1:$BF$1,
  _xlpm._行範囲,$L81:$BF81,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
      </c>
      <c r="J81" s="499" t="str">
        <f>IF($C81="","",
_xlfn.LET(
  _xlpm._見出し範囲,'在庫使用計画 (法人)'!$L$1:$BF$1,
  _xlpm._行範囲,'在庫使用計画 (法人)'!$L81:$BF81,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
      </c>
      <c r="K81" s="1413" t="str">
        <v/>
      </c>
      <c r="L81" s="180"/>
      <c r="M81" s="180"/>
      <c r="N81" s="180"/>
      <c r="O81" s="180"/>
      <c r="P81" s="180"/>
      <c r="Q81" s="180"/>
      <c r="R81" s="180"/>
      <c r="S81" s="299"/>
      <c r="T81" s="224"/>
      <c r="U81" s="224"/>
      <c r="V81" s="224"/>
      <c r="W81" s="224"/>
      <c r="X81" s="224"/>
      <c r="Y81" s="224"/>
      <c r="Z81" s="224"/>
      <c r="AA81" s="224"/>
      <c r="AB81" s="224"/>
      <c r="AC81" s="224"/>
      <c r="AD81" s="224"/>
      <c r="AE81" s="224"/>
      <c r="AF81" s="224"/>
      <c r="AG81" s="224"/>
      <c r="AH81" s="1774"/>
      <c r="AI81" s="1149"/>
      <c r="AJ81" s="1168"/>
      <c r="AK81" s="1151"/>
      <c r="AL81" s="1151"/>
      <c r="AM81" s="1151"/>
      <c r="AN81" s="1151"/>
      <c r="AO81" s="1151"/>
      <c r="AP81" s="1151"/>
      <c r="AQ81" s="1151"/>
      <c r="AR81" s="1151"/>
      <c r="AS81" s="1151"/>
      <c r="AT81" s="1664"/>
      <c r="AU81" s="1193"/>
      <c r="AV81" s="1193"/>
      <c r="AW81" s="1193"/>
      <c r="AX81" s="1193"/>
      <c r="AY81" s="1193"/>
      <c r="AZ81" s="1193"/>
      <c r="BA81" s="1193"/>
      <c r="BB81" s="1193"/>
      <c r="BC81" s="1193"/>
      <c r="BD81" s="1193"/>
      <c r="BE81" s="1193"/>
      <c r="BF81" s="1193"/>
    </row>
    <row r="82" spans="1:58" ht="18.75" customHeight="1">
      <c r="A82" s="1097" t="s">
        <v>1844</v>
      </c>
      <c r="B82" s="87" t="s">
        <v>862</v>
      </c>
      <c r="C82" s="86" t="s">
        <v>860</v>
      </c>
      <c r="D82" s="1640" t="s">
        <v>1845</v>
      </c>
      <c r="E82" s="108" t="s">
        <v>438</v>
      </c>
      <c r="F82" s="1574"/>
      <c r="G82" s="499">
        <v>0</v>
      </c>
      <c r="H82" s="499">
        <f ca="1">_xlfn.LET(_xlpm._今月から4ヶ月計画合計,
  SUM(
    OFFSET($A82,0,
      MATCH(
        EDATE(基準データ!$C$5,3),$A$1:$BD$1,1
      )-4,1,4)),
  IF($C82="","",_xlpm._今月から4ヶ月計画合計
)
)</f>
        <v>0</v>
      </c>
      <c r="I82" s="499">
        <f>IF($C82="","",
_xlfn.LET(
  _xlpm._見出し範囲,$L$1:$BF$1,
  _xlpm._行範囲,$L82:$BF82,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0</v>
      </c>
      <c r="J82" s="499">
        <f>IF($C82="","",
_xlfn.LET(
  _xlpm._見出し範囲,'在庫使用計画 (法人)'!$L$1:$BF$1,
  _xlpm._行範囲,'在庫使用計画 (法人)'!$L82:$BF82,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0</v>
      </c>
      <c r="K82" s="1413" t="str">
        <v>在庫なし</v>
      </c>
      <c r="L82" s="180"/>
      <c r="M82" s="180"/>
      <c r="N82" s="1328"/>
      <c r="O82" s="121">
        <v>40</v>
      </c>
      <c r="P82" s="121">
        <v>70</v>
      </c>
      <c r="Q82" s="121">
        <v>80</v>
      </c>
      <c r="R82" s="121">
        <v>100</v>
      </c>
      <c r="S82" s="121">
        <v>100</v>
      </c>
      <c r="T82" s="1744">
        <v>60</v>
      </c>
      <c r="U82" s="1744">
        <v>60</v>
      </c>
      <c r="V82" s="1767">
        <v>80</v>
      </c>
      <c r="W82" s="1768">
        <v>70</v>
      </c>
      <c r="X82" s="1769">
        <v>60</v>
      </c>
      <c r="Y82" s="1764">
        <v>15</v>
      </c>
      <c r="Z82" s="1819" t="s">
        <v>1317</v>
      </c>
      <c r="AA82" s="1819" t="s">
        <v>1317</v>
      </c>
      <c r="AB82" s="1820" t="s">
        <v>1317</v>
      </c>
      <c r="AC82" s="1549">
        <v>30</v>
      </c>
      <c r="AD82" s="1813">
        <v>30</v>
      </c>
      <c r="AE82" s="1797"/>
      <c r="AF82" s="1779"/>
      <c r="AG82" s="1779"/>
      <c r="AH82" s="1780"/>
      <c r="AI82" s="1770"/>
      <c r="AJ82" s="1771"/>
      <c r="AK82" s="1771"/>
      <c r="AL82" s="1771"/>
      <c r="AM82" s="1771"/>
      <c r="AN82" s="1771"/>
      <c r="AO82" s="1771"/>
      <c r="AP82" s="1771"/>
      <c r="AQ82" s="1771"/>
      <c r="AR82" s="1771"/>
      <c r="AS82" s="1771"/>
      <c r="AT82" s="1772"/>
      <c r="AU82" s="1168"/>
      <c r="AV82" s="1168"/>
      <c r="AW82" s="1168"/>
      <c r="AX82" s="1168"/>
      <c r="AY82" s="1168"/>
      <c r="AZ82" s="1168"/>
      <c r="BA82" s="1168"/>
      <c r="BB82" s="1168"/>
      <c r="BC82" s="1168"/>
      <c r="BD82" s="1168"/>
      <c r="BE82" s="1168"/>
      <c r="BF82" s="1168"/>
    </row>
    <row r="83" spans="1:58" ht="18.75" customHeight="1">
      <c r="A83" s="1097" t="s">
        <v>1844</v>
      </c>
      <c r="B83" s="97" t="s">
        <v>709</v>
      </c>
      <c r="C83" s="86" t="s">
        <v>707</v>
      </c>
      <c r="D83" s="62" t="s">
        <v>1459</v>
      </c>
      <c r="E83" s="87" t="s">
        <v>438</v>
      </c>
      <c r="F83" s="87" t="s">
        <v>1725</v>
      </c>
      <c r="G83" s="1641">
        <v>63</v>
      </c>
      <c r="H83" s="499">
        <f ca="1">_xlfn.LET(_xlpm._今月から4ヶ月計画合計,
  SUM(
    OFFSET($A83,0,
      MATCH(
        EDATE(基準データ!$C$5,3),$A$1:$BD$1,1
      )-4,1,4)),
  IF($C83="","",_xlpm._今月から4ヶ月計画合計
)
)</f>
        <v>0</v>
      </c>
      <c r="I83" s="499">
        <f>IF($C83="","",
_xlfn.LET(
  _xlpm._見出し範囲,$L$1:$BF$1,
  _xlpm._行範囲,$L83:$BF83,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0</v>
      </c>
      <c r="J83" s="499">
        <f>IF($C83="","",
_xlfn.LET(
  _xlpm._見出し範囲,'在庫使用計画 (法人)'!$L$1:$BF$1,
  _xlpm._行範囲,'在庫使用計画 (法人)'!$L83:$BF83,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0</v>
      </c>
      <c r="K83" s="1413" t="str">
        <v>計画なし</v>
      </c>
      <c r="L83" s="180"/>
      <c r="M83" s="180"/>
      <c r="N83" s="180"/>
      <c r="O83" s="180"/>
      <c r="P83" s="180"/>
      <c r="Q83" s="180"/>
      <c r="R83" s="180"/>
      <c r="S83" s="299"/>
      <c r="T83" s="224"/>
      <c r="U83" s="224"/>
      <c r="V83" s="224"/>
      <c r="W83" s="224"/>
      <c r="X83" s="224"/>
      <c r="Y83" s="224"/>
      <c r="Z83" s="224"/>
      <c r="AA83" s="224"/>
      <c r="AB83" s="224"/>
      <c r="AC83" s="224"/>
      <c r="AD83" s="224"/>
      <c r="AE83" s="224"/>
      <c r="AF83" s="224"/>
      <c r="AG83" s="224"/>
      <c r="AH83" s="1774"/>
      <c r="AI83" s="1149"/>
      <c r="AJ83" s="1151"/>
      <c r="AK83" s="1151"/>
      <c r="AL83" s="1151"/>
      <c r="AM83" s="1151"/>
      <c r="AN83" s="1151"/>
      <c r="AO83" s="1151"/>
      <c r="AP83" s="1151"/>
      <c r="AQ83" s="1151"/>
      <c r="AR83" s="1151"/>
      <c r="AS83" s="1151"/>
      <c r="AT83" s="1664"/>
      <c r="AU83" s="1193"/>
      <c r="AV83" s="1193"/>
      <c r="AW83" s="1193"/>
      <c r="AX83" s="1193"/>
      <c r="AY83" s="1193"/>
      <c r="AZ83" s="1193"/>
      <c r="BA83" s="1193"/>
      <c r="BB83" s="1193"/>
      <c r="BC83" s="1193"/>
      <c r="BD83" s="1193"/>
      <c r="BE83" s="1193"/>
      <c r="BF83" s="1193"/>
    </row>
    <row r="84" spans="1:58" ht="18.75" customHeight="1">
      <c r="A84" s="1097" t="s">
        <v>1844</v>
      </c>
      <c r="B84" s="97" t="s">
        <v>765</v>
      </c>
      <c r="C84" s="86" t="s">
        <v>763</v>
      </c>
      <c r="D84" s="62" t="s">
        <v>1460</v>
      </c>
      <c r="E84" s="87" t="s">
        <v>438</v>
      </c>
      <c r="F84" s="87" t="s">
        <v>1725</v>
      </c>
      <c r="G84" s="1641">
        <v>362</v>
      </c>
      <c r="H84" s="499">
        <f ca="1">_xlfn.LET(_xlpm._今月から4ヶ月計画合計,
  SUM(
    OFFSET($A84,0,
      MATCH(
        EDATE(基準データ!$C$5,3),$A$1:$BD$1,1
      )-4,1,4)),
  IF($C84="","",_xlpm._今月から4ヶ月計画合計
)
)</f>
        <v>0</v>
      </c>
      <c r="I84" s="499">
        <f>IF($C84="","",
_xlfn.LET(
  _xlpm._見出し範囲,$L$1:$BF$1,
  _xlpm._行範囲,$L84:$BF84,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0</v>
      </c>
      <c r="J84" s="499">
        <f>IF($C84="","",
_xlfn.LET(
  _xlpm._見出し範囲,'在庫使用計画 (法人)'!$L$1:$BF$1,
  _xlpm._行範囲,'在庫使用計画 (法人)'!$L84:$BF84,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252.58064516129031</v>
      </c>
      <c r="K84" s="1413" t="str">
        <v>合計261、在庫+注残362のため不足</v>
      </c>
      <c r="L84" s="180"/>
      <c r="M84" s="180"/>
      <c r="N84" s="180"/>
      <c r="O84" s="180"/>
      <c r="P84" s="180"/>
      <c r="Q84" s="180"/>
      <c r="R84" s="180"/>
      <c r="S84" s="299"/>
      <c r="T84" s="224"/>
      <c r="U84" s="224"/>
      <c r="V84" s="224"/>
      <c r="W84" s="224"/>
      <c r="X84" s="224"/>
      <c r="Y84" s="224"/>
      <c r="Z84" s="224"/>
      <c r="AA84" s="224"/>
      <c r="AB84" s="224"/>
      <c r="AC84" s="224"/>
      <c r="AD84" s="224"/>
      <c r="AE84" s="224"/>
      <c r="AF84" s="224"/>
      <c r="AG84" s="224"/>
      <c r="AH84" s="1774"/>
      <c r="AI84" s="1149"/>
      <c r="AJ84" s="1151"/>
      <c r="AK84" s="1151"/>
      <c r="AL84" s="1151"/>
      <c r="AM84" s="1151"/>
      <c r="AN84" s="1151"/>
      <c r="AO84" s="1151"/>
      <c r="AP84" s="1151"/>
      <c r="AQ84" s="1151"/>
      <c r="AR84" s="1151"/>
      <c r="AS84" s="1151"/>
      <c r="AT84" s="1664"/>
      <c r="AU84" s="1193"/>
      <c r="AV84" s="1193"/>
      <c r="AW84" s="1193"/>
      <c r="AX84" s="1193"/>
      <c r="AY84" s="1193"/>
      <c r="AZ84" s="1193"/>
      <c r="BA84" s="1193"/>
      <c r="BB84" s="1193"/>
      <c r="BC84" s="1193"/>
      <c r="BD84" s="1193"/>
      <c r="BE84" s="1193"/>
      <c r="BF84" s="1193"/>
    </row>
    <row r="85" spans="1:58" ht="18.75" customHeight="1">
      <c r="A85" s="1097" t="s">
        <v>1844</v>
      </c>
      <c r="B85" s="14" t="s">
        <v>702</v>
      </c>
      <c r="C85" s="701" t="s">
        <v>700</v>
      </c>
      <c r="D85" s="506" t="s">
        <v>1459</v>
      </c>
      <c r="E85" s="704" t="s">
        <v>438</v>
      </c>
      <c r="F85" s="704" t="s">
        <v>20</v>
      </c>
      <c r="G85" s="1641">
        <v>648</v>
      </c>
      <c r="H85" s="499">
        <f ca="1">_xlfn.LET(_xlpm._今月から4ヶ月計画合計,
  SUM(
    OFFSET($A85,0,
      MATCH(
        EDATE(基準データ!$C$5,3),$A$1:$BD$1,1
      )-4,1,4)),
  IF($C85="","",_xlpm._今月から4ヶ月計画合計
)
)</f>
        <v>0</v>
      </c>
      <c r="I85" s="499">
        <f>IF($C85="","",
_xlfn.LET(
  _xlpm._見出し範囲,$L$1:$BF$1,
  _xlpm._行範囲,$L85:$BF85,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0</v>
      </c>
      <c r="J85" s="499">
        <f>IF($C85="","",
_xlfn.LET(
  _xlpm._見出し範囲,'在庫使用計画 (法人)'!$L$1:$BF$1,
  _xlpm._行範囲,'在庫使用計画 (法人)'!$L85:$BF85,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548.32258064516122</v>
      </c>
      <c r="K85" s="1413">
        <v>46266</v>
      </c>
      <c r="L85" s="705"/>
      <c r="M85" s="705"/>
      <c r="N85" s="705"/>
      <c r="O85" s="705"/>
      <c r="P85" s="705"/>
      <c r="Q85" s="705"/>
      <c r="R85" s="705"/>
      <c r="S85" s="706"/>
      <c r="T85" s="351"/>
      <c r="U85" s="351"/>
      <c r="V85" s="707"/>
      <c r="W85" s="349"/>
      <c r="X85" s="708"/>
      <c r="Y85" s="708"/>
      <c r="Z85" s="709"/>
      <c r="AA85" s="709"/>
      <c r="AB85" s="709"/>
      <c r="AC85" s="710"/>
      <c r="AD85" s="709"/>
      <c r="AE85" s="224"/>
      <c r="AF85" s="224"/>
      <c r="AG85" s="224"/>
      <c r="AH85" s="1774"/>
      <c r="AI85" s="1821"/>
      <c r="AJ85" s="1821"/>
      <c r="AK85" s="1821"/>
      <c r="AL85" s="1151"/>
      <c r="AM85" s="1151"/>
      <c r="AN85" s="1151"/>
      <c r="AO85" s="1151"/>
      <c r="AP85" s="1151"/>
      <c r="AQ85" s="1151"/>
      <c r="AR85" s="1151"/>
      <c r="AS85" s="1151"/>
      <c r="AT85" s="1664"/>
      <c r="AU85" s="1193"/>
      <c r="AV85" s="1193"/>
      <c r="AW85" s="1193"/>
      <c r="AX85" s="1193"/>
      <c r="AY85" s="1193"/>
      <c r="AZ85" s="1193"/>
      <c r="BA85" s="1193"/>
      <c r="BB85" s="1193"/>
      <c r="BC85" s="1193"/>
      <c r="BD85" s="1193"/>
      <c r="BE85" s="1193"/>
      <c r="BF85" s="1193"/>
    </row>
    <row r="86" spans="1:58" ht="18.75" customHeight="1">
      <c r="A86" s="1097" t="s">
        <v>1844</v>
      </c>
      <c r="B86" s="14" t="s">
        <v>758</v>
      </c>
      <c r="C86" s="701" t="s">
        <v>756</v>
      </c>
      <c r="D86" s="506" t="s">
        <v>1460</v>
      </c>
      <c r="E86" s="704" t="s">
        <v>438</v>
      </c>
      <c r="F86" s="704" t="s">
        <v>20</v>
      </c>
      <c r="G86" s="1641">
        <v>1460</v>
      </c>
      <c r="H86" s="499">
        <f ca="1">_xlfn.LET(_xlpm._今月から4ヶ月計画合計,
  SUM(
    OFFSET($A86,0,
      MATCH(
        EDATE(基準データ!$C$5,3),$A$1:$BD$1,1
      )-4,1,4)),
  IF($C86="","",_xlpm._今月から4ヶ月計画合計
)
)</f>
        <v>0</v>
      </c>
      <c r="I86" s="499">
        <f>IF($C86="","",
_xlfn.LET(
  _xlpm._見出し範囲,$L$1:$BF$1,
  _xlpm._行範囲,$L86:$BF86,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0</v>
      </c>
      <c r="J86" s="499">
        <f>IF($C86="","",
_xlfn.LET(
  _xlpm._見出し範囲,'在庫使用計画 (法人)'!$L$1:$BF$1,
  _xlpm._行範囲,'在庫使用計画 (法人)'!$L86:$BF86,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1035.4516129032259</v>
      </c>
      <c r="K86" s="1413" t="str">
        <v>合計1,052、在庫+注残1,460のため不足</v>
      </c>
      <c r="L86" s="705"/>
      <c r="M86" s="705"/>
      <c r="N86" s="705"/>
      <c r="O86" s="705"/>
      <c r="P86" s="705"/>
      <c r="Q86" s="705"/>
      <c r="R86" s="705"/>
      <c r="S86" s="706"/>
      <c r="T86" s="351"/>
      <c r="U86" s="351"/>
      <c r="V86" s="707"/>
      <c r="W86" s="349"/>
      <c r="X86" s="708"/>
      <c r="Y86" s="708"/>
      <c r="Z86" s="709"/>
      <c r="AA86" s="709"/>
      <c r="AB86" s="709"/>
      <c r="AC86" s="710"/>
      <c r="AD86" s="709"/>
      <c r="AE86" s="224"/>
      <c r="AF86" s="224"/>
      <c r="AG86" s="224"/>
      <c r="AH86" s="1774"/>
      <c r="AI86" s="1821"/>
      <c r="AJ86" s="1821"/>
      <c r="AK86" s="1821"/>
      <c r="AL86" s="1151"/>
      <c r="AM86" s="1151"/>
      <c r="AN86" s="1151"/>
      <c r="AO86" s="1151"/>
      <c r="AP86" s="1151"/>
      <c r="AQ86" s="1151"/>
      <c r="AR86" s="1151"/>
      <c r="AS86" s="1151"/>
      <c r="AT86" s="1664"/>
      <c r="AU86" s="1193"/>
      <c r="AV86" s="1193"/>
      <c r="AW86" s="1193"/>
      <c r="AX86" s="1193"/>
      <c r="AY86" s="1193"/>
      <c r="AZ86" s="1193"/>
      <c r="BA86" s="1193"/>
      <c r="BB86" s="1193"/>
      <c r="BC86" s="1193"/>
      <c r="BD86" s="1193"/>
      <c r="BE86" s="1193"/>
      <c r="BF86" s="1193"/>
    </row>
    <row r="87" spans="1:58" ht="18.75" customHeight="1">
      <c r="A87" s="1097" t="s">
        <v>1844</v>
      </c>
      <c r="B87" s="87" t="s">
        <v>693</v>
      </c>
      <c r="C87" s="86" t="s">
        <v>691</v>
      </c>
      <c r="D87" s="86" t="s">
        <v>1426</v>
      </c>
      <c r="E87" s="87" t="s">
        <v>438</v>
      </c>
      <c r="F87" s="102" t="s">
        <v>1725</v>
      </c>
      <c r="G87" s="1641">
        <v>1</v>
      </c>
      <c r="H87" s="499">
        <f ca="1">_xlfn.LET(_xlpm._今月から4ヶ月計画合計,
  SUM(
    OFFSET($A87,0,
      MATCH(
        EDATE(基準データ!$C$5,3),$A$1:$BD$1,1
      )-4,1,4)),
  IF($C87="","",_xlpm._今月から4ヶ月計画合計
)
)</f>
        <v>0</v>
      </c>
      <c r="I87" s="499">
        <f>IF($C87="","",
_xlfn.LET(
  _xlpm._見出し範囲,$L$1:$BF$1,
  _xlpm._行範囲,$L87:$BF87,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0</v>
      </c>
      <c r="J87" s="499">
        <f>IF($C87="","",
_xlfn.LET(
  _xlpm._見出し範囲,'在庫使用計画 (法人)'!$L$1:$BF$1,
  _xlpm._行範囲,'在庫使用計画 (法人)'!$L87:$BF87,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0</v>
      </c>
      <c r="K87" s="1413" t="str">
        <v>計画なし</v>
      </c>
      <c r="L87" s="180"/>
      <c r="M87" s="180"/>
      <c r="N87" s="1328"/>
      <c r="O87" s="1742"/>
      <c r="P87" s="1742"/>
      <c r="Q87" s="1742"/>
      <c r="R87" s="1742"/>
      <c r="S87" s="1742"/>
      <c r="T87" s="1822"/>
      <c r="U87" s="1823"/>
      <c r="V87" s="1824" t="s">
        <v>1317</v>
      </c>
      <c r="W87" s="1819" t="s">
        <v>1317</v>
      </c>
      <c r="X87" s="1764" t="s">
        <v>1317</v>
      </c>
      <c r="Y87" s="1764"/>
      <c r="Z87" s="1764">
        <v>150</v>
      </c>
      <c r="AA87" s="1764">
        <v>130</v>
      </c>
      <c r="AB87" s="1764">
        <v>140</v>
      </c>
      <c r="AC87" s="1764">
        <v>180</v>
      </c>
      <c r="AD87" s="1765">
        <v>91</v>
      </c>
      <c r="AE87" s="62">
        <v>116</v>
      </c>
      <c r="AF87" s="62">
        <v>105</v>
      </c>
      <c r="AG87" s="62">
        <v>86</v>
      </c>
      <c r="AH87" s="1747">
        <v>109</v>
      </c>
      <c r="AI87" s="1739">
        <v>113</v>
      </c>
      <c r="AJ87" s="1825">
        <v>50</v>
      </c>
      <c r="AK87" s="1825">
        <v>120</v>
      </c>
      <c r="AL87" s="1151">
        <v>0</v>
      </c>
      <c r="AM87" s="1151">
        <v>0</v>
      </c>
      <c r="AN87" s="1151">
        <v>0</v>
      </c>
      <c r="AO87" s="1151">
        <v>0</v>
      </c>
      <c r="AP87" s="1151">
        <v>0</v>
      </c>
      <c r="AQ87" s="1193"/>
      <c r="AR87" s="1193"/>
      <c r="AS87" s="1193"/>
      <c r="AT87" s="1270"/>
      <c r="AU87" s="1193"/>
      <c r="AV87" s="1193"/>
      <c r="AW87" s="1193"/>
      <c r="AX87" s="1193"/>
      <c r="AY87" s="1193"/>
      <c r="AZ87" s="1193"/>
      <c r="BA87" s="1193"/>
      <c r="BB87" s="1193"/>
      <c r="BC87" s="1193"/>
      <c r="BD87" s="1193"/>
      <c r="BE87" s="1193"/>
      <c r="BF87" s="1193"/>
    </row>
    <row r="88" spans="1:58" ht="18.75" customHeight="1">
      <c r="A88" s="1097" t="s">
        <v>1844</v>
      </c>
      <c r="B88" s="14" t="s">
        <v>688</v>
      </c>
      <c r="C88" s="701" t="s">
        <v>685</v>
      </c>
      <c r="D88" s="702" t="s">
        <v>1466</v>
      </c>
      <c r="E88" s="704" t="s">
        <v>438</v>
      </c>
      <c r="F88" s="704" t="s">
        <v>20</v>
      </c>
      <c r="G88" s="1641">
        <v>152</v>
      </c>
      <c r="H88" s="499">
        <f ca="1">_xlfn.LET(_xlpm._今月から4ヶ月計画合計,
  SUM(
    OFFSET($A88,0,
      MATCH(
        EDATE(基準データ!$C$5,3),$A$1:$BD$1,1
      )-4,1,4)),
  IF($C88="","",_xlpm._今月から4ヶ月計画合計
)
)</f>
        <v>113</v>
      </c>
      <c r="I88" s="499">
        <f>IF($C88="","",
_xlfn.LET(
  _xlpm._見出し範囲,$L$1:$BF$1,
  _xlpm._行範囲,$L88:$BF88,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109.06451612903226</v>
      </c>
      <c r="J88" s="499">
        <f>IF($C88="","",
_xlfn.LET(
  _xlpm._見出し範囲,'在庫使用計画 (法人)'!$L$1:$BF$1,
  _xlpm._行範囲,'在庫使用計画 (法人)'!$L88:$BF88,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0</v>
      </c>
      <c r="K88" s="1413" t="str">
        <v>合計111、在庫+注残152のため不足</v>
      </c>
      <c r="L88" s="705"/>
      <c r="M88" s="705"/>
      <c r="N88" s="705"/>
      <c r="O88" s="705"/>
      <c r="P88" s="705"/>
      <c r="Q88" s="705"/>
      <c r="R88" s="705"/>
      <c r="S88" s="706"/>
      <c r="T88" s="351"/>
      <c r="U88" s="351"/>
      <c r="V88" s="707"/>
      <c r="W88" s="349"/>
      <c r="X88" s="708"/>
      <c r="Y88" s="708"/>
      <c r="Z88" s="709"/>
      <c r="AA88" s="709"/>
      <c r="AB88" s="709"/>
      <c r="AC88" s="710"/>
      <c r="AD88" s="709"/>
      <c r="AE88" s="224"/>
      <c r="AF88" s="224"/>
      <c r="AG88" s="224"/>
      <c r="AH88" s="1774"/>
      <c r="AI88" s="1739"/>
      <c r="AJ88" s="1193"/>
      <c r="AK88" s="1193"/>
      <c r="AL88" s="1193">
        <v>60</v>
      </c>
      <c r="AM88" s="1193">
        <v>50</v>
      </c>
      <c r="AN88" s="1193">
        <v>48</v>
      </c>
      <c r="AO88" s="1193">
        <v>61</v>
      </c>
      <c r="AP88" s="1193">
        <v>52</v>
      </c>
      <c r="AQ88" s="1151" t="s">
        <v>1846</v>
      </c>
      <c r="AR88" s="1151"/>
      <c r="AS88" s="1151"/>
      <c r="AT88" s="1270"/>
      <c r="AU88" s="1193"/>
      <c r="AV88" s="1193"/>
      <c r="AW88" s="1193"/>
      <c r="AX88" s="1193"/>
      <c r="AY88" s="1193"/>
      <c r="AZ88" s="1193"/>
      <c r="BA88" s="1193"/>
      <c r="BB88" s="1193"/>
      <c r="BC88" s="1193"/>
      <c r="BD88" s="1193"/>
      <c r="BE88" s="1193"/>
      <c r="BF88" s="1193"/>
    </row>
    <row r="89" spans="1:58" ht="18.75" customHeight="1">
      <c r="A89" s="1097"/>
      <c r="B89" s="100"/>
      <c r="C89" s="101"/>
      <c r="D89" s="63"/>
      <c r="E89" s="102"/>
      <c r="F89" s="102"/>
      <c r="G89" s="1641" t="str">
        <v/>
      </c>
      <c r="H89" s="499" t="str">
        <f ca="1">_xlfn.LET(_xlpm._今月から4ヶ月計画合計,
  SUM(
    OFFSET($A89,0,
      MATCH(
        EDATE(基準データ!$C$5,3),$A$1:$BD$1,1
      )-4,1,4)),
  IF($C89="","",_xlpm._今月から4ヶ月計画合計
)
)</f>
        <v/>
      </c>
      <c r="I89" s="499" t="str">
        <f>IF($C89="","",
_xlfn.LET(
  _xlpm._見出し範囲,$L$1:$BF$1,
  _xlpm._行範囲,$L89:$BF89,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
      </c>
      <c r="J89" s="499" t="str">
        <f>IF($C89="","",
_xlfn.LET(
  _xlpm._見出し範囲,'在庫使用計画 (法人)'!$L$1:$BF$1,
  _xlpm._行範囲,'在庫使用計画 (法人)'!$L89:$BF89,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
      </c>
      <c r="K89" s="1413" t="str">
        <v/>
      </c>
      <c r="L89" s="1826"/>
      <c r="M89" s="705"/>
      <c r="N89" s="1827"/>
      <c r="O89" s="1802"/>
      <c r="P89" s="1802"/>
      <c r="Q89" s="1802"/>
      <c r="R89" s="1802"/>
      <c r="S89" s="1803"/>
      <c r="T89" s="349"/>
      <c r="U89" s="349"/>
      <c r="V89" s="349"/>
      <c r="W89" s="349"/>
      <c r="X89" s="708"/>
      <c r="Y89" s="708"/>
      <c r="Z89" s="708"/>
      <c r="AA89" s="708"/>
      <c r="AB89" s="708"/>
      <c r="AC89" s="708"/>
      <c r="AD89" s="708"/>
      <c r="AE89" s="224"/>
      <c r="AF89" s="224"/>
      <c r="AG89" s="224"/>
      <c r="AH89" s="1774"/>
      <c r="AI89" s="1739"/>
      <c r="AJ89" s="1193"/>
      <c r="AK89" s="1193"/>
      <c r="AL89" s="1193"/>
      <c r="AM89" s="1193"/>
      <c r="AN89" s="1193"/>
      <c r="AO89" s="1193"/>
      <c r="AP89" s="1193"/>
      <c r="AQ89" s="1151"/>
      <c r="AR89" s="1151"/>
      <c r="AS89" s="1151"/>
      <c r="AT89" s="1270"/>
      <c r="AU89" s="1193"/>
      <c r="AV89" s="1193"/>
      <c r="AW89" s="1193"/>
      <c r="AX89" s="1193"/>
      <c r="AY89" s="1193"/>
      <c r="AZ89" s="1193"/>
      <c r="BA89" s="1193"/>
      <c r="BB89" s="1193"/>
      <c r="BC89" s="1193"/>
      <c r="BD89" s="1193"/>
      <c r="BE89" s="1193"/>
      <c r="BF89" s="1193"/>
    </row>
    <row r="90" spans="1:58" ht="18.75" customHeight="1">
      <c r="A90" s="1097" t="s">
        <v>1844</v>
      </c>
      <c r="B90" s="100" t="s">
        <v>748</v>
      </c>
      <c r="C90" s="63" t="s">
        <v>746</v>
      </c>
      <c r="D90" s="63" t="s">
        <v>1405</v>
      </c>
      <c r="E90" s="102" t="s">
        <v>438</v>
      </c>
      <c r="F90" s="102" t="s">
        <v>1725</v>
      </c>
      <c r="G90" s="1641">
        <v>15</v>
      </c>
      <c r="H90" s="499">
        <f ca="1">_xlfn.LET(_xlpm._今月から4ヶ月計画合計,
  SUM(
    OFFSET($A90,0,
      MATCH(
        EDATE(基準データ!$C$5,3),$A$1:$BD$1,1
      )-4,1,4)),
  IF($C90="","",_xlpm._今月から4ヶ月計画合計
)
)</f>
        <v>0</v>
      </c>
      <c r="I90" s="499">
        <f>IF($C90="","",
_xlfn.LET(
  _xlpm._見出し範囲,$L$1:$BF$1,
  _xlpm._行範囲,$L90:$BF90,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0</v>
      </c>
      <c r="J90" s="499">
        <f>IF($C90="","",
_xlfn.LET(
  _xlpm._見出し範囲,'在庫使用計画 (法人)'!$L$1:$BF$1,
  _xlpm._行範囲,'在庫使用計画 (法人)'!$L90:$BF90,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0</v>
      </c>
      <c r="K90" s="1413" t="str">
        <v>計画なし</v>
      </c>
      <c r="L90" s="180"/>
      <c r="M90" s="180"/>
      <c r="N90" s="1328"/>
      <c r="O90" s="1742"/>
      <c r="P90" s="1742"/>
      <c r="Q90" s="1742"/>
      <c r="R90" s="1742"/>
      <c r="S90" s="1742"/>
      <c r="T90" s="1822"/>
      <c r="U90" s="1823"/>
      <c r="V90" s="1824" t="s">
        <v>1317</v>
      </c>
      <c r="W90" s="1764">
        <v>30</v>
      </c>
      <c r="X90" s="1764">
        <v>150</v>
      </c>
      <c r="Y90" s="1790">
        <v>210</v>
      </c>
      <c r="Z90" s="1828">
        <v>300</v>
      </c>
      <c r="AA90" s="1828">
        <v>260</v>
      </c>
      <c r="AB90" s="1828">
        <v>280</v>
      </c>
      <c r="AC90" s="1828">
        <v>420</v>
      </c>
      <c r="AD90" s="77">
        <v>217</v>
      </c>
      <c r="AE90" s="491">
        <v>276</v>
      </c>
      <c r="AF90" s="491">
        <v>250</v>
      </c>
      <c r="AG90" s="491"/>
      <c r="AH90" s="1747"/>
      <c r="AI90" s="1739"/>
      <c r="AJ90" s="1193"/>
      <c r="AK90" s="1193"/>
      <c r="AL90" s="1791" t="s">
        <v>1847</v>
      </c>
      <c r="AM90" s="1792"/>
      <c r="AN90" s="1792"/>
      <c r="AO90" s="1792"/>
      <c r="AP90" s="1792"/>
      <c r="AQ90" s="1792"/>
      <c r="AR90" s="1792"/>
      <c r="AS90" s="1193"/>
      <c r="AT90" s="1270"/>
      <c r="AU90" s="1193"/>
      <c r="AV90" s="1193"/>
      <c r="AW90" s="1193"/>
      <c r="AX90" s="1193"/>
      <c r="AY90" s="1193"/>
      <c r="AZ90" s="1193"/>
      <c r="BA90" s="1193"/>
      <c r="BB90" s="1193"/>
      <c r="BC90" s="1193"/>
      <c r="BD90" s="1193"/>
      <c r="BE90" s="1193"/>
      <c r="BF90" s="1193"/>
    </row>
    <row r="91" spans="1:58" ht="18.75" customHeight="1">
      <c r="A91" s="1097" t="s">
        <v>1844</v>
      </c>
      <c r="B91" s="100" t="s">
        <v>741</v>
      </c>
      <c r="C91" s="63" t="s">
        <v>739</v>
      </c>
      <c r="D91" s="63" t="s">
        <v>1732</v>
      </c>
      <c r="E91" s="102" t="s">
        <v>438</v>
      </c>
      <c r="F91" s="102" t="s">
        <v>1725</v>
      </c>
      <c r="G91" s="1641">
        <v>2</v>
      </c>
      <c r="H91" s="499">
        <f ca="1">_xlfn.LET(_xlpm._今月から4ヶ月計画合計,
  SUM(
    OFFSET($A91,0,
      MATCH(
        EDATE(基準データ!$C$5,3),$A$1:$BD$1,1
      )-4,1,4)),
  IF($C91="","",_xlpm._今月から4ヶ月計画合計
)
)</f>
        <v>0</v>
      </c>
      <c r="I91" s="499">
        <f>IF($C91="","",
_xlfn.LET(
  _xlpm._見出し範囲,$L$1:$BF$1,
  _xlpm._行範囲,$L91:$BF91,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0</v>
      </c>
      <c r="J91" s="499">
        <f>IF($C91="","",
_xlfn.LET(
  _xlpm._見出し範囲,'在庫使用計画 (法人)'!$L$1:$BF$1,
  _xlpm._行範囲,'在庫使用計画 (法人)'!$L91:$BF91,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0</v>
      </c>
      <c r="K91" s="1413" t="str">
        <v>計画なし</v>
      </c>
      <c r="L91" s="180"/>
      <c r="M91" s="180"/>
      <c r="N91" s="1328"/>
      <c r="O91" s="1742"/>
      <c r="P91" s="1742"/>
      <c r="Q91" s="1742"/>
      <c r="R91" s="1742"/>
      <c r="S91" s="1742"/>
      <c r="T91" s="1822"/>
      <c r="U91" s="1823"/>
      <c r="V91" s="1824"/>
      <c r="W91" s="1764"/>
      <c r="X91" s="1765"/>
      <c r="Y91" s="491"/>
      <c r="Z91" s="1829"/>
      <c r="AA91" s="1829"/>
      <c r="AB91" s="1829"/>
      <c r="AC91" s="1829"/>
      <c r="AD91" s="491"/>
      <c r="AE91" s="491"/>
      <c r="AF91" s="491"/>
      <c r="AG91" s="491">
        <v>220</v>
      </c>
      <c r="AH91" s="1747">
        <v>320</v>
      </c>
      <c r="AI91" s="1739">
        <v>90</v>
      </c>
      <c r="AJ91" s="1269">
        <v>100</v>
      </c>
      <c r="AK91" s="1269">
        <v>150</v>
      </c>
      <c r="AL91" s="1269">
        <v>216</v>
      </c>
      <c r="AM91" s="1269">
        <v>90</v>
      </c>
      <c r="AN91" s="1269">
        <v>0</v>
      </c>
      <c r="AO91" s="1269">
        <v>0</v>
      </c>
      <c r="AP91" s="1269">
        <v>0</v>
      </c>
      <c r="AQ91" s="1271" t="s">
        <v>1848</v>
      </c>
      <c r="AR91" s="1269"/>
      <c r="AS91" s="1736"/>
      <c r="AT91" s="1830"/>
      <c r="AU91" s="1193"/>
      <c r="AV91" s="1193"/>
      <c r="AW91" s="1193"/>
      <c r="AX91" s="1193"/>
      <c r="AY91" s="1193"/>
      <c r="AZ91" s="1193"/>
      <c r="BA91" s="1193"/>
      <c r="BB91" s="1193"/>
      <c r="BC91" s="1193"/>
      <c r="BD91" s="1193"/>
      <c r="BE91" s="1193"/>
      <c r="BF91" s="1193"/>
    </row>
    <row r="92" spans="1:58" ht="18.75" customHeight="1">
      <c r="A92" s="1097" t="s">
        <v>1844</v>
      </c>
      <c r="B92" s="14" t="s">
        <v>735</v>
      </c>
      <c r="C92" s="701" t="s">
        <v>733</v>
      </c>
      <c r="D92" s="702" t="s">
        <v>1472</v>
      </c>
      <c r="E92" s="704" t="s">
        <v>438</v>
      </c>
      <c r="F92" s="704" t="s">
        <v>20</v>
      </c>
      <c r="G92" s="1641">
        <v>259</v>
      </c>
      <c r="H92" s="499">
        <f ca="1">_xlfn.LET(_xlpm._今月から4ヶ月計画合計,
  SUM(
    OFFSET($A92,0,
      MATCH(
        EDATE(基準データ!$C$5,3),$A$1:$BD$1,1
      )-4,1,4)),
  IF($C92="","",_xlpm._今月から4ヶ月計画合計
)
)</f>
        <v>254</v>
      </c>
      <c r="I92" s="499">
        <f>IF($C92="","",
_xlfn.LET(
  _xlpm._見出し範囲,$L$1:$BF$1,
  _xlpm._行範囲,$L92:$BF92,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246.25806451612902</v>
      </c>
      <c r="J92" s="499">
        <f>IF($C92="","",
_xlfn.LET(
  _xlpm._見出し範囲,'在庫使用計画 (法人)'!$L$1:$BF$1,
  _xlpm._行範囲,'在庫使用計画 (法人)'!$L92:$BF92,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0</v>
      </c>
      <c r="K92" s="1413">
        <v>46235</v>
      </c>
      <c r="L92" s="705"/>
      <c r="M92" s="705"/>
      <c r="N92" s="705"/>
      <c r="O92" s="705"/>
      <c r="P92" s="705"/>
      <c r="Q92" s="705"/>
      <c r="R92" s="705"/>
      <c r="S92" s="706"/>
      <c r="T92" s="351"/>
      <c r="U92" s="351"/>
      <c r="V92" s="707"/>
      <c r="W92" s="349"/>
      <c r="X92" s="708"/>
      <c r="Y92" s="708"/>
      <c r="Z92" s="709"/>
      <c r="AA92" s="709"/>
      <c r="AB92" s="709"/>
      <c r="AC92" s="710"/>
      <c r="AD92" s="709"/>
      <c r="AE92" s="224"/>
      <c r="AF92" s="224"/>
      <c r="AG92" s="224"/>
      <c r="AH92" s="1774"/>
      <c r="AI92" s="1821"/>
      <c r="AJ92" s="1831"/>
      <c r="AK92" s="1831" t="s">
        <v>1849</v>
      </c>
      <c r="AL92" s="1168"/>
      <c r="AM92" s="1168">
        <v>30</v>
      </c>
      <c r="AN92" s="1168">
        <v>140</v>
      </c>
      <c r="AO92" s="1168">
        <v>120</v>
      </c>
      <c r="AP92" s="1409">
        <v>124</v>
      </c>
      <c r="AQ92" s="1409">
        <v>10</v>
      </c>
      <c r="AR92" s="1409">
        <v>0</v>
      </c>
      <c r="AS92" s="1268"/>
      <c r="AT92" s="1832"/>
      <c r="AU92" s="1168"/>
      <c r="AV92" s="1168"/>
      <c r="AW92" s="1168"/>
      <c r="AX92" s="1193"/>
      <c r="AY92" s="1193"/>
      <c r="AZ92" s="1193"/>
      <c r="BA92" s="1193"/>
      <c r="BB92" s="1193"/>
      <c r="BC92" s="1193"/>
      <c r="BD92" s="1193"/>
      <c r="BE92" s="1193"/>
      <c r="BF92" s="1193"/>
    </row>
    <row r="93" spans="1:58" ht="18.75" customHeight="1">
      <c r="A93" s="1833" t="s">
        <v>1844</v>
      </c>
      <c r="B93" s="97" t="s">
        <v>841</v>
      </c>
      <c r="C93" s="62" t="s">
        <v>839</v>
      </c>
      <c r="D93" s="63" t="s">
        <v>842</v>
      </c>
      <c r="E93" s="102" t="s">
        <v>438</v>
      </c>
      <c r="F93" s="1163"/>
      <c r="G93" s="1641">
        <v>670</v>
      </c>
      <c r="H93" s="499">
        <f ca="1">_xlfn.LET(_xlpm._今月から4ヶ月計画合計,
  SUM(
    OFFSET($A93,0,
      MATCH(
        EDATE(基準データ!$C$5,3),$A$1:$BD$1,1
      )-4,1,4)),
  IF($C93="","",_xlpm._今月から4ヶ月計画合計
)
)</f>
        <v>400</v>
      </c>
      <c r="I93" s="499">
        <f>IF($C93="","",
_xlfn.LET(
  _xlpm._見出し範囲,$L$1:$BF$1,
  _xlpm._行範囲,$L93:$BF93,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385.16129032258061</v>
      </c>
      <c r="J93" s="499">
        <f>IF($C93="","",
_xlfn.LET(
  _xlpm._見出し範囲,'在庫使用計画 (法人)'!$L$1:$BF$1,
  _xlpm._行範囲,'在庫使用計画 (法人)'!$L93:$BF93,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68.290322580645153</v>
      </c>
      <c r="K93" s="1413" t="str">
        <v>合計463、在庫+注残670のため不足</v>
      </c>
      <c r="L93" s="180"/>
      <c r="M93" s="1834"/>
      <c r="N93" s="1835"/>
      <c r="O93" s="1836"/>
      <c r="P93" s="1836"/>
      <c r="Q93" s="1836"/>
      <c r="R93" s="1836"/>
      <c r="S93" s="1836"/>
      <c r="T93" s="1837"/>
      <c r="U93" s="1838"/>
      <c r="V93" s="1839"/>
      <c r="W93" s="1790"/>
      <c r="X93" s="77"/>
      <c r="Y93" s="491"/>
      <c r="Z93" s="1829"/>
      <c r="AA93" s="1829"/>
      <c r="AB93" s="1829"/>
      <c r="AC93" s="1829"/>
      <c r="AD93" s="491"/>
      <c r="AE93" s="491"/>
      <c r="AF93" s="491"/>
      <c r="AG93" s="491">
        <v>80</v>
      </c>
      <c r="AH93" s="1840">
        <v>190</v>
      </c>
      <c r="AI93" s="1841">
        <v>190</v>
      </c>
      <c r="AJ93" s="1736">
        <v>120</v>
      </c>
      <c r="AK93" s="1736">
        <v>180</v>
      </c>
      <c r="AL93" s="1193">
        <v>140</v>
      </c>
      <c r="AM93" s="1193">
        <v>180</v>
      </c>
      <c r="AN93" s="1193">
        <v>180</v>
      </c>
      <c r="AO93" s="1193">
        <v>230</v>
      </c>
      <c r="AP93" s="1193">
        <v>170</v>
      </c>
      <c r="AQ93" s="1151" t="s">
        <v>1846</v>
      </c>
      <c r="AR93" s="1193"/>
      <c r="AS93" s="1193"/>
      <c r="AT93" s="1270"/>
      <c r="AU93" s="1193"/>
      <c r="AV93" s="1193"/>
      <c r="AW93" s="1193"/>
      <c r="AX93" s="1193"/>
      <c r="AY93" s="1193"/>
      <c r="AZ93" s="1193"/>
      <c r="BA93" s="1193"/>
      <c r="BB93" s="1193"/>
      <c r="BC93" s="1193"/>
      <c r="BD93" s="1193"/>
      <c r="BE93" s="1193"/>
      <c r="BF93" s="1193"/>
    </row>
    <row r="94" spans="1:58" ht="18.75" customHeight="1">
      <c r="A94" s="1833"/>
      <c r="B94" s="97"/>
      <c r="C94" s="62"/>
      <c r="D94" s="63"/>
      <c r="E94" s="102"/>
      <c r="F94" s="1053"/>
      <c r="G94" s="1641" t="str">
        <v/>
      </c>
      <c r="H94" s="499" t="str">
        <f ca="1">_xlfn.LET(_xlpm._今月から4ヶ月計画合計,
  SUM(
    OFFSET($A94,0,
      MATCH(
        EDATE(基準データ!$C$5,3),$A$1:$BD$1,1
      )-4,1,4)),
  IF($C94="","",_xlpm._今月から4ヶ月計画合計
)
)</f>
        <v/>
      </c>
      <c r="I94" s="499" t="str">
        <f>IF($C94="","",
_xlfn.LET(
  _xlpm._見出し範囲,$L$1:$BF$1,
  _xlpm._行範囲,$L94:$BF94,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
      </c>
      <c r="J94" s="499" t="str">
        <f>IF($C94="","",
_xlfn.LET(
  _xlpm._見出し範囲,'在庫使用計画 (法人)'!$L$1:$BF$1,
  _xlpm._行範囲,'在庫使用計画 (法人)'!$L94:$BF94,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
      </c>
      <c r="K94" s="1413" t="str">
        <v/>
      </c>
      <c r="L94" s="118"/>
      <c r="M94" s="74"/>
      <c r="N94" s="1488"/>
      <c r="O94" s="422"/>
      <c r="P94" s="422"/>
      <c r="Q94" s="422"/>
      <c r="R94" s="422"/>
      <c r="S94" s="422"/>
      <c r="T94" s="1843"/>
      <c r="U94" s="1843"/>
      <c r="V94" s="77"/>
      <c r="W94" s="77"/>
      <c r="X94" s="77"/>
      <c r="Y94" s="1844"/>
      <c r="Z94" s="1845"/>
      <c r="AA94" s="1845"/>
      <c r="AB94" s="1845"/>
      <c r="AC94" s="1845"/>
      <c r="AD94" s="1844"/>
      <c r="AE94" s="1844"/>
      <c r="AF94" s="491"/>
      <c r="AG94" s="491"/>
      <c r="AH94" s="1846"/>
      <c r="AI94" s="1841"/>
      <c r="AJ94" s="1193"/>
      <c r="AK94" s="1841"/>
      <c r="AL94" s="1739"/>
      <c r="AM94" s="1739"/>
      <c r="AN94" s="1739"/>
      <c r="AO94" s="1739"/>
      <c r="AP94" s="1739"/>
      <c r="AQ94" s="1739"/>
      <c r="AR94" s="1739"/>
      <c r="AS94" s="1739"/>
      <c r="AT94" s="1847"/>
      <c r="AU94" s="1193"/>
      <c r="AV94" s="1193"/>
      <c r="AW94" s="1193"/>
      <c r="AX94" s="1193"/>
      <c r="AY94" s="1193"/>
      <c r="AZ94" s="1193"/>
      <c r="BA94" s="1193"/>
      <c r="BB94" s="1193"/>
      <c r="BC94" s="1193"/>
      <c r="BD94" s="1193"/>
      <c r="BE94" s="1193"/>
      <c r="BF94" s="1193"/>
    </row>
    <row r="95" spans="1:58" ht="18.75" customHeight="1">
      <c r="A95" s="1097" t="s">
        <v>1844</v>
      </c>
      <c r="B95" s="1124" t="s">
        <v>811</v>
      </c>
      <c r="C95" s="506" t="s">
        <v>809</v>
      </c>
      <c r="D95" s="62"/>
      <c r="E95" s="87"/>
      <c r="F95" s="1053"/>
      <c r="G95" s="1641">
        <v>410</v>
      </c>
      <c r="H95" s="499">
        <f ca="1">_xlfn.LET(_xlpm._今月から4ヶ月計画合計,
  SUM(
    OFFSET($A95,0,
      MATCH(
        EDATE(基準データ!$C$5,3),$A$1:$BD$1,1
      )-4,1,4)),
  IF($C95="","",_xlpm._今月から4ヶ月計画合計
)
)</f>
        <v>132</v>
      </c>
      <c r="I95" s="499">
        <f>IF($C95="","",
_xlfn.LET(
  _xlpm._見出し範囲,$L$1:$BF$1,
  _xlpm._行範囲,$L95:$BF95,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897</v>
      </c>
      <c r="J95" s="499">
        <f>IF($C95="","",
_xlfn.LET(
  _xlpm._見出し範囲,'在庫使用計画 (法人)'!$L$1:$BF$1,
  _xlpm._行範囲,'在庫使用計画 (法人)'!$L95:$BF95,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2283</v>
      </c>
      <c r="K95" s="1413">
        <v>46296</v>
      </c>
      <c r="L95" s="1328"/>
      <c r="M95" s="180"/>
      <c r="N95" s="1328"/>
      <c r="O95" s="1848"/>
      <c r="P95" s="1848"/>
      <c r="Q95" s="1848"/>
      <c r="R95" s="1848"/>
      <c r="S95" s="1848"/>
      <c r="T95" s="1849"/>
      <c r="U95" s="1849"/>
      <c r="V95" s="1850"/>
      <c r="W95" s="479"/>
      <c r="X95" s="479"/>
      <c r="Y95" s="479"/>
      <c r="Z95" s="1851"/>
      <c r="AA95" s="1851"/>
      <c r="AB95" s="1851"/>
      <c r="AC95" s="1851"/>
      <c r="AD95" s="479"/>
      <c r="AE95" s="479"/>
      <c r="AF95" s="62"/>
      <c r="AG95" s="62"/>
      <c r="AH95" s="1852"/>
      <c r="AI95" s="1853"/>
      <c r="AJ95" s="1853"/>
      <c r="AK95" s="1853"/>
      <c r="AL95" s="1853"/>
      <c r="AM95" s="1853"/>
      <c r="AN95" s="1853"/>
      <c r="AO95" s="1853"/>
      <c r="AP95" s="1853"/>
      <c r="AQ95" s="1854">
        <v>67</v>
      </c>
      <c r="AR95" s="1853">
        <v>65</v>
      </c>
      <c r="AS95" s="1853">
        <v>60</v>
      </c>
      <c r="AT95" s="1855">
        <v>85</v>
      </c>
      <c r="AU95" s="1842">
        <v>90</v>
      </c>
      <c r="AV95" s="1842">
        <v>72</v>
      </c>
      <c r="AW95" s="1842">
        <v>95</v>
      </c>
      <c r="AX95" s="1842">
        <v>81</v>
      </c>
      <c r="AY95" s="1842">
        <v>66</v>
      </c>
      <c r="AZ95" s="1842">
        <v>66</v>
      </c>
      <c r="BA95" s="1842">
        <v>81</v>
      </c>
      <c r="BB95" s="1842">
        <v>69</v>
      </c>
      <c r="BC95" s="1193"/>
      <c r="BD95" s="1193"/>
      <c r="BE95" s="1193"/>
      <c r="BF95" s="1193"/>
    </row>
    <row r="96" spans="1:58" ht="18.75" customHeight="1">
      <c r="A96" s="1097" t="s">
        <v>1844</v>
      </c>
      <c r="B96" s="1124" t="s">
        <v>807</v>
      </c>
      <c r="C96" s="506" t="s">
        <v>805</v>
      </c>
      <c r="D96" s="62"/>
      <c r="E96" s="87"/>
      <c r="F96" s="1053"/>
      <c r="G96" s="1641">
        <v>166</v>
      </c>
      <c r="H96" s="499">
        <f ca="1">_xlfn.LET(_xlpm._今月から4ヶ月計画合計,
  SUM(
    OFFSET($A96,0,
      MATCH(
        EDATE(基準データ!$C$5,3),$A$1:$BD$1,1
      )-4,1,4)),
  IF($C96="","",_xlpm._今月から4ヶ月計画合計
)
)</f>
        <v>91</v>
      </c>
      <c r="I96" s="499">
        <f>IF($C96="","",
_xlfn.LET(
  _xlpm._見出し範囲,$L$1:$BF$1,
  _xlpm._行範囲,$L96:$BF96,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617</v>
      </c>
      <c r="J96" s="499">
        <f>IF($C96="","",
_xlfn.LET(
  _xlpm._見出し範囲,'在庫使用計画 (法人)'!$L$1:$BF$1,
  _xlpm._行範囲,'在庫使用計画 (法人)'!$L96:$BF96,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96</v>
      </c>
      <c r="K96" s="1413">
        <v>46327</v>
      </c>
      <c r="L96" s="180"/>
      <c r="M96" s="180"/>
      <c r="N96" s="1328"/>
      <c r="O96" s="1848"/>
      <c r="P96" s="1848"/>
      <c r="Q96" s="1848"/>
      <c r="R96" s="1848"/>
      <c r="S96" s="1848"/>
      <c r="T96" s="1849"/>
      <c r="U96" s="1849"/>
      <c r="V96" s="1850"/>
      <c r="W96" s="479"/>
      <c r="X96" s="479"/>
      <c r="Y96" s="479"/>
      <c r="Z96" s="1851"/>
      <c r="AA96" s="1851"/>
      <c r="AB96" s="1851"/>
      <c r="AC96" s="1851"/>
      <c r="AD96" s="479"/>
      <c r="AE96" s="479"/>
      <c r="AF96" s="62"/>
      <c r="AG96" s="62"/>
      <c r="AH96" s="1852"/>
      <c r="AI96" s="1853"/>
      <c r="AJ96" s="1853"/>
      <c r="AK96" s="1853"/>
      <c r="AL96" s="1853"/>
      <c r="AM96" s="1853"/>
      <c r="AN96" s="1853"/>
      <c r="AO96" s="1853"/>
      <c r="AP96" s="1853"/>
      <c r="AQ96" s="1853">
        <v>46</v>
      </c>
      <c r="AR96" s="1853">
        <v>45</v>
      </c>
      <c r="AS96" s="1853">
        <v>42</v>
      </c>
      <c r="AT96" s="1855">
        <v>58</v>
      </c>
      <c r="AU96" s="1842">
        <v>62</v>
      </c>
      <c r="AV96" s="1842">
        <v>49</v>
      </c>
      <c r="AW96" s="1842">
        <v>65</v>
      </c>
      <c r="AX96" s="1842">
        <v>56</v>
      </c>
      <c r="AY96" s="1842">
        <v>46</v>
      </c>
      <c r="AZ96" s="1842">
        <v>45</v>
      </c>
      <c r="BA96" s="1842">
        <v>56</v>
      </c>
      <c r="BB96" s="1842">
        <v>47</v>
      </c>
      <c r="BC96" s="1193"/>
      <c r="BD96" s="1193"/>
      <c r="BE96" s="1193"/>
      <c r="BF96" s="1193"/>
    </row>
    <row r="97" spans="1:71" ht="18.75" customHeight="1">
      <c r="A97" s="1097" t="s">
        <v>1844</v>
      </c>
      <c r="B97" s="1124" t="s">
        <v>803</v>
      </c>
      <c r="C97" s="506" t="s">
        <v>800</v>
      </c>
      <c r="D97" s="62"/>
      <c r="E97" s="87"/>
      <c r="F97" s="1053"/>
      <c r="G97" s="1641">
        <v>172</v>
      </c>
      <c r="H97" s="499">
        <f ca="1">_xlfn.LET(_xlpm._今月から4ヶ月計画合計,
  SUM(
    OFFSET($A97,0,
      MATCH(
        EDATE(基準データ!$C$5,3),$A$1:$BD$1,1
      )-4,1,4)),
  IF($C97="","",_xlpm._今月から4ヶ月計画合計
)
)</f>
        <v>86</v>
      </c>
      <c r="I97" s="499">
        <f>IF($C97="","",
_xlfn.LET(
  _xlpm._見出し範囲,$L$1:$BF$1,
  _xlpm._行範囲,$L97:$BF97,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585</v>
      </c>
      <c r="J97" s="499">
        <f>IF($C97="","",
_xlfn.LET(
  _xlpm._見出し範囲,'在庫使用計画 (法人)'!$L$1:$BF$1,
  _xlpm._行範囲,'在庫使用計画 (法人)'!$L97:$BF97,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125</v>
      </c>
      <c r="K97" s="1413">
        <v>46327</v>
      </c>
      <c r="L97" s="180"/>
      <c r="M97" s="180"/>
      <c r="N97" s="1328"/>
      <c r="O97" s="1848"/>
      <c r="P97" s="1848"/>
      <c r="Q97" s="1848"/>
      <c r="R97" s="1848"/>
      <c r="S97" s="1848"/>
      <c r="T97" s="1849"/>
      <c r="U97" s="1849"/>
      <c r="V97" s="1850"/>
      <c r="W97" s="479"/>
      <c r="X97" s="479"/>
      <c r="Y97" s="479"/>
      <c r="Z97" s="1851"/>
      <c r="AA97" s="1851"/>
      <c r="AB97" s="1851"/>
      <c r="AC97" s="1851"/>
      <c r="AD97" s="479"/>
      <c r="AE97" s="479"/>
      <c r="AF97" s="62"/>
      <c r="AG97" s="62"/>
      <c r="AH97" s="1852"/>
      <c r="AI97" s="1853"/>
      <c r="AJ97" s="1853"/>
      <c r="AK97" s="1853"/>
      <c r="AL97" s="1853"/>
      <c r="AM97" s="1853"/>
      <c r="AN97" s="1853"/>
      <c r="AO97" s="1853"/>
      <c r="AP97" s="1853"/>
      <c r="AQ97" s="1853">
        <v>44</v>
      </c>
      <c r="AR97" s="1853">
        <v>42</v>
      </c>
      <c r="AS97" s="1853">
        <v>39</v>
      </c>
      <c r="AT97" s="1855">
        <v>55</v>
      </c>
      <c r="AU97" s="1842">
        <v>59</v>
      </c>
      <c r="AV97" s="1842">
        <v>47</v>
      </c>
      <c r="AW97" s="1842">
        <v>62</v>
      </c>
      <c r="AX97" s="1842">
        <v>53</v>
      </c>
      <c r="AY97" s="1842">
        <v>43</v>
      </c>
      <c r="AZ97" s="1842">
        <v>43</v>
      </c>
      <c r="BA97" s="1842">
        <v>53</v>
      </c>
      <c r="BB97" s="1842">
        <v>45</v>
      </c>
      <c r="BC97" s="1193"/>
      <c r="BD97" s="1193"/>
      <c r="BE97" s="1193"/>
      <c r="BF97" s="1193"/>
    </row>
    <row r="98" spans="1:71" ht="18.75" customHeight="1">
      <c r="A98" s="1097" t="s">
        <v>1844</v>
      </c>
      <c r="B98" s="1124" t="s">
        <v>824</v>
      </c>
      <c r="C98" s="506" t="s">
        <v>822</v>
      </c>
      <c r="D98" s="62"/>
      <c r="E98" s="87"/>
      <c r="F98" s="1053"/>
      <c r="G98" s="1641">
        <v>463</v>
      </c>
      <c r="H98" s="499">
        <f ca="1">_xlfn.LET(_xlpm._今月から4ヶ月計画合計,
  SUM(
    OFFSET($A98,0,
      MATCH(
        EDATE(基準データ!$C$5,3),$A$1:$BD$1,1
      )-4,1,4)),
  IF($C98="","",_xlpm._今月から4ヶ月計画合計
)
)</f>
        <v>197</v>
      </c>
      <c r="I98" s="499">
        <f>IF($C98="","",
_xlfn.LET(
  _xlpm._見出し範囲,$L$1:$BF$1,
  _xlpm._行範囲,$L98:$BF98,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1339</v>
      </c>
      <c r="J98" s="499">
        <f>IF($C98="","",
_xlfn.LET(
  _xlpm._見出し範囲,'在庫使用計画 (法人)'!$L$1:$BF$1,
  _xlpm._行範囲,'在庫使用計画 (法人)'!$L98:$BF98,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6943</v>
      </c>
      <c r="K98" s="1413">
        <v>46296</v>
      </c>
      <c r="L98" s="1328"/>
      <c r="M98" s="180"/>
      <c r="N98" s="1328"/>
      <c r="O98" s="1848"/>
      <c r="P98" s="1848"/>
      <c r="Q98" s="1848"/>
      <c r="R98" s="1848"/>
      <c r="S98" s="1848"/>
      <c r="T98" s="1849"/>
      <c r="U98" s="1849"/>
      <c r="V98" s="1850"/>
      <c r="W98" s="479"/>
      <c r="X98" s="479"/>
      <c r="Y98" s="479"/>
      <c r="Z98" s="1851"/>
      <c r="AA98" s="1851"/>
      <c r="AB98" s="1851"/>
      <c r="AC98" s="1851"/>
      <c r="AD98" s="479"/>
      <c r="AE98" s="479"/>
      <c r="AF98" s="62"/>
      <c r="AG98" s="62"/>
      <c r="AH98" s="1852"/>
      <c r="AI98" s="1853"/>
      <c r="AJ98" s="1853"/>
      <c r="AK98" s="1853"/>
      <c r="AL98" s="1853"/>
      <c r="AM98" s="1853"/>
      <c r="AN98" s="1853"/>
      <c r="AO98" s="1853"/>
      <c r="AP98" s="1853"/>
      <c r="AQ98" s="1853">
        <v>100</v>
      </c>
      <c r="AR98" s="1853">
        <v>97</v>
      </c>
      <c r="AS98" s="1853">
        <v>90</v>
      </c>
      <c r="AT98" s="1855">
        <v>127</v>
      </c>
      <c r="AU98" s="1842">
        <v>135</v>
      </c>
      <c r="AV98" s="1842">
        <v>107</v>
      </c>
      <c r="AW98" s="1842">
        <v>141</v>
      </c>
      <c r="AX98" s="1842">
        <v>121</v>
      </c>
      <c r="AY98" s="1842">
        <v>99</v>
      </c>
      <c r="AZ98" s="1842">
        <v>98</v>
      </c>
      <c r="BA98" s="1842">
        <v>121</v>
      </c>
      <c r="BB98" s="1842">
        <v>103</v>
      </c>
      <c r="BC98" s="1193"/>
      <c r="BD98" s="1193"/>
      <c r="BE98" s="1193"/>
      <c r="BF98" s="1193"/>
    </row>
    <row r="99" spans="1:71" ht="18.75" customHeight="1">
      <c r="A99" s="1097" t="s">
        <v>1844</v>
      </c>
      <c r="B99" s="1124" t="s">
        <v>820</v>
      </c>
      <c r="C99" s="506" t="s">
        <v>818</v>
      </c>
      <c r="D99" s="62"/>
      <c r="E99" s="87"/>
      <c r="F99" s="1053"/>
      <c r="G99" s="1641">
        <v>222</v>
      </c>
      <c r="H99" s="499">
        <f ca="1">_xlfn.LET(_xlpm._今月から4ヶ月計画合計,
  SUM(
    OFFSET($A99,0,
      MATCH(
        EDATE(基準データ!$C$5,3),$A$1:$BD$1,1
      )-4,1,4)),
  IF($C99="","",_xlpm._今月から4ヶ月計画合計
)
)</f>
        <v>136</v>
      </c>
      <c r="I99" s="499">
        <f>IF($C99="","",
_xlfn.LET(
  _xlpm._見出し範囲,$L$1:$BF$1,
  _xlpm._行範囲,$L99:$BF99,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923</v>
      </c>
      <c r="J99" s="499">
        <f>IF($C99="","",
_xlfn.LET(
  _xlpm._見出し範囲,'在庫使用計画 (法人)'!$L$1:$BF$1,
  _xlpm._行範囲,'在庫使用計画 (法人)'!$L99:$BF99,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170</v>
      </c>
      <c r="K99" s="1413">
        <v>46327</v>
      </c>
      <c r="L99" s="180"/>
      <c r="M99" s="180"/>
      <c r="N99" s="1328"/>
      <c r="O99" s="1848"/>
      <c r="P99" s="1848"/>
      <c r="Q99" s="1848"/>
      <c r="R99" s="1848"/>
      <c r="S99" s="1848"/>
      <c r="T99" s="1849"/>
      <c r="U99" s="1849"/>
      <c r="V99" s="1850"/>
      <c r="W99" s="479"/>
      <c r="X99" s="479"/>
      <c r="Y99" s="479"/>
      <c r="Z99" s="1851"/>
      <c r="AA99" s="1851"/>
      <c r="AB99" s="1851"/>
      <c r="AC99" s="1851"/>
      <c r="AD99" s="479"/>
      <c r="AE99" s="479"/>
      <c r="AF99" s="62"/>
      <c r="AG99" s="62"/>
      <c r="AH99" s="1852"/>
      <c r="AI99" s="1853"/>
      <c r="AJ99" s="1853"/>
      <c r="AK99" s="1853"/>
      <c r="AL99" s="1853"/>
      <c r="AM99" s="1853"/>
      <c r="AN99" s="1853"/>
      <c r="AO99" s="1853"/>
      <c r="AP99" s="1853"/>
      <c r="AQ99" s="1853">
        <v>69</v>
      </c>
      <c r="AR99" s="1853">
        <v>67</v>
      </c>
      <c r="AS99" s="1853">
        <v>62</v>
      </c>
      <c r="AT99" s="1855">
        <v>87</v>
      </c>
      <c r="AU99" s="1842">
        <v>93</v>
      </c>
      <c r="AV99" s="1842">
        <v>74</v>
      </c>
      <c r="AW99" s="1842">
        <v>97</v>
      </c>
      <c r="AX99" s="1842">
        <v>84</v>
      </c>
      <c r="AY99" s="1842">
        <v>68</v>
      </c>
      <c r="AZ99" s="1842">
        <v>68</v>
      </c>
      <c r="BA99" s="1842">
        <v>83</v>
      </c>
      <c r="BB99" s="1842">
        <v>71</v>
      </c>
      <c r="BC99" s="1193"/>
      <c r="BD99" s="1193"/>
      <c r="BE99" s="1193"/>
      <c r="BF99" s="1193"/>
    </row>
    <row r="100" spans="1:71" ht="18.75" customHeight="1">
      <c r="A100" s="1097" t="s">
        <v>1844</v>
      </c>
      <c r="B100" s="1124" t="s">
        <v>815</v>
      </c>
      <c r="C100" s="506" t="s">
        <v>813</v>
      </c>
      <c r="D100" s="62"/>
      <c r="E100" s="87"/>
      <c r="F100" s="1053"/>
      <c r="G100" s="1641">
        <v>227</v>
      </c>
      <c r="H100" s="499">
        <f ca="1">_xlfn.LET(_xlpm._今月から4ヶ月計画合計,
  SUM(
    OFFSET($A100,0,
      MATCH(
        EDATE(基準データ!$C$5,3),$A$1:$BD$1,1
      )-4,1,4)),
  IF($C100="","",_xlpm._今月から4ヶ月計画合計
)
)</f>
        <v>128</v>
      </c>
      <c r="I100" s="499">
        <f>IF($C100="","",
_xlfn.LET(
  _xlpm._見出し範囲,$L$1:$BF$1,
  _xlpm._行範囲,$L100:$BF100,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874</v>
      </c>
      <c r="J100" s="499">
        <f>IF($C100="","",
_xlfn.LET(
  _xlpm._見出し範囲,'在庫使用計画 (法人)'!$L$1:$BF$1,
  _xlpm._行範囲,'在庫使用計画 (法人)'!$L100:$BF100,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230</v>
      </c>
      <c r="K100" s="1413">
        <v>46327</v>
      </c>
      <c r="L100" s="180"/>
      <c r="M100" s="180"/>
      <c r="N100" s="1328"/>
      <c r="O100" s="1848"/>
      <c r="P100" s="1848"/>
      <c r="Q100" s="1848"/>
      <c r="R100" s="1848"/>
      <c r="S100" s="1848"/>
      <c r="T100" s="1849"/>
      <c r="U100" s="1849"/>
      <c r="V100" s="1850"/>
      <c r="W100" s="479"/>
      <c r="X100" s="479"/>
      <c r="Y100" s="479"/>
      <c r="Z100" s="1851"/>
      <c r="AA100" s="1851"/>
      <c r="AB100" s="1851"/>
      <c r="AC100" s="1851"/>
      <c r="AD100" s="479"/>
      <c r="AE100" s="479"/>
      <c r="AF100" s="62"/>
      <c r="AG100" s="62"/>
      <c r="AH100" s="1852"/>
      <c r="AI100" s="1853"/>
      <c r="AJ100" s="1853"/>
      <c r="AK100" s="1853"/>
      <c r="AL100" s="1853"/>
      <c r="AM100" s="1853"/>
      <c r="AN100" s="1853"/>
      <c r="AO100" s="1853"/>
      <c r="AP100" s="1853"/>
      <c r="AQ100" s="1853">
        <v>65</v>
      </c>
      <c r="AR100" s="1853">
        <v>63</v>
      </c>
      <c r="AS100" s="1853">
        <v>59</v>
      </c>
      <c r="AT100" s="1855">
        <v>83</v>
      </c>
      <c r="AU100" s="1842">
        <v>88</v>
      </c>
      <c r="AV100" s="1842">
        <v>70</v>
      </c>
      <c r="AW100" s="1842">
        <v>92</v>
      </c>
      <c r="AX100" s="1842">
        <v>79</v>
      </c>
      <c r="AY100" s="1842">
        <v>65</v>
      </c>
      <c r="AZ100" s="1842">
        <v>64</v>
      </c>
      <c r="BA100" s="1842">
        <v>79</v>
      </c>
      <c r="BB100" s="1842">
        <v>67</v>
      </c>
      <c r="BC100" s="1193"/>
      <c r="BD100" s="1193"/>
      <c r="BE100" s="1193"/>
      <c r="BF100" s="1193"/>
    </row>
    <row r="101" spans="1:71" ht="18.75" customHeight="1">
      <c r="A101" s="1097" t="s">
        <v>1844</v>
      </c>
      <c r="B101" s="1124" t="s">
        <v>837</v>
      </c>
      <c r="C101" s="506" t="s">
        <v>1661</v>
      </c>
      <c r="D101" s="62"/>
      <c r="E101" s="87"/>
      <c r="F101" s="1053"/>
      <c r="G101" s="1641">
        <v>437</v>
      </c>
      <c r="H101" s="499">
        <f ca="1">_xlfn.LET(_xlpm._今月から4ヶ月計画合計,
  SUM(
    OFFSET($A101,0,
      MATCH(
        EDATE(基準データ!$C$5,3),$A$1:$BD$1,1
      )-4,1,4)),
  IF($C101="","",_xlpm._今月から4ヶ月計画合計
)
)</f>
        <v>264</v>
      </c>
      <c r="I101" s="499">
        <f>IF($C101="","",
_xlfn.LET(
  _xlpm._見出し範囲,$L$1:$BF$1,
  _xlpm._行範囲,$L101:$BF101,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1804</v>
      </c>
      <c r="J101" s="499">
        <f>IF($C101="","",
_xlfn.LET(
  _xlpm._見出し範囲,'在庫使用計画 (法人)'!$L$1:$BF$1,
  _xlpm._行範囲,'在庫使用計画 (法人)'!$L101:$BF101,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1190</v>
      </c>
      <c r="K101" s="1413">
        <v>46296</v>
      </c>
      <c r="L101" s="1328"/>
      <c r="M101" s="180"/>
      <c r="N101" s="1328"/>
      <c r="O101" s="1848"/>
      <c r="P101" s="1848"/>
      <c r="Q101" s="1848"/>
      <c r="R101" s="1848"/>
      <c r="S101" s="1848"/>
      <c r="T101" s="1849"/>
      <c r="U101" s="1849"/>
      <c r="V101" s="1850"/>
      <c r="W101" s="479"/>
      <c r="X101" s="479"/>
      <c r="Y101" s="479"/>
      <c r="Z101" s="1851"/>
      <c r="AA101" s="1851"/>
      <c r="AB101" s="1851"/>
      <c r="AC101" s="1851"/>
      <c r="AD101" s="479"/>
      <c r="AE101" s="479"/>
      <c r="AF101" s="62"/>
      <c r="AG101" s="62"/>
      <c r="AH101" s="1852"/>
      <c r="AI101" s="1853"/>
      <c r="AJ101" s="1853"/>
      <c r="AK101" s="1853"/>
      <c r="AL101" s="1853"/>
      <c r="AM101" s="1853"/>
      <c r="AN101" s="1853"/>
      <c r="AO101" s="1853"/>
      <c r="AP101" s="1853"/>
      <c r="AQ101" s="1853">
        <v>134</v>
      </c>
      <c r="AR101" s="1853">
        <v>130</v>
      </c>
      <c r="AS101" s="1853">
        <v>121</v>
      </c>
      <c r="AT101" s="1855">
        <v>170</v>
      </c>
      <c r="AU101" s="1842">
        <v>182</v>
      </c>
      <c r="AV101" s="1842">
        <v>144</v>
      </c>
      <c r="AW101" s="1842">
        <v>191</v>
      </c>
      <c r="AX101" s="1842">
        <v>164</v>
      </c>
      <c r="AY101" s="1842">
        <v>134</v>
      </c>
      <c r="AZ101" s="1842">
        <v>132</v>
      </c>
      <c r="BA101" s="1842">
        <v>163</v>
      </c>
      <c r="BB101" s="1842">
        <v>139</v>
      </c>
      <c r="BC101" s="1193"/>
      <c r="BD101" s="1193"/>
      <c r="BE101" s="1193"/>
      <c r="BF101" s="1193"/>
    </row>
    <row r="102" spans="1:71" ht="18.75" customHeight="1">
      <c r="A102" s="1097" t="s">
        <v>1844</v>
      </c>
      <c r="B102" s="1124" t="s">
        <v>833</v>
      </c>
      <c r="C102" s="506" t="s">
        <v>831</v>
      </c>
      <c r="D102" s="62"/>
      <c r="E102" s="87"/>
      <c r="F102" s="1053"/>
      <c r="G102" s="1641">
        <v>275</v>
      </c>
      <c r="H102" s="499">
        <f ca="1">_xlfn.LET(_xlpm._今月から4ヶ月計画合計,
  SUM(
    OFFSET($A102,0,
      MATCH(
        EDATE(基準データ!$C$5,3),$A$1:$BD$1,1
      )-4,1,4)),
  IF($C102="","",_xlpm._今月から4ヶ月計画合計
)
)</f>
        <v>183</v>
      </c>
      <c r="I102" s="499">
        <f>IF($C102="","",
_xlfn.LET(
  _xlpm._見出し範囲,$L$1:$BF$1,
  _xlpm._行範囲,$L102:$BF102,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1244</v>
      </c>
      <c r="J102" s="499">
        <f>IF($C102="","",
_xlfn.LET(
  _xlpm._見出し範囲,'在庫使用計画 (法人)'!$L$1:$BF$1,
  _xlpm._行範囲,'在庫使用計画 (法人)'!$L102:$BF102,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170</v>
      </c>
      <c r="K102" s="1413">
        <v>46327</v>
      </c>
      <c r="L102" s="180"/>
      <c r="M102" s="180"/>
      <c r="N102" s="1328"/>
      <c r="O102" s="1848"/>
      <c r="P102" s="1848"/>
      <c r="Q102" s="1848"/>
      <c r="R102" s="1848"/>
      <c r="S102" s="1848"/>
      <c r="T102" s="1849"/>
      <c r="U102" s="1849"/>
      <c r="V102" s="1850"/>
      <c r="W102" s="479"/>
      <c r="X102" s="479"/>
      <c r="Y102" s="479"/>
      <c r="Z102" s="1851"/>
      <c r="AA102" s="1851"/>
      <c r="AB102" s="1851"/>
      <c r="AC102" s="1851"/>
      <c r="AD102" s="479"/>
      <c r="AE102" s="479"/>
      <c r="AF102" s="62"/>
      <c r="AG102" s="62"/>
      <c r="AH102" s="1852"/>
      <c r="AI102" s="1853"/>
      <c r="AJ102" s="1853"/>
      <c r="AK102" s="1853"/>
      <c r="AL102" s="1853"/>
      <c r="AM102" s="1853"/>
      <c r="AN102" s="1853"/>
      <c r="AO102" s="1853"/>
      <c r="AP102" s="1853"/>
      <c r="AQ102" s="1853">
        <v>93</v>
      </c>
      <c r="AR102" s="1853">
        <v>90</v>
      </c>
      <c r="AS102" s="1853">
        <v>84</v>
      </c>
      <c r="AT102" s="1855">
        <v>117</v>
      </c>
      <c r="AU102" s="1842">
        <v>125</v>
      </c>
      <c r="AV102" s="1842">
        <v>100</v>
      </c>
      <c r="AW102" s="1842">
        <v>131</v>
      </c>
      <c r="AX102" s="1842">
        <v>113</v>
      </c>
      <c r="AY102" s="1842">
        <v>92</v>
      </c>
      <c r="AZ102" s="1842">
        <v>91</v>
      </c>
      <c r="BA102" s="1842">
        <v>112</v>
      </c>
      <c r="BB102" s="1842">
        <v>96</v>
      </c>
      <c r="BC102" s="1193"/>
      <c r="BD102" s="1193"/>
      <c r="BE102" s="1193"/>
      <c r="BF102" s="1193"/>
    </row>
    <row r="103" spans="1:71" ht="18.75" customHeight="1">
      <c r="A103" s="1097" t="s">
        <v>1844</v>
      </c>
      <c r="B103" s="1124" t="s">
        <v>828</v>
      </c>
      <c r="C103" s="506" t="s">
        <v>1663</v>
      </c>
      <c r="D103" s="62"/>
      <c r="E103" s="87"/>
      <c r="F103" s="1053"/>
      <c r="G103" s="1641">
        <v>266</v>
      </c>
      <c r="H103" s="499">
        <f ca="1">_xlfn.LET(_xlpm._今月から4ヶ月計画合計,
  SUM(
    OFFSET($A103,0,
      MATCH(
        EDATE(基準データ!$C$5,3),$A$1:$BD$1,1
      )-4,1,4)),
  IF($C103="","",_xlpm._今月から4ヶ月計画合計
)
)</f>
        <v>173</v>
      </c>
      <c r="I103" s="499">
        <f>IF($C103="","",
_xlfn.LET(
  _xlpm._見出し範囲,$L$1:$BF$1,
  _xlpm._行範囲,$L103:$BF103,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1180</v>
      </c>
      <c r="J103" s="499">
        <f>IF($C103="","",
_xlfn.LET(
  _xlpm._見出し範囲,'在庫使用計画 (法人)'!$L$1:$BF$1,
  _xlpm._行範囲,'在庫使用計画 (法人)'!$L103:$BF103,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160</v>
      </c>
      <c r="K103" s="1413">
        <v>46327</v>
      </c>
      <c r="L103" s="180"/>
      <c r="M103" s="180"/>
      <c r="N103" s="1328"/>
      <c r="O103" s="1848"/>
      <c r="P103" s="1848"/>
      <c r="Q103" s="1848"/>
      <c r="R103" s="1848"/>
      <c r="S103" s="1848"/>
      <c r="T103" s="1849"/>
      <c r="U103" s="1849"/>
      <c r="V103" s="1850"/>
      <c r="W103" s="479"/>
      <c r="X103" s="479"/>
      <c r="Y103" s="479"/>
      <c r="Z103" s="1851"/>
      <c r="AA103" s="1851"/>
      <c r="AB103" s="1851"/>
      <c r="AC103" s="1851"/>
      <c r="AD103" s="479"/>
      <c r="AE103" s="479"/>
      <c r="AF103" s="62"/>
      <c r="AG103" s="62"/>
      <c r="AH103" s="1852"/>
      <c r="AI103" s="1853"/>
      <c r="AJ103" s="1853"/>
      <c r="AK103" s="1853"/>
      <c r="AL103" s="1853"/>
      <c r="AM103" s="1853"/>
      <c r="AN103" s="1853"/>
      <c r="AO103" s="1853"/>
      <c r="AP103" s="1853"/>
      <c r="AQ103" s="1853">
        <v>88</v>
      </c>
      <c r="AR103" s="1853">
        <v>85</v>
      </c>
      <c r="AS103" s="1853">
        <v>79</v>
      </c>
      <c r="AT103" s="1855">
        <v>111</v>
      </c>
      <c r="AU103" s="1842">
        <v>119</v>
      </c>
      <c r="AV103" s="1842">
        <v>94</v>
      </c>
      <c r="AW103" s="1842">
        <v>125</v>
      </c>
      <c r="AX103" s="1842">
        <v>107</v>
      </c>
      <c r="AY103" s="1842">
        <v>87</v>
      </c>
      <c r="AZ103" s="1842">
        <v>87</v>
      </c>
      <c r="BA103" s="1842">
        <v>107</v>
      </c>
      <c r="BB103" s="1842">
        <v>91</v>
      </c>
      <c r="BC103" s="1193"/>
      <c r="BD103" s="1193"/>
      <c r="BE103" s="1193"/>
      <c r="BF103" s="1193"/>
    </row>
    <row r="104" spans="1:71" ht="18.75" customHeight="1">
      <c r="A104" s="1856"/>
      <c r="B104" s="1857"/>
      <c r="C104" s="1858"/>
      <c r="D104" s="1859"/>
      <c r="E104" s="1670"/>
      <c r="F104" s="1860"/>
      <c r="G104" s="1509" t="str">
        <v/>
      </c>
      <c r="H104" s="499" t="str">
        <f ca="1">_xlfn.LET(_xlpm._今月から4ヶ月計画合計,
  SUM(
    OFFSET($A104,0,
      MATCH(
        EDATE(基準データ!$C$5,3),$A$1:$BD$1,1
      )-4,1,4)),
  IF($C104="","",_xlpm._今月から4ヶ月計画合計
)
)</f>
        <v/>
      </c>
      <c r="I104" s="499" t="str">
        <f>IF($C104="","",
_xlfn.LET(
  _xlpm._見出し範囲,$L$1:$BF$1,
  _xlpm._行範囲,$L104:$BF104,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
      </c>
      <c r="J104" s="499" t="str">
        <f>IF($C104="","",
_xlfn.LET(
  _xlpm._見出し範囲,'在庫使用計画 (法人)'!$L$1:$BF$1,
  _xlpm._行範囲,'在庫使用計画 (法人)'!$L104:$BF104,
  _xlpm._今月,EOMONTH(基準データ!$C$5,-1)+1,
  _xlpm._残割合,基準データ!$C$9,
  _xlpm._開始位置,IFERROR(MATCH(_xlpm._今月,_xlpm._見出し範囲,0),0),
  _xlpm._列数,COLUMNS(_xlpm._行範囲),
  IF(
    _xlpm._開始位置=0,
    0,
    N(INDEX(_xlpm._行範囲,1,_xlpm._開始位置))*_xlpm._残割合
    +IF(
      _xlpm._開始位置=_xlpm._列数,
      0,
      SUM(INDEX(_xlpm._行範囲,1,_xlpm._開始位置+1):INDEX(_xlpm._行範囲,1,_xlpm._列数))
    )
  )
))</f>
        <v/>
      </c>
      <c r="K104" s="1413" t="str">
        <v/>
      </c>
      <c r="L104" s="74"/>
      <c r="M104" s="1497"/>
      <c r="N104" s="1498"/>
      <c r="O104" s="422"/>
      <c r="P104" s="422"/>
      <c r="Q104" s="422"/>
      <c r="R104" s="422"/>
      <c r="S104" s="422"/>
      <c r="T104" s="1843"/>
      <c r="U104" s="1843"/>
      <c r="V104" s="77"/>
      <c r="W104" s="1861"/>
      <c r="X104" s="1861"/>
      <c r="Y104" s="77"/>
      <c r="Z104" s="77"/>
      <c r="AA104" s="77"/>
      <c r="AB104" s="77"/>
      <c r="AC104" s="77"/>
      <c r="AD104" s="1861"/>
      <c r="AE104" s="1861"/>
      <c r="AF104" s="1776"/>
      <c r="AG104" s="1776"/>
      <c r="AH104" s="1862"/>
      <c r="AI104" s="1863"/>
      <c r="AJ104" s="1864"/>
      <c r="AK104" s="1864"/>
      <c r="AL104" s="1172"/>
      <c r="AM104" s="1172"/>
      <c r="AN104" s="1172"/>
      <c r="AO104" s="1172"/>
      <c r="AP104" s="1172"/>
      <c r="AQ104" s="1172"/>
      <c r="AR104" s="1172"/>
      <c r="AS104" s="1172"/>
      <c r="AT104" s="1865"/>
      <c r="AU104" s="1168"/>
      <c r="AV104" s="1168"/>
      <c r="AW104" s="1168"/>
      <c r="AX104" s="1168"/>
      <c r="AY104" s="1168"/>
      <c r="AZ104" s="1168"/>
      <c r="BA104" s="1168"/>
      <c r="BB104" s="1168"/>
      <c r="BC104" s="1168"/>
      <c r="BD104" s="1168"/>
      <c r="BE104" s="1168"/>
      <c r="BF104" s="1168"/>
    </row>
    <row r="105" spans="1:71" s="1230" customFormat="1" ht="18.75" customHeight="1">
      <c r="A105" s="1600"/>
      <c r="B105" s="1601" t="s">
        <v>1850</v>
      </c>
      <c r="C105" s="1602" t="s">
        <v>1810</v>
      </c>
      <c r="D105" s="1603"/>
      <c r="E105" s="1603"/>
      <c r="F105" s="1603"/>
      <c r="G105" s="1221"/>
      <c r="H105" s="1221"/>
      <c r="I105" s="1221"/>
      <c r="J105" s="1221"/>
      <c r="K105" s="1415"/>
      <c r="L105" s="1223"/>
      <c r="M105" s="1223"/>
      <c r="N105" s="1223"/>
      <c r="O105" s="1223"/>
      <c r="P105" s="1223"/>
      <c r="Q105" s="1223"/>
      <c r="R105" s="1223"/>
      <c r="S105" s="1223"/>
      <c r="T105" s="1223"/>
      <c r="U105" s="1223"/>
      <c r="V105" s="1223"/>
      <c r="W105" s="1604"/>
      <c r="X105" s="1605"/>
      <c r="Y105" s="1605"/>
      <c r="Z105" s="1605"/>
      <c r="AA105" s="1605"/>
      <c r="AB105" s="1605"/>
      <c r="AC105" s="1605"/>
      <c r="AD105" s="1606">
        <v>0.97674418604651159</v>
      </c>
      <c r="AE105" s="1606">
        <v>1.0930650037792895</v>
      </c>
      <c r="AF105" s="1606">
        <v>1.0258515577540572</v>
      </c>
      <c r="AG105" s="1606">
        <v>1.1561570873082356</v>
      </c>
      <c r="AH105" s="1866">
        <v>1.5157283109597275</v>
      </c>
      <c r="AI105" s="1867">
        <v>1.0011757789535567</v>
      </c>
      <c r="AJ105" s="1609">
        <v>0.74974598873883402</v>
      </c>
      <c r="AK105" s="1609">
        <v>1.038187578133879</v>
      </c>
      <c r="AL105" s="1609">
        <v>0.71560037891915629</v>
      </c>
      <c r="AM105" s="1609">
        <v>0.74260284385367037</v>
      </c>
      <c r="AN105" s="1609">
        <v>1.0346353314285639</v>
      </c>
      <c r="AO105" s="1609">
        <v>1.2646566164154103</v>
      </c>
      <c r="AP105" s="1610"/>
      <c r="AQ105" s="1610"/>
      <c r="AR105" s="1610"/>
      <c r="AS105" s="1610"/>
      <c r="AT105" s="1868"/>
      <c r="AU105" s="1869"/>
      <c r="AV105" s="1869"/>
      <c r="AW105" s="1869"/>
      <c r="AX105" s="1869"/>
      <c r="AY105" s="1869"/>
      <c r="AZ105" s="1869"/>
      <c r="BA105" s="1869"/>
      <c r="BB105" s="1869"/>
      <c r="BC105" s="1869"/>
      <c r="BD105" s="1869"/>
      <c r="BE105" s="1869"/>
      <c r="BF105" s="1869"/>
      <c r="BG105" s="2001"/>
      <c r="BH105" s="2001"/>
      <c r="BI105" s="2001"/>
      <c r="BJ105" s="2001"/>
      <c r="BK105" s="2001"/>
      <c r="BL105" s="2001"/>
      <c r="BM105" s="2001"/>
      <c r="BN105" s="2001"/>
      <c r="BO105" s="2001"/>
      <c r="BP105" s="2001"/>
      <c r="BQ105" s="2001"/>
      <c r="BR105" s="2001"/>
      <c r="BS105" s="2001"/>
    </row>
    <row r="106" spans="1:71" s="2051" customFormat="1" ht="18.75" customHeight="1">
      <c r="A106" s="2032"/>
      <c r="B106" s="2033" t="s">
        <v>1819</v>
      </c>
      <c r="C106" s="2034"/>
      <c r="D106" s="2035"/>
      <c r="E106" s="2035"/>
      <c r="F106" s="2036"/>
      <c r="G106" s="2037"/>
      <c r="H106" s="2038"/>
      <c r="I106" s="2037"/>
      <c r="J106" s="2037"/>
      <c r="K106" s="2039"/>
      <c r="L106" s="2040"/>
      <c r="M106" s="2040"/>
      <c r="N106" s="2040"/>
      <c r="O106" s="2040"/>
      <c r="P106" s="2040"/>
      <c r="Q106" s="2040"/>
      <c r="R106" s="2040"/>
      <c r="S106" s="2040"/>
      <c r="T106" s="2040"/>
      <c r="U106" s="2040"/>
      <c r="V106" s="2040"/>
      <c r="W106" s="2041"/>
      <c r="X106" s="2042"/>
      <c r="Y106" s="2042"/>
      <c r="Z106" s="2042"/>
      <c r="AA106" s="2043"/>
      <c r="AB106" s="2043"/>
      <c r="AC106" s="2043"/>
      <c r="AD106" s="2044"/>
      <c r="AE106" s="2045"/>
      <c r="AF106" s="2045"/>
      <c r="AG106" s="2045"/>
      <c r="AH106" s="2046"/>
      <c r="AI106" s="2047"/>
      <c r="AJ106" s="2047"/>
      <c r="AK106" s="2047"/>
      <c r="AL106" s="2047">
        <f t="shared" ref="AL106:BF106" si="7">SUM(AL$52:AL$74)</f>
        <v>662</v>
      </c>
      <c r="AM106" s="2047">
        <f t="shared" si="7"/>
        <v>732</v>
      </c>
      <c r="AN106" s="2047">
        <f t="shared" si="7"/>
        <v>627</v>
      </c>
      <c r="AO106" s="2047">
        <f t="shared" si="7"/>
        <v>849</v>
      </c>
      <c r="AP106" s="2048">
        <f t="shared" si="7"/>
        <v>507</v>
      </c>
      <c r="AQ106" s="2048">
        <f t="shared" si="7"/>
        <v>476</v>
      </c>
      <c r="AR106" s="2048">
        <f t="shared" si="7"/>
        <v>442</v>
      </c>
      <c r="AS106" s="2048">
        <f t="shared" si="7"/>
        <v>349</v>
      </c>
      <c r="AT106" s="2049">
        <f t="shared" si="7"/>
        <v>493</v>
      </c>
      <c r="AU106" s="2050">
        <f t="shared" si="7"/>
        <v>513</v>
      </c>
      <c r="AV106" s="2050">
        <f t="shared" si="7"/>
        <v>407</v>
      </c>
      <c r="AW106" s="2050">
        <f t="shared" si="7"/>
        <v>522</v>
      </c>
      <c r="AX106" s="2050">
        <f t="shared" si="7"/>
        <v>396</v>
      </c>
      <c r="AY106" s="2050">
        <f t="shared" si="7"/>
        <v>325</v>
      </c>
      <c r="AZ106" s="2050">
        <f t="shared" si="7"/>
        <v>321</v>
      </c>
      <c r="BA106" s="2050">
        <f t="shared" si="7"/>
        <v>395</v>
      </c>
      <c r="BB106" s="2050">
        <f t="shared" si="7"/>
        <v>336</v>
      </c>
      <c r="BC106" s="2050">
        <f t="shared" si="7"/>
        <v>0</v>
      </c>
      <c r="BD106" s="2050">
        <f t="shared" si="7"/>
        <v>0</v>
      </c>
      <c r="BE106" s="2050">
        <f t="shared" si="7"/>
        <v>0</v>
      </c>
      <c r="BF106" s="2050">
        <f t="shared" si="7"/>
        <v>0</v>
      </c>
    </row>
    <row r="107" spans="1:71" s="2051" customFormat="1" ht="18.75" customHeight="1">
      <c r="A107" s="2032"/>
      <c r="B107" s="2033" t="s">
        <v>1818</v>
      </c>
      <c r="C107" s="2034"/>
      <c r="D107" s="2035"/>
      <c r="E107" s="2035"/>
      <c r="F107" s="2036"/>
      <c r="G107" s="2037"/>
      <c r="H107" s="2038"/>
      <c r="I107" s="2037"/>
      <c r="J107" s="2037"/>
      <c r="K107" s="2039"/>
      <c r="L107" s="2040"/>
      <c r="M107" s="2040"/>
      <c r="N107" s="2040"/>
      <c r="O107" s="2040"/>
      <c r="P107" s="2040"/>
      <c r="Q107" s="2040"/>
      <c r="R107" s="2040"/>
      <c r="S107" s="2040"/>
      <c r="T107" s="2040"/>
      <c r="U107" s="2040"/>
      <c r="V107" s="2040"/>
      <c r="W107" s="2041"/>
      <c r="X107" s="2042"/>
      <c r="Y107" s="2042"/>
      <c r="Z107" s="2042"/>
      <c r="AA107" s="2043"/>
      <c r="AB107" s="2043"/>
      <c r="AC107" s="2043"/>
      <c r="AD107" s="2044"/>
      <c r="AE107" s="2045"/>
      <c r="AF107" s="2045"/>
      <c r="AG107" s="2045"/>
      <c r="AH107" s="2046"/>
      <c r="AI107" s="2047"/>
      <c r="AJ107" s="2047"/>
      <c r="AK107" s="2047"/>
      <c r="AL107" s="2047">
        <f t="shared" ref="AL107:BF107" si="8">SUM(AL$76:AL$103)</f>
        <v>451</v>
      </c>
      <c r="AM107" s="2047">
        <f t="shared" si="8"/>
        <v>370</v>
      </c>
      <c r="AN107" s="2047">
        <f t="shared" si="8"/>
        <v>386</v>
      </c>
      <c r="AO107" s="2047">
        <f t="shared" si="8"/>
        <v>433</v>
      </c>
      <c r="AP107" s="2048">
        <f t="shared" si="8"/>
        <v>364</v>
      </c>
      <c r="AQ107" s="2048">
        <f t="shared" si="8"/>
        <v>734</v>
      </c>
      <c r="AR107" s="2048">
        <f t="shared" si="8"/>
        <v>702</v>
      </c>
      <c r="AS107" s="2048">
        <f t="shared" si="8"/>
        <v>652</v>
      </c>
      <c r="AT107" s="2049">
        <f t="shared" si="8"/>
        <v>916</v>
      </c>
      <c r="AU107" s="2050">
        <f t="shared" si="8"/>
        <v>978</v>
      </c>
      <c r="AV107" s="2050">
        <f t="shared" si="8"/>
        <v>776</v>
      </c>
      <c r="AW107" s="2050">
        <f t="shared" si="8"/>
        <v>1026</v>
      </c>
      <c r="AX107" s="2050">
        <f t="shared" si="8"/>
        <v>858</v>
      </c>
      <c r="AY107" s="2050">
        <f t="shared" si="8"/>
        <v>700</v>
      </c>
      <c r="AZ107" s="2050">
        <f t="shared" si="8"/>
        <v>694</v>
      </c>
      <c r="BA107" s="2050">
        <f t="shared" si="8"/>
        <v>855</v>
      </c>
      <c r="BB107" s="2050">
        <f t="shared" si="8"/>
        <v>728</v>
      </c>
      <c r="BC107" s="2050">
        <f t="shared" si="8"/>
        <v>0</v>
      </c>
      <c r="BD107" s="2050">
        <f t="shared" si="8"/>
        <v>0</v>
      </c>
      <c r="BE107" s="2050">
        <f t="shared" si="8"/>
        <v>0</v>
      </c>
      <c r="BF107" s="2050">
        <f t="shared" si="8"/>
        <v>0</v>
      </c>
    </row>
    <row r="108" spans="1:71" ht="18.75" customHeight="1">
      <c r="A108" s="1870"/>
      <c r="B108" s="1871" t="s">
        <v>1501</v>
      </c>
      <c r="C108" s="1872" t="s">
        <v>1805</v>
      </c>
      <c r="D108" s="1872"/>
      <c r="E108" s="1873"/>
      <c r="F108" s="1874"/>
      <c r="G108" s="1878">
        <f>SUM(G52:G103)</f>
        <v>17096</v>
      </c>
      <c r="H108" s="1878">
        <f ca="1">SUM(H52:H103)</f>
        <v>4507</v>
      </c>
      <c r="I108" s="1875"/>
      <c r="J108" s="1875"/>
      <c r="K108" s="1625"/>
      <c r="L108" s="225">
        <v>550</v>
      </c>
      <c r="M108" s="225">
        <v>850</v>
      </c>
      <c r="N108" s="225">
        <v>830</v>
      </c>
      <c r="O108" s="225">
        <v>910</v>
      </c>
      <c r="P108" s="225">
        <v>1012</v>
      </c>
      <c r="Q108" s="225">
        <v>1140</v>
      </c>
      <c r="R108" s="225">
        <v>830</v>
      </c>
      <c r="S108" s="225">
        <v>880</v>
      </c>
      <c r="T108" s="225">
        <v>920</v>
      </c>
      <c r="U108" s="225">
        <v>920</v>
      </c>
      <c r="V108" s="225">
        <v>960</v>
      </c>
      <c r="W108" s="225">
        <v>1050</v>
      </c>
      <c r="X108" s="225">
        <v>1160</v>
      </c>
      <c r="Y108" s="225">
        <v>1585</v>
      </c>
      <c r="Z108" s="225">
        <v>1195</v>
      </c>
      <c r="AA108" s="1704">
        <v>1105</v>
      </c>
      <c r="AB108" s="1704">
        <v>1215</v>
      </c>
      <c r="AC108" s="1704">
        <v>1455</v>
      </c>
      <c r="AD108" s="1876">
        <v>1023</v>
      </c>
      <c r="AE108" s="225">
        <v>1191</v>
      </c>
      <c r="AF108" s="225">
        <v>1384</v>
      </c>
      <c r="AG108" s="225">
        <v>1372</v>
      </c>
      <c r="AH108" s="1877">
        <v>1968</v>
      </c>
      <c r="AI108" s="1878">
        <v>1392</v>
      </c>
      <c r="AJ108" s="1878">
        <v>885</v>
      </c>
      <c r="AK108" s="1878">
        <v>1428</v>
      </c>
      <c r="AL108" s="1878">
        <f>SUM(AL52:AL103)</f>
        <v>1113</v>
      </c>
      <c r="AM108" s="1878">
        <f t="shared" ref="AM108" si="9">SUM(AM52:AM103)</f>
        <v>1102</v>
      </c>
      <c r="AN108" s="1878">
        <f t="shared" ref="AN108:BF108" si="10">SUM(AN52:AN103)</f>
        <v>1013</v>
      </c>
      <c r="AO108" s="1878">
        <f t="shared" si="10"/>
        <v>1282</v>
      </c>
      <c r="AP108" s="1878">
        <f t="shared" si="10"/>
        <v>871</v>
      </c>
      <c r="AQ108" s="1878">
        <f t="shared" si="10"/>
        <v>1210</v>
      </c>
      <c r="AR108" s="1878">
        <f t="shared" si="10"/>
        <v>1144</v>
      </c>
      <c r="AS108" s="1878">
        <f t="shared" si="10"/>
        <v>1001</v>
      </c>
      <c r="AT108" s="1878">
        <f t="shared" si="10"/>
        <v>1409</v>
      </c>
      <c r="AU108" s="1878">
        <f t="shared" si="10"/>
        <v>1491</v>
      </c>
      <c r="AV108" s="1878">
        <f t="shared" si="10"/>
        <v>1183</v>
      </c>
      <c r="AW108" s="1878">
        <f t="shared" si="10"/>
        <v>1548</v>
      </c>
      <c r="AX108" s="1878">
        <f t="shared" si="10"/>
        <v>1254</v>
      </c>
      <c r="AY108" s="1878">
        <f t="shared" si="10"/>
        <v>1025</v>
      </c>
      <c r="AZ108" s="1878">
        <f t="shared" si="10"/>
        <v>1015</v>
      </c>
      <c r="BA108" s="1878">
        <f t="shared" si="10"/>
        <v>1250</v>
      </c>
      <c r="BB108" s="1878">
        <f t="shared" si="10"/>
        <v>1064</v>
      </c>
      <c r="BC108" s="1878">
        <f t="shared" si="10"/>
        <v>0</v>
      </c>
      <c r="BD108" s="1878">
        <f t="shared" si="10"/>
        <v>0</v>
      </c>
      <c r="BE108" s="1878">
        <f t="shared" si="10"/>
        <v>0</v>
      </c>
      <c r="BF108" s="1878">
        <f t="shared" si="10"/>
        <v>0</v>
      </c>
    </row>
    <row r="109" spans="1:71" ht="18.75" customHeight="1" thickBot="1">
      <c r="A109" s="1870"/>
      <c r="B109" s="1871" t="s">
        <v>1502</v>
      </c>
      <c r="C109" s="1872"/>
      <c r="D109" s="1872"/>
      <c r="E109" s="1873"/>
      <c r="F109" s="1874"/>
      <c r="G109" s="1875"/>
      <c r="H109" s="1879"/>
      <c r="I109" s="1879"/>
      <c r="J109" s="1879"/>
      <c r="K109" s="1419"/>
      <c r="L109" s="376"/>
      <c r="M109" s="376"/>
      <c r="N109" s="376"/>
      <c r="O109" s="1704"/>
      <c r="P109" s="1704"/>
      <c r="Q109" s="1704"/>
      <c r="R109" s="1880">
        <v>1095.4451613441188</v>
      </c>
      <c r="S109" s="1880">
        <v>1255.5930146960611</v>
      </c>
      <c r="T109" s="1880">
        <v>1278.3456823874003</v>
      </c>
      <c r="U109" s="1880">
        <v>1301.9714943710346</v>
      </c>
      <c r="V109" s="1880">
        <v>1853.2317989163578</v>
      </c>
      <c r="W109" s="1880">
        <v>1595.9333171169053</v>
      </c>
      <c r="X109" s="1880">
        <v>1368.6562834204958</v>
      </c>
      <c r="Y109" s="1880">
        <v>2087.2153324374494</v>
      </c>
      <c r="Z109" s="1880">
        <v>1449.531726876186</v>
      </c>
      <c r="AA109" s="1881">
        <v>1281.9528537836713</v>
      </c>
      <c r="AB109" s="1881">
        <v>1340.3895270353592</v>
      </c>
      <c r="AC109" s="1881">
        <v>1484.0176190903705</v>
      </c>
      <c r="AD109" s="1882">
        <v>753.02878657748658</v>
      </c>
      <c r="AE109" s="1882">
        <v>921.76527595658831</v>
      </c>
      <c r="AF109" s="1882">
        <v>993.4654787497351</v>
      </c>
      <c r="AG109" s="1882">
        <v>1077.4988342807276</v>
      </c>
      <c r="AH109" s="1882">
        <v>1414.5653571361936</v>
      </c>
      <c r="AI109" s="1883">
        <v>1368.743171263048</v>
      </c>
      <c r="AJ109" s="1884">
        <v>1097.4832288526873</v>
      </c>
      <c r="AK109" s="1884">
        <v>1643.6202122295083</v>
      </c>
      <c r="AL109" s="1884">
        <v>1061.0582807244896</v>
      </c>
      <c r="AM109" s="1884">
        <v>721.35853522692264</v>
      </c>
      <c r="AN109" s="1884">
        <v>738.99708518362183</v>
      </c>
      <c r="AO109" s="1885">
        <v>778.606752035299</v>
      </c>
      <c r="AP109" s="1886"/>
      <c r="AQ109" s="1886"/>
      <c r="AR109" s="1886"/>
      <c r="AS109" s="1886"/>
      <c r="AT109" s="1887"/>
      <c r="AU109" s="1887"/>
      <c r="AV109" s="1887"/>
      <c r="AW109" s="1887"/>
      <c r="AX109" s="1887"/>
      <c r="AY109" s="1887"/>
      <c r="AZ109" s="1887"/>
      <c r="BA109" s="1887"/>
      <c r="BB109" s="1887"/>
      <c r="BC109" s="1887"/>
      <c r="BD109" s="1887"/>
      <c r="BE109" s="1887"/>
      <c r="BF109" s="1887"/>
    </row>
    <row r="110" spans="1:71" ht="18.75" customHeight="1">
      <c r="A110" s="1714"/>
      <c r="B110" s="1715" t="s">
        <v>982</v>
      </c>
      <c r="C110" s="1715" t="s">
        <v>10</v>
      </c>
      <c r="D110" s="1715" t="s">
        <v>11</v>
      </c>
      <c r="E110" s="1715" t="s">
        <v>12</v>
      </c>
      <c r="F110" s="1716" t="s">
        <v>13</v>
      </c>
      <c r="G110" s="1716" t="s">
        <v>14</v>
      </c>
      <c r="H110" s="1716" t="s">
        <v>15</v>
      </c>
      <c r="I110" s="1716"/>
      <c r="J110" s="1716"/>
      <c r="K110" s="1888"/>
      <c r="L110" s="1889">
        <v>45323</v>
      </c>
      <c r="M110" s="1889">
        <v>45352</v>
      </c>
      <c r="N110" s="1890">
        <v>45383</v>
      </c>
      <c r="O110" s="1721">
        <v>45413</v>
      </c>
      <c r="P110" s="1721">
        <v>45444</v>
      </c>
      <c r="Q110" s="1721">
        <v>45474</v>
      </c>
      <c r="R110" s="1721">
        <v>45505</v>
      </c>
      <c r="S110" s="1721">
        <v>45536</v>
      </c>
      <c r="T110" s="1721">
        <v>45566</v>
      </c>
      <c r="U110" s="1721">
        <v>45597</v>
      </c>
      <c r="V110" s="1721">
        <v>45627</v>
      </c>
      <c r="W110" s="1722">
        <v>45658</v>
      </c>
      <c r="X110" s="1723">
        <v>45689</v>
      </c>
      <c r="Y110" s="1723">
        <v>45717</v>
      </c>
      <c r="Z110" s="1724">
        <v>45748</v>
      </c>
      <c r="AA110" s="1725">
        <v>45778</v>
      </c>
      <c r="AB110" s="1725">
        <v>45809</v>
      </c>
      <c r="AC110" s="1725">
        <v>45839</v>
      </c>
      <c r="AD110" s="1726">
        <v>45870</v>
      </c>
      <c r="AE110" s="1725">
        <v>45901</v>
      </c>
      <c r="AF110" s="1725">
        <v>45931</v>
      </c>
      <c r="AG110" s="1725">
        <v>45962</v>
      </c>
      <c r="AH110" s="1891">
        <v>45992</v>
      </c>
      <c r="AI110" s="1728">
        <v>46023</v>
      </c>
      <c r="AJ110" s="1729">
        <v>46054</v>
      </c>
      <c r="AK110" s="1729">
        <v>46082</v>
      </c>
      <c r="AL110" s="1729">
        <v>46113</v>
      </c>
      <c r="AM110" s="1729">
        <v>46143</v>
      </c>
      <c r="AN110" s="1729">
        <v>46174</v>
      </c>
      <c r="AO110" s="1729">
        <v>46204</v>
      </c>
      <c r="AP110" s="1729">
        <v>46235</v>
      </c>
      <c r="AQ110" s="1729">
        <v>46266</v>
      </c>
      <c r="AR110" s="1729">
        <v>46296</v>
      </c>
      <c r="AS110" s="1729">
        <v>46327</v>
      </c>
      <c r="AT110" s="1473">
        <v>46357</v>
      </c>
      <c r="AU110" s="1473">
        <v>46358</v>
      </c>
      <c r="AV110" s="1473">
        <v>46359</v>
      </c>
      <c r="AW110" s="1473">
        <v>46360</v>
      </c>
      <c r="AX110" s="1473">
        <v>46361</v>
      </c>
      <c r="AY110" s="1473">
        <v>46362</v>
      </c>
      <c r="AZ110" s="1473">
        <v>46363</v>
      </c>
      <c r="BA110" s="1473">
        <v>46364</v>
      </c>
      <c r="BB110" s="1473">
        <v>46365</v>
      </c>
      <c r="BC110" s="1473">
        <v>46366</v>
      </c>
      <c r="BD110" s="1473">
        <v>46367</v>
      </c>
      <c r="BE110" s="1473">
        <v>46368</v>
      </c>
      <c r="BF110" s="1473">
        <v>46369</v>
      </c>
    </row>
    <row r="111" spans="1:71" ht="18.75" customHeight="1">
      <c r="A111" s="1892" t="s">
        <v>1851</v>
      </c>
      <c r="B111" s="1893" t="s">
        <v>985</v>
      </c>
      <c r="C111" s="1894" t="s">
        <v>983</v>
      </c>
      <c r="D111" s="1894"/>
      <c r="E111" s="1895"/>
      <c r="F111" s="1896"/>
      <c r="G111" s="1763" t="s">
        <v>21</v>
      </c>
      <c r="H111" s="1763">
        <v>0</v>
      </c>
      <c r="I111" s="1763">
        <v>0</v>
      </c>
      <c r="J111" s="1763">
        <v>0</v>
      </c>
      <c r="K111" s="1413" t="s">
        <v>1852</v>
      </c>
      <c r="L111" s="180"/>
      <c r="M111" s="180"/>
      <c r="N111" s="1328"/>
      <c r="O111" s="1742"/>
      <c r="P111" s="1742"/>
      <c r="Q111" s="1742"/>
      <c r="R111" s="1742"/>
      <c r="S111" s="1742"/>
      <c r="T111" s="1742"/>
      <c r="U111" s="1742"/>
      <c r="V111" s="1897"/>
      <c r="W111" s="1898"/>
      <c r="X111" s="1899"/>
      <c r="Y111" s="1899"/>
      <c r="Z111" s="1900"/>
      <c r="AA111" s="1894"/>
      <c r="AB111" s="1894"/>
      <c r="AC111" s="1894"/>
      <c r="AD111" s="1901"/>
      <c r="AE111" s="1894"/>
      <c r="AF111" s="1894"/>
      <c r="AG111" s="1894"/>
      <c r="AH111" s="1902"/>
      <c r="AI111" s="1903"/>
      <c r="AJ111" s="1792"/>
      <c r="AK111" s="1792"/>
      <c r="AL111" s="1792"/>
      <c r="AM111" s="1792"/>
      <c r="AN111" s="1792"/>
      <c r="AO111" s="1792"/>
      <c r="AP111" s="1792"/>
      <c r="AQ111" s="1792"/>
      <c r="AR111" s="1792"/>
      <c r="AS111" s="1792"/>
      <c r="AT111" s="1793"/>
      <c r="AU111" s="1193"/>
      <c r="AV111" s="1193"/>
      <c r="AW111" s="1193"/>
      <c r="AX111" s="1193"/>
      <c r="AY111" s="1193"/>
      <c r="AZ111" s="1193"/>
      <c r="BA111" s="1193"/>
      <c r="BB111" s="1193"/>
      <c r="BC111" s="1193"/>
      <c r="BD111" s="1193"/>
      <c r="BE111" s="1193"/>
      <c r="BF111" s="1193"/>
    </row>
    <row r="112" spans="1:71" ht="18.75" customHeight="1">
      <c r="A112" s="1892" t="s">
        <v>1851</v>
      </c>
      <c r="B112" s="1893" t="s">
        <v>988</v>
      </c>
      <c r="C112" s="1894" t="s">
        <v>986</v>
      </c>
      <c r="D112" s="1894"/>
      <c r="E112" s="1895"/>
      <c r="F112" s="1896"/>
      <c r="G112" s="1763">
        <v>16</v>
      </c>
      <c r="H112" s="1763">
        <v>0</v>
      </c>
      <c r="I112" s="1763">
        <v>0</v>
      </c>
      <c r="J112" s="1763">
        <v>4.6451612903225801</v>
      </c>
      <c r="K112" s="1413" t="s">
        <v>1853</v>
      </c>
      <c r="L112" s="180"/>
      <c r="M112" s="180"/>
      <c r="N112" s="1328"/>
      <c r="O112" s="1742"/>
      <c r="P112" s="1742"/>
      <c r="Q112" s="1742"/>
      <c r="R112" s="1742"/>
      <c r="S112" s="1742"/>
      <c r="T112" s="1742"/>
      <c r="U112" s="1742"/>
      <c r="V112" s="1897"/>
      <c r="W112" s="1898"/>
      <c r="X112" s="1899"/>
      <c r="Y112" s="1899"/>
      <c r="Z112" s="1900"/>
      <c r="AA112" s="1894"/>
      <c r="AB112" s="1894"/>
      <c r="AC112" s="1894"/>
      <c r="AD112" s="1901"/>
      <c r="AE112" s="1894"/>
      <c r="AF112" s="1894"/>
      <c r="AG112" s="1894"/>
      <c r="AH112" s="1902"/>
      <c r="AI112" s="1903"/>
      <c r="AJ112" s="1792"/>
      <c r="AK112" s="1792"/>
      <c r="AL112" s="1792"/>
      <c r="AM112" s="1792"/>
      <c r="AN112" s="1792"/>
      <c r="AO112" s="1792"/>
      <c r="AP112" s="1792"/>
      <c r="AQ112" s="1792"/>
      <c r="AR112" s="1792"/>
      <c r="AS112" s="1792"/>
      <c r="AT112" s="1793"/>
      <c r="AU112" s="1193"/>
      <c r="AV112" s="1193"/>
      <c r="AW112" s="1193"/>
      <c r="AX112" s="1193"/>
      <c r="AY112" s="1193"/>
      <c r="AZ112" s="1193"/>
      <c r="BA112" s="1193"/>
      <c r="BB112" s="1193"/>
      <c r="BC112" s="1193"/>
      <c r="BD112" s="1193"/>
      <c r="BE112" s="1193"/>
      <c r="BF112" s="1193"/>
    </row>
    <row r="113" spans="1:58" ht="18.75" customHeight="1">
      <c r="A113" s="1892"/>
      <c r="B113" s="1893"/>
      <c r="C113" s="1894"/>
      <c r="D113" s="1894"/>
      <c r="E113" s="1895"/>
      <c r="F113" s="1896"/>
      <c r="G113" s="1763" t="s">
        <v>21</v>
      </c>
      <c r="H113" s="1763" t="s">
        <v>21</v>
      </c>
      <c r="I113" s="1763" t="s">
        <v>21</v>
      </c>
      <c r="J113" s="1763" t="s">
        <v>21</v>
      </c>
      <c r="K113" s="1413" t="s">
        <v>21</v>
      </c>
      <c r="L113" s="180"/>
      <c r="M113" s="180"/>
      <c r="N113" s="1328"/>
      <c r="O113" s="1742"/>
      <c r="P113" s="1742"/>
      <c r="Q113" s="1742"/>
      <c r="R113" s="1742"/>
      <c r="S113" s="1742"/>
      <c r="T113" s="1742"/>
      <c r="U113" s="1742"/>
      <c r="V113" s="1897"/>
      <c r="W113" s="1898"/>
      <c r="X113" s="1899"/>
      <c r="Y113" s="1899"/>
      <c r="Z113" s="1900"/>
      <c r="AA113" s="1894"/>
      <c r="AB113" s="1894"/>
      <c r="AC113" s="1894"/>
      <c r="AD113" s="1901"/>
      <c r="AE113" s="1894"/>
      <c r="AF113" s="1894"/>
      <c r="AG113" s="1894"/>
      <c r="AH113" s="1902"/>
      <c r="AI113" s="1903"/>
      <c r="AJ113" s="1792"/>
      <c r="AK113" s="1792"/>
      <c r="AL113" s="1792"/>
      <c r="AM113" s="1792"/>
      <c r="AN113" s="1792"/>
      <c r="AO113" s="1792"/>
      <c r="AP113" s="1792"/>
      <c r="AQ113" s="1792"/>
      <c r="AR113" s="1792"/>
      <c r="AS113" s="1792"/>
      <c r="AT113" s="1793"/>
      <c r="AU113" s="1193"/>
      <c r="AV113" s="1193"/>
      <c r="AW113" s="1193"/>
      <c r="AX113" s="1193"/>
      <c r="AY113" s="1193"/>
      <c r="AZ113" s="1193"/>
      <c r="BA113" s="1193"/>
      <c r="BB113" s="1193"/>
      <c r="BC113" s="1193"/>
      <c r="BD113" s="1193"/>
      <c r="BE113" s="1193"/>
      <c r="BF113" s="1193"/>
    </row>
    <row r="114" spans="1:58" ht="18.75" customHeight="1">
      <c r="A114" s="1892" t="s">
        <v>1851</v>
      </c>
      <c r="B114" s="1893" t="s">
        <v>1016</v>
      </c>
      <c r="C114" s="1894" t="s">
        <v>1014</v>
      </c>
      <c r="D114" s="1893" t="s">
        <v>38</v>
      </c>
      <c r="E114" s="1893">
        <v>4060</v>
      </c>
      <c r="F114" s="1904"/>
      <c r="G114" s="1763">
        <v>0</v>
      </c>
      <c r="H114" s="1763">
        <v>0</v>
      </c>
      <c r="I114" s="1763">
        <v>0</v>
      </c>
      <c r="J114" s="1763">
        <v>0</v>
      </c>
      <c r="K114" s="1413">
        <v>0</v>
      </c>
      <c r="L114" s="180">
        <v>100</v>
      </c>
      <c r="M114" s="180"/>
      <c r="N114" s="1328"/>
      <c r="O114" s="1905"/>
      <c r="P114" s="1905"/>
      <c r="Q114" s="1905"/>
      <c r="R114" s="1905"/>
      <c r="S114" s="1905"/>
      <c r="T114" s="1905"/>
      <c r="U114" s="1905"/>
      <c r="V114" s="1906"/>
      <c r="W114" s="1898"/>
      <c r="X114" s="1899"/>
      <c r="Y114" s="1899"/>
      <c r="Z114" s="1900"/>
      <c r="AA114" s="1894"/>
      <c r="AB114" s="1894"/>
      <c r="AC114" s="1894"/>
      <c r="AD114" s="1901"/>
      <c r="AE114" s="1894"/>
      <c r="AF114" s="1894"/>
      <c r="AG114" s="1894"/>
      <c r="AH114" s="1902"/>
      <c r="AI114" s="1903"/>
      <c r="AJ114" s="1792"/>
      <c r="AK114" s="1792"/>
      <c r="AL114" s="1792"/>
      <c r="AM114" s="1792"/>
      <c r="AN114" s="1792"/>
      <c r="AO114" s="1792"/>
      <c r="AP114" s="1792"/>
      <c r="AQ114" s="1792"/>
      <c r="AR114" s="1792"/>
      <c r="AS114" s="1792"/>
      <c r="AT114" s="1793"/>
      <c r="AU114" s="1193"/>
      <c r="AV114" s="1193"/>
      <c r="AW114" s="1193"/>
      <c r="AX114" s="1193"/>
      <c r="AY114" s="1193"/>
      <c r="AZ114" s="1193"/>
      <c r="BA114" s="1193"/>
      <c r="BB114" s="1193"/>
      <c r="BC114" s="1193"/>
      <c r="BD114" s="1193"/>
      <c r="BE114" s="1193"/>
      <c r="BF114" s="1193"/>
    </row>
    <row r="115" spans="1:58" ht="18.75" customHeight="1">
      <c r="A115" s="1907" t="s">
        <v>1851</v>
      </c>
      <c r="B115" s="1893" t="s">
        <v>1854</v>
      </c>
      <c r="C115" s="1894" t="s">
        <v>1017</v>
      </c>
      <c r="D115" s="342" t="s">
        <v>1521</v>
      </c>
      <c r="E115" s="342">
        <v>4060</v>
      </c>
      <c r="F115" s="1908"/>
      <c r="G115" s="1763" t="s">
        <v>21</v>
      </c>
      <c r="H115" s="1763">
        <v>0</v>
      </c>
      <c r="I115" s="1763">
        <v>0</v>
      </c>
      <c r="J115" s="1763">
        <v>0</v>
      </c>
      <c r="K115" s="1413" t="s">
        <v>1852</v>
      </c>
      <c r="L115" s="180"/>
      <c r="M115" s="180"/>
      <c r="N115" s="1328"/>
      <c r="O115" s="1742"/>
      <c r="P115" s="1742"/>
      <c r="Q115" s="1742"/>
      <c r="R115" s="1742"/>
      <c r="S115" s="1742"/>
      <c r="T115" s="1742"/>
      <c r="U115" s="1742"/>
      <c r="V115" s="1897"/>
      <c r="W115" s="1909"/>
      <c r="X115" s="1910"/>
      <c r="Y115" s="1910"/>
      <c r="Z115" s="1911"/>
      <c r="AA115" s="1912"/>
      <c r="AB115" s="1912"/>
      <c r="AC115" s="1912"/>
      <c r="AD115" s="1913"/>
      <c r="AE115" s="1912"/>
      <c r="AF115" s="1912"/>
      <c r="AG115" s="1912"/>
      <c r="AH115" s="1914"/>
      <c r="AI115" s="1915"/>
      <c r="AJ115" s="1771"/>
      <c r="AK115" s="1771"/>
      <c r="AL115" s="1771"/>
      <c r="AM115" s="1771"/>
      <c r="AN115" s="1771"/>
      <c r="AO115" s="1771"/>
      <c r="AP115" s="1771"/>
      <c r="AQ115" s="1771"/>
      <c r="AR115" s="1771"/>
      <c r="AS115" s="1771"/>
      <c r="AT115" s="1772"/>
      <c r="AU115" s="1168"/>
      <c r="AV115" s="1168"/>
      <c r="AW115" s="1168"/>
      <c r="AX115" s="1168"/>
      <c r="AY115" s="1168"/>
      <c r="AZ115" s="1168"/>
      <c r="BA115" s="1168"/>
      <c r="BB115" s="1168"/>
      <c r="BC115" s="1168"/>
      <c r="BD115" s="1168"/>
      <c r="BE115" s="1168"/>
      <c r="BF115" s="1168"/>
    </row>
    <row r="116" spans="1:58" ht="18.75" customHeight="1">
      <c r="A116" s="1892"/>
      <c r="B116" s="1893"/>
      <c r="C116" s="1916"/>
      <c r="D116" s="1916"/>
      <c r="E116" s="1916"/>
      <c r="F116" s="1917"/>
      <c r="G116" s="1763" t="s">
        <v>21</v>
      </c>
      <c r="H116" s="1763" t="s">
        <v>21</v>
      </c>
      <c r="I116" s="1763" t="s">
        <v>21</v>
      </c>
      <c r="J116" s="1763" t="s">
        <v>21</v>
      </c>
      <c r="K116" s="1413" t="s">
        <v>21</v>
      </c>
      <c r="L116" s="180"/>
      <c r="M116" s="180"/>
      <c r="N116" s="1328"/>
      <c r="O116" s="1742"/>
      <c r="P116" s="1742"/>
      <c r="Q116" s="1742"/>
      <c r="R116" s="1742"/>
      <c r="S116" s="1742"/>
      <c r="T116" s="1742"/>
      <c r="U116" s="1742"/>
      <c r="V116" s="1897"/>
      <c r="W116" s="1898"/>
      <c r="X116" s="1899"/>
      <c r="Y116" s="1899"/>
      <c r="Z116" s="1900"/>
      <c r="AA116" s="1894"/>
      <c r="AB116" s="1894"/>
      <c r="AC116" s="1894"/>
      <c r="AD116" s="1901"/>
      <c r="AE116" s="1894"/>
      <c r="AF116" s="1894"/>
      <c r="AG116" s="1894"/>
      <c r="AH116" s="1902"/>
      <c r="AI116" s="1903"/>
      <c r="AJ116" s="1792"/>
      <c r="AK116" s="1792"/>
      <c r="AL116" s="1792"/>
      <c r="AM116" s="1792"/>
      <c r="AN116" s="1792"/>
      <c r="AO116" s="1792"/>
      <c r="AP116" s="1792"/>
      <c r="AQ116" s="1792"/>
      <c r="AR116" s="1792"/>
      <c r="AS116" s="1792"/>
      <c r="AT116" s="1793"/>
      <c r="AU116" s="1193"/>
      <c r="AV116" s="1193"/>
      <c r="AW116" s="1193"/>
      <c r="AX116" s="1193"/>
      <c r="AY116" s="1193"/>
      <c r="AZ116" s="1193"/>
      <c r="BA116" s="1193"/>
      <c r="BB116" s="1193"/>
      <c r="BC116" s="1193"/>
      <c r="BD116" s="1193"/>
      <c r="BE116" s="1193"/>
      <c r="BF116" s="1193"/>
    </row>
    <row r="117" spans="1:58" ht="18.75" customHeight="1">
      <c r="A117" s="1907" t="s">
        <v>1651</v>
      </c>
      <c r="B117" s="1893" t="s">
        <v>1037</v>
      </c>
      <c r="C117" s="1894" t="s">
        <v>1035</v>
      </c>
      <c r="D117" s="342" t="s">
        <v>1516</v>
      </c>
      <c r="E117" s="342">
        <v>4060</v>
      </c>
      <c r="F117" s="1908"/>
      <c r="G117" s="1763" t="s">
        <v>21</v>
      </c>
      <c r="H117" s="1763">
        <v>0</v>
      </c>
      <c r="I117" s="1763">
        <v>0</v>
      </c>
      <c r="J117" s="1763">
        <v>0</v>
      </c>
      <c r="K117" s="1413" t="s">
        <v>1852</v>
      </c>
      <c r="L117" s="180"/>
      <c r="M117" s="180"/>
      <c r="N117" s="1328"/>
      <c r="O117" s="1742"/>
      <c r="P117" s="1742"/>
      <c r="Q117" s="1742"/>
      <c r="R117" s="1742"/>
      <c r="S117" s="1742"/>
      <c r="T117" s="1742"/>
      <c r="U117" s="1742"/>
      <c r="V117" s="1897"/>
      <c r="W117" s="1909"/>
      <c r="X117" s="1910"/>
      <c r="Y117" s="1910"/>
      <c r="Z117" s="1911"/>
      <c r="AA117" s="1912"/>
      <c r="AB117" s="1912"/>
      <c r="AC117" s="1912"/>
      <c r="AD117" s="1913"/>
      <c r="AE117" s="1912"/>
      <c r="AF117" s="1912"/>
      <c r="AG117" s="1912"/>
      <c r="AH117" s="1914"/>
      <c r="AI117" s="1915"/>
      <c r="AJ117" s="1771"/>
      <c r="AK117" s="1771"/>
      <c r="AL117" s="1771"/>
      <c r="AM117" s="1771"/>
      <c r="AN117" s="1771"/>
      <c r="AO117" s="1771"/>
      <c r="AP117" s="1771"/>
      <c r="AQ117" s="1771"/>
      <c r="AR117" s="1771"/>
      <c r="AS117" s="1771"/>
      <c r="AT117" s="1772"/>
      <c r="AU117" s="1168"/>
      <c r="AV117" s="1168"/>
      <c r="AW117" s="1168"/>
      <c r="AX117" s="1168"/>
      <c r="AY117" s="1168"/>
      <c r="AZ117" s="1168"/>
      <c r="BA117" s="1168"/>
      <c r="BB117" s="1168"/>
      <c r="BC117" s="1168"/>
      <c r="BD117" s="1168"/>
      <c r="BE117" s="1168"/>
      <c r="BF117" s="1168"/>
    </row>
    <row r="118" spans="1:58" ht="18.75" customHeight="1">
      <c r="A118" s="1907" t="s">
        <v>1651</v>
      </c>
      <c r="B118" s="1893" t="s">
        <v>1046</v>
      </c>
      <c r="C118" s="1894" t="s">
        <v>1044</v>
      </c>
      <c r="D118" s="342" t="s">
        <v>1516</v>
      </c>
      <c r="E118" s="342">
        <v>4050</v>
      </c>
      <c r="F118" s="1908"/>
      <c r="G118" s="1763" t="s">
        <v>21</v>
      </c>
      <c r="H118" s="1763">
        <v>0</v>
      </c>
      <c r="I118" s="1763">
        <v>0</v>
      </c>
      <c r="J118" s="1763">
        <v>0</v>
      </c>
      <c r="K118" s="1413" t="s">
        <v>1852</v>
      </c>
      <c r="L118" s="180"/>
      <c r="M118" s="180"/>
      <c r="N118" s="1328"/>
      <c r="O118" s="1742"/>
      <c r="P118" s="1742"/>
      <c r="Q118" s="1742"/>
      <c r="R118" s="1742"/>
      <c r="S118" s="1742"/>
      <c r="T118" s="1742"/>
      <c r="U118" s="1742"/>
      <c r="V118" s="1897"/>
      <c r="W118" s="1909"/>
      <c r="X118" s="1910"/>
      <c r="Y118" s="1910"/>
      <c r="Z118" s="1911"/>
      <c r="AA118" s="1912"/>
      <c r="AB118" s="1912"/>
      <c r="AC118" s="1912"/>
      <c r="AD118" s="1913"/>
      <c r="AE118" s="1912"/>
      <c r="AF118" s="1912"/>
      <c r="AG118" s="1912"/>
      <c r="AH118" s="1914"/>
      <c r="AI118" s="1915"/>
      <c r="AJ118" s="1771"/>
      <c r="AK118" s="1771"/>
      <c r="AL118" s="1771"/>
      <c r="AM118" s="1771"/>
      <c r="AN118" s="1771"/>
      <c r="AO118" s="1771"/>
      <c r="AP118" s="1771"/>
      <c r="AQ118" s="1771"/>
      <c r="AR118" s="1771"/>
      <c r="AS118" s="1771"/>
      <c r="AT118" s="1772"/>
      <c r="AU118" s="1168"/>
      <c r="AV118" s="1168"/>
      <c r="AW118" s="1168"/>
      <c r="AX118" s="1168"/>
      <c r="AY118" s="1168"/>
      <c r="AZ118" s="1168"/>
      <c r="BA118" s="1168"/>
      <c r="BB118" s="1168"/>
      <c r="BC118" s="1168"/>
      <c r="BD118" s="1168"/>
      <c r="BE118" s="1168"/>
      <c r="BF118" s="1168"/>
    </row>
    <row r="119" spans="1:58" ht="18.75" customHeight="1">
      <c r="A119" s="1892"/>
      <c r="B119" s="1893"/>
      <c r="C119" s="1918"/>
      <c r="D119" s="1919"/>
      <c r="E119" s="1895"/>
      <c r="F119" s="1896"/>
      <c r="G119" s="1763" t="s">
        <v>21</v>
      </c>
      <c r="H119" s="1763" t="s">
        <v>21</v>
      </c>
      <c r="I119" s="1763" t="s">
        <v>21</v>
      </c>
      <c r="J119" s="1763" t="s">
        <v>21</v>
      </c>
      <c r="K119" s="1413" t="s">
        <v>21</v>
      </c>
      <c r="L119" s="180"/>
      <c r="M119" s="180"/>
      <c r="N119" s="1328"/>
      <c r="O119" s="1742"/>
      <c r="P119" s="1742"/>
      <c r="Q119" s="1742"/>
      <c r="R119" s="1742"/>
      <c r="S119" s="1742"/>
      <c r="T119" s="1742"/>
      <c r="U119" s="1742"/>
      <c r="V119" s="1897"/>
      <c r="W119" s="1898"/>
      <c r="X119" s="1899"/>
      <c r="Y119" s="1899"/>
      <c r="Z119" s="1900"/>
      <c r="AA119" s="1894"/>
      <c r="AB119" s="1894"/>
      <c r="AC119" s="1894"/>
      <c r="AD119" s="1901"/>
      <c r="AE119" s="1894"/>
      <c r="AF119" s="1894"/>
      <c r="AG119" s="1894"/>
      <c r="AH119" s="1902"/>
      <c r="AI119" s="1903"/>
      <c r="AJ119" s="1792"/>
      <c r="AK119" s="1792"/>
      <c r="AL119" s="1792"/>
      <c r="AM119" s="1792"/>
      <c r="AN119" s="1792"/>
      <c r="AO119" s="1792"/>
      <c r="AP119" s="1792"/>
      <c r="AQ119" s="1792"/>
      <c r="AR119" s="1792"/>
      <c r="AS119" s="1792"/>
      <c r="AT119" s="1793"/>
      <c r="AU119" s="1193"/>
      <c r="AV119" s="1193"/>
      <c r="AW119" s="1193"/>
      <c r="AX119" s="1193"/>
      <c r="AY119" s="1193"/>
      <c r="AZ119" s="1193"/>
      <c r="BA119" s="1193"/>
      <c r="BB119" s="1193"/>
      <c r="BC119" s="1193"/>
      <c r="BD119" s="1193"/>
      <c r="BE119" s="1193"/>
      <c r="BF119" s="1193"/>
    </row>
    <row r="120" spans="1:58" ht="18.75" customHeight="1">
      <c r="A120" s="1920">
        <v>14</v>
      </c>
      <c r="B120" s="1921" t="s">
        <v>992</v>
      </c>
      <c r="C120" s="1922" t="s">
        <v>990</v>
      </c>
      <c r="D120" s="1923" t="s">
        <v>1521</v>
      </c>
      <c r="E120" s="1923" t="s">
        <v>438</v>
      </c>
      <c r="F120" s="1924"/>
      <c r="G120" s="1925" t="s">
        <v>21</v>
      </c>
      <c r="H120" s="1763">
        <v>0</v>
      </c>
      <c r="I120" s="1925">
        <v>0</v>
      </c>
      <c r="J120" s="1925">
        <v>0</v>
      </c>
      <c r="K120" s="1413" t="s">
        <v>1852</v>
      </c>
      <c r="L120" s="1925"/>
      <c r="M120" s="1925"/>
      <c r="N120" s="1925"/>
      <c r="O120" s="1925"/>
      <c r="P120" s="1925"/>
      <c r="Q120" s="1925"/>
      <c r="R120" s="1925"/>
      <c r="S120" s="1925"/>
      <c r="T120" s="1925"/>
      <c r="U120" s="1925"/>
      <c r="V120" s="1925"/>
      <c r="W120" s="1925"/>
      <c r="X120" s="1925"/>
      <c r="Y120" s="1925"/>
      <c r="Z120" s="1925"/>
      <c r="AA120" s="1925"/>
      <c r="AB120" s="1925"/>
      <c r="AC120" s="1925"/>
      <c r="AD120" s="1925"/>
      <c r="AE120" s="1925"/>
      <c r="AF120" s="1925"/>
      <c r="AG120" s="1925"/>
      <c r="AH120" s="1925"/>
      <c r="AI120" s="1925"/>
      <c r="AJ120" s="1925"/>
      <c r="AK120" s="1925"/>
      <c r="AL120" s="1925"/>
      <c r="AM120" s="1771"/>
      <c r="AN120" s="1771"/>
      <c r="AO120" s="1771"/>
      <c r="AP120" s="1771"/>
      <c r="AQ120" s="1771"/>
      <c r="AR120" s="1771"/>
      <c r="AS120" s="1771"/>
      <c r="AT120" s="1772"/>
      <c r="AU120" s="1168"/>
      <c r="AV120" s="1168"/>
      <c r="AW120" s="1168"/>
      <c r="AX120" s="1168"/>
      <c r="AY120" s="1168"/>
      <c r="AZ120" s="1168"/>
      <c r="BA120" s="1168"/>
      <c r="BB120" s="1168"/>
      <c r="BC120" s="1168"/>
      <c r="BD120" s="1168"/>
      <c r="BE120" s="1168"/>
      <c r="BF120" s="1168"/>
    </row>
    <row r="121" spans="1:58" ht="18.75" customHeight="1">
      <c r="A121" s="1926"/>
      <c r="B121" s="1680" t="s">
        <v>1522</v>
      </c>
      <c r="C121" s="1680"/>
      <c r="D121" s="1680"/>
      <c r="E121" s="1680"/>
      <c r="F121" s="1680"/>
      <c r="G121" s="1680"/>
      <c r="H121" s="1680"/>
      <c r="I121" s="1680"/>
      <c r="J121" s="1680"/>
      <c r="K121" s="1927"/>
      <c r="L121" s="1680"/>
      <c r="M121" s="1680"/>
      <c r="N121" s="1680"/>
      <c r="O121" s="1680"/>
      <c r="P121" s="1680"/>
      <c r="Q121" s="1680"/>
      <c r="R121" s="1680"/>
      <c r="S121" s="1680"/>
      <c r="T121" s="1680"/>
      <c r="U121" s="1680"/>
      <c r="V121" s="1680"/>
      <c r="W121" s="1680"/>
      <c r="X121" s="1680"/>
      <c r="Y121" s="1680"/>
      <c r="Z121" s="1680"/>
      <c r="AA121" s="1680"/>
      <c r="AB121" s="1680"/>
      <c r="AC121" s="1680"/>
      <c r="AD121" s="1680"/>
      <c r="AE121" s="1680"/>
      <c r="AF121" s="1680"/>
      <c r="AG121" s="1680"/>
      <c r="AH121" s="1680"/>
      <c r="AI121" s="1680"/>
      <c r="AJ121" s="1680"/>
      <c r="AK121" s="1680"/>
      <c r="AL121" s="1680"/>
      <c r="AM121" s="1928">
        <v>0</v>
      </c>
      <c r="AN121" s="1928">
        <v>0</v>
      </c>
      <c r="AO121" s="1928">
        <v>0</v>
      </c>
      <c r="AP121" s="1928">
        <v>0</v>
      </c>
      <c r="AQ121" s="1928">
        <v>0</v>
      </c>
      <c r="AR121" s="1928">
        <v>0</v>
      </c>
      <c r="AS121" s="1928">
        <v>0</v>
      </c>
      <c r="AT121" s="1928">
        <v>0</v>
      </c>
      <c r="AU121" s="1928"/>
      <c r="AV121" s="1928"/>
      <c r="AW121" s="1928"/>
      <c r="AX121" s="1928"/>
      <c r="AY121" s="1928"/>
      <c r="AZ121" s="1928"/>
      <c r="BA121" s="1928"/>
      <c r="BB121" s="1928"/>
      <c r="BC121" s="1928"/>
      <c r="BD121" s="1928"/>
      <c r="BE121" s="1928"/>
      <c r="BF121" s="1928"/>
    </row>
    <row r="122" spans="1:58" ht="18.75" customHeight="1" thickBot="1">
      <c r="A122" s="1929"/>
      <c r="B122" s="1930" t="s">
        <v>1523</v>
      </c>
      <c r="C122" s="1930"/>
      <c r="D122" s="1930"/>
      <c r="E122" s="1930"/>
      <c r="F122" s="1930"/>
      <c r="G122" s="1930"/>
      <c r="H122" s="1930"/>
      <c r="I122" s="1930"/>
      <c r="J122" s="1930"/>
      <c r="K122" s="1931"/>
      <c r="L122" s="1930"/>
      <c r="M122" s="1930"/>
      <c r="N122" s="1930"/>
      <c r="O122" s="1930"/>
      <c r="P122" s="1930"/>
      <c r="Q122" s="1930"/>
      <c r="R122" s="1930"/>
      <c r="S122" s="1930"/>
      <c r="T122" s="1930"/>
      <c r="U122" s="1930"/>
      <c r="V122" s="1930"/>
      <c r="W122" s="1930"/>
      <c r="X122" s="1930"/>
      <c r="Y122" s="1930"/>
      <c r="Z122" s="1930"/>
      <c r="AA122" s="1930"/>
      <c r="AB122" s="1930"/>
      <c r="AC122" s="1930"/>
      <c r="AD122" s="1930"/>
      <c r="AE122" s="1930"/>
      <c r="AF122" s="1930"/>
      <c r="AG122" s="1930"/>
      <c r="AH122" s="1930"/>
      <c r="AI122" s="1930"/>
      <c r="AJ122" s="1930"/>
      <c r="AK122" s="1930"/>
      <c r="AL122" s="1930"/>
      <c r="AM122" s="1932"/>
      <c r="AN122" s="1932"/>
      <c r="AO122" s="1932"/>
      <c r="AP122" s="1932"/>
      <c r="AQ122" s="1932"/>
      <c r="AR122" s="1932"/>
      <c r="AS122" s="1932"/>
      <c r="AT122" s="1932"/>
      <c r="AU122" s="1932"/>
      <c r="AV122" s="1932"/>
      <c r="AW122" s="1932"/>
      <c r="AX122" s="1932"/>
      <c r="AY122" s="1932"/>
      <c r="AZ122" s="1932"/>
      <c r="BA122" s="1932"/>
      <c r="BB122" s="1932"/>
      <c r="BC122" s="1932"/>
      <c r="BD122" s="1932"/>
      <c r="BE122" s="1932"/>
      <c r="BF122" s="1932"/>
    </row>
    <row r="123" spans="1:58">
      <c r="A123" s="1933"/>
      <c r="B123" s="1934"/>
      <c r="C123" s="1934"/>
      <c r="D123" s="1935"/>
      <c r="E123" s="1935"/>
      <c r="F123" s="1935"/>
      <c r="G123" s="1936"/>
      <c r="H123" s="1843"/>
      <c r="I123" s="1936"/>
      <c r="J123" s="1936"/>
      <c r="K123" s="1937"/>
      <c r="L123" s="1935"/>
      <c r="M123" s="1935"/>
      <c r="N123" s="1935"/>
      <c r="O123" s="1935"/>
      <c r="P123" s="1935"/>
      <c r="Q123" s="1935"/>
      <c r="R123" s="1935"/>
      <c r="S123" s="1935"/>
      <c r="T123" s="1935"/>
      <c r="U123" s="1935"/>
      <c r="V123" s="1935"/>
      <c r="W123" s="1935"/>
      <c r="X123" s="1935"/>
      <c r="Y123" s="1935"/>
      <c r="Z123" s="1935"/>
      <c r="AA123" s="1935"/>
      <c r="AB123" s="1935"/>
      <c r="AC123" s="1935"/>
      <c r="AD123" s="1935"/>
      <c r="AE123" s="1935"/>
      <c r="AF123" s="1935"/>
      <c r="AG123" s="1935"/>
      <c r="AH123" s="1935"/>
      <c r="AI123" s="1390"/>
      <c r="AJ123" s="1390"/>
      <c r="AK123" s="1390"/>
      <c r="AL123" s="1390"/>
      <c r="AM123" s="1390"/>
      <c r="AN123" s="1390"/>
      <c r="AO123" s="1390"/>
      <c r="AP123" s="1390"/>
      <c r="AQ123" s="1390"/>
      <c r="AR123" s="1390"/>
      <c r="AS123" s="1390"/>
      <c r="AT123" s="1390"/>
      <c r="AU123" s="1390"/>
      <c r="AV123" s="1390"/>
      <c r="AW123" s="1390"/>
      <c r="AX123" s="1390"/>
      <c r="AY123" s="1390"/>
      <c r="AZ123" s="1390"/>
      <c r="BA123" s="1390"/>
      <c r="BB123" s="1390"/>
      <c r="BC123" s="1390"/>
      <c r="BD123" s="1390"/>
      <c r="BE123" s="1390"/>
      <c r="BF123" s="1390"/>
    </row>
    <row r="124" spans="1:58">
      <c r="A124" s="1933"/>
      <c r="B124" s="1934"/>
      <c r="C124" s="1934"/>
      <c r="D124" s="1935"/>
      <c r="E124" s="1935"/>
      <c r="F124" s="1935"/>
      <c r="G124" s="1936"/>
      <c r="H124" s="1843"/>
      <c r="I124" s="1936"/>
      <c r="J124" s="1936"/>
      <c r="K124" s="1938"/>
      <c r="L124" s="1935"/>
      <c r="M124" s="1935"/>
      <c r="N124" s="1935"/>
      <c r="O124" s="1935"/>
      <c r="P124" s="1935"/>
      <c r="Q124" s="1935"/>
      <c r="R124" s="1935"/>
      <c r="S124" s="1935"/>
      <c r="T124" s="1935"/>
      <c r="U124" s="1935"/>
      <c r="V124" s="1935"/>
      <c r="W124" s="1935"/>
      <c r="X124" s="1935"/>
      <c r="Y124" s="1935"/>
      <c r="Z124" s="1935"/>
      <c r="AA124" s="1935"/>
      <c r="AB124" s="1935"/>
      <c r="AC124" s="1935"/>
      <c r="AD124" s="1935"/>
      <c r="AE124" s="1935"/>
      <c r="AF124" s="1935"/>
      <c r="AG124" s="1935"/>
      <c r="AH124" s="1935"/>
      <c r="AI124" s="1390"/>
      <c r="AJ124" s="1390"/>
      <c r="AK124" s="1390"/>
      <c r="AL124" s="1390"/>
      <c r="AM124" s="1390"/>
      <c r="AN124" s="1390"/>
      <c r="AO124" s="1390"/>
      <c r="AP124" s="1390"/>
      <c r="AQ124" s="1390"/>
      <c r="AR124" s="1390"/>
      <c r="AS124" s="1390"/>
      <c r="AT124" s="1390"/>
      <c r="AU124" s="1390"/>
      <c r="AV124" s="1390"/>
      <c r="AW124" s="1390"/>
      <c r="AX124" s="1390"/>
      <c r="AY124" s="1390"/>
      <c r="AZ124" s="1390"/>
      <c r="BA124" s="1390"/>
      <c r="BB124" s="1390"/>
      <c r="BC124" s="1390"/>
      <c r="BD124" s="1390"/>
      <c r="BE124" s="1390"/>
      <c r="BF124" s="1390"/>
    </row>
    <row r="125" spans="1:58">
      <c r="A125" s="1933"/>
      <c r="B125" s="1934"/>
      <c r="C125" s="1934"/>
      <c r="D125" s="1935"/>
      <c r="E125" s="1935"/>
      <c r="F125" s="1935"/>
      <c r="G125" s="1936"/>
      <c r="H125" s="1843"/>
      <c r="I125" s="1936"/>
      <c r="J125" s="1936"/>
      <c r="K125" s="1937"/>
      <c r="L125" s="1935"/>
      <c r="M125" s="1935"/>
      <c r="N125" s="1935"/>
      <c r="O125" s="1935"/>
      <c r="P125" s="1935"/>
      <c r="Q125" s="1935"/>
      <c r="R125" s="1935"/>
      <c r="S125" s="1935"/>
      <c r="T125" s="1935"/>
      <c r="U125" s="1935"/>
      <c r="V125" s="1935"/>
      <c r="W125" s="1935"/>
      <c r="X125" s="1935"/>
      <c r="Y125" s="1935"/>
      <c r="Z125" s="1935"/>
      <c r="AA125" s="1935"/>
      <c r="AB125" s="1935"/>
      <c r="AC125" s="1935"/>
      <c r="AD125" s="1935"/>
      <c r="AE125" s="1935"/>
      <c r="AF125" s="1935"/>
      <c r="AG125" s="1935"/>
      <c r="AH125" s="1935"/>
      <c r="AI125" s="1390"/>
      <c r="AJ125" s="1390"/>
      <c r="AK125" s="1390"/>
      <c r="AL125" s="1390">
        <v>2250</v>
      </c>
      <c r="AM125" s="1390"/>
      <c r="AN125" s="1390"/>
      <c r="AO125" s="1390"/>
      <c r="AP125" s="1390"/>
      <c r="AQ125" s="1390"/>
      <c r="AR125" s="1390"/>
      <c r="AS125" s="1390"/>
      <c r="AT125" s="1390"/>
      <c r="AU125" s="1390"/>
      <c r="AV125" s="1390"/>
      <c r="AW125" s="1390"/>
      <c r="AX125" s="1390"/>
      <c r="AY125" s="1390"/>
      <c r="AZ125" s="1390"/>
      <c r="BA125" s="1390"/>
      <c r="BB125" s="1390"/>
      <c r="BC125" s="1390"/>
      <c r="BD125" s="1390"/>
      <c r="BE125" s="1390"/>
      <c r="BF125" s="1390"/>
    </row>
    <row r="126" spans="1:58">
      <c r="A126" s="1933"/>
      <c r="B126" s="1934"/>
      <c r="C126" s="1934"/>
      <c r="D126" s="1935"/>
      <c r="E126" s="1935"/>
      <c r="F126" s="1935"/>
      <c r="G126" s="1936"/>
      <c r="H126" s="1936"/>
      <c r="I126" s="1936"/>
      <c r="J126" s="1936"/>
      <c r="K126" s="1937"/>
      <c r="L126" s="1935"/>
      <c r="M126" s="1935"/>
      <c r="N126" s="1935"/>
      <c r="O126" s="1935"/>
      <c r="P126" s="1935"/>
      <c r="Q126" s="1935"/>
      <c r="R126" s="1935"/>
      <c r="S126" s="1935"/>
      <c r="T126" s="1935"/>
      <c r="U126" s="1935"/>
      <c r="V126" s="1935"/>
      <c r="W126" s="1935"/>
      <c r="X126" s="1935"/>
      <c r="Y126" s="1935"/>
      <c r="Z126" s="1935"/>
      <c r="AA126" s="1935"/>
      <c r="AB126" s="1935"/>
      <c r="AC126" s="1935"/>
      <c r="AD126" s="1935"/>
      <c r="AE126" s="1935"/>
      <c r="AF126" s="1935"/>
      <c r="AG126" s="1935"/>
      <c r="AH126" s="1935"/>
      <c r="AI126" s="1390"/>
      <c r="AJ126" s="1390"/>
      <c r="AK126" s="1390"/>
      <c r="AL126" s="1390"/>
      <c r="AM126" s="1390"/>
      <c r="AN126" s="1390"/>
      <c r="AO126" s="1390"/>
      <c r="AP126" s="1390"/>
      <c r="AQ126" s="1390"/>
      <c r="AR126" s="1390"/>
      <c r="AS126" s="1390"/>
      <c r="AT126" s="1390"/>
      <c r="AU126" s="1390"/>
      <c r="AV126" s="1390"/>
      <c r="AW126" s="1390"/>
      <c r="AX126" s="1390"/>
      <c r="AY126" s="1390"/>
      <c r="AZ126" s="1390"/>
      <c r="BA126" s="1390"/>
      <c r="BB126" s="1390"/>
      <c r="BC126" s="1390"/>
      <c r="BD126" s="1390"/>
      <c r="BE126" s="1390"/>
      <c r="BF126" s="1390"/>
    </row>
    <row r="127" spans="1:58">
      <c r="A127" s="1933"/>
      <c r="B127" s="1939" t="s">
        <v>1855</v>
      </c>
      <c r="C127" s="1934"/>
      <c r="D127" s="1935"/>
      <c r="E127" s="1935"/>
      <c r="F127" s="1935"/>
      <c r="G127" s="1936"/>
      <c r="H127" s="1936"/>
      <c r="I127" s="1936"/>
      <c r="J127" s="1936"/>
      <c r="K127" s="1937"/>
      <c r="L127" s="1935"/>
      <c r="M127" s="1935"/>
      <c r="N127" s="1935"/>
      <c r="O127" s="1935"/>
      <c r="P127" s="1935"/>
      <c r="Q127" s="1935"/>
      <c r="R127" s="1935"/>
      <c r="S127" s="1935"/>
      <c r="T127" s="1935"/>
      <c r="U127" s="1935"/>
      <c r="V127" s="1935"/>
      <c r="W127" s="1935"/>
      <c r="X127" s="1935"/>
      <c r="Y127" s="1935"/>
      <c r="Z127" s="1935"/>
      <c r="AA127" s="1935"/>
      <c r="AB127" s="1935"/>
      <c r="AC127" s="1935"/>
      <c r="AD127" s="1935"/>
      <c r="AE127" s="1935"/>
      <c r="AF127" s="1935"/>
      <c r="AG127" s="1935"/>
      <c r="AH127" s="1935"/>
      <c r="AI127" s="1390"/>
      <c r="AJ127" s="1390"/>
      <c r="AK127" s="1390"/>
      <c r="AL127" s="1390"/>
      <c r="AM127" s="1390"/>
      <c r="AN127" s="1390"/>
      <c r="AO127" s="1390"/>
      <c r="AP127" s="1390"/>
      <c r="AQ127" s="1390"/>
      <c r="AR127" s="1390"/>
      <c r="AS127" s="1390"/>
      <c r="AT127" s="1390"/>
      <c r="AU127" s="1390"/>
      <c r="AV127" s="1390"/>
      <c r="AW127" s="1390"/>
      <c r="AX127" s="1390"/>
      <c r="AY127" s="1390"/>
      <c r="AZ127" s="1390"/>
      <c r="BA127" s="1390"/>
      <c r="BB127" s="1390"/>
      <c r="BC127" s="1390"/>
      <c r="BD127" s="1390"/>
      <c r="BE127" s="1390"/>
      <c r="BF127" s="1390"/>
    </row>
    <row r="128" spans="1:58">
      <c r="A128" s="1933"/>
      <c r="B128" s="1940" t="s">
        <v>1856</v>
      </c>
      <c r="C128" s="1934"/>
      <c r="D128" s="1935"/>
      <c r="E128" s="1935"/>
      <c r="F128" s="1935"/>
      <c r="G128" s="1936"/>
      <c r="H128" s="1936"/>
      <c r="I128" s="1936"/>
      <c r="J128" s="1936"/>
      <c r="K128" s="1937"/>
      <c r="L128" s="1935"/>
      <c r="M128" s="1935"/>
      <c r="N128" s="1935"/>
      <c r="O128" s="1935"/>
      <c r="P128" s="1935"/>
      <c r="Q128" s="1935"/>
      <c r="R128" s="1935"/>
      <c r="S128" s="1935"/>
      <c r="T128" s="1935"/>
      <c r="U128" s="1935"/>
      <c r="V128" s="1935"/>
      <c r="W128" s="1935"/>
      <c r="X128" s="1935"/>
      <c r="Y128" s="1935"/>
      <c r="Z128" s="1935"/>
      <c r="AA128" s="1935"/>
      <c r="AB128" s="1935"/>
      <c r="AC128" s="1935"/>
      <c r="AD128" s="1935"/>
      <c r="AE128" s="1935"/>
      <c r="AF128" s="1935"/>
      <c r="AG128" s="1935"/>
      <c r="AH128" s="1935"/>
      <c r="AI128" s="1390"/>
      <c r="AJ128" s="1390"/>
      <c r="AK128" s="1390"/>
      <c r="AL128" s="1390"/>
      <c r="AM128" s="1390"/>
      <c r="AN128" s="1390"/>
      <c r="AO128" s="1390"/>
      <c r="AP128" s="1390"/>
      <c r="AQ128" s="1390"/>
      <c r="AR128" s="1390"/>
      <c r="AS128" s="1390"/>
      <c r="AT128" s="1390"/>
      <c r="AU128" s="1390"/>
      <c r="AV128" s="1390"/>
      <c r="AW128" s="1390"/>
      <c r="AX128" s="1390"/>
      <c r="AY128" s="1390"/>
      <c r="AZ128" s="1390"/>
      <c r="BA128" s="1390"/>
      <c r="BB128" s="1390"/>
      <c r="BC128" s="1390"/>
      <c r="BD128" s="1390"/>
      <c r="BE128" s="1390"/>
      <c r="BF128" s="1390"/>
    </row>
    <row r="129" spans="1:58">
      <c r="A129" s="1933"/>
      <c r="B129" s="1941" t="s">
        <v>49</v>
      </c>
      <c r="C129" s="1934"/>
      <c r="D129" s="1935"/>
      <c r="E129" s="1935"/>
      <c r="F129" s="1935"/>
      <c r="G129" s="1936"/>
      <c r="H129" s="1936"/>
      <c r="I129" s="1936"/>
      <c r="J129" s="1936"/>
      <c r="K129" s="1937"/>
      <c r="L129" s="1935"/>
      <c r="M129" s="1935"/>
      <c r="N129" s="1935"/>
      <c r="O129" s="1935"/>
      <c r="P129" s="1935"/>
      <c r="Q129" s="1935"/>
      <c r="R129" s="1935"/>
      <c r="S129" s="1935"/>
      <c r="T129" s="1935"/>
      <c r="U129" s="1935"/>
      <c r="V129" s="1935"/>
      <c r="W129" s="1935"/>
      <c r="X129" s="1935"/>
      <c r="Y129" s="1935"/>
      <c r="Z129" s="1935"/>
      <c r="AA129" s="1935"/>
      <c r="AB129" s="1935"/>
      <c r="AC129" s="1935"/>
      <c r="AD129" s="1935"/>
      <c r="AE129" s="1935"/>
      <c r="AF129" s="1935"/>
      <c r="AG129" s="1935"/>
      <c r="AH129" s="1935"/>
      <c r="AI129" s="1390"/>
      <c r="AJ129" s="1390"/>
      <c r="AK129" s="1390"/>
      <c r="AL129" s="1390"/>
      <c r="AM129" s="1390"/>
      <c r="AN129" s="1390"/>
      <c r="AO129" s="1390"/>
      <c r="AP129" s="1390"/>
      <c r="AQ129" s="1390"/>
      <c r="AR129" s="1390"/>
      <c r="AS129" s="1390"/>
      <c r="AT129" s="1390"/>
      <c r="AU129" s="1390"/>
      <c r="AV129" s="1390"/>
      <c r="AW129" s="1390"/>
      <c r="AX129" s="1390"/>
      <c r="AY129" s="1390"/>
      <c r="AZ129" s="1390"/>
      <c r="BA129" s="1390"/>
      <c r="BB129" s="1390"/>
      <c r="BC129" s="1390"/>
      <c r="BD129" s="1390"/>
      <c r="BE129" s="1390"/>
      <c r="BF129" s="1390"/>
    </row>
    <row r="130" spans="1:58">
      <c r="A130" s="1933"/>
      <c r="B130" s="1942" t="s">
        <v>50</v>
      </c>
      <c r="C130" s="1934"/>
      <c r="D130" s="1935"/>
      <c r="E130" s="1935"/>
      <c r="F130" s="1935"/>
      <c r="G130" s="1936"/>
      <c r="H130" s="1936"/>
      <c r="I130" s="1936"/>
      <c r="J130" s="1936"/>
      <c r="K130" s="1937"/>
      <c r="L130" s="1935"/>
      <c r="M130" s="1935"/>
      <c r="N130" s="1935"/>
      <c r="O130" s="1935"/>
      <c r="P130" s="1935"/>
      <c r="Q130" s="1935"/>
      <c r="R130" s="1935"/>
      <c r="S130" s="1935"/>
      <c r="T130" s="1935"/>
      <c r="U130" s="1935"/>
      <c r="V130" s="1935"/>
      <c r="W130" s="1935"/>
      <c r="X130" s="1935"/>
      <c r="Y130" s="1935"/>
      <c r="Z130" s="1935"/>
      <c r="AA130" s="1935"/>
      <c r="AB130" s="1935"/>
      <c r="AC130" s="1935"/>
      <c r="AD130" s="1935"/>
      <c r="AE130" s="1935"/>
      <c r="AF130" s="1935"/>
      <c r="AG130" s="1935"/>
      <c r="AH130" s="1935"/>
      <c r="AI130" s="1390"/>
      <c r="AJ130" s="1390"/>
      <c r="AK130" s="1390"/>
      <c r="AL130" s="1390"/>
      <c r="AM130" s="1390"/>
      <c r="AN130" s="1943"/>
      <c r="AO130" s="1943"/>
      <c r="AP130" s="1943"/>
      <c r="AQ130" s="1390"/>
      <c r="AR130" s="1390"/>
      <c r="AS130" s="1390"/>
      <c r="AT130" s="1390"/>
      <c r="AU130" s="1390"/>
      <c r="AV130" s="1390"/>
      <c r="AW130" s="1390"/>
      <c r="AX130" s="1390"/>
      <c r="AY130" s="1390"/>
      <c r="AZ130" s="1390"/>
      <c r="BA130" s="1390"/>
      <c r="BB130" s="1390"/>
      <c r="BC130" s="1390"/>
      <c r="BD130" s="1390"/>
      <c r="BE130" s="1390"/>
      <c r="BF130" s="1390"/>
    </row>
    <row r="131" spans="1:58">
      <c r="A131" s="1933"/>
      <c r="B131" s="1934"/>
      <c r="C131" s="1934"/>
      <c r="D131" s="1935"/>
      <c r="E131" s="1935"/>
      <c r="F131" s="1935"/>
      <c r="G131" s="1936"/>
      <c r="H131" s="1936"/>
      <c r="I131" s="1936"/>
      <c r="J131" s="1936"/>
      <c r="K131" s="1937"/>
      <c r="L131" s="1935"/>
      <c r="M131" s="1935"/>
      <c r="N131" s="1935"/>
      <c r="O131" s="1935"/>
      <c r="P131" s="1935"/>
      <c r="Q131" s="1935"/>
      <c r="R131" s="1935"/>
      <c r="S131" s="1935"/>
      <c r="T131" s="1935"/>
      <c r="U131" s="1935"/>
      <c r="V131" s="1935"/>
      <c r="W131" s="1935"/>
      <c r="X131" s="1935"/>
      <c r="Y131" s="1935"/>
      <c r="Z131" s="1935"/>
      <c r="AA131" s="1935"/>
      <c r="AB131" s="1935"/>
      <c r="AC131" s="1935"/>
      <c r="AD131" s="1935"/>
      <c r="AE131" s="1935"/>
      <c r="AF131" s="1935"/>
      <c r="AG131" s="1935"/>
      <c r="AH131" s="1935"/>
      <c r="AI131" s="1390"/>
      <c r="AJ131" s="1390"/>
      <c r="AK131" s="1390"/>
      <c r="AL131" s="1390"/>
      <c r="AM131" s="1390"/>
      <c r="AN131" s="1390"/>
      <c r="AO131" s="1390"/>
      <c r="AP131" s="1390"/>
      <c r="AQ131" s="1390"/>
      <c r="AR131" s="1390"/>
      <c r="AS131" s="1390"/>
      <c r="AT131" s="1390"/>
      <c r="AU131" s="1390"/>
      <c r="AV131" s="1390"/>
      <c r="AW131" s="1390"/>
      <c r="AX131" s="1390"/>
      <c r="AY131" s="1390"/>
      <c r="AZ131" s="1390"/>
      <c r="BA131" s="1390"/>
      <c r="BB131" s="1390"/>
      <c r="BC131" s="1390"/>
      <c r="BD131" s="1390"/>
      <c r="BE131" s="1390"/>
      <c r="BF131" s="1390"/>
    </row>
    <row r="132" spans="1:58">
      <c r="A132" s="1933"/>
      <c r="B132" s="1944" t="s">
        <v>51</v>
      </c>
      <c r="C132" s="1934" t="s">
        <v>52</v>
      </c>
      <c r="D132" s="1935"/>
      <c r="E132" s="1935"/>
      <c r="F132" s="1935"/>
      <c r="G132" s="1936"/>
      <c r="H132" s="1936"/>
      <c r="I132" s="1936"/>
      <c r="J132" s="1936"/>
      <c r="K132" s="1937"/>
      <c r="L132" s="1935"/>
      <c r="M132" s="1935"/>
      <c r="N132" s="1935"/>
      <c r="O132" s="1935"/>
      <c r="P132" s="1935"/>
      <c r="Q132" s="1935"/>
      <c r="R132" s="1935"/>
      <c r="S132" s="1935"/>
      <c r="T132" s="1935"/>
      <c r="U132" s="1935"/>
      <c r="V132" s="1935"/>
      <c r="W132" s="1935"/>
      <c r="X132" s="1935"/>
      <c r="Y132" s="1935"/>
      <c r="Z132" s="1935"/>
      <c r="AA132" s="1935"/>
      <c r="AB132" s="1935"/>
      <c r="AC132" s="1935"/>
      <c r="AD132" s="1935"/>
      <c r="AE132" s="1935"/>
      <c r="AF132" s="1935"/>
      <c r="AG132" s="1935"/>
      <c r="AH132" s="1935"/>
      <c r="AI132" s="1390"/>
      <c r="AJ132" s="1390"/>
      <c r="AK132" s="1390"/>
      <c r="AL132" s="1390"/>
      <c r="AM132" s="1390"/>
      <c r="AN132" s="1390"/>
      <c r="AO132" s="1390"/>
      <c r="AP132" s="1390"/>
      <c r="AQ132" s="1390"/>
      <c r="AR132" s="1390"/>
      <c r="AS132" s="1390"/>
      <c r="AT132" s="1390"/>
      <c r="AU132" s="1390"/>
      <c r="AV132" s="1390"/>
      <c r="AW132" s="1390"/>
      <c r="AX132" s="1390"/>
      <c r="AY132" s="1390"/>
      <c r="AZ132" s="1390"/>
      <c r="BA132" s="1390"/>
      <c r="BB132" s="1390"/>
      <c r="BC132" s="1390"/>
      <c r="BD132" s="1390"/>
      <c r="BE132" s="1390"/>
      <c r="BF132" s="1390"/>
    </row>
    <row r="133" spans="1:58">
      <c r="A133" s="1933"/>
      <c r="B133" s="1945" t="s">
        <v>53</v>
      </c>
      <c r="C133" s="1934" t="s">
        <v>54</v>
      </c>
      <c r="D133" s="1935"/>
      <c r="E133" s="1935"/>
      <c r="F133" s="1935"/>
      <c r="G133" s="1936"/>
      <c r="H133" s="1936"/>
      <c r="I133" s="1936"/>
      <c r="J133" s="1936"/>
      <c r="K133" s="1938"/>
      <c r="L133" s="1935"/>
      <c r="M133" s="1935"/>
      <c r="N133" s="1935"/>
      <c r="O133" s="1935"/>
      <c r="P133" s="1935"/>
      <c r="Q133" s="1935"/>
      <c r="R133" s="1935"/>
      <c r="S133" s="1935"/>
      <c r="T133" s="1935"/>
      <c r="U133" s="1935"/>
      <c r="V133" s="1935"/>
      <c r="W133" s="1935"/>
      <c r="X133" s="1935"/>
      <c r="Y133" s="1935"/>
      <c r="Z133" s="1935"/>
      <c r="AA133" s="1935"/>
      <c r="AB133" s="1935"/>
      <c r="AC133" s="1935"/>
      <c r="AD133" s="1935"/>
      <c r="AE133" s="1935"/>
      <c r="AF133" s="1935"/>
      <c r="AG133" s="1935"/>
      <c r="AH133" s="1935"/>
      <c r="AI133" s="1390"/>
      <c r="AJ133" s="1390"/>
      <c r="AK133" s="1390"/>
      <c r="AL133" s="1390"/>
      <c r="AM133" s="1390"/>
      <c r="AN133" s="1390"/>
      <c r="AO133" s="1390"/>
      <c r="AP133" s="1390"/>
      <c r="AQ133" s="1390"/>
      <c r="AR133" s="1390"/>
      <c r="AS133" s="1390"/>
      <c r="AT133" s="1390"/>
      <c r="AU133" s="1390"/>
      <c r="AV133" s="1390"/>
      <c r="AW133" s="1390"/>
      <c r="AX133" s="1390"/>
      <c r="AY133" s="1390"/>
      <c r="AZ133" s="1390"/>
      <c r="BA133" s="1390"/>
      <c r="BB133" s="1390"/>
      <c r="BC133" s="1390"/>
      <c r="BD133" s="1390"/>
      <c r="BE133" s="1390"/>
      <c r="BF133" s="1390"/>
    </row>
    <row r="134" spans="1:58">
      <c r="A134" s="1933"/>
      <c r="B134" s="1934"/>
      <c r="C134" s="1934"/>
      <c r="D134" s="1935"/>
      <c r="E134" s="1935"/>
      <c r="F134" s="1935"/>
      <c r="G134" s="1936"/>
      <c r="H134" s="1936"/>
      <c r="I134" s="1936"/>
      <c r="J134" s="1936"/>
      <c r="K134" s="1937"/>
      <c r="L134" s="1935"/>
      <c r="M134" s="1935"/>
      <c r="N134" s="1935"/>
      <c r="O134" s="1935"/>
      <c r="P134" s="1935"/>
      <c r="Q134" s="1935"/>
      <c r="R134" s="1935"/>
      <c r="S134" s="1935"/>
      <c r="T134" s="1935"/>
      <c r="U134" s="1935"/>
      <c r="V134" s="1935"/>
      <c r="W134" s="1935"/>
      <c r="X134" s="1935"/>
      <c r="Y134" s="1935"/>
      <c r="Z134" s="1935"/>
      <c r="AA134" s="1935"/>
      <c r="AB134" s="1935"/>
      <c r="AC134" s="1935"/>
      <c r="AD134" s="1935"/>
      <c r="AE134" s="1935"/>
      <c r="AF134" s="1935"/>
      <c r="AG134" s="1935"/>
      <c r="AH134" s="1935"/>
      <c r="AI134" s="1390"/>
      <c r="AJ134" s="1390"/>
      <c r="AK134" s="1390"/>
      <c r="AL134" s="1390"/>
      <c r="AM134" s="1390"/>
      <c r="AN134" s="1390"/>
      <c r="AO134" s="1390"/>
      <c r="AP134" s="1390"/>
      <c r="AQ134" s="1390"/>
      <c r="AR134" s="1390"/>
      <c r="AS134" s="1390"/>
      <c r="AT134" s="1390"/>
      <c r="AU134" s="1390"/>
      <c r="AV134" s="1390"/>
      <c r="AW134" s="1390"/>
      <c r="AX134" s="1390"/>
      <c r="AY134" s="1390"/>
      <c r="AZ134" s="1390"/>
      <c r="BA134" s="1390"/>
      <c r="BB134" s="1390"/>
      <c r="BC134" s="1390"/>
      <c r="BD134" s="1390"/>
      <c r="BE134" s="1390"/>
      <c r="BF134" s="1390"/>
    </row>
    <row r="135" spans="1:58">
      <c r="A135" s="1933"/>
      <c r="B135" s="1934"/>
      <c r="C135" s="1934"/>
      <c r="D135" s="1935"/>
      <c r="E135" s="1935"/>
      <c r="F135" s="1935"/>
      <c r="G135" s="1936"/>
      <c r="H135" s="1936"/>
      <c r="I135" s="1936"/>
      <c r="J135" s="1936"/>
      <c r="K135" s="1937"/>
      <c r="L135" s="1935"/>
      <c r="M135" s="1935"/>
      <c r="N135" s="1935"/>
      <c r="O135" s="1935"/>
      <c r="P135" s="1935"/>
      <c r="Q135" s="1935"/>
      <c r="R135" s="1935"/>
      <c r="S135" s="1935"/>
      <c r="T135" s="1935"/>
      <c r="U135" s="1935"/>
      <c r="V135" s="1935"/>
      <c r="W135" s="1935"/>
      <c r="X135" s="1935"/>
      <c r="Y135" s="1935"/>
      <c r="Z135" s="1935"/>
      <c r="AA135" s="1935"/>
      <c r="AB135" s="1935"/>
      <c r="AC135" s="1935"/>
      <c r="AD135" s="1935"/>
      <c r="AE135" s="1935"/>
      <c r="AF135" s="1935"/>
      <c r="AG135" s="1935"/>
      <c r="AH135" s="1935"/>
      <c r="AI135" s="1390"/>
      <c r="AJ135" s="1390"/>
      <c r="AK135" s="1390"/>
      <c r="AL135" s="1390"/>
      <c r="AM135" s="1390"/>
      <c r="AN135" s="1390"/>
      <c r="AO135" s="1390"/>
      <c r="AP135" s="1390"/>
      <c r="AQ135" s="1390"/>
      <c r="AR135" s="1390"/>
      <c r="AS135" s="1390"/>
      <c r="AT135" s="1390"/>
      <c r="AU135" s="1390"/>
      <c r="AV135" s="1390"/>
      <c r="AW135" s="1390"/>
      <c r="AX135" s="1390"/>
      <c r="AY135" s="1390"/>
      <c r="AZ135" s="1390"/>
      <c r="BA135" s="1390"/>
      <c r="BB135" s="1390"/>
      <c r="BC135" s="1390"/>
      <c r="BD135" s="1390"/>
      <c r="BE135" s="1390"/>
      <c r="BF135" s="1390"/>
    </row>
    <row r="136" spans="1:58">
      <c r="A136" s="1933"/>
      <c r="B136" s="1934"/>
      <c r="C136" s="1934"/>
      <c r="D136" s="1935"/>
      <c r="E136" s="1935"/>
      <c r="F136" s="1935"/>
      <c r="G136" s="1936"/>
      <c r="H136" s="1936"/>
      <c r="I136" s="1936"/>
      <c r="J136" s="1936"/>
      <c r="K136" s="1937"/>
      <c r="L136" s="1935"/>
      <c r="M136" s="1935"/>
      <c r="N136" s="1935"/>
      <c r="O136" s="1935"/>
      <c r="P136" s="1935"/>
      <c r="Q136" s="1935"/>
      <c r="R136" s="1935"/>
      <c r="S136" s="1935"/>
      <c r="T136" s="1935"/>
      <c r="U136" s="1935"/>
      <c r="V136" s="1935"/>
      <c r="W136" s="1935"/>
      <c r="X136" s="1935"/>
      <c r="Y136" s="1935"/>
      <c r="Z136" s="1935"/>
      <c r="AA136" s="1935"/>
      <c r="AB136" s="1935"/>
      <c r="AC136" s="1935"/>
      <c r="AD136" s="1935"/>
      <c r="AE136" s="1935"/>
      <c r="AF136" s="1935"/>
      <c r="AG136" s="1935"/>
      <c r="AH136" s="1935"/>
      <c r="AI136" s="1390"/>
      <c r="AJ136" s="1390"/>
      <c r="AK136" s="1390"/>
      <c r="AL136" s="1390"/>
      <c r="AM136" s="1390"/>
      <c r="AN136" s="1390"/>
      <c r="AO136" s="1390"/>
      <c r="AP136" s="1390"/>
      <c r="AQ136" s="1390"/>
      <c r="AR136" s="1390"/>
      <c r="AS136" s="1390"/>
      <c r="AT136" s="1390"/>
      <c r="AU136" s="1390"/>
      <c r="AV136" s="1390"/>
      <c r="AW136" s="1390"/>
      <c r="AX136" s="1390"/>
      <c r="AY136" s="1390"/>
      <c r="AZ136" s="1390"/>
      <c r="BA136" s="1390"/>
      <c r="BB136" s="1390"/>
      <c r="BC136" s="1390"/>
      <c r="BD136" s="1390"/>
      <c r="BE136" s="1390"/>
      <c r="BF136" s="1390"/>
    </row>
    <row r="137" spans="1:58">
      <c r="A137" s="1933"/>
      <c r="B137" s="1934"/>
      <c r="C137" s="1934"/>
      <c r="D137" s="1935"/>
      <c r="E137" s="1935"/>
      <c r="F137" s="1935"/>
      <c r="G137" s="1936"/>
      <c r="H137" s="1936"/>
      <c r="I137" s="1936"/>
      <c r="J137" s="1936"/>
      <c r="K137" s="1937"/>
      <c r="L137" s="1935"/>
      <c r="M137" s="1935"/>
      <c r="N137" s="1935"/>
      <c r="O137" s="1935"/>
      <c r="P137" s="1935"/>
      <c r="Q137" s="1935"/>
      <c r="R137" s="1935"/>
      <c r="S137" s="1935"/>
      <c r="T137" s="1935"/>
      <c r="U137" s="1935"/>
      <c r="V137" s="1935"/>
      <c r="W137" s="1935"/>
      <c r="X137" s="1935"/>
      <c r="Y137" s="1935"/>
      <c r="Z137" s="1935"/>
      <c r="AA137" s="1935"/>
      <c r="AB137" s="1935"/>
      <c r="AC137" s="1935"/>
      <c r="AD137" s="1935"/>
      <c r="AE137" s="1935"/>
      <c r="AF137" s="1935"/>
      <c r="AG137" s="1935"/>
      <c r="AH137" s="1935"/>
      <c r="AI137" s="1390"/>
      <c r="AJ137" s="1390"/>
      <c r="AK137" s="1390"/>
      <c r="AL137" s="1390"/>
      <c r="AM137" s="1390"/>
      <c r="AN137" s="1390"/>
      <c r="AO137" s="1390"/>
      <c r="AP137" s="1390"/>
      <c r="AQ137" s="1390"/>
      <c r="AR137" s="1390"/>
      <c r="AS137" s="1390"/>
      <c r="AT137" s="1390"/>
      <c r="AU137" s="1390"/>
      <c r="AV137" s="1390"/>
      <c r="AW137" s="1390"/>
      <c r="AX137" s="1390"/>
      <c r="AY137" s="1390"/>
      <c r="AZ137" s="1390"/>
      <c r="BA137" s="1390"/>
      <c r="BB137" s="1390"/>
      <c r="BC137" s="1390"/>
      <c r="BD137" s="1390"/>
      <c r="BE137" s="1390"/>
      <c r="BF137" s="1390"/>
    </row>
    <row r="138" spans="1:58">
      <c r="A138" s="1933"/>
      <c r="B138" s="1934"/>
      <c r="C138" s="1934"/>
      <c r="D138" s="1935"/>
      <c r="E138" s="1935"/>
      <c r="F138" s="1935"/>
      <c r="G138" s="1936"/>
      <c r="H138" s="1936"/>
      <c r="I138" s="1936"/>
      <c r="J138" s="1936"/>
      <c r="K138" s="1937"/>
      <c r="L138" s="1935"/>
      <c r="M138" s="1935"/>
      <c r="N138" s="1935"/>
      <c r="O138" s="1935"/>
      <c r="P138" s="1935"/>
      <c r="Q138" s="1935"/>
      <c r="R138" s="1935"/>
      <c r="S138" s="1935"/>
      <c r="T138" s="1935"/>
      <c r="U138" s="1935"/>
      <c r="V138" s="1935"/>
      <c r="W138" s="1935"/>
      <c r="X138" s="1935"/>
      <c r="Y138" s="1935"/>
      <c r="Z138" s="1935"/>
      <c r="AA138" s="1935"/>
      <c r="AB138" s="1935"/>
      <c r="AC138" s="1935"/>
      <c r="AD138" s="1935"/>
      <c r="AE138" s="1935"/>
      <c r="AF138" s="1935"/>
      <c r="AG138" s="1935"/>
      <c r="AH138" s="1935"/>
      <c r="AI138" s="1390"/>
      <c r="AJ138" s="1390"/>
      <c r="AK138" s="1390"/>
      <c r="AL138" s="1390"/>
      <c r="AM138" s="1390"/>
      <c r="AN138" s="1390"/>
      <c r="AO138" s="1390"/>
      <c r="AP138" s="1390"/>
      <c r="AQ138" s="1390"/>
      <c r="AR138" s="1390"/>
      <c r="AS138" s="1390"/>
      <c r="AT138" s="1390"/>
      <c r="AU138" s="1390"/>
      <c r="AV138" s="1390"/>
      <c r="AW138" s="1390"/>
      <c r="AX138" s="1390"/>
      <c r="AY138" s="1390"/>
      <c r="AZ138" s="1390"/>
      <c r="BA138" s="1390"/>
      <c r="BB138" s="1390"/>
      <c r="BC138" s="1390"/>
      <c r="BD138" s="1390"/>
      <c r="BE138" s="1390"/>
      <c r="BF138" s="1390"/>
    </row>
    <row r="139" spans="1:58" ht="18.75" customHeight="1">
      <c r="A139" s="1892" t="s">
        <v>1651</v>
      </c>
      <c r="B139" s="1893" t="s">
        <v>1042</v>
      </c>
      <c r="C139" s="1894" t="s">
        <v>1040</v>
      </c>
      <c r="D139" s="1893" t="s">
        <v>1712</v>
      </c>
      <c r="E139" s="1893">
        <v>4060</v>
      </c>
      <c r="F139" s="1904"/>
      <c r="G139" s="1763">
        <v>0</v>
      </c>
      <c r="H139" s="1763">
        <v>0</v>
      </c>
      <c r="I139" s="1763"/>
      <c r="J139" s="1763"/>
      <c r="K139" s="1946">
        <v>400</v>
      </c>
      <c r="L139" s="180">
        <v>300</v>
      </c>
      <c r="M139" s="180"/>
      <c r="N139" s="1328"/>
      <c r="O139" s="1742"/>
      <c r="P139" s="1742"/>
      <c r="Q139" s="1742"/>
      <c r="R139" s="1742"/>
      <c r="S139" s="1742"/>
      <c r="T139" s="1742"/>
      <c r="U139" s="1742"/>
      <c r="V139" s="1897"/>
      <c r="W139" s="1898"/>
      <c r="X139" s="1899"/>
      <c r="Y139" s="1899"/>
      <c r="Z139" s="1900"/>
      <c r="AA139" s="1894"/>
      <c r="AB139" s="1894"/>
      <c r="AC139" s="1894"/>
      <c r="AD139" s="1901"/>
      <c r="AE139" s="1894"/>
      <c r="AF139" s="1894"/>
      <c r="AG139" s="1894"/>
      <c r="AH139" s="1902"/>
      <c r="AI139" s="1903"/>
      <c r="AJ139" s="1792"/>
      <c r="AK139" s="1792"/>
      <c r="AL139" s="1792"/>
      <c r="AM139" s="1792"/>
      <c r="AN139" s="1792"/>
      <c r="AO139" s="1792"/>
      <c r="AP139" s="1792"/>
      <c r="AQ139" s="1792"/>
      <c r="AR139" s="1792"/>
      <c r="AS139" s="1792"/>
      <c r="AT139" s="1793"/>
      <c r="AU139" s="1193"/>
      <c r="AV139" s="1193"/>
      <c r="AW139" s="1193"/>
      <c r="AX139" s="1193"/>
      <c r="AY139" s="1193"/>
      <c r="AZ139" s="1193"/>
      <c r="BA139" s="1193"/>
      <c r="BB139" s="1193"/>
      <c r="BC139" s="1193"/>
      <c r="BD139" s="1193"/>
      <c r="BE139" s="1193"/>
      <c r="BF139" s="1193"/>
    </row>
    <row r="140" spans="1:58" ht="18.75" customHeight="1">
      <c r="A140" s="1892" t="s">
        <v>1651</v>
      </c>
      <c r="B140" s="1893" t="s">
        <v>534</v>
      </c>
      <c r="C140" s="1894" t="s">
        <v>532</v>
      </c>
      <c r="D140" s="1893" t="s">
        <v>38</v>
      </c>
      <c r="E140" s="1893">
        <v>4050</v>
      </c>
      <c r="F140" s="1904"/>
      <c r="G140" s="1763">
        <v>0</v>
      </c>
      <c r="H140" s="1763">
        <v>0</v>
      </c>
      <c r="I140" s="1763"/>
      <c r="J140" s="1763"/>
      <c r="K140" s="1946">
        <v>300</v>
      </c>
      <c r="L140" s="180">
        <v>250</v>
      </c>
      <c r="M140" s="180"/>
      <c r="N140" s="1328"/>
      <c r="O140" s="1742"/>
      <c r="P140" s="1742"/>
      <c r="Q140" s="1742"/>
      <c r="R140" s="1742"/>
      <c r="S140" s="1742"/>
      <c r="T140" s="1742"/>
      <c r="U140" s="1742"/>
      <c r="V140" s="1897"/>
      <c r="W140" s="1898"/>
      <c r="X140" s="1899"/>
      <c r="Y140" s="1899"/>
      <c r="Z140" s="1900"/>
      <c r="AA140" s="1894"/>
      <c r="AB140" s="1894"/>
      <c r="AC140" s="1894"/>
      <c r="AD140" s="1901"/>
      <c r="AE140" s="1894"/>
      <c r="AF140" s="1894"/>
      <c r="AG140" s="1894"/>
      <c r="AH140" s="1902"/>
      <c r="AI140" s="1903"/>
      <c r="AJ140" s="1792"/>
      <c r="AK140" s="1792"/>
      <c r="AL140" s="1792"/>
      <c r="AM140" s="1792"/>
      <c r="AN140" s="1792"/>
      <c r="AO140" s="1792"/>
      <c r="AP140" s="1792"/>
      <c r="AQ140" s="1792"/>
      <c r="AR140" s="1792"/>
      <c r="AS140" s="1792"/>
      <c r="AT140" s="1793"/>
      <c r="AU140" s="1193"/>
      <c r="AV140" s="1193"/>
      <c r="AW140" s="1193"/>
      <c r="AX140" s="1193"/>
      <c r="AY140" s="1193"/>
      <c r="AZ140" s="1193"/>
      <c r="BA140" s="1193"/>
      <c r="BB140" s="1193"/>
      <c r="BC140" s="1193"/>
      <c r="BD140" s="1193"/>
      <c r="BE140" s="1193"/>
      <c r="BF140" s="1193"/>
    </row>
    <row r="141" spans="1:58" ht="18.75" customHeight="1">
      <c r="A141" s="1892"/>
      <c r="B141" s="1893"/>
      <c r="C141" s="1894" t="s">
        <v>887</v>
      </c>
      <c r="D141" s="1893"/>
      <c r="E141" s="1893"/>
      <c r="F141" s="1904"/>
      <c r="G141" s="1763"/>
      <c r="H141" s="1763">
        <v>0</v>
      </c>
      <c r="I141" s="1763"/>
      <c r="J141" s="1763"/>
      <c r="K141" s="1946"/>
      <c r="L141" s="180"/>
      <c r="M141" s="180"/>
      <c r="N141" s="1328"/>
      <c r="O141" s="1742"/>
      <c r="P141" s="1742"/>
      <c r="Q141" s="1742"/>
      <c r="R141" s="1742"/>
      <c r="S141" s="1742"/>
      <c r="T141" s="1742"/>
      <c r="U141" s="1742"/>
      <c r="V141" s="1897"/>
      <c r="W141" s="1898"/>
      <c r="X141" s="1899"/>
      <c r="Y141" s="1899"/>
      <c r="Z141" s="1900"/>
      <c r="AA141" s="1894"/>
      <c r="AB141" s="1894"/>
      <c r="AC141" s="1894"/>
      <c r="AD141" s="1901"/>
      <c r="AE141" s="1894"/>
      <c r="AF141" s="1894"/>
      <c r="AG141" s="1894"/>
      <c r="AH141" s="1902"/>
      <c r="AI141" s="1903"/>
      <c r="AJ141" s="1792"/>
      <c r="AK141" s="1792"/>
      <c r="AL141" s="1792"/>
      <c r="AM141" s="1792"/>
      <c r="AN141" s="1792"/>
      <c r="AO141" s="1792"/>
      <c r="AP141" s="1792"/>
      <c r="AQ141" s="1792"/>
      <c r="AR141" s="1792"/>
      <c r="AS141" s="1792"/>
      <c r="AT141" s="1793"/>
      <c r="AU141" s="1193"/>
      <c r="AV141" s="1193"/>
      <c r="AW141" s="1193"/>
      <c r="AX141" s="1193"/>
      <c r="AY141" s="1193"/>
      <c r="AZ141" s="1193"/>
      <c r="BA141" s="1193"/>
      <c r="BB141" s="1193"/>
      <c r="BC141" s="1193"/>
      <c r="BD141" s="1193"/>
      <c r="BE141" s="1193"/>
      <c r="BF141" s="1193"/>
    </row>
    <row r="142" spans="1:58" ht="18.75" customHeight="1">
      <c r="A142" s="1892" t="s">
        <v>1844</v>
      </c>
      <c r="B142" s="1893" t="s">
        <v>538</v>
      </c>
      <c r="C142" s="1894" t="s">
        <v>535</v>
      </c>
      <c r="D142" s="1893" t="s">
        <v>38</v>
      </c>
      <c r="E142" s="1893" t="s">
        <v>438</v>
      </c>
      <c r="F142" s="1904"/>
      <c r="G142" s="1763">
        <v>0</v>
      </c>
      <c r="H142" s="1763">
        <v>0</v>
      </c>
      <c r="I142" s="1763"/>
      <c r="J142" s="1763"/>
      <c r="K142" s="1947"/>
      <c r="L142" s="1763"/>
      <c r="M142" s="1763"/>
      <c r="N142" s="1763"/>
      <c r="O142" s="1763"/>
      <c r="P142" s="1763"/>
      <c r="Q142" s="1763"/>
      <c r="R142" s="1763"/>
      <c r="S142" s="1763"/>
      <c r="T142" s="1763"/>
      <c r="U142" s="1763"/>
      <c r="V142" s="1763"/>
      <c r="W142" s="1763"/>
      <c r="X142" s="1763"/>
      <c r="Y142" s="1763"/>
      <c r="Z142" s="1763"/>
      <c r="AA142" s="1763"/>
      <c r="AB142" s="1763"/>
      <c r="AC142" s="1763"/>
      <c r="AD142" s="1763"/>
      <c r="AE142" s="1763"/>
      <c r="AF142" s="1763"/>
      <c r="AG142" s="1763"/>
      <c r="AH142" s="1763"/>
      <c r="AI142" s="1763"/>
      <c r="AJ142" s="1763"/>
      <c r="AK142" s="1763"/>
      <c r="AL142" s="1763"/>
      <c r="AM142" s="1792"/>
      <c r="AN142" s="1792"/>
      <c r="AO142" s="1792"/>
      <c r="AP142" s="1792"/>
      <c r="AQ142" s="1792"/>
      <c r="AR142" s="1792"/>
      <c r="AS142" s="1792"/>
      <c r="AT142" s="1793"/>
      <c r="AU142" s="1193"/>
      <c r="AV142" s="1193"/>
      <c r="AW142" s="1193"/>
      <c r="AX142" s="1193"/>
      <c r="AY142" s="1193"/>
      <c r="AZ142" s="1193"/>
      <c r="BA142" s="1193"/>
      <c r="BB142" s="1193"/>
      <c r="BC142" s="1193"/>
      <c r="BD142" s="1193"/>
      <c r="BE142" s="1193"/>
      <c r="BF142" s="1193"/>
    </row>
    <row r="143" spans="1:58" ht="18.75" customHeight="1">
      <c r="A143" s="1892" t="s">
        <v>1857</v>
      </c>
      <c r="B143" s="1893" t="s">
        <v>1007</v>
      </c>
      <c r="C143" s="1894" t="s">
        <v>1005</v>
      </c>
      <c r="D143" s="1893" t="s">
        <v>19</v>
      </c>
      <c r="E143" s="1895">
        <v>4070</v>
      </c>
      <c r="F143" s="1896"/>
      <c r="G143" s="1763">
        <v>0</v>
      </c>
      <c r="H143" s="1763">
        <v>0</v>
      </c>
      <c r="I143" s="1763"/>
      <c r="J143" s="1763"/>
      <c r="K143" s="1946">
        <v>60</v>
      </c>
      <c r="L143" s="180">
        <v>50</v>
      </c>
      <c r="M143" s="180"/>
      <c r="N143" s="1328"/>
      <c r="O143" s="1742"/>
      <c r="P143" s="1742"/>
      <c r="Q143" s="1742"/>
      <c r="R143" s="1742"/>
      <c r="S143" s="1742"/>
      <c r="T143" s="1742"/>
      <c r="U143" s="1742"/>
      <c r="V143" s="1897"/>
      <c r="W143" s="1898"/>
      <c r="X143" s="1899"/>
      <c r="Y143" s="1899"/>
      <c r="Z143" s="1900"/>
      <c r="AA143" s="1894"/>
      <c r="AB143" s="1894"/>
      <c r="AC143" s="1894"/>
      <c r="AD143" s="1901"/>
      <c r="AE143" s="1894"/>
      <c r="AF143" s="1894"/>
      <c r="AG143" s="1894"/>
      <c r="AH143" s="1902"/>
      <c r="AI143" s="1903"/>
      <c r="AJ143" s="1792"/>
      <c r="AK143" s="1792"/>
      <c r="AL143" s="1792"/>
      <c r="AM143" s="1792"/>
      <c r="AN143" s="1792"/>
      <c r="AO143" s="1792"/>
      <c r="AP143" s="1792"/>
      <c r="AQ143" s="1792"/>
      <c r="AR143" s="1792"/>
      <c r="AS143" s="1792"/>
      <c r="AT143" s="1793"/>
      <c r="AU143" s="1193"/>
      <c r="AV143" s="1193"/>
      <c r="AW143" s="1193"/>
      <c r="AX143" s="1193"/>
      <c r="AY143" s="1193"/>
      <c r="AZ143" s="1193"/>
      <c r="BA143" s="1193"/>
      <c r="BB143" s="1193"/>
      <c r="BC143" s="1193"/>
      <c r="BD143" s="1193"/>
      <c r="BE143" s="1193"/>
      <c r="BF143" s="1193"/>
    </row>
    <row r="144" spans="1:58" ht="18.75" customHeight="1">
      <c r="A144" s="1892"/>
      <c r="B144" s="1893"/>
      <c r="C144" s="1894" t="s">
        <v>1317</v>
      </c>
      <c r="D144" s="1894"/>
      <c r="E144" s="1895"/>
      <c r="F144" s="1896"/>
      <c r="G144" s="1763"/>
      <c r="H144" s="1763"/>
      <c r="I144" s="1763"/>
      <c r="J144" s="1763"/>
      <c r="K144" s="1946"/>
      <c r="L144" s="180"/>
      <c r="M144" s="180"/>
      <c r="N144" s="1328"/>
      <c r="O144" s="1742"/>
      <c r="P144" s="1742"/>
      <c r="Q144" s="1742"/>
      <c r="R144" s="1742"/>
      <c r="S144" s="1742"/>
      <c r="T144" s="1742"/>
      <c r="U144" s="1742"/>
      <c r="V144" s="1897"/>
      <c r="W144" s="1898"/>
      <c r="X144" s="1899"/>
      <c r="Y144" s="1899"/>
      <c r="Z144" s="1900"/>
      <c r="AA144" s="1894"/>
      <c r="AB144" s="1894"/>
      <c r="AC144" s="1894"/>
      <c r="AD144" s="1901"/>
      <c r="AE144" s="1894"/>
      <c r="AF144" s="1894"/>
      <c r="AG144" s="1894"/>
      <c r="AH144" s="1902"/>
      <c r="AI144" s="1903"/>
      <c r="AJ144" s="1792"/>
      <c r="AK144" s="1792"/>
      <c r="AL144" s="1792"/>
      <c r="AM144" s="1792"/>
      <c r="AN144" s="1792"/>
      <c r="AO144" s="1792"/>
      <c r="AP144" s="1792"/>
      <c r="AQ144" s="1792"/>
      <c r="AR144" s="1792"/>
      <c r="AS144" s="1792"/>
      <c r="AT144" s="1793"/>
      <c r="AU144" s="1193"/>
      <c r="AV144" s="1193"/>
      <c r="AW144" s="1193"/>
      <c r="AX144" s="1193"/>
      <c r="AY144" s="1193"/>
      <c r="AZ144" s="1193"/>
      <c r="BA144" s="1193"/>
      <c r="BB144" s="1193"/>
      <c r="BC144" s="1193"/>
      <c r="BD144" s="1193"/>
      <c r="BE144" s="1193"/>
      <c r="BF144" s="1193"/>
    </row>
    <row r="145" spans="1:58" ht="18.75" customHeight="1">
      <c r="A145" s="1097" t="s">
        <v>1844</v>
      </c>
      <c r="B145" s="87" t="s">
        <v>769</v>
      </c>
      <c r="C145" s="86" t="s">
        <v>767</v>
      </c>
      <c r="D145" s="62" t="s">
        <v>1732</v>
      </c>
      <c r="E145" s="87" t="s">
        <v>438</v>
      </c>
      <c r="F145" s="102" t="s">
        <v>1725</v>
      </c>
      <c r="G145" s="1641">
        <v>0</v>
      </c>
      <c r="H145" s="499">
        <v>0</v>
      </c>
      <c r="I145" s="1641"/>
      <c r="J145" s="1641"/>
      <c r="K145" s="1413">
        <v>150</v>
      </c>
      <c r="L145" s="74">
        <v>150</v>
      </c>
      <c r="M145" s="74">
        <v>150</v>
      </c>
      <c r="N145" s="118">
        <v>150</v>
      </c>
      <c r="O145" s="121">
        <v>150</v>
      </c>
      <c r="P145" s="121">
        <v>130</v>
      </c>
      <c r="Q145" s="121">
        <v>150</v>
      </c>
      <c r="R145" s="121">
        <v>200</v>
      </c>
      <c r="S145" s="121">
        <v>180</v>
      </c>
      <c r="T145" s="1744">
        <v>180</v>
      </c>
      <c r="U145" s="1948">
        <v>190</v>
      </c>
      <c r="V145" s="1781">
        <v>210</v>
      </c>
      <c r="W145" s="1764">
        <v>160</v>
      </c>
      <c r="X145" s="1764"/>
      <c r="Y145" s="1764"/>
      <c r="Z145" s="1764" t="s">
        <v>1317</v>
      </c>
      <c r="AA145" s="1764" t="s">
        <v>1317</v>
      </c>
      <c r="AB145" s="1764" t="s">
        <v>1317</v>
      </c>
      <c r="AC145" s="1764" t="s">
        <v>1317</v>
      </c>
      <c r="AD145" s="1765" t="s">
        <v>1317</v>
      </c>
      <c r="AE145" s="62" t="s">
        <v>1317</v>
      </c>
      <c r="AF145" s="62" t="s">
        <v>1317</v>
      </c>
      <c r="AG145" s="62" t="s">
        <v>1317</v>
      </c>
      <c r="AH145" s="1747" t="s">
        <v>1317</v>
      </c>
      <c r="AI145" s="1739" t="s">
        <v>1317</v>
      </c>
      <c r="AJ145" s="1193"/>
      <c r="AK145" s="1193"/>
      <c r="AL145" s="1193"/>
      <c r="AM145" s="1792"/>
      <c r="AN145" s="1792"/>
      <c r="AO145" s="1792"/>
      <c r="AP145" s="1792"/>
      <c r="AQ145" s="1792"/>
      <c r="AR145" s="1792"/>
      <c r="AS145" s="1792"/>
      <c r="AT145" s="1793"/>
      <c r="AU145" s="1193"/>
      <c r="AV145" s="1193"/>
      <c r="AW145" s="1193"/>
      <c r="AX145" s="1193"/>
      <c r="AY145" s="1193"/>
      <c r="AZ145" s="1193"/>
      <c r="BA145" s="1193"/>
      <c r="BB145" s="1193"/>
      <c r="BC145" s="1193"/>
      <c r="BD145" s="1193"/>
      <c r="BE145" s="1193"/>
      <c r="BF145" s="1193"/>
    </row>
    <row r="146" spans="1:58" ht="18.75" customHeight="1">
      <c r="A146" s="1073" t="s">
        <v>1389</v>
      </c>
      <c r="B146" s="87" t="s">
        <v>507</v>
      </c>
      <c r="C146" s="62" t="s">
        <v>496</v>
      </c>
      <c r="D146" s="108" t="s">
        <v>35</v>
      </c>
      <c r="E146" s="108" t="s">
        <v>438</v>
      </c>
      <c r="F146" s="108" t="s">
        <v>20</v>
      </c>
      <c r="G146" s="1641">
        <v>0</v>
      </c>
      <c r="H146" s="499">
        <v>0</v>
      </c>
      <c r="I146" s="1641"/>
      <c r="J146" s="1641"/>
      <c r="K146" s="1413"/>
      <c r="L146" s="74"/>
      <c r="M146" s="74"/>
      <c r="N146" s="118"/>
      <c r="O146" s="121"/>
      <c r="P146" s="121">
        <v>100</v>
      </c>
      <c r="Q146" s="121">
        <v>320</v>
      </c>
      <c r="R146" s="1564">
        <v>150</v>
      </c>
      <c r="S146" s="121">
        <v>150</v>
      </c>
      <c r="T146" s="121">
        <v>200</v>
      </c>
      <c r="U146" s="121">
        <v>250</v>
      </c>
      <c r="V146" s="1325">
        <v>400</v>
      </c>
      <c r="W146" s="184">
        <v>250</v>
      </c>
      <c r="X146" s="192">
        <v>150</v>
      </c>
      <c r="Y146" s="192">
        <v>350</v>
      </c>
      <c r="Z146" s="354">
        <v>120</v>
      </c>
      <c r="AA146" s="217"/>
      <c r="AB146" s="62"/>
      <c r="AC146" s="491"/>
      <c r="AD146" s="1949"/>
      <c r="AE146" s="482"/>
      <c r="AF146" s="482"/>
      <c r="AG146" s="137"/>
      <c r="AH146" s="1950"/>
      <c r="AI146" s="1172"/>
      <c r="AJ146" s="1168"/>
      <c r="AK146" s="1168"/>
      <c r="AL146" s="1168"/>
      <c r="AM146" s="1168"/>
      <c r="AN146" s="1168"/>
      <c r="AO146" s="1168"/>
      <c r="AP146" s="1168"/>
      <c r="AQ146" s="1168"/>
      <c r="AR146" s="1168"/>
      <c r="AS146" s="1168"/>
      <c r="AT146" s="1664"/>
      <c r="AU146" s="1168"/>
      <c r="AV146" s="1168"/>
      <c r="AW146" s="1168"/>
      <c r="AX146" s="1168"/>
      <c r="AY146" s="1168"/>
      <c r="AZ146" s="1168"/>
      <c r="BA146" s="1168"/>
      <c r="BB146" s="1168"/>
      <c r="BC146" s="1168"/>
      <c r="BD146" s="1168"/>
      <c r="BE146" s="1168"/>
      <c r="BF146" s="1168"/>
    </row>
    <row r="147" spans="1:58" ht="18.75" customHeight="1">
      <c r="A147" s="1907" t="s">
        <v>1844</v>
      </c>
      <c r="B147" s="1893" t="s">
        <v>1753</v>
      </c>
      <c r="C147" s="1895" t="s">
        <v>1754</v>
      </c>
      <c r="D147" s="1894" t="s">
        <v>1732</v>
      </c>
      <c r="E147" s="1893" t="s">
        <v>438</v>
      </c>
      <c r="F147" s="1904"/>
      <c r="G147" s="1763">
        <v>0</v>
      </c>
      <c r="H147" s="1763">
        <v>0</v>
      </c>
      <c r="I147" s="1763"/>
      <c r="J147" s="1763"/>
      <c r="K147" s="1946">
        <v>31</v>
      </c>
      <c r="L147" s="180">
        <v>15</v>
      </c>
      <c r="M147" s="180">
        <v>20</v>
      </c>
      <c r="N147" s="1328">
        <v>15</v>
      </c>
      <c r="O147" s="1742">
        <v>15</v>
      </c>
      <c r="P147" s="1742">
        <v>15</v>
      </c>
      <c r="Q147" s="1742">
        <v>20</v>
      </c>
      <c r="R147" s="1742">
        <v>15</v>
      </c>
      <c r="S147" s="1742">
        <v>15</v>
      </c>
      <c r="T147" s="1822"/>
      <c r="U147" s="1822"/>
      <c r="V147" s="1824" t="s">
        <v>1317</v>
      </c>
      <c r="W147" s="1819" t="s">
        <v>1317</v>
      </c>
      <c r="X147" s="1819" t="s">
        <v>1317</v>
      </c>
      <c r="Y147" s="1819" t="s">
        <v>1317</v>
      </c>
      <c r="Z147" s="1820" t="s">
        <v>1317</v>
      </c>
      <c r="AA147" s="1787" t="s">
        <v>1317</v>
      </c>
      <c r="AB147" s="1951" t="s">
        <v>1317</v>
      </c>
      <c r="AC147" s="1951" t="s">
        <v>1317</v>
      </c>
      <c r="AD147" s="1952" t="s">
        <v>1317</v>
      </c>
      <c r="AE147" s="1787" t="s">
        <v>1317</v>
      </c>
      <c r="AF147" s="1787" t="s">
        <v>1317</v>
      </c>
      <c r="AG147" s="1787" t="s">
        <v>1317</v>
      </c>
      <c r="AH147" s="1953" t="s">
        <v>1317</v>
      </c>
      <c r="AI147" s="1954" t="s">
        <v>1317</v>
      </c>
      <c r="AJ147" s="1955"/>
      <c r="AK147" s="1955"/>
      <c r="AL147" s="1955"/>
      <c r="AM147" s="1955"/>
      <c r="AN147" s="1955"/>
      <c r="AO147" s="1955"/>
      <c r="AP147" s="1955"/>
      <c r="AQ147" s="1955"/>
      <c r="AR147" s="1955"/>
      <c r="AS147" s="1955"/>
      <c r="AT147" s="1956"/>
      <c r="AU147" s="1193"/>
      <c r="AV147" s="1193"/>
      <c r="AW147" s="1193"/>
      <c r="AX147" s="1193"/>
      <c r="AY147" s="1193"/>
      <c r="AZ147" s="1193"/>
      <c r="BA147" s="1193"/>
      <c r="BB147" s="1193"/>
      <c r="BC147" s="1193"/>
      <c r="BD147" s="1193"/>
      <c r="BE147" s="1193"/>
      <c r="BF147" s="1193"/>
    </row>
    <row r="148" spans="1:58" ht="18.75" customHeight="1">
      <c r="A148" s="1907" t="s">
        <v>1844</v>
      </c>
      <c r="B148" s="1893" t="s">
        <v>1716</v>
      </c>
      <c r="C148" s="1895" t="s">
        <v>1755</v>
      </c>
      <c r="D148" s="1894" t="s">
        <v>1732</v>
      </c>
      <c r="E148" s="1893" t="s">
        <v>438</v>
      </c>
      <c r="F148" s="1904"/>
      <c r="G148" s="1763">
        <v>0</v>
      </c>
      <c r="H148" s="1763">
        <v>0</v>
      </c>
      <c r="I148" s="1763"/>
      <c r="J148" s="1763"/>
      <c r="K148" s="1946"/>
      <c r="L148" s="180"/>
      <c r="M148" s="180"/>
      <c r="N148" s="1328"/>
      <c r="O148" s="1742"/>
      <c r="P148" s="1742"/>
      <c r="Q148" s="1742"/>
      <c r="R148" s="1742"/>
      <c r="S148" s="1742"/>
      <c r="T148" s="1822"/>
      <c r="U148" s="1822"/>
      <c r="V148" s="1957" t="s">
        <v>1317</v>
      </c>
      <c r="W148" s="1824" t="s">
        <v>1317</v>
      </c>
      <c r="X148" s="1819" t="s">
        <v>1317</v>
      </c>
      <c r="Y148" s="1819" t="s">
        <v>1317</v>
      </c>
      <c r="Z148" s="1820" t="s">
        <v>1317</v>
      </c>
      <c r="AA148" s="1787" t="s">
        <v>1317</v>
      </c>
      <c r="AB148" s="1951" t="s">
        <v>1317</v>
      </c>
      <c r="AC148" s="1951" t="s">
        <v>1317</v>
      </c>
      <c r="AD148" s="1952" t="s">
        <v>1317</v>
      </c>
      <c r="AE148" s="1797" t="s">
        <v>1317</v>
      </c>
      <c r="AF148" s="1797" t="s">
        <v>1317</v>
      </c>
      <c r="AG148" s="1797" t="s">
        <v>1317</v>
      </c>
      <c r="AH148" s="1958" t="s">
        <v>1317</v>
      </c>
      <c r="AI148" s="1959" t="s">
        <v>1317</v>
      </c>
      <c r="AJ148" s="1792"/>
      <c r="AK148" s="1792"/>
      <c r="AL148" s="1792"/>
      <c r="AM148" s="1792"/>
      <c r="AN148" s="1792"/>
      <c r="AO148" s="1792"/>
      <c r="AP148" s="1792"/>
      <c r="AQ148" s="1792"/>
      <c r="AR148" s="1792"/>
      <c r="AS148" s="1792"/>
      <c r="AT148" s="1793"/>
      <c r="AU148" s="1193"/>
      <c r="AV148" s="1193"/>
      <c r="AW148" s="1193"/>
      <c r="AX148" s="1193"/>
      <c r="AY148" s="1193"/>
      <c r="AZ148" s="1193"/>
      <c r="BA148" s="1193"/>
      <c r="BB148" s="1193"/>
      <c r="BC148" s="1193"/>
      <c r="BD148" s="1193"/>
      <c r="BE148" s="1193"/>
      <c r="BF148" s="1193"/>
    </row>
    <row r="149" spans="1:58" ht="18.75" customHeight="1">
      <c r="A149" s="1907" t="s">
        <v>1844</v>
      </c>
      <c r="B149" s="1893"/>
      <c r="C149" s="1895" t="s">
        <v>901</v>
      </c>
      <c r="D149" s="1894"/>
      <c r="E149" s="1893"/>
      <c r="F149" s="1904"/>
      <c r="G149" s="1763">
        <v>0</v>
      </c>
      <c r="H149" s="1763">
        <v>0</v>
      </c>
      <c r="I149" s="1763"/>
      <c r="J149" s="1763"/>
      <c r="K149" s="1946"/>
      <c r="L149" s="180"/>
      <c r="M149" s="180"/>
      <c r="N149" s="1328"/>
      <c r="O149" s="1742"/>
      <c r="P149" s="1742"/>
      <c r="Q149" s="1742"/>
      <c r="R149" s="1742"/>
      <c r="S149" s="1742"/>
      <c r="T149" s="1822"/>
      <c r="U149" s="1822"/>
      <c r="V149" s="1957" t="s">
        <v>1317</v>
      </c>
      <c r="W149" s="1824" t="s">
        <v>1317</v>
      </c>
      <c r="X149" s="1819" t="s">
        <v>1317</v>
      </c>
      <c r="Y149" s="1819" t="s">
        <v>1317</v>
      </c>
      <c r="Z149" s="1819" t="s">
        <v>1317</v>
      </c>
      <c r="AA149" s="1819" t="s">
        <v>1317</v>
      </c>
      <c r="AB149" s="1819" t="s">
        <v>1317</v>
      </c>
      <c r="AC149" s="1819" t="s">
        <v>1317</v>
      </c>
      <c r="AD149" s="1952" t="s">
        <v>1317</v>
      </c>
      <c r="AE149" s="1797" t="s">
        <v>1317</v>
      </c>
      <c r="AF149" s="1797" t="s">
        <v>1317</v>
      </c>
      <c r="AG149" s="1797" t="s">
        <v>1317</v>
      </c>
      <c r="AH149" s="1958" t="s">
        <v>1317</v>
      </c>
      <c r="AI149" s="1959" t="s">
        <v>1317</v>
      </c>
      <c r="AJ149" s="1792"/>
      <c r="AK149" s="1792"/>
      <c r="AL149" s="1792"/>
      <c r="AM149" s="1792"/>
      <c r="AN149" s="1792"/>
      <c r="AO149" s="1792"/>
      <c r="AP149" s="1792"/>
      <c r="AQ149" s="1792"/>
      <c r="AR149" s="1792"/>
      <c r="AS149" s="1792"/>
      <c r="AT149" s="1793"/>
      <c r="AU149" s="1193"/>
      <c r="AV149" s="1193"/>
      <c r="AW149" s="1193"/>
      <c r="AX149" s="1193"/>
      <c r="AY149" s="1193"/>
      <c r="AZ149" s="1193"/>
      <c r="BA149" s="1193"/>
      <c r="BB149" s="1193"/>
      <c r="BC149" s="1193"/>
      <c r="BD149" s="1193"/>
      <c r="BE149" s="1193"/>
      <c r="BF149" s="1193"/>
    </row>
    <row r="150" spans="1:58" ht="18.75" customHeight="1">
      <c r="A150" s="1097" t="s">
        <v>1844</v>
      </c>
      <c r="B150" s="87" t="s">
        <v>714</v>
      </c>
      <c r="C150" s="86" t="s">
        <v>712</v>
      </c>
      <c r="D150" s="86" t="s">
        <v>1426</v>
      </c>
      <c r="E150" s="87" t="s">
        <v>438</v>
      </c>
      <c r="F150" s="102" t="s">
        <v>1725</v>
      </c>
      <c r="G150" s="1641">
        <v>0</v>
      </c>
      <c r="H150" s="499">
        <v>0</v>
      </c>
      <c r="I150" s="1641"/>
      <c r="J150" s="1641"/>
      <c r="K150" s="1413">
        <v>94</v>
      </c>
      <c r="L150" s="74">
        <v>100</v>
      </c>
      <c r="M150" s="74">
        <v>150</v>
      </c>
      <c r="N150" s="118">
        <v>150</v>
      </c>
      <c r="O150" s="121">
        <v>50</v>
      </c>
      <c r="P150" s="121">
        <v>80</v>
      </c>
      <c r="Q150" s="121">
        <v>105</v>
      </c>
      <c r="R150" s="121">
        <v>150</v>
      </c>
      <c r="S150" s="121">
        <v>120</v>
      </c>
      <c r="T150" s="1744">
        <v>120</v>
      </c>
      <c r="U150" s="1948">
        <v>120</v>
      </c>
      <c r="V150" s="1549">
        <v>110</v>
      </c>
      <c r="W150" s="1764">
        <v>140</v>
      </c>
      <c r="X150" s="1764">
        <v>120</v>
      </c>
      <c r="Y150" s="1764">
        <v>170</v>
      </c>
      <c r="Z150" s="1764"/>
      <c r="AA150" s="1764"/>
      <c r="AB150" s="1764"/>
      <c r="AC150" s="1764"/>
      <c r="AD150" s="1765" t="s">
        <v>1317</v>
      </c>
      <c r="AE150" s="62" t="s">
        <v>1317</v>
      </c>
      <c r="AF150" s="62" t="s">
        <v>1317</v>
      </c>
      <c r="AG150" s="62" t="s">
        <v>1317</v>
      </c>
      <c r="AH150" s="1747" t="s">
        <v>1317</v>
      </c>
      <c r="AI150" s="1739" t="s">
        <v>1317</v>
      </c>
      <c r="AJ150" s="1193"/>
      <c r="AK150" s="1193"/>
      <c r="AL150" s="1193"/>
      <c r="AM150" s="1792"/>
      <c r="AN150" s="1792"/>
      <c r="AO150" s="1792"/>
      <c r="AP150" s="1792"/>
      <c r="AQ150" s="1792"/>
      <c r="AR150" s="1792"/>
      <c r="AS150" s="1792"/>
      <c r="AT150" s="1793"/>
      <c r="AU150" s="1193"/>
      <c r="AV150" s="1193"/>
      <c r="AW150" s="1193"/>
      <c r="AX150" s="1193"/>
      <c r="AY150" s="1193"/>
      <c r="AZ150" s="1193"/>
      <c r="BA150" s="1193"/>
      <c r="BB150" s="1193"/>
      <c r="BC150" s="1193"/>
      <c r="BD150" s="1193"/>
      <c r="BE150" s="1193"/>
      <c r="BF150" s="1193"/>
    </row>
    <row r="151" spans="1:58" ht="18.75" customHeight="1">
      <c r="A151" s="1090" t="s">
        <v>1651</v>
      </c>
      <c r="B151" s="97" t="s">
        <v>610</v>
      </c>
      <c r="C151" s="62" t="s">
        <v>607</v>
      </c>
      <c r="D151" s="1640" t="s">
        <v>1858</v>
      </c>
      <c r="E151" s="108" t="s">
        <v>438</v>
      </c>
      <c r="F151" s="1574"/>
      <c r="G151" s="1641">
        <v>0</v>
      </c>
      <c r="H151" s="499">
        <v>0</v>
      </c>
      <c r="I151" s="1641"/>
      <c r="J151" s="1641"/>
      <c r="K151" s="1946"/>
      <c r="L151" s="180"/>
      <c r="M151" s="180"/>
      <c r="N151" s="1328"/>
      <c r="O151" s="1742"/>
      <c r="P151" s="1742"/>
      <c r="Q151" s="1742">
        <v>0</v>
      </c>
      <c r="R151" s="121">
        <v>80</v>
      </c>
      <c r="S151" s="121">
        <v>50</v>
      </c>
      <c r="T151" s="1744">
        <v>50</v>
      </c>
      <c r="U151" s="1744">
        <v>50</v>
      </c>
      <c r="V151" s="1767">
        <v>50</v>
      </c>
      <c r="W151" s="1768">
        <v>80</v>
      </c>
      <c r="X151" s="1769">
        <v>40</v>
      </c>
      <c r="Y151" s="1769">
        <v>20</v>
      </c>
      <c r="Z151" s="1769">
        <v>60</v>
      </c>
      <c r="AA151" s="1769">
        <v>20</v>
      </c>
      <c r="AB151" s="1817">
        <v>30</v>
      </c>
      <c r="AC151" s="1817" t="s">
        <v>1317</v>
      </c>
      <c r="AD151" s="1778" t="s">
        <v>1317</v>
      </c>
      <c r="AE151" s="1794"/>
      <c r="AF151" s="1794"/>
      <c r="AG151" s="1794"/>
      <c r="AH151" s="1799"/>
      <c r="AI151" s="1800"/>
      <c r="AJ151" s="1960"/>
      <c r="AK151" s="1960"/>
      <c r="AL151" s="1960"/>
      <c r="AM151" s="1771"/>
      <c r="AN151" s="1771"/>
      <c r="AO151" s="1771"/>
      <c r="AP151" s="1771"/>
      <c r="AQ151" s="1771"/>
      <c r="AR151" s="1771"/>
      <c r="AS151" s="1771"/>
      <c r="AT151" s="1772"/>
      <c r="AU151" s="1168"/>
      <c r="AV151" s="1168"/>
      <c r="AW151" s="1168"/>
      <c r="AX151" s="1168"/>
      <c r="AY151" s="1168"/>
      <c r="AZ151" s="1168"/>
      <c r="BA151" s="1168"/>
      <c r="BB151" s="1168"/>
      <c r="BC151" s="1168"/>
      <c r="BD151" s="1168"/>
      <c r="BE151" s="1168"/>
      <c r="BF151" s="1168"/>
    </row>
    <row r="152" spans="1:58">
      <c r="A152" s="1080" t="s">
        <v>1859</v>
      </c>
      <c r="B152" s="87" t="s">
        <v>26</v>
      </c>
      <c r="C152" s="62" t="s">
        <v>27</v>
      </c>
      <c r="D152" s="87" t="s">
        <v>25</v>
      </c>
      <c r="E152" s="86">
        <v>4070</v>
      </c>
      <c r="F152" s="1808"/>
      <c r="G152" s="499">
        <v>0</v>
      </c>
      <c r="H152" s="499">
        <v>0</v>
      </c>
      <c r="I152" s="499"/>
      <c r="J152" s="499"/>
      <c r="K152" s="1413"/>
      <c r="L152" s="74"/>
      <c r="M152" s="74"/>
      <c r="N152" s="118"/>
      <c r="O152" s="121"/>
      <c r="P152" s="121">
        <v>97</v>
      </c>
      <c r="Q152" s="121">
        <v>97.022790204565368</v>
      </c>
      <c r="R152" s="121">
        <v>98</v>
      </c>
      <c r="S152" s="121">
        <v>88</v>
      </c>
      <c r="T152" s="121">
        <v>81</v>
      </c>
      <c r="U152" s="121">
        <v>110.5</v>
      </c>
      <c r="V152" s="1325">
        <v>194.80986712251593</v>
      </c>
      <c r="W152" s="121">
        <v>178.49546315027703</v>
      </c>
      <c r="X152" s="121">
        <v>170</v>
      </c>
      <c r="Y152" s="121">
        <v>80</v>
      </c>
      <c r="Z152" s="121">
        <v>0</v>
      </c>
      <c r="AA152" s="121"/>
      <c r="AB152" s="121"/>
      <c r="AC152" s="62"/>
      <c r="AD152" s="1323"/>
      <c r="AE152" s="62"/>
      <c r="AF152" s="62"/>
      <c r="AG152" s="62"/>
      <c r="AH152" s="1323"/>
      <c r="AI152" s="1149"/>
      <c r="AJ152" s="1193"/>
      <c r="AK152" s="1193"/>
      <c r="AL152" s="1193"/>
      <c r="AM152" s="1193"/>
      <c r="AN152" s="1193"/>
      <c r="AO152" s="1193"/>
      <c r="AP152" s="1193"/>
      <c r="AQ152" s="1193"/>
      <c r="AR152" s="1193"/>
      <c r="AS152" s="1193"/>
      <c r="AT152" s="1961"/>
      <c r="AU152" s="1962"/>
      <c r="AV152" s="1962"/>
      <c r="AW152" s="1962"/>
      <c r="AX152" s="1962"/>
      <c r="AY152" s="1962"/>
      <c r="AZ152" s="1962"/>
      <c r="BA152" s="1962"/>
      <c r="BB152" s="1962"/>
      <c r="BC152" s="1962"/>
      <c r="BD152" s="1962"/>
      <c r="BE152" s="1962"/>
      <c r="BF152" s="1962"/>
    </row>
    <row r="153" spans="1:58">
      <c r="A153" s="1080" t="s">
        <v>1859</v>
      </c>
      <c r="B153" s="87" t="s">
        <v>31</v>
      </c>
      <c r="C153" s="62" t="s">
        <v>32</v>
      </c>
      <c r="D153" s="87" t="s">
        <v>25</v>
      </c>
      <c r="E153" s="86">
        <v>4060</v>
      </c>
      <c r="F153" s="1808"/>
      <c r="G153" s="499">
        <v>0</v>
      </c>
      <c r="H153" s="499">
        <v>0</v>
      </c>
      <c r="I153" s="499"/>
      <c r="J153" s="499"/>
      <c r="K153" s="1413"/>
      <c r="L153" s="74"/>
      <c r="M153" s="74"/>
      <c r="N153" s="118"/>
      <c r="O153" s="121"/>
      <c r="P153" s="121">
        <v>41.960924328701097</v>
      </c>
      <c r="Q153" s="121">
        <v>86.242480181835887</v>
      </c>
      <c r="R153" s="121">
        <v>72.390089129192916</v>
      </c>
      <c r="S153" s="121">
        <v>63.40071970100022</v>
      </c>
      <c r="T153" s="121">
        <v>76</v>
      </c>
      <c r="U153" s="121"/>
      <c r="V153" s="1325"/>
      <c r="W153" s="121"/>
      <c r="X153" s="1549"/>
      <c r="Y153" s="1549"/>
      <c r="Z153" s="1550"/>
      <c r="AA153" s="62"/>
      <c r="AB153" s="62"/>
      <c r="AC153" s="62"/>
      <c r="AD153" s="1323"/>
      <c r="AE153" s="62"/>
      <c r="AF153" s="62"/>
      <c r="AG153" s="62"/>
      <c r="AH153" s="1323"/>
      <c r="AI153" s="1149"/>
      <c r="AJ153" s="1193"/>
      <c r="AK153" s="1193"/>
      <c r="AL153" s="1193"/>
      <c r="AM153" s="1193"/>
      <c r="AN153" s="1193"/>
      <c r="AO153" s="1193"/>
      <c r="AP153" s="1193"/>
      <c r="AQ153" s="1193"/>
      <c r="AR153" s="1193"/>
      <c r="AS153" s="1193"/>
      <c r="AT153" s="1961"/>
      <c r="AU153" s="1962"/>
      <c r="AV153" s="1962"/>
      <c r="AW153" s="1962"/>
      <c r="AX153" s="1962"/>
      <c r="AY153" s="1962"/>
      <c r="AZ153" s="1962"/>
      <c r="BA153" s="1962"/>
      <c r="BB153" s="1962"/>
      <c r="BC153" s="1962"/>
      <c r="BD153" s="1962"/>
      <c r="BE153" s="1962"/>
      <c r="BF153" s="1962"/>
    </row>
    <row r="154" spans="1:58">
      <c r="A154" s="1504" t="s">
        <v>1859</v>
      </c>
      <c r="B154" s="1505" t="s">
        <v>33</v>
      </c>
      <c r="C154" s="1506" t="s">
        <v>34</v>
      </c>
      <c r="D154" s="1507" t="s">
        <v>35</v>
      </c>
      <c r="E154" s="1507">
        <v>4060</v>
      </c>
      <c r="F154" s="1508"/>
      <c r="G154" s="499">
        <v>0</v>
      </c>
      <c r="H154" s="499">
        <v>40</v>
      </c>
      <c r="I154" s="499"/>
      <c r="J154" s="499"/>
      <c r="K154" s="1413"/>
      <c r="L154" s="1510"/>
      <c r="M154" s="1510"/>
      <c r="N154" s="1511"/>
      <c r="O154" s="1512"/>
      <c r="P154" s="1512"/>
      <c r="Q154" s="1512"/>
      <c r="R154" s="1512">
        <v>203.17485015593479</v>
      </c>
      <c r="S154" s="1512">
        <v>177.94468662747397</v>
      </c>
      <c r="T154" s="1512">
        <v>159.67742392830763</v>
      </c>
      <c r="U154" s="1512">
        <v>171.60515716453745</v>
      </c>
      <c r="V154" s="1513">
        <v>292.79953415468333</v>
      </c>
      <c r="W154" s="1514">
        <v>235.17472850823629</v>
      </c>
      <c r="X154" s="1514">
        <v>129</v>
      </c>
      <c r="Y154" s="121">
        <v>450</v>
      </c>
      <c r="Z154" s="1516">
        <v>40</v>
      </c>
      <c r="AA154" s="1516"/>
      <c r="AB154" s="1516"/>
      <c r="AC154" s="1517"/>
      <c r="AD154" s="1518"/>
      <c r="AE154" s="1963"/>
      <c r="AF154" s="1963"/>
      <c r="AG154" s="1963"/>
      <c r="AH154" s="1518"/>
      <c r="AI154" s="1149"/>
      <c r="AJ154" s="1524"/>
      <c r="AK154" s="1524"/>
      <c r="AL154" s="1524"/>
      <c r="AM154" s="1524"/>
      <c r="AN154" s="1524"/>
      <c r="AO154" s="1524"/>
      <c r="AP154" s="1524"/>
      <c r="AQ154" s="1524"/>
      <c r="AR154" s="1524"/>
      <c r="AS154" s="1524"/>
      <c r="AT154" s="1964"/>
      <c r="AU154" s="1965"/>
      <c r="AV154" s="1965"/>
      <c r="AW154" s="1965"/>
      <c r="AX154" s="1965"/>
      <c r="AY154" s="1965"/>
      <c r="AZ154" s="1965"/>
      <c r="BA154" s="1965"/>
      <c r="BB154" s="1965"/>
      <c r="BC154" s="1965"/>
      <c r="BD154" s="1965"/>
      <c r="BE154" s="1965"/>
      <c r="BF154" s="1965"/>
    </row>
    <row r="155" spans="1:58">
      <c r="A155" s="1080" t="s">
        <v>1859</v>
      </c>
      <c r="B155" s="87" t="s">
        <v>36</v>
      </c>
      <c r="C155" s="87" t="s">
        <v>37</v>
      </c>
      <c r="D155" s="87" t="s">
        <v>38</v>
      </c>
      <c r="E155" s="87">
        <v>4060</v>
      </c>
      <c r="F155" s="1163"/>
      <c r="G155" s="499">
        <v>0</v>
      </c>
      <c r="H155" s="499">
        <v>0</v>
      </c>
      <c r="I155" s="499"/>
      <c r="J155" s="499"/>
      <c r="K155" s="1413">
        <v>80</v>
      </c>
      <c r="L155" s="74">
        <v>70</v>
      </c>
      <c r="M155" s="74">
        <v>120</v>
      </c>
      <c r="N155" s="118">
        <v>100</v>
      </c>
      <c r="O155" s="121">
        <v>120</v>
      </c>
      <c r="P155" s="121">
        <v>120</v>
      </c>
      <c r="Q155" s="121">
        <v>150</v>
      </c>
      <c r="R155" s="121">
        <v>150</v>
      </c>
      <c r="S155" s="121">
        <v>130</v>
      </c>
      <c r="T155" s="121"/>
      <c r="U155" s="121"/>
      <c r="V155" s="1325"/>
      <c r="W155" s="192"/>
      <c r="X155" s="1549"/>
      <c r="Y155" s="1549"/>
      <c r="Z155" s="1550"/>
      <c r="AA155" s="62"/>
      <c r="AB155" s="62"/>
      <c r="AC155" s="62"/>
      <c r="AD155" s="1323"/>
      <c r="AE155" s="62"/>
      <c r="AF155" s="62"/>
      <c r="AG155" s="62"/>
      <c r="AH155" s="1323"/>
      <c r="AI155" s="1149"/>
      <c r="AJ155" s="1193"/>
      <c r="AK155" s="1193"/>
      <c r="AL155" s="1193"/>
      <c r="AM155" s="1193"/>
      <c r="AN155" s="1193"/>
      <c r="AO155" s="1193"/>
      <c r="AP155" s="1193"/>
      <c r="AQ155" s="1193"/>
      <c r="AR155" s="1193"/>
      <c r="AS155" s="1193"/>
      <c r="AT155" s="1961"/>
      <c r="AU155" s="1962"/>
      <c r="AV155" s="1962"/>
      <c r="AW155" s="1962"/>
      <c r="AX155" s="1962"/>
      <c r="AY155" s="1962"/>
      <c r="AZ155" s="1962"/>
      <c r="BA155" s="1962"/>
      <c r="BB155" s="1962"/>
      <c r="BC155" s="1962"/>
      <c r="BD155" s="1962"/>
      <c r="BE155" s="1962"/>
      <c r="BF155" s="1962"/>
    </row>
    <row r="156" spans="1:58">
      <c r="A156" s="1080" t="s">
        <v>1361</v>
      </c>
      <c r="B156" s="87" t="s">
        <v>1689</v>
      </c>
      <c r="C156" s="87" t="s">
        <v>1745</v>
      </c>
      <c r="D156" s="87" t="s">
        <v>38</v>
      </c>
      <c r="E156" s="87">
        <v>4050</v>
      </c>
      <c r="F156" s="1163"/>
      <c r="G156" s="499">
        <v>0</v>
      </c>
      <c r="H156" s="499">
        <v>0</v>
      </c>
      <c r="I156" s="499"/>
      <c r="J156" s="499"/>
      <c r="K156" s="1413">
        <v>400</v>
      </c>
      <c r="L156" s="74">
        <v>350</v>
      </c>
      <c r="M156" s="74">
        <v>400</v>
      </c>
      <c r="N156" s="118">
        <v>500</v>
      </c>
      <c r="O156" s="121">
        <v>440</v>
      </c>
      <c r="P156" s="121">
        <v>480</v>
      </c>
      <c r="Q156" s="121">
        <v>300</v>
      </c>
      <c r="R156" s="121">
        <v>400</v>
      </c>
      <c r="S156" s="121">
        <v>300</v>
      </c>
      <c r="T156" s="121">
        <v>235</v>
      </c>
      <c r="U156" s="121"/>
      <c r="V156" s="1325"/>
      <c r="W156" s="192"/>
      <c r="X156" s="1549"/>
      <c r="Y156" s="1549"/>
      <c r="Z156" s="1550"/>
      <c r="AA156" s="62"/>
      <c r="AB156" s="62"/>
      <c r="AC156" s="62"/>
      <c r="AD156" s="1323"/>
      <c r="AE156" s="62"/>
      <c r="AF156" s="62"/>
      <c r="AG156" s="62"/>
      <c r="AH156" s="1323"/>
      <c r="AI156" s="1149"/>
      <c r="AJ156" s="1193"/>
      <c r="AK156" s="1193"/>
      <c r="AL156" s="1193"/>
      <c r="AM156" s="1193"/>
      <c r="AN156" s="1193"/>
      <c r="AO156" s="1193"/>
      <c r="AP156" s="1193"/>
      <c r="AQ156" s="1193"/>
      <c r="AR156" s="1193"/>
      <c r="AS156" s="1193"/>
      <c r="AT156" s="1961"/>
      <c r="AU156" s="1962"/>
      <c r="AV156" s="1962"/>
      <c r="AW156" s="1962"/>
      <c r="AX156" s="1962"/>
      <c r="AY156" s="1962"/>
      <c r="AZ156" s="1962"/>
      <c r="BA156" s="1962"/>
      <c r="BB156" s="1962"/>
      <c r="BC156" s="1962"/>
      <c r="BD156" s="1962"/>
      <c r="BE156" s="1962"/>
      <c r="BF156" s="1962"/>
    </row>
    <row r="157" spans="1:58">
      <c r="A157" s="1080" t="s">
        <v>1361</v>
      </c>
      <c r="B157" s="87" t="s">
        <v>381</v>
      </c>
      <c r="C157" s="87" t="s">
        <v>379</v>
      </c>
      <c r="D157" s="87" t="s">
        <v>1748</v>
      </c>
      <c r="E157" s="87">
        <v>1650</v>
      </c>
      <c r="F157" s="1163"/>
      <c r="G157" s="499">
        <v>0</v>
      </c>
      <c r="H157" s="499">
        <v>0</v>
      </c>
      <c r="I157" s="499"/>
      <c r="J157" s="499"/>
      <c r="K157" s="1413">
        <v>400</v>
      </c>
      <c r="L157" s="74">
        <v>450</v>
      </c>
      <c r="M157" s="74">
        <v>600</v>
      </c>
      <c r="N157" s="118">
        <v>200</v>
      </c>
      <c r="O157" s="121"/>
      <c r="P157" s="121">
        <v>250</v>
      </c>
      <c r="Q157" s="121">
        <v>368.53742342197819</v>
      </c>
      <c r="R157" s="121">
        <v>600</v>
      </c>
      <c r="S157" s="121">
        <v>300</v>
      </c>
      <c r="T157" s="121"/>
      <c r="U157" s="121"/>
      <c r="V157" s="1325"/>
      <c r="W157" s="192"/>
      <c r="X157" s="1549"/>
      <c r="Y157" s="1549"/>
      <c r="Z157" s="1550"/>
      <c r="AA157" s="62"/>
      <c r="AB157" s="62"/>
      <c r="AC157" s="62"/>
      <c r="AD157" s="1323"/>
      <c r="AE157" s="62"/>
      <c r="AF157" s="62"/>
      <c r="AG157" s="62"/>
      <c r="AH157" s="1323"/>
      <c r="AI157" s="1149"/>
      <c r="AJ157" s="1193"/>
      <c r="AK157" s="1193"/>
      <c r="AL157" s="1193"/>
      <c r="AM157" s="1193"/>
      <c r="AN157" s="1193"/>
      <c r="AO157" s="1193"/>
      <c r="AP157" s="1193"/>
      <c r="AQ157" s="1193"/>
      <c r="AR157" s="1193"/>
      <c r="AS157" s="1193"/>
      <c r="AT157" s="1961"/>
      <c r="AU157" s="1962"/>
      <c r="AV157" s="1962"/>
      <c r="AW157" s="1962"/>
      <c r="AX157" s="1962"/>
      <c r="AY157" s="1962"/>
      <c r="AZ157" s="1962"/>
      <c r="BA157" s="1962"/>
      <c r="BB157" s="1962"/>
      <c r="BC157" s="1962"/>
      <c r="BD157" s="1962"/>
      <c r="BE157" s="1962"/>
      <c r="BF157" s="1962"/>
    </row>
    <row r="158" spans="1:58">
      <c r="A158" s="1080" t="s">
        <v>1859</v>
      </c>
      <c r="B158" s="87" t="s">
        <v>163</v>
      </c>
      <c r="C158" s="62" t="s">
        <v>24</v>
      </c>
      <c r="D158" s="87" t="s">
        <v>25</v>
      </c>
      <c r="E158" s="86">
        <v>4090</v>
      </c>
      <c r="F158" s="86" t="s">
        <v>20</v>
      </c>
      <c r="G158" s="499">
        <v>0</v>
      </c>
      <c r="H158" s="499" t="s">
        <v>21</v>
      </c>
      <c r="I158" s="499"/>
      <c r="J158" s="499"/>
      <c r="K158" s="1462"/>
      <c r="L158" s="1497"/>
      <c r="M158" s="1497"/>
      <c r="N158" s="1498"/>
      <c r="O158" s="1966">
        <v>28.259768530176164</v>
      </c>
      <c r="P158" s="1966">
        <v>29.442581903971949</v>
      </c>
      <c r="Q158" s="1966">
        <v>30.256736797127424</v>
      </c>
      <c r="R158" s="1966">
        <v>25.396856269491849</v>
      </c>
      <c r="S158" s="1966">
        <v>22.243085828434246</v>
      </c>
      <c r="T158" s="1966">
        <v>24</v>
      </c>
      <c r="U158" s="1966">
        <v>26</v>
      </c>
      <c r="V158" s="1967">
        <v>44</v>
      </c>
      <c r="W158" s="1968">
        <v>35</v>
      </c>
      <c r="X158" s="1968">
        <v>19</v>
      </c>
      <c r="Y158" s="1968">
        <v>10</v>
      </c>
      <c r="Z158" s="1969"/>
      <c r="AA158" s="1496"/>
      <c r="AB158" s="1496"/>
      <c r="AC158" s="1496"/>
      <c r="AD158" s="1970"/>
      <c r="AE158" s="239"/>
      <c r="AF158" s="239"/>
      <c r="AG158" s="239"/>
      <c r="AH158" s="1971"/>
      <c r="AI158" s="1149"/>
      <c r="AJ158" s="1151"/>
      <c r="AK158" s="1972"/>
      <c r="AL158" s="1151"/>
      <c r="AM158" s="1151"/>
      <c r="AN158" s="1151"/>
      <c r="AO158" s="1151"/>
      <c r="AP158" s="1151"/>
      <c r="AQ158" s="1151"/>
      <c r="AR158" s="1151"/>
      <c r="AS158" s="1151"/>
      <c r="AT158" s="1973"/>
      <c r="AU158" s="1974"/>
      <c r="AV158" s="1962"/>
      <c r="AW158" s="1962"/>
      <c r="AX158" s="1962"/>
      <c r="AY158" s="1962"/>
      <c r="AZ158" s="1962"/>
      <c r="BA158" s="1962"/>
      <c r="BB158" s="1962"/>
      <c r="BC158" s="1962"/>
      <c r="BD158" s="1962"/>
      <c r="BE158" s="1962"/>
      <c r="BF158" s="1962"/>
    </row>
    <row r="159" spans="1:58">
      <c r="A159" s="1080" t="s">
        <v>1361</v>
      </c>
      <c r="B159" s="87" t="s">
        <v>1743</v>
      </c>
      <c r="C159" s="87" t="s">
        <v>315</v>
      </c>
      <c r="D159" s="87" t="s">
        <v>1365</v>
      </c>
      <c r="E159" s="87">
        <v>4060</v>
      </c>
      <c r="F159" s="86" t="s">
        <v>20</v>
      </c>
      <c r="G159" s="499">
        <v>2</v>
      </c>
      <c r="H159" s="499" t="s">
        <v>21</v>
      </c>
      <c r="I159" s="499"/>
      <c r="J159" s="499"/>
      <c r="K159" s="1413"/>
      <c r="L159" s="74"/>
      <c r="M159" s="74"/>
      <c r="N159" s="118"/>
      <c r="O159" s="121"/>
      <c r="P159" s="121"/>
      <c r="Q159" s="121"/>
      <c r="R159" s="121"/>
      <c r="S159" s="121"/>
      <c r="T159" s="121">
        <v>355.52880108027898</v>
      </c>
      <c r="U159" s="121">
        <v>382.08642327104104</v>
      </c>
      <c r="V159" s="1325">
        <v>456.3517204982715</v>
      </c>
      <c r="W159" s="1557">
        <v>523.62686730500707</v>
      </c>
      <c r="X159" s="1557">
        <v>673.55555555555566</v>
      </c>
      <c r="Y159" s="1557">
        <v>732</v>
      </c>
      <c r="Z159" s="1558">
        <v>570.89144316730528</v>
      </c>
      <c r="AA159" s="1516">
        <v>1048.1845169291273</v>
      </c>
      <c r="AB159" s="1516">
        <v>901</v>
      </c>
      <c r="AC159" s="1516">
        <v>865</v>
      </c>
      <c r="AD159" s="1323"/>
      <c r="AE159" s="239"/>
      <c r="AF159" s="239"/>
      <c r="AG159" s="239"/>
      <c r="AH159" s="1971"/>
      <c r="AI159" s="1149"/>
      <c r="AJ159" s="1151"/>
      <c r="AK159" s="1151"/>
      <c r="AL159" s="1151"/>
      <c r="AM159" s="1151"/>
      <c r="AN159" s="1151"/>
      <c r="AO159" s="1151"/>
      <c r="AP159" s="1151"/>
      <c r="AQ159" s="1151"/>
      <c r="AR159" s="1151"/>
      <c r="AS159" s="1151"/>
      <c r="AT159" s="1973"/>
      <c r="AU159" s="1974"/>
      <c r="AV159" s="1962"/>
      <c r="AW159" s="1962"/>
      <c r="AX159" s="1962"/>
      <c r="AY159" s="1962"/>
      <c r="AZ159" s="1962"/>
      <c r="BA159" s="1962"/>
      <c r="BB159" s="1962"/>
      <c r="BC159" s="1962"/>
      <c r="BD159" s="1962"/>
      <c r="BE159" s="1962"/>
      <c r="BF159" s="1962"/>
    </row>
    <row r="160" spans="1:58">
      <c r="A160" s="1504" t="s">
        <v>1859</v>
      </c>
      <c r="B160" s="1505" t="s">
        <v>39</v>
      </c>
      <c r="C160" s="1506" t="s">
        <v>40</v>
      </c>
      <c r="D160" s="1507" t="s">
        <v>35</v>
      </c>
      <c r="E160" s="1507">
        <v>4050</v>
      </c>
      <c r="F160" s="86" t="s">
        <v>20</v>
      </c>
      <c r="G160" s="499">
        <v>15</v>
      </c>
      <c r="H160" s="499" t="s">
        <v>21</v>
      </c>
      <c r="I160" s="499"/>
      <c r="J160" s="499"/>
      <c r="K160" s="1413"/>
      <c r="L160" s="1510"/>
      <c r="M160" s="1510"/>
      <c r="N160" s="1511"/>
      <c r="O160" s="1512"/>
      <c r="P160" s="1512"/>
      <c r="Q160" s="1512"/>
      <c r="R160" s="1512">
        <v>152.38113761695109</v>
      </c>
      <c r="S160" s="1512">
        <v>133.45851497060545</v>
      </c>
      <c r="T160" s="1512">
        <v>60</v>
      </c>
      <c r="U160" s="1512">
        <v>128.70386787340308</v>
      </c>
      <c r="V160" s="1513">
        <v>150</v>
      </c>
      <c r="W160" s="1514">
        <v>206</v>
      </c>
      <c r="X160" s="121">
        <v>64</v>
      </c>
      <c r="Y160" s="121">
        <v>306</v>
      </c>
      <c r="Z160" s="1516">
        <v>268</v>
      </c>
      <c r="AA160" s="1516">
        <v>121</v>
      </c>
      <c r="AB160" s="1516"/>
      <c r="AC160" s="1517"/>
      <c r="AD160" s="1518"/>
      <c r="AE160" s="1519"/>
      <c r="AF160" s="1519"/>
      <c r="AG160" s="1519"/>
      <c r="AH160" s="1975"/>
      <c r="AI160" s="1523"/>
      <c r="AJ160" s="1409"/>
      <c r="AK160" s="1409"/>
      <c r="AL160" s="1409"/>
      <c r="AM160" s="1409"/>
      <c r="AN160" s="1409"/>
      <c r="AO160" s="1409"/>
      <c r="AP160" s="1409"/>
      <c r="AQ160" s="1409"/>
      <c r="AR160" s="1409"/>
      <c r="AS160" s="1409"/>
      <c r="AT160" s="1976"/>
      <c r="AU160" s="1977"/>
      <c r="AV160" s="1965"/>
      <c r="AW160" s="1965"/>
      <c r="AX160" s="1965"/>
      <c r="AY160" s="1965"/>
      <c r="AZ160" s="1965"/>
      <c r="BA160" s="1965"/>
      <c r="BB160" s="1965"/>
      <c r="BC160" s="1965"/>
      <c r="BD160" s="1965"/>
      <c r="BE160" s="1965"/>
      <c r="BF160" s="1965"/>
    </row>
  </sheetData>
  <autoFilter ref="D1:AI24" xr:uid="{61C92105-EFA6-48CB-AF5D-0C919786D17A}"/>
  <phoneticPr fontId="4"/>
  <conditionalFormatting sqref="G27">
    <cfRule type="expression" dxfId="65" priority="4">
      <formula>AND($K27&lt;&gt;"",G$1=$K27)</formula>
    </cfRule>
    <cfRule type="expression" dxfId="64" priority="5">
      <formula>G$27&lt;G$28</formula>
    </cfRule>
  </conditionalFormatting>
  <conditionalFormatting sqref="G108:H108">
    <cfRule type="expression" dxfId="63" priority="2">
      <formula>G$108&lt;G$109</formula>
    </cfRule>
  </conditionalFormatting>
  <conditionalFormatting sqref="H1:H46 H48:H107 I49:J50 I109:J109 H109:H191">
    <cfRule type="expression" dxfId="62" priority="8">
      <formula>OFFSET(INDIRECT(ADDRESS(ROW(),COLUMN())), 0, -1)&lt;INDIRECT(ADDRESS(ROW(),COLUMN()))</formula>
    </cfRule>
    <cfRule type="expression" priority="9">
      <formula>"$H:$H-$G:$G&lt;0"</formula>
    </cfRule>
  </conditionalFormatting>
  <conditionalFormatting sqref="I1:J1048576">
    <cfRule type="expression" dxfId="61" priority="7">
      <formula>I1&gt;$G1</formula>
    </cfRule>
  </conditionalFormatting>
  <conditionalFormatting sqref="K2">
    <cfRule type="containsText" dxfId="60" priority="1" operator="containsText" text="不足">
      <formula>NOT(ISERROR(SEARCH("不足",K2)))</formula>
    </cfRule>
  </conditionalFormatting>
  <conditionalFormatting sqref="K1:BF1">
    <cfRule type="timePeriod" dxfId="59" priority="14" timePeriod="thisMonth">
      <formula>AND(MONTH(K1)=MONTH(TODAY()),YEAR(K1)=YEAR(TODAY()))</formula>
    </cfRule>
  </conditionalFormatting>
  <conditionalFormatting sqref="K27:BF27">
    <cfRule type="expression" dxfId="58" priority="11">
      <formula>K$27&lt;K$28</formula>
    </cfRule>
  </conditionalFormatting>
  <conditionalFormatting sqref="K49:BF49">
    <cfRule type="expression" dxfId="57" priority="12">
      <formula>K$49&lt;K$50</formula>
    </cfRule>
  </conditionalFormatting>
  <conditionalFormatting sqref="K108:BF108">
    <cfRule type="expression" dxfId="56" priority="10">
      <formula>K$108&lt;K$109</formula>
    </cfRule>
  </conditionalFormatting>
  <conditionalFormatting sqref="L76:R78">
    <cfRule type="expression" dxfId="55" priority="13">
      <formula>OFFSET(INDIRECT(ADDRESS(ROW(),COLUMN())), 0, -1)&lt;INDIRECT(ADDRESS(ROW(),COLUMN()))</formula>
    </cfRule>
  </conditionalFormatting>
  <conditionalFormatting sqref="AK2:BF38 AK39:AO39 AS39:BF39 AK40:BF107 G47:H47">
    <cfRule type="expression" dxfId="54" priority="3">
      <formula>AND($K2&lt;&gt;"",G$1=$K2)</formula>
    </cfRule>
  </conditionalFormatting>
  <conditionalFormatting sqref="AP39">
    <cfRule type="expression" dxfId="53" priority="418">
      <formula>AND($K39&lt;&gt;"",AR$1=$K39)</formula>
    </cfRule>
  </conditionalFormatting>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2E8BB-8EC1-484B-B88E-8370375B079D}">
  <sheetPr codeName="Sheet8">
    <tabColor theme="7" tint="0.39997558519241921"/>
  </sheetPr>
  <dimension ref="A1:BS192"/>
  <sheetViews>
    <sheetView zoomScale="85" zoomScaleNormal="85" workbookViewId="0">
      <pane xSplit="10" ySplit="1" topLeftCell="K14" activePane="bottomRight" state="frozen"/>
      <selection activeCell="K3" sqref="K3"/>
      <selection pane="topRight" activeCell="K3" sqref="K3"/>
      <selection pane="bottomLeft" activeCell="K3" sqref="K3"/>
      <selection pane="bottomRight" activeCell="AR31" sqref="AR31"/>
    </sheetView>
  </sheetViews>
  <sheetFormatPr defaultColWidth="9" defaultRowHeight="18.75" outlineLevelCol="1"/>
  <cols>
    <col min="1" max="1" width="9" style="1079"/>
    <col min="2" max="2" width="36.375" style="113" customWidth="1"/>
    <col min="3" max="3" width="16" style="113" bestFit="1" customWidth="1"/>
    <col min="4" max="4" width="17.125" style="15" hidden="1" customWidth="1" outlineLevel="1"/>
    <col min="5" max="5" width="9.25" style="61" hidden="1" customWidth="1" outlineLevel="1"/>
    <col min="6" max="6" width="10.5" style="61" hidden="1" customWidth="1" outlineLevel="1"/>
    <col min="7" max="7" width="9" style="15" customWidth="1" collapsed="1"/>
    <col min="8" max="8" width="9" style="15" customWidth="1"/>
    <col min="9" max="9" width="9" style="1145" customWidth="1"/>
    <col min="10" max="10" width="9" style="1145" hidden="1" customWidth="1" outlineLevel="1"/>
    <col min="11" max="11" width="21.25" style="1425" customWidth="1" collapsed="1"/>
    <col min="12" max="18" width="9" style="15" hidden="1" customWidth="1" outlineLevel="1"/>
    <col min="19" max="19" width="7.5" style="15" hidden="1" customWidth="1" outlineLevel="1"/>
    <col min="20" max="27" width="9" style="15" hidden="1" customWidth="1" outlineLevel="1"/>
    <col min="28" max="28" width="0.125" style="15" hidden="1" customWidth="1" outlineLevel="1"/>
    <col min="29" max="29" width="9" style="15" hidden="1" customWidth="1" outlineLevel="1"/>
    <col min="30" max="30" width="7.125" style="15" hidden="1" customWidth="1" outlineLevel="1"/>
    <col min="31" max="31" width="9" style="113" hidden="1" customWidth="1" outlineLevel="1"/>
    <col min="32" max="32" width="9" style="113" hidden="1" customWidth="1" outlineLevel="1" collapsed="1"/>
    <col min="33" max="33" width="9" style="113" hidden="1" customWidth="1" outlineLevel="1"/>
    <col min="34" max="34" width="9" style="113" hidden="1" customWidth="1" outlineLevel="1" collapsed="1"/>
    <col min="35" max="35" width="9" style="113" hidden="1" customWidth="1" outlineLevel="1"/>
    <col min="36" max="36" width="9" style="113" hidden="1" customWidth="1" outlineLevel="1" collapsed="1"/>
    <col min="37" max="37" width="7.125" style="113" hidden="1" customWidth="1" outlineLevel="1" collapsed="1"/>
    <col min="38" max="38" width="7" style="113" hidden="1" customWidth="1" outlineLevel="1" collapsed="1"/>
    <col min="39" max="39" width="7" style="15" customWidth="1" collapsed="1"/>
    <col min="40" max="71" width="7" style="15" customWidth="1"/>
    <col min="72" max="16384" width="9" style="15"/>
  </cols>
  <sheetData>
    <row r="1" spans="1:58" s="21" customFormat="1" ht="18.75" customHeight="1">
      <c r="A1" s="1058" t="s">
        <v>1322</v>
      </c>
      <c r="B1" s="30" t="s">
        <v>1757</v>
      </c>
      <c r="C1" s="30" t="s">
        <v>10</v>
      </c>
      <c r="D1" s="30" t="s">
        <v>11</v>
      </c>
      <c r="E1" s="30" t="s">
        <v>12</v>
      </c>
      <c r="F1" s="30"/>
      <c r="G1" s="30" t="s">
        <v>1327</v>
      </c>
      <c r="H1" s="389" t="s">
        <v>15</v>
      </c>
      <c r="I1" s="389" t="s">
        <v>1829</v>
      </c>
      <c r="J1" s="389" t="s">
        <v>1830</v>
      </c>
      <c r="K1" s="1411" t="s">
        <v>1808</v>
      </c>
      <c r="L1" s="913">
        <v>45323</v>
      </c>
      <c r="M1" s="913">
        <v>45352</v>
      </c>
      <c r="N1" s="913">
        <v>45383</v>
      </c>
      <c r="O1" s="913">
        <v>45413</v>
      </c>
      <c r="P1" s="913">
        <v>45444</v>
      </c>
      <c r="Q1" s="913">
        <v>45474</v>
      </c>
      <c r="R1" s="913">
        <v>45505</v>
      </c>
      <c r="S1" s="913">
        <v>45536</v>
      </c>
      <c r="T1" s="913">
        <v>45566</v>
      </c>
      <c r="U1" s="913">
        <v>45597</v>
      </c>
      <c r="V1" s="914">
        <v>45627</v>
      </c>
      <c r="W1" s="915">
        <v>45658</v>
      </c>
      <c r="X1" s="915">
        <v>45689</v>
      </c>
      <c r="Y1" s="915">
        <v>45717</v>
      </c>
      <c r="Z1" s="915">
        <v>45748</v>
      </c>
      <c r="AA1" s="915">
        <v>45778</v>
      </c>
      <c r="AB1" s="916">
        <v>45809</v>
      </c>
      <c r="AC1" s="916">
        <v>45839</v>
      </c>
      <c r="AD1" s="916">
        <v>45870</v>
      </c>
      <c r="AE1" s="917">
        <v>45901</v>
      </c>
      <c r="AF1" s="917">
        <v>45931</v>
      </c>
      <c r="AG1" s="917">
        <v>45962</v>
      </c>
      <c r="AH1" s="917">
        <v>45992</v>
      </c>
      <c r="AI1" s="918">
        <v>46023</v>
      </c>
      <c r="AJ1" s="919">
        <v>46054</v>
      </c>
      <c r="AK1" s="919">
        <v>46082</v>
      </c>
      <c r="AL1" s="919">
        <v>46113</v>
      </c>
      <c r="AM1" s="920">
        <v>46143</v>
      </c>
      <c r="AN1" s="920">
        <v>46174</v>
      </c>
      <c r="AO1" s="920">
        <v>46204</v>
      </c>
      <c r="AP1" s="920">
        <v>46235</v>
      </c>
      <c r="AQ1" s="920">
        <v>46266</v>
      </c>
      <c r="AR1" s="920">
        <v>46296</v>
      </c>
      <c r="AS1" s="920">
        <v>46327</v>
      </c>
      <c r="AT1" s="920">
        <v>46357</v>
      </c>
      <c r="AU1" s="920">
        <v>46388</v>
      </c>
      <c r="AV1" s="920">
        <v>46419</v>
      </c>
      <c r="AW1" s="920">
        <v>46447</v>
      </c>
      <c r="AX1" s="920">
        <v>46478</v>
      </c>
      <c r="AY1" s="920">
        <v>46508</v>
      </c>
      <c r="AZ1" s="920">
        <v>46539</v>
      </c>
      <c r="BA1" s="920">
        <v>46569</v>
      </c>
      <c r="BB1" s="920">
        <v>46600</v>
      </c>
      <c r="BC1" s="920">
        <v>46631</v>
      </c>
      <c r="BD1" s="920">
        <v>46661</v>
      </c>
      <c r="BE1" s="920">
        <v>46692</v>
      </c>
      <c r="BF1" s="920">
        <v>46722</v>
      </c>
    </row>
    <row r="2" spans="1:58" s="21" customFormat="1" ht="18.75" customHeight="1">
      <c r="A2" s="1080"/>
      <c r="B2" s="26"/>
      <c r="C2" s="26"/>
      <c r="D2" s="26"/>
      <c r="E2" s="26"/>
      <c r="F2" s="26"/>
      <c r="G2" s="74" t="str" cm="1">
        <f t="array" ref="G2:G25">IF($C2:$C25="","",SUMIF(マスタ_EOLリスト[[製品型番]:[製品型番]],$C2:$C25,マスタ_EOLリスト[[在庫+注残]:[在庫+注残]]))</f>
        <v/>
      </c>
      <c r="H2" s="499" t="str">
        <f ca="1">_xlfn.LET(_xlpm._今月から4ヶ月計画合計,
  SUM(
    OFFSET($A2,0,
      MATCH(
        EDATE(基準データ!$C$5,3),$A$1:$BD$1,1
      )-4,1,4)),
  IF($C2="","",_xlpm._今月から4ヶ月計画合計
)
)</f>
        <v/>
      </c>
      <c r="I2" s="499" t="str" cm="1">
        <f t="array" ref="I2:J25">'在庫使用計画 (一般)'!I2:J25</f>
        <v/>
      </c>
      <c r="J2" s="499" t="str">
        <v/>
      </c>
      <c r="K2" s="1458" t="str" cm="1">
        <f t="array" ref="K2:K25">IF($C2:$C25="","",_xlfn.XLOOKUP($C2:$C25,'在庫使用計画 (ノート全体試算)'!C:C,'在庫使用計画 (ノート全体試算)'!K:K))</f>
        <v/>
      </c>
      <c r="L2" s="38"/>
      <c r="M2" s="38"/>
      <c r="N2" s="38"/>
      <c r="O2" s="38"/>
      <c r="P2" s="38"/>
      <c r="Q2" s="38"/>
      <c r="R2" s="38"/>
      <c r="S2" s="219"/>
      <c r="T2" s="219"/>
      <c r="U2" s="219"/>
      <c r="V2" s="219"/>
      <c r="W2" s="219"/>
      <c r="X2" s="219"/>
      <c r="Y2" s="219"/>
      <c r="Z2" s="333"/>
      <c r="AA2" s="333">
        <v>15</v>
      </c>
      <c r="AB2" s="333">
        <v>17</v>
      </c>
      <c r="AC2" s="333">
        <v>35</v>
      </c>
      <c r="AD2" s="333">
        <v>28</v>
      </c>
      <c r="AE2" s="333">
        <v>16</v>
      </c>
      <c r="AF2" s="333">
        <v>17</v>
      </c>
      <c r="AG2" s="333">
        <v>11</v>
      </c>
      <c r="AH2" s="1153">
        <v>1</v>
      </c>
      <c r="AI2" s="1153">
        <v>8</v>
      </c>
      <c r="AJ2" s="1153">
        <v>24</v>
      </c>
      <c r="AK2" s="219"/>
      <c r="AL2" s="219"/>
      <c r="AM2" s="219"/>
      <c r="AN2" s="219"/>
      <c r="AO2" s="219"/>
      <c r="AP2" s="219"/>
      <c r="AQ2" s="219"/>
      <c r="AR2" s="219"/>
      <c r="AS2" s="219"/>
      <c r="AT2" s="219"/>
      <c r="AU2" s="217"/>
      <c r="AV2" s="217"/>
      <c r="AW2" s="217"/>
      <c r="AX2" s="217"/>
      <c r="AY2" s="217"/>
      <c r="AZ2" s="217"/>
      <c r="BA2" s="217"/>
      <c r="BB2" s="217"/>
      <c r="BC2" s="217"/>
      <c r="BD2" s="217"/>
      <c r="BE2" s="217"/>
      <c r="BF2" s="217"/>
    </row>
    <row r="3" spans="1:58" s="21" customFormat="1" ht="18.75" customHeight="1" thickBot="1">
      <c r="A3" s="1080" t="s">
        <v>1628</v>
      </c>
      <c r="B3" s="26" t="s">
        <v>152</v>
      </c>
      <c r="C3" s="380" t="s">
        <v>149</v>
      </c>
      <c r="D3" s="26" t="s">
        <v>1860</v>
      </c>
      <c r="E3" s="26">
        <v>5090</v>
      </c>
      <c r="F3" s="26"/>
      <c r="G3" s="499">
        <v>66</v>
      </c>
      <c r="H3" s="679">
        <f ca="1">_xlfn.LET(_xlpm._今月から4ヶ月計画合計,
  SUM(
    OFFSET($A3,0,
      MATCH(
        EDATE(基準データ!$C$5,3),$A$1:$BD$1,1
      )-4,1,4)),
  IF($C3="","",_xlpm._今月から4ヶ月計画合計
)
)</f>
        <v>59</v>
      </c>
      <c r="I3" s="679">
        <v>0</v>
      </c>
      <c r="J3" s="679">
        <v>55.193548387096769</v>
      </c>
      <c r="K3" s="1410">
        <v>46204</v>
      </c>
      <c r="L3" s="38"/>
      <c r="M3" s="38"/>
      <c r="N3" s="38"/>
      <c r="O3" s="38"/>
      <c r="P3" s="38"/>
      <c r="Q3" s="38"/>
      <c r="R3" s="38"/>
      <c r="S3" s="219"/>
      <c r="T3" s="219"/>
      <c r="U3" s="219"/>
      <c r="V3" s="219"/>
      <c r="W3" s="219"/>
      <c r="X3" s="219"/>
      <c r="Y3" s="219"/>
      <c r="Z3" s="333"/>
      <c r="AA3" s="333">
        <v>15</v>
      </c>
      <c r="AB3" s="333">
        <v>17</v>
      </c>
      <c r="AC3" s="333">
        <v>35</v>
      </c>
      <c r="AD3" s="333">
        <v>28</v>
      </c>
      <c r="AE3" s="333">
        <v>16</v>
      </c>
      <c r="AF3" s="333">
        <v>17</v>
      </c>
      <c r="AG3" s="333">
        <v>11</v>
      </c>
      <c r="AH3" s="333">
        <v>1</v>
      </c>
      <c r="AI3" s="333">
        <v>8</v>
      </c>
      <c r="AJ3" s="333">
        <v>24</v>
      </c>
      <c r="AK3" s="224">
        <v>42</v>
      </c>
      <c r="AL3" s="224">
        <v>9</v>
      </c>
      <c r="AM3" s="224">
        <v>30</v>
      </c>
      <c r="AN3" s="224">
        <v>30</v>
      </c>
      <c r="AO3" s="224">
        <v>59</v>
      </c>
      <c r="AP3" s="224">
        <v>0</v>
      </c>
      <c r="AQ3" s="224"/>
      <c r="AR3" s="224"/>
      <c r="AS3" s="224"/>
      <c r="AT3" s="224"/>
      <c r="AU3" s="217"/>
      <c r="AV3" s="217"/>
      <c r="AW3" s="217"/>
      <c r="AX3" s="217"/>
      <c r="AY3" s="217"/>
      <c r="AZ3" s="217"/>
      <c r="BA3" s="217"/>
      <c r="BB3" s="217"/>
      <c r="BC3" s="217"/>
      <c r="BD3" s="217"/>
      <c r="BE3" s="217"/>
      <c r="BF3" s="217"/>
    </row>
    <row r="4" spans="1:58" s="21" customFormat="1" ht="18.75" customHeight="1" thickBot="1">
      <c r="A4" s="1080" t="s">
        <v>1628</v>
      </c>
      <c r="B4" s="26" t="s">
        <v>1861</v>
      </c>
      <c r="C4" s="1439" t="s">
        <v>184</v>
      </c>
      <c r="D4" s="1258" t="s">
        <v>295</v>
      </c>
      <c r="E4" s="26">
        <v>5090</v>
      </c>
      <c r="F4" s="26" t="s">
        <v>20</v>
      </c>
      <c r="G4" s="409">
        <v>137</v>
      </c>
      <c r="H4" s="679">
        <f ca="1">_xlfn.LET(_xlpm._今月から4ヶ月計画合計,
  SUM(
    OFFSET($A4,0,
      MATCH(
        EDATE(基準データ!$C$5,3),$A$1:$BD$1,1
      )-4,1,4)),
  IF($C4="","",_xlpm._今月から4ヶ月計画合計
)
)</f>
        <v>15</v>
      </c>
      <c r="I4" s="679">
        <v>155.89587278610895</v>
      </c>
      <c r="J4" s="679">
        <v>50</v>
      </c>
      <c r="K4" s="1410">
        <v>46357</v>
      </c>
      <c r="L4" s="38"/>
      <c r="M4" s="38"/>
      <c r="N4" s="38"/>
      <c r="O4" s="38"/>
      <c r="P4" s="38"/>
      <c r="Q4" s="38"/>
      <c r="R4" s="38"/>
      <c r="S4" s="219"/>
      <c r="T4" s="219"/>
      <c r="U4" s="219"/>
      <c r="V4" s="222"/>
      <c r="W4" s="222"/>
      <c r="X4" s="222"/>
      <c r="Y4" s="222"/>
      <c r="Z4" s="333"/>
      <c r="AA4" s="333"/>
      <c r="AB4" s="333"/>
      <c r="AC4" s="333"/>
      <c r="AD4" s="333"/>
      <c r="AE4" s="333"/>
      <c r="AF4" s="333"/>
      <c r="AG4" s="333"/>
      <c r="AH4" s="333">
        <v>0</v>
      </c>
      <c r="AI4" s="333">
        <v>0</v>
      </c>
      <c r="AJ4" s="333">
        <v>0</v>
      </c>
      <c r="AK4" s="224">
        <v>0</v>
      </c>
      <c r="AL4" s="224">
        <v>0</v>
      </c>
      <c r="AM4" s="224">
        <v>0</v>
      </c>
      <c r="AN4" s="224">
        <v>0</v>
      </c>
      <c r="AO4" s="224">
        <v>0</v>
      </c>
      <c r="AP4" s="224">
        <v>5</v>
      </c>
      <c r="AQ4" s="224">
        <v>5</v>
      </c>
      <c r="AR4" s="224">
        <v>5</v>
      </c>
      <c r="AS4" s="224">
        <v>5</v>
      </c>
      <c r="AT4" s="224">
        <v>5</v>
      </c>
      <c r="AU4" s="224">
        <v>5</v>
      </c>
      <c r="AV4" s="224">
        <v>5</v>
      </c>
      <c r="AW4" s="224">
        <v>5</v>
      </c>
      <c r="AX4" s="224">
        <v>5</v>
      </c>
      <c r="AY4" s="224">
        <v>5</v>
      </c>
      <c r="AZ4" s="217"/>
      <c r="BA4" s="217"/>
      <c r="BB4" s="217"/>
      <c r="BC4" s="217"/>
      <c r="BD4" s="217"/>
      <c r="BE4" s="217"/>
      <c r="BF4" s="217"/>
    </row>
    <row r="5" spans="1:58" s="21" customFormat="1" ht="18.75" customHeight="1" thickBot="1">
      <c r="A5" s="1080" t="s">
        <v>1630</v>
      </c>
      <c r="B5" s="26" t="s">
        <v>193</v>
      </c>
      <c r="C5" s="1439" t="s">
        <v>190</v>
      </c>
      <c r="D5" s="1258" t="s">
        <v>295</v>
      </c>
      <c r="E5" s="26">
        <v>5080</v>
      </c>
      <c r="F5" s="26" t="s">
        <v>20</v>
      </c>
      <c r="G5" s="409">
        <v>341</v>
      </c>
      <c r="H5" s="679">
        <f ca="1">_xlfn.LET(_xlpm._今月から4ヶ月計画合計,
  SUM(
    OFFSET($A5,0,
      MATCH(
        EDATE(基準データ!$C$5,3),$A$1:$BD$1,1
      )-4,1,4)),
  IF($C5="","",_xlpm._今月から4ヶ月計画合計
)
)</f>
        <v>76</v>
      </c>
      <c r="I5" s="679">
        <v>282.45931854017442</v>
      </c>
      <c r="J5" s="679">
        <v>193</v>
      </c>
      <c r="K5" s="1410">
        <v>46357</v>
      </c>
      <c r="L5" s="38"/>
      <c r="M5" s="38"/>
      <c r="N5" s="38"/>
      <c r="O5" s="38"/>
      <c r="P5" s="38"/>
      <c r="Q5" s="38"/>
      <c r="R5" s="38"/>
      <c r="S5" s="219"/>
      <c r="T5" s="219"/>
      <c r="U5" s="219"/>
      <c r="V5" s="222"/>
      <c r="W5" s="222"/>
      <c r="X5" s="222"/>
      <c r="Y5" s="222"/>
      <c r="Z5" s="333"/>
      <c r="AA5" s="333"/>
      <c r="AB5" s="333"/>
      <c r="AC5" s="333"/>
      <c r="AD5" s="333"/>
      <c r="AE5" s="333"/>
      <c r="AF5" s="333"/>
      <c r="AG5" s="333"/>
      <c r="AH5" s="333">
        <v>0</v>
      </c>
      <c r="AI5" s="333">
        <v>0</v>
      </c>
      <c r="AJ5" s="333">
        <v>0</v>
      </c>
      <c r="AK5" s="224">
        <v>0</v>
      </c>
      <c r="AL5" s="224">
        <v>0</v>
      </c>
      <c r="AM5" s="224">
        <v>0</v>
      </c>
      <c r="AN5" s="224">
        <v>3</v>
      </c>
      <c r="AO5" s="224">
        <v>0</v>
      </c>
      <c r="AP5" s="224">
        <v>24</v>
      </c>
      <c r="AQ5" s="224">
        <v>28</v>
      </c>
      <c r="AR5" s="224">
        <v>24</v>
      </c>
      <c r="AS5" s="224">
        <v>28</v>
      </c>
      <c r="AT5" s="224">
        <v>24</v>
      </c>
      <c r="AU5" s="217">
        <v>13</v>
      </c>
      <c r="AV5" s="217">
        <v>13</v>
      </c>
      <c r="AW5" s="217">
        <v>13</v>
      </c>
      <c r="AX5" s="217">
        <v>13</v>
      </c>
      <c r="AY5" s="217">
        <v>13</v>
      </c>
      <c r="AZ5" s="217"/>
      <c r="BA5" s="217"/>
      <c r="BB5" s="217"/>
      <c r="BC5" s="217"/>
      <c r="BD5" s="217"/>
      <c r="BE5" s="217"/>
      <c r="BF5" s="217"/>
    </row>
    <row r="6" spans="1:58" s="21" customFormat="1" ht="18.75" customHeight="1">
      <c r="A6" s="1080"/>
      <c r="B6" s="26"/>
      <c r="C6" s="194"/>
      <c r="D6" s="26"/>
      <c r="E6" s="26"/>
      <c r="F6" s="26"/>
      <c r="G6" s="409" t="str">
        <v/>
      </c>
      <c r="H6" s="679" t="str">
        <f ca="1">_xlfn.LET(_xlpm._今月から4ヶ月計画合計,
  SUM(
    OFFSET($A6,0,
      MATCH(
        EDATE(基準データ!$C$5,3),$A$1:$BD$1,1
      )-4,1,4)),
  IF($C6="","",_xlpm._今月から4ヶ月計画合計
)
)</f>
        <v/>
      </c>
      <c r="I6" s="679" t="str">
        <v/>
      </c>
      <c r="J6" s="679" t="str">
        <v/>
      </c>
      <c r="K6" s="1410" t="str">
        <v/>
      </c>
      <c r="L6" s="38"/>
      <c r="M6" s="38"/>
      <c r="N6" s="38"/>
      <c r="O6" s="38"/>
      <c r="P6" s="38"/>
      <c r="Q6" s="38"/>
      <c r="R6" s="38"/>
      <c r="S6" s="219"/>
      <c r="T6" s="219"/>
      <c r="U6" s="219"/>
      <c r="V6" s="222"/>
      <c r="W6" s="222"/>
      <c r="X6" s="222"/>
      <c r="Y6" s="222"/>
      <c r="Z6" s="333"/>
      <c r="AA6" s="333"/>
      <c r="AB6" s="333"/>
      <c r="AC6" s="333"/>
      <c r="AD6" s="333"/>
      <c r="AE6" s="333"/>
      <c r="AF6" s="333"/>
      <c r="AG6" s="333"/>
      <c r="AH6" s="333"/>
      <c r="AI6" s="1401"/>
      <c r="AJ6" s="219"/>
      <c r="AK6" s="224"/>
      <c r="AL6" s="224"/>
      <c r="AM6" s="217"/>
      <c r="AN6" s="217"/>
      <c r="AO6" s="217"/>
      <c r="AP6" s="217"/>
      <c r="AQ6" s="217"/>
      <c r="AR6" s="217"/>
      <c r="AS6" s="217"/>
      <c r="AT6" s="217"/>
      <c r="AU6" s="217"/>
      <c r="AV6" s="217"/>
      <c r="AW6" s="217"/>
      <c r="AX6" s="217"/>
      <c r="AY6" s="217"/>
      <c r="AZ6" s="217"/>
      <c r="BA6" s="217"/>
      <c r="BB6" s="217"/>
      <c r="BC6" s="217"/>
      <c r="BD6" s="217"/>
      <c r="BE6" s="217"/>
      <c r="BF6" s="217"/>
    </row>
    <row r="7" spans="1:58" s="21" customFormat="1" ht="18.75" customHeight="1" thickBot="1">
      <c r="A7" s="1059" t="s">
        <v>1632</v>
      </c>
      <c r="B7" s="26" t="s">
        <v>198</v>
      </c>
      <c r="C7" s="373" t="s">
        <v>195</v>
      </c>
      <c r="D7" s="26" t="s">
        <v>1832</v>
      </c>
      <c r="E7" s="24" t="s">
        <v>200</v>
      </c>
      <c r="F7" s="58"/>
      <c r="G7" s="409">
        <v>11</v>
      </c>
      <c r="H7" s="679">
        <f ca="1">_xlfn.LET(_xlpm._今月から4ヶ月計画合計,
  SUM(
    OFFSET($A7,0,
      MATCH(
        EDATE(基準データ!$C$5,3),$A$1:$BD$1,1
      )-4,1,4)),
  IF($C7="","",_xlpm._今月から4ヶ月計画合計
)
)</f>
        <v>0</v>
      </c>
      <c r="I7" s="679">
        <v>0</v>
      </c>
      <c r="J7" s="679">
        <v>0</v>
      </c>
      <c r="K7" s="1412" t="str">
        <v>計画なし</v>
      </c>
      <c r="L7" s="308"/>
      <c r="M7" s="308"/>
      <c r="N7" s="308"/>
      <c r="O7" s="308"/>
      <c r="P7" s="308"/>
      <c r="Q7" s="308"/>
      <c r="R7" s="308"/>
      <c r="S7" s="350"/>
      <c r="T7" s="350"/>
      <c r="U7" s="350"/>
      <c r="V7" s="350"/>
      <c r="W7" s="350"/>
      <c r="X7" s="350"/>
      <c r="Y7" s="222"/>
      <c r="Z7" s="333"/>
      <c r="AA7" s="333">
        <v>15</v>
      </c>
      <c r="AB7" s="333">
        <v>12</v>
      </c>
      <c r="AC7" s="333">
        <v>29</v>
      </c>
      <c r="AD7" s="333">
        <v>12</v>
      </c>
      <c r="AE7" s="333">
        <v>37</v>
      </c>
      <c r="AF7" s="333">
        <v>32</v>
      </c>
      <c r="AG7" s="333">
        <v>30</v>
      </c>
      <c r="AH7" s="333">
        <v>10</v>
      </c>
      <c r="AI7" s="333">
        <v>14</v>
      </c>
      <c r="AJ7" s="333">
        <v>44</v>
      </c>
      <c r="AK7" s="1173">
        <v>6</v>
      </c>
      <c r="AL7" s="1173">
        <v>2</v>
      </c>
      <c r="AM7" s="1404">
        <v>0</v>
      </c>
      <c r="AN7" s="1173">
        <v>0</v>
      </c>
      <c r="AO7" s="1173">
        <v>0</v>
      </c>
      <c r="AP7" s="1173">
        <v>0</v>
      </c>
      <c r="AQ7" s="1173">
        <v>0</v>
      </c>
      <c r="AR7" s="1173">
        <v>0</v>
      </c>
      <c r="AS7" s="1173">
        <v>0</v>
      </c>
      <c r="AT7" s="1173">
        <v>0</v>
      </c>
      <c r="AU7" s="217"/>
      <c r="AV7" s="217"/>
      <c r="AW7" s="217"/>
      <c r="AX7" s="217"/>
      <c r="AY7" s="217"/>
      <c r="AZ7" s="217"/>
      <c r="BA7" s="217"/>
      <c r="BB7" s="217"/>
      <c r="BC7" s="217"/>
      <c r="BD7" s="217"/>
      <c r="BE7" s="217"/>
      <c r="BF7" s="217"/>
    </row>
    <row r="8" spans="1:58" s="21" customFormat="1" ht="18.75" customHeight="1" thickBot="1">
      <c r="A8" s="1059" t="s">
        <v>1632</v>
      </c>
      <c r="B8" s="26" t="s">
        <v>211</v>
      </c>
      <c r="C8" s="1435" t="s">
        <v>209</v>
      </c>
      <c r="D8" s="1258" t="s">
        <v>1720</v>
      </c>
      <c r="E8" s="24" t="s">
        <v>200</v>
      </c>
      <c r="F8" s="58"/>
      <c r="G8" s="409">
        <v>553</v>
      </c>
      <c r="H8" s="679">
        <f ca="1">_xlfn.LET(_xlpm._今月から4ヶ月計画合計,
  SUM(
    OFFSET($A8,0,
      MATCH(
        EDATE(基準データ!$C$5,3),$A$1:$BD$1,1
      )-4,1,4)),
  IF($C8="","",_xlpm._今月から4ヶ月計画合計
)
)</f>
        <v>283</v>
      </c>
      <c r="I8" s="679">
        <v>816.84036474784148</v>
      </c>
      <c r="J8" s="679">
        <v>658.35483870967744</v>
      </c>
      <c r="K8" s="1412">
        <v>46296</v>
      </c>
      <c r="L8" s="308"/>
      <c r="M8" s="308"/>
      <c r="N8" s="308"/>
      <c r="O8" s="308"/>
      <c r="P8" s="308"/>
      <c r="Q8" s="308"/>
      <c r="R8" s="308"/>
      <c r="S8" s="350"/>
      <c r="T8" s="350"/>
      <c r="U8" s="350"/>
      <c r="V8" s="350"/>
      <c r="W8" s="350"/>
      <c r="X8" s="350"/>
      <c r="Y8" s="222"/>
      <c r="Z8" s="333"/>
      <c r="AA8" s="1401"/>
      <c r="AB8" s="333"/>
      <c r="AC8" s="333"/>
      <c r="AD8" s="333">
        <v>17</v>
      </c>
      <c r="AE8" s="333">
        <v>84</v>
      </c>
      <c r="AF8" s="333">
        <v>75</v>
      </c>
      <c r="AG8" s="333">
        <v>45</v>
      </c>
      <c r="AH8" s="333">
        <v>7</v>
      </c>
      <c r="AI8" s="333">
        <v>58</v>
      </c>
      <c r="AJ8" s="333">
        <v>15</v>
      </c>
      <c r="AK8" s="1173">
        <v>91</v>
      </c>
      <c r="AL8" s="1173">
        <v>44</v>
      </c>
      <c r="AM8" s="1173">
        <v>62</v>
      </c>
      <c r="AN8" s="1173">
        <v>82</v>
      </c>
      <c r="AO8" s="1173">
        <v>72</v>
      </c>
      <c r="AP8" s="1173">
        <v>72</v>
      </c>
      <c r="AQ8" s="1173">
        <v>72</v>
      </c>
      <c r="AR8" s="1173">
        <v>67</v>
      </c>
      <c r="AS8" s="1173">
        <v>65</v>
      </c>
      <c r="AT8" s="1173">
        <v>65</v>
      </c>
      <c r="AU8" s="217">
        <v>50</v>
      </c>
      <c r="AV8" s="217">
        <v>50</v>
      </c>
      <c r="AW8" s="217">
        <v>50</v>
      </c>
      <c r="AX8" s="217">
        <v>50</v>
      </c>
      <c r="AY8" s="217">
        <v>50</v>
      </c>
      <c r="AZ8" s="217"/>
      <c r="BA8" s="217"/>
      <c r="BB8" s="217"/>
      <c r="BC8" s="217"/>
      <c r="BD8" s="217"/>
      <c r="BE8" s="217"/>
      <c r="BF8" s="217"/>
    </row>
    <row r="9" spans="1:58" s="21" customFormat="1" ht="18.75" customHeight="1" thickBot="1">
      <c r="A9" s="1059" t="s">
        <v>1632</v>
      </c>
      <c r="B9" s="26" t="s">
        <v>217</v>
      </c>
      <c r="C9" s="1435" t="s">
        <v>215</v>
      </c>
      <c r="D9" s="1258" t="s">
        <v>1721</v>
      </c>
      <c r="E9" s="24">
        <v>5070</v>
      </c>
      <c r="F9" s="58"/>
      <c r="G9" s="409">
        <v>268</v>
      </c>
      <c r="H9" s="679">
        <f ca="1">_xlfn.LET(_xlpm._今月から4ヶ月計画合計,
  SUM(
    OFFSET($A9,0,
      MATCH(
        EDATE(基準データ!$C$5,3),$A$1:$BD$1,1
      )-4,1,4)),
  IF($C9="","",_xlpm._今月から4ヶ月計画合計
)
)</f>
        <v>92</v>
      </c>
      <c r="I9" s="679">
        <v>445.41713697689056</v>
      </c>
      <c r="J9" s="679">
        <v>217.16129032258064</v>
      </c>
      <c r="K9" s="1412">
        <v>46266</v>
      </c>
      <c r="L9" s="308"/>
      <c r="M9" s="308"/>
      <c r="N9" s="308"/>
      <c r="O9" s="308"/>
      <c r="P9" s="308"/>
      <c r="Q9" s="308"/>
      <c r="R9" s="308"/>
      <c r="S9" s="350"/>
      <c r="T9" s="350"/>
      <c r="U9" s="350"/>
      <c r="V9" s="350"/>
      <c r="W9" s="350"/>
      <c r="X9" s="350"/>
      <c r="Y9" s="222"/>
      <c r="Z9" s="333"/>
      <c r="AA9" s="1401"/>
      <c r="AB9" s="333"/>
      <c r="AC9" s="333">
        <v>5</v>
      </c>
      <c r="AD9" s="333">
        <v>5</v>
      </c>
      <c r="AE9" s="333">
        <v>5</v>
      </c>
      <c r="AF9" s="333">
        <v>5</v>
      </c>
      <c r="AG9" s="333">
        <v>16</v>
      </c>
      <c r="AH9" s="333">
        <v>2</v>
      </c>
      <c r="AI9" s="333">
        <v>12</v>
      </c>
      <c r="AJ9" s="333">
        <v>11</v>
      </c>
      <c r="AK9" s="1303">
        <v>6</v>
      </c>
      <c r="AL9" s="1303">
        <v>13</v>
      </c>
      <c r="AM9" s="2073">
        <v>13</v>
      </c>
      <c r="AN9" s="1303">
        <v>43</v>
      </c>
      <c r="AO9" s="1303">
        <v>13</v>
      </c>
      <c r="AP9" s="1303">
        <v>28</v>
      </c>
      <c r="AQ9" s="1303">
        <v>28</v>
      </c>
      <c r="AR9" s="1303">
        <v>23</v>
      </c>
      <c r="AS9" s="1304">
        <v>23</v>
      </c>
      <c r="AT9" s="1304">
        <v>28</v>
      </c>
      <c r="AU9" s="217">
        <v>15</v>
      </c>
      <c r="AV9" s="217">
        <v>15</v>
      </c>
      <c r="AW9" s="217">
        <v>15</v>
      </c>
      <c r="AX9" s="217">
        <v>15</v>
      </c>
      <c r="AY9" s="217">
        <v>15</v>
      </c>
      <c r="AZ9" s="217"/>
      <c r="BA9" s="217"/>
      <c r="BB9" s="217"/>
      <c r="BC9" s="217"/>
      <c r="BD9" s="217"/>
      <c r="BE9" s="217"/>
      <c r="BF9" s="217"/>
    </row>
    <row r="10" spans="1:58" s="21" customFormat="1" ht="18.75" customHeight="1">
      <c r="A10" s="1084" t="s">
        <v>1632</v>
      </c>
      <c r="B10" s="26" t="s">
        <v>247</v>
      </c>
      <c r="C10" s="57" t="s">
        <v>244</v>
      </c>
      <c r="D10" s="58"/>
      <c r="E10" s="56">
        <v>5060</v>
      </c>
      <c r="F10" s="58"/>
      <c r="G10" s="409">
        <v>0</v>
      </c>
      <c r="H10" s="679">
        <f ca="1">_xlfn.LET(_xlpm._今月から4ヶ月計画合計,
  SUM(
    OFFSET($A10,0,
      MATCH(
        EDATE(基準データ!$C$5,3),$A$1:$BD$1,1
      )-4,1,4)),
  IF($C10="","",_xlpm._今月から4ヶ月計画合計
)
)</f>
        <v>0</v>
      </c>
      <c r="I10" s="679">
        <v>0</v>
      </c>
      <c r="J10" s="679">
        <v>0</v>
      </c>
      <c r="K10" s="1412" t="str">
        <v>在庫無し</v>
      </c>
      <c r="L10" s="308"/>
      <c r="M10" s="308"/>
      <c r="N10" s="308"/>
      <c r="O10" s="308"/>
      <c r="P10" s="308"/>
      <c r="Q10" s="308"/>
      <c r="R10" s="308"/>
      <c r="S10" s="350"/>
      <c r="T10" s="350"/>
      <c r="U10" s="350"/>
      <c r="V10" s="350"/>
      <c r="W10" s="350"/>
      <c r="X10" s="350"/>
      <c r="Y10" s="222"/>
      <c r="Z10" s="333"/>
      <c r="AA10" s="1401">
        <v>17</v>
      </c>
      <c r="AB10" s="333">
        <v>22</v>
      </c>
      <c r="AC10" s="333">
        <v>15</v>
      </c>
      <c r="AD10" s="333">
        <v>15</v>
      </c>
      <c r="AE10" s="333">
        <v>5</v>
      </c>
      <c r="AF10" s="333">
        <v>5</v>
      </c>
      <c r="AG10" s="333">
        <v>5</v>
      </c>
      <c r="AH10" s="333">
        <v>0</v>
      </c>
      <c r="AI10" s="333">
        <v>1</v>
      </c>
      <c r="AJ10" s="333">
        <v>2</v>
      </c>
      <c r="AK10" s="1173">
        <v>1</v>
      </c>
      <c r="AL10" s="1173">
        <v>0</v>
      </c>
      <c r="AM10" s="1173">
        <v>0</v>
      </c>
      <c r="AN10" s="1173">
        <v>0</v>
      </c>
      <c r="AO10" s="1173">
        <v>0</v>
      </c>
      <c r="AP10" s="1173"/>
      <c r="AQ10" s="1173"/>
      <c r="AR10" s="1173"/>
      <c r="AS10" s="1173"/>
      <c r="AT10" s="1173"/>
      <c r="AU10" s="217"/>
      <c r="AV10" s="217"/>
      <c r="AW10" s="217"/>
      <c r="AX10" s="217"/>
      <c r="AY10" s="217"/>
      <c r="AZ10" s="217"/>
      <c r="BA10" s="217"/>
      <c r="BB10" s="217"/>
      <c r="BC10" s="217"/>
      <c r="BD10" s="217"/>
      <c r="BE10" s="217"/>
      <c r="BF10" s="217"/>
    </row>
    <row r="11" spans="1:58" s="21" customFormat="1" ht="18.75" customHeight="1">
      <c r="A11" s="1084" t="s">
        <v>1632</v>
      </c>
      <c r="B11" s="26" t="s">
        <v>259</v>
      </c>
      <c r="C11" s="25" t="s">
        <v>256</v>
      </c>
      <c r="D11" s="26" t="s">
        <v>1721</v>
      </c>
      <c r="E11" s="24">
        <v>5060</v>
      </c>
      <c r="F11" s="24" t="s">
        <v>20</v>
      </c>
      <c r="G11" s="409">
        <v>5</v>
      </c>
      <c r="H11" s="679">
        <f ca="1">_xlfn.LET(_xlpm._今月から4ヶ月計画合計,
  SUM(
    OFFSET($A11,0,
      MATCH(
        EDATE(基準データ!$C$5,3),$A$1:$BD$1,1
      )-4,1,4)),
  IF($C11="","",_xlpm._今月から4ヶ月計画合計
)
)</f>
        <v>0</v>
      </c>
      <c r="I11" s="679">
        <v>0</v>
      </c>
      <c r="J11" s="679">
        <v>0</v>
      </c>
      <c r="K11" s="1412" t="str">
        <v>計画なし</v>
      </c>
      <c r="L11" s="308"/>
      <c r="M11" s="308"/>
      <c r="N11" s="308"/>
      <c r="O11" s="308"/>
      <c r="P11" s="308"/>
      <c r="Q11" s="308"/>
      <c r="R11" s="308"/>
      <c r="S11" s="350"/>
      <c r="T11" s="350"/>
      <c r="U11" s="350"/>
      <c r="V11" s="350"/>
      <c r="W11" s="350"/>
      <c r="X11" s="350"/>
      <c r="Y11" s="222"/>
      <c r="Z11" s="333"/>
      <c r="AA11" s="1401"/>
      <c r="AB11" s="333"/>
      <c r="AC11" s="333"/>
      <c r="AD11" s="333">
        <v>20</v>
      </c>
      <c r="AE11" s="333">
        <v>20</v>
      </c>
      <c r="AF11" s="333">
        <v>20</v>
      </c>
      <c r="AG11" s="333">
        <v>20</v>
      </c>
      <c r="AH11" s="505">
        <v>3</v>
      </c>
      <c r="AI11" s="505">
        <v>18</v>
      </c>
      <c r="AJ11" s="505">
        <v>2</v>
      </c>
      <c r="AK11" s="224">
        <v>10</v>
      </c>
      <c r="AL11" s="224">
        <v>4</v>
      </c>
      <c r="AM11" s="224">
        <v>0</v>
      </c>
      <c r="AN11" s="224">
        <v>0</v>
      </c>
      <c r="AO11" s="224">
        <v>0</v>
      </c>
      <c r="AP11" s="224">
        <v>0</v>
      </c>
      <c r="AQ11" s="224">
        <v>0</v>
      </c>
      <c r="AR11" s="224">
        <v>0</v>
      </c>
      <c r="AS11" s="224">
        <v>0</v>
      </c>
      <c r="AT11" s="224"/>
      <c r="AU11" s="217"/>
      <c r="AV11" s="217"/>
      <c r="AW11" s="217"/>
      <c r="AX11" s="217"/>
      <c r="AY11" s="217"/>
      <c r="AZ11" s="217"/>
      <c r="BA11" s="217"/>
      <c r="BB11" s="217"/>
      <c r="BC11" s="217"/>
      <c r="BD11" s="217"/>
      <c r="BE11" s="217"/>
      <c r="BF11" s="217"/>
    </row>
    <row r="12" spans="1:58" s="21" customFormat="1" ht="18.75" customHeight="1">
      <c r="A12" s="1075"/>
      <c r="B12" s="55"/>
      <c r="C12" s="57"/>
      <c r="D12" s="55" t="s">
        <v>1317</v>
      </c>
      <c r="E12" s="56" t="s">
        <v>1317</v>
      </c>
      <c r="F12" s="56"/>
      <c r="G12" s="44" t="str">
        <v/>
      </c>
      <c r="H12" s="933" t="str">
        <f ca="1">_xlfn.LET(_xlpm._今月から4ヶ月計画合計,
  SUM(
    OFFSET($A12,0,
      MATCH(
        EDATE(基準データ!$C$5,3),$A$1:$BD$1,1
      )-4,1,4)),
  IF($C12="","",_xlpm._今月から4ヶ月計画合計
)
)</f>
        <v/>
      </c>
      <c r="I12" s="679" t="str">
        <v/>
      </c>
      <c r="J12" s="679" t="str">
        <v/>
      </c>
      <c r="K12" s="1412" t="str">
        <v/>
      </c>
      <c r="L12" s="740"/>
      <c r="M12" s="740"/>
      <c r="N12" s="740"/>
      <c r="O12" s="740"/>
      <c r="P12" s="740"/>
      <c r="Q12" s="742"/>
      <c r="R12" s="442"/>
      <c r="S12" s="442"/>
      <c r="T12" s="442"/>
      <c r="U12" s="442"/>
      <c r="V12" s="442"/>
      <c r="W12" s="741"/>
      <c r="X12" s="140"/>
      <c r="Y12" s="140"/>
      <c r="Z12" s="140"/>
      <c r="AA12" s="250"/>
      <c r="AB12" s="140"/>
      <c r="AC12" s="442"/>
      <c r="AD12" s="442"/>
      <c r="AE12" s="442"/>
      <c r="AF12" s="442"/>
      <c r="AG12" s="443"/>
      <c r="AH12" s="416"/>
      <c r="AI12" s="416"/>
      <c r="AJ12" s="416"/>
      <c r="AK12" s="217"/>
      <c r="AL12" s="217"/>
      <c r="AM12" s="217"/>
      <c r="AN12" s="217"/>
      <c r="AO12" s="217"/>
      <c r="AP12" s="217"/>
      <c r="AQ12" s="217"/>
      <c r="AR12" s="217"/>
      <c r="AS12" s="217"/>
      <c r="AT12" s="217"/>
      <c r="AU12" s="217"/>
      <c r="AV12" s="217"/>
      <c r="AW12" s="217"/>
      <c r="AX12" s="217"/>
      <c r="AY12" s="217"/>
      <c r="AZ12" s="217"/>
      <c r="BA12" s="217"/>
      <c r="BB12" s="217"/>
      <c r="BC12" s="217"/>
      <c r="BD12" s="217"/>
      <c r="BE12" s="217"/>
      <c r="BF12" s="217"/>
    </row>
    <row r="13" spans="1:58" s="77" customFormat="1" ht="18.75" customHeight="1">
      <c r="A13" s="1740" t="s">
        <v>1633</v>
      </c>
      <c r="B13" s="100" t="s">
        <v>393</v>
      </c>
      <c r="C13" s="63" t="s">
        <v>394</v>
      </c>
      <c r="D13" s="100" t="s">
        <v>1723</v>
      </c>
      <c r="E13" s="101">
        <v>5070</v>
      </c>
      <c r="F13" s="101" t="s">
        <v>20</v>
      </c>
      <c r="G13" s="2108">
        <v>0</v>
      </c>
      <c r="H13" s="499">
        <f ca="1">_xlfn.LET(_xlpm._今月から4ヶ月計画合計,
  SUM(
    OFFSET($A13,0,
      MATCH(
        EDATE(基準データ!$C$5,3),$A$1:$BD$1,1
      )-4,1,4)),
  IF($C13="","",_xlpm._今月から4ヶ月計画合計
)
)</f>
        <v>0</v>
      </c>
      <c r="I13" s="2109">
        <v>0</v>
      </c>
      <c r="J13" s="499">
        <v>0</v>
      </c>
      <c r="K13" s="1412" t="str">
        <v>在庫無し</v>
      </c>
      <c r="L13" s="65"/>
      <c r="M13" s="65"/>
      <c r="N13" s="65"/>
      <c r="O13" s="65"/>
      <c r="P13" s="65"/>
      <c r="Q13" s="371"/>
      <c r="R13" s="361"/>
      <c r="S13" s="361"/>
      <c r="T13" s="361"/>
      <c r="U13" s="361"/>
      <c r="V13" s="361"/>
      <c r="W13" s="361"/>
      <c r="X13" s="361"/>
      <c r="Y13" s="361"/>
      <c r="Z13" s="361"/>
      <c r="AA13" s="361"/>
      <c r="AB13" s="361"/>
      <c r="AC13" s="361"/>
      <c r="AD13" s="361"/>
      <c r="AE13" s="361"/>
      <c r="AF13" s="361"/>
      <c r="AG13" s="361"/>
      <c r="AH13" s="217"/>
      <c r="AI13" s="217"/>
      <c r="AJ13" s="217"/>
      <c r="AK13" s="217"/>
      <c r="AL13" s="217"/>
      <c r="AM13" s="217"/>
      <c r="AN13" s="74"/>
      <c r="AO13" s="74"/>
      <c r="AP13" s="74"/>
      <c r="AQ13" s="74"/>
      <c r="AR13" s="74"/>
      <c r="AS13" s="74"/>
      <c r="AT13" s="74"/>
      <c r="AU13" s="217"/>
      <c r="AV13" s="217"/>
      <c r="AW13" s="217"/>
      <c r="AX13" s="217"/>
      <c r="AY13" s="217"/>
      <c r="AZ13" s="217"/>
      <c r="BA13" s="217"/>
      <c r="BB13" s="217"/>
      <c r="BC13" s="217"/>
      <c r="BD13" s="217"/>
      <c r="BE13" s="217"/>
      <c r="BF13" s="217"/>
    </row>
    <row r="14" spans="1:58" s="21" customFormat="1" ht="18.75" customHeight="1" thickBot="1">
      <c r="A14" s="1060" t="s">
        <v>1633</v>
      </c>
      <c r="B14" s="26" t="s">
        <v>301</v>
      </c>
      <c r="C14" s="380" t="s">
        <v>298</v>
      </c>
      <c r="D14" s="26" t="s">
        <v>1723</v>
      </c>
      <c r="E14" s="26">
        <v>5060</v>
      </c>
      <c r="F14" s="26" t="s">
        <v>20</v>
      </c>
      <c r="G14" s="44">
        <v>152</v>
      </c>
      <c r="H14" s="681">
        <f ca="1">_xlfn.LET(_xlpm._今月から4ヶ月計画合計,
  SUM(
    OFFSET($A14,0,
      MATCH(
        EDATE(基準データ!$C$5,3),$A$1:$BD$1,1
      )-4,1,4)),
  IF($C14="","",_xlpm._今月から4ヶ月計画合計
)
)</f>
        <v>0</v>
      </c>
      <c r="I14" s="679">
        <v>130.96774193548387</v>
      </c>
      <c r="J14" s="679">
        <v>0</v>
      </c>
      <c r="K14" s="1412">
        <v>46204</v>
      </c>
      <c r="L14" s="740"/>
      <c r="M14" s="740"/>
      <c r="N14" s="740"/>
      <c r="O14" s="740"/>
      <c r="P14" s="740"/>
      <c r="Q14" s="742"/>
      <c r="R14" s="516"/>
      <c r="S14" s="516"/>
      <c r="T14" s="516"/>
      <c r="U14" s="516"/>
      <c r="V14" s="516"/>
      <c r="W14" s="516"/>
      <c r="X14" s="516"/>
      <c r="Y14" s="516"/>
      <c r="Z14" s="516"/>
      <c r="AA14" s="516"/>
      <c r="AB14" s="516"/>
      <c r="AC14" s="416"/>
      <c r="AD14" s="416"/>
      <c r="AE14" s="416"/>
      <c r="AF14" s="416">
        <v>65</v>
      </c>
      <c r="AG14" s="416">
        <v>65</v>
      </c>
      <c r="AH14" s="416">
        <v>37</v>
      </c>
      <c r="AI14" s="416">
        <v>41</v>
      </c>
      <c r="AJ14" s="416">
        <v>49</v>
      </c>
      <c r="AK14" s="1173">
        <v>11</v>
      </c>
      <c r="AL14" s="1173">
        <v>142</v>
      </c>
      <c r="AM14" s="1404">
        <v>36</v>
      </c>
      <c r="AN14" s="1404">
        <v>40</v>
      </c>
      <c r="AO14" s="1173">
        <v>0</v>
      </c>
      <c r="AP14" s="1173"/>
      <c r="AQ14" s="1173"/>
      <c r="AR14" s="1173"/>
      <c r="AS14" s="1173"/>
      <c r="AT14" s="1173"/>
      <c r="AU14" s="217"/>
      <c r="AV14" s="217"/>
      <c r="AW14" s="217"/>
      <c r="AX14" s="217"/>
      <c r="AY14" s="217"/>
      <c r="AZ14" s="217"/>
      <c r="BA14" s="217"/>
      <c r="BB14" s="217"/>
      <c r="BC14" s="217"/>
      <c r="BD14" s="217"/>
      <c r="BE14" s="217"/>
      <c r="BF14" s="217"/>
    </row>
    <row r="15" spans="1:58" s="21" customFormat="1" ht="18.75" customHeight="1" thickBot="1">
      <c r="A15" s="1068" t="s">
        <v>1633</v>
      </c>
      <c r="B15" s="55" t="s">
        <v>397</v>
      </c>
      <c r="C15" s="1435" t="s">
        <v>306</v>
      </c>
      <c r="D15" s="55" t="s">
        <v>1723</v>
      </c>
      <c r="E15" s="56">
        <v>5060</v>
      </c>
      <c r="F15" s="56" t="s">
        <v>20</v>
      </c>
      <c r="G15" s="44">
        <v>1355</v>
      </c>
      <c r="H15" s="679">
        <f ca="1">_xlfn.LET(_xlpm._今月から4ヶ月計画合計,
  SUM(
    OFFSET($A15,0,
      MATCH(
        EDATE(基準データ!$C$5,3),$A$1:$BD$1,1
      )-4,1,4)),
  IF($C15="","",_xlpm._今月から4ヶ月計画合計
)
)</f>
        <v>135</v>
      </c>
      <c r="I15" s="679">
        <v>2082.6241935483872</v>
      </c>
      <c r="J15" s="679">
        <v>410</v>
      </c>
      <c r="K15" s="1412">
        <v>46327</v>
      </c>
      <c r="L15" s="740"/>
      <c r="M15" s="740"/>
      <c r="N15" s="740"/>
      <c r="O15" s="740"/>
      <c r="P15" s="740"/>
      <c r="Q15" s="742"/>
      <c r="R15" s="516"/>
      <c r="S15" s="516"/>
      <c r="T15" s="516"/>
      <c r="U15" s="516"/>
      <c r="V15" s="516"/>
      <c r="W15" s="516"/>
      <c r="X15" s="516"/>
      <c r="Y15" s="516"/>
      <c r="Z15" s="516"/>
      <c r="AA15" s="516"/>
      <c r="AB15" s="516"/>
      <c r="AC15" s="516"/>
      <c r="AD15" s="516"/>
      <c r="AE15" s="516"/>
      <c r="AF15" s="516"/>
      <c r="AG15" s="516"/>
      <c r="AH15" s="416">
        <v>0</v>
      </c>
      <c r="AI15" s="416">
        <v>0</v>
      </c>
      <c r="AJ15" s="416">
        <v>0</v>
      </c>
      <c r="AK15" s="74">
        <v>0</v>
      </c>
      <c r="AL15" s="74">
        <v>0</v>
      </c>
      <c r="AM15" s="74">
        <v>0</v>
      </c>
      <c r="AN15" s="74">
        <v>0</v>
      </c>
      <c r="AO15" s="74">
        <v>0</v>
      </c>
      <c r="AP15" s="74">
        <v>55</v>
      </c>
      <c r="AQ15" s="74">
        <v>45</v>
      </c>
      <c r="AR15" s="74">
        <v>35</v>
      </c>
      <c r="AS15" s="74">
        <v>45</v>
      </c>
      <c r="AT15" s="74">
        <v>55</v>
      </c>
      <c r="AU15" s="217">
        <v>35</v>
      </c>
      <c r="AV15" s="217">
        <v>35</v>
      </c>
      <c r="AW15" s="217">
        <v>35</v>
      </c>
      <c r="AX15" s="217">
        <v>35</v>
      </c>
      <c r="AY15" s="217">
        <v>35</v>
      </c>
      <c r="AZ15" s="217"/>
      <c r="BA15" s="217"/>
      <c r="BB15" s="217"/>
      <c r="BC15" s="217"/>
      <c r="BD15" s="217"/>
      <c r="BE15" s="217"/>
      <c r="BF15" s="217"/>
    </row>
    <row r="16" spans="1:58" s="21" customFormat="1" ht="18.75" customHeight="1">
      <c r="A16" s="1060" t="s">
        <v>1633</v>
      </c>
      <c r="B16" s="26" t="s">
        <v>311</v>
      </c>
      <c r="C16" s="194" t="s">
        <v>309</v>
      </c>
      <c r="D16" s="26" t="s">
        <v>1723</v>
      </c>
      <c r="E16" s="26">
        <v>5050</v>
      </c>
      <c r="F16" s="26" t="s">
        <v>20</v>
      </c>
      <c r="G16" s="1402">
        <v>702</v>
      </c>
      <c r="H16" s="679">
        <f ca="1">_xlfn.LET(_xlpm._今月から4ヶ月計画合計,
  SUM(
    OFFSET($A16,0,
      MATCH(
        EDATE(基準データ!$C$5,3),$A$1:$BD$1,1
      )-4,1,4)),
  IF($C16="","",_xlpm._今月から4ヶ月計画合計
)
)</f>
        <v>40</v>
      </c>
      <c r="I16" s="679">
        <v>568.38709677419354</v>
      </c>
      <c r="J16" s="679">
        <v>37.419354838709673</v>
      </c>
      <c r="K16" s="1410">
        <v>46296</v>
      </c>
      <c r="L16" s="38"/>
      <c r="M16" s="38"/>
      <c r="N16" s="38"/>
      <c r="O16" s="38"/>
      <c r="P16" s="38"/>
      <c r="Q16" s="38"/>
      <c r="R16" s="38"/>
      <c r="S16" s="219"/>
      <c r="T16" s="219"/>
      <c r="U16" s="219"/>
      <c r="V16" s="219"/>
      <c r="W16" s="219"/>
      <c r="X16" s="219"/>
      <c r="Y16" s="219"/>
      <c r="Z16" s="480"/>
      <c r="AA16" s="219"/>
      <c r="AB16" s="219"/>
      <c r="AC16" s="219">
        <v>13</v>
      </c>
      <c r="AD16" s="219">
        <v>40</v>
      </c>
      <c r="AE16" s="219">
        <v>70</v>
      </c>
      <c r="AF16" s="219">
        <v>50</v>
      </c>
      <c r="AG16" s="219">
        <v>50</v>
      </c>
      <c r="AH16" s="219">
        <v>5</v>
      </c>
      <c r="AI16" s="219">
        <v>17</v>
      </c>
      <c r="AJ16" s="219">
        <v>55</v>
      </c>
      <c r="AK16" s="1173">
        <v>53</v>
      </c>
      <c r="AL16" s="1173">
        <v>40</v>
      </c>
      <c r="AM16" s="1173">
        <v>50</v>
      </c>
      <c r="AN16" s="1173">
        <v>35</v>
      </c>
      <c r="AO16" s="1173">
        <v>40</v>
      </c>
      <c r="AP16" s="1173">
        <v>0</v>
      </c>
      <c r="AQ16" s="1173">
        <v>0</v>
      </c>
      <c r="AR16" s="1173">
        <v>0</v>
      </c>
      <c r="AS16" s="1173">
        <v>0</v>
      </c>
      <c r="AT16" s="1173"/>
      <c r="AU16" s="224"/>
      <c r="AV16" s="224"/>
      <c r="AW16" s="224"/>
      <c r="AX16" s="224"/>
      <c r="AY16" s="224"/>
      <c r="AZ16" s="224"/>
      <c r="BA16" s="224"/>
      <c r="BB16" s="224"/>
      <c r="BC16" s="224"/>
      <c r="BD16" s="224"/>
      <c r="BE16" s="224"/>
      <c r="BF16" s="224"/>
    </row>
    <row r="17" spans="1:58" s="21" customFormat="1" ht="18.75" customHeight="1">
      <c r="A17" s="1068" t="s">
        <v>1633</v>
      </c>
      <c r="B17" s="55" t="s">
        <v>393</v>
      </c>
      <c r="C17" s="57" t="s">
        <v>391</v>
      </c>
      <c r="D17" s="55" t="s">
        <v>1723</v>
      </c>
      <c r="E17" s="56">
        <v>5060</v>
      </c>
      <c r="F17" s="56" t="s">
        <v>20</v>
      </c>
      <c r="G17" s="44">
        <v>0</v>
      </c>
      <c r="H17" s="679">
        <f ca="1">_xlfn.LET(_xlpm._今月から4ヶ月計画合計,
  SUM(
    OFFSET($A17,0,
      MATCH(
        EDATE(基準データ!$C$5,3),$A$1:$BD$1,1
      )-4,1,4)),
  IF($C17="","",_xlpm._今月から4ヶ月計画合計
)
)</f>
        <v>6</v>
      </c>
      <c r="I17" s="679">
        <v>0</v>
      </c>
      <c r="J17" s="679">
        <v>251</v>
      </c>
      <c r="K17" s="1412" t="str">
        <v>在庫無し</v>
      </c>
      <c r="L17" s="740"/>
      <c r="M17" s="740"/>
      <c r="N17" s="740"/>
      <c r="O17" s="740"/>
      <c r="P17" s="740"/>
      <c r="Q17" s="742"/>
      <c r="R17" s="516"/>
      <c r="S17" s="516"/>
      <c r="T17" s="516"/>
      <c r="U17" s="516"/>
      <c r="V17" s="516"/>
      <c r="W17" s="516"/>
      <c r="X17" s="516"/>
      <c r="Y17" s="516"/>
      <c r="Z17" s="516"/>
      <c r="AA17" s="516"/>
      <c r="AB17" s="516"/>
      <c r="AC17" s="516"/>
      <c r="AD17" s="516"/>
      <c r="AE17" s="516"/>
      <c r="AF17" s="516"/>
      <c r="AG17" s="516"/>
      <c r="AH17" s="416">
        <v>0</v>
      </c>
      <c r="AI17" s="416">
        <v>0</v>
      </c>
      <c r="AJ17" s="416"/>
      <c r="AK17" s="74"/>
      <c r="AL17" s="74"/>
      <c r="AM17" s="74"/>
      <c r="AN17" s="74"/>
      <c r="AO17" s="74"/>
      <c r="AP17" s="74"/>
      <c r="AQ17" s="74">
        <v>0</v>
      </c>
      <c r="AR17" s="74">
        <v>6</v>
      </c>
      <c r="AS17" s="74">
        <v>35</v>
      </c>
      <c r="AT17" s="74">
        <v>35</v>
      </c>
      <c r="AU17" s="217">
        <v>35</v>
      </c>
      <c r="AV17" s="217">
        <v>35</v>
      </c>
      <c r="AW17" s="217">
        <v>35</v>
      </c>
      <c r="AX17" s="217">
        <v>35</v>
      </c>
      <c r="AY17" s="217">
        <v>35</v>
      </c>
      <c r="AZ17" s="217"/>
      <c r="BA17" s="217"/>
      <c r="BB17" s="217"/>
      <c r="BC17" s="217"/>
      <c r="BD17" s="217"/>
      <c r="BE17" s="217"/>
      <c r="BF17" s="217"/>
    </row>
    <row r="18" spans="1:58" s="21" customFormat="1" ht="18.75" customHeight="1" thickBot="1">
      <c r="A18" s="1060" t="s">
        <v>1633</v>
      </c>
      <c r="B18" s="26" t="s">
        <v>1862</v>
      </c>
      <c r="C18" s="380" t="s">
        <v>324</v>
      </c>
      <c r="D18" s="26" t="s">
        <v>1365</v>
      </c>
      <c r="E18" s="26">
        <v>4050</v>
      </c>
      <c r="F18" s="58"/>
      <c r="G18" s="44">
        <v>1414</v>
      </c>
      <c r="H18" s="679">
        <f ca="1">_xlfn.LET(_xlpm._今月から4ヶ月計画合計,
  SUM(
    OFFSET($A18,0,
      MATCH(
        EDATE(基準データ!$C$5,3),$A$1:$BD$1,1
      )-4,1,4)),
  IF($C18="","",_xlpm._今月から4ヶ月計画合計
)
)</f>
        <v>179</v>
      </c>
      <c r="I18" s="679">
        <v>1370.9677419354839</v>
      </c>
      <c r="J18" s="679">
        <v>232</v>
      </c>
      <c r="K18" s="1413">
        <v>46266</v>
      </c>
      <c r="L18" s="416"/>
      <c r="M18" s="743"/>
      <c r="N18" s="743"/>
      <c r="O18" s="416"/>
      <c r="P18" s="416"/>
      <c r="Q18" s="416"/>
      <c r="R18" s="416"/>
      <c r="S18" s="416"/>
      <c r="T18" s="416">
        <v>0</v>
      </c>
      <c r="U18" s="416">
        <v>35</v>
      </c>
      <c r="V18" s="490">
        <v>5</v>
      </c>
      <c r="W18" s="140">
        <v>5</v>
      </c>
      <c r="X18" s="140">
        <v>5</v>
      </c>
      <c r="Y18" s="140">
        <v>5</v>
      </c>
      <c r="Z18" s="140">
        <v>5</v>
      </c>
      <c r="AA18" s="140">
        <v>5</v>
      </c>
      <c r="AB18" s="140">
        <v>5</v>
      </c>
      <c r="AC18" s="140">
        <v>5</v>
      </c>
      <c r="AD18" s="140">
        <v>35</v>
      </c>
      <c r="AE18" s="140">
        <v>65</v>
      </c>
      <c r="AF18" s="140">
        <v>65</v>
      </c>
      <c r="AG18" s="140">
        <v>105</v>
      </c>
      <c r="AH18" s="1403">
        <v>66</v>
      </c>
      <c r="AI18" s="1403">
        <v>26</v>
      </c>
      <c r="AJ18" s="1403">
        <v>30</v>
      </c>
      <c r="AK18" s="1404">
        <v>101</v>
      </c>
      <c r="AL18" s="1173">
        <v>18</v>
      </c>
      <c r="AM18" s="1173">
        <v>0</v>
      </c>
      <c r="AN18" s="1173">
        <v>0</v>
      </c>
      <c r="AO18" s="1173">
        <v>0</v>
      </c>
      <c r="AP18" s="1173">
        <v>73</v>
      </c>
      <c r="AQ18" s="1173">
        <v>53</v>
      </c>
      <c r="AR18" s="1173">
        <v>53</v>
      </c>
      <c r="AS18" s="1173">
        <v>53</v>
      </c>
      <c r="AT18" s="1173">
        <v>0</v>
      </c>
      <c r="AU18" s="217"/>
      <c r="AV18" s="217"/>
      <c r="AW18" s="217"/>
      <c r="AX18" s="217"/>
      <c r="AY18" s="217"/>
      <c r="AZ18" s="217"/>
      <c r="BA18" s="217"/>
      <c r="BB18" s="217"/>
      <c r="BC18" s="217"/>
      <c r="BD18" s="217"/>
      <c r="BE18" s="217"/>
      <c r="BF18" s="217"/>
    </row>
    <row r="19" spans="1:58" s="21" customFormat="1" ht="18.75" customHeight="1" thickBot="1">
      <c r="A19" s="1068" t="s">
        <v>1633</v>
      </c>
      <c r="B19" s="55" t="s">
        <v>399</v>
      </c>
      <c r="C19" s="1435" t="s">
        <v>334</v>
      </c>
      <c r="D19" s="55" t="s">
        <v>1809</v>
      </c>
      <c r="E19" s="56">
        <v>5050</v>
      </c>
      <c r="F19" s="56" t="s">
        <v>20</v>
      </c>
      <c r="G19" s="44">
        <v>1805</v>
      </c>
      <c r="H19" s="679">
        <f ca="1">_xlfn.LET(_xlpm._今月から4ヶ月計画合計,
  SUM(
    OFFSET($A19,0,
      MATCH(
        EDATE(基準データ!$C$5,3),$A$1:$BD$1,1
      )-4,1,4)),
  IF($C19="","",_xlpm._今月から4ヶ月計画合計
)
)</f>
        <v>0</v>
      </c>
      <c r="I19" s="679">
        <v>9015.2539095662396</v>
      </c>
      <c r="J19" s="679">
        <v>231</v>
      </c>
      <c r="K19" s="1412">
        <v>46296</v>
      </c>
      <c r="L19" s="740"/>
      <c r="M19" s="740"/>
      <c r="N19" s="740"/>
      <c r="O19" s="740"/>
      <c r="P19" s="740"/>
      <c r="Q19" s="742"/>
      <c r="R19" s="516"/>
      <c r="S19" s="516"/>
      <c r="T19" s="516"/>
      <c r="U19" s="516"/>
      <c r="V19" s="516"/>
      <c r="W19" s="516"/>
      <c r="X19" s="516"/>
      <c r="Y19" s="516"/>
      <c r="Z19" s="516"/>
      <c r="AA19" s="516"/>
      <c r="AB19" s="516"/>
      <c r="AC19" s="516"/>
      <c r="AD19" s="516"/>
      <c r="AE19" s="516"/>
      <c r="AF19" s="516"/>
      <c r="AG19" s="516"/>
      <c r="AH19" s="416">
        <v>0</v>
      </c>
      <c r="AI19" s="416">
        <v>0</v>
      </c>
      <c r="AJ19" s="416">
        <v>0</v>
      </c>
      <c r="AK19" s="217">
        <v>0</v>
      </c>
      <c r="AL19" s="217">
        <v>0</v>
      </c>
      <c r="AM19" s="217">
        <v>0</v>
      </c>
      <c r="AN19" s="217">
        <v>0</v>
      </c>
      <c r="AO19" s="74">
        <v>0</v>
      </c>
      <c r="AP19" s="74">
        <v>0</v>
      </c>
      <c r="AQ19" s="74">
        <v>0</v>
      </c>
      <c r="AR19" s="74">
        <v>0</v>
      </c>
      <c r="AS19" s="74">
        <v>33</v>
      </c>
      <c r="AT19" s="74">
        <v>33</v>
      </c>
      <c r="AU19" s="74">
        <v>33</v>
      </c>
      <c r="AV19" s="74">
        <v>33</v>
      </c>
      <c r="AW19" s="74">
        <v>33</v>
      </c>
      <c r="AX19" s="74">
        <v>33</v>
      </c>
      <c r="AY19" s="74">
        <v>33</v>
      </c>
      <c r="AZ19" s="217"/>
      <c r="BA19" s="217"/>
      <c r="BB19" s="217"/>
      <c r="BC19" s="217"/>
      <c r="BD19" s="217"/>
      <c r="BE19" s="217"/>
      <c r="BF19" s="217"/>
    </row>
    <row r="20" spans="1:58" s="631" customFormat="1" ht="18.75" customHeight="1">
      <c r="A20" s="1075" t="s">
        <v>1633</v>
      </c>
      <c r="B20" s="26" t="s">
        <v>376</v>
      </c>
      <c r="C20" s="57" t="s">
        <v>336</v>
      </c>
      <c r="D20" s="55" t="s">
        <v>1365</v>
      </c>
      <c r="E20" s="58">
        <v>3050</v>
      </c>
      <c r="F20" s="26" t="s">
        <v>20</v>
      </c>
      <c r="G20" s="44">
        <v>2039</v>
      </c>
      <c r="H20" s="679">
        <f ca="1">_xlfn.LET(_xlpm._今月から4ヶ月計画合計,
  SUM(
    OFFSET($A20,0,
      MATCH(
        EDATE(基準データ!$C$5,3),$A$1:$BD$1,1
      )-4,1,4)),
  IF($C20="","",_xlpm._今月から4ヶ月計画合計
)
)</f>
        <v>110</v>
      </c>
      <c r="I20" s="679">
        <v>1921.6129032258063</v>
      </c>
      <c r="J20" s="679">
        <v>102.9032258064516</v>
      </c>
      <c r="K20" s="1414">
        <v>46235</v>
      </c>
      <c r="L20" s="296"/>
      <c r="M20" s="296"/>
      <c r="N20" s="296"/>
      <c r="O20" s="296">
        <v>3</v>
      </c>
      <c r="P20" s="296">
        <v>3</v>
      </c>
      <c r="Q20" s="296">
        <v>15</v>
      </c>
      <c r="R20" s="296">
        <v>15</v>
      </c>
      <c r="S20" s="296">
        <v>15</v>
      </c>
      <c r="T20" s="296"/>
      <c r="U20" s="296"/>
      <c r="V20" s="1405">
        <v>7</v>
      </c>
      <c r="W20" s="294">
        <v>7</v>
      </c>
      <c r="X20" s="294">
        <v>7</v>
      </c>
      <c r="Y20" s="294">
        <v>31</v>
      </c>
      <c r="Z20" s="294">
        <v>7</v>
      </c>
      <c r="AA20" s="295">
        <v>7</v>
      </c>
      <c r="AB20" s="294">
        <v>7</v>
      </c>
      <c r="AC20" s="294">
        <v>9</v>
      </c>
      <c r="AD20" s="294">
        <v>9</v>
      </c>
      <c r="AE20" s="294">
        <v>82</v>
      </c>
      <c r="AF20" s="294">
        <v>82</v>
      </c>
      <c r="AG20" s="294">
        <v>107</v>
      </c>
      <c r="AH20" s="426">
        <v>66</v>
      </c>
      <c r="AI20" s="426">
        <v>77</v>
      </c>
      <c r="AJ20" s="426">
        <v>88</v>
      </c>
      <c r="AK20" s="1173">
        <v>75</v>
      </c>
      <c r="AL20" s="1173">
        <v>22</v>
      </c>
      <c r="AM20" s="1404">
        <v>180</v>
      </c>
      <c r="AN20" s="1173">
        <v>150</v>
      </c>
      <c r="AO20" s="1173">
        <v>110</v>
      </c>
      <c r="AP20" s="1404">
        <v>0</v>
      </c>
      <c r="AQ20" s="1404">
        <v>0</v>
      </c>
      <c r="AR20" s="1404">
        <v>0</v>
      </c>
      <c r="AS20" s="1404">
        <v>0</v>
      </c>
      <c r="AT20" s="1404">
        <v>0</v>
      </c>
      <c r="AU20" s="1154">
        <v>0</v>
      </c>
      <c r="AV20" s="1154"/>
      <c r="AW20" s="1154"/>
      <c r="AX20" s="1154"/>
      <c r="AY20" s="1154"/>
      <c r="AZ20" s="1154"/>
      <c r="BA20" s="1154"/>
      <c r="BB20" s="1154"/>
      <c r="BC20" s="1154"/>
      <c r="BD20" s="1154"/>
      <c r="BE20" s="1154"/>
      <c r="BF20" s="1154"/>
    </row>
    <row r="21" spans="1:58" s="21" customFormat="1" ht="18.75" customHeight="1">
      <c r="A21" s="1075" t="s">
        <v>1633</v>
      </c>
      <c r="B21" s="55" t="s">
        <v>349</v>
      </c>
      <c r="C21" s="55" t="s">
        <v>347</v>
      </c>
      <c r="D21" s="55" t="s">
        <v>1369</v>
      </c>
      <c r="E21" s="58">
        <v>3050</v>
      </c>
      <c r="F21" s="58"/>
      <c r="G21" s="44">
        <v>5</v>
      </c>
      <c r="H21" s="679">
        <f ca="1">_xlfn.LET(_xlpm._今月から4ヶ月計画合計,
  SUM(
    OFFSET($A21,0,
      MATCH(
        EDATE(基準データ!$C$5,3),$A$1:$BD$1,1
      )-4,1,4)),
  IF($C21="","",_xlpm._今月から4ヶ月計画合計
)
)</f>
        <v>0</v>
      </c>
      <c r="I21" s="679">
        <v>0</v>
      </c>
      <c r="J21" s="679">
        <v>0</v>
      </c>
      <c r="K21" s="1413" t="str">
        <v>計画なし</v>
      </c>
      <c r="L21" s="416"/>
      <c r="M21" s="416"/>
      <c r="N21" s="416"/>
      <c r="O21" s="416"/>
      <c r="P21" s="416"/>
      <c r="Q21" s="416"/>
      <c r="R21" s="416"/>
      <c r="S21" s="416"/>
      <c r="T21" s="416"/>
      <c r="U21" s="416"/>
      <c r="V21" s="490"/>
      <c r="W21" s="140"/>
      <c r="X21" s="140"/>
      <c r="Y21" s="140"/>
      <c r="Z21" s="140"/>
      <c r="AA21" s="250"/>
      <c r="AB21" s="140"/>
      <c r="AC21" s="140"/>
      <c r="AD21" s="140"/>
      <c r="AE21" s="140">
        <v>15</v>
      </c>
      <c r="AF21" s="140">
        <v>15</v>
      </c>
      <c r="AG21" s="140">
        <v>15</v>
      </c>
      <c r="AH21" s="140">
        <v>9</v>
      </c>
      <c r="AI21" s="140">
        <v>13</v>
      </c>
      <c r="AJ21" s="140">
        <v>5</v>
      </c>
      <c r="AK21" s="192">
        <v>4</v>
      </c>
      <c r="AL21" s="192">
        <v>0</v>
      </c>
      <c r="AM21" s="192">
        <v>0</v>
      </c>
      <c r="AN21" s="192">
        <v>0</v>
      </c>
      <c r="AO21" s="192">
        <v>0</v>
      </c>
      <c r="AP21" s="217">
        <v>0</v>
      </c>
      <c r="AQ21" s="217">
        <v>0</v>
      </c>
      <c r="AR21" s="217"/>
      <c r="AS21" s="217"/>
      <c r="AT21" s="217"/>
      <c r="AU21" s="217"/>
      <c r="AV21" s="217"/>
      <c r="AW21" s="217"/>
      <c r="AX21" s="217"/>
      <c r="AY21" s="217"/>
      <c r="AZ21" s="217"/>
      <c r="BA21" s="217"/>
      <c r="BB21" s="217"/>
      <c r="BC21" s="217"/>
      <c r="BD21" s="217"/>
      <c r="BE21" s="217"/>
      <c r="BF21" s="217"/>
    </row>
    <row r="22" spans="1:58" s="21" customFormat="1" ht="18.75" customHeight="1">
      <c r="A22" s="1075" t="s">
        <v>1633</v>
      </c>
      <c r="B22" s="55" t="s">
        <v>344</v>
      </c>
      <c r="C22" s="55" t="s">
        <v>342</v>
      </c>
      <c r="D22" s="55" t="s">
        <v>1726</v>
      </c>
      <c r="E22" s="58">
        <v>3050</v>
      </c>
      <c r="F22" s="58"/>
      <c r="G22" s="44">
        <v>0</v>
      </c>
      <c r="H22" s="679">
        <f ca="1">_xlfn.LET(_xlpm._今月から4ヶ月計画合計,
  SUM(
    OFFSET($A22,0,
      MATCH(
        EDATE(基準データ!$C$5,3),$A$1:$BD$1,1
      )-4,1,4)),
  IF($C22="","",_xlpm._今月から4ヶ月計画合計
)
)</f>
        <v>0</v>
      </c>
      <c r="I22" s="679">
        <v>0</v>
      </c>
      <c r="J22" s="679">
        <v>0</v>
      </c>
      <c r="K22" s="1413" t="str">
        <v>在庫無し</v>
      </c>
      <c r="L22" s="416">
        <v>10</v>
      </c>
      <c r="M22" s="416">
        <v>10</v>
      </c>
      <c r="N22" s="416">
        <v>5</v>
      </c>
      <c r="O22" s="416">
        <v>5</v>
      </c>
      <c r="P22" s="416">
        <v>5</v>
      </c>
      <c r="Q22" s="416">
        <v>10</v>
      </c>
      <c r="R22" s="416">
        <v>10</v>
      </c>
      <c r="S22" s="416">
        <v>10</v>
      </c>
      <c r="T22" s="416">
        <v>2</v>
      </c>
      <c r="U22" s="416">
        <v>24</v>
      </c>
      <c r="V22" s="490">
        <v>12</v>
      </c>
      <c r="W22" s="122">
        <v>22</v>
      </c>
      <c r="X22" s="140">
        <v>95</v>
      </c>
      <c r="Y22" s="140">
        <v>52</v>
      </c>
      <c r="Z22" s="140">
        <v>70</v>
      </c>
      <c r="AA22" s="250">
        <v>40</v>
      </c>
      <c r="AB22" s="140">
        <v>30</v>
      </c>
      <c r="AC22" s="140"/>
      <c r="AD22" s="140"/>
      <c r="AE22" s="140">
        <v>15</v>
      </c>
      <c r="AF22" s="140">
        <v>15</v>
      </c>
      <c r="AG22" s="140">
        <v>15</v>
      </c>
      <c r="AH22" s="140"/>
      <c r="AI22" s="140"/>
      <c r="AJ22" s="140"/>
      <c r="AK22" s="192"/>
      <c r="AL22" s="192"/>
      <c r="AM22" s="192"/>
      <c r="AN22" s="192"/>
      <c r="AO22" s="192">
        <v>0</v>
      </c>
      <c r="AP22" s="192">
        <v>0</v>
      </c>
      <c r="AQ22" s="192">
        <v>0</v>
      </c>
      <c r="AR22" s="192">
        <v>0</v>
      </c>
      <c r="AS22" s="192">
        <v>0</v>
      </c>
      <c r="AT22" s="192">
        <v>0</v>
      </c>
      <c r="AU22" s="217"/>
      <c r="AV22" s="217"/>
      <c r="AW22" s="217"/>
      <c r="AX22" s="217"/>
      <c r="AY22" s="217"/>
      <c r="AZ22" s="217"/>
      <c r="BA22" s="217"/>
      <c r="BB22" s="217"/>
      <c r="BC22" s="217"/>
      <c r="BD22" s="217"/>
      <c r="BE22" s="217"/>
      <c r="BF22" s="217"/>
    </row>
    <row r="23" spans="1:58" s="70" customFormat="1" ht="18.75" customHeight="1">
      <c r="A23" s="1075"/>
      <c r="B23" s="58"/>
      <c r="C23" s="55"/>
      <c r="D23" s="55"/>
      <c r="E23" s="58"/>
      <c r="F23" s="58"/>
      <c r="G23" s="44" t="str">
        <v/>
      </c>
      <c r="H23" s="679" t="str">
        <f ca="1">_xlfn.LET(_xlpm._今月から4ヶ月計画合計,
  SUM(
    OFFSET($A23,0,
      MATCH(
        EDATE(基準データ!$C$5,3),$A$1:$BD$1,1
      )-4,1,4)),
  IF($C23="","",_xlpm._今月から4ヶ月計画合計
)
)</f>
        <v/>
      </c>
      <c r="I23" s="679" t="str">
        <v/>
      </c>
      <c r="J23" s="679" t="str">
        <v/>
      </c>
      <c r="K23" s="1413" t="str">
        <v/>
      </c>
      <c r="L23" s="416"/>
      <c r="M23" s="416"/>
      <c r="N23" s="416"/>
      <c r="O23" s="416"/>
      <c r="P23" s="416"/>
      <c r="Q23" s="416"/>
      <c r="R23" s="416"/>
      <c r="S23" s="416"/>
      <c r="T23" s="416"/>
      <c r="U23" s="416"/>
      <c r="V23" s="490"/>
      <c r="W23" s="140"/>
      <c r="X23" s="140"/>
      <c r="Y23" s="140"/>
      <c r="Z23" s="140"/>
      <c r="AA23" s="250"/>
      <c r="AB23" s="140"/>
      <c r="AC23" s="140"/>
      <c r="AD23" s="140"/>
      <c r="AE23" s="140"/>
      <c r="AF23" s="140"/>
      <c r="AG23" s="140"/>
      <c r="AH23" s="140"/>
      <c r="AI23" s="250"/>
      <c r="AJ23" s="416"/>
      <c r="AK23" s="217"/>
      <c r="AL23" s="217"/>
      <c r="AM23" s="217"/>
      <c r="AN23" s="217"/>
      <c r="AO23" s="217"/>
      <c r="AP23" s="217"/>
      <c r="AQ23" s="217"/>
      <c r="AR23" s="217"/>
      <c r="AS23" s="217"/>
      <c r="AT23" s="217"/>
      <c r="AU23" s="217"/>
      <c r="AV23" s="217"/>
      <c r="AW23" s="217"/>
      <c r="AX23" s="217"/>
      <c r="AY23" s="217"/>
      <c r="AZ23" s="217"/>
      <c r="BA23" s="217"/>
      <c r="BB23" s="217"/>
      <c r="BC23" s="217"/>
      <c r="BD23" s="217"/>
      <c r="BE23" s="217"/>
      <c r="BF23" s="217"/>
    </row>
    <row r="24" spans="1:58" s="70" customFormat="1" ht="18.75" customHeight="1">
      <c r="A24" s="1075" t="s">
        <v>1727</v>
      </c>
      <c r="B24" s="55" t="s">
        <v>366</v>
      </c>
      <c r="C24" s="25" t="s">
        <v>355</v>
      </c>
      <c r="D24" s="55" t="s">
        <v>35</v>
      </c>
      <c r="E24" s="58">
        <v>4050</v>
      </c>
      <c r="F24" s="58"/>
      <c r="G24" s="44">
        <v>290</v>
      </c>
      <c r="H24" s="679">
        <f ca="1">_xlfn.LET(_xlpm._今月から4ヶ月計画合計,
  SUM(
    OFFSET($A24,0,
      MATCH(
        EDATE(基準データ!$C$5,3),$A$1:$BD$1,1
      )-4,1,4)),
  IF($C24="","",_xlpm._今月から4ヶ月計画合計
)
)</f>
        <v>200</v>
      </c>
      <c r="I24" s="679">
        <v>0</v>
      </c>
      <c r="J24" s="679">
        <v>196.7741935483871</v>
      </c>
      <c r="K24" s="1413" t="str">
        <v>合計197、在庫+注残290のため不足</v>
      </c>
      <c r="L24" s="416"/>
      <c r="M24" s="416"/>
      <c r="N24" s="416"/>
      <c r="O24" s="416"/>
      <c r="P24" s="416">
        <v>5</v>
      </c>
      <c r="Q24" s="416">
        <v>5</v>
      </c>
      <c r="R24" s="416">
        <v>5</v>
      </c>
      <c r="S24" s="416">
        <v>6</v>
      </c>
      <c r="T24" s="416">
        <v>5</v>
      </c>
      <c r="U24" s="416">
        <v>5</v>
      </c>
      <c r="V24" s="490">
        <v>5</v>
      </c>
      <c r="W24" s="140">
        <v>5</v>
      </c>
      <c r="X24" s="140">
        <v>60</v>
      </c>
      <c r="Y24" s="140">
        <v>3</v>
      </c>
      <c r="Z24" s="140">
        <v>5</v>
      </c>
      <c r="AA24" s="250">
        <v>5</v>
      </c>
      <c r="AB24" s="140"/>
      <c r="AC24" s="140"/>
      <c r="AD24" s="140"/>
      <c r="AE24" s="140"/>
      <c r="AF24" s="140"/>
      <c r="AG24" s="140"/>
      <c r="AH24" s="183">
        <v>0</v>
      </c>
      <c r="AI24" s="183">
        <v>0</v>
      </c>
      <c r="AJ24" s="183">
        <v>232</v>
      </c>
      <c r="AK24" s="38">
        <v>325</v>
      </c>
      <c r="AL24" s="38">
        <v>26</v>
      </c>
      <c r="AM24" s="38">
        <v>50</v>
      </c>
      <c r="AN24" s="38">
        <v>50</v>
      </c>
      <c r="AO24" s="38">
        <v>50</v>
      </c>
      <c r="AP24" s="38">
        <v>150</v>
      </c>
      <c r="AQ24" s="38">
        <v>0</v>
      </c>
      <c r="AR24" s="38">
        <v>0</v>
      </c>
      <c r="AS24" s="38">
        <v>0</v>
      </c>
      <c r="AT24" s="38"/>
      <c r="AU24" s="217"/>
      <c r="AV24" s="217"/>
      <c r="AW24" s="217"/>
      <c r="AX24" s="217"/>
      <c r="AY24" s="217"/>
      <c r="AZ24" s="217"/>
      <c r="BA24" s="217"/>
      <c r="BB24" s="217"/>
      <c r="BC24" s="217"/>
      <c r="BD24" s="217"/>
      <c r="BE24" s="217"/>
      <c r="BF24" s="217"/>
    </row>
    <row r="25" spans="1:58" s="21" customFormat="1" ht="18.75" customHeight="1">
      <c r="A25" s="1075"/>
      <c r="B25" s="55"/>
      <c r="C25" s="55"/>
      <c r="D25" s="55"/>
      <c r="E25" s="58"/>
      <c r="F25" s="58"/>
      <c r="G25" s="44" t="str">
        <v/>
      </c>
      <c r="H25" s="1128" t="str">
        <f ca="1">_xlfn.LET(_xlpm._今月から4ヶ月計画合計,
  SUM(
    OFFSET($A25,0,
      MATCH(
        EDATE(基準データ!$C$5,3),$A$1:$BD$1,1
      )-4,1,4)),
  IF($C25="","",_xlpm._今月から4ヶ月計画合計
)
)</f>
        <v/>
      </c>
      <c r="I25" s="1128" t="str">
        <v/>
      </c>
      <c r="J25" s="1128">
        <v>0</v>
      </c>
      <c r="K25" s="1413" t="str">
        <v/>
      </c>
      <c r="L25" s="416"/>
      <c r="M25" s="416"/>
      <c r="N25" s="416"/>
      <c r="O25" s="416"/>
      <c r="P25" s="416"/>
      <c r="Q25" s="416"/>
      <c r="R25" s="416"/>
      <c r="S25" s="416"/>
      <c r="T25" s="416"/>
      <c r="U25" s="416"/>
      <c r="V25" s="490"/>
      <c r="W25" s="140"/>
      <c r="X25" s="140"/>
      <c r="Y25" s="140"/>
      <c r="Z25" s="140"/>
      <c r="AA25" s="250"/>
      <c r="AB25" s="140"/>
      <c r="AC25" s="140"/>
      <c r="AD25" s="140"/>
      <c r="AE25" s="140"/>
      <c r="AF25" s="140"/>
      <c r="AG25" s="140"/>
      <c r="AH25" s="140"/>
      <c r="AI25" s="250"/>
      <c r="AJ25" s="416"/>
      <c r="AK25" s="416"/>
      <c r="AL25" s="416"/>
      <c r="AM25" s="416"/>
      <c r="AN25" s="416"/>
      <c r="AO25" s="416"/>
      <c r="AP25" s="416"/>
      <c r="AQ25" s="416"/>
      <c r="AR25" s="416"/>
      <c r="AS25" s="416"/>
      <c r="AT25" s="416"/>
      <c r="AU25" s="217"/>
      <c r="AV25" s="217"/>
      <c r="AW25" s="217"/>
      <c r="AX25" s="217"/>
      <c r="AY25" s="217"/>
      <c r="AZ25" s="217"/>
      <c r="BA25" s="217"/>
      <c r="BB25" s="217"/>
      <c r="BC25" s="217"/>
      <c r="BD25" s="217"/>
      <c r="BE25" s="217"/>
      <c r="BF25" s="217"/>
    </row>
    <row r="26" spans="1:58" s="1227" customFormat="1" ht="18.75" customHeight="1">
      <c r="A26" s="1217"/>
      <c r="B26" s="1218"/>
      <c r="C26" s="1219" t="s">
        <v>1810</v>
      </c>
      <c r="D26" s="1220"/>
      <c r="E26" s="1220"/>
      <c r="F26" s="1220"/>
      <c r="G26" s="1221"/>
      <c r="H26" s="1222"/>
      <c r="I26" s="1222">
        <v>0</v>
      </c>
      <c r="J26" s="1222">
        <v>0</v>
      </c>
      <c r="K26" s="1415"/>
      <c r="L26" s="1223"/>
      <c r="M26" s="1223"/>
      <c r="N26" s="1223"/>
      <c r="O26" s="1223"/>
      <c r="P26" s="1223"/>
      <c r="Q26" s="1223"/>
      <c r="R26" s="1223"/>
      <c r="S26" s="1223"/>
      <c r="T26" s="1223"/>
      <c r="U26" s="1223"/>
      <c r="V26" s="1223"/>
      <c r="W26" s="1224"/>
      <c r="X26" s="1225"/>
      <c r="Y26" s="1225"/>
      <c r="Z26" s="1225"/>
      <c r="AA26" s="1225"/>
      <c r="AB26" s="1225"/>
      <c r="AC26" s="1225"/>
      <c r="AD26" s="1186">
        <v>0.81728600837659349</v>
      </c>
      <c r="AE26" s="1186">
        <v>0.80624460862238312</v>
      </c>
      <c r="AF26" s="1186">
        <v>0.8694347342678227</v>
      </c>
      <c r="AG26" s="1186">
        <v>1.1364776580948708</v>
      </c>
      <c r="AH26" s="1187">
        <v>1.5723283721286114</v>
      </c>
      <c r="AI26" s="1188">
        <v>0.83619078895702703</v>
      </c>
      <c r="AJ26" s="1186">
        <v>0.9001963070540846</v>
      </c>
      <c r="AK26" s="1186">
        <v>1.4387977658748987</v>
      </c>
      <c r="AL26" s="1186">
        <v>0.76975830708334225</v>
      </c>
      <c r="AM26" s="1186">
        <v>0.79831795873914724</v>
      </c>
      <c r="AN26" s="1186">
        <v>1.1571092817687738</v>
      </c>
      <c r="AO26" s="1186">
        <v>1.2684429837076243</v>
      </c>
      <c r="AP26" s="1225">
        <v>0.81728600837659349</v>
      </c>
      <c r="AQ26" s="1225">
        <v>0.80624460862238312</v>
      </c>
      <c r="AR26" s="1225">
        <v>0.8694347342678227</v>
      </c>
      <c r="AS26" s="1225">
        <v>1.1364776580948708</v>
      </c>
      <c r="AT26" s="1226">
        <v>1.5723283721286114</v>
      </c>
      <c r="AU26" s="1225">
        <v>0.83619078895702703</v>
      </c>
      <c r="AV26" s="1225">
        <v>0.9001963070540846</v>
      </c>
      <c r="AW26" s="1225">
        <v>1.4387977658748987</v>
      </c>
      <c r="AX26" s="1225">
        <v>0.76975830708334225</v>
      </c>
      <c r="AY26" s="1225">
        <v>0.79831795873914724</v>
      </c>
      <c r="AZ26" s="1225">
        <v>1.1571092817687738</v>
      </c>
      <c r="BA26" s="1225">
        <v>1.2684429837076243</v>
      </c>
      <c r="BB26" s="1225">
        <v>0.81728600837659349</v>
      </c>
      <c r="BC26" s="1225">
        <v>0.80624460862238312</v>
      </c>
      <c r="BD26" s="1225">
        <v>0.8694347342678227</v>
      </c>
      <c r="BE26" s="1225">
        <v>1.1364776580948708</v>
      </c>
      <c r="BF26" s="1225">
        <v>1.5723283721286114</v>
      </c>
    </row>
    <row r="27" spans="1:58" s="21" customFormat="1" ht="18.75" customHeight="1">
      <c r="A27" s="1085"/>
      <c r="B27" s="768" t="s">
        <v>1376</v>
      </c>
      <c r="C27" s="152" t="s">
        <v>1377</v>
      </c>
      <c r="D27" s="769"/>
      <c r="E27" s="770"/>
      <c r="F27" s="770"/>
      <c r="G27" s="771"/>
      <c r="H27" s="680">
        <v>1392</v>
      </c>
      <c r="I27" s="680">
        <v>0</v>
      </c>
      <c r="J27" s="680">
        <v>0</v>
      </c>
      <c r="K27" s="1416"/>
      <c r="L27" s="772"/>
      <c r="M27" s="772"/>
      <c r="N27" s="772">
        <f t="shared" ref="N27:X27" si="0">SUM(N12:N25)</f>
        <v>5</v>
      </c>
      <c r="O27" s="772">
        <f t="shared" si="0"/>
        <v>8</v>
      </c>
      <c r="P27" s="772">
        <f t="shared" si="0"/>
        <v>13</v>
      </c>
      <c r="Q27" s="772">
        <f t="shared" si="0"/>
        <v>30</v>
      </c>
      <c r="R27" s="772">
        <f t="shared" si="0"/>
        <v>30</v>
      </c>
      <c r="S27" s="772">
        <f t="shared" si="0"/>
        <v>31</v>
      </c>
      <c r="T27" s="772">
        <f t="shared" si="0"/>
        <v>7</v>
      </c>
      <c r="U27" s="772">
        <f t="shared" si="0"/>
        <v>64</v>
      </c>
      <c r="V27" s="772">
        <f t="shared" si="0"/>
        <v>29</v>
      </c>
      <c r="W27" s="772">
        <f t="shared" si="0"/>
        <v>39</v>
      </c>
      <c r="X27" s="772">
        <f t="shared" si="0"/>
        <v>167</v>
      </c>
      <c r="Y27" s="772">
        <f t="shared" ref="Y27:BF27" si="1">SUM(Y3:Y25)</f>
        <v>91</v>
      </c>
      <c r="Z27" s="772">
        <f t="shared" si="1"/>
        <v>87</v>
      </c>
      <c r="AA27" s="772">
        <f t="shared" si="1"/>
        <v>104</v>
      </c>
      <c r="AB27" s="772">
        <f t="shared" si="1"/>
        <v>93</v>
      </c>
      <c r="AC27" s="772">
        <f t="shared" si="1"/>
        <v>111</v>
      </c>
      <c r="AD27" s="772">
        <f t="shared" si="1"/>
        <v>181</v>
      </c>
      <c r="AE27" s="772">
        <f t="shared" si="1"/>
        <v>414</v>
      </c>
      <c r="AF27" s="376">
        <f t="shared" si="1"/>
        <v>446</v>
      </c>
      <c r="AG27" s="772">
        <f t="shared" si="1"/>
        <v>484</v>
      </c>
      <c r="AH27" s="772">
        <f t="shared" si="1"/>
        <v>206</v>
      </c>
      <c r="AI27" s="772">
        <f t="shared" si="1"/>
        <v>285</v>
      </c>
      <c r="AJ27" s="772">
        <f t="shared" si="1"/>
        <v>557</v>
      </c>
      <c r="AK27" s="772">
        <f t="shared" si="1"/>
        <v>725</v>
      </c>
      <c r="AL27" s="772">
        <f t="shared" si="1"/>
        <v>320</v>
      </c>
      <c r="AM27" s="772">
        <f t="shared" si="1"/>
        <v>421</v>
      </c>
      <c r="AN27" s="772">
        <f t="shared" si="1"/>
        <v>433</v>
      </c>
      <c r="AO27" s="772">
        <f t="shared" si="1"/>
        <v>344</v>
      </c>
      <c r="AP27" s="772">
        <f t="shared" si="1"/>
        <v>407</v>
      </c>
      <c r="AQ27" s="772">
        <f t="shared" si="1"/>
        <v>231</v>
      </c>
      <c r="AR27" s="772">
        <f t="shared" si="1"/>
        <v>213</v>
      </c>
      <c r="AS27" s="772">
        <f t="shared" si="1"/>
        <v>287</v>
      </c>
      <c r="AT27" s="772">
        <f t="shared" si="1"/>
        <v>245</v>
      </c>
      <c r="AU27" s="267">
        <f t="shared" si="1"/>
        <v>186</v>
      </c>
      <c r="AV27" s="267">
        <f t="shared" si="1"/>
        <v>186</v>
      </c>
      <c r="AW27" s="267">
        <f t="shared" si="1"/>
        <v>186</v>
      </c>
      <c r="AX27" s="267">
        <f t="shared" si="1"/>
        <v>186</v>
      </c>
      <c r="AY27" s="267">
        <f t="shared" si="1"/>
        <v>186</v>
      </c>
      <c r="AZ27" s="267">
        <f t="shared" si="1"/>
        <v>0</v>
      </c>
      <c r="BA27" s="267">
        <f t="shared" si="1"/>
        <v>0</v>
      </c>
      <c r="BB27" s="267">
        <f t="shared" si="1"/>
        <v>0</v>
      </c>
      <c r="BC27" s="267">
        <f t="shared" si="1"/>
        <v>0</v>
      </c>
      <c r="BD27" s="267">
        <f t="shared" si="1"/>
        <v>0</v>
      </c>
      <c r="BE27" s="267">
        <f t="shared" si="1"/>
        <v>0</v>
      </c>
      <c r="BF27" s="267">
        <f t="shared" si="1"/>
        <v>0</v>
      </c>
    </row>
    <row r="28" spans="1:58" s="21" customFormat="1" ht="18.75" customHeight="1">
      <c r="A28" s="1086"/>
      <c r="B28" s="773" t="s">
        <v>1378</v>
      </c>
      <c r="C28" s="769"/>
      <c r="D28" s="769"/>
      <c r="E28" s="770"/>
      <c r="F28" s="770"/>
      <c r="G28" s="771"/>
      <c r="H28" s="680">
        <v>0</v>
      </c>
      <c r="I28" s="680">
        <v>0</v>
      </c>
      <c r="J28" s="680">
        <v>0</v>
      </c>
      <c r="K28" s="1416"/>
      <c r="L28" s="772"/>
      <c r="M28" s="772"/>
      <c r="N28" s="772"/>
      <c r="O28" s="772"/>
      <c r="P28" s="772"/>
      <c r="Q28" s="772"/>
      <c r="R28" s="772"/>
      <c r="S28" s="772"/>
      <c r="T28" s="772"/>
      <c r="U28" s="772"/>
      <c r="V28" s="772"/>
      <c r="W28" s="772"/>
      <c r="X28" s="772"/>
      <c r="Y28" s="772"/>
      <c r="Z28" s="772"/>
      <c r="AA28" s="772"/>
      <c r="AB28" s="772"/>
      <c r="AC28" s="774"/>
      <c r="AD28" s="775"/>
      <c r="AE28" s="776"/>
      <c r="AF28" s="767"/>
      <c r="AG28" s="774"/>
      <c r="AH28" s="775"/>
      <c r="AI28" s="775"/>
      <c r="AJ28" s="775"/>
      <c r="AK28" s="775"/>
      <c r="AL28" s="775"/>
      <c r="AM28" s="775"/>
      <c r="AN28" s="775"/>
      <c r="AO28" s="775"/>
      <c r="AP28" s="775"/>
      <c r="AQ28" s="775"/>
      <c r="AR28" s="775"/>
      <c r="AS28" s="775"/>
      <c r="AT28" s="777"/>
      <c r="AU28" s="778"/>
      <c r="AV28" s="778"/>
      <c r="AW28" s="778"/>
      <c r="AX28" s="778"/>
      <c r="AY28" s="778"/>
      <c r="AZ28" s="778"/>
      <c r="BA28" s="778"/>
      <c r="BB28" s="778"/>
      <c r="BC28" s="778"/>
      <c r="BD28" s="778"/>
      <c r="BE28" s="778"/>
      <c r="BF28" s="778"/>
    </row>
    <row r="29" spans="1:58" s="21" customFormat="1" ht="18.75" customHeight="1" thickBot="1">
      <c r="A29" s="1075"/>
      <c r="B29" s="55"/>
      <c r="C29" s="1305"/>
      <c r="D29" s="55"/>
      <c r="E29" s="58"/>
      <c r="F29" s="58"/>
      <c r="G29" s="499" t="str" cm="1">
        <f t="array" ref="G29:G45">IF($C29:$C45="","",SUMIF(マスタ_EOLリスト[[製品型番]:[製品型番]],$C29:$C45,マスタ_EOLリスト[[在庫+注残]:[在庫+注残]]))</f>
        <v/>
      </c>
      <c r="H29" s="499" t="str">
        <f ca="1">_xlfn.LET(_xlpm._今月から4ヶ月計画合計,
  SUM(
    OFFSET($A29,0,
      MATCH(
        EDATE(基準データ!$C$5,3),$A$1:$BD$1,1
      )-4,1,4)),
  IF($C29="","",_xlpm._今月から4ヶ月計画合計
)
)</f>
        <v/>
      </c>
      <c r="I29" s="499" t="str" cm="1">
        <f t="array" ref="I29:J45">'在庫使用計画 (一般)'!I29:J45</f>
        <v/>
      </c>
      <c r="J29" s="499" t="str">
        <v/>
      </c>
      <c r="K29" s="1413" t="str" cm="1">
        <f t="array" ref="K29:K45">IF($C29:$C45="","",_xlfn.XLOOKUP($C29:$C45,'在庫使用計画 (ノート全体試算)'!C:C,'在庫使用計画 (ノート全体試算)'!K:K))</f>
        <v/>
      </c>
      <c r="L29" s="416"/>
      <c r="M29" s="416"/>
      <c r="N29" s="416"/>
      <c r="O29" s="416"/>
      <c r="P29" s="416"/>
      <c r="Q29" s="416"/>
      <c r="R29" s="416"/>
      <c r="S29" s="416"/>
      <c r="T29" s="416"/>
      <c r="U29" s="416"/>
      <c r="V29" s="490"/>
      <c r="W29" s="140"/>
      <c r="X29" s="140"/>
      <c r="Y29" s="140"/>
      <c r="Z29" s="140"/>
      <c r="AA29" s="250"/>
      <c r="AB29" s="140"/>
      <c r="AC29" s="140"/>
      <c r="AD29" s="140"/>
      <c r="AE29" s="140"/>
      <c r="AF29" s="140"/>
      <c r="AG29" s="140"/>
      <c r="AH29" s="140"/>
      <c r="AI29" s="250"/>
      <c r="AJ29" s="416"/>
      <c r="AK29" s="416"/>
      <c r="AL29" s="416"/>
      <c r="AM29" s="416"/>
      <c r="AN29" s="416"/>
      <c r="AO29" s="416"/>
      <c r="AP29" s="416"/>
      <c r="AQ29" s="416"/>
      <c r="AR29" s="416"/>
      <c r="AS29" s="416"/>
      <c r="AT29" s="416"/>
      <c r="AU29" s="217"/>
      <c r="AV29" s="217"/>
      <c r="AW29" s="217"/>
      <c r="AX29" s="217"/>
      <c r="AY29" s="217"/>
      <c r="AZ29" s="217"/>
      <c r="BA29" s="217"/>
      <c r="BB29" s="217"/>
      <c r="BC29" s="217"/>
      <c r="BD29" s="217"/>
      <c r="BE29" s="217"/>
      <c r="BF29" s="217"/>
    </row>
    <row r="30" spans="1:58" s="70" customFormat="1" ht="18.75" customHeight="1" thickBot="1">
      <c r="A30" s="1061" t="s">
        <v>1637</v>
      </c>
      <c r="B30" s="26" t="s">
        <v>411</v>
      </c>
      <c r="C30" s="2058" t="s">
        <v>408</v>
      </c>
      <c r="D30" s="1258" t="s">
        <v>1381</v>
      </c>
      <c r="E30" s="34">
        <v>5070</v>
      </c>
      <c r="F30" s="24" t="s">
        <v>20</v>
      </c>
      <c r="G30" s="44">
        <v>128</v>
      </c>
      <c r="H30" s="499">
        <f ca="1">_xlfn.LET(_xlpm._今月から4ヶ月計画合計,
  SUM(
    OFFSET($A30,0,
      MATCH(
        EDATE(基準データ!$C$5,3),$A$1:$BD$1,1
      )-4,1,4)),
  IF($C30="","",_xlpm._今月から4ヶ月計画合計
)
)</f>
        <v>21</v>
      </c>
      <c r="I30" s="679">
        <v>257.70648633089121</v>
      </c>
      <c r="J30" s="679">
        <v>84</v>
      </c>
      <c r="K30" s="1410">
        <v>46327</v>
      </c>
      <c r="L30" s="416"/>
      <c r="M30" s="416"/>
      <c r="N30" s="416"/>
      <c r="O30" s="416"/>
      <c r="P30" s="416"/>
      <c r="Q30" s="416"/>
      <c r="R30" s="416"/>
      <c r="S30" s="416"/>
      <c r="T30" s="416"/>
      <c r="U30" s="416"/>
      <c r="V30" s="490"/>
      <c r="W30" s="140"/>
      <c r="X30" s="140"/>
      <c r="Y30" s="140"/>
      <c r="Z30" s="140"/>
      <c r="AA30" s="250"/>
      <c r="AB30" s="140"/>
      <c r="AC30" s="140">
        <v>8</v>
      </c>
      <c r="AD30" s="140">
        <v>10</v>
      </c>
      <c r="AE30" s="140">
        <v>9</v>
      </c>
      <c r="AF30" s="140">
        <v>9</v>
      </c>
      <c r="AG30" s="140">
        <v>12</v>
      </c>
      <c r="AH30" s="183">
        <v>4</v>
      </c>
      <c r="AI30" s="183">
        <v>7</v>
      </c>
      <c r="AJ30" s="183">
        <v>7</v>
      </c>
      <c r="AK30" s="38">
        <v>9</v>
      </c>
      <c r="AL30" s="74">
        <v>1</v>
      </c>
      <c r="AM30" s="74">
        <v>0</v>
      </c>
      <c r="AN30" s="74">
        <v>0</v>
      </c>
      <c r="AO30" s="74">
        <v>0</v>
      </c>
      <c r="AP30" s="74">
        <v>3</v>
      </c>
      <c r="AQ30" s="74">
        <v>9</v>
      </c>
      <c r="AR30" s="74">
        <v>9</v>
      </c>
      <c r="AS30" s="74">
        <v>9</v>
      </c>
      <c r="AT30" s="74">
        <v>9</v>
      </c>
      <c r="AU30" s="74">
        <v>9</v>
      </c>
      <c r="AV30" s="74">
        <v>9</v>
      </c>
      <c r="AW30" s="74">
        <v>9</v>
      </c>
      <c r="AX30" s="74">
        <v>9</v>
      </c>
      <c r="AY30" s="74">
        <v>9</v>
      </c>
      <c r="AZ30" s="217"/>
      <c r="BA30" s="217"/>
      <c r="BB30" s="217"/>
      <c r="BC30" s="217"/>
      <c r="BD30" s="217"/>
      <c r="BE30" s="217"/>
      <c r="BF30" s="217"/>
    </row>
    <row r="31" spans="1:58" s="21" customFormat="1" ht="18.75" customHeight="1" thickBot="1">
      <c r="A31" s="1075" t="s">
        <v>1639</v>
      </c>
      <c r="B31" s="2056" t="s">
        <v>1833</v>
      </c>
      <c r="C31" s="2063" t="s">
        <v>1640</v>
      </c>
      <c r="D31" s="55" t="s">
        <v>1834</v>
      </c>
      <c r="E31" s="58">
        <v>5070</v>
      </c>
      <c r="F31" s="58" t="s">
        <v>20</v>
      </c>
      <c r="G31" s="44">
        <v>0</v>
      </c>
      <c r="H31" s="499">
        <f ca="1">_xlfn.LET(_xlpm._今月から4ヶ月計画合計,
  SUM(
    OFFSET($A31,0,
      MATCH(
        EDATE(基準データ!$C$5,3),$A$1:$BD$1,1
      )-4,1,4)),
  IF($C31="","",_xlpm._今月から4ヶ月計画合計
)
)</f>
        <v>6</v>
      </c>
      <c r="I31" s="679">
        <v>78</v>
      </c>
      <c r="J31" s="679">
        <v>222</v>
      </c>
      <c r="K31" s="1410" t="str">
        <v>在庫なし</v>
      </c>
      <c r="L31" s="416"/>
      <c r="M31" s="416"/>
      <c r="N31" s="416"/>
      <c r="O31" s="416"/>
      <c r="P31" s="416"/>
      <c r="Q31" s="416"/>
      <c r="R31" s="416"/>
      <c r="S31" s="416"/>
      <c r="T31" s="416"/>
      <c r="U31" s="416"/>
      <c r="V31" s="490"/>
      <c r="W31" s="140"/>
      <c r="X31" s="140"/>
      <c r="Y31" s="140"/>
      <c r="Z31" s="140"/>
      <c r="AA31" s="250"/>
      <c r="AB31" s="140"/>
      <c r="AC31" s="140"/>
      <c r="AD31" s="140"/>
      <c r="AE31" s="140"/>
      <c r="AF31" s="140"/>
      <c r="AG31" s="140"/>
      <c r="AH31" s="140"/>
      <c r="AI31" s="250"/>
      <c r="AJ31" s="416"/>
      <c r="AK31" s="416"/>
      <c r="AL31" s="217">
        <v>0</v>
      </c>
      <c r="AM31" s="217">
        <v>0</v>
      </c>
      <c r="AN31" s="217">
        <v>0</v>
      </c>
      <c r="AO31" s="217">
        <v>0</v>
      </c>
      <c r="AP31" s="217">
        <v>0</v>
      </c>
      <c r="AQ31" s="217">
        <v>0</v>
      </c>
      <c r="AR31" s="2181">
        <v>6</v>
      </c>
      <c r="AS31" s="2181">
        <v>20</v>
      </c>
      <c r="AT31" s="2181">
        <v>22</v>
      </c>
      <c r="AU31" s="2181">
        <v>22</v>
      </c>
      <c r="AV31" s="2181">
        <v>20</v>
      </c>
      <c r="AW31" s="2181">
        <v>22</v>
      </c>
      <c r="AX31" s="2181">
        <v>22</v>
      </c>
      <c r="AY31" s="2181">
        <v>22</v>
      </c>
      <c r="AZ31" s="2181">
        <v>22</v>
      </c>
      <c r="BA31" s="2181">
        <v>22</v>
      </c>
      <c r="BB31" s="2181">
        <v>22</v>
      </c>
      <c r="BC31" s="217"/>
      <c r="BD31" s="217"/>
      <c r="BE31" s="217"/>
      <c r="BF31" s="217"/>
    </row>
    <row r="32" spans="1:58" s="21" customFormat="1" ht="18.75" customHeight="1" thickBot="1">
      <c r="A32" s="1059" t="s">
        <v>1639</v>
      </c>
      <c r="B32" s="26" t="s">
        <v>423</v>
      </c>
      <c r="C32" s="1048" t="s">
        <v>420</v>
      </c>
      <c r="D32" s="26" t="s">
        <v>1384</v>
      </c>
      <c r="E32" s="24">
        <v>5060</v>
      </c>
      <c r="F32" s="24" t="s">
        <v>20</v>
      </c>
      <c r="G32" s="44">
        <v>20</v>
      </c>
      <c r="H32" s="499">
        <f ca="1">_xlfn.LET(_xlpm._今月から4ヶ月計画合計,
  SUM(
    OFFSET($A32,0,
      MATCH(
        EDATE(基準データ!$C$5,3),$A$1:$BD$1,1
      )-4,1,4)),
  IF($C32="","",_xlpm._今月から4ヶ月計画合計
)
)</f>
        <v>0</v>
      </c>
      <c r="I32" s="679">
        <v>0</v>
      </c>
      <c r="J32" s="679">
        <v>0</v>
      </c>
      <c r="K32" s="1410" t="str">
        <v>計画なし</v>
      </c>
      <c r="L32" s="38"/>
      <c r="M32" s="38"/>
      <c r="N32" s="116"/>
      <c r="O32" s="423"/>
      <c r="P32" s="423"/>
      <c r="Q32" s="423"/>
      <c r="R32" s="423"/>
      <c r="S32" s="423"/>
      <c r="T32" s="423"/>
      <c r="U32" s="423"/>
      <c r="V32" s="423"/>
      <c r="W32" s="416"/>
      <c r="X32" s="25"/>
      <c r="Y32" s="25"/>
      <c r="Z32" s="25"/>
      <c r="AA32" s="25"/>
      <c r="AB32" s="25"/>
      <c r="AC32" s="25"/>
      <c r="AD32" s="314"/>
      <c r="AE32" s="25"/>
      <c r="AF32" s="25">
        <v>15</v>
      </c>
      <c r="AG32" s="25">
        <v>15</v>
      </c>
      <c r="AH32" s="1157">
        <v>0</v>
      </c>
      <c r="AI32" s="1157">
        <v>0</v>
      </c>
      <c r="AJ32" s="1157">
        <v>0</v>
      </c>
      <c r="AK32" s="38">
        <v>5</v>
      </c>
      <c r="AL32" s="74">
        <v>12</v>
      </c>
      <c r="AM32" s="74">
        <v>0</v>
      </c>
      <c r="AN32" s="74">
        <v>0</v>
      </c>
      <c r="AO32" s="74">
        <v>0</v>
      </c>
      <c r="AP32" s="74">
        <v>0</v>
      </c>
      <c r="AQ32" s="74">
        <v>0</v>
      </c>
      <c r="AR32" s="74">
        <v>0</v>
      </c>
      <c r="AS32" s="74">
        <v>0</v>
      </c>
      <c r="AT32" s="74">
        <v>0</v>
      </c>
      <c r="AU32" s="62"/>
      <c r="AV32" s="62"/>
      <c r="AW32" s="62"/>
      <c r="AX32" s="62"/>
      <c r="AY32" s="62"/>
      <c r="AZ32" s="62"/>
      <c r="BA32" s="62"/>
      <c r="BB32" s="62"/>
      <c r="BC32" s="62"/>
      <c r="BD32" s="62"/>
      <c r="BE32" s="62"/>
      <c r="BF32" s="62"/>
    </row>
    <row r="33" spans="1:58" s="21" customFormat="1" ht="18.75" customHeight="1" thickBot="1">
      <c r="A33" s="1059" t="s">
        <v>1639</v>
      </c>
      <c r="B33" s="111" t="s">
        <v>1835</v>
      </c>
      <c r="C33" s="2062" t="s">
        <v>427</v>
      </c>
      <c r="D33" s="1258"/>
      <c r="E33" s="24">
        <v>5060</v>
      </c>
      <c r="F33" s="24"/>
      <c r="G33" s="44">
        <v>348</v>
      </c>
      <c r="H33" s="499">
        <f ca="1">_xlfn.LET(_xlpm._今月から4ヶ月計画合計,
  SUM(
    OFFSET($A33,0,
      MATCH(
        EDATE(基準データ!$C$5,3),$A$1:$BD$1,1
      )-4,1,4)),
  IF($C33="","",_xlpm._今月から4ヶ月計画合計
)
)</f>
        <v>57</v>
      </c>
      <c r="I33" s="679">
        <v>340.71323616737163</v>
      </c>
      <c r="J33" s="679">
        <v>89</v>
      </c>
      <c r="K33" s="1410">
        <v>46357</v>
      </c>
      <c r="L33" s="308"/>
      <c r="M33" s="308"/>
      <c r="N33" s="912"/>
      <c r="O33" s="423"/>
      <c r="P33" s="423"/>
      <c r="Q33" s="423"/>
      <c r="R33" s="423"/>
      <c r="S33" s="423"/>
      <c r="T33" s="423"/>
      <c r="U33" s="423"/>
      <c r="V33" s="423"/>
      <c r="W33" s="516"/>
      <c r="AE33" s="516"/>
      <c r="AF33" s="516"/>
      <c r="AH33" s="183">
        <v>0</v>
      </c>
      <c r="AI33" s="183">
        <v>0</v>
      </c>
      <c r="AJ33" s="183">
        <v>0</v>
      </c>
      <c r="AK33" s="38">
        <v>9</v>
      </c>
      <c r="AL33" s="74">
        <v>0</v>
      </c>
      <c r="AM33" s="74">
        <v>0</v>
      </c>
      <c r="AN33" s="74">
        <v>0</v>
      </c>
      <c r="AO33" s="74">
        <v>0</v>
      </c>
      <c r="AP33" s="74">
        <v>23</v>
      </c>
      <c r="AQ33" s="74">
        <v>18</v>
      </c>
      <c r="AR33" s="74">
        <v>16</v>
      </c>
      <c r="AS33" s="74">
        <v>16</v>
      </c>
      <c r="AT33" s="74">
        <v>16</v>
      </c>
      <c r="AU33" s="62">
        <v>0</v>
      </c>
      <c r="AV33" s="62"/>
      <c r="AW33" s="62"/>
      <c r="AX33" s="62"/>
      <c r="AY33" s="62"/>
      <c r="AZ33" s="62"/>
      <c r="BA33" s="62"/>
      <c r="BB33" s="62"/>
      <c r="BC33" s="62"/>
      <c r="BD33" s="62"/>
      <c r="BE33" s="62"/>
      <c r="BF33" s="62"/>
    </row>
    <row r="34" spans="1:58" s="70" customFormat="1" ht="18.75" customHeight="1" thickBot="1">
      <c r="A34" s="1061" t="s">
        <v>1639</v>
      </c>
      <c r="B34" s="28" t="s">
        <v>488</v>
      </c>
      <c r="C34" s="2060" t="s">
        <v>486</v>
      </c>
      <c r="D34" s="1267" t="s">
        <v>1782</v>
      </c>
      <c r="E34" s="68" t="s">
        <v>1783</v>
      </c>
      <c r="F34" s="112" t="s">
        <v>20</v>
      </c>
      <c r="G34" s="44">
        <v>26</v>
      </c>
      <c r="H34" s="499">
        <f ca="1">_xlfn.LET(_xlpm._今月から4ヶ月計画合計,
  SUM(
    OFFSET($A34,0,
      MATCH(
        EDATE(基準データ!$C$5,3),$A$1:$BD$1,1
      )-4,1,4)),
  IF($C34="","",_xlpm._今月から4ヶ月計画合計
)
)</f>
        <v>0</v>
      </c>
      <c r="I34" s="679">
        <v>18.709677419354836</v>
      </c>
      <c r="J34" s="679">
        <v>0</v>
      </c>
      <c r="K34" s="1410" t="str">
        <v>合計19、在庫+注残26のため不足</v>
      </c>
      <c r="L34" s="38"/>
      <c r="M34" s="38"/>
      <c r="N34" s="116"/>
      <c r="O34" s="122"/>
      <c r="P34" s="122"/>
      <c r="Q34" s="122"/>
      <c r="R34" s="122"/>
      <c r="S34" s="122"/>
      <c r="T34" s="122"/>
      <c r="U34" s="286"/>
      <c r="V34" s="287"/>
      <c r="W34" s="294"/>
      <c r="X34" s="294">
        <v>5</v>
      </c>
      <c r="Y34" s="294">
        <v>5</v>
      </c>
      <c r="Z34" s="250">
        <v>5</v>
      </c>
      <c r="AA34" s="416">
        <v>5</v>
      </c>
      <c r="AB34" s="416">
        <v>5</v>
      </c>
      <c r="AC34" s="416">
        <v>5</v>
      </c>
      <c r="AD34" s="416">
        <v>5</v>
      </c>
      <c r="AE34" s="416">
        <v>20</v>
      </c>
      <c r="AF34" s="416">
        <v>65</v>
      </c>
      <c r="AG34" s="416">
        <v>40</v>
      </c>
      <c r="AH34" s="1155">
        <v>29</v>
      </c>
      <c r="AI34" s="1155">
        <v>37</v>
      </c>
      <c r="AJ34" s="1155">
        <v>2</v>
      </c>
      <c r="AK34" s="38">
        <v>8</v>
      </c>
      <c r="AL34" s="74">
        <v>12</v>
      </c>
      <c r="AM34" s="74">
        <v>0</v>
      </c>
      <c r="AN34" s="74">
        <v>0</v>
      </c>
      <c r="AO34" s="74">
        <v>0</v>
      </c>
      <c r="AP34" s="74">
        <v>0</v>
      </c>
      <c r="AQ34" s="74">
        <v>0</v>
      </c>
      <c r="AR34" s="74">
        <v>0</v>
      </c>
      <c r="AS34" s="74">
        <v>0</v>
      </c>
      <c r="AT34" s="74">
        <v>0</v>
      </c>
      <c r="AU34" s="217"/>
      <c r="AV34" s="217"/>
      <c r="AW34" s="217"/>
      <c r="AX34" s="217"/>
      <c r="AY34" s="217"/>
      <c r="AZ34" s="217"/>
      <c r="BA34" s="217"/>
      <c r="BB34" s="217"/>
      <c r="BC34" s="217"/>
      <c r="BD34" s="217"/>
      <c r="BE34" s="217"/>
      <c r="BF34" s="217"/>
    </row>
    <row r="35" spans="1:58" s="70" customFormat="1" ht="18.75" customHeight="1" thickBot="1">
      <c r="A35" s="1061" t="s">
        <v>1641</v>
      </c>
      <c r="B35" s="111" t="s">
        <v>437</v>
      </c>
      <c r="C35" s="1435" t="s">
        <v>435</v>
      </c>
      <c r="D35" s="1267" t="s">
        <v>1812</v>
      </c>
      <c r="E35" s="68" t="s">
        <v>438</v>
      </c>
      <c r="F35" s="68"/>
      <c r="G35" s="44">
        <v>420</v>
      </c>
      <c r="H35" s="499">
        <f ca="1">_xlfn.LET(_xlpm._今月から4ヶ月計画合計,
  SUM(
    OFFSET($A35,0,
      MATCH(
        EDATE(基準データ!$C$5,3),$A$1:$BD$1,1
      )-4,1,4)),
  IF($C35="","",_xlpm._今月から4ヶ月計画合計
)
)</f>
        <v>36</v>
      </c>
      <c r="I35" s="679">
        <v>977.80151668430562</v>
      </c>
      <c r="J35" s="679">
        <v>53.41935483870968</v>
      </c>
      <c r="K35" s="1410">
        <v>46296</v>
      </c>
      <c r="L35" s="744"/>
      <c r="M35" s="744"/>
      <c r="N35" s="744"/>
      <c r="O35" s="744"/>
      <c r="P35" s="744"/>
      <c r="Q35" s="744"/>
      <c r="R35" s="744"/>
      <c r="S35" s="744"/>
      <c r="T35" s="744"/>
      <c r="U35" s="744"/>
      <c r="V35" s="516"/>
      <c r="W35" s="516"/>
      <c r="X35" s="516"/>
      <c r="Y35" s="516"/>
      <c r="Z35" s="442"/>
      <c r="AA35" s="443"/>
      <c r="AB35" s="442"/>
      <c r="AC35" s="442"/>
      <c r="AD35" s="442"/>
      <c r="AE35" s="442"/>
      <c r="AF35" s="442"/>
      <c r="AG35" s="442"/>
      <c r="AH35" s="1158">
        <v>0</v>
      </c>
      <c r="AI35" s="1158">
        <v>0</v>
      </c>
      <c r="AJ35" s="1158">
        <v>0</v>
      </c>
      <c r="AK35" s="38">
        <v>0</v>
      </c>
      <c r="AL35" s="74">
        <v>1</v>
      </c>
      <c r="AM35" s="74">
        <v>0</v>
      </c>
      <c r="AN35" s="74">
        <v>0</v>
      </c>
      <c r="AO35" s="74">
        <v>9</v>
      </c>
      <c r="AP35" s="74">
        <v>9</v>
      </c>
      <c r="AQ35" s="74">
        <v>9</v>
      </c>
      <c r="AR35" s="74">
        <v>9</v>
      </c>
      <c r="AS35" s="74">
        <v>9</v>
      </c>
      <c r="AT35" s="74">
        <v>9</v>
      </c>
      <c r="AU35" s="217"/>
      <c r="AV35" s="217"/>
      <c r="AW35" s="217"/>
      <c r="AX35" s="217"/>
      <c r="AY35" s="217"/>
      <c r="AZ35" s="217"/>
      <c r="BA35" s="217"/>
      <c r="BB35" s="217"/>
      <c r="BC35" s="217"/>
      <c r="BD35" s="217"/>
      <c r="BE35" s="217"/>
      <c r="BF35" s="217"/>
    </row>
    <row r="36" spans="1:58" s="21" customFormat="1" ht="18.75" customHeight="1">
      <c r="A36" s="1061"/>
      <c r="B36" s="26"/>
      <c r="C36" s="531"/>
      <c r="D36" s="26"/>
      <c r="E36" s="34"/>
      <c r="F36" s="24"/>
      <c r="G36" s="44" t="str">
        <v/>
      </c>
      <c r="H36" s="499" t="str">
        <f ca="1">_xlfn.LET(_xlpm._今月から4ヶ月計画合計,
  SUM(
    OFFSET($A36,0,
      MATCH(
        EDATE(基準データ!$C$5,3),$A$1:$BD$1,1
      )-4,1,4)),
  IF($C36="","",_xlpm._今月から4ヶ月計画合計
)
)</f>
        <v/>
      </c>
      <c r="I36" s="679" t="str">
        <v/>
      </c>
      <c r="J36" s="679" t="str">
        <v/>
      </c>
      <c r="K36" s="1410" t="str">
        <v/>
      </c>
      <c r="L36" s="416"/>
      <c r="M36" s="416"/>
      <c r="N36" s="416"/>
      <c r="O36" s="416"/>
      <c r="P36" s="416"/>
      <c r="Q36" s="416"/>
      <c r="R36" s="416"/>
      <c r="S36" s="416"/>
      <c r="T36" s="416"/>
      <c r="U36" s="416"/>
      <c r="V36" s="490"/>
      <c r="W36" s="516"/>
      <c r="X36" s="516"/>
      <c r="Y36" s="516"/>
      <c r="Z36" s="516"/>
      <c r="AA36" s="516"/>
      <c r="AB36" s="516"/>
      <c r="AC36" s="140"/>
      <c r="AD36" s="140"/>
      <c r="AE36" s="140"/>
      <c r="AF36" s="140"/>
      <c r="AG36" s="140"/>
      <c r="AH36" s="140"/>
      <c r="AI36" s="250"/>
      <c r="AJ36" s="416"/>
      <c r="AK36" s="416"/>
      <c r="AL36" s="217"/>
      <c r="AM36" s="217"/>
      <c r="AN36" s="217"/>
      <c r="AO36" s="217"/>
      <c r="AP36" s="217"/>
      <c r="AQ36" s="217"/>
      <c r="AR36" s="217"/>
      <c r="AS36" s="217"/>
      <c r="AT36" s="217"/>
      <c r="AU36" s="217"/>
      <c r="AV36" s="217"/>
      <c r="AW36" s="217"/>
      <c r="AX36" s="217"/>
      <c r="AY36" s="217"/>
      <c r="AZ36" s="217"/>
      <c r="BA36" s="217"/>
      <c r="BB36" s="217"/>
      <c r="BC36" s="217"/>
      <c r="BD36" s="217"/>
      <c r="BE36" s="217"/>
      <c r="BF36" s="217"/>
    </row>
    <row r="37" spans="1:58" s="70" customFormat="1" ht="18.75" customHeight="1" thickBot="1">
      <c r="A37" s="1061" t="s">
        <v>1642</v>
      </c>
      <c r="B37" s="87" t="s">
        <v>446</v>
      </c>
      <c r="C37" s="1135" t="s">
        <v>444</v>
      </c>
      <c r="D37" s="68" t="s">
        <v>1387</v>
      </c>
      <c r="E37" s="68"/>
      <c r="F37" s="68"/>
      <c r="G37" s="44">
        <v>536</v>
      </c>
      <c r="H37" s="499">
        <f ca="1">_xlfn.LET(_xlpm._今月から4ヶ月計画合計,
  SUM(
    OFFSET($A37,0,
      MATCH(
        EDATE(基準データ!$C$5,3),$A$1:$BD$1,1
      )-4,1,4)),
  IF($C37="","",_xlpm._今月から4ヶ月計画合計
)
)</f>
        <v>126</v>
      </c>
      <c r="I37" s="679">
        <v>334.50231049633464</v>
      </c>
      <c r="J37" s="679">
        <v>122.96774193548387</v>
      </c>
      <c r="K37" s="1410">
        <v>46266</v>
      </c>
      <c r="L37" s="38"/>
      <c r="M37" s="38"/>
      <c r="N37" s="38"/>
      <c r="O37" s="38"/>
      <c r="P37" s="38"/>
      <c r="Q37" s="38"/>
      <c r="R37" s="38"/>
      <c r="S37" s="219"/>
      <c r="T37" s="219"/>
      <c r="U37" s="219"/>
      <c r="V37" s="219"/>
      <c r="W37" s="219"/>
      <c r="X37" s="219"/>
      <c r="Y37" s="219"/>
      <c r="Z37" s="480"/>
      <c r="AA37" s="219"/>
      <c r="AB37" s="219">
        <v>0</v>
      </c>
      <c r="AC37" s="219">
        <v>55</v>
      </c>
      <c r="AD37" s="219">
        <v>40</v>
      </c>
      <c r="AE37" s="219">
        <v>90</v>
      </c>
      <c r="AF37" s="219">
        <v>80</v>
      </c>
      <c r="AG37" s="219">
        <v>70</v>
      </c>
      <c r="AH37" s="298">
        <v>21</v>
      </c>
      <c r="AI37" s="298">
        <v>53</v>
      </c>
      <c r="AJ37" s="298">
        <v>62</v>
      </c>
      <c r="AK37" s="219">
        <v>43</v>
      </c>
      <c r="AL37" s="224">
        <v>20</v>
      </c>
      <c r="AM37" s="224">
        <v>42</v>
      </c>
      <c r="AN37" s="224">
        <v>47</v>
      </c>
      <c r="AO37" s="224">
        <v>47</v>
      </c>
      <c r="AP37" s="74">
        <v>42</v>
      </c>
      <c r="AQ37" s="74">
        <v>37</v>
      </c>
      <c r="AR37" s="74">
        <v>0</v>
      </c>
      <c r="AS37" s="74">
        <v>0</v>
      </c>
      <c r="AT37" s="74">
        <v>0</v>
      </c>
      <c r="AU37" s="224"/>
      <c r="AV37" s="224"/>
      <c r="AW37" s="224"/>
      <c r="AX37" s="224"/>
      <c r="AY37" s="224"/>
      <c r="AZ37" s="224"/>
      <c r="BA37" s="224"/>
      <c r="BB37" s="224"/>
      <c r="BC37" s="224"/>
      <c r="BD37" s="224"/>
      <c r="BE37" s="224"/>
      <c r="BF37" s="224"/>
    </row>
    <row r="38" spans="1:58" s="21" customFormat="1" ht="18.75" customHeight="1" thickBot="1">
      <c r="A38" s="1059" t="s">
        <v>1643</v>
      </c>
      <c r="B38" s="111" t="s">
        <v>475</v>
      </c>
      <c r="C38" s="1435" t="s">
        <v>448</v>
      </c>
      <c r="D38" s="1258" t="s">
        <v>1813</v>
      </c>
      <c r="E38" s="24">
        <v>5060</v>
      </c>
      <c r="F38" s="24" t="s">
        <v>20</v>
      </c>
      <c r="G38" s="44">
        <v>1100</v>
      </c>
      <c r="H38" s="499">
        <f ca="1">_xlfn.LET(_xlpm._今月から4ヶ月計画合計,
  SUM(
    OFFSET($A38,0,
      MATCH(
        EDATE(基準データ!$C$5,3),$A$1:$BD$1,1
      )-4,1,4)),
  IF($C38="","",_xlpm._今月から4ヶ月計画合計
)
)</f>
        <v>18</v>
      </c>
      <c r="I38" s="679">
        <v>2561.905536008886</v>
      </c>
      <c r="J38" s="679">
        <v>60</v>
      </c>
      <c r="K38" s="1410">
        <v>46357</v>
      </c>
      <c r="L38" s="38"/>
      <c r="M38" s="38"/>
      <c r="N38" s="116"/>
      <c r="O38" s="423"/>
      <c r="P38" s="423"/>
      <c r="Q38" s="423"/>
      <c r="R38" s="423"/>
      <c r="S38" s="423"/>
      <c r="T38" s="423"/>
      <c r="U38" s="423"/>
      <c r="V38" s="423"/>
      <c r="W38" s="416"/>
      <c r="X38" s="25"/>
      <c r="Y38" s="25"/>
      <c r="Z38" s="25"/>
      <c r="AA38" s="25"/>
      <c r="AB38" s="25"/>
      <c r="AC38" s="25"/>
      <c r="AD38" s="314"/>
      <c r="AE38" s="416"/>
      <c r="AF38" s="416"/>
      <c r="AG38" s="25"/>
      <c r="AH38" s="140"/>
      <c r="AI38" s="250"/>
      <c r="AJ38" s="25"/>
      <c r="AK38" s="25"/>
      <c r="AL38" s="74">
        <v>0</v>
      </c>
      <c r="AM38" s="224">
        <v>0</v>
      </c>
      <c r="AN38" s="224">
        <v>0</v>
      </c>
      <c r="AO38" s="62">
        <v>0</v>
      </c>
      <c r="AP38" s="74">
        <v>6</v>
      </c>
      <c r="AQ38" s="74">
        <v>6</v>
      </c>
      <c r="AR38" s="74">
        <v>6</v>
      </c>
      <c r="AS38" s="74">
        <v>6</v>
      </c>
      <c r="AT38" s="74">
        <v>6</v>
      </c>
      <c r="AU38" s="74">
        <v>6</v>
      </c>
      <c r="AV38" s="74">
        <v>6</v>
      </c>
      <c r="AW38" s="74">
        <v>6</v>
      </c>
      <c r="AX38" s="74">
        <v>6</v>
      </c>
      <c r="AY38" s="74">
        <v>6</v>
      </c>
      <c r="AZ38" s="62"/>
      <c r="BA38" s="62"/>
      <c r="BB38" s="62"/>
      <c r="BC38" s="62"/>
      <c r="BD38" s="62"/>
      <c r="BE38" s="62"/>
      <c r="BF38" s="62"/>
    </row>
    <row r="39" spans="1:58" s="70" customFormat="1" ht="18.75" customHeight="1" thickBot="1">
      <c r="A39" s="1061" t="s">
        <v>1642</v>
      </c>
      <c r="B39" s="87" t="s">
        <v>451</v>
      </c>
      <c r="C39" s="1135" t="s">
        <v>449</v>
      </c>
      <c r="D39" s="68" t="s">
        <v>1387</v>
      </c>
      <c r="E39" s="68"/>
      <c r="F39" s="68"/>
      <c r="G39" s="44">
        <v>42</v>
      </c>
      <c r="H39" s="499">
        <f ca="1">_xlfn.LET(_xlpm._今月から4ヶ月計画合計,
  SUM(
    OFFSET($A39,0,
      MATCH(
        EDATE(基準データ!$C$5,3),$A$1:$BD$1,1
      )-4,1,4)),
  IF($C39="","",_xlpm._今月から4ヶ月計画合計
)
)</f>
        <v>10</v>
      </c>
      <c r="I39" s="679">
        <v>63.725679898523261</v>
      </c>
      <c r="J39" s="679">
        <v>9.3548387096774182</v>
      </c>
      <c r="K39" s="1410">
        <v>46204</v>
      </c>
      <c r="L39" s="38"/>
      <c r="M39" s="38"/>
      <c r="N39" s="38"/>
      <c r="O39" s="38"/>
      <c r="P39" s="38"/>
      <c r="Q39" s="38"/>
      <c r="R39" s="38"/>
      <c r="S39" s="219"/>
      <c r="T39" s="219"/>
      <c r="U39" s="219"/>
      <c r="V39" s="219"/>
      <c r="W39" s="219"/>
      <c r="X39" s="219"/>
      <c r="Y39" s="219"/>
      <c r="Z39" s="480"/>
      <c r="AA39" s="219"/>
      <c r="AB39" s="219">
        <v>5</v>
      </c>
      <c r="AC39" s="219">
        <v>13</v>
      </c>
      <c r="AD39" s="219">
        <v>13</v>
      </c>
      <c r="AE39" s="219">
        <v>18</v>
      </c>
      <c r="AF39" s="219">
        <v>18</v>
      </c>
      <c r="AG39" s="219">
        <v>35</v>
      </c>
      <c r="AH39" s="298">
        <v>6</v>
      </c>
      <c r="AI39" s="298">
        <v>29</v>
      </c>
      <c r="AJ39" s="298">
        <v>32</v>
      </c>
      <c r="AK39" s="219">
        <v>42</v>
      </c>
      <c r="AL39" s="224">
        <v>27</v>
      </c>
      <c r="AM39" s="224">
        <v>0</v>
      </c>
      <c r="AN39" s="224">
        <v>10</v>
      </c>
      <c r="AO39" s="224">
        <v>10</v>
      </c>
      <c r="AP39" s="224">
        <v>0</v>
      </c>
      <c r="AQ39" s="224">
        <v>0</v>
      </c>
      <c r="AR39" s="224">
        <v>0</v>
      </c>
      <c r="AS39" s="224">
        <v>0</v>
      </c>
      <c r="AT39" s="224">
        <v>0</v>
      </c>
      <c r="AU39" s="224"/>
      <c r="AV39" s="224"/>
      <c r="AW39" s="224"/>
      <c r="AX39" s="224"/>
      <c r="AY39" s="224"/>
      <c r="AZ39" s="224"/>
      <c r="BA39" s="224"/>
      <c r="BB39" s="224"/>
      <c r="BC39" s="224"/>
      <c r="BD39" s="224"/>
      <c r="BE39" s="224"/>
      <c r="BF39" s="224"/>
    </row>
    <row r="40" spans="1:58" s="21" customFormat="1" ht="18.75" customHeight="1" thickBot="1">
      <c r="A40" s="1059" t="s">
        <v>1643</v>
      </c>
      <c r="B40" s="111" t="s">
        <v>478</v>
      </c>
      <c r="C40" s="1435" t="s">
        <v>453</v>
      </c>
      <c r="D40" s="1258" t="s">
        <v>1813</v>
      </c>
      <c r="E40" s="24">
        <v>5050</v>
      </c>
      <c r="F40" s="24" t="s">
        <v>20</v>
      </c>
      <c r="G40" s="44">
        <v>730</v>
      </c>
      <c r="H40" s="499">
        <f ca="1">_xlfn.LET(_xlpm._今月から4ヶ月計画合計,
  SUM(
    OFFSET($A40,0,
      MATCH(
        EDATE(基準データ!$C$5,3),$A$1:$BD$1,1
      )-4,1,4)),
  IF($C40="","",_xlpm._今月から4ヶ月計画合計
)
)</f>
        <v>45</v>
      </c>
      <c r="I40" s="679">
        <v>1125.8198791364803</v>
      </c>
      <c r="J40" s="679">
        <v>103</v>
      </c>
      <c r="K40" s="1410">
        <v>46357</v>
      </c>
      <c r="L40" s="38"/>
      <c r="M40" s="38"/>
      <c r="N40" s="116"/>
      <c r="O40" s="423"/>
      <c r="P40" s="423"/>
      <c r="Q40" s="423"/>
      <c r="R40" s="423"/>
      <c r="S40" s="423"/>
      <c r="T40" s="423"/>
      <c r="U40" s="423"/>
      <c r="V40" s="423"/>
      <c r="W40" s="416"/>
      <c r="X40" s="25"/>
      <c r="Y40" s="25"/>
      <c r="Z40" s="25"/>
      <c r="AA40" s="25"/>
      <c r="AB40" s="25"/>
      <c r="AC40" s="25"/>
      <c r="AD40" s="314"/>
      <c r="AE40" s="416"/>
      <c r="AF40" s="416"/>
      <c r="AG40" s="25"/>
      <c r="AH40" s="140"/>
      <c r="AI40" s="250"/>
      <c r="AJ40" s="25"/>
      <c r="AK40" s="25"/>
      <c r="AL40" s="217">
        <v>0</v>
      </c>
      <c r="AM40" s="224">
        <v>0</v>
      </c>
      <c r="AN40" s="224">
        <v>0</v>
      </c>
      <c r="AO40" s="62">
        <v>0</v>
      </c>
      <c r="AP40" s="410">
        <v>12</v>
      </c>
      <c r="AQ40" s="410">
        <v>14</v>
      </c>
      <c r="AR40" s="410">
        <v>19</v>
      </c>
      <c r="AS40" s="410">
        <v>14</v>
      </c>
      <c r="AT40" s="410">
        <v>15</v>
      </c>
      <c r="AU40" s="62">
        <v>7</v>
      </c>
      <c r="AV40" s="62">
        <v>7</v>
      </c>
      <c r="AW40" s="62">
        <v>7</v>
      </c>
      <c r="AX40" s="62">
        <v>4</v>
      </c>
      <c r="AY40" s="62">
        <v>4</v>
      </c>
      <c r="AZ40" s="62"/>
      <c r="BA40" s="62"/>
      <c r="BB40" s="62"/>
      <c r="BC40" s="62"/>
      <c r="BD40" s="62"/>
      <c r="BE40" s="62"/>
      <c r="BF40" s="62"/>
    </row>
    <row r="41" spans="1:58" s="70" customFormat="1" ht="18.75" customHeight="1">
      <c r="A41" s="1061" t="s">
        <v>1642</v>
      </c>
      <c r="B41" s="26" t="s">
        <v>470</v>
      </c>
      <c r="C41" s="531" t="s">
        <v>458</v>
      </c>
      <c r="D41" s="68" t="s">
        <v>1365</v>
      </c>
      <c r="E41" s="68">
        <v>4050</v>
      </c>
      <c r="F41" s="68" t="s">
        <v>20</v>
      </c>
      <c r="G41" s="44">
        <v>555</v>
      </c>
      <c r="H41" s="499">
        <f ca="1">_xlfn.LET(_xlpm._今月から4ヶ月計画合計,
  SUM(
    OFFSET($A41,0,
      MATCH(
        EDATE(基準データ!$C$5,3),$A$1:$BD$1,1
      )-4,1,4)),
  IF($C41="","",_xlpm._今月から4ヶ月計画合計
)
)</f>
        <v>37</v>
      </c>
      <c r="I41" s="679">
        <v>463.81074475423384</v>
      </c>
      <c r="J41" s="679">
        <v>35.322580645161288</v>
      </c>
      <c r="K41" s="1410">
        <v>46235</v>
      </c>
      <c r="L41" s="740"/>
      <c r="M41" s="740"/>
      <c r="N41" s="740"/>
      <c r="O41" s="740">
        <v>3</v>
      </c>
      <c r="P41" s="740">
        <v>5</v>
      </c>
      <c r="Q41" s="740">
        <v>5</v>
      </c>
      <c r="R41" s="740">
        <v>5</v>
      </c>
      <c r="S41" s="740">
        <v>6</v>
      </c>
      <c r="T41" s="740">
        <v>5</v>
      </c>
      <c r="U41" s="740">
        <v>5</v>
      </c>
      <c r="V41" s="742">
        <v>5</v>
      </c>
      <c r="W41" s="140">
        <v>10</v>
      </c>
      <c r="X41" s="140">
        <v>85</v>
      </c>
      <c r="Y41" s="140">
        <v>145</v>
      </c>
      <c r="Z41" s="140">
        <v>35</v>
      </c>
      <c r="AA41" s="250">
        <v>35</v>
      </c>
      <c r="AB41" s="140">
        <v>25</v>
      </c>
      <c r="AC41" s="140">
        <v>125</v>
      </c>
      <c r="AD41" s="140">
        <v>35</v>
      </c>
      <c r="AE41" s="140">
        <v>7</v>
      </c>
      <c r="AF41" s="140">
        <v>7</v>
      </c>
      <c r="AG41" s="140">
        <v>35</v>
      </c>
      <c r="AH41" s="183">
        <v>8</v>
      </c>
      <c r="AI41" s="183">
        <v>7</v>
      </c>
      <c r="AJ41" s="183">
        <v>9</v>
      </c>
      <c r="AK41" s="38">
        <v>14</v>
      </c>
      <c r="AL41" s="74">
        <v>3</v>
      </c>
      <c r="AM41" s="74">
        <v>41</v>
      </c>
      <c r="AN41" s="74">
        <v>9</v>
      </c>
      <c r="AO41" s="2104">
        <v>26</v>
      </c>
      <c r="AP41" s="2104">
        <v>11</v>
      </c>
      <c r="AQ41" s="2104">
        <v>0</v>
      </c>
      <c r="AR41" s="2104">
        <v>0</v>
      </c>
      <c r="AS41" s="2104">
        <v>0</v>
      </c>
      <c r="AT41" s="2104">
        <v>0</v>
      </c>
      <c r="AU41" s="217"/>
      <c r="AV41" s="217"/>
      <c r="AW41" s="217"/>
      <c r="AX41" s="217"/>
      <c r="AY41" s="217"/>
      <c r="AZ41" s="217"/>
      <c r="BA41" s="217"/>
      <c r="BB41" s="217"/>
      <c r="BC41" s="217"/>
      <c r="BD41" s="217"/>
      <c r="BE41" s="217"/>
      <c r="BF41" s="217"/>
    </row>
    <row r="42" spans="1:58" s="70" customFormat="1" ht="18.75" customHeight="1" thickBot="1">
      <c r="A42" s="1061" t="s">
        <v>1642</v>
      </c>
      <c r="B42" s="26" t="s">
        <v>472</v>
      </c>
      <c r="C42" s="373" t="s">
        <v>463</v>
      </c>
      <c r="D42" s="68" t="s">
        <v>1365</v>
      </c>
      <c r="E42" s="68">
        <v>3050</v>
      </c>
      <c r="F42" s="68" t="s">
        <v>20</v>
      </c>
      <c r="G42" s="44">
        <v>11</v>
      </c>
      <c r="H42" s="499">
        <f ca="1">_xlfn.LET(_xlpm._今月から4ヶ月計画合計,
  SUM(
    OFFSET($A42,0,
      MATCH(
        EDATE(基準データ!$C$5,3),$A$1:$BD$1,1
      )-4,1,4)),
  IF($C42="","",_xlpm._今月から4ヶ月計画合計
)
)</f>
        <v>10</v>
      </c>
      <c r="I42" s="679">
        <v>0</v>
      </c>
      <c r="J42" s="679">
        <v>9.3548387096774182</v>
      </c>
      <c r="K42" s="1410">
        <v>46204</v>
      </c>
      <c r="L42" s="740"/>
      <c r="M42" s="740"/>
      <c r="N42" s="740"/>
      <c r="O42" s="740">
        <v>3</v>
      </c>
      <c r="P42" s="740">
        <v>2</v>
      </c>
      <c r="Q42" s="740">
        <v>40</v>
      </c>
      <c r="R42" s="740">
        <v>2</v>
      </c>
      <c r="S42" s="740">
        <v>3</v>
      </c>
      <c r="T42" s="740">
        <v>2</v>
      </c>
      <c r="U42" s="740">
        <v>2</v>
      </c>
      <c r="V42" s="742">
        <v>5</v>
      </c>
      <c r="W42" s="140">
        <v>5</v>
      </c>
      <c r="X42" s="140">
        <v>5</v>
      </c>
      <c r="Y42" s="140">
        <v>5</v>
      </c>
      <c r="Z42" s="140">
        <v>5</v>
      </c>
      <c r="AA42" s="250">
        <v>5</v>
      </c>
      <c r="AB42" s="140">
        <v>5</v>
      </c>
      <c r="AC42" s="250">
        <v>5</v>
      </c>
      <c r="AD42" s="140">
        <v>70</v>
      </c>
      <c r="AE42" s="140">
        <v>70</v>
      </c>
      <c r="AF42" s="140">
        <v>30</v>
      </c>
      <c r="AG42" s="140">
        <v>40</v>
      </c>
      <c r="AH42" s="183">
        <v>33</v>
      </c>
      <c r="AI42" s="183">
        <v>5</v>
      </c>
      <c r="AJ42" s="183">
        <v>18</v>
      </c>
      <c r="AK42" s="140">
        <v>17</v>
      </c>
      <c r="AL42" s="192">
        <v>7</v>
      </c>
      <c r="AM42" s="192">
        <v>0</v>
      </c>
      <c r="AN42" s="192">
        <v>10</v>
      </c>
      <c r="AO42" s="192">
        <v>10</v>
      </c>
      <c r="AP42" s="217">
        <v>0</v>
      </c>
      <c r="AQ42" s="217">
        <v>0</v>
      </c>
      <c r="AR42" s="217">
        <v>0</v>
      </c>
      <c r="AS42" s="217">
        <v>0</v>
      </c>
      <c r="AT42" s="217">
        <v>0</v>
      </c>
      <c r="AU42" s="217"/>
      <c r="AV42" s="217"/>
      <c r="AW42" s="217"/>
      <c r="AX42" s="217"/>
      <c r="AY42" s="217"/>
      <c r="AZ42" s="217"/>
      <c r="BA42" s="217"/>
      <c r="BB42" s="217"/>
      <c r="BC42" s="217"/>
      <c r="BD42" s="217"/>
      <c r="BE42" s="217"/>
      <c r="BF42" s="217"/>
    </row>
    <row r="43" spans="1:58" s="70" customFormat="1" ht="18.75" customHeight="1" thickBot="1">
      <c r="A43" s="1061" t="s">
        <v>1644</v>
      </c>
      <c r="B43" s="111" t="s">
        <v>485</v>
      </c>
      <c r="C43" s="2071" t="s">
        <v>1645</v>
      </c>
      <c r="D43" s="1267" t="s">
        <v>1814</v>
      </c>
      <c r="E43" s="68" t="s">
        <v>438</v>
      </c>
      <c r="F43" s="24"/>
      <c r="G43" s="44">
        <v>555</v>
      </c>
      <c r="H43" s="499">
        <f ca="1">_xlfn.LET(_xlpm._今月から4ヶ月計画合計,
  SUM(
    OFFSET($A43,0,
      MATCH(
        EDATE(基準データ!$C$5,3),$A$1:$BD$1,1
      )-4,1,4)),
  IF($C43="","",_xlpm._今月から4ヶ月計画合計
)
)</f>
        <v>4</v>
      </c>
      <c r="I43" s="679">
        <v>1300</v>
      </c>
      <c r="J43" s="679">
        <v>54</v>
      </c>
      <c r="K43" s="1410">
        <v>46357</v>
      </c>
      <c r="L43" s="744"/>
      <c r="M43" s="744"/>
      <c r="N43" s="744"/>
      <c r="O43" s="744"/>
      <c r="P43" s="744"/>
      <c r="Q43" s="744"/>
      <c r="R43" s="744"/>
      <c r="S43" s="744"/>
      <c r="T43" s="744"/>
      <c r="U43" s="744"/>
      <c r="V43" s="516"/>
      <c r="W43" s="516"/>
      <c r="X43" s="516"/>
      <c r="Y43" s="516"/>
      <c r="Z43" s="442"/>
      <c r="AA43" s="443"/>
      <c r="AB43" s="442"/>
      <c r="AC43" s="442"/>
      <c r="AD43" s="442"/>
      <c r="AE43" s="442"/>
      <c r="AF43" s="442"/>
      <c r="AG43" s="442"/>
      <c r="AH43" s="442"/>
      <c r="AI43" s="427"/>
      <c r="AJ43" s="416"/>
      <c r="AK43" s="416"/>
      <c r="AL43" s="217">
        <v>0</v>
      </c>
      <c r="AM43" s="217">
        <v>0</v>
      </c>
      <c r="AN43" s="217">
        <v>0</v>
      </c>
      <c r="AO43" s="217">
        <v>0</v>
      </c>
      <c r="AP43" s="217">
        <v>0</v>
      </c>
      <c r="AQ43" s="217">
        <v>1</v>
      </c>
      <c r="AR43" s="217">
        <v>3</v>
      </c>
      <c r="AS43" s="217">
        <v>5</v>
      </c>
      <c r="AT43" s="217">
        <v>5</v>
      </c>
      <c r="AU43" s="217">
        <v>5</v>
      </c>
      <c r="AV43" s="217">
        <v>5</v>
      </c>
      <c r="AW43" s="217">
        <v>5</v>
      </c>
      <c r="AX43" s="217">
        <v>5</v>
      </c>
      <c r="AY43" s="217">
        <v>5</v>
      </c>
      <c r="AZ43" s="217">
        <v>5</v>
      </c>
      <c r="BA43" s="217">
        <v>5</v>
      </c>
      <c r="BB43" s="217">
        <v>5</v>
      </c>
      <c r="BC43" s="217"/>
      <c r="BD43" s="217"/>
      <c r="BE43" s="217"/>
      <c r="BF43" s="217"/>
    </row>
    <row r="44" spans="1:58" s="70" customFormat="1" ht="18.75" customHeight="1" collapsed="1" thickBot="1">
      <c r="A44" s="1071" t="s">
        <v>1644</v>
      </c>
      <c r="B44" s="26" t="s">
        <v>482</v>
      </c>
      <c r="C44" s="2071" t="s">
        <v>1646</v>
      </c>
      <c r="D44" s="1101" t="s">
        <v>1814</v>
      </c>
      <c r="E44" s="1101" t="s">
        <v>438</v>
      </c>
      <c r="F44" s="1102"/>
      <c r="G44" s="44">
        <v>505</v>
      </c>
      <c r="H44" s="499">
        <f ca="1">_xlfn.LET(_xlpm._今月から4ヶ月計画合計,
  SUM(
    OFFSET($A44,0,
      MATCH(
        EDATE(基準データ!$C$5,3),$A$1:$BD$1,1
      )-4,1,4)),
  IF($C44="","",_xlpm._今月から4ヶ月計画合計
)
)</f>
        <v>4</v>
      </c>
      <c r="I44" s="679">
        <v>1200</v>
      </c>
      <c r="J44" s="679">
        <v>54</v>
      </c>
      <c r="K44" s="1410">
        <v>46357</v>
      </c>
      <c r="L44" s="744"/>
      <c r="M44" s="744"/>
      <c r="N44" s="744"/>
      <c r="O44" s="744"/>
      <c r="P44" s="744"/>
      <c r="Q44" s="744"/>
      <c r="R44" s="744"/>
      <c r="S44" s="744"/>
      <c r="T44" s="744"/>
      <c r="U44" s="744"/>
      <c r="V44" s="516"/>
      <c r="W44" s="516"/>
      <c r="X44" s="516"/>
      <c r="Y44" s="516"/>
      <c r="Z44" s="442"/>
      <c r="AA44" s="443"/>
      <c r="AB44" s="442"/>
      <c r="AC44" s="442"/>
      <c r="AD44" s="442"/>
      <c r="AE44" s="442"/>
      <c r="AF44" s="442"/>
      <c r="AG44" s="442"/>
      <c r="AH44" s="442"/>
      <c r="AI44" s="1103"/>
      <c r="AJ44" s="416"/>
      <c r="AK44" s="416"/>
      <c r="AL44" s="416">
        <v>0</v>
      </c>
      <c r="AM44" s="416">
        <v>0</v>
      </c>
      <c r="AN44" s="416">
        <v>0</v>
      </c>
      <c r="AO44" s="416">
        <v>0</v>
      </c>
      <c r="AP44" s="416">
        <v>0</v>
      </c>
      <c r="AQ44" s="416">
        <v>1</v>
      </c>
      <c r="AR44" s="416">
        <v>3</v>
      </c>
      <c r="AS44" s="416">
        <v>5</v>
      </c>
      <c r="AT44" s="416">
        <v>5</v>
      </c>
      <c r="AU44" s="416">
        <v>5</v>
      </c>
      <c r="AV44" s="416">
        <v>5</v>
      </c>
      <c r="AW44" s="416">
        <v>5</v>
      </c>
      <c r="AX44" s="416">
        <v>5</v>
      </c>
      <c r="AY44" s="416">
        <v>5</v>
      </c>
      <c r="AZ44" s="416">
        <v>5</v>
      </c>
      <c r="BA44" s="416">
        <v>5</v>
      </c>
      <c r="BB44" s="416">
        <v>5</v>
      </c>
      <c r="BC44" s="217"/>
      <c r="BD44" s="217"/>
      <c r="BE44" s="217"/>
      <c r="BF44" s="217"/>
    </row>
    <row r="45" spans="1:58" s="21" customFormat="1" ht="18.75" customHeight="1">
      <c r="A45" s="1081"/>
      <c r="B45" s="28"/>
      <c r="C45" s="28"/>
      <c r="D45" s="734"/>
      <c r="E45" s="735"/>
      <c r="F45" s="735"/>
      <c r="G45" s="44" t="str">
        <v/>
      </c>
      <c r="H45" s="499" t="str">
        <f ca="1">_xlfn.LET(_xlpm._今月から4ヶ月計画合計,
  SUM(
    OFFSET($A45,0,
      MATCH(
        EDATE(基準データ!$C$5,3),$A$1:$BD$1,1
      )-4,1,4)),
  IF($C45="","",_xlpm._今月から4ヶ月計画合計
)
)</f>
        <v/>
      </c>
      <c r="I45" s="679" t="str">
        <v/>
      </c>
      <c r="J45" s="679" t="str">
        <v/>
      </c>
      <c r="K45" s="1410" t="str">
        <v/>
      </c>
      <c r="L45" s="744"/>
      <c r="M45" s="744"/>
      <c r="N45" s="744"/>
      <c r="O45" s="744"/>
      <c r="P45" s="744"/>
      <c r="Q45" s="744"/>
      <c r="R45" s="744"/>
      <c r="S45" s="744"/>
      <c r="T45" s="744"/>
      <c r="U45" s="744"/>
      <c r="V45" s="516"/>
      <c r="W45" s="442"/>
      <c r="X45" s="442"/>
      <c r="Y45" s="442"/>
      <c r="Z45" s="442"/>
      <c r="AA45" s="443"/>
      <c r="AB45" s="442"/>
      <c r="AC45" s="442"/>
      <c r="AD45" s="442"/>
      <c r="AE45" s="442"/>
      <c r="AF45" s="442"/>
      <c r="AG45" s="442"/>
      <c r="AH45" s="442"/>
      <c r="AI45" s="443"/>
      <c r="AJ45" s="416"/>
      <c r="AK45" s="416"/>
      <c r="AL45" s="416"/>
      <c r="AM45" s="416"/>
      <c r="AN45" s="416"/>
      <c r="AO45" s="416"/>
      <c r="AP45" s="416"/>
      <c r="AQ45" s="416"/>
      <c r="AR45" s="416"/>
      <c r="AS45" s="416"/>
      <c r="AT45" s="416"/>
      <c r="AU45" s="217"/>
      <c r="AV45" s="217"/>
      <c r="AW45" s="217"/>
      <c r="AX45" s="217"/>
      <c r="AY45" s="217"/>
      <c r="AZ45" s="217"/>
      <c r="BA45" s="217"/>
      <c r="BB45" s="217"/>
      <c r="BC45" s="217"/>
      <c r="BD45" s="217"/>
      <c r="BE45" s="217"/>
      <c r="BF45" s="217"/>
    </row>
    <row r="46" spans="1:58" s="1227" customFormat="1" ht="18.75" customHeight="1">
      <c r="A46" s="1217"/>
      <c r="B46" s="1218"/>
      <c r="C46" s="1219" t="s">
        <v>1810</v>
      </c>
      <c r="D46" s="1220"/>
      <c r="E46" s="1220"/>
      <c r="F46" s="1220"/>
      <c r="G46" s="1221"/>
      <c r="H46" s="1222"/>
      <c r="I46" s="1222">
        <v>0</v>
      </c>
      <c r="J46" s="1222">
        <v>0</v>
      </c>
      <c r="K46" s="1415"/>
      <c r="L46" s="1223"/>
      <c r="M46" s="1223"/>
      <c r="N46" s="1223"/>
      <c r="O46" s="1223"/>
      <c r="P46" s="1223"/>
      <c r="Q46" s="1223"/>
      <c r="R46" s="1223"/>
      <c r="S46" s="1223"/>
      <c r="T46" s="1223"/>
      <c r="U46" s="1223"/>
      <c r="V46" s="1223"/>
      <c r="W46" s="1224"/>
      <c r="X46" s="1225"/>
      <c r="Y46" s="1225"/>
      <c r="Z46" s="1225"/>
      <c r="AA46" s="1225"/>
      <c r="AB46" s="1225"/>
      <c r="AC46" s="1225"/>
      <c r="AD46" s="1186">
        <v>0.91975910804919359</v>
      </c>
      <c r="AE46" s="1186">
        <v>1.0802287788144589</v>
      </c>
      <c r="AF46" s="1186">
        <v>1.0768923714802734</v>
      </c>
      <c r="AG46" s="1186">
        <v>1.0349498033237103</v>
      </c>
      <c r="AH46" s="1187">
        <v>1.4739281732454008</v>
      </c>
      <c r="AI46" s="1188">
        <v>0.86296850797679536</v>
      </c>
      <c r="AJ46" s="1186">
        <v>0.94281256826843862</v>
      </c>
      <c r="AK46" s="1186">
        <v>1.4778243112821845</v>
      </c>
      <c r="AL46" s="1186">
        <v>0.61403208895424399</v>
      </c>
      <c r="AM46" s="1186">
        <v>0.72523030349579054</v>
      </c>
      <c r="AN46" s="1186">
        <v>1.0427097839387063</v>
      </c>
      <c r="AO46" s="1186">
        <v>1.0974094002327746</v>
      </c>
      <c r="AP46" s="1225">
        <v>0.91975910804919359</v>
      </c>
      <c r="AQ46" s="1225">
        <v>1.0802287788144589</v>
      </c>
      <c r="AR46" s="1225">
        <v>1.0768923714802734</v>
      </c>
      <c r="AS46" s="1225">
        <v>1.0349498033237103</v>
      </c>
      <c r="AT46" s="1226">
        <v>1.4739281732454008</v>
      </c>
      <c r="AU46" s="1225">
        <v>0.86296850797679536</v>
      </c>
      <c r="AV46" s="1225">
        <v>0.94281256826843862</v>
      </c>
      <c r="AW46" s="1225">
        <v>1.4778243112821845</v>
      </c>
      <c r="AX46" s="1225">
        <v>0.61403208895424399</v>
      </c>
      <c r="AY46" s="1225">
        <v>0.72523030349579054</v>
      </c>
      <c r="AZ46" s="1225">
        <v>1.0427097839387063</v>
      </c>
      <c r="BA46" s="1225">
        <v>1.0974094002327746</v>
      </c>
      <c r="BB46" s="1225">
        <v>0.91975910804919359</v>
      </c>
      <c r="BC46" s="1225">
        <v>1.0802287788144589</v>
      </c>
      <c r="BD46" s="1225">
        <v>1.0768923714802734</v>
      </c>
      <c r="BE46" s="1225">
        <v>1.0349498033237103</v>
      </c>
      <c r="BF46" s="1225">
        <v>1.4739281732454008</v>
      </c>
    </row>
    <row r="47" spans="1:58" s="21" customFormat="1" ht="18.75" customHeight="1">
      <c r="A47" s="1085"/>
      <c r="B47" s="768" t="s">
        <v>1390</v>
      </c>
      <c r="C47" s="152" t="s">
        <v>1790</v>
      </c>
      <c r="D47" s="769"/>
      <c r="E47" s="770"/>
      <c r="F47" s="770"/>
      <c r="G47" s="771"/>
      <c r="H47" s="680">
        <v>328</v>
      </c>
      <c r="I47" s="680">
        <v>0</v>
      </c>
      <c r="J47" s="680">
        <v>0</v>
      </c>
      <c r="K47" s="1416"/>
      <c r="L47" s="772"/>
      <c r="M47" s="772"/>
      <c r="N47" s="772">
        <f t="shared" ref="N47:AL47" si="2">SUM(N30:N45)</f>
        <v>0</v>
      </c>
      <c r="O47" s="772">
        <f t="shared" si="2"/>
        <v>6</v>
      </c>
      <c r="P47" s="772">
        <f t="shared" si="2"/>
        <v>7</v>
      </c>
      <c r="Q47" s="772">
        <f t="shared" si="2"/>
        <v>45</v>
      </c>
      <c r="R47" s="772">
        <f t="shared" si="2"/>
        <v>7</v>
      </c>
      <c r="S47" s="772">
        <f t="shared" si="2"/>
        <v>9</v>
      </c>
      <c r="T47" s="772">
        <f t="shared" si="2"/>
        <v>7</v>
      </c>
      <c r="U47" s="772">
        <f t="shared" si="2"/>
        <v>7</v>
      </c>
      <c r="V47" s="772">
        <f t="shared" si="2"/>
        <v>10</v>
      </c>
      <c r="W47" s="772">
        <f t="shared" si="2"/>
        <v>15</v>
      </c>
      <c r="X47" s="772">
        <f t="shared" si="2"/>
        <v>95</v>
      </c>
      <c r="Y47" s="772">
        <f t="shared" si="2"/>
        <v>155</v>
      </c>
      <c r="Z47" s="772">
        <f t="shared" si="2"/>
        <v>45</v>
      </c>
      <c r="AA47" s="772">
        <f t="shared" si="2"/>
        <v>45</v>
      </c>
      <c r="AB47" s="772">
        <f t="shared" si="2"/>
        <v>40</v>
      </c>
      <c r="AC47" s="772">
        <f t="shared" si="2"/>
        <v>211</v>
      </c>
      <c r="AD47" s="772">
        <f t="shared" si="2"/>
        <v>173</v>
      </c>
      <c r="AE47" s="772">
        <f t="shared" si="2"/>
        <v>214</v>
      </c>
      <c r="AF47" s="376">
        <f t="shared" si="2"/>
        <v>224</v>
      </c>
      <c r="AG47" s="772">
        <f t="shared" si="2"/>
        <v>247</v>
      </c>
      <c r="AH47" s="772">
        <f t="shared" si="2"/>
        <v>101</v>
      </c>
      <c r="AI47" s="772">
        <f t="shared" si="2"/>
        <v>138</v>
      </c>
      <c r="AJ47" s="772">
        <f t="shared" si="2"/>
        <v>130</v>
      </c>
      <c r="AK47" s="772">
        <f t="shared" si="2"/>
        <v>147</v>
      </c>
      <c r="AL47" s="772">
        <f t="shared" si="2"/>
        <v>83</v>
      </c>
      <c r="AM47" s="772">
        <f t="shared" ref="AM47:BF47" si="3">SUM(AM30:AM45)</f>
        <v>83</v>
      </c>
      <c r="AN47" s="772">
        <f t="shared" si="3"/>
        <v>76</v>
      </c>
      <c r="AO47" s="772">
        <f t="shared" si="3"/>
        <v>102</v>
      </c>
      <c r="AP47" s="772">
        <f t="shared" si="3"/>
        <v>106</v>
      </c>
      <c r="AQ47" s="772">
        <f t="shared" si="3"/>
        <v>95</v>
      </c>
      <c r="AR47" s="772">
        <f t="shared" si="3"/>
        <v>71</v>
      </c>
      <c r="AS47" s="772">
        <f t="shared" si="3"/>
        <v>84</v>
      </c>
      <c r="AT47" s="772">
        <f t="shared" si="3"/>
        <v>87</v>
      </c>
      <c r="AU47" s="267">
        <f t="shared" si="3"/>
        <v>54</v>
      </c>
      <c r="AV47" s="267">
        <f t="shared" si="3"/>
        <v>52</v>
      </c>
      <c r="AW47" s="267">
        <f t="shared" si="3"/>
        <v>54</v>
      </c>
      <c r="AX47" s="267">
        <f t="shared" si="3"/>
        <v>51</v>
      </c>
      <c r="AY47" s="267">
        <f t="shared" si="3"/>
        <v>51</v>
      </c>
      <c r="AZ47" s="267">
        <f t="shared" si="3"/>
        <v>32</v>
      </c>
      <c r="BA47" s="267">
        <f t="shared" si="3"/>
        <v>32</v>
      </c>
      <c r="BB47" s="267">
        <f t="shared" si="3"/>
        <v>32</v>
      </c>
      <c r="BC47" s="267">
        <f t="shared" si="3"/>
        <v>0</v>
      </c>
      <c r="BD47" s="267">
        <f t="shared" si="3"/>
        <v>0</v>
      </c>
      <c r="BE47" s="267">
        <f t="shared" si="3"/>
        <v>0</v>
      </c>
      <c r="BF47" s="267">
        <f t="shared" si="3"/>
        <v>0</v>
      </c>
    </row>
    <row r="48" spans="1:58" s="21" customFormat="1" ht="18.75" customHeight="1">
      <c r="A48" s="1086"/>
      <c r="B48" s="773" t="s">
        <v>1392</v>
      </c>
      <c r="C48" s="769"/>
      <c r="D48" s="769"/>
      <c r="E48" s="770"/>
      <c r="F48" s="770"/>
      <c r="G48" s="771"/>
      <c r="H48" s="680"/>
      <c r="I48" s="680">
        <v>0</v>
      </c>
      <c r="J48" s="680">
        <v>0</v>
      </c>
      <c r="K48" s="1416"/>
      <c r="L48" s="772"/>
      <c r="M48" s="772"/>
      <c r="N48" s="772"/>
      <c r="O48" s="772"/>
      <c r="P48" s="772"/>
      <c r="Q48" s="772"/>
      <c r="R48" s="772"/>
      <c r="S48" s="772"/>
      <c r="T48" s="772"/>
      <c r="U48" s="772"/>
      <c r="V48" s="772"/>
      <c r="W48" s="772"/>
      <c r="X48" s="772"/>
      <c r="Y48" s="772"/>
      <c r="Z48" s="772"/>
      <c r="AA48" s="772"/>
      <c r="AB48" s="772"/>
      <c r="AC48" s="774"/>
      <c r="AD48" s="775"/>
      <c r="AE48" s="776"/>
      <c r="AF48" s="767"/>
      <c r="AG48" s="774"/>
      <c r="AH48" s="775"/>
      <c r="AI48" s="775"/>
      <c r="AJ48" s="775"/>
      <c r="AK48" s="775"/>
      <c r="AL48" s="775"/>
      <c r="AM48" s="775"/>
      <c r="AN48" s="775"/>
      <c r="AO48" s="775"/>
      <c r="AP48" s="775"/>
      <c r="AQ48" s="775"/>
      <c r="AR48" s="775"/>
      <c r="AS48" s="775"/>
      <c r="AT48" s="777"/>
      <c r="AU48" s="778"/>
      <c r="AV48" s="778"/>
      <c r="AW48" s="778"/>
      <c r="AX48" s="778"/>
      <c r="AY48" s="778"/>
      <c r="AZ48" s="778"/>
      <c r="BA48" s="778"/>
      <c r="BB48" s="778"/>
      <c r="BC48" s="778"/>
      <c r="BD48" s="778"/>
      <c r="BE48" s="778"/>
      <c r="BF48" s="778"/>
    </row>
    <row r="49" spans="1:58" s="21" customFormat="1" ht="18.75" customHeight="1">
      <c r="A49" s="1087" t="s">
        <v>1317</v>
      </c>
      <c r="B49" s="780" t="s">
        <v>1393</v>
      </c>
      <c r="C49" s="779"/>
      <c r="D49" s="779" t="s">
        <v>1317</v>
      </c>
      <c r="E49" s="781" t="s">
        <v>1317</v>
      </c>
      <c r="F49" s="781"/>
      <c r="G49" s="782"/>
      <c r="H49" s="1131"/>
      <c r="I49" s="1131">
        <v>0</v>
      </c>
      <c r="J49" s="1131">
        <v>0</v>
      </c>
      <c r="K49" s="1416"/>
      <c r="L49" s="45">
        <v>260</v>
      </c>
      <c r="M49" s="45">
        <v>1544</v>
      </c>
      <c r="N49" s="45">
        <f t="shared" ref="N49:AL49" si="4">N47+N27</f>
        <v>5</v>
      </c>
      <c r="O49" s="45">
        <f t="shared" si="4"/>
        <v>14</v>
      </c>
      <c r="P49" s="45">
        <f t="shared" si="4"/>
        <v>20</v>
      </c>
      <c r="Q49" s="45">
        <f t="shared" si="4"/>
        <v>75</v>
      </c>
      <c r="R49" s="45">
        <f t="shared" si="4"/>
        <v>37</v>
      </c>
      <c r="S49" s="45">
        <f t="shared" si="4"/>
        <v>40</v>
      </c>
      <c r="T49" s="45">
        <f t="shared" si="4"/>
        <v>14</v>
      </c>
      <c r="U49" s="45">
        <f t="shared" si="4"/>
        <v>71</v>
      </c>
      <c r="V49" s="45">
        <f t="shared" si="4"/>
        <v>39</v>
      </c>
      <c r="W49" s="45">
        <f t="shared" si="4"/>
        <v>54</v>
      </c>
      <c r="X49" s="45">
        <f t="shared" si="4"/>
        <v>262</v>
      </c>
      <c r="Y49" s="45">
        <f t="shared" si="4"/>
        <v>246</v>
      </c>
      <c r="Z49" s="45">
        <f t="shared" si="4"/>
        <v>132</v>
      </c>
      <c r="AA49" s="45">
        <f t="shared" si="4"/>
        <v>149</v>
      </c>
      <c r="AB49" s="45">
        <f t="shared" si="4"/>
        <v>133</v>
      </c>
      <c r="AC49" s="45">
        <f t="shared" si="4"/>
        <v>322</v>
      </c>
      <c r="AD49" s="45">
        <f t="shared" si="4"/>
        <v>354</v>
      </c>
      <c r="AE49" s="45">
        <f t="shared" si="4"/>
        <v>628</v>
      </c>
      <c r="AF49" s="766">
        <f t="shared" si="4"/>
        <v>670</v>
      </c>
      <c r="AG49" s="45">
        <f t="shared" si="4"/>
        <v>731</v>
      </c>
      <c r="AH49" s="45">
        <f t="shared" si="4"/>
        <v>307</v>
      </c>
      <c r="AI49" s="45">
        <f t="shared" si="4"/>
        <v>423</v>
      </c>
      <c r="AJ49" s="45">
        <f t="shared" si="4"/>
        <v>687</v>
      </c>
      <c r="AK49" s="45">
        <f t="shared" si="4"/>
        <v>872</v>
      </c>
      <c r="AL49" s="45">
        <f t="shared" si="4"/>
        <v>403</v>
      </c>
      <c r="AM49" s="45">
        <v>504</v>
      </c>
      <c r="AN49" s="45">
        <v>384</v>
      </c>
      <c r="AO49" s="45">
        <v>358</v>
      </c>
      <c r="AP49" s="45">
        <v>474</v>
      </c>
      <c r="AQ49" s="45">
        <v>348</v>
      </c>
      <c r="AR49" s="45">
        <v>318</v>
      </c>
      <c r="AS49" s="45">
        <v>348</v>
      </c>
      <c r="AT49" s="45">
        <v>323</v>
      </c>
      <c r="AU49" s="155"/>
      <c r="AV49" s="155"/>
      <c r="AW49" s="155"/>
      <c r="AX49" s="155"/>
      <c r="AY49" s="155"/>
      <c r="AZ49" s="155"/>
      <c r="BA49" s="155"/>
      <c r="BB49" s="155"/>
      <c r="BC49" s="155"/>
      <c r="BD49" s="155"/>
      <c r="BE49" s="155"/>
      <c r="BF49" s="155"/>
    </row>
    <row r="50" spans="1:58" s="21" customFormat="1" ht="18.75" customHeight="1" thickBot="1">
      <c r="A50" s="1088"/>
      <c r="B50" s="784" t="s">
        <v>1394</v>
      </c>
      <c r="C50" s="783"/>
      <c r="D50" s="783"/>
      <c r="E50" s="785"/>
      <c r="F50" s="785"/>
      <c r="G50" s="786"/>
      <c r="H50" s="786"/>
      <c r="I50" s="1132">
        <v>0</v>
      </c>
      <c r="J50" s="1132">
        <v>0</v>
      </c>
      <c r="K50" s="1417"/>
      <c r="L50" s="787"/>
      <c r="M50" s="787"/>
      <c r="N50" s="787"/>
      <c r="O50" s="787"/>
      <c r="P50" s="787"/>
      <c r="Q50" s="787"/>
      <c r="R50" s="787">
        <v>0</v>
      </c>
      <c r="S50" s="787">
        <v>0</v>
      </c>
      <c r="T50" s="787">
        <v>0</v>
      </c>
      <c r="U50" s="787">
        <v>0</v>
      </c>
      <c r="V50" s="788">
        <v>0</v>
      </c>
      <c r="W50" s="789">
        <v>0</v>
      </c>
      <c r="X50" s="789">
        <v>0</v>
      </c>
      <c r="Y50" s="789">
        <v>0</v>
      </c>
      <c r="Z50" s="789">
        <v>0</v>
      </c>
      <c r="AA50" s="790">
        <v>0</v>
      </c>
      <c r="AB50" s="789">
        <v>0</v>
      </c>
      <c r="AC50" s="789"/>
      <c r="AD50" s="791">
        <v>582.81980848780199</v>
      </c>
      <c r="AE50" s="791">
        <v>776.13148616166109</v>
      </c>
      <c r="AF50" s="637">
        <v>820.47098387866868</v>
      </c>
      <c r="AG50" s="791">
        <v>895.35184236057421</v>
      </c>
      <c r="AH50" s="791">
        <v>998.04015326377544</v>
      </c>
      <c r="AI50" s="791">
        <v>1139.5754269382073</v>
      </c>
      <c r="AJ50" s="791">
        <v>1232.324387111026</v>
      </c>
      <c r="AK50" s="791">
        <v>1802.1622246753329</v>
      </c>
      <c r="AL50" s="791">
        <v>1058.1681409759949</v>
      </c>
      <c r="AM50" s="791">
        <v>935.49222222904905</v>
      </c>
      <c r="AN50" s="791">
        <v>1027.4592152974392</v>
      </c>
      <c r="AO50" s="791">
        <v>1096.6555405324084</v>
      </c>
      <c r="AP50" s="791"/>
      <c r="AQ50" s="791"/>
      <c r="AR50" s="791"/>
      <c r="AS50" s="791"/>
      <c r="AT50" s="792"/>
      <c r="AU50" s="793"/>
      <c r="AV50" s="793"/>
      <c r="AW50" s="793"/>
      <c r="AX50" s="793"/>
      <c r="AY50" s="793"/>
      <c r="AZ50" s="793"/>
      <c r="BA50" s="793"/>
      <c r="BB50" s="793"/>
      <c r="BC50" s="793"/>
      <c r="BD50" s="793"/>
      <c r="BE50" s="793"/>
      <c r="BF50" s="793"/>
    </row>
    <row r="51" spans="1:58" s="21" customFormat="1" ht="18.75" customHeight="1">
      <c r="A51" s="1075" t="s">
        <v>1317</v>
      </c>
      <c r="B51" s="55" t="s">
        <v>1728</v>
      </c>
      <c r="C51" s="55"/>
      <c r="D51" s="55" t="s">
        <v>11</v>
      </c>
      <c r="E51" s="58" t="s">
        <v>12</v>
      </c>
      <c r="F51" s="58"/>
      <c r="G51" s="409"/>
      <c r="H51" s="409"/>
      <c r="I51" s="1134">
        <v>0</v>
      </c>
      <c r="J51" s="1134">
        <v>0</v>
      </c>
      <c r="K51" s="1116"/>
      <c r="L51" s="109"/>
      <c r="M51" s="109"/>
      <c r="N51" s="109"/>
      <c r="O51" s="109"/>
      <c r="P51" s="109"/>
      <c r="Q51" s="109"/>
      <c r="R51" s="109"/>
      <c r="S51" s="109"/>
      <c r="T51" s="109"/>
      <c r="U51" s="109"/>
      <c r="V51" s="196"/>
      <c r="W51" s="426"/>
      <c r="X51" s="426"/>
      <c r="Y51" s="426"/>
      <c r="Z51" s="426"/>
      <c r="AA51" s="427"/>
      <c r="AB51" s="426"/>
      <c r="AC51" s="426"/>
      <c r="AD51" s="426"/>
      <c r="AE51" s="745">
        <v>45901</v>
      </c>
      <c r="AF51" s="745">
        <v>45931</v>
      </c>
      <c r="AG51" s="745">
        <v>45962</v>
      </c>
      <c r="AH51" s="745">
        <v>45992</v>
      </c>
      <c r="AI51" s="746">
        <v>46023</v>
      </c>
      <c r="AJ51" s="747">
        <v>46054</v>
      </c>
      <c r="AK51" s="747">
        <v>46082</v>
      </c>
      <c r="AL51" s="747">
        <v>46113</v>
      </c>
      <c r="AM51" s="747">
        <v>46143</v>
      </c>
      <c r="AN51" s="747">
        <v>46174</v>
      </c>
      <c r="AO51" s="747">
        <v>46204</v>
      </c>
      <c r="AP51" s="935">
        <v>46235</v>
      </c>
      <c r="AQ51" s="426"/>
      <c r="AR51" s="426"/>
      <c r="AS51" s="426"/>
      <c r="AT51" s="736"/>
      <c r="AU51" s="762"/>
      <c r="AV51" s="762"/>
      <c r="AW51" s="762"/>
      <c r="AX51" s="762"/>
      <c r="AY51" s="762"/>
      <c r="AZ51" s="762"/>
      <c r="BA51" s="762"/>
      <c r="BB51" s="762"/>
      <c r="BC51" s="762"/>
      <c r="BD51" s="762"/>
      <c r="BE51" s="762"/>
      <c r="BF51" s="762"/>
    </row>
    <row r="52" spans="1:58" s="21" customFormat="1" ht="18.75" customHeight="1">
      <c r="A52" s="1067" t="s">
        <v>1649</v>
      </c>
      <c r="B52" s="55" t="s">
        <v>850</v>
      </c>
      <c r="C52" s="55" t="s">
        <v>847</v>
      </c>
      <c r="D52" s="26" t="s">
        <v>1816</v>
      </c>
      <c r="E52" s="58" t="s">
        <v>1506</v>
      </c>
      <c r="F52" s="58"/>
      <c r="G52" s="499" cm="1">
        <f t="array" ref="G52:G104">IF($C52:$C104="","",SUMIF(マスタ_EOLリスト[[製品型番]:[製品型番]],$C52:$C104,マスタ_EOLリスト[[在庫+注残]:[在庫+注残]]))</f>
        <v>177</v>
      </c>
      <c r="H52" s="499">
        <f ca="1">_xlfn.LET(_xlpm._今月から4ヶ月計画合計,
  SUM(
    OFFSET($A52,0,
      MATCH(
        EDATE(基準データ!$C$5,3),$A$1:$BD$1,1
      )-4,1,4)),
  IF($C52="","",_xlpm._今月から4ヶ月計画合計
)
)</f>
        <v>96</v>
      </c>
      <c r="I52" s="499" cm="1">
        <f t="array" ref="I52:J104">'在庫使用計画 (一般)'!I52:J104</f>
        <v>0</v>
      </c>
      <c r="J52" s="499">
        <v>127.16129032258064</v>
      </c>
      <c r="K52" s="1413" t="str" cm="1">
        <f t="array" ref="K52:K104">IF($C52:$C104="","",_xlfn.XLOOKUP($C52:$C104,'在庫使用計画 (ノート全体試算)'!C:C,'在庫使用計画 (ノート全体試算)'!K:K))</f>
        <v>合計128、在庫+注残177のため不足</v>
      </c>
      <c r="L52" s="740"/>
      <c r="M52" s="740"/>
      <c r="N52" s="740"/>
      <c r="O52" s="740"/>
      <c r="P52" s="740"/>
      <c r="Q52" s="740"/>
      <c r="R52" s="740"/>
      <c r="S52" s="740"/>
      <c r="T52" s="740"/>
      <c r="U52" s="740"/>
      <c r="V52" s="742"/>
      <c r="W52" s="140"/>
      <c r="X52" s="140"/>
      <c r="Y52" s="140"/>
      <c r="Z52" s="140"/>
      <c r="AA52" s="250"/>
      <c r="AB52" s="140"/>
      <c r="AC52" s="140"/>
      <c r="AD52" s="140">
        <v>3</v>
      </c>
      <c r="AE52" s="140">
        <v>4</v>
      </c>
      <c r="AF52" s="140">
        <v>7</v>
      </c>
      <c r="AG52" s="140">
        <v>11</v>
      </c>
      <c r="AH52" s="183">
        <v>1</v>
      </c>
      <c r="AI52" s="183">
        <v>0</v>
      </c>
      <c r="AJ52" s="183">
        <v>1</v>
      </c>
      <c r="AK52" s="38">
        <v>1</v>
      </c>
      <c r="AL52" s="38">
        <v>26</v>
      </c>
      <c r="AM52" s="38">
        <v>13</v>
      </c>
      <c r="AN52" s="38">
        <v>12</v>
      </c>
      <c r="AO52" s="38">
        <v>13</v>
      </c>
      <c r="AP52" s="74">
        <v>36</v>
      </c>
      <c r="AQ52" s="74">
        <v>26</v>
      </c>
      <c r="AR52" s="74">
        <v>21</v>
      </c>
      <c r="AS52" s="38">
        <v>21</v>
      </c>
      <c r="AT52" s="38">
        <v>11</v>
      </c>
      <c r="AU52" s="217">
        <v>0</v>
      </c>
      <c r="AV52" s="217"/>
      <c r="AW52" s="217"/>
      <c r="AX52" s="217"/>
      <c r="AY52" s="217"/>
      <c r="AZ52" s="217"/>
      <c r="BA52" s="217"/>
      <c r="BB52" s="217"/>
      <c r="BC52" s="217"/>
      <c r="BD52" s="217"/>
      <c r="BE52" s="217"/>
      <c r="BF52" s="217"/>
    </row>
    <row r="53" spans="1:58" s="21" customFormat="1" ht="18.75" customHeight="1">
      <c r="A53" s="1067" t="s">
        <v>1649</v>
      </c>
      <c r="B53" s="55" t="s">
        <v>857</v>
      </c>
      <c r="C53" s="55" t="s">
        <v>854</v>
      </c>
      <c r="D53" s="26" t="s">
        <v>1816</v>
      </c>
      <c r="E53" s="58" t="s">
        <v>1507</v>
      </c>
      <c r="F53" s="58"/>
      <c r="G53" s="679">
        <v>36</v>
      </c>
      <c r="H53" s="499">
        <f ca="1">_xlfn.LET(_xlpm._今月から4ヶ月計画合計,
  SUM(
    OFFSET($A53,0,
      MATCH(
        EDATE(基準データ!$C$5,3),$A$1:$BD$1,1
      )-4,1,4)),
  IF($C53="","",_xlpm._今月から4ヶ月計画合計
)
)</f>
        <v>6</v>
      </c>
      <c r="I53" s="499">
        <v>0</v>
      </c>
      <c r="J53" s="679">
        <v>5.6129032258064511</v>
      </c>
      <c r="K53" s="1413" t="str">
        <v>合計6、在庫+注残36のため不足</v>
      </c>
      <c r="L53" s="740"/>
      <c r="M53" s="740"/>
      <c r="N53" s="740"/>
      <c r="O53" s="740"/>
      <c r="P53" s="740"/>
      <c r="Q53" s="740"/>
      <c r="R53" s="740"/>
      <c r="S53" s="740"/>
      <c r="T53" s="740"/>
      <c r="U53" s="740"/>
      <c r="V53" s="742"/>
      <c r="W53" s="140"/>
      <c r="X53" s="140"/>
      <c r="Y53" s="140"/>
      <c r="Z53" s="140"/>
      <c r="AA53" s="250"/>
      <c r="AB53" s="140"/>
      <c r="AC53" s="442"/>
      <c r="AD53" s="442">
        <v>2</v>
      </c>
      <c r="AE53" s="442">
        <v>2</v>
      </c>
      <c r="AF53" s="442">
        <v>3</v>
      </c>
      <c r="AG53" s="442">
        <v>3</v>
      </c>
      <c r="AH53" s="1158">
        <v>1</v>
      </c>
      <c r="AI53" s="1158">
        <v>1</v>
      </c>
      <c r="AJ53" s="1158">
        <v>12</v>
      </c>
      <c r="AK53" s="382">
        <v>9</v>
      </c>
      <c r="AL53" s="382">
        <v>13</v>
      </c>
      <c r="AM53" s="382">
        <v>28</v>
      </c>
      <c r="AN53" s="382">
        <v>16</v>
      </c>
      <c r="AO53" s="382">
        <v>6</v>
      </c>
      <c r="AP53" s="382">
        <v>0</v>
      </c>
      <c r="AQ53" s="382">
        <v>0</v>
      </c>
      <c r="AR53" s="382">
        <v>0</v>
      </c>
      <c r="AS53" s="382">
        <v>0</v>
      </c>
      <c r="AT53" s="382">
        <v>0</v>
      </c>
      <c r="AU53" s="217"/>
      <c r="AV53" s="217"/>
      <c r="AW53" s="217"/>
      <c r="AX53" s="217"/>
      <c r="AY53" s="217"/>
      <c r="AZ53" s="217"/>
      <c r="BA53" s="217"/>
      <c r="BB53" s="217"/>
      <c r="BC53" s="217"/>
      <c r="BD53" s="217"/>
      <c r="BE53" s="217"/>
      <c r="BF53" s="217"/>
    </row>
    <row r="54" spans="1:58" s="21" customFormat="1" ht="18.75" customHeight="1">
      <c r="A54" s="1067" t="s">
        <v>1649</v>
      </c>
      <c r="B54" s="55" t="s">
        <v>588</v>
      </c>
      <c r="C54" s="55" t="s">
        <v>586</v>
      </c>
      <c r="D54" s="26" t="s">
        <v>1723</v>
      </c>
      <c r="E54" s="26">
        <v>5060</v>
      </c>
      <c r="F54" s="737"/>
      <c r="G54" s="679">
        <v>230</v>
      </c>
      <c r="H54" s="499">
        <f ca="1">_xlfn.LET(_xlpm._今月から4ヶ月計画合計,
  SUM(
    OFFSET($A54,0,
      MATCH(
        EDATE(基準データ!$C$5,3),$A$1:$BD$1,1
      )-4,1,4)),
  IF($C54="","",_xlpm._今月から4ヶ月計画合計
)
)</f>
        <v>540</v>
      </c>
      <c r="I54" s="499">
        <v>0</v>
      </c>
      <c r="J54" s="679">
        <v>2712.9032258064517</v>
      </c>
      <c r="K54" s="1413">
        <v>46235</v>
      </c>
      <c r="L54" s="423"/>
      <c r="M54" s="423"/>
      <c r="N54" s="423"/>
      <c r="O54" s="423"/>
      <c r="P54" s="423"/>
      <c r="Q54" s="423"/>
      <c r="R54" s="423"/>
      <c r="S54" s="423"/>
      <c r="T54" s="423"/>
      <c r="U54" s="423"/>
      <c r="V54" s="423"/>
      <c r="W54" s="426"/>
      <c r="X54" s="626"/>
      <c r="Y54" s="626"/>
      <c r="Z54" s="627"/>
      <c r="AA54" s="516"/>
      <c r="AB54" s="516"/>
      <c r="AC54" s="416"/>
      <c r="AD54" s="416"/>
      <c r="AE54" s="416"/>
      <c r="AF54" s="416"/>
      <c r="AG54" s="416"/>
      <c r="AH54" s="1155">
        <v>0</v>
      </c>
      <c r="AI54" s="1155">
        <v>0</v>
      </c>
      <c r="AJ54" s="1155">
        <v>23</v>
      </c>
      <c r="AK54" s="38">
        <v>371</v>
      </c>
      <c r="AL54" s="38">
        <v>320</v>
      </c>
      <c r="AM54" s="38">
        <v>220</v>
      </c>
      <c r="AN54" s="38">
        <v>790</v>
      </c>
      <c r="AO54" s="38">
        <v>110</v>
      </c>
      <c r="AP54" s="38">
        <v>120</v>
      </c>
      <c r="AQ54" s="38">
        <v>155</v>
      </c>
      <c r="AR54" s="38">
        <v>155</v>
      </c>
      <c r="AS54" s="38">
        <v>755</v>
      </c>
      <c r="AT54" s="38">
        <v>235</v>
      </c>
      <c r="AU54" s="217">
        <v>165</v>
      </c>
      <c r="AV54" s="217">
        <v>585</v>
      </c>
      <c r="AW54" s="217">
        <v>285</v>
      </c>
      <c r="AX54" s="217">
        <v>155</v>
      </c>
      <c r="AY54" s="217"/>
      <c r="AZ54" s="217"/>
      <c r="BA54" s="217"/>
      <c r="BB54" s="217"/>
      <c r="BC54" s="217"/>
      <c r="BD54" s="217"/>
      <c r="BE54" s="217"/>
      <c r="BF54" s="217"/>
    </row>
    <row r="55" spans="1:58" s="21" customFormat="1" ht="18.75" customHeight="1">
      <c r="A55" s="1068"/>
      <c r="B55" s="55"/>
      <c r="C55" s="55"/>
      <c r="D55" s="55"/>
      <c r="E55" s="58"/>
      <c r="F55" s="737"/>
      <c r="G55" s="681" t="str">
        <v/>
      </c>
      <c r="H55" s="499" t="str">
        <f ca="1">_xlfn.LET(_xlpm._今月から4ヶ月計画合計,
  SUM(
    OFFSET($A55,0,
      MATCH(
        EDATE(基準データ!$C$5,3),$A$1:$BD$1,1
      )-4,1,4)),
  IF($C55="","",_xlpm._今月から4ヶ月計画合計
)
)</f>
        <v/>
      </c>
      <c r="I55" s="679" t="str">
        <v/>
      </c>
      <c r="J55" s="679" t="str">
        <v/>
      </c>
      <c r="K55" s="1413" t="str">
        <v/>
      </c>
      <c r="L55" s="423"/>
      <c r="M55" s="423"/>
      <c r="N55" s="423"/>
      <c r="O55" s="423"/>
      <c r="P55" s="423"/>
      <c r="Q55" s="423"/>
      <c r="R55" s="423"/>
      <c r="S55" s="423"/>
      <c r="T55" s="423"/>
      <c r="U55" s="423"/>
      <c r="V55" s="423"/>
      <c r="W55" s="426"/>
      <c r="X55" s="626"/>
      <c r="Y55" s="626"/>
      <c r="Z55" s="627"/>
      <c r="AA55" s="516"/>
      <c r="AB55" s="516"/>
      <c r="AC55" s="416"/>
      <c r="AD55" s="416"/>
      <c r="AE55" s="416"/>
      <c r="AF55" s="416"/>
      <c r="AG55" s="416"/>
      <c r="AH55" s="416"/>
      <c r="AI55" s="416"/>
      <c r="AJ55" s="416"/>
      <c r="AK55" s="416"/>
      <c r="AL55" s="416"/>
      <c r="AM55" s="416"/>
      <c r="AN55" s="416"/>
      <c r="AO55" s="416"/>
      <c r="AP55" s="416"/>
      <c r="AQ55" s="416"/>
      <c r="AR55" s="416"/>
      <c r="AS55" s="416"/>
      <c r="AT55" s="416"/>
      <c r="AU55" s="217"/>
      <c r="AV55" s="217"/>
      <c r="AW55" s="217"/>
      <c r="AX55" s="217"/>
      <c r="AY55" s="217"/>
      <c r="AZ55" s="217"/>
      <c r="BA55" s="217"/>
      <c r="BB55" s="217"/>
      <c r="BC55" s="217"/>
      <c r="BD55" s="217"/>
      <c r="BE55" s="217"/>
      <c r="BF55" s="217"/>
    </row>
    <row r="56" spans="1:58" s="21" customFormat="1" ht="18.75" customHeight="1">
      <c r="A56" s="1069" t="s">
        <v>1403</v>
      </c>
      <c r="B56" s="300" t="s">
        <v>625</v>
      </c>
      <c r="C56" s="300" t="s">
        <v>623</v>
      </c>
      <c r="D56" s="300" t="s">
        <v>1405</v>
      </c>
      <c r="E56" s="26" t="s">
        <v>438</v>
      </c>
      <c r="F56" s="195"/>
      <c r="G56" s="681">
        <v>436</v>
      </c>
      <c r="H56" s="499">
        <f ca="1">_xlfn.LET(_xlpm._今月から4ヶ月計画合計,
  SUM(
    OFFSET($A56,0,
      MATCH(
        EDATE(基準データ!$C$5,3),$A$1:$BD$1,1
      )-4,1,4)),
  IF($C56="","",_xlpm._今月から4ヶ月計画合計
)
)</f>
        <v>38</v>
      </c>
      <c r="I56" s="679">
        <v>387.41935483870969</v>
      </c>
      <c r="J56" s="679">
        <v>36.709677419354833</v>
      </c>
      <c r="K56" s="1413">
        <v>46419</v>
      </c>
      <c r="L56" s="122"/>
      <c r="M56" s="122"/>
      <c r="N56" s="122"/>
      <c r="O56" s="738"/>
      <c r="P56" s="122"/>
      <c r="Q56" s="122"/>
      <c r="R56" s="122"/>
      <c r="S56" s="122"/>
      <c r="T56" s="353">
        <v>30</v>
      </c>
      <c r="U56" s="353">
        <v>30</v>
      </c>
      <c r="V56" s="134">
        <v>20</v>
      </c>
      <c r="W56" s="117"/>
      <c r="X56" s="671"/>
      <c r="Y56" s="671"/>
      <c r="Z56" s="748"/>
      <c r="AA56" s="25"/>
      <c r="AB56" s="749"/>
      <c r="AC56" s="25"/>
      <c r="AD56" s="25"/>
      <c r="AE56" s="25"/>
      <c r="AF56" s="25"/>
      <c r="AG56" s="25">
        <v>15</v>
      </c>
      <c r="AH56" s="178">
        <v>0</v>
      </c>
      <c r="AI56" s="178">
        <v>0</v>
      </c>
      <c r="AJ56" s="178">
        <v>0</v>
      </c>
      <c r="AK56" s="44">
        <v>0</v>
      </c>
      <c r="AL56" s="44">
        <v>2</v>
      </c>
      <c r="AM56" s="44">
        <v>20</v>
      </c>
      <c r="AN56" s="44">
        <v>20</v>
      </c>
      <c r="AO56" s="44">
        <v>20</v>
      </c>
      <c r="AP56" s="44">
        <v>6</v>
      </c>
      <c r="AQ56" s="44">
        <v>6</v>
      </c>
      <c r="AR56" s="44">
        <v>6</v>
      </c>
      <c r="AS56" s="44">
        <v>0</v>
      </c>
      <c r="AT56" s="44">
        <v>0</v>
      </c>
      <c r="AU56" s="62"/>
      <c r="AV56" s="62"/>
      <c r="AW56" s="62"/>
      <c r="AX56" s="62"/>
      <c r="AY56" s="62"/>
      <c r="AZ56" s="62"/>
      <c r="BA56" s="62"/>
      <c r="BB56" s="62"/>
      <c r="BC56" s="62"/>
      <c r="BD56" s="62"/>
      <c r="BE56" s="62"/>
      <c r="BF56" s="62"/>
    </row>
    <row r="57" spans="1:58" s="21" customFormat="1" ht="18.75" customHeight="1">
      <c r="A57" s="1069"/>
      <c r="B57" s="193"/>
      <c r="C57" s="193"/>
      <c r="D57" s="193"/>
      <c r="E57" s="193"/>
      <c r="F57" s="195"/>
      <c r="G57" s="681" t="str">
        <v/>
      </c>
      <c r="H57" s="499" t="str">
        <f ca="1">_xlfn.LET(_xlpm._今月から4ヶ月計画合計,
  SUM(
    OFFSET($A57,0,
      MATCH(
        EDATE(基準データ!$C$5,3),$A$1:$BD$1,1
      )-4,1,4)),
  IF($C57="","",_xlpm._今月から4ヶ月計画合計
)
)</f>
        <v/>
      </c>
      <c r="I57" s="679" t="str">
        <v/>
      </c>
      <c r="J57" s="679" t="str">
        <v/>
      </c>
      <c r="K57" s="1413" t="str">
        <v/>
      </c>
      <c r="L57" s="750"/>
      <c r="M57" s="750"/>
      <c r="N57" s="750"/>
      <c r="O57" s="751"/>
      <c r="P57" s="752"/>
      <c r="Q57" s="752"/>
      <c r="R57" s="752"/>
      <c r="S57" s="752"/>
      <c r="T57" s="752"/>
      <c r="U57" s="752"/>
      <c r="V57" s="753"/>
      <c r="W57" s="754"/>
      <c r="X57" s="755"/>
      <c r="Y57" s="755"/>
      <c r="Z57" s="756"/>
      <c r="AA57" s="757"/>
      <c r="AB57" s="758"/>
      <c r="AC57" s="747"/>
      <c r="AD57" s="747"/>
      <c r="AE57" s="747"/>
      <c r="AF57" s="747"/>
      <c r="AG57" s="747"/>
      <c r="AH57" s="747"/>
      <c r="AI57" s="747"/>
      <c r="AJ57" s="747"/>
      <c r="AK57" s="747"/>
      <c r="AL57" s="757"/>
      <c r="AM57" s="757"/>
      <c r="AN57" s="757"/>
      <c r="AO57" s="757"/>
      <c r="AP57" s="757"/>
      <c r="AQ57" s="757"/>
      <c r="AR57" s="757"/>
      <c r="AS57" s="757"/>
      <c r="AT57" s="757"/>
      <c r="AU57" s="763"/>
      <c r="AV57" s="763"/>
      <c r="AW57" s="763"/>
      <c r="AX57" s="763"/>
      <c r="AY57" s="763"/>
      <c r="AZ57" s="763"/>
      <c r="BA57" s="763"/>
      <c r="BB57" s="763"/>
      <c r="BC57" s="763"/>
      <c r="BD57" s="763"/>
      <c r="BE57" s="763"/>
      <c r="BF57" s="763"/>
    </row>
    <row r="58" spans="1:58" s="21" customFormat="1" ht="18.75" customHeight="1">
      <c r="A58" s="1061" t="s">
        <v>1650</v>
      </c>
      <c r="B58" s="300" t="s">
        <v>561</v>
      </c>
      <c r="C58" s="194" t="s">
        <v>551</v>
      </c>
      <c r="D58" s="194" t="s">
        <v>1448</v>
      </c>
      <c r="E58" s="300" t="s">
        <v>438</v>
      </c>
      <c r="F58" s="739"/>
      <c r="G58" s="679">
        <v>168</v>
      </c>
      <c r="H58" s="499" cm="1">
        <f t="array" aca="1" ref="H58" ca="1">_xlfn.LET(_xlpm._今月から4ヶ月計画合計,
  SUM(
    OFFSET($A58,0,
      MATCH(
        EDATE(基準データ!$C$5,3),$A$1:$BD$1,1
      )-4,1,4)),
  IF($C58="","",_xlpm._今月から4ヶ月計画合計
)
)</f>
        <v>19</v>
      </c>
      <c r="I58" s="679">
        <v>139.7741935483871</v>
      </c>
      <c r="J58" s="679">
        <v>18.548387096774192</v>
      </c>
      <c r="K58" s="1413">
        <v>46388</v>
      </c>
      <c r="L58" s="109"/>
      <c r="M58" s="109"/>
      <c r="N58" s="196"/>
      <c r="O58" s="423"/>
      <c r="P58" s="423"/>
      <c r="Q58" s="423"/>
      <c r="R58" s="423"/>
      <c r="S58" s="423"/>
      <c r="T58" s="423"/>
      <c r="U58" s="423"/>
      <c r="V58" s="423"/>
      <c r="W58" s="516"/>
      <c r="X58" s="516"/>
      <c r="Y58" s="516"/>
      <c r="Z58" s="516"/>
      <c r="AA58" s="516"/>
      <c r="AB58" s="516"/>
      <c r="AC58" s="516"/>
      <c r="AD58" s="516"/>
      <c r="AE58" s="219"/>
      <c r="AF58" s="219"/>
      <c r="AG58" s="219"/>
      <c r="AH58" s="219"/>
      <c r="AI58" s="219"/>
      <c r="AJ58" s="219">
        <v>5</v>
      </c>
      <c r="AK58" s="219">
        <v>0</v>
      </c>
      <c r="AL58" s="416">
        <v>2</v>
      </c>
      <c r="AM58" s="416">
        <v>5</v>
      </c>
      <c r="AN58" s="416">
        <v>5</v>
      </c>
      <c r="AO58" s="416">
        <v>7</v>
      </c>
      <c r="AP58" s="416">
        <v>7</v>
      </c>
      <c r="AQ58" s="416">
        <v>5</v>
      </c>
      <c r="AR58" s="416">
        <v>0</v>
      </c>
      <c r="AS58" s="416">
        <v>0</v>
      </c>
      <c r="AT58" s="416">
        <v>0</v>
      </c>
      <c r="AU58" s="217">
        <v>0</v>
      </c>
      <c r="AV58" s="217"/>
      <c r="AW58" s="217"/>
      <c r="AX58" s="217"/>
      <c r="AY58" s="217"/>
      <c r="AZ58" s="217"/>
      <c r="BA58" s="217"/>
      <c r="BB58" s="217"/>
      <c r="BC58" s="217"/>
      <c r="BD58" s="217"/>
      <c r="BE58" s="217"/>
      <c r="BF58" s="217"/>
    </row>
    <row r="59" spans="1:58" s="70" customFormat="1" ht="18.75" customHeight="1">
      <c r="A59" s="1061"/>
      <c r="B59" s="55"/>
      <c r="C59" s="57"/>
      <c r="D59" s="57"/>
      <c r="E59" s="58"/>
      <c r="F59" s="58"/>
      <c r="G59" s="679" t="str">
        <v/>
      </c>
      <c r="H59" s="499" t="str">
        <f ca="1">_xlfn.LET(_xlpm._今月から4ヶ月計画合計,
  SUM(
    OFFSET($A59,0,
      MATCH(
        EDATE(基準データ!$C$5,3),$A$1:$BD$1,1
      )-4,1,4)),
  IF($C59="","",_xlpm._今月から4ヶ月計画合計
)
)</f>
        <v/>
      </c>
      <c r="I59" s="679" t="str">
        <v/>
      </c>
      <c r="J59" s="679" t="str">
        <v/>
      </c>
      <c r="K59" s="1413" t="str">
        <v/>
      </c>
      <c r="L59" s="740"/>
      <c r="M59" s="740"/>
      <c r="N59" s="740"/>
      <c r="O59" s="740"/>
      <c r="P59" s="740"/>
      <c r="Q59" s="740"/>
      <c r="R59" s="740"/>
      <c r="S59" s="740"/>
      <c r="T59" s="740"/>
      <c r="U59" s="740"/>
      <c r="V59" s="742"/>
      <c r="W59" s="140"/>
      <c r="X59" s="140"/>
      <c r="Y59" s="140"/>
      <c r="Z59" s="140"/>
      <c r="AA59" s="250"/>
      <c r="AB59" s="140"/>
      <c r="AC59" s="140"/>
      <c r="AD59" s="140"/>
      <c r="AE59" s="140"/>
      <c r="AF59" s="140"/>
      <c r="AG59" s="140"/>
      <c r="AH59" s="140"/>
      <c r="AI59" s="427"/>
      <c r="AJ59" s="416"/>
      <c r="AK59" s="416"/>
      <c r="AL59" s="416"/>
      <c r="AM59" s="416"/>
      <c r="AN59" s="416"/>
      <c r="AO59" s="416"/>
      <c r="AP59" s="416"/>
      <c r="AQ59" s="416"/>
      <c r="AR59" s="416"/>
      <c r="AS59" s="416"/>
      <c r="AT59" s="416"/>
      <c r="AU59" s="217"/>
      <c r="AV59" s="217"/>
      <c r="AW59" s="217"/>
      <c r="AX59" s="217"/>
      <c r="AY59" s="217"/>
      <c r="AZ59" s="217"/>
      <c r="BA59" s="217"/>
      <c r="BB59" s="217"/>
      <c r="BC59" s="217"/>
      <c r="BD59" s="217"/>
      <c r="BE59" s="217"/>
      <c r="BF59" s="217"/>
    </row>
    <row r="60" spans="1:58" s="21" customFormat="1" ht="18.75" customHeight="1">
      <c r="A60" s="1061" t="s">
        <v>1651</v>
      </c>
      <c r="B60" s="55" t="s">
        <v>583</v>
      </c>
      <c r="C60" s="57" t="s">
        <v>580</v>
      </c>
      <c r="D60" s="57" t="s">
        <v>1426</v>
      </c>
      <c r="E60" s="58" t="s">
        <v>438</v>
      </c>
      <c r="F60" s="58"/>
      <c r="G60" s="679">
        <v>104</v>
      </c>
      <c r="H60" s="499">
        <f ca="1">_xlfn.LET(_xlpm._今月から4ヶ月計画合計,
  SUM(
    OFFSET($A60,0,
      MATCH(
        EDATE(基準データ!$C$5,3),$A$1:$BD$1,1
      )-4,1,4)),
  IF($C60="","",_xlpm._今月から4ヶ月計画合計
)
)</f>
        <v>0</v>
      </c>
      <c r="I60" s="679">
        <v>0</v>
      </c>
      <c r="J60" s="679">
        <v>0</v>
      </c>
      <c r="K60" s="1413" t="str">
        <v>計画なし</v>
      </c>
      <c r="L60" s="628">
        <v>60</v>
      </c>
      <c r="M60" s="628">
        <v>60</v>
      </c>
      <c r="N60" s="628">
        <v>30</v>
      </c>
      <c r="O60" s="628">
        <v>30</v>
      </c>
      <c r="P60" s="628">
        <v>48</v>
      </c>
      <c r="Q60" s="628">
        <v>41</v>
      </c>
      <c r="R60" s="628">
        <v>84</v>
      </c>
      <c r="S60" s="140">
        <v>63</v>
      </c>
      <c r="T60" s="140">
        <v>29</v>
      </c>
      <c r="U60" s="140">
        <v>125</v>
      </c>
      <c r="V60" s="250">
        <v>130</v>
      </c>
      <c r="W60" s="250">
        <v>135</v>
      </c>
      <c r="X60" s="250">
        <v>292</v>
      </c>
      <c r="Y60" s="140">
        <v>270</v>
      </c>
      <c r="Z60" s="140">
        <v>90</v>
      </c>
      <c r="AA60" s="250">
        <v>50</v>
      </c>
      <c r="AB60" s="250">
        <v>50</v>
      </c>
      <c r="AC60" s="250"/>
      <c r="AD60" s="250"/>
      <c r="AE60" s="250"/>
      <c r="AF60" s="250"/>
      <c r="AG60" s="250"/>
      <c r="AH60" s="183">
        <v>3</v>
      </c>
      <c r="AI60" s="183">
        <v>8</v>
      </c>
      <c r="AJ60" s="183">
        <v>1</v>
      </c>
      <c r="AK60" s="38">
        <v>400</v>
      </c>
      <c r="AL60" s="38">
        <v>1</v>
      </c>
      <c r="AM60" s="416">
        <v>109</v>
      </c>
      <c r="AN60" s="416"/>
      <c r="AO60" s="416"/>
      <c r="AP60" s="416"/>
      <c r="AQ60" s="416"/>
      <c r="AR60" s="416"/>
      <c r="AS60" s="416"/>
      <c r="AT60" s="416"/>
      <c r="AU60" s="217"/>
      <c r="AV60" s="217"/>
      <c r="AW60" s="217"/>
      <c r="AX60" s="217"/>
      <c r="AY60" s="217"/>
      <c r="AZ60" s="217"/>
      <c r="BA60" s="217"/>
      <c r="BB60" s="217"/>
      <c r="BC60" s="217"/>
      <c r="BD60" s="217"/>
      <c r="BE60" s="217"/>
      <c r="BF60" s="217"/>
    </row>
    <row r="61" spans="1:58" s="21" customFormat="1" ht="18.75" customHeight="1">
      <c r="A61" s="1061" t="s">
        <v>1651</v>
      </c>
      <c r="B61" s="26" t="s">
        <v>570</v>
      </c>
      <c r="C61" s="25" t="s">
        <v>567</v>
      </c>
      <c r="D61" s="24" t="s">
        <v>1426</v>
      </c>
      <c r="E61" s="26" t="s">
        <v>438</v>
      </c>
      <c r="F61" s="26"/>
      <c r="G61" s="681">
        <v>69</v>
      </c>
      <c r="H61" s="499">
        <f ca="1">_xlfn.LET(_xlpm._今月から4ヶ月計画合計,
  SUM(
    OFFSET($A61,0,
      MATCH(
        EDATE(基準データ!$C$5,3),$A$1:$BD$1,1
      )-4,1,4)),
  IF($C61="","",_xlpm._今月から4ヶ月計画合計
)
)</f>
        <v>0</v>
      </c>
      <c r="I61" s="679">
        <v>0</v>
      </c>
      <c r="J61" s="679">
        <v>0</v>
      </c>
      <c r="K61" s="1410" t="str">
        <v>計画なし</v>
      </c>
      <c r="L61" s="38"/>
      <c r="M61" s="38"/>
      <c r="N61" s="38"/>
      <c r="O61" s="38"/>
      <c r="P61" s="38"/>
      <c r="Q61" s="38"/>
      <c r="R61" s="219"/>
      <c r="S61" s="219"/>
      <c r="T61" s="219"/>
      <c r="U61" s="219"/>
      <c r="V61" s="219"/>
      <c r="W61" s="219"/>
      <c r="X61" s="219"/>
      <c r="Y61" s="219"/>
      <c r="Z61" s="219">
        <v>60</v>
      </c>
      <c r="AA61" s="219">
        <v>80</v>
      </c>
      <c r="AB61" s="219">
        <v>60</v>
      </c>
      <c r="AC61" s="219">
        <v>370</v>
      </c>
      <c r="AD61" s="219">
        <v>570</v>
      </c>
      <c r="AE61" s="219" ph="1">
        <v>170</v>
      </c>
      <c r="AF61" s="219">
        <v>150</v>
      </c>
      <c r="AG61" s="219">
        <v>215</v>
      </c>
      <c r="AH61" s="1159">
        <v>146</v>
      </c>
      <c r="AI61" s="1159">
        <v>265</v>
      </c>
      <c r="AJ61" s="1159">
        <v>2</v>
      </c>
      <c r="AK61" s="38">
        <v>57</v>
      </c>
      <c r="AL61" s="38">
        <v>0</v>
      </c>
      <c r="AM61" s="25">
        <v>0</v>
      </c>
      <c r="AN61" s="25">
        <v>69</v>
      </c>
      <c r="AO61" s="25"/>
      <c r="AP61" s="25"/>
      <c r="AQ61" s="25"/>
      <c r="AR61" s="25"/>
      <c r="AS61" s="25"/>
      <c r="AT61" s="25"/>
      <c r="AU61" s="62"/>
      <c r="AV61" s="62"/>
      <c r="AW61" s="62"/>
      <c r="AX61" s="62"/>
      <c r="AY61" s="62"/>
      <c r="AZ61" s="62"/>
      <c r="BA61" s="62"/>
      <c r="BB61" s="62"/>
      <c r="BC61" s="62"/>
      <c r="BD61" s="62"/>
      <c r="BE61" s="62"/>
      <c r="BF61" s="62"/>
    </row>
    <row r="62" spans="1:58" s="21" customFormat="1" ht="18.75" customHeight="1">
      <c r="A62" s="1061" t="s">
        <v>1651</v>
      </c>
      <c r="B62" s="28" t="s">
        <v>1838</v>
      </c>
      <c r="C62" s="25" t="s">
        <v>579</v>
      </c>
      <c r="D62" s="24" t="s">
        <v>1426</v>
      </c>
      <c r="E62" s="26" t="s">
        <v>438</v>
      </c>
      <c r="F62" s="111" t="s">
        <v>20</v>
      </c>
      <c r="G62" s="681">
        <v>702</v>
      </c>
      <c r="H62" s="499">
        <f ca="1">_xlfn.LET(_xlpm._今月から4ヶ月計画合計,
  SUM(
    OFFSET($A62,0,
      MATCH(
        EDATE(基準データ!$C$5,3),$A$1:$BD$1,1
      )-4,1,4)),
  IF($C62="","",_xlpm._今月から4ヶ月計画合計
)
)</f>
        <v>443</v>
      </c>
      <c r="I62" s="679">
        <v>0</v>
      </c>
      <c r="J62" s="679">
        <v>418.16129032258061</v>
      </c>
      <c r="K62" s="1410" t="str">
        <v>合計431、在庫+注残702のため不足</v>
      </c>
      <c r="L62" s="38"/>
      <c r="M62" s="38"/>
      <c r="N62" s="116"/>
      <c r="O62" s="122"/>
      <c r="P62" s="122"/>
      <c r="Q62" s="122"/>
      <c r="R62" s="122"/>
      <c r="S62" s="122"/>
      <c r="T62" s="353"/>
      <c r="U62" s="353"/>
      <c r="V62" s="347"/>
      <c r="W62" s="670"/>
      <c r="X62" s="390"/>
      <c r="Y62" s="390"/>
      <c r="Z62" s="390"/>
      <c r="AA62" s="390"/>
      <c r="AB62" s="390"/>
      <c r="AC62" s="390"/>
      <c r="AD62" s="760"/>
      <c r="AE62" s="760"/>
      <c r="AF62" s="760"/>
      <c r="AG62" s="760"/>
      <c r="AH62" s="1155">
        <v>0</v>
      </c>
      <c r="AI62" s="1155">
        <v>0</v>
      </c>
      <c r="AJ62" s="1155">
        <v>0</v>
      </c>
      <c r="AK62" s="219">
        <v>89</v>
      </c>
      <c r="AL62" s="219">
        <v>13</v>
      </c>
      <c r="AM62" s="219">
        <v>125</v>
      </c>
      <c r="AN62" s="219">
        <v>134</v>
      </c>
      <c r="AO62" s="219">
        <v>385</v>
      </c>
      <c r="AP62" s="219">
        <v>58</v>
      </c>
      <c r="AQ62" s="219">
        <v>0</v>
      </c>
      <c r="AR62" s="219">
        <v>0</v>
      </c>
      <c r="AS62" s="219">
        <v>0</v>
      </c>
      <c r="AT62" s="219">
        <v>0</v>
      </c>
      <c r="AU62" s="62"/>
      <c r="AV62" s="62"/>
      <c r="AW62" s="62"/>
      <c r="AX62" s="62"/>
      <c r="AY62" s="62"/>
      <c r="AZ62" s="62"/>
      <c r="BA62" s="62"/>
      <c r="BB62" s="62"/>
      <c r="BC62" s="62"/>
      <c r="BD62" s="62"/>
      <c r="BE62" s="62"/>
      <c r="BF62" s="62"/>
    </row>
    <row r="63" spans="1:58" s="21" customFormat="1" ht="18.75" customHeight="1">
      <c r="A63" s="1061" t="s">
        <v>1651</v>
      </c>
      <c r="B63" s="55" t="s">
        <v>595</v>
      </c>
      <c r="C63" s="57" t="s">
        <v>592</v>
      </c>
      <c r="D63" s="24" t="s">
        <v>1426</v>
      </c>
      <c r="E63" s="58" t="s">
        <v>438</v>
      </c>
      <c r="F63" s="737" t="s">
        <v>1725</v>
      </c>
      <c r="G63" s="681">
        <v>99</v>
      </c>
      <c r="H63" s="499">
        <f ca="1">_xlfn.LET(_xlpm._今月から4ヶ月計画合計,
  SUM(
    OFFSET($A63,0,
      MATCH(
        EDATE(基準データ!$C$5,3),$A$1:$BD$1,1
      )-4,1,4)),
  IF($C63="","",_xlpm._今月から4ヶ月計画合計
)
)</f>
        <v>0</v>
      </c>
      <c r="I63" s="679">
        <v>134.83870967741933</v>
      </c>
      <c r="J63" s="679">
        <v>0</v>
      </c>
      <c r="K63" s="1410">
        <v>46204</v>
      </c>
      <c r="L63" s="308"/>
      <c r="M63" s="308"/>
      <c r="N63" s="912"/>
      <c r="O63" s="423"/>
      <c r="P63" s="423"/>
      <c r="Q63" s="423"/>
      <c r="R63" s="423"/>
      <c r="S63" s="122"/>
      <c r="T63" s="353"/>
      <c r="U63" s="353"/>
      <c r="V63" s="347"/>
      <c r="W63" s="670"/>
      <c r="X63" s="390"/>
      <c r="Y63" s="390"/>
      <c r="Z63" s="390"/>
      <c r="AA63" s="669"/>
      <c r="AB63" s="390"/>
      <c r="AC63" s="390"/>
      <c r="AH63" s="25"/>
      <c r="AI63" s="219"/>
      <c r="AJ63" s="219"/>
      <c r="AK63" s="219"/>
      <c r="AL63" s="25">
        <v>0</v>
      </c>
      <c r="AM63" s="25">
        <v>0</v>
      </c>
      <c r="AN63" s="25">
        <v>0</v>
      </c>
      <c r="AO63" s="25">
        <v>0</v>
      </c>
      <c r="AP63" s="25">
        <v>0</v>
      </c>
      <c r="AQ63" s="25"/>
      <c r="AR63" s="25"/>
      <c r="AS63" s="25"/>
      <c r="AT63" s="25"/>
      <c r="AU63" s="62"/>
      <c r="AV63" s="62"/>
      <c r="AW63" s="62"/>
      <c r="AX63" s="62"/>
      <c r="AY63" s="62"/>
      <c r="AZ63" s="62"/>
      <c r="BA63" s="62"/>
      <c r="BB63" s="62"/>
      <c r="BC63" s="62"/>
      <c r="BD63" s="62"/>
      <c r="BE63" s="62"/>
      <c r="BF63" s="62"/>
    </row>
    <row r="64" spans="1:58" s="21" customFormat="1" ht="18.75" customHeight="1">
      <c r="A64" s="1061" t="s">
        <v>1651</v>
      </c>
      <c r="B64" s="55" t="s">
        <v>795</v>
      </c>
      <c r="C64" s="57" t="s">
        <v>792</v>
      </c>
      <c r="D64" s="24"/>
      <c r="E64" s="58" t="s">
        <v>438</v>
      </c>
      <c r="F64" s="737" t="s">
        <v>1725</v>
      </c>
      <c r="G64" s="681">
        <v>2201</v>
      </c>
      <c r="H64" s="499">
        <f ca="1">_xlfn.LET(_xlpm._今月から4ヶ月計画合計,
  SUM(
    OFFSET($A64,0,
      MATCH(
        EDATE(基準データ!$C$5,3),$A$1:$BD$1,1
      )-4,1,4)),
  IF($C64="","",_xlpm._今月から4ヶ月計画合計
)
)</f>
        <v>1700</v>
      </c>
      <c r="I64" s="679">
        <v>873</v>
      </c>
      <c r="J64" s="679">
        <v>5317.7419354838712</v>
      </c>
      <c r="K64" s="1410">
        <v>46296</v>
      </c>
      <c r="L64" s="308"/>
      <c r="M64" s="308"/>
      <c r="N64" s="912"/>
      <c r="O64" s="423"/>
      <c r="P64" s="423"/>
      <c r="Q64" s="423"/>
      <c r="R64" s="423"/>
      <c r="S64" s="122"/>
      <c r="T64" s="353"/>
      <c r="U64" s="353"/>
      <c r="V64" s="347"/>
      <c r="W64" s="670"/>
      <c r="X64" s="390"/>
      <c r="Y64" s="390"/>
      <c r="Z64" s="390"/>
      <c r="AA64" s="669"/>
      <c r="AB64" s="390"/>
      <c r="AC64" s="390"/>
      <c r="AH64" s="25"/>
      <c r="AI64" s="219"/>
      <c r="AJ64" s="219"/>
      <c r="AK64" s="219"/>
      <c r="AL64" s="25">
        <v>0</v>
      </c>
      <c r="AM64" s="25">
        <v>0</v>
      </c>
      <c r="AN64" s="1173">
        <v>0</v>
      </c>
      <c r="AO64" s="25">
        <v>500</v>
      </c>
      <c r="AP64" s="25">
        <v>300</v>
      </c>
      <c r="AQ64" s="25">
        <v>510</v>
      </c>
      <c r="AR64" s="25">
        <v>390</v>
      </c>
      <c r="AS64" s="25">
        <v>380</v>
      </c>
      <c r="AT64" s="25">
        <v>490</v>
      </c>
      <c r="AU64" s="62">
        <v>310</v>
      </c>
      <c r="AV64" s="62">
        <v>560</v>
      </c>
      <c r="AW64" s="62">
        <v>310</v>
      </c>
      <c r="AX64" s="62">
        <v>240</v>
      </c>
      <c r="AY64" s="62">
        <v>640</v>
      </c>
      <c r="AZ64" s="62">
        <v>240</v>
      </c>
      <c r="BA64" s="62">
        <v>240</v>
      </c>
      <c r="BB64" s="62">
        <v>240</v>
      </c>
      <c r="BC64" s="62"/>
      <c r="BD64" s="62"/>
      <c r="BE64" s="62"/>
      <c r="BF64" s="62"/>
    </row>
    <row r="65" spans="1:58" s="21" customFormat="1" ht="18.75" customHeight="1">
      <c r="A65" s="1061" t="s">
        <v>1651</v>
      </c>
      <c r="B65" s="55" t="s">
        <v>646</v>
      </c>
      <c r="C65" s="57" t="s">
        <v>644</v>
      </c>
      <c r="D65" s="57" t="s">
        <v>1732</v>
      </c>
      <c r="E65" s="58" t="s">
        <v>438</v>
      </c>
      <c r="F65" s="58"/>
      <c r="G65" s="679">
        <v>302</v>
      </c>
      <c r="H65" s="499">
        <f ca="1">_xlfn.LET(_xlpm._今月から4ヶ月計画合計,
  SUM(
    OFFSET($A65,0,
      MATCH(
        EDATE(基準データ!$C$5,3),$A$1:$BD$1,1
      )-4,1,4)),
  IF($C65="","",_xlpm._今月から4ヶ月計画合計
)
)</f>
        <v>0</v>
      </c>
      <c r="I65" s="679">
        <v>280.64516129032256</v>
      </c>
      <c r="J65" s="679">
        <v>0</v>
      </c>
      <c r="K65" s="1413">
        <v>46204</v>
      </c>
      <c r="L65" s="740">
        <v>180</v>
      </c>
      <c r="M65" s="740">
        <v>205</v>
      </c>
      <c r="N65" s="740">
        <v>110</v>
      </c>
      <c r="O65" s="740">
        <v>90</v>
      </c>
      <c r="P65" s="740">
        <v>85</v>
      </c>
      <c r="Q65" s="740">
        <v>85</v>
      </c>
      <c r="R65" s="740">
        <v>140</v>
      </c>
      <c r="S65" s="140">
        <v>150</v>
      </c>
      <c r="T65" s="140">
        <v>110</v>
      </c>
      <c r="U65" s="140">
        <v>170</v>
      </c>
      <c r="V65" s="140">
        <v>186</v>
      </c>
      <c r="W65" s="140">
        <v>290</v>
      </c>
      <c r="X65" s="140">
        <v>960</v>
      </c>
      <c r="Y65" s="140">
        <v>710</v>
      </c>
      <c r="Z65" s="140">
        <v>180</v>
      </c>
      <c r="AA65" s="250"/>
      <c r="AB65" s="140"/>
      <c r="AC65" s="140"/>
      <c r="AD65" s="140"/>
      <c r="AE65" s="140"/>
      <c r="AF65" s="140"/>
      <c r="AG65" s="140"/>
      <c r="AH65" s="426">
        <v>12</v>
      </c>
      <c r="AI65" s="426">
        <v>2</v>
      </c>
      <c r="AJ65" s="426">
        <v>2</v>
      </c>
      <c r="AK65" s="426">
        <v>45</v>
      </c>
      <c r="AL65" s="426">
        <v>7</v>
      </c>
      <c r="AM65" s="426">
        <v>0</v>
      </c>
      <c r="AN65" s="426">
        <v>0</v>
      </c>
      <c r="AO65" s="426">
        <v>0</v>
      </c>
      <c r="AP65" s="426">
        <v>0</v>
      </c>
      <c r="AQ65" s="426">
        <v>0</v>
      </c>
      <c r="AR65" s="426">
        <v>0</v>
      </c>
      <c r="AS65" s="426">
        <v>0</v>
      </c>
      <c r="AT65" s="426">
        <v>0</v>
      </c>
      <c r="AU65" s="217"/>
      <c r="AV65" s="217"/>
      <c r="AW65" s="217"/>
      <c r="AX65" s="217"/>
      <c r="AY65" s="217"/>
      <c r="AZ65" s="217"/>
      <c r="BA65" s="217"/>
      <c r="BB65" s="217"/>
      <c r="BC65" s="217"/>
      <c r="BD65" s="217"/>
      <c r="BE65" s="217"/>
      <c r="BF65" s="217"/>
    </row>
    <row r="66" spans="1:58" s="21" customFormat="1" ht="18.75" customHeight="1">
      <c r="A66" s="1061" t="s">
        <v>1651</v>
      </c>
      <c r="B66" s="26" t="s">
        <v>640</v>
      </c>
      <c r="C66" s="25" t="s">
        <v>638</v>
      </c>
      <c r="D66" s="25" t="s">
        <v>1732</v>
      </c>
      <c r="E66" s="26" t="s">
        <v>438</v>
      </c>
      <c r="F66" s="26"/>
      <c r="G66" s="681">
        <v>1</v>
      </c>
      <c r="H66" s="499">
        <f ca="1">_xlfn.LET(_xlpm._今月から4ヶ月計画合計,
  SUM(
    OFFSET($A66,0,
      MATCH(
        EDATE(基準データ!$C$5,3),$A$1:$BD$1,1
      )-4,1,4)),
  IF($C66="","",_xlpm._今月から4ヶ月計画合計
)
)</f>
        <v>0</v>
      </c>
      <c r="I66" s="679">
        <v>0</v>
      </c>
      <c r="J66" s="679">
        <v>0</v>
      </c>
      <c r="K66" s="1410" t="str">
        <v>計画なし</v>
      </c>
      <c r="L66" s="38"/>
      <c r="M66" s="38"/>
      <c r="N66" s="38"/>
      <c r="O66" s="38"/>
      <c r="P66" s="38"/>
      <c r="Q66" s="38"/>
      <c r="R66" s="219"/>
      <c r="S66" s="219"/>
      <c r="T66" s="219"/>
      <c r="U66" s="219"/>
      <c r="V66" s="219"/>
      <c r="W66" s="219"/>
      <c r="X66" s="219"/>
      <c r="Y66" s="219"/>
      <c r="Z66" s="219"/>
      <c r="AA66" s="250">
        <v>170</v>
      </c>
      <c r="AB66" s="140">
        <v>170</v>
      </c>
      <c r="AC66" s="219">
        <v>200</v>
      </c>
      <c r="AD66" s="219">
        <v>230</v>
      </c>
      <c r="AE66" s="219">
        <v>180</v>
      </c>
      <c r="AF66" s="219"/>
      <c r="AG66" s="219"/>
      <c r="AH66" s="1406"/>
      <c r="AI66" s="443"/>
      <c r="AJ66" s="503"/>
      <c r="AK66" s="219"/>
      <c r="AL66" s="416">
        <v>0</v>
      </c>
      <c r="AM66" s="416">
        <v>0</v>
      </c>
      <c r="AN66" s="416">
        <v>0</v>
      </c>
      <c r="AO66" s="416">
        <v>0</v>
      </c>
      <c r="AP66" s="416"/>
      <c r="AQ66" s="416"/>
      <c r="AR66" s="416"/>
      <c r="AS66" s="416"/>
      <c r="AT66" s="416"/>
      <c r="AU66" s="217"/>
      <c r="AV66" s="217"/>
      <c r="AW66" s="217"/>
      <c r="AX66" s="217"/>
      <c r="AY66" s="217"/>
      <c r="AZ66" s="217"/>
      <c r="BA66" s="217"/>
      <c r="BB66" s="217"/>
      <c r="BC66" s="217"/>
      <c r="BD66" s="217"/>
      <c r="BE66" s="217"/>
      <c r="BF66" s="217"/>
    </row>
    <row r="67" spans="1:58" s="21" customFormat="1" ht="18.75" customHeight="1">
      <c r="A67" s="1061" t="s">
        <v>1651</v>
      </c>
      <c r="B67" s="26" t="s">
        <v>634</v>
      </c>
      <c r="C67" s="25" t="s">
        <v>632</v>
      </c>
      <c r="D67" s="25" t="s">
        <v>1405</v>
      </c>
      <c r="E67" s="26" t="s">
        <v>438</v>
      </c>
      <c r="F67" s="58"/>
      <c r="G67" s="681">
        <v>244</v>
      </c>
      <c r="H67" s="499">
        <f ca="1">_xlfn.LET(_xlpm._今月から4ヶ月計画合計,
  SUM(
    OFFSET($A67,0,
      MATCH(
        EDATE(基準データ!$C$5,3),$A$1:$BD$1,1
      )-4,1,4)),
  IF($C67="","",_xlpm._今月から4ヶ月計画合計
)
)</f>
        <v>58</v>
      </c>
      <c r="I67" s="679">
        <v>0</v>
      </c>
      <c r="J67" s="679">
        <v>54.258064516129032</v>
      </c>
      <c r="K67" s="1413" t="str">
        <v>合計56、在庫+注残244のため不足</v>
      </c>
      <c r="L67" s="308"/>
      <c r="M67" s="308"/>
      <c r="N67" s="308"/>
      <c r="O67" s="308"/>
      <c r="P67" s="308"/>
      <c r="Q67" s="308"/>
      <c r="R67" s="350"/>
      <c r="S67" s="350"/>
      <c r="T67" s="350"/>
      <c r="U67" s="350"/>
      <c r="V67" s="703"/>
      <c r="W67" s="532"/>
      <c r="X67" s="532"/>
      <c r="Y67" s="532"/>
      <c r="Z67" s="532"/>
      <c r="AA67" s="250"/>
      <c r="AB67" s="250"/>
      <c r="AC67" s="219"/>
      <c r="AD67" s="219"/>
      <c r="AE67" s="219">
        <v>390</v>
      </c>
      <c r="AF67" s="219">
        <v>290</v>
      </c>
      <c r="AG67" s="219">
        <v>396</v>
      </c>
      <c r="AH67" s="219">
        <v>20</v>
      </c>
      <c r="AI67" s="219">
        <v>241</v>
      </c>
      <c r="AJ67" s="219">
        <v>67</v>
      </c>
      <c r="AK67" s="38">
        <v>330</v>
      </c>
      <c r="AL67" s="38">
        <v>34</v>
      </c>
      <c r="AM67" s="38">
        <v>368</v>
      </c>
      <c r="AN67" s="416">
        <v>166</v>
      </c>
      <c r="AO67" s="416">
        <v>58</v>
      </c>
      <c r="AP67" s="416"/>
      <c r="AQ67" s="416"/>
      <c r="AR67" s="416"/>
      <c r="AS67" s="416"/>
      <c r="AT67" s="416"/>
      <c r="AU67" s="62"/>
      <c r="AV67" s="62"/>
      <c r="AW67" s="62"/>
      <c r="AX67" s="62"/>
      <c r="AY67" s="62"/>
      <c r="AZ67" s="62"/>
      <c r="BA67" s="62"/>
      <c r="BB67" s="62"/>
      <c r="BC67" s="62"/>
      <c r="BD67" s="62"/>
      <c r="BE67" s="62"/>
      <c r="BF67" s="62"/>
    </row>
    <row r="68" spans="1:58" s="21" customFormat="1" ht="18.75" customHeight="1">
      <c r="A68" s="1061" t="s">
        <v>1651</v>
      </c>
      <c r="B68" s="28" t="s">
        <v>1863</v>
      </c>
      <c r="C68" s="25" t="s">
        <v>637</v>
      </c>
      <c r="D68" s="24" t="s">
        <v>1405</v>
      </c>
      <c r="E68" s="26" t="s">
        <v>438</v>
      </c>
      <c r="F68" s="111" t="s">
        <v>20</v>
      </c>
      <c r="G68" s="681">
        <v>471</v>
      </c>
      <c r="H68" s="499">
        <f ca="1">_xlfn.LET(_xlpm._今月から4ヶ月計画合計,
  SUM(
    OFFSET($A68,0,
      MATCH(
        EDATE(基準データ!$C$5,3),$A$1:$BD$1,1
      )-4,1,4)),
  IF($C68="","",_xlpm._今月から4ヶ月計画合計
)
)</f>
        <v>307</v>
      </c>
      <c r="I68" s="679">
        <v>0</v>
      </c>
      <c r="J68" s="679">
        <v>292.87096774193549</v>
      </c>
      <c r="K68" s="1410" t="str">
        <v>合計300、在庫+注残471のため不足</v>
      </c>
      <c r="L68" s="38"/>
      <c r="M68" s="38"/>
      <c r="N68" s="116"/>
      <c r="O68" s="122"/>
      <c r="P68" s="122"/>
      <c r="Q68" s="122"/>
      <c r="R68" s="122"/>
      <c r="S68" s="122"/>
      <c r="T68" s="353"/>
      <c r="U68" s="353"/>
      <c r="V68" s="347"/>
      <c r="W68" s="670"/>
      <c r="X68" s="390"/>
      <c r="Y68" s="390"/>
      <c r="Z68" s="669"/>
      <c r="AB68" s="760"/>
      <c r="AC68" s="760"/>
      <c r="AD68" s="760"/>
      <c r="AE68" s="760"/>
      <c r="AF68" s="760"/>
      <c r="AG68" s="760"/>
      <c r="AH68" s="416">
        <v>0</v>
      </c>
      <c r="AI68" s="416">
        <v>0</v>
      </c>
      <c r="AJ68" s="416">
        <v>0</v>
      </c>
      <c r="AK68" s="38">
        <v>1</v>
      </c>
      <c r="AL68" s="38">
        <v>0</v>
      </c>
      <c r="AM68" s="38">
        <v>140</v>
      </c>
      <c r="AN68" s="38">
        <v>649</v>
      </c>
      <c r="AO68" s="74">
        <v>219</v>
      </c>
      <c r="AP68" s="38">
        <v>88</v>
      </c>
      <c r="AQ68" s="38">
        <v>0</v>
      </c>
      <c r="AR68" s="38"/>
      <c r="AS68" s="38"/>
      <c r="AT68" s="38"/>
      <c r="AU68" s="62"/>
      <c r="AV68" s="62"/>
      <c r="AW68" s="62"/>
      <c r="AX68" s="62"/>
      <c r="AY68" s="62"/>
      <c r="AZ68" s="62"/>
      <c r="BA68" s="62"/>
      <c r="BB68" s="62"/>
      <c r="BC68" s="62"/>
      <c r="BD68" s="62"/>
      <c r="BE68" s="62"/>
      <c r="BF68" s="62"/>
    </row>
    <row r="69" spans="1:58" s="21" customFormat="1" ht="18.75" customHeight="1">
      <c r="A69" s="1061" t="s">
        <v>1651</v>
      </c>
      <c r="B69" s="55" t="s">
        <v>655</v>
      </c>
      <c r="C69" s="57" t="s">
        <v>653</v>
      </c>
      <c r="D69" s="56" t="s">
        <v>1732</v>
      </c>
      <c r="E69" s="58" t="s">
        <v>438</v>
      </c>
      <c r="F69" s="737" t="s">
        <v>1725</v>
      </c>
      <c r="G69" s="681">
        <v>833</v>
      </c>
      <c r="H69" s="499">
        <f ca="1">_xlfn.LET(_xlpm._今月から4ヶ月計画合計,
  SUM(
    OFFSET($A69,0,
      MATCH(
        EDATE(基準データ!$C$5,3),$A$1:$BD$1,1
      )-4,1,4)),
  IF($C69="","",_xlpm._今月から4ヶ月計画合計
)
)</f>
        <v>0</v>
      </c>
      <c r="I69" s="679">
        <v>770.64516129032256</v>
      </c>
      <c r="J69" s="679">
        <v>0</v>
      </c>
      <c r="K69" s="1410">
        <v>46266</v>
      </c>
      <c r="L69" s="308"/>
      <c r="M69" s="308"/>
      <c r="N69" s="912"/>
      <c r="O69" s="423"/>
      <c r="P69" s="423"/>
      <c r="Q69" s="423"/>
      <c r="R69" s="423"/>
      <c r="S69" s="423"/>
      <c r="T69" s="530"/>
      <c r="U69" s="530"/>
      <c r="W69" s="670"/>
      <c r="X69" s="390"/>
      <c r="Y69" s="390"/>
      <c r="Z69" s="669"/>
      <c r="AH69" s="25"/>
      <c r="AI69" s="25"/>
      <c r="AJ69" s="51"/>
      <c r="AK69" s="25"/>
      <c r="AL69" s="25">
        <v>0</v>
      </c>
      <c r="AM69" s="25">
        <v>0</v>
      </c>
      <c r="AN69" s="25">
        <v>0</v>
      </c>
      <c r="AO69" s="25">
        <v>0</v>
      </c>
      <c r="AP69" s="25">
        <v>0</v>
      </c>
      <c r="AQ69" s="25">
        <v>0</v>
      </c>
      <c r="AR69" s="25">
        <v>0</v>
      </c>
      <c r="AS69" s="25"/>
      <c r="AT69" s="25"/>
      <c r="AU69" s="62"/>
      <c r="AV69" s="62"/>
      <c r="AW69" s="62"/>
      <c r="AX69" s="62"/>
      <c r="AY69" s="62"/>
      <c r="AZ69" s="62"/>
      <c r="BA69" s="62"/>
      <c r="BB69" s="62"/>
      <c r="BC69" s="62"/>
      <c r="BD69" s="62"/>
      <c r="BE69" s="62"/>
      <c r="BF69" s="62"/>
    </row>
    <row r="70" spans="1:58" s="21" customFormat="1" ht="18.75" customHeight="1">
      <c r="A70" s="1061" t="s">
        <v>1651</v>
      </c>
      <c r="B70" s="55" t="s">
        <v>651</v>
      </c>
      <c r="C70" s="57" t="s">
        <v>649</v>
      </c>
      <c r="D70" s="56" t="s">
        <v>1732</v>
      </c>
      <c r="E70" s="58"/>
      <c r="F70" s="737"/>
      <c r="G70" s="681">
        <v>1331</v>
      </c>
      <c r="H70" s="499">
        <f ca="1">_xlfn.LET(_xlpm._今月から4ヶ月計画合計,
  SUM(
    OFFSET($A70,0,
      MATCH(
        EDATE(基準データ!$C$5,3),$A$1:$BD$1,1
      )-4,1,4)),
  IF($C70="","",_xlpm._今月から4ヶ月計画合計
)
)</f>
        <v>910</v>
      </c>
      <c r="I70" s="679">
        <v>0</v>
      </c>
      <c r="J70" s="679">
        <v>1071.9354838709678</v>
      </c>
      <c r="K70" s="1413">
        <v>46327</v>
      </c>
      <c r="L70" s="308"/>
      <c r="M70" s="308"/>
      <c r="N70" s="912"/>
      <c r="O70" s="423"/>
      <c r="P70" s="423"/>
      <c r="Q70" s="423"/>
      <c r="R70" s="423"/>
      <c r="S70" s="423"/>
      <c r="T70" s="530"/>
      <c r="U70" s="530"/>
      <c r="W70" s="670"/>
      <c r="X70" s="390"/>
      <c r="Y70" s="390"/>
      <c r="Z70" s="669"/>
      <c r="AH70" s="25"/>
      <c r="AI70" s="25"/>
      <c r="AJ70" s="51"/>
      <c r="AK70" s="25"/>
      <c r="AL70" s="25">
        <v>0</v>
      </c>
      <c r="AM70" s="25">
        <v>0</v>
      </c>
      <c r="AN70" s="25">
        <v>350</v>
      </c>
      <c r="AO70" s="25">
        <v>280</v>
      </c>
      <c r="AP70" s="25">
        <v>210</v>
      </c>
      <c r="AQ70" s="25">
        <v>210</v>
      </c>
      <c r="AR70" s="25">
        <v>210</v>
      </c>
      <c r="AS70" s="25">
        <v>180</v>
      </c>
      <c r="AT70" s="25">
        <v>0</v>
      </c>
      <c r="AU70" s="62">
        <v>0</v>
      </c>
      <c r="AV70" s="62">
        <v>0</v>
      </c>
      <c r="AW70" s="62"/>
      <c r="AX70" s="62"/>
      <c r="AY70" s="62"/>
      <c r="AZ70" s="62"/>
      <c r="BA70" s="62"/>
      <c r="BB70" s="62"/>
      <c r="BC70" s="62"/>
      <c r="BD70" s="62"/>
      <c r="BE70" s="62"/>
      <c r="BF70" s="62"/>
    </row>
    <row r="71" spans="1:58" s="21" customFormat="1" ht="18.75" customHeight="1">
      <c r="A71" s="1061" t="s">
        <v>1651</v>
      </c>
      <c r="B71" s="55" t="s">
        <v>798</v>
      </c>
      <c r="C71" s="57" t="s">
        <v>1659</v>
      </c>
      <c r="D71" s="56"/>
      <c r="E71" s="58"/>
      <c r="F71" s="737"/>
      <c r="G71" s="681">
        <v>0</v>
      </c>
      <c r="H71" s="499">
        <f ca="1">_xlfn.LET(_xlpm._今月から4ヶ月計画合計,
  SUM(
    OFFSET($A71,0,
      MATCH(
        EDATE(基準データ!$C$5,3),$A$1:$BD$1,1
      )-4,1,4)),
  IF($C71="","",_xlpm._今月から4ヶ月計画合計
)
)</f>
        <v>780</v>
      </c>
      <c r="I71" s="679">
        <v>3317</v>
      </c>
      <c r="J71" s="679">
        <v>5290</v>
      </c>
      <c r="K71" s="1413" t="str">
        <v>在庫なし</v>
      </c>
      <c r="L71" s="308"/>
      <c r="M71" s="308"/>
      <c r="N71" s="912"/>
      <c r="O71" s="423"/>
      <c r="P71" s="423"/>
      <c r="Q71" s="423"/>
      <c r="R71" s="423"/>
      <c r="S71" s="423"/>
      <c r="T71" s="530"/>
      <c r="U71" s="530"/>
      <c r="W71" s="670"/>
      <c r="X71" s="390"/>
      <c r="Y71" s="390"/>
      <c r="Z71" s="669"/>
      <c r="AH71" s="25"/>
      <c r="AI71" s="25"/>
      <c r="AJ71" s="51"/>
      <c r="AK71" s="25"/>
      <c r="AL71" s="25">
        <v>0</v>
      </c>
      <c r="AM71" s="25">
        <v>0</v>
      </c>
      <c r="AN71" s="25">
        <v>0</v>
      </c>
      <c r="AO71" s="25">
        <v>0</v>
      </c>
      <c r="AP71" s="25">
        <v>0</v>
      </c>
      <c r="AQ71" s="25">
        <v>0</v>
      </c>
      <c r="AR71" s="25">
        <v>780</v>
      </c>
      <c r="AS71" s="25">
        <v>380</v>
      </c>
      <c r="AT71" s="25">
        <v>610</v>
      </c>
      <c r="AU71" s="25">
        <v>330</v>
      </c>
      <c r="AV71" s="25">
        <v>530</v>
      </c>
      <c r="AW71" s="62">
        <v>430</v>
      </c>
      <c r="AX71" s="62">
        <v>510</v>
      </c>
      <c r="AY71" s="62">
        <v>680</v>
      </c>
      <c r="AZ71" s="62">
        <v>380</v>
      </c>
      <c r="BA71" s="62">
        <v>380</v>
      </c>
      <c r="BB71" s="62">
        <v>280</v>
      </c>
      <c r="BC71" s="62"/>
      <c r="BD71" s="62"/>
      <c r="BE71" s="62"/>
      <c r="BF71" s="62"/>
    </row>
    <row r="72" spans="1:58" s="21" customFormat="1" ht="18.75" customHeight="1">
      <c r="A72" s="1061" t="s">
        <v>1651</v>
      </c>
      <c r="B72" s="55" t="s">
        <v>670</v>
      </c>
      <c r="C72" s="57" t="s">
        <v>668</v>
      </c>
      <c r="D72" s="57" t="s">
        <v>1734</v>
      </c>
      <c r="E72" s="56" t="s">
        <v>438</v>
      </c>
      <c r="F72" s="56"/>
      <c r="G72" s="679">
        <v>45</v>
      </c>
      <c r="H72" s="499">
        <f ca="1">_xlfn.LET(_xlpm._今月から4ヶ月計画合計,
  SUM(
    OFFSET($A72,0,
      MATCH(
        EDATE(基準データ!$C$5,3),$A$1:$BD$1,1
      )-4,1,4)),
  IF($C72="","",_xlpm._今月から4ヶ月計画合計
)
)</f>
        <v>20</v>
      </c>
      <c r="I72" s="679">
        <v>0</v>
      </c>
      <c r="J72" s="679">
        <v>18.709677419354836</v>
      </c>
      <c r="K72" s="1413" t="str">
        <v>合計19、在庫+注残45のため不足</v>
      </c>
      <c r="L72" s="740">
        <v>5</v>
      </c>
      <c r="M72" s="740">
        <v>8</v>
      </c>
      <c r="N72" s="740">
        <v>5</v>
      </c>
      <c r="O72" s="740">
        <v>5</v>
      </c>
      <c r="P72" s="740">
        <v>5</v>
      </c>
      <c r="Q72" s="740">
        <v>8</v>
      </c>
      <c r="R72" s="740"/>
      <c r="S72" s="740"/>
      <c r="T72" s="740"/>
      <c r="U72" s="740"/>
      <c r="V72" s="742"/>
      <c r="W72" s="140">
        <v>30</v>
      </c>
      <c r="X72" s="140"/>
      <c r="Y72" s="140"/>
      <c r="Z72" s="140">
        <v>170</v>
      </c>
      <c r="AA72" s="250"/>
      <c r="AB72" s="140"/>
      <c r="AC72" s="426"/>
      <c r="AD72" s="426"/>
      <c r="AE72" s="426"/>
      <c r="AF72" s="426">
        <v>15</v>
      </c>
      <c r="AG72" s="427">
        <v>15</v>
      </c>
      <c r="AH72" s="416">
        <v>2</v>
      </c>
      <c r="AI72" s="416">
        <v>0</v>
      </c>
      <c r="AJ72" s="416">
        <v>3</v>
      </c>
      <c r="AK72" s="38">
        <v>2</v>
      </c>
      <c r="AL72" s="38">
        <v>16</v>
      </c>
      <c r="AM72" s="38">
        <v>25</v>
      </c>
      <c r="AN72" s="38">
        <v>15</v>
      </c>
      <c r="AO72" s="38">
        <v>20</v>
      </c>
      <c r="AP72" s="416">
        <v>0</v>
      </c>
      <c r="AQ72" s="416">
        <v>0</v>
      </c>
      <c r="AR72" s="416">
        <v>0</v>
      </c>
      <c r="AS72" s="416">
        <v>0</v>
      </c>
      <c r="AT72" s="416">
        <v>0</v>
      </c>
      <c r="AU72" s="217"/>
      <c r="AV72" s="217"/>
      <c r="AW72" s="217"/>
      <c r="AX72" s="217"/>
      <c r="AY72" s="217"/>
      <c r="AZ72" s="217"/>
      <c r="BA72" s="217"/>
      <c r="BB72" s="217"/>
      <c r="BC72" s="217"/>
      <c r="BD72" s="217"/>
      <c r="BE72" s="217"/>
      <c r="BF72" s="217"/>
    </row>
    <row r="73" spans="1:58" s="21" customFormat="1" ht="18.75" customHeight="1">
      <c r="A73" s="1061" t="s">
        <v>1651</v>
      </c>
      <c r="B73" s="28" t="s">
        <v>1842</v>
      </c>
      <c r="C73" s="25" t="s">
        <v>678</v>
      </c>
      <c r="D73" s="24" t="s">
        <v>1734</v>
      </c>
      <c r="E73" s="26" t="s">
        <v>438</v>
      </c>
      <c r="F73" s="111" t="s">
        <v>20</v>
      </c>
      <c r="G73" s="679">
        <v>442</v>
      </c>
      <c r="H73" s="499">
        <f ca="1">_xlfn.LET(_xlpm._今月から4ヶ月計画合計,
  SUM(
    OFFSET($A73,0,
      MATCH(
        EDATE(基準データ!$C$5,3),$A$1:$BD$1,1
      )-4,1,4)),
  IF($C73="","",_xlpm._今月から4ヶ月計画合計
)
)</f>
        <v>51</v>
      </c>
      <c r="I73" s="679">
        <v>372.90322580645159</v>
      </c>
      <c r="J73" s="679">
        <v>47.709677419354833</v>
      </c>
      <c r="K73" s="1410">
        <v>46266</v>
      </c>
      <c r="L73" s="38"/>
      <c r="M73" s="38"/>
      <c r="N73" s="116"/>
      <c r="O73" s="122"/>
      <c r="P73" s="122"/>
      <c r="Q73" s="122"/>
      <c r="R73" s="122"/>
      <c r="S73" s="122"/>
      <c r="T73" s="353"/>
      <c r="U73" s="353"/>
      <c r="V73" s="347"/>
      <c r="W73" s="670"/>
      <c r="X73" s="390"/>
      <c r="Y73" s="390"/>
      <c r="Z73" s="669"/>
      <c r="AB73" s="760"/>
      <c r="AC73" s="760"/>
      <c r="AD73" s="760"/>
      <c r="AE73" s="760"/>
      <c r="AF73" s="760"/>
      <c r="AG73" s="760"/>
      <c r="AH73" s="25"/>
      <c r="AI73" s="25">
        <v>0</v>
      </c>
      <c r="AJ73" s="51">
        <v>0</v>
      </c>
      <c r="AK73" s="25">
        <v>0</v>
      </c>
      <c r="AL73" s="25">
        <v>0</v>
      </c>
      <c r="AM73" s="25">
        <v>0</v>
      </c>
      <c r="AN73" s="25">
        <v>0</v>
      </c>
      <c r="AO73" s="716">
        <f>40+11</f>
        <v>51</v>
      </c>
      <c r="AP73" s="25">
        <v>0</v>
      </c>
      <c r="AQ73" s="25">
        <v>0</v>
      </c>
      <c r="AR73" s="25">
        <v>0</v>
      </c>
      <c r="AS73" s="25">
        <v>0</v>
      </c>
      <c r="AT73" s="25">
        <v>0</v>
      </c>
      <c r="AU73" s="62"/>
      <c r="AV73" s="62"/>
      <c r="AW73" s="62"/>
      <c r="AX73" s="62"/>
      <c r="AY73" s="62"/>
      <c r="AZ73" s="62"/>
      <c r="BA73" s="62"/>
      <c r="BB73" s="62"/>
      <c r="BC73" s="62"/>
      <c r="BD73" s="62"/>
      <c r="BE73" s="62"/>
      <c r="BF73" s="62"/>
    </row>
    <row r="74" spans="1:58" s="21" customFormat="1" ht="18.75" customHeight="1">
      <c r="A74" s="1061" t="s">
        <v>1651</v>
      </c>
      <c r="B74" s="55" t="s">
        <v>661</v>
      </c>
      <c r="C74" s="57" t="s">
        <v>1817</v>
      </c>
      <c r="D74" s="56"/>
      <c r="E74" s="58"/>
      <c r="F74" s="737"/>
      <c r="G74" s="681">
        <v>0</v>
      </c>
      <c r="H74" s="499">
        <f ca="1">_xlfn.LET(_xlpm._今月から4ヶ月計画合計,
  SUM(
    OFFSET($A74,0,
      MATCH(
        EDATE(基準データ!$C$5,3),$A$1:$BD$1,1
      )-4,1,4)),
  IF($C74="","",_xlpm._今月から4ヶ月計画合計
)
)</f>
        <v>0</v>
      </c>
      <c r="I74" s="679">
        <v>0</v>
      </c>
      <c r="J74" s="679">
        <v>0</v>
      </c>
      <c r="K74" s="1413" t="str">
        <v>在庫なし</v>
      </c>
      <c r="L74" s="308"/>
      <c r="M74" s="308"/>
      <c r="N74" s="912"/>
      <c r="O74" s="423"/>
      <c r="P74" s="423"/>
      <c r="Q74" s="423"/>
      <c r="R74" s="423"/>
      <c r="S74" s="423"/>
      <c r="T74" s="530"/>
      <c r="U74" s="530"/>
      <c r="W74" s="670"/>
      <c r="X74" s="390"/>
      <c r="Y74" s="390"/>
      <c r="Z74" s="669"/>
      <c r="AH74" s="25"/>
      <c r="AI74" s="25"/>
      <c r="AJ74" s="51"/>
      <c r="AK74" s="25"/>
      <c r="AL74" s="25"/>
      <c r="AM74" s="25"/>
      <c r="AN74" s="25"/>
      <c r="AO74" s="25"/>
      <c r="AP74" s="25"/>
      <c r="AQ74" s="25"/>
      <c r="AR74" s="25"/>
      <c r="AS74" s="25"/>
      <c r="AT74" s="25"/>
      <c r="AU74" s="62"/>
      <c r="AV74" s="62"/>
      <c r="AW74" s="62"/>
      <c r="AX74" s="62"/>
      <c r="AY74" s="62"/>
      <c r="AZ74" s="62"/>
      <c r="BA74" s="62"/>
      <c r="BB74" s="62"/>
      <c r="BC74" s="62"/>
      <c r="BD74" s="62"/>
      <c r="BE74" s="62"/>
      <c r="BF74" s="62"/>
    </row>
    <row r="75" spans="1:58" s="21" customFormat="1" ht="18.75" customHeight="1">
      <c r="A75" s="1059"/>
      <c r="B75" s="55" t="s">
        <v>1317</v>
      </c>
      <c r="C75" s="57"/>
      <c r="D75" s="57" t="s">
        <v>1317</v>
      </c>
      <c r="E75" s="56" t="s">
        <v>1317</v>
      </c>
      <c r="F75" s="56"/>
      <c r="G75" s="679" t="str">
        <v/>
      </c>
      <c r="H75" s="499" t="str">
        <f ca="1">_xlfn.LET(_xlpm._今月から4ヶ月計画合計,
  SUM(
    OFFSET($A75,0,
      MATCH(
        EDATE(基準データ!$C$5,3),$A$1:$BD$1,1
      )-4,1,4)),
  IF($C75="","",_xlpm._今月から4ヶ月計画合計
)
)</f>
        <v/>
      </c>
      <c r="I75" s="679" t="str">
        <v/>
      </c>
      <c r="J75" s="679" t="str">
        <v/>
      </c>
      <c r="K75" s="1413" t="str">
        <v/>
      </c>
      <c r="L75" s="740"/>
      <c r="M75" s="740"/>
      <c r="N75" s="740"/>
      <c r="O75" s="740"/>
      <c r="P75" s="740"/>
      <c r="Q75" s="740"/>
      <c r="R75" s="740"/>
      <c r="S75" s="740"/>
      <c r="T75" s="740"/>
      <c r="U75" s="740"/>
      <c r="V75" s="742"/>
      <c r="W75" s="140"/>
      <c r="X75" s="140"/>
      <c r="Y75" s="140"/>
      <c r="Z75" s="140"/>
      <c r="AA75" s="250"/>
      <c r="AB75" s="140"/>
      <c r="AC75" s="140"/>
      <c r="AD75" s="140"/>
      <c r="AE75" s="140"/>
      <c r="AF75" s="140"/>
      <c r="AG75" s="140"/>
      <c r="AH75" s="140"/>
      <c r="AI75" s="443"/>
      <c r="AJ75" s="416"/>
      <c r="AK75" s="416"/>
      <c r="AL75" s="416"/>
      <c r="AM75" s="416"/>
      <c r="AN75" s="416"/>
      <c r="AO75" s="416"/>
      <c r="AP75" s="416"/>
      <c r="AQ75" s="416"/>
      <c r="AR75" s="416"/>
      <c r="AS75" s="416"/>
      <c r="AT75" s="416"/>
      <c r="AU75" s="217"/>
      <c r="AV75" s="217"/>
      <c r="AW75" s="217"/>
      <c r="AX75" s="217"/>
      <c r="AY75" s="217"/>
      <c r="AZ75" s="217"/>
      <c r="BA75" s="217"/>
      <c r="BB75" s="217"/>
      <c r="BC75" s="217"/>
      <c r="BD75" s="217"/>
      <c r="BE75" s="217"/>
      <c r="BF75" s="217"/>
    </row>
    <row r="76" spans="1:58" s="21" customFormat="1" ht="18.75" customHeight="1">
      <c r="A76" s="1070" t="s">
        <v>1473</v>
      </c>
      <c r="B76" s="300" t="s">
        <v>726</v>
      </c>
      <c r="C76" s="194" t="s">
        <v>1443</v>
      </c>
      <c r="D76" s="194" t="s">
        <v>1729</v>
      </c>
      <c r="E76" s="193"/>
      <c r="F76" s="195"/>
      <c r="G76" s="679">
        <v>62</v>
      </c>
      <c r="H76" s="499">
        <f ca="1">_xlfn.LET(_xlpm._今月から4ヶ月計画合計,
  SUM(
    OFFSET($A76,0,
      MATCH(
        EDATE(基準データ!$C$5,3),$A$1:$BD$1,1
      )-4,1,4)),
  IF($C76="","",_xlpm._今月から4ヶ月計画合計
)
)</f>
        <v>87</v>
      </c>
      <c r="I76" s="679">
        <v>0</v>
      </c>
      <c r="J76" s="679">
        <v>83.774193548387103</v>
      </c>
      <c r="K76" s="1413">
        <v>46204</v>
      </c>
      <c r="L76" s="109"/>
      <c r="M76" s="109"/>
      <c r="N76" s="196"/>
      <c r="O76" s="122"/>
      <c r="P76" s="122"/>
      <c r="Q76" s="122"/>
      <c r="R76" s="122"/>
      <c r="S76" s="122"/>
      <c r="T76" s="122"/>
      <c r="U76" s="122">
        <v>12</v>
      </c>
      <c r="V76" s="123">
        <v>20</v>
      </c>
      <c r="W76" s="140">
        <v>65</v>
      </c>
      <c r="X76" s="140">
        <v>67</v>
      </c>
      <c r="Y76" s="140">
        <v>40</v>
      </c>
      <c r="Z76" s="140">
        <v>40</v>
      </c>
      <c r="AA76" s="140">
        <v>77</v>
      </c>
      <c r="AB76" s="140">
        <v>77</v>
      </c>
      <c r="AC76" s="140">
        <v>376</v>
      </c>
      <c r="AD76" s="140">
        <v>260</v>
      </c>
      <c r="AE76" s="140">
        <v>100</v>
      </c>
      <c r="AF76" s="140">
        <v>92</v>
      </c>
      <c r="AG76" s="140">
        <v>45</v>
      </c>
      <c r="AH76" s="250">
        <v>36</v>
      </c>
      <c r="AI76" s="250">
        <v>160</v>
      </c>
      <c r="AJ76" s="250">
        <v>198</v>
      </c>
      <c r="AK76" s="38">
        <v>53</v>
      </c>
      <c r="AL76" s="38">
        <v>44</v>
      </c>
      <c r="AM76" s="38">
        <v>162</v>
      </c>
      <c r="AN76" s="38">
        <v>280</v>
      </c>
      <c r="AO76" s="74">
        <v>50</v>
      </c>
      <c r="AP76" s="38">
        <v>0</v>
      </c>
      <c r="AQ76" s="38">
        <v>37</v>
      </c>
      <c r="AR76" s="38">
        <v>0</v>
      </c>
      <c r="AS76" s="38">
        <v>0</v>
      </c>
      <c r="AT76" s="38"/>
      <c r="AU76" s="217"/>
      <c r="AV76" s="217"/>
      <c r="AW76" s="217"/>
      <c r="AX76" s="217"/>
      <c r="AY76" s="217"/>
      <c r="AZ76" s="217"/>
      <c r="BA76" s="217"/>
      <c r="BB76" s="217"/>
      <c r="BC76" s="217"/>
      <c r="BD76" s="217"/>
      <c r="BE76" s="217"/>
      <c r="BF76" s="217"/>
    </row>
    <row r="77" spans="1:58" s="21" customFormat="1" ht="18.75" customHeight="1">
      <c r="A77" s="1070" t="s">
        <v>1473</v>
      </c>
      <c r="B77" s="300" t="s">
        <v>779</v>
      </c>
      <c r="C77" s="194" t="s">
        <v>777</v>
      </c>
      <c r="D77" s="194" t="s">
        <v>1731</v>
      </c>
      <c r="E77" s="193"/>
      <c r="F77" s="195"/>
      <c r="G77" s="679">
        <v>0</v>
      </c>
      <c r="H77" s="499">
        <f ca="1">_xlfn.LET(_xlpm._今月から4ヶ月計画合計,
  SUM(
    OFFSET($A77,0,
      MATCH(
        EDATE(基準データ!$C$5,3),$A$1:$BD$1,1
      )-4,1,4)),
  IF($C77="","",_xlpm._今月から4ヶ月計画合計
)
)</f>
        <v>0</v>
      </c>
      <c r="I77" s="679">
        <v>0</v>
      </c>
      <c r="J77" s="679">
        <v>0</v>
      </c>
      <c r="K77" s="1410" t="str">
        <v>在庫なし</v>
      </c>
      <c r="L77" s="38"/>
      <c r="M77" s="38"/>
      <c r="N77" s="38"/>
      <c r="O77" s="38"/>
      <c r="P77" s="38"/>
      <c r="Q77" s="38"/>
      <c r="R77" s="38"/>
      <c r="S77" s="38"/>
      <c r="T77" s="38"/>
      <c r="U77" s="38"/>
      <c r="V77" s="38"/>
      <c r="W77" s="38">
        <v>4</v>
      </c>
      <c r="X77" s="38">
        <v>77</v>
      </c>
      <c r="Y77" s="38">
        <v>108</v>
      </c>
      <c r="Z77" s="38">
        <v>30</v>
      </c>
      <c r="AA77" s="38">
        <v>8</v>
      </c>
      <c r="AB77" s="38">
        <v>8</v>
      </c>
      <c r="AC77" s="38">
        <v>8</v>
      </c>
      <c r="AD77" s="38">
        <v>8</v>
      </c>
      <c r="AE77" s="38">
        <v>8</v>
      </c>
      <c r="AF77" s="38">
        <v>8</v>
      </c>
      <c r="AG77" s="38">
        <v>8</v>
      </c>
      <c r="AH77" s="38">
        <v>8</v>
      </c>
      <c r="AI77" s="38">
        <v>8</v>
      </c>
      <c r="AJ77" s="416"/>
      <c r="AK77" s="416"/>
      <c r="AL77" s="416">
        <v>0</v>
      </c>
      <c r="AM77" s="416">
        <v>0</v>
      </c>
      <c r="AN77" s="416">
        <v>0</v>
      </c>
      <c r="AO77" s="416">
        <v>0</v>
      </c>
      <c r="AP77" s="416">
        <v>0</v>
      </c>
      <c r="AQ77" s="416">
        <v>0</v>
      </c>
      <c r="AR77" s="416">
        <v>0</v>
      </c>
      <c r="AS77" s="416">
        <v>0</v>
      </c>
      <c r="AT77" s="416"/>
      <c r="AU77" s="217"/>
      <c r="AV77" s="217"/>
      <c r="AW77" s="217"/>
      <c r="AX77" s="217"/>
      <c r="AY77" s="217"/>
      <c r="AZ77" s="217"/>
      <c r="BA77" s="217"/>
      <c r="BB77" s="217"/>
      <c r="BC77" s="217"/>
      <c r="BD77" s="217"/>
      <c r="BE77" s="217"/>
      <c r="BF77" s="217"/>
    </row>
    <row r="78" spans="1:58" s="21" customFormat="1" ht="18.75" customHeight="1">
      <c r="A78" s="1070" t="s">
        <v>1473</v>
      </c>
      <c r="B78" s="300" t="s">
        <v>783</v>
      </c>
      <c r="C78" s="194" t="s">
        <v>781</v>
      </c>
      <c r="D78" s="194" t="s">
        <v>1738</v>
      </c>
      <c r="E78" s="193"/>
      <c r="F78" s="195"/>
      <c r="G78" s="679">
        <v>625</v>
      </c>
      <c r="H78" s="499">
        <f ca="1">_xlfn.LET(_xlpm._今月から4ヶ月計画合計,
  SUM(
    OFFSET($A78,0,
      MATCH(
        EDATE(基準データ!$C$5,3),$A$1:$BD$1,1
      )-4,1,4)),
  IF($C78="","",_xlpm._今月から4ヶ月計画合計
)
)</f>
        <v>540</v>
      </c>
      <c r="I78" s="679">
        <v>0</v>
      </c>
      <c r="J78" s="679">
        <v>508.38709677419354</v>
      </c>
      <c r="K78" s="1413">
        <v>46204</v>
      </c>
      <c r="L78" s="109"/>
      <c r="M78" s="109"/>
      <c r="N78" s="196"/>
      <c r="O78" s="122"/>
      <c r="P78" s="122"/>
      <c r="Q78" s="122"/>
      <c r="R78" s="122"/>
      <c r="S78" s="122"/>
      <c r="T78" s="122"/>
      <c r="U78" s="122">
        <v>50</v>
      </c>
      <c r="V78" s="123">
        <v>74</v>
      </c>
      <c r="W78" s="140">
        <v>56</v>
      </c>
      <c r="X78" s="140">
        <v>95</v>
      </c>
      <c r="Y78" s="140">
        <v>138</v>
      </c>
      <c r="Z78" s="140">
        <v>65</v>
      </c>
      <c r="AA78" s="140">
        <v>70</v>
      </c>
      <c r="AB78" s="140">
        <v>90</v>
      </c>
      <c r="AC78" s="140">
        <v>200</v>
      </c>
      <c r="AD78" s="140">
        <v>70</v>
      </c>
      <c r="AE78" s="140">
        <v>105</v>
      </c>
      <c r="AF78" s="140">
        <v>60</v>
      </c>
      <c r="AG78" s="140">
        <v>65</v>
      </c>
      <c r="AH78" s="250">
        <v>91</v>
      </c>
      <c r="AI78" s="250">
        <v>64</v>
      </c>
      <c r="AJ78" s="250">
        <v>44</v>
      </c>
      <c r="AK78" s="38">
        <v>160</v>
      </c>
      <c r="AL78" s="38">
        <v>255</v>
      </c>
      <c r="AM78" s="38">
        <v>150</v>
      </c>
      <c r="AN78" s="38">
        <v>85</v>
      </c>
      <c r="AO78" s="38">
        <v>490</v>
      </c>
      <c r="AP78" s="38">
        <v>40</v>
      </c>
      <c r="AQ78" s="38">
        <v>10</v>
      </c>
      <c r="AR78" s="38">
        <v>0</v>
      </c>
      <c r="AS78" s="38"/>
      <c r="AT78" s="38"/>
      <c r="AU78" s="217"/>
      <c r="AV78" s="217"/>
      <c r="AW78" s="217"/>
      <c r="AX78" s="217"/>
      <c r="AY78" s="217"/>
      <c r="AZ78" s="217"/>
      <c r="BA78" s="217"/>
      <c r="BB78" s="217"/>
      <c r="BC78" s="217"/>
      <c r="BD78" s="217"/>
      <c r="BE78" s="217"/>
      <c r="BF78" s="217"/>
    </row>
    <row r="79" spans="1:58" s="21" customFormat="1" ht="18.75" customHeight="1">
      <c r="A79" s="1070" t="s">
        <v>1473</v>
      </c>
      <c r="B79" s="300" t="s">
        <v>721</v>
      </c>
      <c r="C79" s="194" t="s">
        <v>718</v>
      </c>
      <c r="D79" s="194" t="s">
        <v>1448</v>
      </c>
      <c r="E79" s="300" t="s">
        <v>438</v>
      </c>
      <c r="F79" s="739"/>
      <c r="G79" s="679">
        <v>1001</v>
      </c>
      <c r="H79" s="499">
        <f ca="1">_xlfn.LET(_xlpm._今月から4ヶ月計画合計,
  SUM(
    OFFSET($A79,0,
      MATCH(
        EDATE(基準データ!$C$5,3),$A$1:$BD$1,1
      )-4,1,4)),
  IF($C79="","",_xlpm._今月から4ヶ月計画合計
)
)</f>
        <v>826</v>
      </c>
      <c r="I79" s="679">
        <v>102.2258064516129</v>
      </c>
      <c r="J79" s="679">
        <v>2323.2258064516127</v>
      </c>
      <c r="K79" s="1413">
        <v>46296</v>
      </c>
      <c r="L79" s="109"/>
      <c r="M79" s="109"/>
      <c r="N79" s="196"/>
      <c r="O79" s="423"/>
      <c r="P79" s="423"/>
      <c r="Q79" s="423"/>
      <c r="R79" s="423"/>
      <c r="S79" s="423"/>
      <c r="T79" s="423"/>
      <c r="U79" s="423"/>
      <c r="V79" s="423"/>
      <c r="W79" s="516"/>
      <c r="X79" s="516"/>
      <c r="Y79" s="516"/>
      <c r="Z79" s="516"/>
      <c r="AA79" s="516"/>
      <c r="AB79" s="516"/>
      <c r="AC79" s="516"/>
      <c r="AD79" s="516"/>
      <c r="AE79" s="219"/>
      <c r="AF79" s="219"/>
      <c r="AG79" s="219"/>
      <c r="AH79" s="219">
        <v>0</v>
      </c>
      <c r="AI79" s="219">
        <v>0</v>
      </c>
      <c r="AJ79" s="219">
        <v>0</v>
      </c>
      <c r="AK79" s="219">
        <v>1</v>
      </c>
      <c r="AL79" s="219">
        <v>52</v>
      </c>
      <c r="AM79" s="219">
        <v>43</v>
      </c>
      <c r="AN79" s="219">
        <v>28</v>
      </c>
      <c r="AO79" s="219">
        <v>353</v>
      </c>
      <c r="AP79" s="219">
        <v>103</v>
      </c>
      <c r="AQ79" s="219">
        <v>100</v>
      </c>
      <c r="AR79" s="219">
        <v>270</v>
      </c>
      <c r="AS79" s="219">
        <v>130</v>
      </c>
      <c r="AT79" s="219">
        <v>130</v>
      </c>
      <c r="AU79" s="219">
        <v>160</v>
      </c>
      <c r="AV79" s="217">
        <v>220</v>
      </c>
      <c r="AW79" s="217">
        <v>220</v>
      </c>
      <c r="AX79" s="217">
        <v>140</v>
      </c>
      <c r="AY79" s="217">
        <v>130</v>
      </c>
      <c r="AZ79" s="217">
        <v>130</v>
      </c>
      <c r="BA79" s="217">
        <v>130</v>
      </c>
      <c r="BB79" s="217">
        <v>130</v>
      </c>
      <c r="BC79" s="217"/>
      <c r="BD79" s="217"/>
      <c r="BE79" s="217"/>
      <c r="BF79" s="217"/>
    </row>
    <row r="80" spans="1:58" s="21" customFormat="1" ht="18.75" customHeight="1">
      <c r="A80" s="1070" t="s">
        <v>1473</v>
      </c>
      <c r="B80" s="300" t="s">
        <v>773</v>
      </c>
      <c r="C80" s="194" t="s">
        <v>771</v>
      </c>
      <c r="D80" s="194" t="s">
        <v>1450</v>
      </c>
      <c r="E80" s="300" t="s">
        <v>438</v>
      </c>
      <c r="F80" s="739"/>
      <c r="G80" s="679">
        <v>1247</v>
      </c>
      <c r="H80" s="499">
        <f ca="1">_xlfn.LET(_xlpm._今月から4ヶ月計画合計,
  SUM(
    OFFSET($A80,0,
      MATCH(
        EDATE(基準データ!$C$5,3),$A$1:$BD$1,1
      )-4,1,4)),
  IF($C80="","",_xlpm._今月から4ヶ月計画合計
)
)</f>
        <v>1075</v>
      </c>
      <c r="I80" s="679">
        <v>82.354838709677423</v>
      </c>
      <c r="J80" s="679">
        <v>3753.0645161290322</v>
      </c>
      <c r="K80" s="1413">
        <v>46296</v>
      </c>
      <c r="L80" s="109"/>
      <c r="M80" s="109"/>
      <c r="N80" s="196"/>
      <c r="O80" s="423"/>
      <c r="P80" s="423"/>
      <c r="Q80" s="423"/>
      <c r="R80" s="423"/>
      <c r="S80" s="423"/>
      <c r="T80" s="423"/>
      <c r="U80" s="423"/>
      <c r="V80" s="423"/>
      <c r="W80" s="516"/>
      <c r="X80" s="516"/>
      <c r="Y80" s="516"/>
      <c r="Z80" s="516"/>
      <c r="AA80" s="516"/>
      <c r="AB80" s="516"/>
      <c r="AC80" s="516"/>
      <c r="AD80" s="516"/>
      <c r="AE80" s="219"/>
      <c r="AF80" s="219"/>
      <c r="AG80" s="219"/>
      <c r="AH80" s="219">
        <v>0</v>
      </c>
      <c r="AI80" s="219">
        <v>0</v>
      </c>
      <c r="AJ80" s="219">
        <v>0</v>
      </c>
      <c r="AK80" s="219">
        <v>0</v>
      </c>
      <c r="AL80" s="219">
        <v>3</v>
      </c>
      <c r="AM80" s="219">
        <v>65</v>
      </c>
      <c r="AN80" s="219">
        <v>295</v>
      </c>
      <c r="AO80" s="219">
        <v>495</v>
      </c>
      <c r="AP80" s="219">
        <v>160</v>
      </c>
      <c r="AQ80" s="219">
        <v>160</v>
      </c>
      <c r="AR80" s="219">
        <v>260</v>
      </c>
      <c r="AS80" s="219">
        <v>240</v>
      </c>
      <c r="AT80" s="219">
        <v>200</v>
      </c>
      <c r="AU80" s="219">
        <v>220</v>
      </c>
      <c r="AV80" s="217">
        <v>420</v>
      </c>
      <c r="AW80" s="217">
        <v>420</v>
      </c>
      <c r="AX80" s="217">
        <v>270</v>
      </c>
      <c r="AY80" s="217">
        <v>240</v>
      </c>
      <c r="AZ80" s="217">
        <v>220</v>
      </c>
      <c r="BA80" s="217">
        <v>270</v>
      </c>
      <c r="BB80" s="217">
        <v>210</v>
      </c>
      <c r="BC80" s="217"/>
      <c r="BD80" s="217"/>
      <c r="BE80" s="217"/>
      <c r="BF80" s="217"/>
    </row>
    <row r="81" spans="1:58" s="21" customFormat="1" ht="18.75" customHeight="1">
      <c r="A81" s="1059"/>
      <c r="B81" s="28"/>
      <c r="C81" s="24"/>
      <c r="D81" s="25"/>
      <c r="E81" s="26"/>
      <c r="F81" s="26"/>
      <c r="G81" s="679" t="str">
        <v/>
      </c>
      <c r="H81" s="499" t="str">
        <f ca="1">_xlfn.LET(_xlpm._今月から4ヶ月計画合計,
  SUM(
    OFFSET($A81,0,
      MATCH(
        EDATE(基準データ!$C$5,3),$A$1:$BD$1,1
      )-4,1,4)),
  IF($C81="","",_xlpm._今月から4ヶ月計画合計
)
)</f>
        <v/>
      </c>
      <c r="I81" s="679" t="str">
        <v/>
      </c>
      <c r="J81" s="679" t="str">
        <v/>
      </c>
      <c r="K81" s="1410" t="str">
        <v/>
      </c>
      <c r="L81" s="38"/>
      <c r="M81" s="38"/>
      <c r="N81" s="38"/>
      <c r="O81" s="38"/>
      <c r="P81" s="38"/>
      <c r="Q81" s="38"/>
      <c r="R81" s="38"/>
      <c r="S81" s="219"/>
      <c r="T81" s="219"/>
      <c r="U81" s="219"/>
      <c r="V81" s="219"/>
      <c r="W81" s="219"/>
      <c r="X81" s="219"/>
      <c r="Y81" s="219"/>
      <c r="Z81" s="219"/>
      <c r="AA81" s="219"/>
      <c r="AB81" s="219"/>
      <c r="AC81" s="219"/>
      <c r="AD81" s="219"/>
      <c r="AE81" s="219"/>
      <c r="AF81" s="219"/>
      <c r="AG81" s="219"/>
      <c r="AH81" s="219"/>
      <c r="AI81" s="219"/>
      <c r="AJ81" s="219"/>
      <c r="AK81" s="219"/>
      <c r="AL81" s="219"/>
      <c r="AM81" s="219"/>
      <c r="AN81" s="219"/>
      <c r="AO81" s="219"/>
      <c r="AP81" s="219"/>
      <c r="AQ81" s="219"/>
      <c r="AR81" s="219"/>
      <c r="AS81" s="219"/>
      <c r="AT81" s="219"/>
      <c r="AU81" s="224"/>
      <c r="AV81" s="224"/>
      <c r="AW81" s="224"/>
      <c r="AX81" s="224"/>
      <c r="AY81" s="224"/>
      <c r="AZ81" s="224"/>
      <c r="BA81" s="224"/>
      <c r="BB81" s="224"/>
      <c r="BC81" s="224"/>
      <c r="BD81" s="224"/>
      <c r="BE81" s="224"/>
      <c r="BF81" s="224"/>
    </row>
    <row r="82" spans="1:58" s="70" customFormat="1" ht="18.75" customHeight="1">
      <c r="A82" s="1070" t="s">
        <v>1473</v>
      </c>
      <c r="B82" s="55" t="s">
        <v>1864</v>
      </c>
      <c r="C82" s="24" t="s">
        <v>860</v>
      </c>
      <c r="D82" s="57" t="s">
        <v>1865</v>
      </c>
      <c r="E82" s="58" t="s">
        <v>438</v>
      </c>
      <c r="F82" s="58"/>
      <c r="G82" s="679">
        <v>0</v>
      </c>
      <c r="H82" s="499">
        <f ca="1">_xlfn.LET(_xlpm._今月から4ヶ月計画合計,
  SUM(
    OFFSET($A82,0,
      MATCH(
        EDATE(基準データ!$C$5,3),$A$1:$BD$1,1
      )-4,1,4)),
  IF($C82="","",_xlpm._今月から4ヶ月計画合計
)
)</f>
        <v>0</v>
      </c>
      <c r="I82" s="679">
        <v>0</v>
      </c>
      <c r="J82" s="679">
        <v>0</v>
      </c>
      <c r="K82" s="1413" t="str">
        <v>在庫なし</v>
      </c>
      <c r="L82" s="740"/>
      <c r="M82" s="740"/>
      <c r="N82" s="740"/>
      <c r="O82" s="740">
        <v>0</v>
      </c>
      <c r="P82" s="740">
        <v>0</v>
      </c>
      <c r="Q82" s="740">
        <v>58</v>
      </c>
      <c r="R82" s="740">
        <v>18</v>
      </c>
      <c r="S82" s="740">
        <v>18</v>
      </c>
      <c r="T82" s="740">
        <v>64</v>
      </c>
      <c r="U82" s="740">
        <v>93</v>
      </c>
      <c r="V82" s="742">
        <v>103</v>
      </c>
      <c r="W82" s="140">
        <v>113</v>
      </c>
      <c r="X82" s="140">
        <v>100</v>
      </c>
      <c r="Y82" s="140">
        <v>45</v>
      </c>
      <c r="Z82" s="140">
        <v>45</v>
      </c>
      <c r="AA82" s="250">
        <v>30</v>
      </c>
      <c r="AB82" s="140">
        <v>30</v>
      </c>
      <c r="AC82" s="140"/>
      <c r="AD82" s="140"/>
      <c r="AE82" s="140"/>
      <c r="AF82" s="140"/>
      <c r="AG82" s="140">
        <v>15</v>
      </c>
      <c r="AH82" s="140">
        <v>0</v>
      </c>
      <c r="AI82" s="140">
        <v>0</v>
      </c>
      <c r="AJ82" s="140">
        <v>0</v>
      </c>
      <c r="AK82" s="140">
        <v>5</v>
      </c>
      <c r="AL82" s="416">
        <v>10</v>
      </c>
      <c r="AM82" s="416">
        <v>8</v>
      </c>
      <c r="AN82" s="416"/>
      <c r="AO82" s="416"/>
      <c r="AP82" s="416"/>
      <c r="AQ82" s="416"/>
      <c r="AR82" s="416"/>
      <c r="AS82" s="416"/>
      <c r="AT82" s="219"/>
      <c r="AU82" s="224"/>
      <c r="AV82" s="224"/>
      <c r="AW82" s="224"/>
      <c r="AX82" s="224"/>
      <c r="AY82" s="224"/>
      <c r="AZ82" s="224"/>
      <c r="BA82" s="224"/>
      <c r="BB82" s="224"/>
      <c r="BC82" s="224"/>
      <c r="BD82" s="224"/>
      <c r="BE82" s="224"/>
      <c r="BF82" s="224"/>
    </row>
    <row r="83" spans="1:58" s="21" customFormat="1" ht="18.75" customHeight="1">
      <c r="A83" s="1070" t="s">
        <v>1473</v>
      </c>
      <c r="B83" s="28" t="s">
        <v>709</v>
      </c>
      <c r="C83" s="24" t="s">
        <v>707</v>
      </c>
      <c r="D83" s="25" t="s">
        <v>1459</v>
      </c>
      <c r="E83" s="26" t="s">
        <v>438</v>
      </c>
      <c r="F83" s="58" t="s">
        <v>1725</v>
      </c>
      <c r="G83" s="679">
        <v>63</v>
      </c>
      <c r="H83" s="499">
        <f ca="1">_xlfn.LET(_xlpm._今月から4ヶ月計画合計,
  SUM(
    OFFSET($A83,0,
      MATCH(
        EDATE(基準データ!$C$5,3),$A$1:$BD$1,1
      )-4,1,4)),
  IF($C83="","",_xlpm._今月から4ヶ月計画合計
)
)</f>
        <v>0</v>
      </c>
      <c r="I83" s="679">
        <v>0</v>
      </c>
      <c r="J83" s="679">
        <v>0</v>
      </c>
      <c r="K83" s="1410" t="str">
        <v>計画なし</v>
      </c>
      <c r="L83" s="38"/>
      <c r="M83" s="38"/>
      <c r="N83" s="38"/>
      <c r="O83" s="38"/>
      <c r="P83" s="38"/>
      <c r="Q83" s="38"/>
      <c r="R83" s="38"/>
      <c r="S83" s="219"/>
      <c r="T83" s="219"/>
      <c r="U83" s="219"/>
      <c r="V83" s="219"/>
      <c r="W83" s="219"/>
      <c r="X83" s="219"/>
      <c r="Y83" s="219"/>
      <c r="Z83" s="219"/>
      <c r="AA83" s="219"/>
      <c r="AB83" s="219"/>
      <c r="AC83" s="219"/>
      <c r="AD83" s="219"/>
      <c r="AE83" s="219"/>
      <c r="AF83" s="219"/>
      <c r="AG83" s="219"/>
      <c r="AH83" s="219">
        <v>0</v>
      </c>
      <c r="AI83" s="219">
        <v>5</v>
      </c>
      <c r="AJ83" s="219">
        <v>17</v>
      </c>
      <c r="AK83" s="219">
        <v>155</v>
      </c>
      <c r="AL83" s="224">
        <v>6</v>
      </c>
      <c r="AM83" s="224">
        <v>45</v>
      </c>
      <c r="AN83" s="224">
        <v>53</v>
      </c>
      <c r="AO83" s="219">
        <v>0</v>
      </c>
      <c r="AP83" s="219">
        <v>0</v>
      </c>
      <c r="AQ83" s="219"/>
      <c r="AR83" s="219"/>
      <c r="AS83" s="219"/>
      <c r="AT83" s="219"/>
      <c r="AU83" s="224"/>
      <c r="AV83" s="224"/>
      <c r="AW83" s="224"/>
      <c r="AX83" s="224"/>
      <c r="AY83" s="224"/>
      <c r="AZ83" s="224"/>
      <c r="BA83" s="224"/>
      <c r="BB83" s="224"/>
      <c r="BC83" s="224"/>
      <c r="BD83" s="224"/>
      <c r="BE83" s="224"/>
      <c r="BF83" s="224"/>
    </row>
    <row r="84" spans="1:58" s="21" customFormat="1" ht="18.75" customHeight="1">
      <c r="A84" s="1070" t="s">
        <v>1473</v>
      </c>
      <c r="B84" s="28" t="s">
        <v>765</v>
      </c>
      <c r="C84" s="24" t="s">
        <v>763</v>
      </c>
      <c r="D84" s="25" t="s">
        <v>1460</v>
      </c>
      <c r="E84" s="26" t="s">
        <v>438</v>
      </c>
      <c r="F84" s="58" t="s">
        <v>1725</v>
      </c>
      <c r="G84" s="679">
        <v>362</v>
      </c>
      <c r="H84" s="499">
        <f ca="1">_xlfn.LET(_xlpm._今月から4ヶ月計画合計,
  SUM(
    OFFSET($A84,0,
      MATCH(
        EDATE(基準データ!$C$5,3),$A$1:$BD$1,1
      )-4,1,4)),
  IF($C84="","",_xlpm._今月から4ヶ月計画合計
)
)</f>
        <v>270</v>
      </c>
      <c r="I84" s="679">
        <v>0</v>
      </c>
      <c r="J84" s="679">
        <v>252.58064516129031</v>
      </c>
      <c r="K84" s="1410" t="str">
        <v>合計261、在庫+注残362のため不足</v>
      </c>
      <c r="L84" s="38"/>
      <c r="M84" s="38"/>
      <c r="N84" s="38"/>
      <c r="O84" s="38"/>
      <c r="P84" s="38"/>
      <c r="Q84" s="38"/>
      <c r="R84" s="38"/>
      <c r="S84" s="219"/>
      <c r="T84" s="219"/>
      <c r="U84" s="219"/>
      <c r="V84" s="219"/>
      <c r="W84" s="219"/>
      <c r="X84" s="219"/>
      <c r="Y84" s="219"/>
      <c r="Z84" s="219"/>
      <c r="AA84" s="219"/>
      <c r="AB84" s="219"/>
      <c r="AC84" s="219"/>
      <c r="AD84" s="219"/>
      <c r="AE84" s="219"/>
      <c r="AF84" s="219"/>
      <c r="AG84" s="219"/>
      <c r="AH84" s="298">
        <v>1</v>
      </c>
      <c r="AI84" s="298">
        <v>17</v>
      </c>
      <c r="AJ84" s="298">
        <v>102</v>
      </c>
      <c r="AK84" s="219">
        <v>24</v>
      </c>
      <c r="AL84" s="219">
        <v>10</v>
      </c>
      <c r="AM84" s="219">
        <v>101</v>
      </c>
      <c r="AN84" s="219">
        <v>270</v>
      </c>
      <c r="AO84" s="219">
        <v>270</v>
      </c>
      <c r="AP84" s="219"/>
      <c r="AQ84" s="219"/>
      <c r="AR84" s="219"/>
      <c r="AS84" s="219"/>
      <c r="AT84" s="219"/>
      <c r="AU84" s="224"/>
      <c r="AV84" s="224"/>
      <c r="AW84" s="224"/>
      <c r="AX84" s="224"/>
      <c r="AY84" s="224"/>
      <c r="AZ84" s="224"/>
      <c r="BA84" s="224"/>
      <c r="BB84" s="224"/>
      <c r="BC84" s="224"/>
      <c r="BD84" s="224"/>
      <c r="BE84" s="224"/>
      <c r="BF84" s="224"/>
    </row>
    <row r="85" spans="1:58" s="21" customFormat="1" ht="18.75" customHeight="1">
      <c r="A85" s="1070" t="s">
        <v>1473</v>
      </c>
      <c r="B85" s="55" t="s">
        <v>702</v>
      </c>
      <c r="C85" s="56" t="s">
        <v>700</v>
      </c>
      <c r="D85" s="25" t="s">
        <v>1459</v>
      </c>
      <c r="E85" s="58" t="s">
        <v>438</v>
      </c>
      <c r="F85" s="58" t="s">
        <v>20</v>
      </c>
      <c r="G85" s="679">
        <v>648</v>
      </c>
      <c r="H85" s="499">
        <f ca="1">_xlfn.LET(_xlpm._今月から4ヶ月計画合計,
  SUM(
    OFFSET($A85,0,
      MATCH(
        EDATE(基準データ!$C$5,3),$A$1:$BD$1,1
      )-4,1,4)),
  IF($C85="","",_xlpm._今月から4ヶ月計画合計
)
)</f>
        <v>578</v>
      </c>
      <c r="I85" s="679">
        <v>0</v>
      </c>
      <c r="J85" s="679">
        <v>548.32258064516122</v>
      </c>
      <c r="K85" s="1413">
        <v>46266</v>
      </c>
      <c r="L85" s="308"/>
      <c r="M85" s="308"/>
      <c r="N85" s="308"/>
      <c r="O85" s="308"/>
      <c r="P85" s="308"/>
      <c r="Q85" s="308"/>
      <c r="R85" s="308"/>
      <c r="S85" s="350"/>
      <c r="T85" s="350"/>
      <c r="U85" s="350"/>
      <c r="V85" s="703"/>
      <c r="W85" s="532"/>
      <c r="X85" s="532"/>
      <c r="Y85" s="532"/>
      <c r="Z85" s="219"/>
      <c r="AA85" s="219"/>
      <c r="AB85" s="219"/>
      <c r="AC85" s="480"/>
      <c r="AD85" s="219"/>
      <c r="AE85" s="219"/>
      <c r="AF85" s="219"/>
      <c r="AG85" s="219"/>
      <c r="AH85" s="298">
        <v>0</v>
      </c>
      <c r="AI85" s="298">
        <v>0</v>
      </c>
      <c r="AJ85" s="298">
        <v>7</v>
      </c>
      <c r="AK85" s="219">
        <v>14</v>
      </c>
      <c r="AL85" s="219">
        <v>11</v>
      </c>
      <c r="AM85" s="219">
        <v>100</v>
      </c>
      <c r="AN85" s="219">
        <v>45</v>
      </c>
      <c r="AO85" s="219">
        <v>460</v>
      </c>
      <c r="AP85" s="219">
        <v>40</v>
      </c>
      <c r="AQ85" s="219">
        <v>40</v>
      </c>
      <c r="AR85" s="219">
        <v>38</v>
      </c>
      <c r="AS85" s="219">
        <v>0</v>
      </c>
      <c r="AT85" s="219"/>
      <c r="AU85" s="224"/>
      <c r="AV85" s="224"/>
      <c r="AW85" s="224"/>
      <c r="AX85" s="224"/>
      <c r="AY85" s="224"/>
      <c r="AZ85" s="224"/>
      <c r="BA85" s="224"/>
      <c r="BB85" s="224"/>
      <c r="BC85" s="224"/>
      <c r="BD85" s="224"/>
      <c r="BE85" s="224"/>
      <c r="BF85" s="224"/>
    </row>
    <row r="86" spans="1:58" s="21" customFormat="1" ht="18.75" customHeight="1">
      <c r="A86" s="1070" t="s">
        <v>1473</v>
      </c>
      <c r="B86" s="55" t="s">
        <v>758</v>
      </c>
      <c r="C86" s="56" t="s">
        <v>756</v>
      </c>
      <c r="D86" s="25" t="s">
        <v>1460</v>
      </c>
      <c r="E86" s="58" t="s">
        <v>438</v>
      </c>
      <c r="F86" s="58" t="s">
        <v>20</v>
      </c>
      <c r="G86" s="679">
        <v>1460</v>
      </c>
      <c r="H86" s="499">
        <f ca="1">_xlfn.LET(_xlpm._今月から4ヶ月計画合計,
  SUM(
    OFFSET($A86,0,
      MATCH(
        EDATE(基準データ!$C$5,3),$A$1:$BD$1,1
      )-4,1,4)),
  IF($C86="","",_xlpm._今月から4ヶ月計画合計
)
)</f>
        <v>919</v>
      </c>
      <c r="I86" s="679">
        <v>0</v>
      </c>
      <c r="J86" s="679">
        <v>1035.4516129032259</v>
      </c>
      <c r="K86" s="1413" t="str">
        <v>合計1,052、在庫+注残1,460のため不足</v>
      </c>
      <c r="L86" s="308"/>
      <c r="M86" s="308"/>
      <c r="N86" s="308"/>
      <c r="O86" s="308"/>
      <c r="P86" s="308"/>
      <c r="Q86" s="308"/>
      <c r="R86" s="308"/>
      <c r="S86" s="350"/>
      <c r="T86" s="350"/>
      <c r="U86" s="350"/>
      <c r="V86" s="703"/>
      <c r="W86" s="532"/>
      <c r="X86" s="532"/>
      <c r="Y86" s="532"/>
      <c r="Z86" s="219"/>
      <c r="AA86" s="219"/>
      <c r="AB86" s="219"/>
      <c r="AC86" s="480"/>
      <c r="AD86" s="219"/>
      <c r="AE86" s="219"/>
      <c r="AF86" s="219"/>
      <c r="AG86" s="219"/>
      <c r="AH86" s="298">
        <v>0</v>
      </c>
      <c r="AI86" s="298">
        <v>0</v>
      </c>
      <c r="AJ86" s="298">
        <v>33</v>
      </c>
      <c r="AK86" s="219">
        <v>153</v>
      </c>
      <c r="AL86" s="219">
        <v>500</v>
      </c>
      <c r="AM86" s="219">
        <v>270</v>
      </c>
      <c r="AN86" s="219">
        <v>320</v>
      </c>
      <c r="AO86" s="219">
        <v>520</v>
      </c>
      <c r="AP86" s="219">
        <v>99</v>
      </c>
      <c r="AQ86" s="219">
        <v>150</v>
      </c>
      <c r="AR86" s="219">
        <v>150</v>
      </c>
      <c r="AS86" s="219">
        <v>150</v>
      </c>
      <c r="AT86" s="219"/>
      <c r="AU86" s="224"/>
      <c r="AV86" s="224"/>
      <c r="AW86" s="224"/>
      <c r="AX86" s="224"/>
      <c r="AY86" s="224"/>
      <c r="AZ86" s="224"/>
      <c r="BA86" s="224"/>
      <c r="BB86" s="224"/>
      <c r="BC86" s="224"/>
      <c r="BD86" s="224"/>
      <c r="BE86" s="224"/>
      <c r="BF86" s="224"/>
    </row>
    <row r="87" spans="1:58" s="21" customFormat="1" ht="18.75" customHeight="1">
      <c r="A87" s="1070" t="s">
        <v>1473</v>
      </c>
      <c r="B87" s="55" t="s">
        <v>693</v>
      </c>
      <c r="C87" s="57" t="s">
        <v>691</v>
      </c>
      <c r="D87" s="57" t="s">
        <v>1426</v>
      </c>
      <c r="E87" s="58" t="s">
        <v>438</v>
      </c>
      <c r="F87" s="58" t="s">
        <v>1725</v>
      </c>
      <c r="G87" s="679">
        <v>1</v>
      </c>
      <c r="H87" s="499">
        <f ca="1">_xlfn.LET(_xlpm._今月から4ヶ月計画合計,
  SUM(
    OFFSET($A87,0,
      MATCH(
        EDATE(基準データ!$C$5,3),$A$1:$BD$1,1
      )-4,1,4)),
  IF($C87="","",_xlpm._今月から4ヶ月計画合計
)
)</f>
        <v>0</v>
      </c>
      <c r="I87" s="679">
        <v>0</v>
      </c>
      <c r="J87" s="679">
        <v>0</v>
      </c>
      <c r="K87" s="1413" t="str">
        <v>計画なし</v>
      </c>
      <c r="L87" s="740"/>
      <c r="M87" s="740"/>
      <c r="N87" s="740"/>
      <c r="O87" s="740"/>
      <c r="P87" s="740"/>
      <c r="Q87" s="740"/>
      <c r="R87" s="740"/>
      <c r="S87" s="740"/>
      <c r="T87" s="740"/>
      <c r="U87" s="740"/>
      <c r="V87" s="742"/>
      <c r="W87" s="140"/>
      <c r="X87" s="140"/>
      <c r="Y87" s="140"/>
      <c r="Z87" s="38">
        <v>55</v>
      </c>
      <c r="AA87" s="38">
        <v>55</v>
      </c>
      <c r="AB87" s="38">
        <v>55</v>
      </c>
      <c r="AC87" s="116">
        <v>62</v>
      </c>
      <c r="AD87" s="38">
        <v>62</v>
      </c>
      <c r="AE87" s="741">
        <v>100</v>
      </c>
      <c r="AF87" s="140">
        <v>140</v>
      </c>
      <c r="AG87" s="140">
        <v>74</v>
      </c>
      <c r="AH87" s="183">
        <v>12</v>
      </c>
      <c r="AI87" s="183">
        <v>23</v>
      </c>
      <c r="AJ87" s="183">
        <v>52</v>
      </c>
      <c r="AK87" s="140">
        <v>0</v>
      </c>
      <c r="AL87" s="140">
        <v>0</v>
      </c>
      <c r="AM87" s="140">
        <v>0</v>
      </c>
      <c r="AN87" s="416">
        <v>0</v>
      </c>
      <c r="AO87" s="416"/>
      <c r="AP87" s="416"/>
      <c r="AQ87" s="416"/>
      <c r="AR87" s="416"/>
      <c r="AS87" s="416"/>
      <c r="AT87" s="224"/>
      <c r="AU87" s="224"/>
      <c r="AV87" s="224"/>
      <c r="AW87" s="224"/>
      <c r="AX87" s="224"/>
      <c r="AY87" s="224"/>
      <c r="AZ87" s="224"/>
      <c r="BA87" s="224"/>
      <c r="BB87" s="224"/>
      <c r="BC87" s="224"/>
      <c r="BD87" s="224"/>
      <c r="BE87" s="224"/>
      <c r="BF87" s="224"/>
    </row>
    <row r="88" spans="1:58" s="21" customFormat="1" ht="18.75" customHeight="1">
      <c r="A88" s="1070" t="s">
        <v>1473</v>
      </c>
      <c r="B88" s="55" t="s">
        <v>688</v>
      </c>
      <c r="C88" s="56" t="s">
        <v>685</v>
      </c>
      <c r="D88" s="57" t="s">
        <v>1466</v>
      </c>
      <c r="E88" s="58" t="s">
        <v>438</v>
      </c>
      <c r="F88" s="58" t="s">
        <v>20</v>
      </c>
      <c r="G88" s="679">
        <v>152</v>
      </c>
      <c r="H88" s="499">
        <f ca="1">_xlfn.LET(_xlpm._今月から4ヶ月計画合計,
  SUM(
    OFFSET($A88,0,
      MATCH(
        EDATE(基準データ!$C$5,3),$A$1:$BD$1,1
      )-4,1,4)),
  IF($C88="","",_xlpm._今月から4ヶ月計画合計
)
)</f>
        <v>0</v>
      </c>
      <c r="I88" s="679">
        <v>109.06451612903226</v>
      </c>
      <c r="J88" s="679">
        <v>0</v>
      </c>
      <c r="K88" s="1413" t="str">
        <v>合計111、在庫+注残152のため不足</v>
      </c>
      <c r="L88" s="931"/>
      <c r="M88" s="931"/>
      <c r="N88" s="931"/>
      <c r="O88" s="931"/>
      <c r="P88" s="931"/>
      <c r="Q88" s="931"/>
      <c r="R88" s="931"/>
      <c r="S88" s="932"/>
      <c r="T88" s="932"/>
      <c r="U88" s="932"/>
      <c r="V88" s="532"/>
      <c r="W88" s="532"/>
      <c r="X88" s="532"/>
      <c r="Y88" s="532"/>
      <c r="Z88" s="503"/>
      <c r="AA88" s="503"/>
      <c r="AB88" s="503"/>
      <c r="AC88" s="759"/>
      <c r="AD88" s="503"/>
      <c r="AE88" s="503"/>
      <c r="AF88" s="503"/>
      <c r="AG88" s="503"/>
      <c r="AH88" s="503"/>
      <c r="AI88" s="503"/>
      <c r="AJ88" s="503"/>
      <c r="AK88" s="219"/>
      <c r="AL88" s="219">
        <v>0</v>
      </c>
      <c r="AM88" s="219">
        <v>0</v>
      </c>
      <c r="AN88" s="219">
        <v>0</v>
      </c>
      <c r="AO88" s="219"/>
      <c r="AP88" s="2151"/>
      <c r="AQ88" s="2151"/>
      <c r="AR88" s="2151"/>
      <c r="AS88" s="2151"/>
      <c r="AT88" s="2151"/>
      <c r="AU88" s="2151"/>
      <c r="AV88" s="2151"/>
      <c r="AW88" s="2151"/>
      <c r="AX88" s="224"/>
      <c r="AY88" s="224"/>
      <c r="AZ88" s="224"/>
      <c r="BA88" s="224"/>
      <c r="BB88" s="224"/>
      <c r="BC88" s="224"/>
      <c r="BD88" s="224"/>
      <c r="BE88" s="224"/>
      <c r="BF88" s="224"/>
    </row>
    <row r="89" spans="1:58" s="21" customFormat="1" ht="18.75" customHeight="1">
      <c r="A89" s="1084"/>
      <c r="B89" s="55"/>
      <c r="C89" s="56"/>
      <c r="D89" s="57"/>
      <c r="E89" s="58"/>
      <c r="F89" s="58"/>
      <c r="G89" s="679" t="str">
        <v/>
      </c>
      <c r="H89" s="499" t="str">
        <f ca="1">_xlfn.LET(_xlpm._今月から4ヶ月計画合計,
  SUM(
    OFFSET($A89,0,
      MATCH(
        EDATE(基準データ!$C$5,3),$A$1:$BD$1,1
      )-4,1,4)),
  IF($C89="","",_xlpm._今月から4ヶ月計画合計
)
)</f>
        <v/>
      </c>
      <c r="I89" s="679" t="str">
        <v/>
      </c>
      <c r="J89" s="679" t="str">
        <v/>
      </c>
      <c r="K89" s="1410" t="str">
        <v/>
      </c>
      <c r="L89" s="38"/>
      <c r="M89" s="38"/>
      <c r="N89" s="38"/>
      <c r="O89" s="38"/>
      <c r="P89" s="38"/>
      <c r="Q89" s="38"/>
      <c r="R89" s="38"/>
      <c r="S89" s="219"/>
      <c r="T89" s="219"/>
      <c r="U89" s="219"/>
      <c r="V89" s="219"/>
      <c r="W89" s="219"/>
      <c r="X89" s="219"/>
      <c r="Y89" s="219"/>
      <c r="Z89" s="219"/>
      <c r="AA89" s="219"/>
      <c r="AB89" s="219"/>
      <c r="AC89" s="219"/>
      <c r="AD89" s="219"/>
      <c r="AE89" s="219"/>
      <c r="AF89" s="219"/>
      <c r="AG89" s="219"/>
      <c r="AH89" s="219"/>
      <c r="AI89" s="219"/>
      <c r="AJ89" s="219"/>
      <c r="AK89" s="219"/>
      <c r="AL89" s="219"/>
      <c r="AM89" s="219"/>
      <c r="AN89" s="219"/>
      <c r="AO89" s="219"/>
      <c r="AP89" s="219"/>
      <c r="AQ89" s="219"/>
      <c r="AR89" s="219"/>
      <c r="AS89" s="219"/>
      <c r="AT89" s="219"/>
      <c r="AU89" s="224"/>
      <c r="AV89" s="224"/>
      <c r="AW89" s="224"/>
      <c r="AX89" s="224"/>
      <c r="AY89" s="224"/>
      <c r="AZ89" s="224"/>
      <c r="BA89" s="224"/>
      <c r="BB89" s="224"/>
      <c r="BC89" s="224"/>
      <c r="BD89" s="224"/>
      <c r="BE89" s="224"/>
      <c r="BF89" s="224"/>
    </row>
    <row r="90" spans="1:58" s="21" customFormat="1" ht="18.75" customHeight="1">
      <c r="A90" s="1070" t="s">
        <v>1473</v>
      </c>
      <c r="B90" s="55" t="s">
        <v>748</v>
      </c>
      <c r="C90" s="57" t="s">
        <v>746</v>
      </c>
      <c r="D90" s="57" t="s">
        <v>1405</v>
      </c>
      <c r="E90" s="58" t="s">
        <v>438</v>
      </c>
      <c r="F90" s="58" t="s">
        <v>1725</v>
      </c>
      <c r="G90" s="679">
        <v>15</v>
      </c>
      <c r="H90" s="499">
        <f ca="1">_xlfn.LET(_xlpm._今月から4ヶ月計画合計,
  SUM(
    OFFSET($A90,0,
      MATCH(
        EDATE(基準データ!$C$5,3),$A$1:$BD$1,1
      )-4,1,4)),
  IF($C90="","",_xlpm._今月から4ヶ月計画合計
)
)</f>
        <v>0</v>
      </c>
      <c r="I90" s="679">
        <v>0</v>
      </c>
      <c r="J90" s="679">
        <v>0</v>
      </c>
      <c r="K90" s="1413" t="str">
        <v>計画なし</v>
      </c>
      <c r="L90" s="740"/>
      <c r="M90" s="740"/>
      <c r="N90" s="740"/>
      <c r="O90" s="742"/>
      <c r="P90" s="426"/>
      <c r="Q90" s="426"/>
      <c r="R90" s="426"/>
      <c r="S90" s="426"/>
      <c r="T90" s="426"/>
      <c r="U90" s="626"/>
      <c r="V90" s="516">
        <v>150</v>
      </c>
      <c r="W90" s="426">
        <v>980</v>
      </c>
      <c r="X90" s="426">
        <v>1210</v>
      </c>
      <c r="Y90" s="426">
        <v>1040</v>
      </c>
      <c r="Z90" s="426">
        <v>390</v>
      </c>
      <c r="AA90" s="427">
        <v>260</v>
      </c>
      <c r="AB90" s="426">
        <v>200</v>
      </c>
      <c r="AC90" s="426">
        <v>170</v>
      </c>
      <c r="AD90" s="426">
        <v>160</v>
      </c>
      <c r="AE90" s="426">
        <v>266</v>
      </c>
      <c r="AF90" s="426">
        <v>350</v>
      </c>
      <c r="AG90" s="426">
        <v>455</v>
      </c>
      <c r="AH90" s="1156">
        <v>389</v>
      </c>
      <c r="AI90" s="1156">
        <v>180</v>
      </c>
      <c r="AJ90" s="1156">
        <v>54</v>
      </c>
      <c r="AK90" s="38">
        <v>30</v>
      </c>
      <c r="AL90" s="38">
        <v>0</v>
      </c>
      <c r="AM90" s="416">
        <v>31</v>
      </c>
      <c r="AN90" s="416"/>
      <c r="AO90" s="416"/>
      <c r="AP90" s="416"/>
      <c r="AQ90" s="416"/>
      <c r="AR90" s="416"/>
      <c r="AS90" s="416"/>
      <c r="AT90" s="224"/>
      <c r="AU90" s="224"/>
      <c r="AV90" s="224"/>
      <c r="AW90" s="224"/>
      <c r="AX90" s="224"/>
      <c r="AY90" s="224"/>
      <c r="AZ90" s="224"/>
      <c r="BA90" s="224"/>
      <c r="BB90" s="224"/>
      <c r="BC90" s="224"/>
      <c r="BD90" s="224"/>
      <c r="BE90" s="224"/>
      <c r="BF90" s="224"/>
    </row>
    <row r="91" spans="1:58" s="21" customFormat="1" ht="18.75" customHeight="1">
      <c r="A91" s="1070" t="s">
        <v>1473</v>
      </c>
      <c r="B91" s="55" t="s">
        <v>741</v>
      </c>
      <c r="C91" s="57" t="s">
        <v>739</v>
      </c>
      <c r="D91" s="57" t="s">
        <v>1732</v>
      </c>
      <c r="E91" s="58" t="s">
        <v>438</v>
      </c>
      <c r="F91" s="58" t="s">
        <v>1725</v>
      </c>
      <c r="G91" s="679">
        <v>2</v>
      </c>
      <c r="H91" s="499">
        <f ca="1">_xlfn.LET(_xlpm._今月から4ヶ月計画合計,
  SUM(
    OFFSET($A91,0,
      MATCH(
        EDATE(基準データ!$C$5,3),$A$1:$BD$1,1
      )-4,1,4)),
  IF($C91="","",_xlpm._今月から4ヶ月計画合計
)
)</f>
        <v>0</v>
      </c>
      <c r="I91" s="679">
        <v>0</v>
      </c>
      <c r="J91" s="679">
        <v>0</v>
      </c>
      <c r="K91" s="1413" t="str">
        <v>計画なし</v>
      </c>
      <c r="L91" s="740"/>
      <c r="M91" s="740"/>
      <c r="N91" s="740"/>
      <c r="O91" s="742"/>
      <c r="P91" s="140"/>
      <c r="Q91" s="140"/>
      <c r="R91" s="140"/>
      <c r="S91" s="140"/>
      <c r="T91" s="140"/>
      <c r="U91" s="626"/>
      <c r="V91" s="516"/>
      <c r="W91" s="140"/>
      <c r="X91" s="140"/>
      <c r="Y91" s="140"/>
      <c r="Z91" s="140"/>
      <c r="AA91" s="250"/>
      <c r="AB91" s="140"/>
      <c r="AC91" s="140"/>
      <c r="AD91" s="140"/>
      <c r="AE91" s="140"/>
      <c r="AF91" s="140"/>
      <c r="AG91" s="140"/>
      <c r="AH91" s="140"/>
      <c r="AI91" s="250"/>
      <c r="AJ91" s="416"/>
      <c r="AK91" s="416">
        <v>3</v>
      </c>
      <c r="AL91" s="416">
        <v>7</v>
      </c>
      <c r="AM91" s="416">
        <v>0</v>
      </c>
      <c r="AN91" s="416"/>
      <c r="AO91" s="416"/>
      <c r="AP91" s="416"/>
      <c r="AQ91" s="416"/>
      <c r="AR91" s="416"/>
      <c r="AS91" s="416"/>
      <c r="AT91" s="224"/>
      <c r="AU91" s="224"/>
      <c r="AV91" s="224"/>
      <c r="AW91" s="224"/>
      <c r="AX91" s="224"/>
      <c r="AY91" s="224"/>
      <c r="AZ91" s="224"/>
      <c r="BA91" s="224"/>
      <c r="BB91" s="224"/>
      <c r="BC91" s="224"/>
      <c r="BD91" s="224"/>
      <c r="BE91" s="224"/>
      <c r="BF91" s="224"/>
    </row>
    <row r="92" spans="1:58" s="21" customFormat="1" ht="18.75" customHeight="1">
      <c r="A92" s="1070" t="s">
        <v>1473</v>
      </c>
      <c r="B92" s="55" t="s">
        <v>735</v>
      </c>
      <c r="C92" s="56" t="s">
        <v>733</v>
      </c>
      <c r="D92" s="57" t="s">
        <v>1472</v>
      </c>
      <c r="E92" s="58" t="s">
        <v>438</v>
      </c>
      <c r="F92" s="58" t="s">
        <v>20</v>
      </c>
      <c r="G92" s="679">
        <v>259</v>
      </c>
      <c r="H92" s="499">
        <f ca="1">_xlfn.LET(_xlpm._今月から4ヶ月計画合計,
  SUM(
    OFFSET($A92,0,
      MATCH(
        EDATE(基準データ!$C$5,3),$A$1:$BD$1,1
      )-4,1,4)),
  IF($C92="","",_xlpm._今月から4ヶ月計画合計
)
)</f>
        <v>0</v>
      </c>
      <c r="I92" s="679">
        <v>246.25806451612902</v>
      </c>
      <c r="J92" s="679">
        <v>0</v>
      </c>
      <c r="K92" s="1413">
        <v>46235</v>
      </c>
      <c r="L92" s="308"/>
      <c r="M92" s="308"/>
      <c r="N92" s="308"/>
      <c r="O92" s="308"/>
      <c r="P92" s="308"/>
      <c r="Q92" s="308"/>
      <c r="R92" s="308"/>
      <c r="S92" s="350"/>
      <c r="T92" s="350"/>
      <c r="U92" s="350"/>
      <c r="V92" s="703"/>
      <c r="W92" s="532"/>
      <c r="X92" s="532"/>
      <c r="Y92" s="532"/>
      <c r="Z92" s="219"/>
      <c r="AA92" s="219"/>
      <c r="AB92" s="219"/>
      <c r="AC92" s="480"/>
      <c r="AD92" s="219"/>
      <c r="AE92" s="219"/>
      <c r="AF92" s="219"/>
      <c r="AG92" s="219"/>
      <c r="AH92" s="219"/>
      <c r="AI92" s="219"/>
      <c r="AJ92" s="219"/>
      <c r="AK92" s="219"/>
      <c r="AL92" s="219">
        <v>0</v>
      </c>
      <c r="AM92" s="219">
        <v>0</v>
      </c>
      <c r="AN92" s="219"/>
      <c r="AO92" s="219"/>
      <c r="AP92" s="219"/>
      <c r="AQ92" s="219"/>
      <c r="AR92" s="219"/>
      <c r="AS92" s="219"/>
      <c r="AT92" s="219"/>
      <c r="AU92" s="224"/>
      <c r="AV92" s="224"/>
      <c r="AW92" s="224"/>
      <c r="AX92" s="224"/>
      <c r="AY92" s="224"/>
      <c r="AZ92" s="224"/>
      <c r="BA92" s="224"/>
      <c r="BB92" s="224"/>
      <c r="BC92" s="224"/>
      <c r="BD92" s="224"/>
      <c r="BE92" s="224"/>
      <c r="BF92" s="224"/>
    </row>
    <row r="93" spans="1:58" s="21" customFormat="1" ht="18.75" customHeight="1">
      <c r="A93" s="1089" t="s">
        <v>1844</v>
      </c>
      <c r="B93" s="28" t="s">
        <v>841</v>
      </c>
      <c r="C93" s="25" t="s">
        <v>839</v>
      </c>
      <c r="D93" s="57" t="s">
        <v>842</v>
      </c>
      <c r="E93" s="58" t="s">
        <v>438</v>
      </c>
      <c r="F93" s="111"/>
      <c r="G93" s="679">
        <v>670</v>
      </c>
      <c r="H93" s="499">
        <f ca="1">_xlfn.LET(_xlpm._今月から4ヶ月計画合計,
  SUM(
    OFFSET($A93,0,
      MATCH(
        EDATE(基準データ!$C$5,3),$A$1:$BD$1,1
      )-4,1,4)),
  IF($C93="","",_xlpm._今月から4ヶ月計画合計
)
)</f>
        <v>73</v>
      </c>
      <c r="I93" s="679">
        <v>385.16129032258061</v>
      </c>
      <c r="J93" s="679">
        <v>68.290322580645153</v>
      </c>
      <c r="K93" s="1410" t="str">
        <v>合計463、在庫+注残670のため不足</v>
      </c>
      <c r="L93" s="38"/>
      <c r="M93" s="382"/>
      <c r="N93" s="383"/>
      <c r="O93" s="1039"/>
      <c r="P93" s="1039"/>
      <c r="Q93" s="1039"/>
      <c r="R93" s="1039"/>
      <c r="S93" s="1039"/>
      <c r="T93" s="1040"/>
      <c r="U93" s="1041"/>
      <c r="V93" s="1042"/>
      <c r="W93" s="1043"/>
      <c r="Y93" s="373"/>
      <c r="Z93" s="373"/>
      <c r="AA93" s="373"/>
      <c r="AB93" s="373"/>
      <c r="AC93" s="373"/>
      <c r="AD93" s="373"/>
      <c r="AE93" s="373"/>
      <c r="AF93" s="373"/>
      <c r="AG93" s="373"/>
      <c r="AH93" s="384">
        <v>19</v>
      </c>
      <c r="AI93" s="384">
        <v>2</v>
      </c>
      <c r="AJ93" s="384">
        <v>38</v>
      </c>
      <c r="AK93" s="1391">
        <v>52</v>
      </c>
      <c r="AL93" s="1391">
        <v>25</v>
      </c>
      <c r="AM93" s="1391">
        <v>63</v>
      </c>
      <c r="AN93" s="1391">
        <v>63</v>
      </c>
      <c r="AO93" s="1391">
        <v>73</v>
      </c>
      <c r="AP93" s="1391">
        <v>0</v>
      </c>
      <c r="AQ93" s="1391"/>
      <c r="AR93" s="1391"/>
      <c r="AS93" s="1391"/>
      <c r="AT93" s="1391"/>
      <c r="AU93" s="224"/>
      <c r="AV93" s="224"/>
      <c r="AW93" s="224"/>
      <c r="AX93" s="224"/>
      <c r="AY93" s="224"/>
      <c r="AZ93" s="224"/>
      <c r="BA93" s="224"/>
      <c r="BB93" s="224"/>
      <c r="BC93" s="224"/>
      <c r="BD93" s="224"/>
      <c r="BE93" s="224"/>
      <c r="BF93" s="224"/>
    </row>
    <row r="94" spans="1:58" s="21" customFormat="1" ht="18.75" customHeight="1">
      <c r="A94" s="1089"/>
      <c r="B94" s="28"/>
      <c r="C94" s="25"/>
      <c r="D94" s="57"/>
      <c r="E94" s="58"/>
      <c r="F94" s="381"/>
      <c r="G94" s="679" t="str">
        <v/>
      </c>
      <c r="H94" s="499" t="str">
        <f ca="1">_xlfn.LET(_xlpm._今月から4ヶ月計画合計,
  SUM(
    OFFSET($A94,0,
      MATCH(
        EDATE(基準データ!$C$5,3),$A$1:$BD$1,1
      )-4,1,4)),
  IF($C94="","",_xlpm._今月から4ヶ月計画合計
)
)</f>
        <v/>
      </c>
      <c r="I94" s="679" t="str">
        <v/>
      </c>
      <c r="J94" s="679" t="str">
        <v/>
      </c>
      <c r="K94" s="1410" t="str">
        <v/>
      </c>
      <c r="L94" s="116"/>
      <c r="M94" s="38"/>
      <c r="N94" s="383"/>
      <c r="O94" s="423"/>
      <c r="P94" s="423"/>
      <c r="Q94" s="423"/>
      <c r="R94" s="423"/>
      <c r="S94" s="423"/>
      <c r="T94" s="530"/>
      <c r="U94" s="530"/>
      <c r="Y94" s="373"/>
      <c r="Z94" s="373"/>
      <c r="AA94" s="373"/>
      <c r="AB94" s="373"/>
      <c r="AC94" s="373"/>
      <c r="AD94" s="373"/>
      <c r="AE94" s="373"/>
      <c r="AF94" s="373"/>
      <c r="AG94" s="373"/>
      <c r="AH94" s="373"/>
      <c r="AI94" s="373"/>
      <c r="AJ94" s="25"/>
      <c r="AK94" s="373"/>
      <c r="AL94" s="1453"/>
      <c r="AM94" s="373"/>
      <c r="AN94" s="373"/>
      <c r="AO94" s="373"/>
      <c r="AP94" s="373"/>
      <c r="AQ94" s="373"/>
      <c r="AR94" s="373"/>
      <c r="AS94" s="373"/>
      <c r="AT94" s="379"/>
      <c r="AU94" s="379"/>
      <c r="AV94" s="379"/>
      <c r="AW94" s="379"/>
      <c r="AX94" s="379"/>
      <c r="AY94" s="379"/>
      <c r="AZ94" s="379"/>
      <c r="BA94" s="379"/>
      <c r="BB94" s="379"/>
      <c r="BC94" s="379"/>
      <c r="BD94" s="379"/>
      <c r="BE94" s="379"/>
      <c r="BF94" s="379"/>
    </row>
    <row r="95" spans="1:58" s="21" customFormat="1" ht="18.75" customHeight="1">
      <c r="A95" s="1090" t="s">
        <v>1844</v>
      </c>
      <c r="B95" s="1160" t="s">
        <v>811</v>
      </c>
      <c r="C95" s="25" t="s">
        <v>809</v>
      </c>
      <c r="D95" s="25"/>
      <c r="E95" s="26"/>
      <c r="F95" s="381"/>
      <c r="G95" s="679">
        <v>410</v>
      </c>
      <c r="H95" s="499">
        <f ca="1">_xlfn.LET(_xlpm._今月から4ヶ月計画合計,
  SUM(
    OFFSET($A95,0,
      MATCH(
        EDATE(基準データ!$C$5,3),$A$1:$BD$1,1
      )-4,1,4)),
  IF($C95="","",_xlpm._今月から4ヶ月計画合計
)
)</f>
        <v>273</v>
      </c>
      <c r="I95" s="679">
        <v>897</v>
      </c>
      <c r="J95" s="679">
        <v>2283</v>
      </c>
      <c r="K95" s="1413">
        <v>46296</v>
      </c>
      <c r="L95" s="118"/>
      <c r="M95" s="38"/>
      <c r="N95" s="116"/>
      <c r="O95" s="1051"/>
      <c r="P95" s="1051"/>
      <c r="Q95" s="1051"/>
      <c r="R95" s="1051"/>
      <c r="S95" s="1051"/>
      <c r="T95" s="1052"/>
      <c r="U95" s="1052"/>
      <c r="V95" s="749"/>
      <c r="W95" s="749"/>
      <c r="X95" s="749"/>
      <c r="Y95" s="25"/>
      <c r="Z95" s="25"/>
      <c r="AA95" s="25"/>
      <c r="AB95" s="25"/>
      <c r="AC95" s="25"/>
      <c r="AD95" s="25"/>
      <c r="AE95" s="25"/>
      <c r="AF95" s="25"/>
      <c r="AG95" s="25"/>
      <c r="AH95" s="25"/>
      <c r="AI95" s="25"/>
      <c r="AJ95" s="25"/>
      <c r="AK95" s="25"/>
      <c r="AL95" s="1453"/>
      <c r="AM95" s="373"/>
      <c r="AN95" s="373"/>
      <c r="AO95" s="373"/>
      <c r="AP95" s="373">
        <v>3</v>
      </c>
      <c r="AQ95" s="373">
        <v>100</v>
      </c>
      <c r="AR95" s="373">
        <v>170</v>
      </c>
      <c r="AS95" s="373">
        <v>290</v>
      </c>
      <c r="AT95" s="379">
        <v>210</v>
      </c>
      <c r="AU95" s="379">
        <v>210</v>
      </c>
      <c r="AV95" s="379">
        <v>260</v>
      </c>
      <c r="AW95" s="379">
        <v>250</v>
      </c>
      <c r="AX95" s="379">
        <v>180</v>
      </c>
      <c r="AY95" s="379">
        <v>190</v>
      </c>
      <c r="AZ95" s="379">
        <v>130</v>
      </c>
      <c r="BA95" s="379">
        <v>180</v>
      </c>
      <c r="BB95" s="379">
        <v>110</v>
      </c>
      <c r="BC95" s="379"/>
      <c r="BD95" s="379"/>
      <c r="BE95" s="379"/>
      <c r="BF95" s="379"/>
    </row>
    <row r="96" spans="1:58" s="21" customFormat="1" ht="18.75" customHeight="1">
      <c r="A96" s="1090" t="s">
        <v>1844</v>
      </c>
      <c r="B96" s="1161" t="s">
        <v>807</v>
      </c>
      <c r="C96" s="25" t="s">
        <v>805</v>
      </c>
      <c r="D96" s="25"/>
      <c r="E96" s="87"/>
      <c r="F96" s="1053"/>
      <c r="G96" s="679">
        <v>166</v>
      </c>
      <c r="H96" s="499">
        <f ca="1">_xlfn.LET(_xlpm._今月から4ヶ月計画合計,
  SUM(
    OFFSET($A96,0,
      MATCH(
        EDATE(基準データ!$C$5,3),$A$1:$BD$1,1
      )-4,1,4)),
  IF($C96="","",_xlpm._今月から4ヶ月計画合計
)
)</f>
        <v>16</v>
      </c>
      <c r="I96" s="679">
        <v>617</v>
      </c>
      <c r="J96" s="679">
        <v>96</v>
      </c>
      <c r="K96" s="1413">
        <v>46327</v>
      </c>
      <c r="L96" s="74"/>
      <c r="M96" s="74"/>
      <c r="N96" s="118"/>
      <c r="O96" s="1054"/>
      <c r="P96" s="1054"/>
      <c r="Q96" s="1054"/>
      <c r="R96" s="1054"/>
      <c r="S96" s="1054"/>
      <c r="T96" s="1055"/>
      <c r="U96" s="1055"/>
      <c r="V96" s="479"/>
      <c r="W96" s="479"/>
      <c r="X96" s="479"/>
      <c r="Y96" s="62"/>
      <c r="Z96" s="62"/>
      <c r="AA96" s="62"/>
      <c r="AB96" s="62"/>
      <c r="AC96" s="62"/>
      <c r="AD96" s="62"/>
      <c r="AE96" s="62"/>
      <c r="AF96" s="62"/>
      <c r="AG96" s="62"/>
      <c r="AH96" s="62"/>
      <c r="AI96" s="62"/>
      <c r="AJ96" s="62"/>
      <c r="AK96" s="62"/>
      <c r="AL96" s="491"/>
      <c r="AM96" s="491"/>
      <c r="AN96" s="491"/>
      <c r="AO96" s="491"/>
      <c r="AP96" s="491">
        <v>0</v>
      </c>
      <c r="AQ96" s="491">
        <v>8</v>
      </c>
      <c r="AR96" s="491">
        <v>8</v>
      </c>
      <c r="AS96" s="491">
        <v>8</v>
      </c>
      <c r="AT96" s="379">
        <v>8</v>
      </c>
      <c r="AU96" s="379">
        <v>8</v>
      </c>
      <c r="AV96" s="379">
        <v>8</v>
      </c>
      <c r="AW96" s="379">
        <v>8</v>
      </c>
      <c r="AX96" s="379">
        <v>8</v>
      </c>
      <c r="AY96" s="379">
        <v>8</v>
      </c>
      <c r="AZ96" s="379">
        <v>8</v>
      </c>
      <c r="BA96" s="379">
        <v>8</v>
      </c>
      <c r="BB96" s="379">
        <v>8</v>
      </c>
      <c r="BC96" s="379"/>
      <c r="BD96" s="379"/>
      <c r="BE96" s="379"/>
      <c r="BF96" s="379"/>
    </row>
    <row r="97" spans="1:71" s="21" customFormat="1" ht="18.75" customHeight="1">
      <c r="A97" s="1090" t="s">
        <v>1844</v>
      </c>
      <c r="B97" s="1161" t="s">
        <v>803</v>
      </c>
      <c r="C97" s="25" t="s">
        <v>800</v>
      </c>
      <c r="D97" s="25"/>
      <c r="E97" s="87"/>
      <c r="F97" s="1053"/>
      <c r="G97" s="679">
        <v>172</v>
      </c>
      <c r="H97" s="499">
        <f ca="1">_xlfn.LET(_xlpm._今月から4ヶ月計画合計,
  SUM(
    OFFSET($A97,0,
      MATCH(
        EDATE(基準データ!$C$5,3),$A$1:$BD$1,1
      )-4,1,4)),
  IF($C97="","",_xlpm._今月から4ヶ月計画合計
)
)</f>
        <v>25</v>
      </c>
      <c r="I97" s="679">
        <v>585</v>
      </c>
      <c r="J97" s="679">
        <v>125</v>
      </c>
      <c r="K97" s="1413">
        <v>46327</v>
      </c>
      <c r="L97" s="74"/>
      <c r="M97" s="74"/>
      <c r="N97" s="118"/>
      <c r="O97" s="1054"/>
      <c r="P97" s="1054"/>
      <c r="Q97" s="1054"/>
      <c r="R97" s="1054"/>
      <c r="S97" s="1054"/>
      <c r="T97" s="1055"/>
      <c r="U97" s="1055"/>
      <c r="V97" s="479"/>
      <c r="W97" s="479"/>
      <c r="X97" s="479"/>
      <c r="Y97" s="62"/>
      <c r="Z97" s="62"/>
      <c r="AA97" s="62"/>
      <c r="AB97" s="62"/>
      <c r="AC97" s="62"/>
      <c r="AD97" s="62"/>
      <c r="AE97" s="62"/>
      <c r="AF97" s="62"/>
      <c r="AG97" s="62"/>
      <c r="AH97" s="62"/>
      <c r="AI97" s="62"/>
      <c r="AJ97" s="62"/>
      <c r="AK97" s="62"/>
      <c r="AL97" s="1392"/>
      <c r="AM97" s="491"/>
      <c r="AN97" s="491"/>
      <c r="AO97" s="491"/>
      <c r="AP97" s="491">
        <v>0</v>
      </c>
      <c r="AQ97" s="491">
        <v>15</v>
      </c>
      <c r="AR97" s="491">
        <v>10</v>
      </c>
      <c r="AS97" s="491">
        <v>10</v>
      </c>
      <c r="AT97" s="491">
        <v>10</v>
      </c>
      <c r="AU97" s="491">
        <v>10</v>
      </c>
      <c r="AV97" s="491">
        <v>10</v>
      </c>
      <c r="AW97" s="491">
        <v>10</v>
      </c>
      <c r="AX97" s="491">
        <v>10</v>
      </c>
      <c r="AY97" s="491">
        <v>10</v>
      </c>
      <c r="AZ97" s="491">
        <v>10</v>
      </c>
      <c r="BA97" s="491">
        <v>10</v>
      </c>
      <c r="BB97" s="491">
        <v>10</v>
      </c>
      <c r="BC97" s="379"/>
      <c r="BD97" s="379"/>
      <c r="BE97" s="379"/>
      <c r="BF97" s="379"/>
    </row>
    <row r="98" spans="1:71" s="21" customFormat="1" ht="18.75" customHeight="1">
      <c r="A98" s="1090" t="s">
        <v>1844</v>
      </c>
      <c r="B98" s="1160" t="s">
        <v>824</v>
      </c>
      <c r="C98" s="25" t="s">
        <v>2651</v>
      </c>
      <c r="D98" s="25"/>
      <c r="E98" s="26"/>
      <c r="F98" s="381"/>
      <c r="G98" s="679">
        <v>463</v>
      </c>
      <c r="H98" s="499">
        <f ca="1">_xlfn.LET(_xlpm._今月から4ヶ月計画合計,
  SUM(
    OFFSET($A98,0,
      MATCH(
        EDATE(基準データ!$C$5,3),$A$1:$BD$1,1
      )-4,1,4)),
  IF($C98="","",_xlpm._今月から4ヶ月計画合計
)
)</f>
        <v>683</v>
      </c>
      <c r="I98" s="679">
        <v>1339</v>
      </c>
      <c r="J98" s="679">
        <v>6943</v>
      </c>
      <c r="K98" s="1413">
        <v>46296</v>
      </c>
      <c r="L98" s="118"/>
      <c r="M98" s="38"/>
      <c r="N98" s="116"/>
      <c r="O98" s="1051"/>
      <c r="P98" s="1051"/>
      <c r="Q98" s="1051"/>
      <c r="R98" s="1051"/>
      <c r="S98" s="1051"/>
      <c r="T98" s="1052"/>
      <c r="U98" s="1052"/>
      <c r="V98" s="749"/>
      <c r="W98" s="749"/>
      <c r="X98" s="749"/>
      <c r="Y98" s="25"/>
      <c r="Z98" s="25"/>
      <c r="AA98" s="25"/>
      <c r="AB98" s="25"/>
      <c r="AC98" s="25"/>
      <c r="AD98" s="25"/>
      <c r="AE98" s="25"/>
      <c r="AF98" s="25"/>
      <c r="AG98" s="25"/>
      <c r="AH98" s="25"/>
      <c r="AI98" s="25"/>
      <c r="AJ98" s="25"/>
      <c r="AK98" s="25"/>
      <c r="AL98" s="1453"/>
      <c r="AM98" s="373"/>
      <c r="AN98" s="373"/>
      <c r="AO98" s="373"/>
      <c r="AP98" s="373">
        <v>3</v>
      </c>
      <c r="AQ98" s="373">
        <v>80</v>
      </c>
      <c r="AR98" s="373">
        <v>600</v>
      </c>
      <c r="AS98" s="373">
        <v>990</v>
      </c>
      <c r="AT98" s="379">
        <v>500</v>
      </c>
      <c r="AU98" s="379">
        <v>570</v>
      </c>
      <c r="AV98" s="379">
        <v>1030</v>
      </c>
      <c r="AW98" s="379">
        <v>530</v>
      </c>
      <c r="AX98" s="379">
        <v>460</v>
      </c>
      <c r="AY98" s="379">
        <v>970</v>
      </c>
      <c r="AZ98" s="379">
        <v>470</v>
      </c>
      <c r="BA98" s="379">
        <v>370</v>
      </c>
      <c r="BB98" s="379">
        <v>370</v>
      </c>
      <c r="BC98" s="379"/>
      <c r="BD98" s="379"/>
      <c r="BE98" s="379"/>
      <c r="BF98" s="379"/>
    </row>
    <row r="99" spans="1:71" s="21" customFormat="1" ht="18.75" customHeight="1">
      <c r="A99" s="1090" t="s">
        <v>1844</v>
      </c>
      <c r="B99" s="1161" t="s">
        <v>820</v>
      </c>
      <c r="C99" s="25" t="s">
        <v>818</v>
      </c>
      <c r="D99" s="25"/>
      <c r="E99" s="87"/>
      <c r="F99" s="1053"/>
      <c r="G99" s="679">
        <v>222</v>
      </c>
      <c r="H99" s="499">
        <f ca="1">_xlfn.LET(_xlpm._今月から4ヶ月計画合計,
  SUM(
    OFFSET($A99,0,
      MATCH(
        EDATE(基準データ!$C$5,3),$A$1:$BD$1,1
      )-4,1,4)),
  IF($C99="","",_xlpm._今月から4ヶ月計画合計
)
)</f>
        <v>20</v>
      </c>
      <c r="I99" s="679">
        <v>923</v>
      </c>
      <c r="J99" s="679">
        <v>170</v>
      </c>
      <c r="K99" s="1413">
        <v>46327</v>
      </c>
      <c r="L99" s="74"/>
      <c r="M99" s="74"/>
      <c r="N99" s="118"/>
      <c r="O99" s="1054"/>
      <c r="P99" s="1054"/>
      <c r="Q99" s="1054"/>
      <c r="R99" s="1054"/>
      <c r="S99" s="1054"/>
      <c r="T99" s="1055"/>
      <c r="U99" s="1055"/>
      <c r="V99" s="479"/>
      <c r="W99" s="479"/>
      <c r="X99" s="479"/>
      <c r="Y99" s="62"/>
      <c r="Z99" s="62"/>
      <c r="AA99" s="62"/>
      <c r="AB99" s="62"/>
      <c r="AC99" s="62"/>
      <c r="AD99" s="62"/>
      <c r="AE99" s="62"/>
      <c r="AF99" s="62"/>
      <c r="AG99" s="62"/>
      <c r="AH99" s="62"/>
      <c r="AI99" s="62"/>
      <c r="AJ99" s="62"/>
      <c r="AK99" s="62"/>
      <c r="AL99" s="491"/>
      <c r="AM99" s="491"/>
      <c r="AN99" s="491"/>
      <c r="AO99" s="491"/>
      <c r="AP99" s="491">
        <v>0</v>
      </c>
      <c r="AQ99" s="491">
        <v>5</v>
      </c>
      <c r="AR99" s="491">
        <v>15</v>
      </c>
      <c r="AS99" s="491">
        <v>15</v>
      </c>
      <c r="AT99" s="491">
        <v>15</v>
      </c>
      <c r="AU99" s="491">
        <v>15</v>
      </c>
      <c r="AV99" s="491">
        <v>15</v>
      </c>
      <c r="AW99" s="491">
        <v>15</v>
      </c>
      <c r="AX99" s="491">
        <v>15</v>
      </c>
      <c r="AY99" s="491">
        <v>15</v>
      </c>
      <c r="AZ99" s="491">
        <v>15</v>
      </c>
      <c r="BA99" s="491">
        <v>15</v>
      </c>
      <c r="BB99" s="491">
        <v>15</v>
      </c>
      <c r="BC99" s="379"/>
      <c r="BD99" s="379"/>
      <c r="BE99" s="379"/>
      <c r="BF99" s="379"/>
    </row>
    <row r="100" spans="1:71" s="21" customFormat="1" ht="18.75" customHeight="1">
      <c r="A100" s="1090" t="s">
        <v>1844</v>
      </c>
      <c r="B100" s="1161" t="s">
        <v>815</v>
      </c>
      <c r="C100" s="25" t="s">
        <v>813</v>
      </c>
      <c r="D100" s="25"/>
      <c r="E100" s="87"/>
      <c r="F100" s="1053"/>
      <c r="G100" s="679">
        <v>227</v>
      </c>
      <c r="H100" s="499">
        <f ca="1">_xlfn.LET(_xlpm._今月から4ヶ月計画合計,
  SUM(
    OFFSET($A100,0,
      MATCH(
        EDATE(基準データ!$C$5,3),$A$1:$BD$1,1
      )-4,1,4)),
  IF($C100="","",_xlpm._今月から4ヶ月計画合計
)
)</f>
        <v>30</v>
      </c>
      <c r="I100" s="679">
        <v>874</v>
      </c>
      <c r="J100" s="679">
        <v>230</v>
      </c>
      <c r="K100" s="1413">
        <v>46327</v>
      </c>
      <c r="L100" s="74"/>
      <c r="M100" s="74"/>
      <c r="N100" s="118"/>
      <c r="O100" s="1054"/>
      <c r="P100" s="1054"/>
      <c r="Q100" s="1054"/>
      <c r="R100" s="1054"/>
      <c r="S100" s="1054"/>
      <c r="T100" s="1055"/>
      <c r="U100" s="1055"/>
      <c r="V100" s="479"/>
      <c r="W100" s="479"/>
      <c r="X100" s="479"/>
      <c r="Y100" s="62"/>
      <c r="Z100" s="62"/>
      <c r="AA100" s="62"/>
      <c r="AB100" s="62"/>
      <c r="AC100" s="62"/>
      <c r="AD100" s="62"/>
      <c r="AE100" s="62"/>
      <c r="AF100" s="62"/>
      <c r="AG100" s="62"/>
      <c r="AH100" s="62"/>
      <c r="AI100" s="62"/>
      <c r="AJ100" s="62"/>
      <c r="AK100" s="62"/>
      <c r="AL100" s="1392"/>
      <c r="AM100" s="491"/>
      <c r="AN100" s="491"/>
      <c r="AO100" s="491"/>
      <c r="AP100" s="491">
        <v>0</v>
      </c>
      <c r="AQ100" s="491">
        <v>10</v>
      </c>
      <c r="AR100" s="491">
        <v>20</v>
      </c>
      <c r="AS100" s="491">
        <v>20</v>
      </c>
      <c r="AT100" s="491">
        <v>20</v>
      </c>
      <c r="AU100" s="491">
        <v>20</v>
      </c>
      <c r="AV100" s="491">
        <v>20</v>
      </c>
      <c r="AW100" s="491">
        <v>20</v>
      </c>
      <c r="AX100" s="491">
        <v>20</v>
      </c>
      <c r="AY100" s="491">
        <v>20</v>
      </c>
      <c r="AZ100" s="491">
        <v>20</v>
      </c>
      <c r="BA100" s="491">
        <v>20</v>
      </c>
      <c r="BB100" s="491">
        <v>20</v>
      </c>
      <c r="BC100" s="379"/>
      <c r="BD100" s="379"/>
      <c r="BE100" s="379"/>
      <c r="BF100" s="379"/>
    </row>
    <row r="101" spans="1:71" s="21" customFormat="1" ht="18.75" customHeight="1">
      <c r="A101" s="1090" t="s">
        <v>1844</v>
      </c>
      <c r="B101" s="1160" t="s">
        <v>837</v>
      </c>
      <c r="C101" s="25" t="s">
        <v>1661</v>
      </c>
      <c r="D101" s="25"/>
      <c r="E101" s="26"/>
      <c r="F101" s="381"/>
      <c r="G101" s="679">
        <v>437</v>
      </c>
      <c r="H101" s="499">
        <f ca="1">_xlfn.LET(_xlpm._今月から4ヶ月計画合計,
  SUM(
    OFFSET($A101,0,
      MATCH(
        EDATE(基準データ!$C$5,3),$A$1:$BD$1,1
      )-4,1,4)),
  IF($C101="","",_xlpm._今月から4ヶ月計画合計
)
)</f>
        <v>85</v>
      </c>
      <c r="I101" s="679">
        <v>1804</v>
      </c>
      <c r="J101" s="679">
        <v>1190</v>
      </c>
      <c r="K101" s="1413">
        <v>46296</v>
      </c>
      <c r="L101" s="118"/>
      <c r="M101" s="38"/>
      <c r="N101" s="116"/>
      <c r="O101" s="1051"/>
      <c r="P101" s="1051"/>
      <c r="Q101" s="1051"/>
      <c r="R101" s="1051"/>
      <c r="S101" s="1051"/>
      <c r="T101" s="1052"/>
      <c r="U101" s="1052"/>
      <c r="V101" s="749"/>
      <c r="W101" s="749"/>
      <c r="X101" s="749"/>
      <c r="Y101" s="25"/>
      <c r="Z101" s="25"/>
      <c r="AA101" s="25"/>
      <c r="AB101" s="25"/>
      <c r="AC101" s="25"/>
      <c r="AD101" s="25"/>
      <c r="AE101" s="25"/>
      <c r="AF101" s="25"/>
      <c r="AG101" s="25"/>
      <c r="AH101" s="25"/>
      <c r="AI101" s="25"/>
      <c r="AJ101" s="25"/>
      <c r="AK101" s="25"/>
      <c r="AL101" s="1453"/>
      <c r="AM101" s="373"/>
      <c r="AN101" s="373"/>
      <c r="AO101" s="373"/>
      <c r="AP101" s="373">
        <v>0</v>
      </c>
      <c r="AQ101" s="373">
        <v>10</v>
      </c>
      <c r="AR101" s="373">
        <v>75</v>
      </c>
      <c r="AS101" s="373">
        <v>105</v>
      </c>
      <c r="AT101" s="379">
        <v>125</v>
      </c>
      <c r="AU101" s="379">
        <v>130</v>
      </c>
      <c r="AV101" s="379">
        <v>130</v>
      </c>
      <c r="AW101" s="379">
        <v>180</v>
      </c>
      <c r="AX101" s="379">
        <v>105</v>
      </c>
      <c r="AY101" s="379">
        <v>105</v>
      </c>
      <c r="AZ101" s="379">
        <v>75</v>
      </c>
      <c r="BA101" s="379">
        <v>75</v>
      </c>
      <c r="BB101" s="379">
        <v>75</v>
      </c>
      <c r="BC101" s="379"/>
      <c r="BD101" s="379"/>
      <c r="BE101" s="379"/>
      <c r="BF101" s="379"/>
    </row>
    <row r="102" spans="1:71" s="21" customFormat="1" ht="18.75" customHeight="1">
      <c r="A102" s="1090" t="s">
        <v>1844</v>
      </c>
      <c r="B102" s="1161" t="s">
        <v>833</v>
      </c>
      <c r="C102" s="25" t="s">
        <v>831</v>
      </c>
      <c r="D102" s="25"/>
      <c r="E102" s="87"/>
      <c r="F102" s="1053"/>
      <c r="G102" s="679">
        <v>275</v>
      </c>
      <c r="H102" s="499">
        <f ca="1">_xlfn.LET(_xlpm._今月から4ヶ月計画合計,
  SUM(
    OFFSET($A102,0,
      MATCH(
        EDATE(基準データ!$C$5,3),$A$1:$BD$1,1
      )-4,1,4)),
  IF($C102="","",_xlpm._今月から4ヶ月計画合計
)
)</f>
        <v>20</v>
      </c>
      <c r="I102" s="679">
        <v>1244</v>
      </c>
      <c r="J102" s="679">
        <v>170</v>
      </c>
      <c r="K102" s="1413">
        <v>46327</v>
      </c>
      <c r="L102" s="74"/>
      <c r="M102" s="74"/>
      <c r="N102" s="118"/>
      <c r="O102" s="1054"/>
      <c r="P102" s="1054"/>
      <c r="Q102" s="1054"/>
      <c r="R102" s="1054"/>
      <c r="S102" s="1054"/>
      <c r="T102" s="1055"/>
      <c r="U102" s="1055"/>
      <c r="V102" s="479"/>
      <c r="W102" s="479"/>
      <c r="X102" s="479"/>
      <c r="Y102" s="62"/>
      <c r="Z102" s="62"/>
      <c r="AA102" s="62"/>
      <c r="AB102" s="62"/>
      <c r="AC102" s="62"/>
      <c r="AD102" s="62"/>
      <c r="AE102" s="62"/>
      <c r="AF102" s="62"/>
      <c r="AG102" s="62"/>
      <c r="AH102" s="62"/>
      <c r="AI102" s="62"/>
      <c r="AJ102" s="62"/>
      <c r="AK102" s="62"/>
      <c r="AL102" s="491"/>
      <c r="AM102" s="491"/>
      <c r="AN102" s="491"/>
      <c r="AO102" s="491"/>
      <c r="AP102" s="491">
        <v>0</v>
      </c>
      <c r="AQ102" s="491">
        <v>5</v>
      </c>
      <c r="AR102" s="491">
        <v>15</v>
      </c>
      <c r="AS102" s="491">
        <v>15</v>
      </c>
      <c r="AT102" s="491">
        <v>15</v>
      </c>
      <c r="AU102" s="491">
        <v>15</v>
      </c>
      <c r="AV102" s="491">
        <v>15</v>
      </c>
      <c r="AW102" s="491">
        <v>15</v>
      </c>
      <c r="AX102" s="491">
        <v>15</v>
      </c>
      <c r="AY102" s="491">
        <v>15</v>
      </c>
      <c r="AZ102" s="491">
        <v>15</v>
      </c>
      <c r="BA102" s="491">
        <v>15</v>
      </c>
      <c r="BB102" s="491">
        <v>15</v>
      </c>
      <c r="BC102" s="379"/>
      <c r="BD102" s="379"/>
      <c r="BE102" s="379"/>
      <c r="BF102" s="379"/>
    </row>
    <row r="103" spans="1:71" s="21" customFormat="1" ht="18.75" customHeight="1">
      <c r="A103" s="1090" t="s">
        <v>1844</v>
      </c>
      <c r="B103" s="1161" t="s">
        <v>828</v>
      </c>
      <c r="C103" s="25" t="s">
        <v>1663</v>
      </c>
      <c r="D103" s="25"/>
      <c r="E103" s="87"/>
      <c r="F103" s="1053"/>
      <c r="G103" s="679">
        <v>266</v>
      </c>
      <c r="H103" s="499">
        <f ca="1">_xlfn.LET(_xlpm._今月から4ヶ月計画合計,
  SUM(
    OFFSET($A103,0,
      MATCH(
        EDATE(基準データ!$C$5,3),$A$1:$BD$1,1
      )-4,1,4)),
  IF($C103="","",_xlpm._今月から4ヶ月計画合計
)
)</f>
        <v>10</v>
      </c>
      <c r="I103" s="679">
        <v>1180</v>
      </c>
      <c r="J103" s="679">
        <v>160</v>
      </c>
      <c r="K103" s="1413">
        <v>46327</v>
      </c>
      <c r="L103" s="74"/>
      <c r="M103" s="74"/>
      <c r="N103" s="118"/>
      <c r="O103" s="1054"/>
      <c r="P103" s="1054"/>
      <c r="Q103" s="1054"/>
      <c r="R103" s="1054"/>
      <c r="S103" s="1054"/>
      <c r="T103" s="1055"/>
      <c r="U103" s="1055"/>
      <c r="V103" s="479"/>
      <c r="W103" s="479"/>
      <c r="X103" s="479"/>
      <c r="Y103" s="62"/>
      <c r="Z103" s="62"/>
      <c r="AA103" s="62"/>
      <c r="AB103" s="62"/>
      <c r="AC103" s="62"/>
      <c r="AD103" s="62"/>
      <c r="AE103" s="62"/>
      <c r="AF103" s="62"/>
      <c r="AG103" s="62"/>
      <c r="AH103" s="62"/>
      <c r="AI103" s="62"/>
      <c r="AJ103" s="62"/>
      <c r="AK103" s="62"/>
      <c r="AL103" s="1392"/>
      <c r="AM103" s="491"/>
      <c r="AN103" s="491"/>
      <c r="AO103" s="491"/>
      <c r="AP103" s="491">
        <v>0</v>
      </c>
      <c r="AQ103" s="491">
        <v>5</v>
      </c>
      <c r="AR103" s="491">
        <v>5</v>
      </c>
      <c r="AS103" s="491">
        <v>15</v>
      </c>
      <c r="AT103" s="491">
        <v>15</v>
      </c>
      <c r="AU103" s="491">
        <v>15</v>
      </c>
      <c r="AV103" s="491">
        <v>15</v>
      </c>
      <c r="AW103" s="491">
        <v>15</v>
      </c>
      <c r="AX103" s="491">
        <v>15</v>
      </c>
      <c r="AY103" s="491">
        <v>15</v>
      </c>
      <c r="AZ103" s="491">
        <v>15</v>
      </c>
      <c r="BA103" s="491">
        <v>15</v>
      </c>
      <c r="BB103" s="491">
        <v>15</v>
      </c>
      <c r="BC103" s="379"/>
      <c r="BD103" s="379"/>
      <c r="BE103" s="379"/>
      <c r="BF103" s="379"/>
    </row>
    <row r="104" spans="1:71" s="21" customFormat="1" ht="18.75" customHeight="1">
      <c r="A104" s="1091"/>
      <c r="B104" s="1038"/>
      <c r="C104" s="1038"/>
      <c r="D104" s="25"/>
      <c r="E104" s="26"/>
      <c r="F104" s="381"/>
      <c r="G104" s="933" t="str">
        <v/>
      </c>
      <c r="H104" s="499" t="str">
        <f ca="1">_xlfn.LET(_xlpm._今月から4ヶ月計画合計,
  SUM(
    OFFSET($A104,0,
      MATCH(
        EDATE(基準データ!$C$5,3),$A$1:$BD$1,1
      )-4,1,4)),
  IF($C104="","",_xlpm._今月から4ヶ月計画合計
)
)</f>
        <v/>
      </c>
      <c r="I104" s="679" t="str">
        <v/>
      </c>
      <c r="J104" s="679" t="str">
        <v/>
      </c>
      <c r="K104" s="1413" t="str">
        <v/>
      </c>
      <c r="L104" s="382"/>
      <c r="M104" s="1046"/>
      <c r="N104" s="1047"/>
      <c r="O104" s="423"/>
      <c r="P104" s="423"/>
      <c r="Q104" s="423"/>
      <c r="R104" s="423"/>
      <c r="S104" s="423"/>
      <c r="T104" s="530"/>
      <c r="U104" s="530"/>
      <c r="Y104" s="1048"/>
      <c r="Z104" s="1048"/>
      <c r="AA104" s="1048"/>
      <c r="AB104" s="1048"/>
      <c r="AC104" s="1048"/>
      <c r="AD104" s="1048"/>
      <c r="AE104" s="1048"/>
      <c r="AF104" s="1048"/>
      <c r="AG104" s="1048"/>
      <c r="AH104" s="1048"/>
      <c r="AI104" s="1048"/>
      <c r="AJ104" s="1048"/>
      <c r="AK104" s="1048"/>
      <c r="AL104" s="373"/>
      <c r="AM104" s="373"/>
      <c r="AN104" s="373"/>
      <c r="AO104" s="373"/>
      <c r="AP104" s="373"/>
      <c r="AQ104" s="373"/>
      <c r="AR104" s="373"/>
      <c r="AS104" s="373"/>
      <c r="AT104" s="379"/>
      <c r="AU104" s="379"/>
      <c r="AV104" s="379"/>
      <c r="AW104" s="379"/>
      <c r="AX104" s="379"/>
      <c r="AY104" s="379"/>
      <c r="AZ104" s="379"/>
      <c r="BA104" s="379"/>
      <c r="BB104" s="379"/>
      <c r="BC104" s="379"/>
      <c r="BD104" s="379"/>
      <c r="BE104" s="379"/>
      <c r="BF104" s="379"/>
    </row>
    <row r="105" spans="1:71" s="1229" customFormat="1" ht="18.75" customHeight="1">
      <c r="A105" s="1990"/>
      <c r="B105" s="1991"/>
      <c r="C105" s="1991" t="s">
        <v>1810</v>
      </c>
      <c r="D105" s="1219"/>
      <c r="E105" s="1218"/>
      <c r="F105" s="1992"/>
      <c r="G105" s="1980"/>
      <c r="H105" s="1222"/>
      <c r="I105" s="1222">
        <v>0</v>
      </c>
      <c r="J105" s="1222">
        <v>0</v>
      </c>
      <c r="K105" s="1993"/>
      <c r="L105" s="1994"/>
      <c r="M105" s="1994"/>
      <c r="N105" s="1995"/>
      <c r="O105" s="1996"/>
      <c r="P105" s="1996"/>
      <c r="Q105" s="1996"/>
      <c r="R105" s="1996"/>
      <c r="S105" s="1996"/>
      <c r="T105" s="1997"/>
      <c r="U105" s="1997"/>
      <c r="V105" s="1998"/>
      <c r="W105" s="1998"/>
      <c r="X105" s="1998"/>
      <c r="Y105" s="1999"/>
      <c r="Z105" s="1999"/>
      <c r="AA105" s="1999"/>
      <c r="AB105" s="1999"/>
      <c r="AC105" s="1999"/>
      <c r="AD105" s="1999"/>
      <c r="AE105" s="1999"/>
      <c r="AF105" s="1999"/>
      <c r="AG105" s="1999"/>
      <c r="AH105" s="1999"/>
      <c r="AI105" s="1999"/>
      <c r="AJ105" s="1999"/>
      <c r="AK105" s="1999"/>
      <c r="AL105" s="1999"/>
      <c r="AM105" s="1999"/>
      <c r="AN105" s="1999"/>
      <c r="AO105" s="1999"/>
      <c r="AP105" s="1999"/>
      <c r="AQ105" s="1999"/>
      <c r="AR105" s="1999"/>
      <c r="AS105" s="1999"/>
      <c r="AT105" s="2000"/>
      <c r="AU105" s="2000"/>
      <c r="AV105" s="2000"/>
      <c r="AW105" s="2000"/>
      <c r="AX105" s="2000"/>
      <c r="AY105" s="2000"/>
      <c r="AZ105" s="2000"/>
      <c r="BA105" s="2000"/>
      <c r="BB105" s="2000"/>
      <c r="BC105" s="2000"/>
      <c r="BD105" s="2000"/>
      <c r="BE105" s="2000"/>
      <c r="BF105" s="2000"/>
      <c r="BG105" s="1998"/>
      <c r="BH105" s="1998"/>
      <c r="BI105" s="1998"/>
      <c r="BJ105" s="1998"/>
      <c r="BK105" s="1998"/>
      <c r="BL105" s="1998"/>
      <c r="BM105" s="1998"/>
      <c r="BN105" s="1998"/>
      <c r="BO105" s="1998"/>
      <c r="BP105" s="1998"/>
      <c r="BQ105" s="1998"/>
      <c r="BR105" s="1998"/>
      <c r="BS105" s="1998"/>
    </row>
    <row r="106" spans="1:71" s="2016" customFormat="1" ht="18.75" customHeight="1">
      <c r="A106" s="2018"/>
      <c r="B106" s="2019" t="s">
        <v>1819</v>
      </c>
      <c r="C106" s="2019"/>
      <c r="D106" s="2020"/>
      <c r="E106" s="2021"/>
      <c r="F106" s="2022"/>
      <c r="G106" s="2023"/>
      <c r="H106" s="2024"/>
      <c r="I106" s="2025"/>
      <c r="J106" s="2025"/>
      <c r="K106" s="2026"/>
      <c r="L106" s="2027"/>
      <c r="M106" s="2027"/>
      <c r="N106" s="2028"/>
      <c r="O106" s="2029"/>
      <c r="P106" s="2029"/>
      <c r="Q106" s="2029"/>
      <c r="R106" s="2029"/>
      <c r="S106" s="2029"/>
      <c r="T106" s="2030"/>
      <c r="U106" s="2030"/>
      <c r="Y106" s="2020"/>
      <c r="Z106" s="2020"/>
      <c r="AA106" s="2020"/>
      <c r="AB106" s="2020"/>
      <c r="AC106" s="2020"/>
      <c r="AD106" s="2020"/>
      <c r="AE106" s="2020"/>
      <c r="AF106" s="2020"/>
      <c r="AG106" s="2020"/>
      <c r="AH106" s="2020"/>
      <c r="AI106" s="2020"/>
      <c r="AJ106" s="2020"/>
      <c r="AK106" s="2020"/>
      <c r="AL106" s="2020">
        <f t="shared" ref="AL106:BF106" si="5">SUM(AL$52:AL$74)</f>
        <v>434</v>
      </c>
      <c r="AM106" s="2020">
        <f t="shared" si="5"/>
        <v>1053</v>
      </c>
      <c r="AN106" s="2020">
        <f t="shared" si="5"/>
        <v>2226</v>
      </c>
      <c r="AO106" s="2020">
        <f t="shared" si="5"/>
        <v>1669</v>
      </c>
      <c r="AP106" s="2020">
        <f t="shared" si="5"/>
        <v>825</v>
      </c>
      <c r="AQ106" s="2020">
        <f t="shared" si="5"/>
        <v>912</v>
      </c>
      <c r="AR106" s="2020">
        <f t="shared" si="5"/>
        <v>1562</v>
      </c>
      <c r="AS106" s="2020">
        <f t="shared" si="5"/>
        <v>1716</v>
      </c>
      <c r="AT106" s="2031">
        <f t="shared" si="5"/>
        <v>1346</v>
      </c>
      <c r="AU106" s="2031">
        <f t="shared" si="5"/>
        <v>805</v>
      </c>
      <c r="AV106" s="2031">
        <f t="shared" si="5"/>
        <v>1675</v>
      </c>
      <c r="AW106" s="2031">
        <f t="shared" si="5"/>
        <v>1025</v>
      </c>
      <c r="AX106" s="2031">
        <f t="shared" si="5"/>
        <v>905</v>
      </c>
      <c r="AY106" s="2031">
        <f t="shared" si="5"/>
        <v>1320</v>
      </c>
      <c r="AZ106" s="2031">
        <f t="shared" si="5"/>
        <v>620</v>
      </c>
      <c r="BA106" s="2031">
        <f t="shared" si="5"/>
        <v>620</v>
      </c>
      <c r="BB106" s="2031">
        <f t="shared" si="5"/>
        <v>520</v>
      </c>
      <c r="BC106" s="2031">
        <f t="shared" si="5"/>
        <v>0</v>
      </c>
      <c r="BD106" s="2031">
        <f t="shared" si="5"/>
        <v>0</v>
      </c>
      <c r="BE106" s="2031">
        <f t="shared" si="5"/>
        <v>0</v>
      </c>
      <c r="BF106" s="2031">
        <f t="shared" si="5"/>
        <v>0</v>
      </c>
    </row>
    <row r="107" spans="1:71" s="2016" customFormat="1" ht="18.75" customHeight="1">
      <c r="A107" s="2018"/>
      <c r="B107" s="2019" t="s">
        <v>1818</v>
      </c>
      <c r="C107" s="2019"/>
      <c r="D107" s="2020"/>
      <c r="E107" s="2021"/>
      <c r="F107" s="2022"/>
      <c r="G107" s="2023"/>
      <c r="H107" s="2024"/>
      <c r="I107" s="2025"/>
      <c r="J107" s="2025"/>
      <c r="K107" s="2026"/>
      <c r="L107" s="2027"/>
      <c r="M107" s="2027"/>
      <c r="N107" s="2028"/>
      <c r="O107" s="2029"/>
      <c r="P107" s="2029"/>
      <c r="Q107" s="2029"/>
      <c r="R107" s="2029"/>
      <c r="S107" s="2029"/>
      <c r="T107" s="2030"/>
      <c r="U107" s="2030"/>
      <c r="Y107" s="2020"/>
      <c r="Z107" s="2020"/>
      <c r="AA107" s="2020"/>
      <c r="AB107" s="2020"/>
      <c r="AC107" s="2020"/>
      <c r="AD107" s="2020"/>
      <c r="AE107" s="2020"/>
      <c r="AF107" s="2020"/>
      <c r="AG107" s="2020"/>
      <c r="AH107" s="2020"/>
      <c r="AI107" s="2020"/>
      <c r="AJ107" s="2020"/>
      <c r="AK107" s="2020"/>
      <c r="AL107" s="2020">
        <f t="shared" ref="AL107:BF107" si="6">SUM(AL$76:AL$103)</f>
        <v>923</v>
      </c>
      <c r="AM107" s="2020">
        <f t="shared" si="6"/>
        <v>1038</v>
      </c>
      <c r="AN107" s="2020">
        <f t="shared" si="6"/>
        <v>1439</v>
      </c>
      <c r="AO107" s="2020">
        <f t="shared" si="6"/>
        <v>2711</v>
      </c>
      <c r="AP107" s="2020">
        <f t="shared" si="6"/>
        <v>448</v>
      </c>
      <c r="AQ107" s="2020">
        <f t="shared" si="6"/>
        <v>735</v>
      </c>
      <c r="AR107" s="2020">
        <f t="shared" si="6"/>
        <v>1636</v>
      </c>
      <c r="AS107" s="2020">
        <f t="shared" si="6"/>
        <v>1988</v>
      </c>
      <c r="AT107" s="2031">
        <f t="shared" si="6"/>
        <v>1248</v>
      </c>
      <c r="AU107" s="2031">
        <f t="shared" si="6"/>
        <v>1373</v>
      </c>
      <c r="AV107" s="2031">
        <f t="shared" si="6"/>
        <v>2143</v>
      </c>
      <c r="AW107" s="2031">
        <f t="shared" si="6"/>
        <v>1683</v>
      </c>
      <c r="AX107" s="2031">
        <f t="shared" si="6"/>
        <v>1238</v>
      </c>
      <c r="AY107" s="2031">
        <f t="shared" si="6"/>
        <v>1718</v>
      </c>
      <c r="AZ107" s="2031">
        <f t="shared" si="6"/>
        <v>1108</v>
      </c>
      <c r="BA107" s="2031">
        <f t="shared" si="6"/>
        <v>1108</v>
      </c>
      <c r="BB107" s="2031">
        <f t="shared" si="6"/>
        <v>978</v>
      </c>
      <c r="BC107" s="2031">
        <f t="shared" si="6"/>
        <v>0</v>
      </c>
      <c r="BD107" s="2031">
        <f t="shared" si="6"/>
        <v>0</v>
      </c>
      <c r="BE107" s="2031">
        <f t="shared" si="6"/>
        <v>0</v>
      </c>
      <c r="BF107" s="2031">
        <f t="shared" si="6"/>
        <v>0</v>
      </c>
    </row>
    <row r="108" spans="1:71" s="23" customFormat="1" ht="18.75" customHeight="1">
      <c r="A108" s="1092" t="s">
        <v>1317</v>
      </c>
      <c r="B108" s="364" t="s">
        <v>1501</v>
      </c>
      <c r="C108" s="374" t="s">
        <v>1805</v>
      </c>
      <c r="D108" s="374" t="s">
        <v>1317</v>
      </c>
      <c r="E108" s="375" t="s">
        <v>1317</v>
      </c>
      <c r="F108" s="375"/>
      <c r="G108" s="387"/>
      <c r="H108" s="680">
        <v>10051</v>
      </c>
      <c r="I108" s="1137">
        <v>0</v>
      </c>
      <c r="J108" s="1137">
        <v>0</v>
      </c>
      <c r="K108" s="1419"/>
      <c r="L108" s="376">
        <f t="shared" ref="L108:AJ108" si="7">SUM(L51:L105)</f>
        <v>245</v>
      </c>
      <c r="M108" s="376">
        <f t="shared" si="7"/>
        <v>273</v>
      </c>
      <c r="N108" s="376">
        <f t="shared" si="7"/>
        <v>145</v>
      </c>
      <c r="O108" s="376">
        <f t="shared" si="7"/>
        <v>125</v>
      </c>
      <c r="P108" s="376">
        <f t="shared" si="7"/>
        <v>138</v>
      </c>
      <c r="Q108" s="376">
        <f t="shared" si="7"/>
        <v>192</v>
      </c>
      <c r="R108" s="376">
        <f t="shared" si="7"/>
        <v>242</v>
      </c>
      <c r="S108" s="376">
        <f t="shared" si="7"/>
        <v>231</v>
      </c>
      <c r="T108" s="376">
        <f t="shared" si="7"/>
        <v>233</v>
      </c>
      <c r="U108" s="376">
        <f t="shared" si="7"/>
        <v>480</v>
      </c>
      <c r="V108" s="376">
        <f t="shared" si="7"/>
        <v>683</v>
      </c>
      <c r="W108" s="376">
        <f t="shared" si="7"/>
        <v>1673</v>
      </c>
      <c r="X108" s="376">
        <f t="shared" si="7"/>
        <v>2801</v>
      </c>
      <c r="Y108" s="376">
        <f t="shared" si="7"/>
        <v>2351</v>
      </c>
      <c r="Z108" s="376">
        <f t="shared" si="7"/>
        <v>1125</v>
      </c>
      <c r="AA108" s="376">
        <f t="shared" si="7"/>
        <v>800</v>
      </c>
      <c r="AB108" s="376">
        <f t="shared" si="7"/>
        <v>740</v>
      </c>
      <c r="AC108" s="376">
        <f t="shared" si="7"/>
        <v>1386</v>
      </c>
      <c r="AD108" s="376">
        <f t="shared" si="7"/>
        <v>1365</v>
      </c>
      <c r="AE108" s="382">
        <f t="shared" si="7"/>
        <v>47226</v>
      </c>
      <c r="AF108" s="376">
        <f t="shared" si="7"/>
        <v>47046</v>
      </c>
      <c r="AG108" s="376">
        <f t="shared" si="7"/>
        <v>47279</v>
      </c>
      <c r="AH108" s="376">
        <f t="shared" si="7"/>
        <v>46733</v>
      </c>
      <c r="AI108" s="376">
        <f t="shared" si="7"/>
        <v>46999</v>
      </c>
      <c r="AJ108" s="376">
        <f t="shared" si="7"/>
        <v>46715</v>
      </c>
      <c r="AK108" s="376">
        <f>SUM(AK52:AK105)</f>
        <v>1955</v>
      </c>
      <c r="AL108" s="376">
        <f>SUM(AL52:AL103)</f>
        <v>1357</v>
      </c>
      <c r="AM108" s="376">
        <f t="shared" ref="AM108:BF108" si="8">SUM(AM52:AM103)</f>
        <v>2091</v>
      </c>
      <c r="AN108" s="376">
        <f t="shared" si="8"/>
        <v>3665</v>
      </c>
      <c r="AO108" s="376">
        <f t="shared" si="8"/>
        <v>4380</v>
      </c>
      <c r="AP108" s="376">
        <f t="shared" si="8"/>
        <v>1273</v>
      </c>
      <c r="AQ108" s="376">
        <f t="shared" si="8"/>
        <v>1647</v>
      </c>
      <c r="AR108" s="376">
        <f t="shared" si="8"/>
        <v>3198</v>
      </c>
      <c r="AS108" s="376">
        <f t="shared" si="8"/>
        <v>3704</v>
      </c>
      <c r="AT108" s="376">
        <f t="shared" si="8"/>
        <v>2594</v>
      </c>
      <c r="AU108" s="376">
        <f t="shared" si="8"/>
        <v>2178</v>
      </c>
      <c r="AV108" s="376">
        <f t="shared" si="8"/>
        <v>3818</v>
      </c>
      <c r="AW108" s="376">
        <f t="shared" si="8"/>
        <v>2708</v>
      </c>
      <c r="AX108" s="376">
        <f t="shared" si="8"/>
        <v>2143</v>
      </c>
      <c r="AY108" s="376">
        <f t="shared" si="8"/>
        <v>3038</v>
      </c>
      <c r="AZ108" s="376">
        <f t="shared" si="8"/>
        <v>1728</v>
      </c>
      <c r="BA108" s="376">
        <f t="shared" si="8"/>
        <v>1728</v>
      </c>
      <c r="BB108" s="376">
        <f t="shared" si="8"/>
        <v>1498</v>
      </c>
      <c r="BC108" s="376">
        <f t="shared" si="8"/>
        <v>0</v>
      </c>
      <c r="BD108" s="376">
        <f t="shared" si="8"/>
        <v>0</v>
      </c>
      <c r="BE108" s="376">
        <f t="shared" si="8"/>
        <v>0</v>
      </c>
      <c r="BF108" s="376">
        <f t="shared" si="8"/>
        <v>0</v>
      </c>
    </row>
    <row r="109" spans="1:71" s="23" customFormat="1" ht="18.75" customHeight="1" thickBot="1">
      <c r="A109" s="1093"/>
      <c r="B109" s="929" t="s">
        <v>1502</v>
      </c>
      <c r="C109" s="346"/>
      <c r="D109" s="346"/>
      <c r="E109" s="323"/>
      <c r="F109" s="323"/>
      <c r="G109" s="411"/>
      <c r="H109" s="411"/>
      <c r="I109" s="1138">
        <v>0</v>
      </c>
      <c r="J109" s="1138">
        <v>0</v>
      </c>
      <c r="K109" s="1420"/>
      <c r="L109" s="325"/>
      <c r="M109" s="325"/>
      <c r="N109" s="325"/>
      <c r="O109" s="325"/>
      <c r="P109" s="325"/>
      <c r="Q109" s="325"/>
      <c r="R109" s="318">
        <v>556.77424398748462</v>
      </c>
      <c r="S109" s="318">
        <v>711.55297898024435</v>
      </c>
      <c r="T109" s="318">
        <v>701.02336537827432</v>
      </c>
      <c r="U109" s="318">
        <v>689.08694223461828</v>
      </c>
      <c r="V109" s="318">
        <v>849.36963371670095</v>
      </c>
      <c r="W109" s="318">
        <v>885.27064244156941</v>
      </c>
      <c r="X109" s="430">
        <v>1034.437480586839</v>
      </c>
      <c r="Y109" s="430">
        <v>1182.7937822486231</v>
      </c>
      <c r="Z109" s="430">
        <v>1023.9981194768691</v>
      </c>
      <c r="AA109" s="430">
        <v>929.11845036245404</v>
      </c>
      <c r="AB109" s="430">
        <v>976.21866750488766</v>
      </c>
      <c r="AC109" s="316">
        <v>961.35569308143477</v>
      </c>
      <c r="AD109" s="316">
        <v>737.45587127492706</v>
      </c>
      <c r="AE109" s="667">
        <v>1005.5480499740926</v>
      </c>
      <c r="AF109" s="637">
        <v>1077.9527416155775</v>
      </c>
      <c r="AG109" s="637">
        <v>1180.6933156488203</v>
      </c>
      <c r="AH109" s="637">
        <v>1294.6198954609984</v>
      </c>
      <c r="AI109" s="637">
        <v>1502.9510874403322</v>
      </c>
      <c r="AJ109" s="637">
        <v>1608.5608475350498</v>
      </c>
      <c r="AK109" s="637">
        <v>2436.6089125864446</v>
      </c>
      <c r="AL109" s="637">
        <v>1368.9559236096427</v>
      </c>
      <c r="AM109" s="316">
        <v>1216.6850164158564</v>
      </c>
      <c r="AN109" s="316">
        <v>1351.3000806504735</v>
      </c>
      <c r="AO109" s="316">
        <v>1452.0514433744027</v>
      </c>
      <c r="AP109" s="317"/>
      <c r="AQ109" s="317"/>
      <c r="AR109" s="317"/>
      <c r="AS109" s="317"/>
      <c r="AT109" s="316"/>
      <c r="AU109" s="637"/>
      <c r="AV109" s="637"/>
      <c r="AW109" s="637"/>
      <c r="AX109" s="637"/>
      <c r="AY109" s="637"/>
      <c r="AZ109" s="637"/>
      <c r="BA109" s="637"/>
      <c r="BB109" s="637"/>
      <c r="BC109" s="637"/>
      <c r="BD109" s="637"/>
      <c r="BE109" s="637"/>
      <c r="BF109" s="637"/>
    </row>
    <row r="110" spans="1:71" s="23" customFormat="1" ht="18.75" customHeight="1">
      <c r="A110" s="1094" t="s">
        <v>1317</v>
      </c>
      <c r="B110" s="344" t="s">
        <v>982</v>
      </c>
      <c r="C110" s="344"/>
      <c r="D110" s="344" t="s">
        <v>11</v>
      </c>
      <c r="E110" s="345" t="s">
        <v>12</v>
      </c>
      <c r="F110" s="345"/>
      <c r="G110" s="412"/>
      <c r="H110" s="413">
        <v>0</v>
      </c>
      <c r="I110" s="1133">
        <v>0</v>
      </c>
      <c r="J110" s="1133">
        <v>0</v>
      </c>
      <c r="K110" s="1421"/>
      <c r="L110" s="268"/>
      <c r="M110" s="268"/>
      <c r="N110" s="268"/>
      <c r="O110" s="268"/>
      <c r="P110" s="268"/>
      <c r="Q110" s="268"/>
      <c r="R110" s="268"/>
      <c r="S110" s="268"/>
      <c r="T110" s="268"/>
      <c r="U110" s="268"/>
      <c r="V110" s="269"/>
      <c r="W110" s="270"/>
      <c r="X110" s="431"/>
      <c r="Y110" s="431"/>
      <c r="Z110" s="431"/>
      <c r="AA110" s="432"/>
      <c r="AB110" s="431"/>
      <c r="AC110" s="483"/>
      <c r="AD110" s="483"/>
      <c r="AE110" s="668"/>
      <c r="AF110" s="765"/>
      <c r="AG110" s="765"/>
      <c r="AH110" s="765"/>
      <c r="AI110" s="765"/>
      <c r="AJ110" s="765"/>
      <c r="AK110" s="765"/>
      <c r="AL110" s="765"/>
      <c r="AM110" s="484"/>
      <c r="AN110" s="484"/>
      <c r="AO110" s="484"/>
      <c r="AP110" s="484"/>
      <c r="AQ110" s="484"/>
      <c r="AR110" s="484"/>
      <c r="AS110" s="484"/>
      <c r="AT110" s="715"/>
      <c r="AU110" s="764"/>
      <c r="AV110" s="764"/>
      <c r="AW110" s="764"/>
      <c r="AX110" s="764"/>
      <c r="AY110" s="764"/>
      <c r="AZ110" s="764"/>
      <c r="BA110" s="764"/>
      <c r="BB110" s="764"/>
      <c r="BC110" s="764"/>
      <c r="BD110" s="764"/>
      <c r="BE110" s="764"/>
      <c r="BF110" s="764"/>
    </row>
    <row r="111" spans="1:71" s="21" customFormat="1" ht="18.75" customHeight="1">
      <c r="A111" s="1075" t="s">
        <v>1851</v>
      </c>
      <c r="B111" s="100" t="s">
        <v>985</v>
      </c>
      <c r="C111" s="55" t="s">
        <v>983</v>
      </c>
      <c r="D111" s="55"/>
      <c r="E111" s="58" t="s">
        <v>1506</v>
      </c>
      <c r="F111" s="58"/>
      <c r="G111" s="499" cm="1">
        <f t="array" ref="G111:G120">IF($C111:$C120="","",SUMIF(マスタ_EOLリスト[[製品型番]:[製品型番]],$C111:$C120,マスタ_EOLリスト[[在庫+注残]:[在庫+注残]]))</f>
        <v>0</v>
      </c>
      <c r="H111" s="679">
        <f ca="1">_xlfn.LET(_xlpm._今月から4ヶ月計画合計,
  SUM(
    OFFSET($A111,0,
      MATCH(
        EDATE(基準データ!$C$5,3),$A$1:$BD$1,1
      )-4,1,4)),
  IF($C111="","",_xlpm._今月から4ヶ月計画合計
)
)</f>
        <v>0</v>
      </c>
      <c r="I111" s="679"/>
      <c r="J111" s="679"/>
      <c r="K111" s="1413" t="s">
        <v>1852</v>
      </c>
      <c r="L111" s="65"/>
      <c r="M111" s="65"/>
      <c r="N111" s="65"/>
      <c r="O111" s="65"/>
      <c r="P111" s="65"/>
      <c r="Q111" s="65"/>
      <c r="R111" s="65"/>
      <c r="S111" s="65"/>
      <c r="T111" s="65"/>
      <c r="U111" s="65"/>
      <c r="V111" s="371"/>
      <c r="W111" s="192">
        <v>2</v>
      </c>
      <c r="X111" s="192">
        <v>3</v>
      </c>
      <c r="Y111" s="140"/>
      <c r="Z111" s="140"/>
      <c r="AA111" s="250">
        <v>3</v>
      </c>
      <c r="AB111" s="140"/>
      <c r="AC111" s="140"/>
      <c r="AD111" s="140"/>
      <c r="AE111" s="192"/>
      <c r="AF111" s="192"/>
      <c r="AG111" s="192"/>
      <c r="AH111" s="192"/>
      <c r="AI111" s="354"/>
      <c r="AJ111" s="217"/>
      <c r="AK111" s="217"/>
      <c r="AL111" s="217"/>
      <c r="AM111" s="416"/>
      <c r="AN111" s="416"/>
      <c r="AO111" s="416"/>
      <c r="AP111" s="416"/>
      <c r="AQ111" s="416"/>
      <c r="AR111" s="416"/>
      <c r="AS111" s="416"/>
      <c r="AT111" s="416"/>
      <c r="AU111" s="217"/>
      <c r="AV111" s="217"/>
      <c r="AW111" s="217"/>
      <c r="AX111" s="217"/>
      <c r="AY111" s="217"/>
      <c r="AZ111" s="217"/>
      <c r="BA111" s="217"/>
      <c r="BB111" s="217"/>
      <c r="BC111" s="217"/>
      <c r="BD111" s="217"/>
      <c r="BE111" s="217"/>
      <c r="BF111" s="217"/>
    </row>
    <row r="112" spans="1:71" s="21" customFormat="1" ht="18.75" customHeight="1">
      <c r="A112" s="1075"/>
      <c r="B112" s="100" t="s">
        <v>988</v>
      </c>
      <c r="C112" s="55" t="s">
        <v>986</v>
      </c>
      <c r="D112" s="55"/>
      <c r="E112" s="58" t="s">
        <v>1507</v>
      </c>
      <c r="F112" s="58"/>
      <c r="G112" s="44">
        <v>16</v>
      </c>
      <c r="H112" s="679">
        <f ca="1">_xlfn.LET(_xlpm._今月から4ヶ月計画合計,
  SUM(
    OFFSET($A112,0,
      MATCH(
        EDATE(基準データ!$C$5,3),$A$1:$BD$1,1
      )-4,1,4)),
  IF($C112="","",_xlpm._今月から4ヶ月計画合計
)
)</f>
        <v>0</v>
      </c>
      <c r="I112" s="679"/>
      <c r="J112" s="679"/>
      <c r="K112" s="1413" t="s">
        <v>1853</v>
      </c>
      <c r="L112" s="65"/>
      <c r="M112" s="65"/>
      <c r="N112" s="65"/>
      <c r="O112" s="65"/>
      <c r="P112" s="65"/>
      <c r="Q112" s="65"/>
      <c r="R112" s="65"/>
      <c r="S112" s="65"/>
      <c r="T112" s="65"/>
      <c r="U112" s="65"/>
      <c r="V112" s="371"/>
      <c r="W112" s="192">
        <v>4</v>
      </c>
      <c r="X112" s="192">
        <v>61</v>
      </c>
      <c r="Y112" s="140">
        <v>52</v>
      </c>
      <c r="Z112" s="140">
        <v>59</v>
      </c>
      <c r="AA112" s="250">
        <v>31</v>
      </c>
      <c r="AB112" s="140"/>
      <c r="AC112" s="140"/>
      <c r="AD112" s="140"/>
      <c r="AE112" s="192">
        <v>25</v>
      </c>
      <c r="AF112" s="192">
        <v>25</v>
      </c>
      <c r="AG112" s="192">
        <v>22</v>
      </c>
      <c r="AH112" s="192"/>
      <c r="AI112" s="354"/>
      <c r="AJ112" s="217"/>
      <c r="AK112" s="217"/>
      <c r="AL112" s="217"/>
      <c r="AM112" s="416">
        <v>6</v>
      </c>
      <c r="AN112" s="416"/>
      <c r="AO112" s="416"/>
      <c r="AP112" s="416"/>
      <c r="AQ112" s="416"/>
      <c r="AR112" s="416"/>
      <c r="AS112" s="416"/>
      <c r="AT112" s="416"/>
      <c r="AU112" s="217"/>
      <c r="AV112" s="217"/>
      <c r="AW112" s="217"/>
      <c r="AX112" s="217"/>
      <c r="AY112" s="217"/>
      <c r="AZ112" s="217"/>
      <c r="BA112" s="217"/>
      <c r="BB112" s="217"/>
      <c r="BC112" s="217"/>
      <c r="BD112" s="217"/>
      <c r="BE112" s="217"/>
      <c r="BF112" s="217"/>
    </row>
    <row r="113" spans="1:58" s="21" customFormat="1" ht="18.75" customHeight="1">
      <c r="A113" s="1075"/>
      <c r="B113" s="55"/>
      <c r="C113" s="55"/>
      <c r="D113" s="55"/>
      <c r="E113" s="58"/>
      <c r="F113" s="58"/>
      <c r="G113" s="44" t="str">
        <v/>
      </c>
      <c r="H113" s="679" t="str">
        <f ca="1">_xlfn.LET(_xlpm._今月から4ヶ月計画合計,
  SUM(
    OFFSET($A113,0,
      MATCH(
        EDATE(基準データ!$C$5,3),$A$1:$BD$1,1
      )-4,1,4)),
  IF($C113="","",_xlpm._今月から4ヶ月計画合計
)
)</f>
        <v/>
      </c>
      <c r="I113" s="679"/>
      <c r="J113" s="679"/>
      <c r="K113" s="1413" t="s">
        <v>21</v>
      </c>
      <c r="L113" s="65"/>
      <c r="M113" s="65"/>
      <c r="N113" s="65"/>
      <c r="O113" s="65"/>
      <c r="P113" s="65"/>
      <c r="Q113" s="65"/>
      <c r="R113" s="65"/>
      <c r="S113" s="65"/>
      <c r="T113" s="65"/>
      <c r="U113" s="65"/>
      <c r="V113" s="371"/>
      <c r="W113" s="192"/>
      <c r="X113" s="192"/>
      <c r="Y113" s="140"/>
      <c r="Z113" s="140"/>
      <c r="AA113" s="250"/>
      <c r="AB113" s="140"/>
      <c r="AC113" s="140"/>
      <c r="AD113" s="140"/>
      <c r="AE113" s="192"/>
      <c r="AF113" s="192"/>
      <c r="AG113" s="192"/>
      <c r="AH113" s="192"/>
      <c r="AI113" s="354"/>
      <c r="AJ113" s="217"/>
      <c r="AK113" s="217"/>
      <c r="AL113" s="217"/>
      <c r="AM113" s="416"/>
      <c r="AN113" s="416"/>
      <c r="AO113" s="416"/>
      <c r="AP113" s="416"/>
      <c r="AQ113" s="416"/>
      <c r="AR113" s="416"/>
      <c r="AS113" s="416"/>
      <c r="AT113" s="416"/>
      <c r="AU113" s="217"/>
      <c r="AV113" s="217"/>
      <c r="AW113" s="217"/>
      <c r="AX113" s="217"/>
      <c r="AY113" s="217"/>
      <c r="AZ113" s="217"/>
      <c r="BA113" s="217"/>
      <c r="BB113" s="217"/>
      <c r="BC113" s="217"/>
      <c r="BD113" s="217"/>
      <c r="BE113" s="217"/>
      <c r="BF113" s="217"/>
    </row>
    <row r="114" spans="1:58" s="21" customFormat="1" ht="18.75" customHeight="1">
      <c r="A114" s="1075" t="s">
        <v>1851</v>
      </c>
      <c r="B114" s="55" t="s">
        <v>1016</v>
      </c>
      <c r="C114" s="57" t="s">
        <v>1014</v>
      </c>
      <c r="D114" s="55" t="s">
        <v>38</v>
      </c>
      <c r="E114" s="58">
        <v>4060</v>
      </c>
      <c r="F114" s="58"/>
      <c r="G114" s="44">
        <v>0</v>
      </c>
      <c r="H114" s="679">
        <f ca="1">_xlfn.LET(_xlpm._今月から4ヶ月計画合計,
  SUM(
    OFFSET($A114,0,
      MATCH(
        EDATE(基準データ!$C$5,3),$A$1:$BD$1,1
      )-4,1,4)),
  IF($C114="","",_xlpm._今月から4ヶ月計画合計
)
)</f>
        <v>0</v>
      </c>
      <c r="I114" s="679"/>
      <c r="J114" s="679"/>
      <c r="K114" s="1413">
        <v>0</v>
      </c>
      <c r="L114" s="65">
        <v>0</v>
      </c>
      <c r="M114" s="65">
        <v>23</v>
      </c>
      <c r="N114" s="65">
        <v>105</v>
      </c>
      <c r="O114" s="65">
        <v>14</v>
      </c>
      <c r="P114" s="65">
        <v>40</v>
      </c>
      <c r="Q114" s="65">
        <v>30</v>
      </c>
      <c r="R114" s="65">
        <v>103</v>
      </c>
      <c r="S114" s="65"/>
      <c r="T114" s="65">
        <v>12</v>
      </c>
      <c r="U114" s="65"/>
      <c r="V114" s="371"/>
      <c r="W114" s="192"/>
      <c r="X114" s="192"/>
      <c r="Y114" s="140"/>
      <c r="Z114" s="140"/>
      <c r="AA114" s="250"/>
      <c r="AB114" s="140"/>
      <c r="AC114" s="140"/>
      <c r="AD114" s="140"/>
      <c r="AE114" s="192"/>
      <c r="AF114" s="192"/>
      <c r="AG114" s="192"/>
      <c r="AH114" s="192"/>
      <c r="AI114" s="354"/>
      <c r="AJ114" s="217"/>
      <c r="AK114" s="217"/>
      <c r="AL114" s="217"/>
      <c r="AM114" s="416"/>
      <c r="AN114" s="416"/>
      <c r="AO114" s="416"/>
      <c r="AP114" s="416"/>
      <c r="AQ114" s="416"/>
      <c r="AR114" s="416"/>
      <c r="AS114" s="416"/>
      <c r="AT114" s="416"/>
      <c r="AU114" s="217"/>
      <c r="AV114" s="217"/>
      <c r="AW114" s="217"/>
      <c r="AX114" s="217"/>
      <c r="AY114" s="217"/>
      <c r="AZ114" s="217"/>
      <c r="BA114" s="217"/>
      <c r="BB114" s="217"/>
      <c r="BC114" s="217"/>
      <c r="BD114" s="217"/>
      <c r="BE114" s="217"/>
      <c r="BF114" s="217"/>
    </row>
    <row r="115" spans="1:58" s="70" customFormat="1" ht="18.75" customHeight="1">
      <c r="A115" s="1076" t="s">
        <v>1317</v>
      </c>
      <c r="B115" s="55" t="s">
        <v>1020</v>
      </c>
      <c r="C115" s="57" t="s">
        <v>1017</v>
      </c>
      <c r="D115" s="115" t="s">
        <v>1521</v>
      </c>
      <c r="E115" s="106">
        <v>4060</v>
      </c>
      <c r="F115" s="106"/>
      <c r="G115" s="44">
        <v>0</v>
      </c>
      <c r="H115" s="679">
        <f ca="1">_xlfn.LET(_xlpm._今月から4ヶ月計画合計,
  SUM(
    OFFSET($A115,0,
      MATCH(
        EDATE(基準データ!$C$5,3),$A$1:$BD$1,1
      )-4,1,4)),
  IF($C115="","",_xlpm._今月から4ヶ月計画合計
)
)</f>
        <v>0</v>
      </c>
      <c r="I115" s="679"/>
      <c r="J115" s="679"/>
      <c r="K115" s="1413" t="s">
        <v>1852</v>
      </c>
      <c r="L115" s="253"/>
      <c r="M115" s="253"/>
      <c r="N115" s="253"/>
      <c r="O115" s="253"/>
      <c r="P115" s="253">
        <v>0</v>
      </c>
      <c r="Q115" s="253">
        <v>55</v>
      </c>
      <c r="R115" s="253">
        <v>17</v>
      </c>
      <c r="S115" s="253">
        <v>70</v>
      </c>
      <c r="T115" s="253">
        <v>37</v>
      </c>
      <c r="U115" s="253">
        <v>75</v>
      </c>
      <c r="V115" s="372">
        <v>47</v>
      </c>
      <c r="W115" s="184">
        <v>79</v>
      </c>
      <c r="X115" s="184">
        <v>119</v>
      </c>
      <c r="Y115" s="182">
        <v>75</v>
      </c>
      <c r="Z115" s="182">
        <v>67</v>
      </c>
      <c r="AA115" s="255">
        <v>57</v>
      </c>
      <c r="AB115" s="182">
        <v>57</v>
      </c>
      <c r="AC115" s="182">
        <v>47</v>
      </c>
      <c r="AD115" s="182">
        <v>30</v>
      </c>
      <c r="AE115" s="192">
        <v>14</v>
      </c>
      <c r="AF115" s="192"/>
      <c r="AG115" s="192"/>
      <c r="AH115" s="192"/>
      <c r="AI115" s="354"/>
      <c r="AJ115" s="217"/>
      <c r="AK115" s="217"/>
      <c r="AL115" s="217"/>
      <c r="AM115" s="408"/>
      <c r="AN115" s="408"/>
      <c r="AO115" s="408"/>
      <c r="AP115" s="408"/>
      <c r="AQ115" s="408"/>
      <c r="AR115" s="408"/>
      <c r="AS115" s="408"/>
      <c r="AT115" s="408"/>
      <c r="AU115" s="482"/>
      <c r="AV115" s="482"/>
      <c r="AW115" s="482"/>
      <c r="AX115" s="482"/>
      <c r="AY115" s="482"/>
      <c r="AZ115" s="482"/>
      <c r="BA115" s="482"/>
      <c r="BB115" s="482"/>
      <c r="BC115" s="482"/>
      <c r="BD115" s="482"/>
      <c r="BE115" s="482"/>
      <c r="BF115" s="482"/>
    </row>
    <row r="116" spans="1:58" s="21" customFormat="1" ht="18.75" customHeight="1">
      <c r="A116" s="1075" t="s">
        <v>1317</v>
      </c>
      <c r="B116" s="55" t="s">
        <v>1317</v>
      </c>
      <c r="C116" s="55"/>
      <c r="D116" s="55" t="s">
        <v>1317</v>
      </c>
      <c r="E116" s="58" t="s">
        <v>1317</v>
      </c>
      <c r="F116" s="58"/>
      <c r="G116" s="44" t="str">
        <v/>
      </c>
      <c r="H116" s="679" t="str">
        <f ca="1">_xlfn.LET(_xlpm._今月から4ヶ月計画合計,
  SUM(
    OFFSET($A116,0,
      MATCH(
        EDATE(基準データ!$C$5,3),$A$1:$BD$1,1
      )-4,1,4)),
  IF($C116="","",_xlpm._今月から4ヶ月計画合計
)
)</f>
        <v/>
      </c>
      <c r="I116" s="679"/>
      <c r="J116" s="679"/>
      <c r="K116" s="1413" t="s">
        <v>21</v>
      </c>
      <c r="L116" s="65"/>
      <c r="M116" s="65"/>
      <c r="N116" s="65"/>
      <c r="O116" s="65"/>
      <c r="P116" s="65"/>
      <c r="Q116" s="65"/>
      <c r="R116" s="65"/>
      <c r="S116" s="65"/>
      <c r="T116" s="65"/>
      <c r="U116" s="65"/>
      <c r="V116" s="371"/>
      <c r="W116" s="192"/>
      <c r="X116" s="192"/>
      <c r="Y116" s="140"/>
      <c r="Z116" s="140"/>
      <c r="AA116" s="250"/>
      <c r="AB116" s="140"/>
      <c r="AC116" s="140"/>
      <c r="AD116" s="140"/>
      <c r="AE116" s="192"/>
      <c r="AF116" s="192"/>
      <c r="AG116" s="192"/>
      <c r="AH116" s="192"/>
      <c r="AI116" s="354"/>
      <c r="AJ116" s="217"/>
      <c r="AK116" s="217"/>
      <c r="AL116" s="217"/>
      <c r="AM116" s="416"/>
      <c r="AN116" s="416"/>
      <c r="AO116" s="416"/>
      <c r="AP116" s="416"/>
      <c r="AQ116" s="416"/>
      <c r="AR116" s="416"/>
      <c r="AS116" s="416"/>
      <c r="AT116" s="416"/>
      <c r="AU116" s="217"/>
      <c r="AV116" s="217"/>
      <c r="AW116" s="217"/>
      <c r="AX116" s="217"/>
      <c r="AY116" s="217"/>
      <c r="AZ116" s="217"/>
      <c r="BA116" s="217"/>
      <c r="BB116" s="217"/>
      <c r="BC116" s="217"/>
      <c r="BD116" s="217"/>
      <c r="BE116" s="217"/>
      <c r="BF116" s="217"/>
    </row>
    <row r="117" spans="1:58" s="70" customFormat="1" ht="18.75" customHeight="1">
      <c r="A117" s="1076" t="s">
        <v>1317</v>
      </c>
      <c r="B117" s="55" t="s">
        <v>1866</v>
      </c>
      <c r="C117" s="57" t="s">
        <v>1035</v>
      </c>
      <c r="D117" s="115" t="s">
        <v>1516</v>
      </c>
      <c r="E117" s="106">
        <v>4060</v>
      </c>
      <c r="F117" s="106"/>
      <c r="G117" s="44">
        <v>0</v>
      </c>
      <c r="H117" s="679">
        <f ca="1">_xlfn.LET(_xlpm._今月から4ヶ月計画合計,
  SUM(
    OFFSET($A117,0,
      MATCH(
        EDATE(基準データ!$C$5,3),$A$1:$BD$1,1
      )-4,1,4)),
  IF($C117="","",_xlpm._今月から4ヶ月計画合計
)
)</f>
        <v>0</v>
      </c>
      <c r="I117" s="679"/>
      <c r="J117" s="679"/>
      <c r="K117" s="1413" t="s">
        <v>1852</v>
      </c>
      <c r="L117" s="253"/>
      <c r="M117" s="253"/>
      <c r="N117" s="253"/>
      <c r="O117" s="253">
        <v>20</v>
      </c>
      <c r="P117" s="253">
        <v>170</v>
      </c>
      <c r="Q117" s="253">
        <v>120</v>
      </c>
      <c r="R117" s="253">
        <v>7</v>
      </c>
      <c r="S117" s="253">
        <v>176</v>
      </c>
      <c r="T117" s="253">
        <v>53</v>
      </c>
      <c r="U117" s="253">
        <v>97</v>
      </c>
      <c r="V117" s="372">
        <v>195</v>
      </c>
      <c r="W117" s="184">
        <v>238</v>
      </c>
      <c r="X117" s="184">
        <v>594</v>
      </c>
      <c r="Y117" s="182">
        <v>613</v>
      </c>
      <c r="Z117" s="182">
        <v>246</v>
      </c>
      <c r="AA117" s="255">
        <v>112</v>
      </c>
      <c r="AB117" s="182">
        <v>72</v>
      </c>
      <c r="AC117" s="182">
        <v>77</v>
      </c>
      <c r="AD117" s="182">
        <v>50</v>
      </c>
      <c r="AE117" s="192">
        <v>36</v>
      </c>
      <c r="AF117" s="192"/>
      <c r="AG117" s="192"/>
      <c r="AH117" s="192"/>
      <c r="AI117" s="354"/>
      <c r="AJ117" s="217"/>
      <c r="AK117" s="217"/>
      <c r="AL117" s="217"/>
      <c r="AM117" s="408"/>
      <c r="AN117" s="408"/>
      <c r="AO117" s="408"/>
      <c r="AP117" s="408"/>
      <c r="AQ117" s="408"/>
      <c r="AR117" s="408"/>
      <c r="AS117" s="408"/>
      <c r="AT117" s="408"/>
      <c r="AU117" s="482"/>
      <c r="AV117" s="482"/>
      <c r="AW117" s="482"/>
      <c r="AX117" s="482"/>
      <c r="AY117" s="482"/>
      <c r="AZ117" s="482"/>
      <c r="BA117" s="482"/>
      <c r="BB117" s="482"/>
      <c r="BC117" s="482"/>
      <c r="BD117" s="482"/>
      <c r="BE117" s="482"/>
      <c r="BF117" s="482"/>
    </row>
    <row r="118" spans="1:58" s="70" customFormat="1" ht="18.75" customHeight="1">
      <c r="A118" s="1076" t="s">
        <v>1317</v>
      </c>
      <c r="B118" s="55" t="s">
        <v>1867</v>
      </c>
      <c r="C118" s="57" t="s">
        <v>1044</v>
      </c>
      <c r="D118" s="115" t="s">
        <v>1516</v>
      </c>
      <c r="E118" s="106">
        <v>3050</v>
      </c>
      <c r="F118" s="106"/>
      <c r="G118" s="44">
        <v>0</v>
      </c>
      <c r="H118" s="679">
        <f ca="1">_xlfn.LET(_xlpm._今月から4ヶ月計画合計,
  SUM(
    OFFSET($A118,0,
      MATCH(
        EDATE(基準データ!$C$5,3),$A$1:$BD$1,1
      )-4,1,4)),
  IF($C118="","",_xlpm._今月から4ヶ月計画合計
)
)</f>
        <v>0</v>
      </c>
      <c r="I118" s="679"/>
      <c r="J118" s="679"/>
      <c r="K118" s="1413" t="s">
        <v>1852</v>
      </c>
      <c r="L118" s="253"/>
      <c r="M118" s="253"/>
      <c r="N118" s="253"/>
      <c r="O118" s="253">
        <v>65</v>
      </c>
      <c r="P118" s="253">
        <v>100</v>
      </c>
      <c r="Q118" s="253">
        <v>65</v>
      </c>
      <c r="R118" s="253">
        <v>13</v>
      </c>
      <c r="S118" s="253">
        <v>85</v>
      </c>
      <c r="T118" s="253">
        <v>75</v>
      </c>
      <c r="U118" s="253">
        <v>86</v>
      </c>
      <c r="V118" s="372">
        <v>182</v>
      </c>
      <c r="W118" s="184">
        <v>112</v>
      </c>
      <c r="X118" s="184">
        <v>308</v>
      </c>
      <c r="Y118" s="182">
        <v>546</v>
      </c>
      <c r="Z118" s="492">
        <v>345</v>
      </c>
      <c r="AA118" s="493">
        <v>155</v>
      </c>
      <c r="AB118" s="492">
        <v>175</v>
      </c>
      <c r="AC118" s="182">
        <v>305</v>
      </c>
      <c r="AD118" s="182">
        <v>320</v>
      </c>
      <c r="AE118" s="192">
        <v>110</v>
      </c>
      <c r="AF118" s="192"/>
      <c r="AG118" s="192"/>
      <c r="AH118" s="192"/>
      <c r="AI118" s="354"/>
      <c r="AJ118" s="217"/>
      <c r="AK118" s="217"/>
      <c r="AL118" s="217"/>
      <c r="AM118" s="408"/>
      <c r="AN118" s="408"/>
      <c r="AO118" s="408"/>
      <c r="AP118" s="408"/>
      <c r="AQ118" s="408"/>
      <c r="AR118" s="408"/>
      <c r="AS118" s="408"/>
      <c r="AT118" s="408"/>
      <c r="AU118" s="482"/>
      <c r="AV118" s="482"/>
      <c r="AW118" s="482"/>
      <c r="AX118" s="482"/>
      <c r="AY118" s="482"/>
      <c r="AZ118" s="482"/>
      <c r="BA118" s="482"/>
      <c r="BB118" s="482"/>
      <c r="BC118" s="482"/>
      <c r="BD118" s="482"/>
      <c r="BE118" s="482"/>
      <c r="BF118" s="482"/>
    </row>
    <row r="119" spans="1:58" s="21" customFormat="1" ht="18.75" customHeight="1">
      <c r="A119" s="1075" t="s">
        <v>1317</v>
      </c>
      <c r="B119" s="55" t="s">
        <v>1317</v>
      </c>
      <c r="C119" s="60"/>
      <c r="D119" s="60" t="s">
        <v>1317</v>
      </c>
      <c r="E119" s="56" t="s">
        <v>1317</v>
      </c>
      <c r="F119" s="56"/>
      <c r="G119" s="44" t="str">
        <v/>
      </c>
      <c r="H119" s="679" t="str">
        <f ca="1">_xlfn.LET(_xlpm._今月から4ヶ月計画合計,
  SUM(
    OFFSET($A119,0,
      MATCH(
        EDATE(基準データ!$C$5,3),$A$1:$BD$1,1
      )-4,1,4)),
  IF($C119="","",_xlpm._今月から4ヶ月計画合計
)
)</f>
        <v/>
      </c>
      <c r="I119" s="679"/>
      <c r="J119" s="679"/>
      <c r="K119" s="1413" t="s">
        <v>21</v>
      </c>
      <c r="L119" s="65"/>
      <c r="M119" s="65"/>
      <c r="N119" s="65"/>
      <c r="O119" s="65"/>
      <c r="P119" s="65"/>
      <c r="Q119" s="65"/>
      <c r="R119" s="65"/>
      <c r="S119" s="65"/>
      <c r="T119" s="65"/>
      <c r="U119" s="65"/>
      <c r="V119" s="371"/>
      <c r="W119" s="192"/>
      <c r="X119" s="192"/>
      <c r="Y119" s="140"/>
      <c r="Z119" s="140"/>
      <c r="AA119" s="250"/>
      <c r="AB119" s="140"/>
      <c r="AC119" s="140"/>
      <c r="AD119" s="140"/>
      <c r="AE119" s="192"/>
      <c r="AF119" s="192"/>
      <c r="AG119" s="192"/>
      <c r="AH119" s="192"/>
      <c r="AI119" s="354"/>
      <c r="AJ119" s="217"/>
      <c r="AK119" s="217"/>
      <c r="AL119" s="217"/>
      <c r="AM119" s="416"/>
      <c r="AN119" s="416"/>
      <c r="AO119" s="416"/>
      <c r="AP119" s="416"/>
      <c r="AQ119" s="416"/>
      <c r="AR119" s="416"/>
      <c r="AS119" s="416"/>
      <c r="AT119" s="416"/>
      <c r="AU119" s="217"/>
      <c r="AV119" s="217"/>
      <c r="AW119" s="217"/>
      <c r="AX119" s="217"/>
      <c r="AY119" s="217"/>
      <c r="AZ119" s="217"/>
      <c r="BA119" s="217"/>
      <c r="BB119" s="217"/>
      <c r="BC119" s="217"/>
      <c r="BD119" s="217"/>
      <c r="BE119" s="217"/>
      <c r="BF119" s="217"/>
    </row>
    <row r="120" spans="1:58" s="70" customFormat="1" ht="18.75" customHeight="1">
      <c r="A120" s="1075" t="s">
        <v>1844</v>
      </c>
      <c r="B120" s="55" t="s">
        <v>1868</v>
      </c>
      <c r="C120" s="57" t="s">
        <v>990</v>
      </c>
      <c r="D120" s="115" t="s">
        <v>1521</v>
      </c>
      <c r="E120" s="106" t="s">
        <v>438</v>
      </c>
      <c r="F120" s="106"/>
      <c r="G120" s="44">
        <v>0</v>
      </c>
      <c r="H120" s="679">
        <f ca="1">_xlfn.LET(_xlpm._今月から4ヶ月計画合計,
  SUM(
    OFFSET($A120,0,
      MATCH(
        EDATE(基準データ!$C$5,3),$A$1:$BD$1,1
      )-4,1,4)),
  IF($C120="","",_xlpm._今月から4ヶ月計画合計
)
)</f>
        <v>0</v>
      </c>
      <c r="I120" s="679"/>
      <c r="J120" s="679"/>
      <c r="K120" s="1413" t="s">
        <v>1852</v>
      </c>
      <c r="L120" s="253"/>
      <c r="M120" s="253"/>
      <c r="N120" s="253"/>
      <c r="O120" s="253"/>
      <c r="P120" s="253"/>
      <c r="Q120" s="288">
        <v>25</v>
      </c>
      <c r="R120" s="253">
        <v>5</v>
      </c>
      <c r="S120" s="253">
        <v>63</v>
      </c>
      <c r="T120" s="253">
        <v>6</v>
      </c>
      <c r="U120" s="253">
        <v>35</v>
      </c>
      <c r="V120" s="372">
        <v>45</v>
      </c>
      <c r="W120" s="184">
        <v>21</v>
      </c>
      <c r="X120" s="184">
        <v>144</v>
      </c>
      <c r="Y120" s="428">
        <v>100</v>
      </c>
      <c r="Z120" s="428">
        <v>100</v>
      </c>
      <c r="AA120" s="429">
        <v>160</v>
      </c>
      <c r="AB120" s="428">
        <v>135</v>
      </c>
      <c r="AC120" s="428">
        <v>155</v>
      </c>
      <c r="AD120" s="428">
        <v>125</v>
      </c>
      <c r="AE120" s="310">
        <v>177</v>
      </c>
      <c r="AF120" s="310"/>
      <c r="AG120" s="310"/>
      <c r="AH120" s="310"/>
      <c r="AI120" s="443"/>
      <c r="AJ120" s="217"/>
      <c r="AK120" s="217"/>
      <c r="AL120" s="217">
        <v>8</v>
      </c>
      <c r="AM120" s="408"/>
      <c r="AN120" s="408"/>
      <c r="AO120" s="408"/>
      <c r="AP120" s="408"/>
      <c r="AQ120" s="408"/>
      <c r="AR120" s="408"/>
      <c r="AS120" s="408"/>
      <c r="AT120" s="408"/>
      <c r="AU120" s="482"/>
      <c r="AV120" s="482"/>
      <c r="AW120" s="482"/>
      <c r="AX120" s="482"/>
      <c r="AY120" s="482"/>
      <c r="AZ120" s="482"/>
      <c r="BA120" s="482"/>
      <c r="BB120" s="482"/>
      <c r="BC120" s="482"/>
      <c r="BD120" s="482"/>
      <c r="BE120" s="482"/>
      <c r="BF120" s="482"/>
    </row>
    <row r="121" spans="1:58" ht="18.75" customHeight="1">
      <c r="A121" s="1095" t="s">
        <v>1317</v>
      </c>
      <c r="B121" s="206" t="s">
        <v>1522</v>
      </c>
      <c r="C121" s="213"/>
      <c r="D121" s="214" t="s">
        <v>1317</v>
      </c>
      <c r="E121" s="215" t="s">
        <v>1317</v>
      </c>
      <c r="F121" s="215"/>
      <c r="G121" s="414"/>
      <c r="H121" s="302">
        <v>6</v>
      </c>
      <c r="I121" s="191">
        <v>0</v>
      </c>
      <c r="J121" s="191">
        <v>0</v>
      </c>
      <c r="K121" s="1423">
        <v>0</v>
      </c>
      <c r="L121" s="271">
        <f t="shared" ref="L121:AH121" si="9">SUM(L111:L120)</f>
        <v>0</v>
      </c>
      <c r="M121" s="271">
        <f t="shared" si="9"/>
        <v>23</v>
      </c>
      <c r="N121" s="271">
        <f t="shared" si="9"/>
        <v>105</v>
      </c>
      <c r="O121" s="271">
        <f t="shared" si="9"/>
        <v>99</v>
      </c>
      <c r="P121" s="271">
        <f t="shared" si="9"/>
        <v>310</v>
      </c>
      <c r="Q121" s="271">
        <f t="shared" si="9"/>
        <v>295</v>
      </c>
      <c r="R121" s="246">
        <f t="shared" si="9"/>
        <v>145</v>
      </c>
      <c r="S121" s="246">
        <f t="shared" si="9"/>
        <v>394</v>
      </c>
      <c r="T121" s="246">
        <f t="shared" si="9"/>
        <v>183</v>
      </c>
      <c r="U121" s="246">
        <f t="shared" si="9"/>
        <v>293</v>
      </c>
      <c r="V121" s="246">
        <f t="shared" si="9"/>
        <v>469</v>
      </c>
      <c r="W121" s="246">
        <f t="shared" si="9"/>
        <v>456</v>
      </c>
      <c r="X121" s="246">
        <f t="shared" si="9"/>
        <v>1229</v>
      </c>
      <c r="Y121" s="246">
        <f t="shared" si="9"/>
        <v>1386</v>
      </c>
      <c r="Z121" s="246">
        <f t="shared" si="9"/>
        <v>817</v>
      </c>
      <c r="AA121" s="246">
        <f t="shared" si="9"/>
        <v>518</v>
      </c>
      <c r="AB121" s="246">
        <f t="shared" si="9"/>
        <v>439</v>
      </c>
      <c r="AC121" s="246">
        <f t="shared" si="9"/>
        <v>584</v>
      </c>
      <c r="AD121" s="246">
        <f t="shared" si="9"/>
        <v>525</v>
      </c>
      <c r="AE121" s="672">
        <f t="shared" si="9"/>
        <v>362</v>
      </c>
      <c r="AF121" s="672">
        <f t="shared" si="9"/>
        <v>25</v>
      </c>
      <c r="AG121" s="672">
        <f t="shared" si="9"/>
        <v>22</v>
      </c>
      <c r="AH121" s="672">
        <f t="shared" si="9"/>
        <v>0</v>
      </c>
      <c r="AI121" s="673"/>
      <c r="AJ121" s="673"/>
      <c r="AK121" s="673"/>
      <c r="AL121" s="673"/>
      <c r="AM121" s="485">
        <v>6</v>
      </c>
      <c r="AN121" s="485">
        <v>0</v>
      </c>
      <c r="AO121" s="485">
        <v>0</v>
      </c>
      <c r="AP121" s="485">
        <v>0</v>
      </c>
      <c r="AQ121" s="485">
        <v>0</v>
      </c>
      <c r="AR121" s="485">
        <v>0</v>
      </c>
      <c r="AS121" s="485">
        <v>0</v>
      </c>
      <c r="AT121" s="485">
        <v>0</v>
      </c>
      <c r="AU121" s="794"/>
      <c r="AV121" s="794"/>
      <c r="AW121" s="794"/>
      <c r="AX121" s="794"/>
      <c r="AY121" s="794"/>
      <c r="AZ121" s="794"/>
      <c r="BA121" s="794"/>
      <c r="BB121" s="794"/>
      <c r="BC121" s="794"/>
      <c r="BD121" s="794"/>
      <c r="BE121" s="794"/>
      <c r="BF121" s="794"/>
    </row>
    <row r="122" spans="1:58" ht="18.75" customHeight="1" thickBot="1">
      <c r="A122" s="1078"/>
      <c r="B122" s="210" t="s">
        <v>1523</v>
      </c>
      <c r="C122" s="210"/>
      <c r="D122" s="211"/>
      <c r="E122" s="211"/>
      <c r="F122" s="211"/>
      <c r="G122" s="190"/>
      <c r="H122" s="190">
        <v>0</v>
      </c>
      <c r="I122" s="1142">
        <v>0</v>
      </c>
      <c r="J122" s="1142">
        <v>0</v>
      </c>
      <c r="K122" s="1424"/>
      <c r="L122" s="212"/>
      <c r="M122" s="212"/>
      <c r="N122" s="212"/>
      <c r="O122" s="212"/>
      <c r="P122" s="212"/>
      <c r="Q122" s="212"/>
      <c r="R122" s="236">
        <v>983.72870747183322</v>
      </c>
      <c r="S122" s="236">
        <v>1051.1538846621038</v>
      </c>
      <c r="T122" s="236">
        <v>1051.8028635265428</v>
      </c>
      <c r="U122" s="236">
        <v>1129.0502203031988</v>
      </c>
      <c r="V122" s="236">
        <v>1411.3588985813017</v>
      </c>
      <c r="W122" s="236">
        <v>1377.708661429612</v>
      </c>
      <c r="X122" s="236">
        <v>1606.0711358555175</v>
      </c>
      <c r="Y122" s="236">
        <v>1790.838688195653</v>
      </c>
      <c r="Z122" s="247">
        <v>1498.3237009929553</v>
      </c>
      <c r="AA122" s="248">
        <v>1292.4816273304011</v>
      </c>
      <c r="AB122" s="248">
        <v>1290.1841465528341</v>
      </c>
      <c r="AC122" s="248">
        <v>1366.2158117693425</v>
      </c>
      <c r="AD122" s="486"/>
      <c r="AE122" s="674"/>
      <c r="AF122" s="674"/>
      <c r="AG122" s="674"/>
      <c r="AH122" s="674"/>
      <c r="AI122" s="675"/>
      <c r="AJ122" s="675"/>
      <c r="AK122" s="675"/>
      <c r="AL122" s="675"/>
      <c r="AM122" s="487"/>
      <c r="AN122" s="487"/>
      <c r="AO122" s="487"/>
      <c r="AP122" s="487"/>
      <c r="AQ122" s="487"/>
      <c r="AR122" s="487"/>
      <c r="AS122" s="487"/>
      <c r="AT122" s="486"/>
      <c r="AU122" s="795"/>
      <c r="AV122" s="795"/>
      <c r="AW122" s="795"/>
      <c r="AX122" s="795"/>
      <c r="AY122" s="795"/>
      <c r="AZ122" s="795"/>
      <c r="BA122" s="795"/>
      <c r="BB122" s="795"/>
      <c r="BC122" s="795"/>
      <c r="BD122" s="795"/>
      <c r="BE122" s="795"/>
      <c r="BF122" s="795"/>
    </row>
    <row r="123" spans="1:58">
      <c r="H123" s="415"/>
      <c r="I123" s="1171"/>
      <c r="J123" s="1171"/>
      <c r="T123" s="75"/>
      <c r="U123" s="75"/>
      <c r="V123" s="75"/>
      <c r="W123" s="75"/>
      <c r="X123" s="301"/>
      <c r="Y123" s="301"/>
      <c r="Z123" s="75"/>
      <c r="AA123" s="75"/>
      <c r="AB123" s="75"/>
    </row>
    <row r="124" spans="1:58">
      <c r="B124" s="433" t="s">
        <v>1869</v>
      </c>
      <c r="H124" s="415"/>
      <c r="I124" s="530"/>
      <c r="J124" s="530"/>
      <c r="K124" s="1426">
        <v>45292</v>
      </c>
      <c r="L124"/>
      <c r="M124"/>
      <c r="N124"/>
      <c r="O124"/>
      <c r="P124"/>
      <c r="Q124"/>
      <c r="R124"/>
      <c r="S124"/>
      <c r="T124"/>
      <c r="U124"/>
      <c r="V124"/>
      <c r="W124"/>
      <c r="X124"/>
      <c r="Y124"/>
      <c r="Z124"/>
      <c r="AA124"/>
      <c r="AB124"/>
      <c r="AC124"/>
      <c r="AD124"/>
      <c r="AE124"/>
      <c r="AF124"/>
      <c r="AG124"/>
      <c r="AH124"/>
      <c r="AI124"/>
      <c r="AJ124"/>
      <c r="AK124"/>
    </row>
    <row r="125" spans="1:58">
      <c r="B125" s="113" t="s">
        <v>2650</v>
      </c>
      <c r="H125" s="415"/>
      <c r="I125" s="530"/>
      <c r="J125" s="530"/>
      <c r="K125" s="1425">
        <f>K49</f>
        <v>0</v>
      </c>
      <c r="L125"/>
      <c r="M125"/>
      <c r="N125"/>
      <c r="O125"/>
      <c r="P125"/>
      <c r="Q125"/>
      <c r="R125"/>
      <c r="S125"/>
      <c r="T125"/>
      <c r="U125"/>
      <c r="V125"/>
      <c r="W125"/>
      <c r="X125"/>
      <c r="Y125"/>
      <c r="Z125"/>
      <c r="AA125"/>
      <c r="AB125"/>
      <c r="AC125"/>
      <c r="AD125"/>
      <c r="AE125"/>
      <c r="AF125"/>
      <c r="AG125"/>
      <c r="AH125"/>
      <c r="AI125"/>
      <c r="AJ125"/>
      <c r="AK125"/>
    </row>
    <row r="126" spans="1:58">
      <c r="B126" s="15" t="s">
        <v>2652</v>
      </c>
      <c r="H126" s="75"/>
      <c r="L126"/>
      <c r="M126"/>
      <c r="N126"/>
      <c r="O126"/>
      <c r="P126"/>
      <c r="Q126"/>
      <c r="R126"/>
      <c r="S126"/>
      <c r="T126"/>
      <c r="U126"/>
      <c r="V126"/>
      <c r="W126"/>
      <c r="X126"/>
      <c r="Y126"/>
      <c r="Z126"/>
      <c r="AA126"/>
      <c r="AB126"/>
      <c r="AC126"/>
      <c r="AD126"/>
      <c r="AE126"/>
      <c r="AF126"/>
      <c r="AG126"/>
      <c r="AH126"/>
      <c r="AI126"/>
      <c r="AJ126"/>
      <c r="AK126"/>
    </row>
    <row r="127" spans="1:58" ht="19.5" thickBot="1">
      <c r="B127" s="624"/>
      <c r="H127" s="75"/>
      <c r="K127" s="1427"/>
      <c r="L127"/>
      <c r="M127"/>
      <c r="N127"/>
      <c r="O127"/>
      <c r="P127"/>
      <c r="Q127"/>
      <c r="R127"/>
      <c r="S127"/>
      <c r="T127"/>
      <c r="U127"/>
      <c r="V127"/>
      <c r="W127"/>
      <c r="X127"/>
      <c r="Y127"/>
      <c r="Z127"/>
      <c r="AA127"/>
      <c r="AB127"/>
      <c r="AC127"/>
      <c r="AD127"/>
      <c r="AE127"/>
      <c r="AF127"/>
      <c r="AG127"/>
      <c r="AH127"/>
      <c r="AI127"/>
      <c r="AJ127"/>
      <c r="AK127"/>
    </row>
    <row r="128" spans="1:58" ht="19.5" thickTop="1">
      <c r="H128" s="75"/>
      <c r="L128"/>
      <c r="M128"/>
      <c r="N128"/>
      <c r="O128"/>
      <c r="P128"/>
      <c r="Q128"/>
      <c r="R128"/>
      <c r="S128"/>
      <c r="T128"/>
      <c r="U128"/>
      <c r="V128"/>
      <c r="W128"/>
      <c r="X128"/>
      <c r="Y128"/>
      <c r="Z128"/>
      <c r="AA128"/>
      <c r="AB128"/>
      <c r="AC128"/>
      <c r="AD128"/>
      <c r="AE128"/>
      <c r="AF128"/>
      <c r="AG128"/>
      <c r="AH128"/>
      <c r="AI128"/>
      <c r="AJ128"/>
      <c r="AK128"/>
      <c r="AL128" s="15"/>
    </row>
    <row r="129" spans="2:42">
      <c r="H129" s="75"/>
      <c r="L129"/>
      <c r="M129"/>
      <c r="N129"/>
      <c r="O129"/>
      <c r="P129"/>
      <c r="Q129"/>
      <c r="R129"/>
      <c r="S129"/>
      <c r="T129"/>
      <c r="U129"/>
      <c r="V129"/>
      <c r="W129"/>
      <c r="X129"/>
      <c r="Y129"/>
      <c r="Z129"/>
      <c r="AA129"/>
      <c r="AB129"/>
      <c r="AC129"/>
      <c r="AD129"/>
      <c r="AE129"/>
      <c r="AF129"/>
      <c r="AG129"/>
      <c r="AH129"/>
      <c r="AI129"/>
      <c r="AJ129"/>
      <c r="AK129"/>
      <c r="AL129" s="15"/>
    </row>
    <row r="130" spans="2:42">
      <c r="H130" s="75"/>
      <c r="L130"/>
      <c r="M130"/>
      <c r="N130"/>
      <c r="O130"/>
      <c r="P130"/>
      <c r="Q130"/>
      <c r="R130"/>
      <c r="S130"/>
      <c r="T130"/>
      <c r="U130"/>
      <c r="V130"/>
      <c r="W130"/>
      <c r="X130"/>
      <c r="Y130"/>
      <c r="Z130"/>
      <c r="AA130"/>
      <c r="AB130"/>
      <c r="AC130"/>
      <c r="AD130"/>
      <c r="AE130"/>
      <c r="AF130"/>
      <c r="AG130"/>
      <c r="AH130"/>
      <c r="AI130"/>
      <c r="AJ130"/>
      <c r="AK130"/>
      <c r="AL130" s="15"/>
      <c r="AN130" s="16">
        <f>SUM(G27,G47,G108,G121)-SUM(AN49,AN108,AN121)</f>
        <v>-4049</v>
      </c>
      <c r="AO130" s="16">
        <f>AN130-SUM(AO49,AO108,AO121)</f>
        <v>-8787</v>
      </c>
      <c r="AP130" s="16">
        <f>AO130-SUM(AP49,AP108,AP121)</f>
        <v>-10534</v>
      </c>
    </row>
    <row r="131" spans="2:42">
      <c r="H131" s="75"/>
      <c r="L131"/>
      <c r="M131"/>
      <c r="N131"/>
      <c r="O131"/>
      <c r="P131"/>
      <c r="Q131"/>
      <c r="R131"/>
      <c r="S131"/>
      <c r="T131"/>
      <c r="U131"/>
      <c r="V131"/>
      <c r="W131"/>
      <c r="X131"/>
      <c r="Y131"/>
      <c r="Z131"/>
      <c r="AA131"/>
      <c r="AB131"/>
      <c r="AC131"/>
      <c r="AD131"/>
      <c r="AE131"/>
      <c r="AF131"/>
      <c r="AG131"/>
      <c r="AH131"/>
      <c r="AI131"/>
      <c r="AJ131"/>
      <c r="AK131"/>
      <c r="AL131" s="15"/>
    </row>
    <row r="132" spans="2:42">
      <c r="H132" s="75"/>
      <c r="L132"/>
      <c r="M132"/>
      <c r="N132"/>
      <c r="O132"/>
      <c r="P132"/>
      <c r="Q132"/>
      <c r="R132"/>
      <c r="S132"/>
      <c r="T132"/>
      <c r="U132"/>
      <c r="V132"/>
      <c r="W132"/>
      <c r="X132"/>
      <c r="Y132"/>
      <c r="Z132"/>
      <c r="AA132"/>
      <c r="AB132"/>
      <c r="AC132"/>
      <c r="AD132"/>
      <c r="AE132"/>
      <c r="AF132"/>
      <c r="AG132"/>
      <c r="AH132"/>
      <c r="AI132"/>
      <c r="AJ132"/>
      <c r="AK132"/>
      <c r="AL132" s="15"/>
    </row>
    <row r="133" spans="2:42" ht="19.5" thickBot="1">
      <c r="C133" s="136"/>
      <c r="H133" s="75"/>
      <c r="K133" s="1427"/>
      <c r="L133"/>
      <c r="M133"/>
      <c r="N133"/>
      <c r="O133"/>
      <c r="P133"/>
      <c r="Q133"/>
      <c r="R133"/>
      <c r="S133"/>
      <c r="T133"/>
      <c r="U133"/>
      <c r="V133"/>
      <c r="W133"/>
      <c r="X133"/>
      <c r="Y133"/>
      <c r="Z133"/>
      <c r="AA133"/>
      <c r="AB133"/>
      <c r="AC133"/>
      <c r="AD133"/>
      <c r="AE133"/>
      <c r="AF133"/>
      <c r="AG133"/>
      <c r="AH133"/>
      <c r="AI133"/>
      <c r="AJ133"/>
      <c r="AK133"/>
      <c r="AL133" s="15"/>
    </row>
    <row r="134" spans="2:42" ht="19.5" thickTop="1">
      <c r="H134" s="75"/>
      <c r="L134"/>
      <c r="M134"/>
      <c r="N134"/>
      <c r="O134"/>
      <c r="P134"/>
      <c r="Q134"/>
      <c r="R134"/>
      <c r="S134"/>
      <c r="T134"/>
      <c r="U134"/>
      <c r="V134"/>
      <c r="W134"/>
      <c r="X134"/>
      <c r="Y134"/>
      <c r="Z134"/>
      <c r="AA134"/>
      <c r="AB134"/>
      <c r="AC134"/>
      <c r="AD134"/>
      <c r="AE134"/>
      <c r="AF134"/>
      <c r="AG134"/>
      <c r="AH134"/>
      <c r="AI134"/>
      <c r="AJ134"/>
      <c r="AK134"/>
      <c r="AL134" s="15"/>
    </row>
    <row r="135" spans="2:42">
      <c r="B135" s="15"/>
      <c r="H135" s="75"/>
      <c r="L135"/>
      <c r="M135"/>
      <c r="N135"/>
      <c r="O135"/>
      <c r="P135"/>
      <c r="Q135"/>
      <c r="R135"/>
      <c r="S135"/>
      <c r="T135"/>
      <c r="U135"/>
      <c r="V135"/>
      <c r="W135"/>
      <c r="X135"/>
      <c r="Y135"/>
      <c r="Z135"/>
      <c r="AA135"/>
      <c r="AB135"/>
      <c r="AC135"/>
      <c r="AD135"/>
      <c r="AE135"/>
      <c r="AF135"/>
      <c r="AG135"/>
      <c r="AH135"/>
      <c r="AI135"/>
      <c r="AJ135"/>
      <c r="AK135"/>
      <c r="AL135" s="15"/>
    </row>
    <row r="136" spans="2:42">
      <c r="H136" s="75"/>
      <c r="L136"/>
      <c r="M136"/>
      <c r="N136"/>
      <c r="O136"/>
      <c r="P136"/>
      <c r="Q136"/>
      <c r="R136"/>
      <c r="S136"/>
      <c r="T136"/>
      <c r="U136"/>
      <c r="V136"/>
      <c r="W136"/>
      <c r="X136"/>
      <c r="Y136"/>
      <c r="Z136"/>
      <c r="AA136"/>
      <c r="AB136"/>
      <c r="AC136"/>
      <c r="AD136"/>
      <c r="AE136"/>
      <c r="AF136"/>
      <c r="AG136"/>
      <c r="AH136"/>
      <c r="AI136"/>
      <c r="AJ136"/>
      <c r="AK136"/>
      <c r="AL136" s="15"/>
      <c r="AM136"/>
    </row>
    <row r="137" spans="2:42">
      <c r="H137" s="75"/>
      <c r="L137"/>
      <c r="M137"/>
      <c r="N137"/>
      <c r="O137"/>
      <c r="P137"/>
      <c r="Q137"/>
      <c r="R137"/>
      <c r="S137"/>
      <c r="T137"/>
      <c r="U137"/>
      <c r="V137"/>
      <c r="W137"/>
      <c r="X137"/>
      <c r="Y137"/>
      <c r="Z137"/>
      <c r="AA137"/>
      <c r="AB137"/>
      <c r="AC137"/>
      <c r="AD137"/>
      <c r="AE137"/>
      <c r="AF137"/>
      <c r="AG137"/>
      <c r="AH137"/>
      <c r="AI137"/>
      <c r="AJ137"/>
      <c r="AK137"/>
      <c r="AL137" s="15"/>
      <c r="AM137"/>
    </row>
    <row r="138" spans="2:42" ht="19.5">
      <c r="B138" s="930"/>
      <c r="C138" s="1162"/>
      <c r="H138" s="75"/>
      <c r="K138" s="1428"/>
      <c r="L138"/>
      <c r="M138"/>
      <c r="N138"/>
      <c r="O138"/>
      <c r="P138"/>
      <c r="Q138"/>
      <c r="R138"/>
      <c r="S138"/>
      <c r="T138"/>
      <c r="U138"/>
      <c r="V138"/>
      <c r="W138"/>
      <c r="X138"/>
      <c r="Y138"/>
      <c r="Z138"/>
      <c r="AA138"/>
      <c r="AB138"/>
      <c r="AC138"/>
      <c r="AD138"/>
      <c r="AE138"/>
      <c r="AF138"/>
      <c r="AG138"/>
      <c r="AH138"/>
      <c r="AI138"/>
      <c r="AJ138"/>
      <c r="AK138"/>
      <c r="AL138" s="15"/>
      <c r="AM138"/>
    </row>
    <row r="139" spans="2:42">
      <c r="H139" s="75"/>
      <c r="L139"/>
      <c r="M139"/>
      <c r="N139"/>
      <c r="O139"/>
      <c r="P139"/>
      <c r="Q139"/>
      <c r="R139"/>
      <c r="S139"/>
      <c r="T139"/>
      <c r="U139"/>
      <c r="V139"/>
      <c r="W139"/>
      <c r="X139"/>
      <c r="Y139"/>
      <c r="Z139"/>
      <c r="AA139"/>
      <c r="AB139"/>
      <c r="AC139"/>
      <c r="AD139"/>
      <c r="AE139"/>
      <c r="AF139"/>
      <c r="AG139"/>
      <c r="AH139"/>
      <c r="AI139"/>
      <c r="AJ139"/>
      <c r="AK139"/>
      <c r="AL139" s="15"/>
      <c r="AM139"/>
    </row>
    <row r="140" spans="2:42">
      <c r="H140" s="75"/>
      <c r="L140"/>
      <c r="M140"/>
      <c r="N140"/>
      <c r="O140"/>
      <c r="P140"/>
      <c r="Q140"/>
      <c r="R140"/>
      <c r="S140"/>
      <c r="T140"/>
      <c r="U140"/>
      <c r="V140"/>
      <c r="W140"/>
      <c r="X140"/>
      <c r="Y140"/>
      <c r="Z140"/>
      <c r="AA140"/>
      <c r="AB140"/>
      <c r="AC140"/>
      <c r="AD140"/>
      <c r="AE140"/>
      <c r="AF140"/>
      <c r="AG140"/>
      <c r="AH140"/>
      <c r="AI140"/>
      <c r="AJ140"/>
      <c r="AK140"/>
      <c r="AL140" s="15"/>
      <c r="AM140"/>
    </row>
    <row r="141" spans="2:42" ht="19.5" thickBot="1">
      <c r="C141" s="136"/>
      <c r="D141" s="75"/>
      <c r="K141" s="1427"/>
      <c r="L141"/>
      <c r="M141"/>
      <c r="N141"/>
      <c r="O141"/>
      <c r="P141"/>
      <c r="Q141"/>
      <c r="R141"/>
      <c r="S141"/>
      <c r="T141"/>
      <c r="U141"/>
      <c r="V141"/>
      <c r="W141"/>
      <c r="X141"/>
      <c r="Y141"/>
      <c r="Z141"/>
      <c r="AA141"/>
      <c r="AB141"/>
      <c r="AC141"/>
      <c r="AD141"/>
      <c r="AE141"/>
      <c r="AF141"/>
      <c r="AG141"/>
      <c r="AH141"/>
      <c r="AI141"/>
      <c r="AJ141"/>
      <c r="AK141"/>
      <c r="AL141" s="15"/>
      <c r="AM141"/>
    </row>
    <row r="142" spans="2:42" ht="19.5" thickTop="1">
      <c r="B142" s="136"/>
      <c r="C142" s="136"/>
      <c r="H142" s="75"/>
      <c r="L142"/>
      <c r="M142"/>
      <c r="N142"/>
      <c r="O142"/>
      <c r="P142"/>
      <c r="Q142"/>
      <c r="R142"/>
      <c r="S142"/>
      <c r="T142"/>
      <c r="U142"/>
      <c r="V142"/>
      <c r="W142"/>
      <c r="X142"/>
      <c r="Y142"/>
      <c r="Z142"/>
      <c r="AA142"/>
      <c r="AB142"/>
      <c r="AC142"/>
      <c r="AD142"/>
      <c r="AE142"/>
      <c r="AF142"/>
      <c r="AG142"/>
      <c r="AH142"/>
      <c r="AI142"/>
      <c r="AJ142"/>
      <c r="AK142"/>
      <c r="AL142" s="15"/>
      <c r="AM142"/>
    </row>
    <row r="143" spans="2:42">
      <c r="B143" s="136"/>
      <c r="C143" s="136"/>
      <c r="H143" s="75"/>
      <c r="L143"/>
      <c r="M143"/>
      <c r="N143"/>
      <c r="O143"/>
      <c r="P143"/>
      <c r="Q143"/>
      <c r="R143"/>
      <c r="S143"/>
      <c r="T143"/>
      <c r="U143"/>
      <c r="V143"/>
      <c r="W143"/>
      <c r="X143"/>
      <c r="Y143"/>
      <c r="Z143"/>
      <c r="AA143"/>
      <c r="AB143"/>
      <c r="AC143"/>
      <c r="AD143"/>
      <c r="AE143"/>
      <c r="AF143"/>
      <c r="AG143"/>
      <c r="AH143"/>
      <c r="AI143"/>
      <c r="AJ143"/>
      <c r="AK143"/>
      <c r="AL143" s="15"/>
      <c r="AM143"/>
    </row>
    <row r="144" spans="2:42">
      <c r="B144" s="172" t="s">
        <v>1856</v>
      </c>
      <c r="C144" s="136"/>
      <c r="D144" s="15" t="s">
        <v>1870</v>
      </c>
      <c r="H144" s="75"/>
      <c r="AM144" t="s">
        <v>1871</v>
      </c>
    </row>
    <row r="145" spans="1:58" s="70" customFormat="1" ht="18.75" customHeight="1">
      <c r="A145" s="1061" t="s">
        <v>1781</v>
      </c>
      <c r="B145" s="26" t="s">
        <v>1872</v>
      </c>
      <c r="C145" s="25" t="s">
        <v>496</v>
      </c>
      <c r="D145" s="68" t="s">
        <v>1375</v>
      </c>
      <c r="E145" s="68" t="s">
        <v>1416</v>
      </c>
      <c r="F145" s="68" t="s">
        <v>1347</v>
      </c>
      <c r="G145" s="44">
        <f>SUMIFS(在庫確認!C:C,在庫確認!B:B,'在庫使用計画 (法人)'!C:C)</f>
        <v>1320</v>
      </c>
      <c r="H145" s="679">
        <f ca="1">IF(B145="","",
SUM(
OFFSET(A145,0,
MATCH(
EDATE(基準データ!$C$5,3),
$A$1:$AT$1,1
)-4,1,4)
))</f>
        <v>0</v>
      </c>
      <c r="I145" s="1145"/>
      <c r="J145" s="1145"/>
      <c r="K145" s="1418"/>
      <c r="L145" s="740"/>
      <c r="M145" s="740"/>
      <c r="N145" s="740"/>
      <c r="O145" s="740"/>
      <c r="P145" s="740">
        <v>2</v>
      </c>
      <c r="Q145" s="740">
        <v>2</v>
      </c>
      <c r="R145" s="740">
        <v>2</v>
      </c>
      <c r="S145" s="740">
        <v>2</v>
      </c>
      <c r="T145" s="740">
        <v>5</v>
      </c>
      <c r="U145" s="740">
        <v>5</v>
      </c>
      <c r="V145" s="742">
        <v>5</v>
      </c>
      <c r="W145" s="740">
        <v>5</v>
      </c>
      <c r="X145" s="742">
        <v>5</v>
      </c>
      <c r="Y145" s="740">
        <v>5</v>
      </c>
      <c r="Z145" s="140"/>
      <c r="AA145" s="250"/>
      <c r="AB145" s="140"/>
      <c r="AC145" s="140"/>
      <c r="AD145" s="140"/>
      <c r="AE145" s="140"/>
      <c r="AF145" s="140"/>
      <c r="AG145" s="140"/>
      <c r="AH145" s="140"/>
      <c r="AI145" s="427"/>
      <c r="AJ145" s="416"/>
      <c r="AK145" s="416"/>
      <c r="AL145" s="416"/>
      <c r="AM145" s="416"/>
      <c r="AN145" s="416"/>
      <c r="AO145" s="416"/>
      <c r="AP145" s="416"/>
      <c r="AQ145" s="416"/>
      <c r="AR145" s="416"/>
      <c r="AS145" s="416"/>
      <c r="AT145" s="416"/>
      <c r="AU145" s="217"/>
      <c r="AV145" s="217"/>
      <c r="AW145" s="217"/>
      <c r="AX145" s="217"/>
      <c r="AY145" s="217"/>
      <c r="AZ145" s="217"/>
      <c r="BA145" s="217"/>
      <c r="BB145" s="217"/>
      <c r="BC145" s="217"/>
      <c r="BD145" s="217"/>
      <c r="BE145" s="217"/>
      <c r="BF145" s="217"/>
    </row>
    <row r="146" spans="1:58">
      <c r="B146" s="173" t="s">
        <v>49</v>
      </c>
      <c r="C146" s="136"/>
      <c r="D146" s="15" t="s">
        <v>1873</v>
      </c>
      <c r="H146" s="75"/>
    </row>
    <row r="147" spans="1:58">
      <c r="B147" s="174" t="s">
        <v>50</v>
      </c>
      <c r="C147" s="136"/>
    </row>
    <row r="148" spans="1:58">
      <c r="B148" s="136"/>
      <c r="C148" s="136" t="s">
        <v>52</v>
      </c>
    </row>
    <row r="149" spans="1:58">
      <c r="B149" s="175" t="s">
        <v>51</v>
      </c>
      <c r="C149" s="136" t="s">
        <v>54</v>
      </c>
    </row>
    <row r="150" spans="1:58">
      <c r="B150" s="176" t="s">
        <v>53</v>
      </c>
      <c r="C150" s="136"/>
    </row>
    <row r="151" spans="1:58">
      <c r="B151" s="136"/>
      <c r="C151" s="136"/>
    </row>
    <row r="152" spans="1:58">
      <c r="B152" s="136"/>
    </row>
    <row r="154" spans="1:58">
      <c r="AF154" s="21"/>
    </row>
    <row r="155" spans="1:58">
      <c r="AF155" s="21"/>
    </row>
    <row r="156" spans="1:58" s="21" customFormat="1" ht="18.75" customHeight="1">
      <c r="A156" s="1070" t="s">
        <v>1442</v>
      </c>
      <c r="B156" s="26" t="s">
        <v>769</v>
      </c>
      <c r="C156" s="57" t="s">
        <v>767</v>
      </c>
      <c r="D156" s="57" t="s">
        <v>1732</v>
      </c>
      <c r="E156" s="58" t="s">
        <v>438</v>
      </c>
      <c r="F156" s="58" t="s">
        <v>1372</v>
      </c>
      <c r="G156" s="44">
        <f>SUMIFS(在庫確認!C:C,在庫確認!B:B,'在庫使用計画 (法人)'!C:C)</f>
        <v>1280</v>
      </c>
      <c r="H156" s="679">
        <f ca="1">IF(B156="","",
SUM(
OFFSET(A156,0,
MATCH(
EDATE(基準データ!$C$5,3),
$A$1:$AT$1,1
)-4,1,4)
))</f>
        <v>0</v>
      </c>
      <c r="I156" s="1130"/>
      <c r="J156" s="1130"/>
      <c r="K156" s="1418">
        <v>260</v>
      </c>
      <c r="L156" s="740">
        <v>280</v>
      </c>
      <c r="M156" s="740">
        <v>521</v>
      </c>
      <c r="N156" s="740">
        <v>345</v>
      </c>
      <c r="O156" s="740">
        <v>170</v>
      </c>
      <c r="P156" s="744">
        <v>120</v>
      </c>
      <c r="Q156" s="744">
        <v>200</v>
      </c>
      <c r="R156" s="744">
        <v>50</v>
      </c>
      <c r="S156" s="744">
        <v>130</v>
      </c>
      <c r="T156" s="744">
        <v>66</v>
      </c>
      <c r="U156" s="744">
        <v>193</v>
      </c>
      <c r="V156" s="742">
        <v>327</v>
      </c>
      <c r="W156" s="140">
        <v>50</v>
      </c>
      <c r="X156" s="140"/>
      <c r="Y156" s="140"/>
      <c r="Z156" s="140"/>
      <c r="AA156" s="250"/>
      <c r="AB156" s="140"/>
      <c r="AC156" s="140"/>
      <c r="AD156" s="426"/>
      <c r="AE156" s="140"/>
      <c r="AF156" s="140"/>
      <c r="AG156" s="140"/>
      <c r="AH156" s="140"/>
      <c r="AI156" s="250"/>
      <c r="AJ156" s="416"/>
      <c r="AK156" s="416"/>
      <c r="AL156" s="416"/>
      <c r="AM156" s="416"/>
      <c r="AN156" s="416"/>
      <c r="AO156" s="416"/>
      <c r="AP156" s="416"/>
      <c r="AQ156" s="416"/>
      <c r="AR156" s="416"/>
      <c r="AS156" s="416"/>
      <c r="AT156" s="224"/>
      <c r="AU156" s="224"/>
      <c r="AV156" s="224"/>
      <c r="AW156" s="224"/>
      <c r="AX156" s="224"/>
      <c r="AY156" s="224"/>
      <c r="AZ156" s="224"/>
      <c r="BA156" s="224"/>
      <c r="BB156" s="224"/>
      <c r="BC156" s="224"/>
      <c r="BD156" s="224"/>
      <c r="BE156" s="224"/>
      <c r="BF156" s="224"/>
    </row>
    <row r="157" spans="1:58" s="21" customFormat="1" ht="18.75" customHeight="1">
      <c r="A157" s="1075" t="s">
        <v>1317</v>
      </c>
      <c r="B157" s="55" t="s">
        <v>1753</v>
      </c>
      <c r="C157" s="57" t="s">
        <v>1874</v>
      </c>
      <c r="D157" s="57" t="s">
        <v>1732</v>
      </c>
      <c r="E157" s="58" t="s">
        <v>438</v>
      </c>
      <c r="F157" s="58"/>
      <c r="G157" s="44">
        <v>0</v>
      </c>
      <c r="H157" s="679">
        <v>0</v>
      </c>
      <c r="I157" s="1130"/>
      <c r="J157" s="1130"/>
      <c r="K157" s="1418"/>
      <c r="L157" s="740"/>
      <c r="M157" s="740"/>
      <c r="N157" s="740"/>
      <c r="O157" s="742"/>
      <c r="P157" s="140"/>
      <c r="Q157" s="140"/>
      <c r="R157" s="140"/>
      <c r="S157" s="140"/>
      <c r="T157" s="140"/>
      <c r="U157" s="626"/>
      <c r="V157" s="140"/>
      <c r="W157" s="140"/>
      <c r="X157" s="140"/>
      <c r="Y157" s="140"/>
      <c r="Z157" s="140"/>
      <c r="AA157" s="250"/>
      <c r="AB157" s="140"/>
      <c r="AC157" s="140"/>
      <c r="AD157" s="140"/>
      <c r="AE157" s="140"/>
      <c r="AF157" s="140"/>
      <c r="AG157" s="140"/>
      <c r="AH157" s="140"/>
      <c r="AI157" s="250"/>
      <c r="AJ157" s="416"/>
      <c r="AK157" s="416"/>
      <c r="AL157" s="416"/>
      <c r="AM157" s="416"/>
      <c r="AN157" s="416"/>
      <c r="AO157" s="416"/>
      <c r="AP157" s="416"/>
      <c r="AQ157" s="416"/>
      <c r="AR157" s="416"/>
      <c r="AS157" s="416"/>
      <c r="AT157" s="224"/>
      <c r="AU157" s="224"/>
      <c r="AV157" s="224"/>
      <c r="AW157" s="224"/>
      <c r="AX157" s="224"/>
      <c r="AY157" s="224"/>
      <c r="AZ157" s="224"/>
      <c r="BA157" s="224"/>
      <c r="BB157" s="224"/>
      <c r="BC157" s="224"/>
      <c r="BD157" s="224"/>
      <c r="BE157" s="224"/>
      <c r="BF157" s="224"/>
    </row>
    <row r="158" spans="1:58" s="21" customFormat="1" ht="18.75" customHeight="1">
      <c r="A158" s="1075" t="s">
        <v>1317</v>
      </c>
      <c r="B158" s="55" t="s">
        <v>1875</v>
      </c>
      <c r="C158" s="57" t="s">
        <v>1755</v>
      </c>
      <c r="D158" s="57" t="s">
        <v>1432</v>
      </c>
      <c r="E158" s="58" t="s">
        <v>438</v>
      </c>
      <c r="F158" s="58"/>
      <c r="G158" s="44">
        <v>0</v>
      </c>
      <c r="H158" s="679">
        <v>0</v>
      </c>
      <c r="I158" s="352"/>
      <c r="J158" s="352"/>
      <c r="K158" s="1418">
        <v>236</v>
      </c>
      <c r="L158" s="740">
        <v>210</v>
      </c>
      <c r="M158" s="740">
        <v>283</v>
      </c>
      <c r="N158" s="740">
        <v>363</v>
      </c>
      <c r="O158" s="742">
        <v>323</v>
      </c>
      <c r="P158" s="140">
        <v>190</v>
      </c>
      <c r="Q158" s="140">
        <v>163</v>
      </c>
      <c r="R158" s="140">
        <v>193</v>
      </c>
      <c r="S158" s="140">
        <v>80</v>
      </c>
      <c r="T158" s="140">
        <v>87</v>
      </c>
      <c r="U158" s="761">
        <v>49</v>
      </c>
      <c r="V158" s="442">
        <v>0</v>
      </c>
      <c r="W158" s="140">
        <v>10</v>
      </c>
      <c r="X158" s="140">
        <v>21</v>
      </c>
      <c r="Y158" s="140"/>
      <c r="Z158" s="140"/>
      <c r="AA158" s="250"/>
      <c r="AB158" s="140"/>
      <c r="AC158" s="140"/>
      <c r="AD158" s="140"/>
      <c r="AE158" s="140"/>
      <c r="AF158" s="140"/>
      <c r="AG158" s="140"/>
      <c r="AH158" s="140"/>
      <c r="AI158" s="250"/>
      <c r="AJ158" s="416"/>
      <c r="AK158" s="416"/>
      <c r="AL158" s="416"/>
      <c r="AM158" s="416"/>
      <c r="AN158" s="416"/>
      <c r="AO158" s="416"/>
      <c r="AP158" s="416"/>
      <c r="AQ158" s="416"/>
      <c r="AR158" s="416"/>
      <c r="AS158" s="416"/>
      <c r="AT158" s="224"/>
      <c r="AU158" s="224"/>
      <c r="AV158" s="224"/>
      <c r="AW158" s="224"/>
      <c r="AX158" s="224"/>
      <c r="AY158" s="224"/>
      <c r="AZ158" s="224"/>
      <c r="BA158" s="224"/>
      <c r="BB158" s="224"/>
      <c r="BC158" s="224"/>
      <c r="BD158" s="224"/>
      <c r="BE158" s="224"/>
      <c r="BF158" s="224"/>
    </row>
    <row r="159" spans="1:58" s="21" customFormat="1" ht="18.75" customHeight="1">
      <c r="A159" s="1075"/>
      <c r="B159" s="55"/>
      <c r="C159" s="57" t="s">
        <v>901</v>
      </c>
      <c r="D159" s="57"/>
      <c r="E159" s="58"/>
      <c r="F159" s="58"/>
      <c r="G159" s="44">
        <v>0</v>
      </c>
      <c r="H159" s="679" t="s">
        <v>21</v>
      </c>
      <c r="I159" s="352"/>
      <c r="J159" s="352"/>
      <c r="K159" s="1418"/>
      <c r="L159" s="740"/>
      <c r="M159" s="740"/>
      <c r="N159" s="740"/>
      <c r="O159" s="742"/>
      <c r="P159" s="140"/>
      <c r="Q159" s="140"/>
      <c r="R159" s="140"/>
      <c r="S159" s="140"/>
      <c r="T159" s="140"/>
      <c r="U159" s="741"/>
      <c r="V159" s="140"/>
      <c r="W159" s="741"/>
      <c r="X159" s="140"/>
      <c r="Y159" s="140"/>
      <c r="Z159" s="140"/>
      <c r="AA159" s="250"/>
      <c r="AB159" s="140"/>
      <c r="AC159" s="140"/>
      <c r="AD159" s="140"/>
      <c r="AE159" s="140"/>
      <c r="AF159" s="140"/>
      <c r="AG159" s="140"/>
      <c r="AH159" s="140"/>
      <c r="AI159" s="250"/>
      <c r="AJ159" s="416"/>
      <c r="AK159" s="416"/>
      <c r="AL159" s="416"/>
      <c r="AM159" s="416"/>
      <c r="AN159" s="416"/>
      <c r="AO159" s="416"/>
      <c r="AP159" s="416"/>
      <c r="AQ159" s="416"/>
      <c r="AR159" s="416"/>
      <c r="AS159" s="416"/>
      <c r="AT159" s="224"/>
      <c r="AU159" s="224"/>
      <c r="AV159" s="224"/>
      <c r="AW159" s="224"/>
      <c r="AX159" s="224"/>
      <c r="AY159" s="224"/>
      <c r="AZ159" s="224"/>
      <c r="BA159" s="224"/>
      <c r="BB159" s="224"/>
      <c r="BC159" s="224"/>
      <c r="BD159" s="224"/>
      <c r="BE159" s="224"/>
      <c r="BF159" s="224"/>
    </row>
    <row r="160" spans="1:58" s="70" customFormat="1" ht="18.75" customHeight="1">
      <c r="A160" s="1075" t="s">
        <v>1317</v>
      </c>
      <c r="B160" s="55" t="s">
        <v>1705</v>
      </c>
      <c r="C160" s="57" t="s">
        <v>1706</v>
      </c>
      <c r="D160" s="57" t="s">
        <v>1521</v>
      </c>
      <c r="E160" s="58" t="s">
        <v>438</v>
      </c>
      <c r="F160" s="58"/>
      <c r="G160" s="44">
        <v>0</v>
      </c>
      <c r="H160" s="679">
        <v>0</v>
      </c>
      <c r="I160" s="352"/>
      <c r="J160" s="352"/>
      <c r="K160" s="1418"/>
      <c r="L160" s="740"/>
      <c r="M160" s="740"/>
      <c r="N160" s="740"/>
      <c r="O160" s="740"/>
      <c r="P160" s="740"/>
      <c r="Q160" s="740">
        <v>18</v>
      </c>
      <c r="R160" s="740">
        <v>10</v>
      </c>
      <c r="S160" s="740">
        <v>20</v>
      </c>
      <c r="T160" s="740">
        <v>2</v>
      </c>
      <c r="U160" s="740">
        <v>18</v>
      </c>
      <c r="V160" s="742"/>
      <c r="W160" s="140"/>
      <c r="X160" s="140"/>
      <c r="Y160" s="140"/>
      <c r="Z160" s="140"/>
      <c r="AA160" s="250"/>
      <c r="AB160" s="140"/>
      <c r="AC160" s="140"/>
      <c r="AD160" s="140"/>
      <c r="AE160" s="140"/>
      <c r="AF160" s="140"/>
      <c r="AG160" s="140"/>
      <c r="AH160" s="140"/>
      <c r="AI160" s="250"/>
      <c r="AJ160" s="416"/>
      <c r="AK160" s="416"/>
      <c r="AL160" s="416"/>
      <c r="AM160" s="416"/>
      <c r="AN160" s="416"/>
      <c r="AO160" s="416"/>
      <c r="AP160" s="416"/>
      <c r="AQ160" s="416"/>
      <c r="AR160" s="416"/>
      <c r="AS160" s="416"/>
      <c r="AT160" s="416"/>
      <c r="AU160" s="217"/>
      <c r="AV160" s="217"/>
      <c r="AW160" s="217"/>
      <c r="AX160" s="217"/>
      <c r="AY160" s="217"/>
      <c r="AZ160" s="217"/>
      <c r="BA160" s="217"/>
      <c r="BB160" s="217"/>
      <c r="BC160" s="217"/>
      <c r="BD160" s="217"/>
      <c r="BE160" s="217"/>
      <c r="BF160" s="217"/>
    </row>
    <row r="161" spans="1:58" s="21" customFormat="1" ht="18.75" customHeight="1">
      <c r="A161" s="1075" t="s">
        <v>1876</v>
      </c>
      <c r="B161" s="55" t="s">
        <v>381</v>
      </c>
      <c r="C161" s="55" t="s">
        <v>1877</v>
      </c>
      <c r="D161" s="55" t="s">
        <v>1748</v>
      </c>
      <c r="E161" s="58">
        <v>1650</v>
      </c>
      <c r="F161" s="58"/>
      <c r="G161" s="44">
        <v>0</v>
      </c>
      <c r="H161" s="44">
        <v>0</v>
      </c>
      <c r="I161" s="1130"/>
      <c r="J161" s="1130"/>
      <c r="K161" s="1410">
        <v>32</v>
      </c>
      <c r="L161" s="416">
        <v>19</v>
      </c>
      <c r="M161" s="743">
        <v>35</v>
      </c>
      <c r="N161" s="743">
        <v>38</v>
      </c>
      <c r="O161" s="416">
        <v>135</v>
      </c>
      <c r="P161" s="416">
        <v>35</v>
      </c>
      <c r="Q161" s="416">
        <v>15</v>
      </c>
      <c r="R161" s="416">
        <v>15</v>
      </c>
      <c r="S161" s="416">
        <v>15</v>
      </c>
      <c r="T161" s="416">
        <v>0</v>
      </c>
      <c r="U161" s="416">
        <v>0</v>
      </c>
      <c r="V161" s="490">
        <v>0</v>
      </c>
      <c r="W161" s="140"/>
      <c r="X161" s="140"/>
      <c r="Y161" s="140"/>
      <c r="Z161" s="140"/>
      <c r="AA161" s="250"/>
      <c r="AB161" s="140"/>
      <c r="AC161" s="140"/>
      <c r="AD161" s="140"/>
      <c r="AE161" s="140"/>
      <c r="AF161" s="140"/>
      <c r="AG161" s="140"/>
      <c r="AH161" s="140"/>
      <c r="AI161" s="250"/>
      <c r="AJ161" s="416"/>
      <c r="AK161" s="416"/>
      <c r="AL161" s="416"/>
      <c r="AM161" s="416"/>
      <c r="AN161" s="416"/>
      <c r="AO161" s="416"/>
      <c r="AP161" s="416"/>
      <c r="AQ161" s="416"/>
      <c r="AR161" s="416"/>
      <c r="AS161" s="416"/>
      <c r="AT161" s="416"/>
      <c r="AU161" s="217"/>
      <c r="AV161" s="217"/>
      <c r="AW161" s="217"/>
      <c r="AX161" s="217"/>
      <c r="AY161" s="217"/>
      <c r="AZ161" s="217"/>
      <c r="BA161" s="217"/>
      <c r="BB161" s="217"/>
      <c r="BC161" s="217"/>
      <c r="BD161" s="217"/>
      <c r="BE161" s="217"/>
      <c r="BF161" s="217"/>
    </row>
    <row r="162" spans="1:58" s="21" customFormat="1" ht="18.75" customHeight="1">
      <c r="A162" s="1060" t="s">
        <v>1361</v>
      </c>
      <c r="B162" s="26" t="s">
        <v>1666</v>
      </c>
      <c r="C162" s="26" t="s">
        <v>1667</v>
      </c>
      <c r="D162" s="26" t="s">
        <v>1365</v>
      </c>
      <c r="E162" s="26">
        <v>4060</v>
      </c>
      <c r="F162" s="58"/>
      <c r="G162" s="44">
        <v>2</v>
      </c>
      <c r="H162" s="44">
        <v>0</v>
      </c>
      <c r="I162" s="1130"/>
      <c r="J162" s="1130"/>
      <c r="K162" s="1410"/>
      <c r="L162" s="416"/>
      <c r="M162" s="743"/>
      <c r="N162" s="743"/>
      <c r="O162" s="416"/>
      <c r="P162" s="416"/>
      <c r="Q162" s="416"/>
      <c r="R162" s="416"/>
      <c r="S162" s="416"/>
      <c r="T162" s="416">
        <v>7</v>
      </c>
      <c r="U162" s="416">
        <v>19</v>
      </c>
      <c r="V162" s="490">
        <v>35</v>
      </c>
      <c r="W162" s="140">
        <v>8</v>
      </c>
      <c r="X162" s="140">
        <v>8</v>
      </c>
      <c r="Y162" s="140">
        <v>8</v>
      </c>
      <c r="Z162" s="140">
        <v>8</v>
      </c>
      <c r="AA162" s="140">
        <v>8</v>
      </c>
      <c r="AB162" s="140">
        <v>8</v>
      </c>
      <c r="AC162" s="140">
        <v>8</v>
      </c>
      <c r="AD162" s="140"/>
      <c r="AE162" s="140"/>
      <c r="AF162" s="140"/>
      <c r="AG162" s="140"/>
      <c r="AH162" s="140"/>
      <c r="AI162" s="250"/>
      <c r="AJ162" s="416"/>
      <c r="AK162" s="416"/>
      <c r="AL162" s="416"/>
      <c r="AM162" s="416"/>
      <c r="AN162" s="416"/>
      <c r="AO162" s="416"/>
      <c r="AP162" s="416"/>
      <c r="AQ162" s="416"/>
      <c r="AR162" s="416"/>
      <c r="AS162" s="416"/>
      <c r="AT162" s="416"/>
      <c r="AU162" s="217"/>
      <c r="AV162" s="217"/>
      <c r="AW162" s="217"/>
      <c r="AX162" s="217"/>
      <c r="AY162" s="217"/>
      <c r="AZ162" s="217"/>
      <c r="BA162" s="217"/>
      <c r="BB162" s="217"/>
      <c r="BC162" s="217"/>
      <c r="BD162" s="217"/>
      <c r="BE162" s="217"/>
      <c r="BF162" s="217"/>
    </row>
    <row r="163" spans="1:58" s="21" customFormat="1" ht="18.75" customHeight="1">
      <c r="A163" s="1075" t="s">
        <v>1349</v>
      </c>
      <c r="B163" s="26" t="s">
        <v>1668</v>
      </c>
      <c r="C163" s="57" t="s">
        <v>24</v>
      </c>
      <c r="D163" s="55" t="s">
        <v>25</v>
      </c>
      <c r="E163" s="56">
        <v>4090</v>
      </c>
      <c r="F163" s="56"/>
      <c r="G163" s="409">
        <v>0</v>
      </c>
      <c r="H163" s="44">
        <v>0</v>
      </c>
      <c r="I163" s="679"/>
      <c r="J163" s="679"/>
      <c r="K163" s="1418"/>
      <c r="L163" s="740"/>
      <c r="M163" s="740"/>
      <c r="N163" s="740"/>
      <c r="O163" s="740">
        <v>8</v>
      </c>
      <c r="P163" s="740">
        <v>8</v>
      </c>
      <c r="Q163" s="740">
        <v>8</v>
      </c>
      <c r="R163" s="740">
        <v>7</v>
      </c>
      <c r="S163" s="740">
        <v>8</v>
      </c>
      <c r="T163" s="740">
        <v>5</v>
      </c>
      <c r="U163" s="740">
        <v>5</v>
      </c>
      <c r="V163" s="740">
        <v>5</v>
      </c>
      <c r="W163" s="740">
        <v>5</v>
      </c>
      <c r="X163" s="740">
        <v>5</v>
      </c>
      <c r="Y163" s="140">
        <v>27</v>
      </c>
      <c r="Z163" s="140">
        <v>15</v>
      </c>
      <c r="AA163" s="250">
        <v>15</v>
      </c>
      <c r="AB163" s="140">
        <v>15</v>
      </c>
      <c r="AC163" s="140"/>
      <c r="AD163" s="140"/>
      <c r="AE163" s="140"/>
      <c r="AF163" s="140"/>
      <c r="AG163" s="140"/>
      <c r="AH163" s="140"/>
      <c r="AI163" s="250"/>
      <c r="AJ163" s="416"/>
      <c r="AK163" s="416"/>
      <c r="AL163" s="416"/>
      <c r="AM163" s="416"/>
      <c r="AN163" s="416"/>
      <c r="AO163" s="416"/>
      <c r="AP163" s="416"/>
      <c r="AQ163" s="416"/>
      <c r="AR163" s="416"/>
      <c r="AS163" s="416"/>
      <c r="AT163" s="416"/>
      <c r="AU163" s="217"/>
      <c r="AV163" s="217"/>
      <c r="AW163" s="217"/>
      <c r="AX163" s="217"/>
      <c r="AY163" s="217"/>
      <c r="AZ163" s="217"/>
      <c r="BA163" s="217"/>
      <c r="BB163" s="217"/>
      <c r="BC163" s="217"/>
      <c r="BD163" s="217"/>
      <c r="BE163" s="217"/>
      <c r="BF163" s="217"/>
    </row>
    <row r="164" spans="1:58" s="21" customFormat="1" ht="18.75" customHeight="1">
      <c r="A164" s="1075" t="s">
        <v>1349</v>
      </c>
      <c r="B164" s="26" t="s">
        <v>26</v>
      </c>
      <c r="C164" s="25" t="s">
        <v>1679</v>
      </c>
      <c r="D164" s="26" t="s">
        <v>1670</v>
      </c>
      <c r="E164" s="24">
        <v>4070</v>
      </c>
      <c r="F164" s="24"/>
      <c r="G164" s="44">
        <v>0</v>
      </c>
      <c r="H164" s="44">
        <v>0</v>
      </c>
      <c r="I164" s="679"/>
      <c r="J164" s="679"/>
      <c r="K164" s="1410"/>
      <c r="L164" s="38"/>
      <c r="M164" s="38"/>
      <c r="N164" s="38"/>
      <c r="O164" s="38"/>
      <c r="P164" s="38"/>
      <c r="Q164" s="38"/>
      <c r="R164" s="38">
        <v>6</v>
      </c>
      <c r="S164" s="38">
        <v>6</v>
      </c>
      <c r="T164" s="38">
        <v>13</v>
      </c>
      <c r="U164" s="38">
        <v>7</v>
      </c>
      <c r="V164" s="116">
        <v>6</v>
      </c>
      <c r="W164" s="140">
        <v>10</v>
      </c>
      <c r="X164" s="140">
        <v>10</v>
      </c>
      <c r="Y164" s="140">
        <v>10</v>
      </c>
      <c r="Z164" s="140">
        <v>10</v>
      </c>
      <c r="AA164" s="250"/>
      <c r="AB164" s="140"/>
      <c r="AC164" s="140"/>
      <c r="AD164" s="140"/>
      <c r="AE164" s="140"/>
      <c r="AF164" s="140"/>
      <c r="AG164" s="140"/>
      <c r="AH164" s="140"/>
      <c r="AI164" s="250"/>
      <c r="AJ164" s="416"/>
      <c r="AK164" s="416"/>
      <c r="AL164" s="416"/>
      <c r="AM164" s="416"/>
      <c r="AN164" s="416"/>
      <c r="AO164" s="416"/>
      <c r="AP164" s="416"/>
      <c r="AQ164" s="416"/>
      <c r="AR164" s="416"/>
      <c r="AS164" s="416"/>
      <c r="AT164" s="416"/>
      <c r="AU164" s="217"/>
      <c r="AV164" s="217"/>
      <c r="AW164" s="217"/>
      <c r="AX164" s="217"/>
      <c r="AY164" s="217"/>
      <c r="AZ164" s="217"/>
      <c r="BA164" s="217"/>
      <c r="BB164" s="217"/>
      <c r="BC164" s="217"/>
      <c r="BD164" s="217"/>
      <c r="BE164" s="217"/>
      <c r="BF164" s="217"/>
    </row>
    <row r="165" spans="1:58" s="70" customFormat="1" ht="18.75" customHeight="1">
      <c r="A165" s="1060" t="s">
        <v>1859</v>
      </c>
      <c r="B165" s="26" t="s">
        <v>1682</v>
      </c>
      <c r="C165" s="25" t="s">
        <v>1683</v>
      </c>
      <c r="D165" s="26" t="s">
        <v>1375</v>
      </c>
      <c r="E165" s="26">
        <v>4060</v>
      </c>
      <c r="F165" s="111"/>
      <c r="G165" s="44">
        <v>15</v>
      </c>
      <c r="H165" s="679">
        <v>0</v>
      </c>
      <c r="I165" s="679"/>
      <c r="J165" s="679"/>
      <c r="K165" s="1418"/>
      <c r="L165" s="740"/>
      <c r="M165" s="740"/>
      <c r="N165" s="740"/>
      <c r="O165" s="740"/>
      <c r="P165" s="740"/>
      <c r="Q165" s="416"/>
      <c r="R165" s="416">
        <v>20</v>
      </c>
      <c r="S165" s="416">
        <v>20</v>
      </c>
      <c r="T165" s="416">
        <v>2</v>
      </c>
      <c r="U165" s="416">
        <v>7</v>
      </c>
      <c r="V165" s="416">
        <v>5</v>
      </c>
      <c r="W165" s="741">
        <v>5</v>
      </c>
      <c r="X165" s="140">
        <v>5</v>
      </c>
      <c r="Y165" s="140">
        <v>5</v>
      </c>
      <c r="Z165" s="140">
        <v>15</v>
      </c>
      <c r="AA165" s="250"/>
      <c r="AB165" s="140"/>
      <c r="AC165" s="140"/>
      <c r="AD165" s="140"/>
      <c r="AE165" s="140"/>
      <c r="AF165" s="140"/>
      <c r="AG165" s="140"/>
      <c r="AH165" s="140"/>
      <c r="AI165" s="250"/>
      <c r="AJ165" s="416"/>
      <c r="AK165" s="416"/>
      <c r="AL165" s="416"/>
      <c r="AM165" s="416"/>
      <c r="AN165" s="416"/>
      <c r="AO165" s="416"/>
      <c r="AP165" s="416"/>
      <c r="AQ165" s="416"/>
      <c r="AR165" s="416"/>
      <c r="AS165" s="416"/>
      <c r="AT165" s="416"/>
      <c r="AU165" s="217"/>
      <c r="AV165" s="217"/>
      <c r="AW165" s="217"/>
      <c r="AX165" s="217"/>
      <c r="AY165" s="217"/>
      <c r="AZ165" s="217"/>
      <c r="BA165" s="217"/>
      <c r="BB165" s="217"/>
      <c r="BC165" s="217"/>
      <c r="BD165" s="217"/>
      <c r="BE165" s="217"/>
      <c r="BF165" s="217"/>
    </row>
    <row r="166" spans="1:58" s="21" customFormat="1" ht="16.5">
      <c r="A166" s="1075" t="s">
        <v>1701</v>
      </c>
      <c r="B166" s="26" t="s">
        <v>1878</v>
      </c>
      <c r="C166" s="26" t="s">
        <v>1879</v>
      </c>
      <c r="D166" s="55" t="s">
        <v>38</v>
      </c>
      <c r="E166" s="58">
        <v>4060</v>
      </c>
      <c r="F166" s="58"/>
      <c r="G166" s="44">
        <v>0</v>
      </c>
      <c r="H166" s="679">
        <v>0</v>
      </c>
      <c r="I166" s="679"/>
      <c r="J166" s="679"/>
      <c r="K166" s="1410"/>
      <c r="L166" s="416"/>
      <c r="M166" s="416"/>
      <c r="N166" s="416"/>
      <c r="O166" s="416"/>
      <c r="P166" s="416"/>
      <c r="Q166" s="416"/>
      <c r="R166" s="416"/>
      <c r="S166" s="416"/>
      <c r="T166" s="416"/>
      <c r="U166" s="416">
        <v>41</v>
      </c>
      <c r="V166" s="490"/>
      <c r="W166" s="140"/>
      <c r="X166" s="140"/>
      <c r="Y166" s="140"/>
      <c r="Z166" s="140"/>
      <c r="AA166" s="250"/>
      <c r="AB166" s="140"/>
      <c r="AC166" s="140"/>
      <c r="AD166" s="140"/>
      <c r="AE166" s="140"/>
      <c r="AF166" s="140"/>
      <c r="AG166" s="140"/>
      <c r="AH166" s="140"/>
      <c r="AI166" s="250"/>
      <c r="AJ166" s="416"/>
      <c r="AK166" s="416"/>
      <c r="AL166" s="416"/>
      <c r="AM166" s="416"/>
      <c r="AN166" s="416"/>
      <c r="AO166" s="416"/>
      <c r="AP166" s="416"/>
      <c r="AQ166" s="416"/>
      <c r="AR166" s="416"/>
      <c r="AS166" s="416"/>
      <c r="AT166" s="416"/>
      <c r="AU166" s="217"/>
      <c r="AV166" s="217"/>
      <c r="AW166" s="217"/>
      <c r="AX166" s="217"/>
      <c r="AY166" s="217"/>
      <c r="AZ166" s="217"/>
      <c r="BA166" s="217"/>
      <c r="BB166" s="217"/>
      <c r="BC166" s="217"/>
      <c r="BD166" s="217"/>
      <c r="BE166" s="217"/>
      <c r="BF166" s="217"/>
    </row>
    <row r="167" spans="1:58" s="70" customFormat="1" ht="16.5">
      <c r="A167" s="1075" t="s">
        <v>1880</v>
      </c>
      <c r="B167" s="26" t="s">
        <v>1700</v>
      </c>
      <c r="C167" s="57" t="s">
        <v>415</v>
      </c>
      <c r="D167" s="55" t="s">
        <v>25</v>
      </c>
      <c r="E167" s="56">
        <v>4070</v>
      </c>
      <c r="F167" s="56"/>
      <c r="G167" s="44">
        <v>0</v>
      </c>
      <c r="H167" s="679">
        <v>0</v>
      </c>
      <c r="I167" s="679"/>
      <c r="J167" s="679"/>
      <c r="K167" s="1410"/>
      <c r="L167" s="416"/>
      <c r="M167" s="416"/>
      <c r="N167" s="416"/>
      <c r="O167" s="416">
        <v>2</v>
      </c>
      <c r="P167" s="416">
        <v>2</v>
      </c>
      <c r="Q167" s="416">
        <v>2</v>
      </c>
      <c r="R167" s="416">
        <v>3</v>
      </c>
      <c r="S167" s="416">
        <v>6</v>
      </c>
      <c r="T167" s="416">
        <v>5</v>
      </c>
      <c r="U167" s="416">
        <v>5</v>
      </c>
      <c r="V167" s="490">
        <v>5</v>
      </c>
      <c r="W167" s="140">
        <v>8</v>
      </c>
      <c r="X167" s="140">
        <v>5</v>
      </c>
      <c r="Y167" s="140">
        <v>5</v>
      </c>
      <c r="Z167" s="140">
        <v>5</v>
      </c>
      <c r="AA167" s="250">
        <v>5</v>
      </c>
      <c r="AB167" s="140"/>
      <c r="AC167" s="140"/>
      <c r="AD167" s="140"/>
      <c r="AE167" s="140"/>
      <c r="AF167" s="140"/>
      <c r="AG167" s="140"/>
      <c r="AH167" s="140"/>
      <c r="AI167" s="250"/>
      <c r="AJ167" s="416"/>
      <c r="AK167" s="416"/>
      <c r="AL167" s="416"/>
      <c r="AM167" s="416"/>
      <c r="AN167" s="416"/>
      <c r="AO167" s="416"/>
      <c r="AP167" s="416"/>
      <c r="AQ167" s="416"/>
      <c r="AR167" s="416"/>
      <c r="AS167" s="416"/>
      <c r="AT167" s="416"/>
      <c r="AU167" s="217"/>
      <c r="AV167" s="217"/>
      <c r="AW167" s="217"/>
      <c r="AX167" s="217"/>
      <c r="AY167" s="217"/>
      <c r="AZ167" s="217"/>
      <c r="BA167" s="217"/>
      <c r="BB167" s="217"/>
      <c r="BC167" s="217"/>
      <c r="BD167" s="217"/>
      <c r="BE167" s="217"/>
      <c r="BF167" s="217"/>
    </row>
    <row r="168" spans="1:58" s="70" customFormat="1" ht="16.5">
      <c r="A168" s="1080" t="s">
        <v>1383</v>
      </c>
      <c r="B168" s="26" t="s">
        <v>1881</v>
      </c>
      <c r="C168" s="733" t="s">
        <v>1882</v>
      </c>
      <c r="D168" s="55"/>
      <c r="E168" s="56"/>
      <c r="F168" s="56"/>
      <c r="G168" s="44"/>
      <c r="H168" s="679">
        <v>0</v>
      </c>
      <c r="I168" s="679"/>
      <c r="J168" s="679"/>
      <c r="K168" s="1410"/>
      <c r="L168" s="416"/>
      <c r="M168" s="416"/>
      <c r="N168" s="416"/>
      <c r="O168" s="416"/>
      <c r="P168" s="416"/>
      <c r="Q168" s="416"/>
      <c r="R168" s="416"/>
      <c r="S168" s="416"/>
      <c r="T168" s="416"/>
      <c r="U168" s="416"/>
      <c r="V168" s="490"/>
      <c r="W168" s="140"/>
      <c r="X168" s="140"/>
      <c r="Y168" s="140"/>
      <c r="Z168" s="140"/>
      <c r="AA168" s="250"/>
      <c r="AB168" s="140"/>
      <c r="AC168" s="140"/>
      <c r="AD168" s="140"/>
      <c r="AE168" s="140"/>
      <c r="AF168" s="140"/>
      <c r="AG168" s="140"/>
      <c r="AH168" s="140"/>
      <c r="AI168" s="250"/>
      <c r="AJ168" s="416"/>
      <c r="AK168" s="416"/>
      <c r="AL168" s="416"/>
      <c r="AM168" s="416"/>
      <c r="AN168" s="416"/>
      <c r="AO168" s="416"/>
      <c r="AP168" s="416"/>
      <c r="AQ168" s="416"/>
      <c r="AR168" s="416"/>
      <c r="AS168" s="416"/>
      <c r="AT168" s="416"/>
      <c r="AU168" s="217"/>
      <c r="AV168" s="217"/>
      <c r="AW168" s="217"/>
      <c r="AX168" s="217"/>
      <c r="AY168" s="217"/>
      <c r="AZ168" s="217"/>
      <c r="BA168" s="217"/>
      <c r="BB168" s="217"/>
      <c r="BC168" s="217"/>
      <c r="BD168" s="217"/>
      <c r="BE168" s="217"/>
      <c r="BF168" s="217"/>
    </row>
    <row r="169" spans="1:58" s="70" customFormat="1" ht="16.5">
      <c r="A169" s="1075" t="s">
        <v>1701</v>
      </c>
      <c r="B169" s="26" t="s">
        <v>502</v>
      </c>
      <c r="C169" s="57" t="s">
        <v>500</v>
      </c>
      <c r="D169" s="55" t="s">
        <v>35</v>
      </c>
      <c r="E169" s="58" t="s">
        <v>438</v>
      </c>
      <c r="F169" s="58"/>
      <c r="G169" s="44">
        <v>0</v>
      </c>
      <c r="H169" s="679">
        <v>0</v>
      </c>
      <c r="I169" s="679"/>
      <c r="J169" s="679"/>
      <c r="K169" s="1410"/>
      <c r="L169" s="416"/>
      <c r="M169" s="416"/>
      <c r="N169" s="416"/>
      <c r="O169" s="416"/>
      <c r="P169" s="416">
        <v>2</v>
      </c>
      <c r="Q169" s="416">
        <v>2</v>
      </c>
      <c r="R169" s="416">
        <v>2</v>
      </c>
      <c r="S169" s="416">
        <v>2</v>
      </c>
      <c r="T169" s="416">
        <v>5</v>
      </c>
      <c r="U169" s="416">
        <v>5</v>
      </c>
      <c r="V169" s="490">
        <v>5</v>
      </c>
      <c r="W169" s="416">
        <v>5</v>
      </c>
      <c r="X169" s="490">
        <v>5</v>
      </c>
      <c r="Y169" s="416">
        <v>5</v>
      </c>
      <c r="Z169" s="490"/>
      <c r="AA169" s="416"/>
      <c r="AB169" s="490"/>
      <c r="AC169" s="140"/>
      <c r="AD169" s="140"/>
      <c r="AE169" s="140"/>
      <c r="AF169" s="140"/>
      <c r="AG169" s="140"/>
      <c r="AH169" s="140"/>
      <c r="AI169" s="250"/>
      <c r="AJ169" s="416"/>
      <c r="AK169" s="416"/>
      <c r="AL169" s="416"/>
      <c r="AM169" s="416"/>
      <c r="AN169" s="416"/>
      <c r="AO169" s="416"/>
      <c r="AP169" s="416"/>
      <c r="AQ169" s="416"/>
      <c r="AR169" s="416"/>
      <c r="AS169" s="416"/>
      <c r="AT169" s="416"/>
      <c r="AU169" s="217"/>
      <c r="AV169" s="217"/>
      <c r="AW169" s="217"/>
      <c r="AX169" s="217"/>
      <c r="AY169" s="217"/>
      <c r="AZ169" s="217"/>
      <c r="BA169" s="217"/>
      <c r="BB169" s="217"/>
      <c r="BC169" s="217"/>
      <c r="BD169" s="217"/>
      <c r="BE169" s="217"/>
      <c r="BF169" s="217"/>
    </row>
    <row r="170" spans="1:58" s="70" customFormat="1" ht="16.5">
      <c r="A170" s="1075" t="s">
        <v>1883</v>
      </c>
      <c r="B170" s="26" t="s">
        <v>468</v>
      </c>
      <c r="C170" s="57" t="s">
        <v>454</v>
      </c>
      <c r="D170" s="55" t="s">
        <v>1365</v>
      </c>
      <c r="E170" s="58">
        <v>4060</v>
      </c>
      <c r="F170" s="58"/>
      <c r="G170" s="44">
        <v>0</v>
      </c>
      <c r="H170" s="679">
        <v>0</v>
      </c>
      <c r="I170" s="679"/>
      <c r="J170" s="679"/>
      <c r="K170" s="1418"/>
      <c r="L170" s="740"/>
      <c r="M170" s="740"/>
      <c r="N170" s="740"/>
      <c r="O170" s="740">
        <v>3</v>
      </c>
      <c r="P170" s="740">
        <v>12</v>
      </c>
      <c r="Q170" s="740">
        <v>50</v>
      </c>
      <c r="R170" s="740">
        <v>12</v>
      </c>
      <c r="S170" s="740">
        <v>13</v>
      </c>
      <c r="T170" s="740">
        <v>5</v>
      </c>
      <c r="U170" s="740">
        <v>5</v>
      </c>
      <c r="V170" s="742">
        <v>5</v>
      </c>
      <c r="W170" s="140">
        <v>5</v>
      </c>
      <c r="X170" s="140">
        <v>5</v>
      </c>
      <c r="Y170" s="140">
        <v>5</v>
      </c>
      <c r="Z170" s="140">
        <v>33</v>
      </c>
      <c r="AA170" s="250">
        <v>33</v>
      </c>
      <c r="AB170" s="140">
        <v>20</v>
      </c>
      <c r="AC170" s="140">
        <v>20</v>
      </c>
      <c r="AD170" s="140"/>
      <c r="AE170" s="140"/>
      <c r="AF170" s="140"/>
      <c r="AG170" s="140"/>
      <c r="AH170" s="140"/>
      <c r="AI170" s="250"/>
      <c r="AJ170" s="416"/>
      <c r="AK170" s="416"/>
      <c r="AL170" s="416"/>
      <c r="AM170" s="416"/>
      <c r="AN170" s="416"/>
      <c r="AO170" s="416"/>
      <c r="AP170" s="416"/>
      <c r="AQ170" s="416"/>
      <c r="AR170" s="416"/>
      <c r="AS170" s="416"/>
      <c r="AT170" s="416"/>
      <c r="AU170" s="217"/>
      <c r="AV170" s="217"/>
      <c r="AW170" s="217"/>
      <c r="AX170" s="217"/>
      <c r="AY170" s="217"/>
      <c r="AZ170" s="217"/>
      <c r="BA170" s="217"/>
      <c r="BB170" s="217"/>
      <c r="BC170" s="217"/>
      <c r="BD170" s="217"/>
      <c r="BE170" s="217"/>
      <c r="BF170" s="217"/>
    </row>
    <row r="171" spans="1:58" s="21" customFormat="1" ht="16.5">
      <c r="A171" s="1075" t="s">
        <v>1701</v>
      </c>
      <c r="B171" s="26" t="s">
        <v>1702</v>
      </c>
      <c r="C171" s="57" t="s">
        <v>1703</v>
      </c>
      <c r="D171" s="55" t="s">
        <v>25</v>
      </c>
      <c r="E171" s="56">
        <v>4090</v>
      </c>
      <c r="F171" s="56"/>
      <c r="G171" s="44">
        <v>0</v>
      </c>
      <c r="H171" s="679">
        <v>0</v>
      </c>
      <c r="I171" s="679"/>
      <c r="J171" s="679"/>
      <c r="K171" s="1410"/>
      <c r="L171" s="416"/>
      <c r="M171" s="416"/>
      <c r="N171" s="416"/>
      <c r="O171" s="416">
        <v>10</v>
      </c>
      <c r="P171" s="416">
        <v>10</v>
      </c>
      <c r="Q171" s="416">
        <v>10</v>
      </c>
      <c r="R171" s="416">
        <v>7</v>
      </c>
      <c r="S171" s="416">
        <v>7</v>
      </c>
      <c r="T171" s="416">
        <v>5</v>
      </c>
      <c r="U171" s="416">
        <v>5</v>
      </c>
      <c r="V171" s="490">
        <v>5</v>
      </c>
      <c r="W171" s="140">
        <v>7</v>
      </c>
      <c r="X171" s="140">
        <v>7</v>
      </c>
      <c r="Y171" s="140">
        <v>28</v>
      </c>
      <c r="Z171" s="140"/>
      <c r="AA171" s="250"/>
      <c r="AB171" s="140"/>
      <c r="AC171" s="140"/>
      <c r="AD171" s="140"/>
      <c r="AE171" s="140"/>
      <c r="AF171" s="140"/>
      <c r="AG171" s="140"/>
      <c r="AH171" s="140"/>
      <c r="AI171" s="250"/>
      <c r="AJ171" s="416"/>
      <c r="AK171" s="416"/>
      <c r="AL171" s="416"/>
      <c r="AM171" s="416"/>
      <c r="AN171" s="416"/>
      <c r="AO171" s="416"/>
      <c r="AP171" s="416"/>
      <c r="AQ171" s="416"/>
      <c r="AR171" s="416"/>
      <c r="AS171" s="416"/>
      <c r="AT171" s="416"/>
      <c r="AU171" s="217"/>
      <c r="AV171" s="217"/>
      <c r="AW171" s="217"/>
      <c r="AX171" s="217"/>
      <c r="AY171" s="217"/>
      <c r="AZ171" s="217"/>
      <c r="BA171" s="217"/>
      <c r="BB171" s="217"/>
      <c r="BC171" s="217"/>
      <c r="BD171" s="217"/>
      <c r="BE171" s="217"/>
      <c r="BF171" s="217"/>
    </row>
    <row r="172" spans="1:58" s="21" customFormat="1" ht="16.149999999999999" customHeight="1">
      <c r="A172" s="1082" t="s">
        <v>1884</v>
      </c>
      <c r="B172" s="52" t="s">
        <v>17</v>
      </c>
      <c r="C172" s="51" t="s">
        <v>18</v>
      </c>
      <c r="D172" s="52" t="s">
        <v>19</v>
      </c>
      <c r="E172" s="53">
        <v>4090</v>
      </c>
      <c r="F172" s="53"/>
      <c r="G172" s="44">
        <v>0</v>
      </c>
      <c r="H172" s="410">
        <v>0</v>
      </c>
      <c r="I172" s="1145"/>
      <c r="J172" s="1145"/>
      <c r="K172" s="1429">
        <v>8</v>
      </c>
      <c r="L172" s="64">
        <v>11</v>
      </c>
      <c r="M172" s="64">
        <v>9</v>
      </c>
      <c r="N172" s="64"/>
      <c r="O172" s="64"/>
      <c r="P172" s="64"/>
      <c r="Q172" s="249"/>
      <c r="R172" s="249"/>
      <c r="S172" s="249"/>
      <c r="T172" s="249"/>
      <c r="U172" s="249"/>
      <c r="V172" s="378"/>
      <c r="W172" s="192"/>
      <c r="X172" s="192"/>
      <c r="Y172" s="140"/>
      <c r="Z172" s="140"/>
      <c r="AA172" s="250"/>
      <c r="AB172" s="140"/>
      <c r="AC172" s="140"/>
      <c r="AD172" s="117"/>
      <c r="AE172" s="117"/>
      <c r="AF172" s="117"/>
      <c r="AG172" s="117"/>
      <c r="AH172" s="117"/>
      <c r="AI172" s="117"/>
    </row>
    <row r="173" spans="1:58" s="21" customFormat="1" ht="16.149999999999999" customHeight="1">
      <c r="A173" s="1067" t="s">
        <v>1349</v>
      </c>
      <c r="B173" s="55" t="s">
        <v>1885</v>
      </c>
      <c r="C173" s="55" t="s">
        <v>37</v>
      </c>
      <c r="D173" s="55" t="s">
        <v>38</v>
      </c>
      <c r="E173" s="58">
        <v>4060</v>
      </c>
      <c r="F173" s="58"/>
      <c r="G173" s="44">
        <v>0</v>
      </c>
      <c r="H173" s="410">
        <v>3</v>
      </c>
      <c r="I173" s="1145"/>
      <c r="J173" s="1145"/>
      <c r="K173" s="1412">
        <v>15</v>
      </c>
      <c r="L173" s="65">
        <v>15</v>
      </c>
      <c r="M173" s="65">
        <v>10</v>
      </c>
      <c r="N173" s="65">
        <v>8</v>
      </c>
      <c r="O173" s="65">
        <v>8</v>
      </c>
      <c r="P173" s="65">
        <v>3</v>
      </c>
      <c r="Q173" s="217">
        <v>3</v>
      </c>
      <c r="R173" s="217">
        <v>3</v>
      </c>
      <c r="S173" s="217">
        <v>3</v>
      </c>
      <c r="T173" s="217"/>
      <c r="U173" s="217"/>
      <c r="V173" s="217"/>
      <c r="W173" s="252"/>
      <c r="X173" s="192"/>
      <c r="Y173" s="140"/>
      <c r="Z173" s="140"/>
      <c r="AA173" s="250"/>
      <c r="AB173" s="140"/>
      <c r="AC173" s="140"/>
      <c r="AD173" s="117"/>
      <c r="AE173" s="117"/>
      <c r="AF173" s="117"/>
      <c r="AG173" s="117"/>
      <c r="AH173" s="117"/>
      <c r="AI173" s="117"/>
    </row>
    <row r="174" spans="1:58" s="21" customFormat="1" ht="16.149999999999999" customHeight="1">
      <c r="A174" s="1067" t="s">
        <v>1349</v>
      </c>
      <c r="B174" s="55" t="s">
        <v>41</v>
      </c>
      <c r="C174" s="55" t="s">
        <v>42</v>
      </c>
      <c r="D174" s="55" t="s">
        <v>38</v>
      </c>
      <c r="E174" s="58">
        <v>4050</v>
      </c>
      <c r="F174" s="58"/>
      <c r="G174" s="44">
        <v>0</v>
      </c>
      <c r="H174" s="410">
        <v>0</v>
      </c>
      <c r="I174" s="1145"/>
      <c r="J174" s="1145"/>
      <c r="K174" s="1412">
        <v>3</v>
      </c>
      <c r="L174" s="65">
        <v>5</v>
      </c>
      <c r="M174" s="65">
        <v>4</v>
      </c>
      <c r="N174" s="65">
        <v>2</v>
      </c>
      <c r="O174" s="65">
        <v>2</v>
      </c>
      <c r="P174" s="65">
        <v>2</v>
      </c>
      <c r="Q174" s="371">
        <v>2</v>
      </c>
      <c r="R174" s="290">
        <v>0</v>
      </c>
      <c r="S174" s="290">
        <v>0</v>
      </c>
      <c r="T174" s="290"/>
      <c r="U174" s="290"/>
      <c r="V174" s="290"/>
      <c r="W174" s="252"/>
      <c r="X174" s="192"/>
      <c r="Y174" s="140"/>
      <c r="Z174" s="140"/>
      <c r="AA174" s="250"/>
      <c r="AB174" s="140"/>
      <c r="AC174" s="140"/>
      <c r="AD174" s="117"/>
      <c r="AE174" s="117"/>
      <c r="AF174" s="117"/>
      <c r="AG174" s="117"/>
      <c r="AH174" s="117"/>
      <c r="AI174" s="117"/>
    </row>
    <row r="175" spans="1:58" s="21" customFormat="1" ht="16.149999999999999" customHeight="1">
      <c r="A175" s="1081"/>
      <c r="B175" s="28"/>
      <c r="C175" s="25"/>
      <c r="D175" s="97"/>
      <c r="E175" s="24"/>
      <c r="F175" s="24"/>
      <c r="G175" s="44"/>
      <c r="H175" s="410">
        <v>0</v>
      </c>
      <c r="I175" s="1145"/>
      <c r="J175" s="1145"/>
      <c r="K175" s="1413"/>
      <c r="L175" s="217"/>
      <c r="M175" s="217"/>
      <c r="N175" s="251"/>
      <c r="O175" s="251"/>
      <c r="P175" s="251"/>
      <c r="Q175" s="251"/>
      <c r="R175" s="251"/>
      <c r="S175" s="251"/>
      <c r="T175" s="251"/>
      <c r="U175" s="251"/>
      <c r="V175" s="251"/>
      <c r="W175" s="252"/>
      <c r="X175" s="192"/>
      <c r="Y175" s="140"/>
      <c r="Z175" s="140"/>
      <c r="AA175" s="250"/>
      <c r="AB175" s="140"/>
      <c r="AC175" s="140"/>
      <c r="AD175" s="117"/>
      <c r="AE175" s="117"/>
      <c r="AF175" s="117"/>
      <c r="AG175" s="117"/>
      <c r="AH175" s="117"/>
      <c r="AI175" s="117"/>
    </row>
    <row r="176" spans="1:58" s="21" customFormat="1" ht="18.75" customHeight="1">
      <c r="A176" s="1075" t="s">
        <v>1876</v>
      </c>
      <c r="B176" s="55" t="s">
        <v>238</v>
      </c>
      <c r="C176" s="55" t="s">
        <v>235</v>
      </c>
      <c r="D176" s="55" t="s">
        <v>1712</v>
      </c>
      <c r="E176" s="58">
        <v>4070</v>
      </c>
      <c r="F176" s="58"/>
      <c r="G176" s="44">
        <v>0</v>
      </c>
      <c r="H176" s="410">
        <v>0</v>
      </c>
      <c r="I176" s="1145"/>
      <c r="J176" s="1145"/>
      <c r="K176" s="1412">
        <v>7</v>
      </c>
      <c r="L176" s="65">
        <v>13</v>
      </c>
      <c r="M176" s="65">
        <v>8</v>
      </c>
      <c r="N176" s="65">
        <v>4</v>
      </c>
      <c r="O176" s="65">
        <v>5</v>
      </c>
      <c r="P176" s="65">
        <v>2</v>
      </c>
      <c r="Q176" s="257">
        <v>0</v>
      </c>
      <c r="R176" s="251"/>
      <c r="S176" s="251"/>
      <c r="T176" s="251"/>
      <c r="U176" s="251"/>
      <c r="V176" s="251"/>
      <c r="W176" s="252"/>
      <c r="X176" s="192"/>
      <c r="Y176" s="140"/>
      <c r="Z176" s="140"/>
      <c r="AA176" s="250"/>
      <c r="AB176" s="140"/>
      <c r="AC176" s="140"/>
      <c r="AD176" s="117"/>
      <c r="AE176" s="117"/>
      <c r="AF176" s="117"/>
      <c r="AG176" s="117"/>
      <c r="AH176" s="117"/>
      <c r="AI176" s="117"/>
    </row>
    <row r="177" spans="1:46" s="21" customFormat="1" ht="18" customHeight="1">
      <c r="A177" s="1067" t="s">
        <v>1876</v>
      </c>
      <c r="B177" s="55" t="s">
        <v>1687</v>
      </c>
      <c r="C177" s="55" t="s">
        <v>1886</v>
      </c>
      <c r="D177" s="55" t="s">
        <v>38</v>
      </c>
      <c r="E177" s="58">
        <v>4060</v>
      </c>
      <c r="F177" s="58"/>
      <c r="G177" s="44">
        <v>0</v>
      </c>
      <c r="H177" s="410">
        <v>0</v>
      </c>
      <c r="I177" s="1145"/>
      <c r="J177" s="1145"/>
      <c r="K177" s="1430">
        <v>25</v>
      </c>
      <c r="L177" s="258">
        <v>20</v>
      </c>
      <c r="M177" s="258">
        <v>15</v>
      </c>
      <c r="N177" s="258">
        <v>48</v>
      </c>
      <c r="O177" s="258">
        <v>48</v>
      </c>
      <c r="P177" s="258">
        <v>13</v>
      </c>
      <c r="Q177" s="258">
        <v>25</v>
      </c>
      <c r="R177" s="217"/>
      <c r="S177" s="217"/>
      <c r="T177" s="217"/>
      <c r="U177" s="217"/>
      <c r="V177" s="217"/>
      <c r="W177" s="252"/>
      <c r="X177" s="192"/>
      <c r="Y177" s="140"/>
      <c r="Z177" s="140"/>
      <c r="AA177" s="250"/>
      <c r="AB177" s="140"/>
      <c r="AC177" s="140"/>
      <c r="AD177" s="117"/>
      <c r="AE177" s="117"/>
      <c r="AF177" s="117"/>
      <c r="AG177" s="117"/>
      <c r="AH177" s="117"/>
      <c r="AI177" s="117"/>
    </row>
    <row r="178" spans="1:46" s="21" customFormat="1" ht="16.149999999999999" customHeight="1">
      <c r="A178" s="1067" t="s">
        <v>1876</v>
      </c>
      <c r="B178" s="55" t="s">
        <v>1689</v>
      </c>
      <c r="C178" s="55" t="s">
        <v>1887</v>
      </c>
      <c r="D178" s="55" t="s">
        <v>38</v>
      </c>
      <c r="E178" s="58">
        <v>4050</v>
      </c>
      <c r="F178" s="58"/>
      <c r="G178" s="44">
        <v>0</v>
      </c>
      <c r="H178" s="410">
        <v>0</v>
      </c>
      <c r="I178" s="1145"/>
      <c r="J178" s="1145"/>
      <c r="K178" s="1413">
        <v>39</v>
      </c>
      <c r="L178" s="217">
        <v>25</v>
      </c>
      <c r="M178" s="217">
        <v>75</v>
      </c>
      <c r="N178" s="217">
        <v>20</v>
      </c>
      <c r="O178" s="217">
        <v>50</v>
      </c>
      <c r="P178" s="217">
        <v>20</v>
      </c>
      <c r="Q178" s="217">
        <v>20</v>
      </c>
      <c r="R178" s="217"/>
      <c r="S178" s="217"/>
      <c r="T178" s="217"/>
      <c r="U178" s="217"/>
      <c r="V178" s="259"/>
      <c r="W178" s="192"/>
      <c r="X178" s="192"/>
      <c r="Y178" s="140"/>
      <c r="Z178" s="140"/>
      <c r="AA178" s="250"/>
      <c r="AB178" s="140"/>
      <c r="AC178" s="140"/>
      <c r="AD178" s="117"/>
      <c r="AE178" s="117"/>
      <c r="AF178" s="117"/>
      <c r="AG178" s="117"/>
      <c r="AH178" s="117"/>
      <c r="AI178" s="117"/>
    </row>
    <row r="179" spans="1:46" s="21" customFormat="1" ht="18" customHeight="1">
      <c r="A179" s="1067" t="s">
        <v>1876</v>
      </c>
      <c r="B179" s="55" t="s">
        <v>370</v>
      </c>
      <c r="C179" s="55" t="s">
        <v>1694</v>
      </c>
      <c r="D179" s="55" t="s">
        <v>1747</v>
      </c>
      <c r="E179" s="58">
        <v>3050</v>
      </c>
      <c r="F179" s="58"/>
      <c r="G179" s="44">
        <v>0</v>
      </c>
      <c r="H179" s="410">
        <v>0</v>
      </c>
      <c r="I179" s="1145"/>
      <c r="J179" s="1145"/>
      <c r="K179" s="1413">
        <v>5</v>
      </c>
      <c r="L179" s="217">
        <v>105</v>
      </c>
      <c r="M179" s="217">
        <v>165</v>
      </c>
      <c r="N179" s="217">
        <v>150</v>
      </c>
      <c r="O179" s="217"/>
      <c r="P179" s="217"/>
      <c r="Q179" s="260"/>
      <c r="R179" s="260"/>
      <c r="S179" s="260"/>
      <c r="T179" s="260"/>
      <c r="U179" s="260"/>
      <c r="V179" s="261"/>
      <c r="W179" s="122"/>
      <c r="X179" s="192"/>
      <c r="Y179" s="140"/>
      <c r="Z179" s="140"/>
      <c r="AA179" s="250"/>
      <c r="AB179" s="140"/>
      <c r="AC179" s="140"/>
      <c r="AD179" s="117"/>
      <c r="AE179" s="117"/>
      <c r="AF179" s="117"/>
      <c r="AG179" s="117"/>
      <c r="AH179" s="117"/>
      <c r="AI179" s="117"/>
    </row>
    <row r="180" spans="1:46" s="21" customFormat="1" ht="16.149999999999999" customHeight="1">
      <c r="A180" s="1096" t="s">
        <v>1888</v>
      </c>
      <c r="B180" s="55" t="s">
        <v>43</v>
      </c>
      <c r="C180" s="55" t="s">
        <v>44</v>
      </c>
      <c r="D180" s="55" t="s">
        <v>38</v>
      </c>
      <c r="E180" s="58">
        <v>4050</v>
      </c>
      <c r="F180" s="58"/>
      <c r="G180" s="44">
        <v>0</v>
      </c>
      <c r="H180" s="410">
        <v>0</v>
      </c>
      <c r="I180" s="1145"/>
      <c r="J180" s="1145"/>
      <c r="K180" s="1413">
        <v>5</v>
      </c>
      <c r="L180" s="217">
        <v>5</v>
      </c>
      <c r="M180" s="217">
        <v>5</v>
      </c>
      <c r="N180" s="217">
        <v>5</v>
      </c>
      <c r="O180" s="260"/>
      <c r="P180" s="265"/>
      <c r="Q180" s="265"/>
      <c r="R180" s="265"/>
      <c r="S180" s="265"/>
      <c r="T180" s="265"/>
      <c r="U180" s="265"/>
      <c r="V180" s="266"/>
      <c r="W180" s="262"/>
      <c r="X180" s="262"/>
      <c r="Y180" s="263"/>
      <c r="Z180" s="263"/>
      <c r="AA180" s="264"/>
      <c r="AB180" s="140"/>
      <c r="AC180" s="140"/>
      <c r="AD180" s="117"/>
      <c r="AE180" s="117"/>
      <c r="AF180" s="117"/>
      <c r="AG180" s="117"/>
      <c r="AH180" s="117"/>
      <c r="AI180" s="117"/>
    </row>
    <row r="181" spans="1:46" s="21" customFormat="1" ht="16.5">
      <c r="A181" s="1096" t="s">
        <v>1883</v>
      </c>
      <c r="B181" s="55" t="s">
        <v>1691</v>
      </c>
      <c r="C181" s="55" t="s">
        <v>1692</v>
      </c>
      <c r="D181" s="55" t="s">
        <v>38</v>
      </c>
      <c r="E181" s="58">
        <v>4050</v>
      </c>
      <c r="F181" s="58"/>
      <c r="G181" s="44">
        <v>0</v>
      </c>
      <c r="H181" s="410">
        <v>0</v>
      </c>
      <c r="I181" s="1145"/>
      <c r="J181" s="1145"/>
      <c r="K181" s="1431"/>
      <c r="L181" s="256"/>
      <c r="M181" s="253"/>
      <c r="N181" s="253"/>
      <c r="O181" s="253"/>
      <c r="P181" s="253"/>
      <c r="Q181" s="253"/>
      <c r="R181" s="253"/>
      <c r="S181" s="253"/>
      <c r="T181" s="253"/>
      <c r="U181" s="253"/>
      <c r="V181" s="372"/>
      <c r="W181" s="192"/>
      <c r="X181" s="192"/>
      <c r="Y181" s="140"/>
      <c r="Z181" s="140"/>
      <c r="AA181" s="250"/>
      <c r="AB181" s="140"/>
      <c r="AC181" s="140"/>
      <c r="AD181" s="117"/>
      <c r="AE181" s="117"/>
      <c r="AF181" s="117"/>
      <c r="AG181" s="117"/>
      <c r="AH181" s="117"/>
      <c r="AI181" s="117"/>
    </row>
    <row r="182" spans="1:46" s="21" customFormat="1" ht="16.5">
      <c r="A182" s="1096" t="s">
        <v>1889</v>
      </c>
      <c r="B182" s="55" t="s">
        <v>1697</v>
      </c>
      <c r="C182" s="55" t="s">
        <v>1698</v>
      </c>
      <c r="D182" s="55" t="s">
        <v>38</v>
      </c>
      <c r="E182" s="58" t="s">
        <v>438</v>
      </c>
      <c r="F182" s="58"/>
      <c r="G182" s="44">
        <v>0</v>
      </c>
      <c r="H182" s="410">
        <v>0</v>
      </c>
      <c r="I182" s="1145"/>
      <c r="J182" s="1145"/>
      <c r="K182" s="1431"/>
      <c r="L182" s="256"/>
      <c r="M182" s="256"/>
      <c r="N182" s="256"/>
      <c r="O182" s="256"/>
      <c r="P182" s="256"/>
      <c r="Q182" s="256"/>
      <c r="R182" s="256"/>
      <c r="S182" s="256"/>
      <c r="T182" s="256"/>
      <c r="U182" s="256"/>
      <c r="V182" s="370"/>
      <c r="W182" s="192"/>
      <c r="X182" s="192"/>
      <c r="Y182" s="140"/>
      <c r="Z182" s="140"/>
      <c r="AA182" s="250"/>
      <c r="AB182" s="140"/>
      <c r="AC182" s="140"/>
      <c r="AD182" s="117"/>
      <c r="AE182" s="117"/>
      <c r="AF182" s="117"/>
      <c r="AG182" s="117"/>
      <c r="AH182" s="117"/>
      <c r="AI182" s="117"/>
    </row>
    <row r="183" spans="1:46" s="21" customFormat="1" ht="16.5">
      <c r="A183" s="1075" t="s">
        <v>1317</v>
      </c>
      <c r="B183" s="55" t="s">
        <v>1317</v>
      </c>
      <c r="C183" s="57" t="s">
        <v>872</v>
      </c>
      <c r="D183" s="57" t="s">
        <v>1751</v>
      </c>
      <c r="E183" s="56" t="s">
        <v>438</v>
      </c>
      <c r="F183" s="56"/>
      <c r="G183" s="44">
        <v>0</v>
      </c>
      <c r="H183" s="410">
        <v>0</v>
      </c>
      <c r="I183" s="1145"/>
      <c r="J183" s="1145"/>
      <c r="K183" s="1412">
        <v>250</v>
      </c>
      <c r="L183" s="65">
        <v>100</v>
      </c>
      <c r="M183" s="65">
        <v>30</v>
      </c>
      <c r="N183" s="65">
        <v>500</v>
      </c>
      <c r="O183" s="65">
        <v>82</v>
      </c>
      <c r="P183" s="65">
        <v>47</v>
      </c>
      <c r="Q183" s="65">
        <v>95</v>
      </c>
      <c r="R183" s="65">
        <v>10</v>
      </c>
      <c r="S183" s="65">
        <v>85</v>
      </c>
      <c r="T183" s="65"/>
      <c r="U183" s="65"/>
      <c r="V183" s="371"/>
      <c r="W183" s="192"/>
      <c r="X183" s="192"/>
      <c r="Y183" s="140"/>
      <c r="Z183" s="140"/>
      <c r="AA183" s="250"/>
      <c r="AB183" s="140"/>
      <c r="AC183" s="140"/>
      <c r="AD183" s="117"/>
      <c r="AE183" s="117"/>
      <c r="AF183" s="117"/>
      <c r="AG183" s="117"/>
      <c r="AH183" s="117"/>
      <c r="AI183" s="670"/>
    </row>
    <row r="184" spans="1:46" s="21" customFormat="1" ht="16.5">
      <c r="A184" s="1075" t="s">
        <v>1890</v>
      </c>
      <c r="B184" s="55" t="s">
        <v>1042</v>
      </c>
      <c r="C184" s="57" t="s">
        <v>1040</v>
      </c>
      <c r="D184" s="55" t="s">
        <v>1712</v>
      </c>
      <c r="E184" s="58">
        <v>4060</v>
      </c>
      <c r="F184" s="58"/>
      <c r="G184" s="44">
        <v>0</v>
      </c>
      <c r="H184" s="410">
        <v>0</v>
      </c>
      <c r="I184" s="1145"/>
      <c r="J184" s="1145"/>
      <c r="K184" s="1412">
        <v>115</v>
      </c>
      <c r="L184" s="65">
        <v>0</v>
      </c>
      <c r="M184" s="65">
        <v>200</v>
      </c>
      <c r="N184" s="65">
        <v>152</v>
      </c>
      <c r="O184" s="65">
        <v>15</v>
      </c>
      <c r="P184" s="65">
        <v>26</v>
      </c>
      <c r="Q184" s="65"/>
      <c r="R184" s="65">
        <v>35</v>
      </c>
      <c r="S184" s="65"/>
      <c r="T184" s="65"/>
      <c r="U184" s="65"/>
      <c r="V184" s="371"/>
      <c r="W184" s="192"/>
      <c r="X184" s="192"/>
      <c r="Y184" s="140"/>
      <c r="Z184" s="140"/>
      <c r="AA184" s="250"/>
      <c r="AB184" s="140"/>
      <c r="AC184" s="140"/>
      <c r="AD184" s="117"/>
      <c r="AE184" s="117"/>
      <c r="AF184" s="117"/>
      <c r="AG184" s="117"/>
      <c r="AH184" s="117"/>
      <c r="AI184" s="117"/>
    </row>
    <row r="185" spans="1:46" s="21" customFormat="1" ht="16.5">
      <c r="A185" s="1075" t="s">
        <v>1317</v>
      </c>
      <c r="B185" s="55" t="s">
        <v>534</v>
      </c>
      <c r="C185" s="57" t="s">
        <v>532</v>
      </c>
      <c r="D185" s="55" t="s">
        <v>38</v>
      </c>
      <c r="E185" s="58">
        <v>4050</v>
      </c>
      <c r="F185" s="58"/>
      <c r="G185" s="44">
        <v>0</v>
      </c>
      <c r="H185" s="410">
        <v>10</v>
      </c>
      <c r="I185" s="1145"/>
      <c r="J185" s="1145"/>
      <c r="K185" s="1412">
        <v>110</v>
      </c>
      <c r="L185" s="65">
        <v>0</v>
      </c>
      <c r="M185" s="65">
        <v>220</v>
      </c>
      <c r="N185" s="65">
        <v>164</v>
      </c>
      <c r="O185" s="65">
        <v>38</v>
      </c>
      <c r="P185" s="65">
        <v>40</v>
      </c>
      <c r="Q185" s="65">
        <v>50</v>
      </c>
      <c r="R185" s="65">
        <v>29</v>
      </c>
      <c r="S185" s="65">
        <v>75</v>
      </c>
      <c r="T185" s="65">
        <v>10</v>
      </c>
      <c r="U185" s="65"/>
      <c r="V185" s="371"/>
      <c r="W185" s="192"/>
      <c r="X185" s="192"/>
      <c r="Y185" s="140"/>
      <c r="Z185" s="140"/>
      <c r="AA185" s="250"/>
      <c r="AB185" s="140"/>
      <c r="AC185" s="140"/>
      <c r="AD185" s="117"/>
      <c r="AE185" s="117"/>
      <c r="AF185" s="117"/>
      <c r="AG185" s="117"/>
      <c r="AH185" s="117"/>
      <c r="AI185" s="117"/>
    </row>
    <row r="186" spans="1:46" s="21" customFormat="1" ht="16.5">
      <c r="A186" s="1075" t="s">
        <v>1317</v>
      </c>
      <c r="B186" s="55" t="s">
        <v>1317</v>
      </c>
      <c r="C186" s="57" t="s">
        <v>887</v>
      </c>
      <c r="D186" s="55" t="s">
        <v>1713</v>
      </c>
      <c r="E186" s="58">
        <v>3060</v>
      </c>
      <c r="F186" s="58"/>
      <c r="G186" s="44">
        <v>0</v>
      </c>
      <c r="H186" s="410">
        <v>6</v>
      </c>
      <c r="I186" s="1145"/>
      <c r="J186" s="1145"/>
      <c r="K186" s="1412">
        <v>33</v>
      </c>
      <c r="L186" s="65">
        <v>23</v>
      </c>
      <c r="M186" s="65">
        <v>337</v>
      </c>
      <c r="N186" s="65">
        <v>10</v>
      </c>
      <c r="O186" s="65">
        <v>15</v>
      </c>
      <c r="P186" s="65">
        <v>66</v>
      </c>
      <c r="Q186" s="65">
        <v>57</v>
      </c>
      <c r="R186" s="65">
        <v>17</v>
      </c>
      <c r="S186" s="65">
        <v>30</v>
      </c>
      <c r="T186" s="65">
        <v>6</v>
      </c>
      <c r="U186" s="65"/>
      <c r="V186" s="371"/>
      <c r="W186" s="192"/>
      <c r="X186" s="192"/>
      <c r="Y186" s="140"/>
      <c r="Z186" s="140"/>
      <c r="AA186" s="250"/>
      <c r="AB186" s="140"/>
      <c r="AC186" s="140"/>
      <c r="AD186" s="117"/>
      <c r="AE186" s="117"/>
      <c r="AF186" s="117"/>
      <c r="AG186" s="117"/>
      <c r="AH186" s="117"/>
      <c r="AI186" s="117"/>
    </row>
    <row r="187" spans="1:46" s="21" customFormat="1" ht="16.149999999999999" customHeight="1">
      <c r="A187" s="1075" t="s">
        <v>1844</v>
      </c>
      <c r="B187" s="55" t="s">
        <v>538</v>
      </c>
      <c r="C187" s="57" t="s">
        <v>535</v>
      </c>
      <c r="D187" s="55" t="s">
        <v>38</v>
      </c>
      <c r="E187" s="58" t="s">
        <v>438</v>
      </c>
      <c r="F187" s="58"/>
      <c r="G187" s="44">
        <v>0</v>
      </c>
      <c r="H187" s="410">
        <v>0</v>
      </c>
      <c r="I187" s="1145"/>
      <c r="J187" s="1145"/>
      <c r="K187" s="1412">
        <v>26</v>
      </c>
      <c r="L187" s="65">
        <v>0</v>
      </c>
      <c r="M187" s="65">
        <v>0</v>
      </c>
      <c r="N187" s="65">
        <v>0</v>
      </c>
      <c r="O187" s="65">
        <v>0</v>
      </c>
      <c r="P187" s="65">
        <v>3</v>
      </c>
      <c r="Q187" s="377">
        <v>1</v>
      </c>
      <c r="R187" s="377"/>
      <c r="S187" s="377"/>
      <c r="T187" s="377"/>
      <c r="U187" s="377"/>
      <c r="V187" s="377"/>
      <c r="W187" s="192"/>
      <c r="X187" s="192"/>
      <c r="Y187" s="140"/>
      <c r="Z187" s="140"/>
      <c r="AA187" s="250"/>
      <c r="AB187" s="140"/>
      <c r="AC187" s="140"/>
      <c r="AD187" s="117"/>
      <c r="AE187" s="117"/>
      <c r="AF187" s="117"/>
      <c r="AG187" s="117"/>
      <c r="AH187" s="117"/>
      <c r="AI187" s="117"/>
    </row>
    <row r="188" spans="1:46" s="21" customFormat="1" ht="16.5">
      <c r="A188" s="1075"/>
      <c r="B188" s="55" t="s">
        <v>714</v>
      </c>
      <c r="C188" s="57" t="s">
        <v>712</v>
      </c>
      <c r="D188" s="57" t="s">
        <v>1426</v>
      </c>
      <c r="E188" s="58" t="s">
        <v>438</v>
      </c>
      <c r="F188" s="58"/>
      <c r="G188" s="44">
        <v>0</v>
      </c>
      <c r="H188" s="410">
        <v>105</v>
      </c>
      <c r="I188" s="1145"/>
      <c r="J188" s="1145"/>
      <c r="K188" s="1412">
        <v>110</v>
      </c>
      <c r="L188" s="65">
        <v>148</v>
      </c>
      <c r="M188" s="65">
        <v>240</v>
      </c>
      <c r="N188" s="65">
        <v>88</v>
      </c>
      <c r="O188" s="65">
        <v>28</v>
      </c>
      <c r="P188" s="65">
        <v>45</v>
      </c>
      <c r="Q188" s="289">
        <v>35</v>
      </c>
      <c r="R188" s="65">
        <v>40</v>
      </c>
      <c r="S188" s="65">
        <v>75</v>
      </c>
      <c r="T188" s="65">
        <v>34</v>
      </c>
      <c r="U188" s="65">
        <v>126</v>
      </c>
      <c r="V188" s="371">
        <v>90</v>
      </c>
      <c r="W188" s="192">
        <v>29</v>
      </c>
      <c r="X188" s="192">
        <v>85</v>
      </c>
      <c r="Y188" s="140">
        <v>105</v>
      </c>
      <c r="Z188" s="140"/>
      <c r="AA188" s="250"/>
      <c r="AB188" s="140"/>
      <c r="AC188" s="140"/>
      <c r="AD188" s="117"/>
      <c r="AE188" s="117"/>
      <c r="AF188" s="117"/>
      <c r="AG188" s="117"/>
      <c r="AH188" s="134"/>
      <c r="AI188" s="134"/>
      <c r="AJ188" s="25"/>
      <c r="AK188" s="25"/>
      <c r="AL188" s="25"/>
      <c r="AM188" s="25"/>
      <c r="AN188" s="25"/>
      <c r="AO188" s="25"/>
      <c r="AP188" s="25"/>
      <c r="AQ188" s="25"/>
      <c r="AR188" s="25"/>
      <c r="AS188" s="25"/>
      <c r="AT188" s="314"/>
    </row>
    <row r="189" spans="1:46" s="21" customFormat="1" ht="16.5">
      <c r="A189" s="1075" t="s">
        <v>1857</v>
      </c>
      <c r="B189" s="55" t="s">
        <v>1007</v>
      </c>
      <c r="C189" s="57" t="s">
        <v>1005</v>
      </c>
      <c r="D189" s="55" t="s">
        <v>19</v>
      </c>
      <c r="E189" s="56">
        <v>4070</v>
      </c>
      <c r="F189" s="56"/>
      <c r="G189" s="44">
        <v>0</v>
      </c>
      <c r="H189" s="410">
        <v>0</v>
      </c>
      <c r="I189" s="1145"/>
      <c r="J189" s="1145"/>
      <c r="K189" s="1429">
        <v>0</v>
      </c>
      <c r="L189" s="64">
        <v>0</v>
      </c>
      <c r="M189" s="64">
        <v>4</v>
      </c>
      <c r="N189" s="64">
        <v>20</v>
      </c>
      <c r="O189" s="64">
        <v>21</v>
      </c>
      <c r="P189" s="64">
        <v>22</v>
      </c>
      <c r="Q189" s="64">
        <v>14</v>
      </c>
      <c r="R189" s="64">
        <v>19</v>
      </c>
      <c r="S189" s="64">
        <v>15</v>
      </c>
      <c r="T189" s="64">
        <v>17</v>
      </c>
      <c r="U189" s="64">
        <v>0</v>
      </c>
      <c r="V189" s="377"/>
      <c r="W189" s="192"/>
      <c r="X189" s="192"/>
      <c r="Y189" s="140"/>
      <c r="Z189" s="140"/>
      <c r="AA189" s="250"/>
      <c r="AB189" s="140"/>
      <c r="AC189" s="140"/>
      <c r="AD189" s="117"/>
      <c r="AE189" s="117"/>
      <c r="AF189" s="495"/>
      <c r="AG189" s="117"/>
      <c r="AH189" s="117"/>
      <c r="AI189" s="134"/>
      <c r="AJ189" s="25"/>
      <c r="AK189" s="25"/>
      <c r="AL189" s="25"/>
      <c r="AM189" s="25"/>
      <c r="AN189" s="25"/>
      <c r="AO189" s="25"/>
      <c r="AP189" s="25"/>
      <c r="AQ189" s="25"/>
      <c r="AR189" s="25"/>
      <c r="AS189" s="25"/>
      <c r="AT189" s="314"/>
    </row>
    <row r="190" spans="1:46" s="21" customFormat="1">
      <c r="A190" s="1067" t="s">
        <v>1349</v>
      </c>
      <c r="B190" s="26" t="s">
        <v>31</v>
      </c>
      <c r="C190" s="25" t="s">
        <v>32</v>
      </c>
      <c r="D190" s="26" t="s">
        <v>1670</v>
      </c>
      <c r="E190" s="24">
        <v>4060</v>
      </c>
      <c r="F190" s="24"/>
      <c r="G190" s="44">
        <v>0</v>
      </c>
      <c r="H190" s="410">
        <v>0</v>
      </c>
      <c r="I190" s="1145"/>
      <c r="J190" s="1145"/>
      <c r="K190" s="1432"/>
      <c r="L190" s="98"/>
      <c r="M190" s="98"/>
      <c r="N190" s="98"/>
      <c r="O190" s="98"/>
      <c r="P190" s="74">
        <v>2</v>
      </c>
      <c r="Q190" s="74">
        <v>5</v>
      </c>
      <c r="R190" s="74">
        <v>6</v>
      </c>
      <c r="S190" s="74">
        <v>6</v>
      </c>
      <c r="T190" s="74">
        <v>0</v>
      </c>
      <c r="U190" s="74">
        <v>0</v>
      </c>
      <c r="V190" s="118">
        <v>0</v>
      </c>
      <c r="W190" s="192"/>
      <c r="X190" s="192"/>
      <c r="Y190" s="140"/>
      <c r="Z190" s="140"/>
      <c r="AA190" s="250"/>
      <c r="AB190" s="140"/>
      <c r="AC190" s="140"/>
      <c r="AD190" s="117"/>
      <c r="AE190" s="134"/>
      <c r="AF190" s="676"/>
      <c r="AG190" s="671"/>
      <c r="AH190" s="117"/>
      <c r="AI190" s="134"/>
      <c r="AJ190" s="25"/>
      <c r="AK190" s="25"/>
      <c r="AL190" s="25"/>
      <c r="AM190" s="25"/>
      <c r="AN190" s="25"/>
      <c r="AO190" s="25"/>
      <c r="AP190" s="25"/>
      <c r="AQ190" s="25"/>
      <c r="AR190" s="25"/>
      <c r="AS190" s="25"/>
      <c r="AT190" s="314"/>
    </row>
    <row r="191" spans="1:46" s="70" customFormat="1">
      <c r="A191" s="1070" t="s">
        <v>1859</v>
      </c>
      <c r="B191" s="26" t="s">
        <v>1680</v>
      </c>
      <c r="C191" s="25" t="s">
        <v>1681</v>
      </c>
      <c r="D191" s="68" t="s">
        <v>1375</v>
      </c>
      <c r="E191" s="68">
        <v>4060</v>
      </c>
      <c r="F191" s="112"/>
      <c r="G191" s="44">
        <v>0</v>
      </c>
      <c r="H191" s="410">
        <v>5</v>
      </c>
      <c r="I191" s="1145"/>
      <c r="J191" s="1145"/>
      <c r="K191" s="1422"/>
      <c r="L191" s="253"/>
      <c r="M191" s="253"/>
      <c r="N191" s="253"/>
      <c r="O191" s="253"/>
      <c r="P191" s="253"/>
      <c r="Q191" s="254"/>
      <c r="R191" s="254">
        <v>28</v>
      </c>
      <c r="S191" s="254">
        <v>33</v>
      </c>
      <c r="T191" s="254">
        <v>5</v>
      </c>
      <c r="U191" s="254">
        <v>33</v>
      </c>
      <c r="V191" s="254">
        <v>13</v>
      </c>
      <c r="W191" s="441">
        <v>5</v>
      </c>
      <c r="X191" s="184">
        <v>5</v>
      </c>
      <c r="Y191" s="182">
        <v>55</v>
      </c>
      <c r="Z191" s="182">
        <v>5</v>
      </c>
      <c r="AA191" s="255"/>
      <c r="AB191" s="182"/>
      <c r="AC191" s="182"/>
      <c r="AD191" s="119"/>
      <c r="AE191" s="134"/>
      <c r="AF191" s="676"/>
      <c r="AG191" s="671"/>
      <c r="AH191" s="117"/>
      <c r="AI191" s="134"/>
      <c r="AJ191" s="62"/>
      <c r="AK191" s="62"/>
      <c r="AL191" s="62"/>
      <c r="AM191" s="72"/>
      <c r="AN191" s="72"/>
      <c r="AO191" s="72"/>
      <c r="AP191" s="72"/>
      <c r="AQ191" s="72"/>
      <c r="AR191" s="72"/>
      <c r="AS191" s="72"/>
      <c r="AT191" s="315"/>
    </row>
    <row r="192" spans="1:46" s="21" customFormat="1">
      <c r="A192" s="1075" t="s">
        <v>1317</v>
      </c>
      <c r="B192" s="55" t="s">
        <v>1317</v>
      </c>
      <c r="C192" s="57" t="s">
        <v>1317</v>
      </c>
      <c r="D192" s="57" t="s">
        <v>1317</v>
      </c>
      <c r="E192" s="56" t="s">
        <v>1317</v>
      </c>
      <c r="F192" s="56"/>
      <c r="G192" s="44">
        <v>0</v>
      </c>
      <c r="H192" s="410">
        <v>0</v>
      </c>
      <c r="I192" s="1145"/>
      <c r="J192" s="1145"/>
      <c r="K192" s="1412"/>
      <c r="L192" s="65"/>
      <c r="M192" s="65"/>
      <c r="N192" s="65"/>
      <c r="O192" s="65"/>
      <c r="P192" s="65"/>
      <c r="Q192" s="65"/>
      <c r="R192" s="65"/>
      <c r="S192" s="65"/>
      <c r="T192" s="65"/>
      <c r="U192" s="65"/>
      <c r="V192" s="371"/>
      <c r="W192" s="192"/>
      <c r="X192" s="192"/>
      <c r="Y192" s="140"/>
      <c r="Z192" s="140"/>
      <c r="AA192" s="250"/>
      <c r="AB192" s="140"/>
      <c r="AC192" s="140"/>
      <c r="AD192" s="117"/>
      <c r="AE192" s="134"/>
      <c r="AF192" s="676"/>
      <c r="AG192" s="671"/>
      <c r="AH192" s="117"/>
      <c r="AI192" s="134"/>
      <c r="AJ192" s="25"/>
      <c r="AK192" s="25"/>
      <c r="AL192" s="25"/>
      <c r="AM192" s="25"/>
      <c r="AN192" s="25"/>
      <c r="AO192" s="25"/>
      <c r="AP192" s="25"/>
      <c r="AQ192" s="25"/>
      <c r="AR192" s="25"/>
      <c r="AS192" s="25"/>
      <c r="AT192" s="314"/>
    </row>
  </sheetData>
  <autoFilter ref="D1:W24" xr:uid="{8C72E8BB-8EC1-484B-B88E-8370375B079D}"/>
  <sortState xmlns:xlrd2="http://schemas.microsoft.com/office/spreadsheetml/2017/richdata2" ref="AC52:AK53">
    <sortCondition descending="1" ref="AC53"/>
  </sortState>
  <phoneticPr fontId="4"/>
  <conditionalFormatting sqref="C1:C42 C45:C122">
    <cfRule type="duplicateValues" dxfId="52" priority="403"/>
  </conditionalFormatting>
  <conditionalFormatting sqref="C124:C144">
    <cfRule type="duplicateValues" dxfId="51" priority="35"/>
  </conditionalFormatting>
  <conditionalFormatting sqref="C145:C191 C123">
    <cfRule type="duplicateValues" dxfId="50" priority="236"/>
  </conditionalFormatting>
  <conditionalFormatting sqref="H1:H49">
    <cfRule type="expression" dxfId="49" priority="7">
      <formula>OFFSET(INDIRECT(ADDRESS(ROW(),COLUMN())), 0, -1)&lt;INDIRECT(ADDRESS(ROW(),COLUMN()))</formula>
    </cfRule>
    <cfRule type="expression" priority="8">
      <formula>"$H:$H-$G:$G&lt;0"</formula>
    </cfRule>
  </conditionalFormatting>
  <conditionalFormatting sqref="H52:H108">
    <cfRule type="expression" dxfId="48" priority="4">
      <formula>OFFSET(INDIRECT(ADDRESS(ROW(),COLUMN())), 0, -1)&lt;INDIRECT(ADDRESS(ROW(),COLUMN()))</formula>
    </cfRule>
    <cfRule type="expression" priority="5">
      <formula>"$H:$H-$G:$G&lt;0"</formula>
    </cfRule>
  </conditionalFormatting>
  <conditionalFormatting sqref="H110 H121:H191">
    <cfRule type="expression" priority="23">
      <formula>"$H:$H-$G:$G&lt;0"</formula>
    </cfRule>
  </conditionalFormatting>
  <conditionalFormatting sqref="H110:H191">
    <cfRule type="expression" dxfId="47" priority="2">
      <formula>OFFSET(INDIRECT(ADDRESS(ROW(),COLUMN())), 0, -1)&lt;INDIRECT(ADDRESS(ROW(),COLUMN()))</formula>
    </cfRule>
  </conditionalFormatting>
  <conditionalFormatting sqref="I1:J1 I3:J28 I30:J51 I53:J1048576">
    <cfRule type="expression" dxfId="46" priority="17">
      <formula>I1&gt;$G1</formula>
    </cfRule>
  </conditionalFormatting>
  <conditionalFormatting sqref="I2:J2">
    <cfRule type="expression" dxfId="45" priority="9">
      <formula>I2&gt;$G2</formula>
    </cfRule>
  </conditionalFormatting>
  <conditionalFormatting sqref="I29:J29">
    <cfRule type="expression" dxfId="44" priority="6">
      <formula>I29&gt;$G29</formula>
    </cfRule>
  </conditionalFormatting>
  <conditionalFormatting sqref="I49:J50 I109:J109">
    <cfRule type="expression" dxfId="43" priority="18">
      <formula>OFFSET(INDIRECT(ADDRESS(ROW(),COLUMN())), 0, -1)&lt;INDIRECT(ADDRESS(ROW(),COLUMN()))</formula>
    </cfRule>
    <cfRule type="expression" priority="19">
      <formula>"$H:$H-$G:$G&lt;0"</formula>
    </cfRule>
  </conditionalFormatting>
  <conditionalFormatting sqref="I52:J52">
    <cfRule type="expression" dxfId="42" priority="3">
      <formula>I52&gt;$G52</formula>
    </cfRule>
  </conditionalFormatting>
  <conditionalFormatting sqref="K2">
    <cfRule type="containsText" dxfId="41" priority="1" operator="containsText" text="不足">
      <formula>NOT(ISERROR(SEARCH("不足",K2)))</formula>
    </cfRule>
  </conditionalFormatting>
  <conditionalFormatting sqref="K124 K138">
    <cfRule type="timePeriod" dxfId="40" priority="34" timePeriod="thisMonth">
      <formula>AND(MONTH(K124)=MONTH(TODAY()),YEAR(K124)=YEAR(TODAY()))</formula>
    </cfRule>
  </conditionalFormatting>
  <conditionalFormatting sqref="K1:BF1">
    <cfRule type="timePeriod" dxfId="39" priority="16" timePeriod="thisMonth">
      <formula>AND(MONTH(K1)=MONTH(TODAY()),YEAR(K1)=YEAR(TODAY()))</formula>
    </cfRule>
  </conditionalFormatting>
  <conditionalFormatting sqref="L77:R77">
    <cfRule type="expression" dxfId="38" priority="98">
      <formula>OFFSET(INDIRECT(ADDRESS(ROW(),COLUMN())), 0, -1)&lt;INDIRECT(ADDRESS(ROW(),COLUMN()))</formula>
    </cfRule>
    <cfRule type="expression" priority="99">
      <formula>"$H:$H-$G:$G&lt;0"</formula>
    </cfRule>
  </conditionalFormatting>
  <conditionalFormatting sqref="L57:BF57">
    <cfRule type="timePeriod" dxfId="37" priority="13" timePeriod="thisMonth">
      <formula>AND(MONTH(L57)=MONTH(TODAY()),YEAR(L57)=YEAR(TODAY()))</formula>
    </cfRule>
  </conditionalFormatting>
  <conditionalFormatting sqref="R121:AH121">
    <cfRule type="expression" dxfId="36" priority="92">
      <formula>R$121&lt;R$122</formula>
    </cfRule>
  </conditionalFormatting>
  <conditionalFormatting sqref="R108:BF108">
    <cfRule type="expression" dxfId="35" priority="15">
      <formula>R$108&lt;R$109</formula>
    </cfRule>
  </conditionalFormatting>
  <conditionalFormatting sqref="AE51:AP51">
    <cfRule type="timePeriod" dxfId="34" priority="14" timePeriod="thisMonth">
      <formula>AND(MONTH(AE51)=MONTH(TODAY()),YEAR(AE51)=YEAR(TODAY()))</formula>
    </cfRule>
  </conditionalFormatting>
  <conditionalFormatting sqref="AF27">
    <cfRule type="expression" dxfId="33" priority="43">
      <formula>AF$108&lt;AF$109</formula>
    </cfRule>
  </conditionalFormatting>
  <conditionalFormatting sqref="AF47">
    <cfRule type="expression" dxfId="32" priority="45">
      <formula>AF$108&lt;AF$109</formula>
    </cfRule>
  </conditionalFormatting>
  <conditionalFormatting sqref="AF49">
    <cfRule type="expression" dxfId="31" priority="44">
      <formula>AF$108&lt;AF$109</formula>
    </cfRule>
  </conditionalFormatting>
  <conditionalFormatting sqref="AK2:BF107">
    <cfRule type="expression" dxfId="30" priority="12">
      <formula>AND($K2&lt;&gt;"",AK$1=$K2)</formula>
    </cfRule>
  </conditionalFormatting>
  <pageMargins left="0.7" right="0.7" top="0.75" bottom="0.75" header="0.3" footer="0.3"/>
  <pageSetup paperSize="9" orientation="portrait" verticalDpi="0"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3E8C4-075A-4A30-AF9B-77135D6E9670}">
  <dimension ref="B1:F4"/>
  <sheetViews>
    <sheetView workbookViewId="0">
      <selection activeCell="E2" sqref="E2"/>
    </sheetView>
  </sheetViews>
  <sheetFormatPr defaultRowHeight="18.75"/>
  <cols>
    <col min="1" max="1" width="6.375" customWidth="1"/>
    <col min="3" max="3" width="127.875" bestFit="1" customWidth="1"/>
    <col min="5" max="6" width="11" bestFit="1" customWidth="1"/>
  </cols>
  <sheetData>
    <row r="1" spans="2:6">
      <c r="B1" t="s">
        <v>1758</v>
      </c>
      <c r="C1" t="s">
        <v>1757</v>
      </c>
      <c r="D1" t="s">
        <v>4421</v>
      </c>
      <c r="E1" t="s">
        <v>4425</v>
      </c>
      <c r="F1" t="s">
        <v>4426</v>
      </c>
    </row>
    <row r="2" spans="2:6">
      <c r="C2" t="s">
        <v>4422</v>
      </c>
      <c r="D2">
        <v>4000</v>
      </c>
    </row>
    <row r="3" spans="2:6">
      <c r="C3" t="s">
        <v>4423</v>
      </c>
      <c r="D3">
        <v>3000</v>
      </c>
    </row>
    <row r="4" spans="2:6">
      <c r="C4" t="s">
        <v>4424</v>
      </c>
      <c r="D4">
        <v>3000</v>
      </c>
    </row>
  </sheetData>
  <phoneticPr fontId="4"/>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DC9C4-DA7F-438F-9F4F-966884629A9E}">
  <sheetPr codeName="Sheet4"/>
  <dimension ref="A1:AD104"/>
  <sheetViews>
    <sheetView workbookViewId="0">
      <selection activeCell="AD5" sqref="AD5"/>
    </sheetView>
  </sheetViews>
  <sheetFormatPr defaultRowHeight="18.75" outlineLevelCol="1"/>
  <cols>
    <col min="1" max="1" width="7.625" bestFit="1" customWidth="1"/>
    <col min="2" max="2" width="11.375" bestFit="1" customWidth="1"/>
    <col min="3" max="3" width="7.625" bestFit="1" customWidth="1"/>
    <col min="4" max="4" width="11.375" bestFit="1" customWidth="1"/>
    <col min="5" max="12" width="0" hidden="1" customWidth="1" outlineLevel="1"/>
    <col min="13" max="13" width="15" bestFit="1" customWidth="1" collapsed="1"/>
    <col min="14" max="14" width="11.375" bestFit="1" customWidth="1"/>
    <col min="15" max="15" width="9.75" bestFit="1" customWidth="1"/>
    <col min="16" max="16" width="9.625" bestFit="1" customWidth="1"/>
    <col min="17" max="17" width="15" bestFit="1" customWidth="1"/>
    <col min="18" max="18" width="8.625" bestFit="1" customWidth="1"/>
    <col min="19" max="19" width="11.375" bestFit="1" customWidth="1"/>
    <col min="20" max="20" width="15" bestFit="1" customWidth="1"/>
    <col min="21" max="21" width="7.625" bestFit="1" customWidth="1"/>
    <col min="22" max="22" width="11.375" bestFit="1" customWidth="1"/>
    <col min="23" max="23" width="9.75" bestFit="1" customWidth="1"/>
    <col min="24" max="24" width="11.375" bestFit="1" customWidth="1"/>
    <col min="25" max="25" width="9.75" bestFit="1" customWidth="1"/>
    <col min="26" max="26" width="11.375" bestFit="1" customWidth="1"/>
    <col min="27" max="27" width="13.625" bestFit="1" customWidth="1"/>
    <col min="28" max="28" width="15" bestFit="1" customWidth="1"/>
    <col min="29" max="29" width="9.75" bestFit="1" customWidth="1"/>
    <col min="30" max="30" width="15" bestFit="1" customWidth="1"/>
    <col min="31" max="31" width="61.625" bestFit="1" customWidth="1"/>
    <col min="32" max="32" width="28.625" customWidth="1"/>
  </cols>
  <sheetData>
    <row r="1" spans="1:30">
      <c r="Z1">
        <f>SUM(AC5:AC207)</f>
        <v>0</v>
      </c>
    </row>
    <row r="3" spans="1:30">
      <c r="B3">
        <f>SUM(SAP[在庫数量])</f>
        <v>17652</v>
      </c>
    </row>
    <row r="4" spans="1:30">
      <c r="A4" t="s">
        <v>1891</v>
      </c>
      <c r="B4" t="s">
        <v>1892</v>
      </c>
      <c r="C4" t="s">
        <v>1893</v>
      </c>
      <c r="D4" t="s">
        <v>1894</v>
      </c>
      <c r="E4" t="s">
        <v>1895</v>
      </c>
      <c r="F4" t="s">
        <v>1896</v>
      </c>
      <c r="G4" t="s">
        <v>1897</v>
      </c>
      <c r="H4" t="s">
        <v>1898</v>
      </c>
      <c r="I4" t="s">
        <v>1899</v>
      </c>
      <c r="J4" t="s">
        <v>1900</v>
      </c>
      <c r="K4" t="s">
        <v>1901</v>
      </c>
      <c r="L4" t="s">
        <v>1902</v>
      </c>
      <c r="M4" t="s">
        <v>1903</v>
      </c>
      <c r="N4" t="s">
        <v>1904</v>
      </c>
      <c r="O4" t="s">
        <v>1905</v>
      </c>
      <c r="P4" t="s">
        <v>1906</v>
      </c>
      <c r="Q4" t="s">
        <v>1907</v>
      </c>
      <c r="R4" t="s">
        <v>1908</v>
      </c>
      <c r="S4" t="s">
        <v>1909</v>
      </c>
      <c r="T4" t="s">
        <v>1910</v>
      </c>
      <c r="U4" t="s">
        <v>1911</v>
      </c>
      <c r="V4" t="s">
        <v>1912</v>
      </c>
      <c r="W4" t="s">
        <v>1913</v>
      </c>
      <c r="X4" t="s">
        <v>1914</v>
      </c>
      <c r="Y4" t="s">
        <v>1915</v>
      </c>
      <c r="Z4" t="s">
        <v>1916</v>
      </c>
      <c r="AA4" t="s">
        <v>1917</v>
      </c>
      <c r="AB4" t="s">
        <v>1918</v>
      </c>
      <c r="AC4" t="s">
        <v>1919</v>
      </c>
      <c r="AD4" t="s">
        <v>1920</v>
      </c>
    </row>
    <row r="5" spans="1:30">
      <c r="A5">
        <v>199022</v>
      </c>
      <c r="B5">
        <v>45</v>
      </c>
      <c r="C5" t="s">
        <v>1921</v>
      </c>
      <c r="D5" t="s">
        <v>1922</v>
      </c>
      <c r="E5" t="s">
        <v>21</v>
      </c>
      <c r="F5" t="s">
        <v>21</v>
      </c>
      <c r="G5">
        <v>0</v>
      </c>
      <c r="H5">
        <v>1000</v>
      </c>
      <c r="I5">
        <v>99</v>
      </c>
      <c r="J5" t="s">
        <v>1923</v>
      </c>
      <c r="K5">
        <v>199022</v>
      </c>
      <c r="L5" t="s">
        <v>1924</v>
      </c>
      <c r="M5" t="s">
        <v>461</v>
      </c>
      <c r="N5">
        <v>0</v>
      </c>
      <c r="O5" t="s">
        <v>1921</v>
      </c>
      <c r="P5" t="s">
        <v>21</v>
      </c>
      <c r="Q5" t="s">
        <v>21</v>
      </c>
      <c r="R5">
        <v>3000</v>
      </c>
      <c r="S5" t="s">
        <v>113</v>
      </c>
      <c r="T5">
        <v>99867</v>
      </c>
      <c r="U5" t="s">
        <v>1925</v>
      </c>
      <c r="V5">
        <v>0</v>
      </c>
      <c r="W5" t="s">
        <v>1925</v>
      </c>
      <c r="X5">
        <v>0</v>
      </c>
      <c r="Y5" t="s">
        <v>1925</v>
      </c>
      <c r="Z5">
        <v>27</v>
      </c>
      <c r="AA5" t="s">
        <v>1926</v>
      </c>
      <c r="AB5">
        <v>4494015</v>
      </c>
      <c r="AC5" t="s">
        <v>1925</v>
      </c>
      <c r="AD5" t="s">
        <v>1927</v>
      </c>
    </row>
    <row r="6" spans="1:30">
      <c r="A6">
        <v>199022</v>
      </c>
      <c r="B6">
        <v>510</v>
      </c>
      <c r="C6" t="s">
        <v>1921</v>
      </c>
      <c r="D6" t="s">
        <v>1928</v>
      </c>
      <c r="E6" t="s">
        <v>21</v>
      </c>
      <c r="F6" t="s">
        <v>21</v>
      </c>
      <c r="G6">
        <v>0</v>
      </c>
      <c r="H6">
        <v>1000</v>
      </c>
      <c r="I6">
        <v>99</v>
      </c>
      <c r="J6" t="s">
        <v>1923</v>
      </c>
      <c r="K6">
        <v>199022</v>
      </c>
      <c r="L6" t="s">
        <v>1924</v>
      </c>
      <c r="M6" t="s">
        <v>461</v>
      </c>
      <c r="N6">
        <v>0</v>
      </c>
      <c r="O6" t="s">
        <v>1921</v>
      </c>
      <c r="P6" t="s">
        <v>21</v>
      </c>
      <c r="Q6" t="s">
        <v>21</v>
      </c>
      <c r="R6">
        <v>3000</v>
      </c>
      <c r="S6" t="s">
        <v>113</v>
      </c>
      <c r="T6">
        <v>99867</v>
      </c>
      <c r="U6" t="s">
        <v>1925</v>
      </c>
      <c r="V6">
        <v>0</v>
      </c>
      <c r="W6" t="s">
        <v>1925</v>
      </c>
      <c r="X6">
        <v>0</v>
      </c>
      <c r="Y6" t="s">
        <v>1925</v>
      </c>
      <c r="Z6">
        <v>27</v>
      </c>
      <c r="AA6" t="s">
        <v>1926</v>
      </c>
      <c r="AB6">
        <v>50932170</v>
      </c>
      <c r="AC6" t="s">
        <v>1925</v>
      </c>
      <c r="AD6" t="s">
        <v>1927</v>
      </c>
    </row>
    <row r="7" spans="1:30">
      <c r="A7">
        <v>199023</v>
      </c>
      <c r="B7">
        <v>11</v>
      </c>
      <c r="C7" t="s">
        <v>1921</v>
      </c>
      <c r="D7" t="s">
        <v>1922</v>
      </c>
      <c r="E7" t="s">
        <v>21</v>
      </c>
      <c r="F7" t="s">
        <v>21</v>
      </c>
      <c r="G7">
        <v>0</v>
      </c>
      <c r="H7">
        <v>1000</v>
      </c>
      <c r="I7">
        <v>99</v>
      </c>
      <c r="J7" t="s">
        <v>1923</v>
      </c>
      <c r="K7">
        <v>199023</v>
      </c>
      <c r="L7" t="s">
        <v>1924</v>
      </c>
      <c r="M7" t="s">
        <v>466</v>
      </c>
      <c r="N7">
        <v>0</v>
      </c>
      <c r="O7" t="s">
        <v>1921</v>
      </c>
      <c r="P7" t="s">
        <v>21</v>
      </c>
      <c r="Q7" t="s">
        <v>21</v>
      </c>
      <c r="R7">
        <v>3000</v>
      </c>
      <c r="S7" t="s">
        <v>113</v>
      </c>
      <c r="T7">
        <v>81683</v>
      </c>
      <c r="U7" t="s">
        <v>1925</v>
      </c>
      <c r="V7">
        <v>0</v>
      </c>
      <c r="W7" t="s">
        <v>1925</v>
      </c>
      <c r="X7">
        <v>0</v>
      </c>
      <c r="Y7" t="s">
        <v>1925</v>
      </c>
      <c r="Z7">
        <v>27</v>
      </c>
      <c r="AA7" t="s">
        <v>1926</v>
      </c>
      <c r="AB7">
        <v>898513</v>
      </c>
      <c r="AC7" t="s">
        <v>1925</v>
      </c>
      <c r="AD7" t="s">
        <v>464</v>
      </c>
    </row>
    <row r="8" spans="1:30">
      <c r="A8">
        <v>199024</v>
      </c>
      <c r="B8">
        <v>69</v>
      </c>
      <c r="C8" t="s">
        <v>1921</v>
      </c>
      <c r="D8" t="s">
        <v>1922</v>
      </c>
      <c r="E8" t="s">
        <v>21</v>
      </c>
      <c r="F8" t="s">
        <v>21</v>
      </c>
      <c r="G8">
        <v>0</v>
      </c>
      <c r="H8">
        <v>1000</v>
      </c>
      <c r="I8">
        <v>99</v>
      </c>
      <c r="J8" t="s">
        <v>1923</v>
      </c>
      <c r="K8">
        <v>199024</v>
      </c>
      <c r="L8" t="s">
        <v>1924</v>
      </c>
      <c r="M8" t="s">
        <v>341</v>
      </c>
      <c r="N8">
        <v>0</v>
      </c>
      <c r="O8" t="s">
        <v>1921</v>
      </c>
      <c r="P8" t="s">
        <v>21</v>
      </c>
      <c r="Q8" t="s">
        <v>21</v>
      </c>
      <c r="R8">
        <v>3000</v>
      </c>
      <c r="S8" t="s">
        <v>113</v>
      </c>
      <c r="T8">
        <v>81841</v>
      </c>
      <c r="U8" t="s">
        <v>1925</v>
      </c>
      <c r="V8">
        <v>0</v>
      </c>
      <c r="W8" t="s">
        <v>1925</v>
      </c>
      <c r="X8">
        <v>0</v>
      </c>
      <c r="Y8" t="s">
        <v>1925</v>
      </c>
      <c r="Z8">
        <v>27</v>
      </c>
      <c r="AA8" t="s">
        <v>1926</v>
      </c>
      <c r="AB8">
        <v>5647029</v>
      </c>
      <c r="AC8" t="s">
        <v>1925</v>
      </c>
      <c r="AD8" t="s">
        <v>337</v>
      </c>
    </row>
    <row r="9" spans="1:30">
      <c r="A9">
        <v>199024</v>
      </c>
      <c r="B9">
        <v>1970</v>
      </c>
      <c r="C9" t="s">
        <v>1921</v>
      </c>
      <c r="D9" t="s">
        <v>1928</v>
      </c>
      <c r="E9" t="s">
        <v>21</v>
      </c>
      <c r="F9" t="s">
        <v>21</v>
      </c>
      <c r="G9">
        <v>0</v>
      </c>
      <c r="H9">
        <v>1000</v>
      </c>
      <c r="I9">
        <v>99</v>
      </c>
      <c r="J9" t="s">
        <v>1923</v>
      </c>
      <c r="K9">
        <v>199024</v>
      </c>
      <c r="L9" t="s">
        <v>1924</v>
      </c>
      <c r="M9" t="s">
        <v>341</v>
      </c>
      <c r="N9">
        <v>0</v>
      </c>
      <c r="O9" t="s">
        <v>1921</v>
      </c>
      <c r="P9" t="s">
        <v>21</v>
      </c>
      <c r="Q9" t="s">
        <v>21</v>
      </c>
      <c r="R9">
        <v>3000</v>
      </c>
      <c r="S9" t="s">
        <v>113</v>
      </c>
      <c r="T9">
        <v>81841</v>
      </c>
      <c r="U9" t="s">
        <v>1925</v>
      </c>
      <c r="V9">
        <v>0</v>
      </c>
      <c r="W9" t="s">
        <v>1925</v>
      </c>
      <c r="X9">
        <v>0</v>
      </c>
      <c r="Y9" t="s">
        <v>1925</v>
      </c>
      <c r="Z9">
        <v>27</v>
      </c>
      <c r="AA9" t="s">
        <v>1926</v>
      </c>
      <c r="AB9">
        <v>161226770</v>
      </c>
      <c r="AC9" t="s">
        <v>1925</v>
      </c>
      <c r="AD9" t="s">
        <v>337</v>
      </c>
    </row>
    <row r="10" spans="1:30">
      <c r="A10">
        <v>199872</v>
      </c>
      <c r="B10">
        <v>9</v>
      </c>
      <c r="C10" t="s">
        <v>1921</v>
      </c>
      <c r="D10" t="s">
        <v>1922</v>
      </c>
      <c r="E10" t="s">
        <v>21</v>
      </c>
      <c r="F10" t="s">
        <v>21</v>
      </c>
      <c r="G10">
        <v>0</v>
      </c>
      <c r="H10">
        <v>1000</v>
      </c>
      <c r="I10">
        <v>99</v>
      </c>
      <c r="J10" t="s">
        <v>1923</v>
      </c>
      <c r="K10">
        <v>199872</v>
      </c>
      <c r="L10" t="s">
        <v>1924</v>
      </c>
      <c r="M10" t="s">
        <v>674</v>
      </c>
      <c r="N10">
        <v>0</v>
      </c>
      <c r="O10" t="s">
        <v>1921</v>
      </c>
      <c r="P10" t="s">
        <v>21</v>
      </c>
      <c r="Q10" t="s">
        <v>21</v>
      </c>
      <c r="R10">
        <v>3000</v>
      </c>
      <c r="S10" t="s">
        <v>113</v>
      </c>
      <c r="T10">
        <v>48819</v>
      </c>
      <c r="U10" t="s">
        <v>1925</v>
      </c>
      <c r="V10">
        <v>0</v>
      </c>
      <c r="W10" t="s">
        <v>1925</v>
      </c>
      <c r="X10">
        <v>0</v>
      </c>
      <c r="Y10" t="s">
        <v>1925</v>
      </c>
      <c r="Z10">
        <v>27</v>
      </c>
      <c r="AA10" t="s">
        <v>1926</v>
      </c>
      <c r="AB10">
        <v>439371</v>
      </c>
      <c r="AC10" t="s">
        <v>1925</v>
      </c>
      <c r="AD10" t="s">
        <v>669</v>
      </c>
    </row>
    <row r="11" spans="1:30">
      <c r="A11">
        <v>201900</v>
      </c>
      <c r="B11">
        <v>84</v>
      </c>
      <c r="C11" t="s">
        <v>1921</v>
      </c>
      <c r="D11" t="s">
        <v>1922</v>
      </c>
      <c r="E11" t="s">
        <v>21</v>
      </c>
      <c r="F11" t="s">
        <v>21</v>
      </c>
      <c r="G11">
        <v>0</v>
      </c>
      <c r="H11">
        <v>1000</v>
      </c>
      <c r="I11">
        <v>99</v>
      </c>
      <c r="J11" t="s">
        <v>1923</v>
      </c>
      <c r="K11">
        <v>201900</v>
      </c>
      <c r="L11" t="s">
        <v>1924</v>
      </c>
      <c r="M11" t="s">
        <v>333</v>
      </c>
      <c r="N11">
        <v>0</v>
      </c>
      <c r="O11" t="s">
        <v>1921</v>
      </c>
      <c r="P11" t="s">
        <v>21</v>
      </c>
      <c r="Q11" t="s">
        <v>21</v>
      </c>
      <c r="R11">
        <v>3000</v>
      </c>
      <c r="S11" t="s">
        <v>113</v>
      </c>
      <c r="T11">
        <v>94396</v>
      </c>
      <c r="U11" t="s">
        <v>1925</v>
      </c>
      <c r="V11">
        <v>0</v>
      </c>
      <c r="W11" t="s">
        <v>1925</v>
      </c>
      <c r="X11">
        <v>0</v>
      </c>
      <c r="Y11" t="s">
        <v>1925</v>
      </c>
      <c r="Z11">
        <v>27</v>
      </c>
      <c r="AA11" t="s">
        <v>1926</v>
      </c>
      <c r="AB11">
        <v>7929264</v>
      </c>
      <c r="AC11" t="s">
        <v>1925</v>
      </c>
      <c r="AD11" t="s">
        <v>325</v>
      </c>
    </row>
    <row r="12" spans="1:30">
      <c r="A12">
        <v>201900</v>
      </c>
      <c r="B12">
        <v>1330</v>
      </c>
      <c r="C12" t="s">
        <v>1921</v>
      </c>
      <c r="D12" t="s">
        <v>1928</v>
      </c>
      <c r="E12" t="s">
        <v>21</v>
      </c>
      <c r="F12" t="s">
        <v>21</v>
      </c>
      <c r="G12">
        <v>0</v>
      </c>
      <c r="H12">
        <v>1000</v>
      </c>
      <c r="I12">
        <v>99</v>
      </c>
      <c r="J12" t="s">
        <v>1923</v>
      </c>
      <c r="K12">
        <v>201900</v>
      </c>
      <c r="L12" t="s">
        <v>1924</v>
      </c>
      <c r="M12" t="s">
        <v>333</v>
      </c>
      <c r="N12">
        <v>0</v>
      </c>
      <c r="O12" t="s">
        <v>1921</v>
      </c>
      <c r="P12" t="s">
        <v>21</v>
      </c>
      <c r="Q12" t="s">
        <v>21</v>
      </c>
      <c r="R12">
        <v>3000</v>
      </c>
      <c r="S12" t="s">
        <v>113</v>
      </c>
      <c r="T12">
        <v>94396</v>
      </c>
      <c r="U12" t="s">
        <v>1925</v>
      </c>
      <c r="V12">
        <v>0</v>
      </c>
      <c r="W12" t="s">
        <v>1925</v>
      </c>
      <c r="X12">
        <v>0</v>
      </c>
      <c r="Y12" t="s">
        <v>1925</v>
      </c>
      <c r="Z12">
        <v>27</v>
      </c>
      <c r="AA12" t="s">
        <v>1926</v>
      </c>
      <c r="AB12">
        <v>125546680</v>
      </c>
      <c r="AC12" t="s">
        <v>1925</v>
      </c>
      <c r="AD12" t="s">
        <v>325</v>
      </c>
    </row>
    <row r="13" spans="1:30">
      <c r="A13">
        <v>203726</v>
      </c>
      <c r="B13">
        <v>16</v>
      </c>
      <c r="C13" t="s">
        <v>1921</v>
      </c>
      <c r="D13" t="s">
        <v>1922</v>
      </c>
      <c r="E13" t="s">
        <v>21</v>
      </c>
      <c r="F13" t="s">
        <v>21</v>
      </c>
      <c r="G13">
        <v>0</v>
      </c>
      <c r="H13">
        <v>1000</v>
      </c>
      <c r="I13">
        <v>99</v>
      </c>
      <c r="J13" t="s">
        <v>1923</v>
      </c>
      <c r="K13">
        <v>203726</v>
      </c>
      <c r="L13" t="s">
        <v>1924</v>
      </c>
      <c r="M13" t="s">
        <v>989</v>
      </c>
      <c r="N13">
        <v>0</v>
      </c>
      <c r="O13" t="s">
        <v>1921</v>
      </c>
      <c r="P13" t="s">
        <v>21</v>
      </c>
      <c r="Q13" t="s">
        <v>21</v>
      </c>
      <c r="R13">
        <v>3000</v>
      </c>
      <c r="S13" t="s">
        <v>113</v>
      </c>
      <c r="T13">
        <v>250618</v>
      </c>
      <c r="U13" t="s">
        <v>1925</v>
      </c>
      <c r="V13">
        <v>0</v>
      </c>
      <c r="W13" t="s">
        <v>1925</v>
      </c>
      <c r="X13">
        <v>0</v>
      </c>
      <c r="Y13" t="s">
        <v>1925</v>
      </c>
      <c r="Z13">
        <v>27</v>
      </c>
      <c r="AA13" t="s">
        <v>1926</v>
      </c>
      <c r="AB13">
        <v>4009888</v>
      </c>
      <c r="AC13" t="s">
        <v>1925</v>
      </c>
      <c r="AD13" t="s">
        <v>1929</v>
      </c>
    </row>
    <row r="14" spans="1:30">
      <c r="A14">
        <v>207871</v>
      </c>
      <c r="B14">
        <v>1</v>
      </c>
      <c r="C14" t="s">
        <v>1921</v>
      </c>
      <c r="D14" t="s">
        <v>1922</v>
      </c>
      <c r="E14" t="s">
        <v>21</v>
      </c>
      <c r="F14" t="s">
        <v>21</v>
      </c>
      <c r="G14">
        <v>0</v>
      </c>
      <c r="H14">
        <v>1000</v>
      </c>
      <c r="I14">
        <v>99</v>
      </c>
      <c r="J14" t="s">
        <v>1923</v>
      </c>
      <c r="K14">
        <v>207871</v>
      </c>
      <c r="L14" t="s">
        <v>1924</v>
      </c>
      <c r="M14" t="s">
        <v>2696</v>
      </c>
      <c r="N14">
        <v>0</v>
      </c>
      <c r="O14" t="s">
        <v>1921</v>
      </c>
      <c r="P14" t="s">
        <v>21</v>
      </c>
      <c r="Q14" t="s">
        <v>21</v>
      </c>
      <c r="R14">
        <v>3000</v>
      </c>
      <c r="S14" t="s">
        <v>113</v>
      </c>
      <c r="T14">
        <v>65467</v>
      </c>
      <c r="U14" t="s">
        <v>1925</v>
      </c>
      <c r="V14">
        <v>0</v>
      </c>
      <c r="W14" t="s">
        <v>1925</v>
      </c>
      <c r="X14">
        <v>0</v>
      </c>
      <c r="Y14" t="s">
        <v>1925</v>
      </c>
      <c r="Z14">
        <v>27</v>
      </c>
      <c r="AA14" t="s">
        <v>1926</v>
      </c>
      <c r="AB14">
        <v>65467</v>
      </c>
      <c r="AC14" t="s">
        <v>1925</v>
      </c>
      <c r="AD14" t="s">
        <v>568</v>
      </c>
    </row>
    <row r="15" spans="1:30">
      <c r="A15">
        <v>207872</v>
      </c>
      <c r="B15">
        <v>1</v>
      </c>
      <c r="C15" t="s">
        <v>1921</v>
      </c>
      <c r="D15" t="s">
        <v>1922</v>
      </c>
      <c r="E15" t="s">
        <v>21</v>
      </c>
      <c r="F15" t="s">
        <v>21</v>
      </c>
      <c r="G15">
        <v>0</v>
      </c>
      <c r="H15">
        <v>1000</v>
      </c>
      <c r="I15">
        <v>99</v>
      </c>
      <c r="J15" t="s">
        <v>1923</v>
      </c>
      <c r="K15">
        <v>207872</v>
      </c>
      <c r="L15" t="s">
        <v>1924</v>
      </c>
      <c r="M15" t="s">
        <v>643</v>
      </c>
      <c r="N15">
        <v>0</v>
      </c>
      <c r="O15" t="s">
        <v>1921</v>
      </c>
      <c r="P15" t="s">
        <v>21</v>
      </c>
      <c r="Q15" t="s">
        <v>21</v>
      </c>
      <c r="R15">
        <v>3000</v>
      </c>
      <c r="S15" t="s">
        <v>113</v>
      </c>
      <c r="T15">
        <v>54654</v>
      </c>
      <c r="U15" t="s">
        <v>1925</v>
      </c>
      <c r="V15">
        <v>0</v>
      </c>
      <c r="W15" t="s">
        <v>1925</v>
      </c>
      <c r="X15">
        <v>0</v>
      </c>
      <c r="Y15" t="s">
        <v>1925</v>
      </c>
      <c r="Z15">
        <v>27</v>
      </c>
      <c r="AA15" t="s">
        <v>1926</v>
      </c>
      <c r="AB15">
        <v>54654</v>
      </c>
      <c r="AC15" t="s">
        <v>1925</v>
      </c>
      <c r="AD15" t="s">
        <v>639</v>
      </c>
    </row>
    <row r="16" spans="1:30">
      <c r="A16">
        <v>210491</v>
      </c>
      <c r="B16">
        <v>75</v>
      </c>
      <c r="C16" t="s">
        <v>1921</v>
      </c>
      <c r="D16" t="s">
        <v>1928</v>
      </c>
      <c r="E16" t="s">
        <v>21</v>
      </c>
      <c r="F16" t="s">
        <v>21</v>
      </c>
      <c r="G16">
        <v>0</v>
      </c>
      <c r="H16">
        <v>1000</v>
      </c>
      <c r="I16">
        <v>99</v>
      </c>
      <c r="J16" t="s">
        <v>1923</v>
      </c>
      <c r="K16">
        <v>210491</v>
      </c>
      <c r="L16" t="s">
        <v>1924</v>
      </c>
      <c r="M16" t="s">
        <v>585</v>
      </c>
      <c r="N16">
        <v>0</v>
      </c>
      <c r="O16" t="s">
        <v>1921</v>
      </c>
      <c r="P16" t="s">
        <v>21</v>
      </c>
      <c r="Q16" t="s">
        <v>21</v>
      </c>
      <c r="R16">
        <v>3000</v>
      </c>
      <c r="S16" t="s">
        <v>113</v>
      </c>
      <c r="T16">
        <v>63330</v>
      </c>
      <c r="U16" t="s">
        <v>1925</v>
      </c>
      <c r="V16">
        <v>0</v>
      </c>
      <c r="W16" t="s">
        <v>1925</v>
      </c>
      <c r="X16">
        <v>0</v>
      </c>
      <c r="Y16" t="s">
        <v>1925</v>
      </c>
      <c r="Z16">
        <v>27</v>
      </c>
      <c r="AA16" t="s">
        <v>1926</v>
      </c>
      <c r="AB16">
        <v>4749750</v>
      </c>
      <c r="AC16" t="s">
        <v>1925</v>
      </c>
      <c r="AD16" t="s">
        <v>581</v>
      </c>
    </row>
    <row r="17" spans="1:30">
      <c r="A17">
        <v>210491</v>
      </c>
      <c r="B17">
        <v>29</v>
      </c>
      <c r="C17" t="s">
        <v>1921</v>
      </c>
      <c r="D17" t="s">
        <v>1922</v>
      </c>
      <c r="E17" t="s">
        <v>21</v>
      </c>
      <c r="F17" t="s">
        <v>21</v>
      </c>
      <c r="G17">
        <v>0</v>
      </c>
      <c r="H17">
        <v>1000</v>
      </c>
      <c r="I17">
        <v>99</v>
      </c>
      <c r="J17" t="s">
        <v>1923</v>
      </c>
      <c r="K17">
        <v>210491</v>
      </c>
      <c r="L17" t="s">
        <v>1924</v>
      </c>
      <c r="M17" t="s">
        <v>585</v>
      </c>
      <c r="N17">
        <v>0</v>
      </c>
      <c r="O17" t="s">
        <v>1921</v>
      </c>
      <c r="P17" t="s">
        <v>21</v>
      </c>
      <c r="Q17" t="s">
        <v>21</v>
      </c>
      <c r="R17">
        <v>3000</v>
      </c>
      <c r="S17" t="s">
        <v>113</v>
      </c>
      <c r="T17">
        <v>63330</v>
      </c>
      <c r="U17" t="s">
        <v>1925</v>
      </c>
      <c r="V17">
        <v>0</v>
      </c>
      <c r="W17" t="s">
        <v>1925</v>
      </c>
      <c r="X17">
        <v>0</v>
      </c>
      <c r="Y17" t="s">
        <v>1925</v>
      </c>
      <c r="Z17">
        <v>27</v>
      </c>
      <c r="AA17" t="s">
        <v>1926</v>
      </c>
      <c r="AB17">
        <v>1836570</v>
      </c>
      <c r="AC17" t="s">
        <v>1925</v>
      </c>
      <c r="AD17" t="s">
        <v>581</v>
      </c>
    </row>
    <row r="18" spans="1:30">
      <c r="A18">
        <v>210492</v>
      </c>
      <c r="B18">
        <v>85</v>
      </c>
      <c r="C18" t="s">
        <v>1921</v>
      </c>
      <c r="D18" t="s">
        <v>1922</v>
      </c>
      <c r="E18" t="s">
        <v>21</v>
      </c>
      <c r="F18" t="s">
        <v>21</v>
      </c>
      <c r="G18">
        <v>0</v>
      </c>
      <c r="H18">
        <v>1000</v>
      </c>
      <c r="I18">
        <v>99</v>
      </c>
      <c r="J18" t="s">
        <v>1923</v>
      </c>
      <c r="K18">
        <v>210492</v>
      </c>
      <c r="L18" t="s">
        <v>1924</v>
      </c>
      <c r="M18" t="s">
        <v>648</v>
      </c>
      <c r="N18">
        <v>0</v>
      </c>
      <c r="O18" t="s">
        <v>1921</v>
      </c>
      <c r="P18" t="s">
        <v>21</v>
      </c>
      <c r="Q18" t="s">
        <v>21</v>
      </c>
      <c r="R18">
        <v>3000</v>
      </c>
      <c r="S18" t="s">
        <v>113</v>
      </c>
      <c r="T18">
        <v>55722</v>
      </c>
      <c r="U18" t="s">
        <v>1925</v>
      </c>
      <c r="V18">
        <v>0</v>
      </c>
      <c r="W18" t="s">
        <v>1925</v>
      </c>
      <c r="X18">
        <v>0</v>
      </c>
      <c r="Y18" t="s">
        <v>1925</v>
      </c>
      <c r="Z18">
        <v>27</v>
      </c>
      <c r="AA18" t="s">
        <v>1926</v>
      </c>
      <c r="AB18">
        <v>4736370</v>
      </c>
      <c r="AC18" t="s">
        <v>1925</v>
      </c>
      <c r="AD18" t="s">
        <v>647</v>
      </c>
    </row>
    <row r="19" spans="1:30">
      <c r="A19">
        <v>210492</v>
      </c>
      <c r="B19">
        <v>217</v>
      </c>
      <c r="C19" t="s">
        <v>1921</v>
      </c>
      <c r="D19" t="s">
        <v>1928</v>
      </c>
      <c r="E19" t="s">
        <v>21</v>
      </c>
      <c r="F19" t="s">
        <v>21</v>
      </c>
      <c r="G19">
        <v>0</v>
      </c>
      <c r="H19">
        <v>1000</v>
      </c>
      <c r="I19">
        <v>99</v>
      </c>
      <c r="J19" t="s">
        <v>1923</v>
      </c>
      <c r="K19">
        <v>210492</v>
      </c>
      <c r="L19" t="s">
        <v>1924</v>
      </c>
      <c r="M19" t="s">
        <v>648</v>
      </c>
      <c r="N19">
        <v>0</v>
      </c>
      <c r="O19" t="s">
        <v>1921</v>
      </c>
      <c r="P19" t="s">
        <v>21</v>
      </c>
      <c r="Q19" t="s">
        <v>21</v>
      </c>
      <c r="R19">
        <v>3000</v>
      </c>
      <c r="S19" t="s">
        <v>113</v>
      </c>
      <c r="T19">
        <v>55722</v>
      </c>
      <c r="U19" t="s">
        <v>1925</v>
      </c>
      <c r="V19">
        <v>0</v>
      </c>
      <c r="W19" t="s">
        <v>1925</v>
      </c>
      <c r="X19">
        <v>0</v>
      </c>
      <c r="Y19" t="s">
        <v>1925</v>
      </c>
      <c r="Z19">
        <v>27</v>
      </c>
      <c r="AA19" t="s">
        <v>1926</v>
      </c>
      <c r="AB19">
        <v>12091674</v>
      </c>
      <c r="AC19" t="s">
        <v>1925</v>
      </c>
      <c r="AD19" t="s">
        <v>647</v>
      </c>
    </row>
    <row r="20" spans="1:30">
      <c r="A20">
        <v>212347</v>
      </c>
      <c r="B20">
        <v>36</v>
      </c>
      <c r="C20" t="s">
        <v>1921</v>
      </c>
      <c r="D20" t="s">
        <v>1922</v>
      </c>
      <c r="E20" t="s">
        <v>21</v>
      </c>
      <c r="F20" t="s">
        <v>21</v>
      </c>
      <c r="G20">
        <v>0</v>
      </c>
      <c r="H20">
        <v>1000</v>
      </c>
      <c r="I20">
        <v>99</v>
      </c>
      <c r="J20" t="s">
        <v>1923</v>
      </c>
      <c r="K20">
        <v>212347</v>
      </c>
      <c r="L20" t="s">
        <v>1924</v>
      </c>
      <c r="M20" t="s">
        <v>159</v>
      </c>
      <c r="N20">
        <v>0</v>
      </c>
      <c r="O20" t="s">
        <v>1921</v>
      </c>
      <c r="P20" t="s">
        <v>21</v>
      </c>
      <c r="Q20" t="s">
        <v>21</v>
      </c>
      <c r="R20">
        <v>3000</v>
      </c>
      <c r="S20" t="s">
        <v>113</v>
      </c>
      <c r="T20">
        <v>382035</v>
      </c>
      <c r="U20" t="s">
        <v>1925</v>
      </c>
      <c r="V20">
        <v>0</v>
      </c>
      <c r="W20" t="s">
        <v>1925</v>
      </c>
      <c r="X20">
        <v>0</v>
      </c>
      <c r="Y20" t="s">
        <v>1925</v>
      </c>
      <c r="Z20">
        <v>27</v>
      </c>
      <c r="AA20" t="s">
        <v>1926</v>
      </c>
      <c r="AB20">
        <v>13753260</v>
      </c>
      <c r="AC20" t="s">
        <v>1925</v>
      </c>
      <c r="AD20" t="s">
        <v>1930</v>
      </c>
    </row>
    <row r="21" spans="1:30">
      <c r="A21">
        <v>212347</v>
      </c>
      <c r="B21">
        <v>30</v>
      </c>
      <c r="C21" t="s">
        <v>1921</v>
      </c>
      <c r="D21" t="s">
        <v>1928</v>
      </c>
      <c r="E21" t="s">
        <v>21</v>
      </c>
      <c r="F21" t="s">
        <v>21</v>
      </c>
      <c r="G21">
        <v>0</v>
      </c>
      <c r="H21">
        <v>1000</v>
      </c>
      <c r="I21">
        <v>99</v>
      </c>
      <c r="J21" t="s">
        <v>1923</v>
      </c>
      <c r="K21">
        <v>212347</v>
      </c>
      <c r="L21" t="s">
        <v>1924</v>
      </c>
      <c r="M21" t="s">
        <v>159</v>
      </c>
      <c r="N21">
        <v>0</v>
      </c>
      <c r="O21" t="s">
        <v>1921</v>
      </c>
      <c r="P21" t="s">
        <v>21</v>
      </c>
      <c r="Q21" t="s">
        <v>21</v>
      </c>
      <c r="R21">
        <v>3000</v>
      </c>
      <c r="S21" t="s">
        <v>113</v>
      </c>
      <c r="T21">
        <v>382035</v>
      </c>
      <c r="U21" t="s">
        <v>1925</v>
      </c>
      <c r="V21">
        <v>0</v>
      </c>
      <c r="W21" t="s">
        <v>1925</v>
      </c>
      <c r="X21">
        <v>0</v>
      </c>
      <c r="Y21" t="s">
        <v>1925</v>
      </c>
      <c r="Z21">
        <v>27</v>
      </c>
      <c r="AA21" t="s">
        <v>1926</v>
      </c>
      <c r="AB21">
        <v>11461050</v>
      </c>
      <c r="AC21" t="s">
        <v>1925</v>
      </c>
      <c r="AD21" t="s">
        <v>1930</v>
      </c>
    </row>
    <row r="22" spans="1:30">
      <c r="A22">
        <v>212476</v>
      </c>
      <c r="B22">
        <v>11</v>
      </c>
      <c r="C22" t="s">
        <v>1921</v>
      </c>
      <c r="D22" t="s">
        <v>1922</v>
      </c>
      <c r="E22" t="s">
        <v>21</v>
      </c>
      <c r="F22" t="s">
        <v>21</v>
      </c>
      <c r="G22">
        <v>0</v>
      </c>
      <c r="H22">
        <v>1000</v>
      </c>
      <c r="I22">
        <v>99</v>
      </c>
      <c r="J22" t="s">
        <v>1923</v>
      </c>
      <c r="K22">
        <v>212476</v>
      </c>
      <c r="L22" t="s">
        <v>1924</v>
      </c>
      <c r="M22" t="s">
        <v>206</v>
      </c>
      <c r="N22">
        <v>0</v>
      </c>
      <c r="O22" t="s">
        <v>1921</v>
      </c>
      <c r="P22" t="s">
        <v>21</v>
      </c>
      <c r="Q22" t="s">
        <v>21</v>
      </c>
      <c r="R22">
        <v>3000</v>
      </c>
      <c r="S22" t="s">
        <v>113</v>
      </c>
      <c r="T22">
        <v>194701</v>
      </c>
      <c r="U22" t="s">
        <v>1925</v>
      </c>
      <c r="V22">
        <v>0</v>
      </c>
      <c r="W22" t="s">
        <v>1925</v>
      </c>
      <c r="X22">
        <v>0</v>
      </c>
      <c r="Y22" t="s">
        <v>1925</v>
      </c>
      <c r="Z22">
        <v>27</v>
      </c>
      <c r="AA22" t="s">
        <v>1926</v>
      </c>
      <c r="AB22">
        <v>2141711</v>
      </c>
      <c r="AC22" t="s">
        <v>1925</v>
      </c>
      <c r="AD22" t="s">
        <v>196</v>
      </c>
    </row>
    <row r="23" spans="1:30">
      <c r="A23">
        <v>214073</v>
      </c>
      <c r="B23">
        <v>5</v>
      </c>
      <c r="C23" t="s">
        <v>1921</v>
      </c>
      <c r="D23" t="s">
        <v>1922</v>
      </c>
      <c r="E23" t="s">
        <v>21</v>
      </c>
      <c r="F23" t="s">
        <v>21</v>
      </c>
      <c r="G23">
        <v>0</v>
      </c>
      <c r="H23">
        <v>1000</v>
      </c>
      <c r="I23">
        <v>99</v>
      </c>
      <c r="J23" t="s">
        <v>1923</v>
      </c>
      <c r="K23">
        <v>214073</v>
      </c>
      <c r="L23" t="s">
        <v>1924</v>
      </c>
      <c r="M23" t="s">
        <v>2610</v>
      </c>
      <c r="N23">
        <v>0</v>
      </c>
      <c r="O23" t="s">
        <v>1921</v>
      </c>
      <c r="P23" t="s">
        <v>21</v>
      </c>
      <c r="Q23" t="s">
        <v>21</v>
      </c>
      <c r="R23">
        <v>3000</v>
      </c>
      <c r="S23" t="s">
        <v>113</v>
      </c>
      <c r="T23">
        <v>148689</v>
      </c>
      <c r="U23" t="s">
        <v>1925</v>
      </c>
      <c r="V23">
        <v>0</v>
      </c>
      <c r="W23" t="s">
        <v>1925</v>
      </c>
      <c r="X23">
        <v>0</v>
      </c>
      <c r="Y23" t="s">
        <v>1925</v>
      </c>
      <c r="Z23">
        <v>27</v>
      </c>
      <c r="AA23" t="s">
        <v>1926</v>
      </c>
      <c r="AB23">
        <v>743445</v>
      </c>
      <c r="AC23" t="s">
        <v>1925</v>
      </c>
      <c r="AD23" t="s">
        <v>257</v>
      </c>
    </row>
    <row r="24" spans="1:30">
      <c r="A24">
        <v>216515</v>
      </c>
      <c r="B24">
        <v>73</v>
      </c>
      <c r="C24" t="s">
        <v>1921</v>
      </c>
      <c r="D24" t="s">
        <v>1922</v>
      </c>
      <c r="E24" t="s">
        <v>21</v>
      </c>
      <c r="F24" t="s">
        <v>21</v>
      </c>
      <c r="G24">
        <v>0</v>
      </c>
      <c r="H24">
        <v>1000</v>
      </c>
      <c r="I24">
        <v>99</v>
      </c>
      <c r="J24" t="s">
        <v>1923</v>
      </c>
      <c r="K24">
        <v>216515</v>
      </c>
      <c r="L24" t="s">
        <v>1924</v>
      </c>
      <c r="M24" t="s">
        <v>313</v>
      </c>
      <c r="N24">
        <v>0</v>
      </c>
      <c r="O24" t="s">
        <v>1921</v>
      </c>
      <c r="P24" t="s">
        <v>21</v>
      </c>
      <c r="Q24" t="s">
        <v>21</v>
      </c>
      <c r="R24">
        <v>3000</v>
      </c>
      <c r="S24" t="s">
        <v>113</v>
      </c>
      <c r="T24">
        <v>113618</v>
      </c>
      <c r="U24" t="s">
        <v>1925</v>
      </c>
      <c r="V24">
        <v>0</v>
      </c>
      <c r="W24" t="s">
        <v>1925</v>
      </c>
      <c r="X24">
        <v>0</v>
      </c>
      <c r="Y24" t="s">
        <v>1925</v>
      </c>
      <c r="Z24">
        <v>27</v>
      </c>
      <c r="AA24" t="s">
        <v>1926</v>
      </c>
      <c r="AB24">
        <v>8294114</v>
      </c>
      <c r="AC24" t="s">
        <v>1925</v>
      </c>
      <c r="AD24" t="s">
        <v>310</v>
      </c>
    </row>
    <row r="25" spans="1:30">
      <c r="A25">
        <v>216515</v>
      </c>
      <c r="B25">
        <v>629</v>
      </c>
      <c r="C25" t="s">
        <v>1921</v>
      </c>
      <c r="D25" t="s">
        <v>1928</v>
      </c>
      <c r="E25" t="s">
        <v>21</v>
      </c>
      <c r="F25" t="s">
        <v>21</v>
      </c>
      <c r="G25">
        <v>0</v>
      </c>
      <c r="H25">
        <v>1000</v>
      </c>
      <c r="I25">
        <v>99</v>
      </c>
      <c r="J25" t="s">
        <v>1923</v>
      </c>
      <c r="K25">
        <v>216515</v>
      </c>
      <c r="L25" t="s">
        <v>1924</v>
      </c>
      <c r="M25" t="s">
        <v>313</v>
      </c>
      <c r="N25">
        <v>0</v>
      </c>
      <c r="O25" t="s">
        <v>1921</v>
      </c>
      <c r="P25" t="s">
        <v>21</v>
      </c>
      <c r="Q25" t="s">
        <v>21</v>
      </c>
      <c r="R25">
        <v>3000</v>
      </c>
      <c r="S25" t="s">
        <v>113</v>
      </c>
      <c r="T25">
        <v>113618</v>
      </c>
      <c r="U25" t="s">
        <v>1925</v>
      </c>
      <c r="V25">
        <v>0</v>
      </c>
      <c r="W25" t="s">
        <v>1925</v>
      </c>
      <c r="X25">
        <v>0</v>
      </c>
      <c r="Y25" t="s">
        <v>1925</v>
      </c>
      <c r="Z25">
        <v>27</v>
      </c>
      <c r="AA25" t="s">
        <v>1926</v>
      </c>
      <c r="AB25">
        <v>71465722</v>
      </c>
      <c r="AC25" t="s">
        <v>1925</v>
      </c>
      <c r="AD25" t="s">
        <v>310</v>
      </c>
    </row>
    <row r="26" spans="1:30">
      <c r="A26">
        <v>216518</v>
      </c>
      <c r="B26">
        <v>8</v>
      </c>
      <c r="C26" t="s">
        <v>1921</v>
      </c>
      <c r="D26" t="s">
        <v>1922</v>
      </c>
      <c r="E26" t="s">
        <v>21</v>
      </c>
      <c r="F26" t="s">
        <v>21</v>
      </c>
      <c r="G26">
        <v>0</v>
      </c>
      <c r="H26">
        <v>1000</v>
      </c>
      <c r="I26">
        <v>99</v>
      </c>
      <c r="J26" t="s">
        <v>1923</v>
      </c>
      <c r="K26">
        <v>216518</v>
      </c>
      <c r="L26" t="s">
        <v>1924</v>
      </c>
      <c r="M26" t="s">
        <v>412</v>
      </c>
      <c r="N26">
        <v>0</v>
      </c>
      <c r="O26" t="s">
        <v>1921</v>
      </c>
      <c r="P26" t="s">
        <v>21</v>
      </c>
      <c r="Q26" t="s">
        <v>21</v>
      </c>
      <c r="R26">
        <v>3000</v>
      </c>
      <c r="S26" t="s">
        <v>113</v>
      </c>
      <c r="T26">
        <v>161062</v>
      </c>
      <c r="U26" t="s">
        <v>1925</v>
      </c>
      <c r="V26">
        <v>0</v>
      </c>
      <c r="W26" t="s">
        <v>1925</v>
      </c>
      <c r="X26">
        <v>0</v>
      </c>
      <c r="Y26" t="s">
        <v>1925</v>
      </c>
      <c r="Z26">
        <v>27</v>
      </c>
      <c r="AA26" t="s">
        <v>1926</v>
      </c>
      <c r="AB26">
        <v>1288496</v>
      </c>
      <c r="AC26" t="s">
        <v>1925</v>
      </c>
      <c r="AD26" t="s">
        <v>409</v>
      </c>
    </row>
    <row r="27" spans="1:30">
      <c r="A27">
        <v>216518</v>
      </c>
      <c r="B27">
        <v>30</v>
      </c>
      <c r="C27" t="s">
        <v>1921</v>
      </c>
      <c r="D27" t="s">
        <v>1928</v>
      </c>
      <c r="E27" t="s">
        <v>21</v>
      </c>
      <c r="F27" t="s">
        <v>21</v>
      </c>
      <c r="G27">
        <v>0</v>
      </c>
      <c r="H27">
        <v>1000</v>
      </c>
      <c r="I27">
        <v>99</v>
      </c>
      <c r="J27" t="s">
        <v>1923</v>
      </c>
      <c r="K27">
        <v>216518</v>
      </c>
      <c r="L27" t="s">
        <v>1924</v>
      </c>
      <c r="M27" t="s">
        <v>412</v>
      </c>
      <c r="N27">
        <v>0</v>
      </c>
      <c r="O27" t="s">
        <v>1921</v>
      </c>
      <c r="P27" t="s">
        <v>21</v>
      </c>
      <c r="Q27" t="s">
        <v>21</v>
      </c>
      <c r="R27">
        <v>3000</v>
      </c>
      <c r="S27" t="s">
        <v>113</v>
      </c>
      <c r="T27">
        <v>161062</v>
      </c>
      <c r="U27" t="s">
        <v>1925</v>
      </c>
      <c r="V27">
        <v>0</v>
      </c>
      <c r="W27" t="s">
        <v>1925</v>
      </c>
      <c r="X27">
        <v>0</v>
      </c>
      <c r="Y27" t="s">
        <v>1925</v>
      </c>
      <c r="Z27">
        <v>27</v>
      </c>
      <c r="AA27" t="s">
        <v>1926</v>
      </c>
      <c r="AB27">
        <v>4831860</v>
      </c>
      <c r="AC27" t="s">
        <v>1925</v>
      </c>
      <c r="AD27" t="s">
        <v>409</v>
      </c>
    </row>
    <row r="28" spans="1:30">
      <c r="A28">
        <v>216521</v>
      </c>
      <c r="B28">
        <v>504</v>
      </c>
      <c r="C28" t="s">
        <v>1921</v>
      </c>
      <c r="D28" t="s">
        <v>1928</v>
      </c>
      <c r="E28" t="s">
        <v>21</v>
      </c>
      <c r="F28" t="s">
        <v>21</v>
      </c>
      <c r="G28">
        <v>0</v>
      </c>
      <c r="H28">
        <v>1000</v>
      </c>
      <c r="I28">
        <v>99</v>
      </c>
      <c r="J28" t="s">
        <v>1923</v>
      </c>
      <c r="K28">
        <v>216521</v>
      </c>
      <c r="L28" t="s">
        <v>1924</v>
      </c>
      <c r="M28" t="s">
        <v>447</v>
      </c>
      <c r="N28">
        <v>0</v>
      </c>
      <c r="O28" t="s">
        <v>1921</v>
      </c>
      <c r="P28" t="s">
        <v>21</v>
      </c>
      <c r="Q28" t="s">
        <v>21</v>
      </c>
      <c r="R28">
        <v>3000</v>
      </c>
      <c r="S28" t="s">
        <v>113</v>
      </c>
      <c r="T28">
        <v>125317</v>
      </c>
      <c r="U28" t="s">
        <v>1925</v>
      </c>
      <c r="V28">
        <v>0</v>
      </c>
      <c r="W28" t="s">
        <v>1925</v>
      </c>
      <c r="X28">
        <v>0</v>
      </c>
      <c r="Y28" t="s">
        <v>1925</v>
      </c>
      <c r="Z28">
        <v>27</v>
      </c>
      <c r="AA28" t="s">
        <v>1926</v>
      </c>
      <c r="AB28">
        <v>63159768</v>
      </c>
      <c r="AC28" t="s">
        <v>1925</v>
      </c>
      <c r="AD28" t="s">
        <v>445</v>
      </c>
    </row>
    <row r="29" spans="1:30">
      <c r="A29">
        <v>216521</v>
      </c>
      <c r="B29">
        <v>32</v>
      </c>
      <c r="C29" t="s">
        <v>1921</v>
      </c>
      <c r="D29" t="s">
        <v>1922</v>
      </c>
      <c r="E29" t="s">
        <v>21</v>
      </c>
      <c r="F29" t="s">
        <v>21</v>
      </c>
      <c r="G29">
        <v>0</v>
      </c>
      <c r="H29">
        <v>1000</v>
      </c>
      <c r="I29">
        <v>99</v>
      </c>
      <c r="J29" t="s">
        <v>1923</v>
      </c>
      <c r="K29">
        <v>216521</v>
      </c>
      <c r="L29" t="s">
        <v>1924</v>
      </c>
      <c r="M29" t="s">
        <v>447</v>
      </c>
      <c r="N29">
        <v>0</v>
      </c>
      <c r="O29" t="s">
        <v>1921</v>
      </c>
      <c r="P29" t="s">
        <v>21</v>
      </c>
      <c r="Q29" t="s">
        <v>21</v>
      </c>
      <c r="R29">
        <v>3000</v>
      </c>
      <c r="S29" t="s">
        <v>113</v>
      </c>
      <c r="T29">
        <v>125317</v>
      </c>
      <c r="U29" t="s">
        <v>1925</v>
      </c>
      <c r="V29">
        <v>0</v>
      </c>
      <c r="W29" t="s">
        <v>1925</v>
      </c>
      <c r="X29">
        <v>0</v>
      </c>
      <c r="Y29" t="s">
        <v>1925</v>
      </c>
      <c r="Z29">
        <v>27</v>
      </c>
      <c r="AA29" t="s">
        <v>1926</v>
      </c>
      <c r="AB29">
        <v>4010144</v>
      </c>
      <c r="AC29" t="s">
        <v>1925</v>
      </c>
      <c r="AD29" t="s">
        <v>445</v>
      </c>
    </row>
    <row r="30" spans="1:30">
      <c r="A30">
        <v>216524</v>
      </c>
      <c r="B30">
        <v>42</v>
      </c>
      <c r="C30" t="s">
        <v>1921</v>
      </c>
      <c r="D30" t="s">
        <v>1922</v>
      </c>
      <c r="E30" t="s">
        <v>21</v>
      </c>
      <c r="F30" t="s">
        <v>21</v>
      </c>
      <c r="G30">
        <v>0</v>
      </c>
      <c r="H30">
        <v>1000</v>
      </c>
      <c r="I30">
        <v>99</v>
      </c>
      <c r="J30" t="s">
        <v>1923</v>
      </c>
      <c r="K30">
        <v>216524</v>
      </c>
      <c r="L30" t="s">
        <v>1924</v>
      </c>
      <c r="M30" t="s">
        <v>452</v>
      </c>
      <c r="N30">
        <v>0</v>
      </c>
      <c r="O30" t="s">
        <v>1921</v>
      </c>
      <c r="P30" t="s">
        <v>21</v>
      </c>
      <c r="Q30" t="s">
        <v>21</v>
      </c>
      <c r="R30">
        <v>3000</v>
      </c>
      <c r="S30" t="s">
        <v>113</v>
      </c>
      <c r="T30">
        <v>116346</v>
      </c>
      <c r="U30" t="s">
        <v>1925</v>
      </c>
      <c r="V30">
        <v>0</v>
      </c>
      <c r="W30" t="s">
        <v>1925</v>
      </c>
      <c r="X30">
        <v>0</v>
      </c>
      <c r="Y30" t="s">
        <v>1925</v>
      </c>
      <c r="Z30">
        <v>27</v>
      </c>
      <c r="AA30" t="s">
        <v>1926</v>
      </c>
      <c r="AB30">
        <v>4886532</v>
      </c>
      <c r="AC30" t="s">
        <v>1925</v>
      </c>
      <c r="AD30" t="s">
        <v>450</v>
      </c>
    </row>
    <row r="31" spans="1:30">
      <c r="A31">
        <v>216787</v>
      </c>
      <c r="B31">
        <v>26</v>
      </c>
      <c r="C31" t="s">
        <v>1921</v>
      </c>
      <c r="D31" t="s">
        <v>1922</v>
      </c>
      <c r="E31" t="s">
        <v>21</v>
      </c>
      <c r="F31" t="s">
        <v>21</v>
      </c>
      <c r="G31">
        <v>0</v>
      </c>
      <c r="H31">
        <v>1000</v>
      </c>
      <c r="I31">
        <v>99</v>
      </c>
      <c r="J31" t="s">
        <v>1923</v>
      </c>
      <c r="K31">
        <v>216787</v>
      </c>
      <c r="L31" t="s">
        <v>1924</v>
      </c>
      <c r="M31" t="s">
        <v>495</v>
      </c>
      <c r="N31">
        <v>0</v>
      </c>
      <c r="O31" t="s">
        <v>1921</v>
      </c>
      <c r="P31" t="s">
        <v>21</v>
      </c>
      <c r="Q31" t="s">
        <v>21</v>
      </c>
      <c r="R31">
        <v>3000</v>
      </c>
      <c r="S31" t="s">
        <v>113</v>
      </c>
      <c r="T31">
        <v>110812</v>
      </c>
      <c r="U31" t="s">
        <v>1925</v>
      </c>
      <c r="V31">
        <v>0</v>
      </c>
      <c r="W31" t="s">
        <v>1925</v>
      </c>
      <c r="X31">
        <v>0</v>
      </c>
      <c r="Y31" t="s">
        <v>1925</v>
      </c>
      <c r="Z31">
        <v>27</v>
      </c>
      <c r="AA31" t="s">
        <v>1926</v>
      </c>
      <c r="AB31">
        <v>2881112</v>
      </c>
      <c r="AC31" t="s">
        <v>1925</v>
      </c>
      <c r="AD31" t="s">
        <v>1931</v>
      </c>
    </row>
    <row r="32" spans="1:30">
      <c r="A32">
        <v>217464</v>
      </c>
      <c r="B32">
        <v>2</v>
      </c>
      <c r="C32" t="s">
        <v>1921</v>
      </c>
      <c r="D32" t="s">
        <v>1922</v>
      </c>
      <c r="E32" t="s">
        <v>21</v>
      </c>
      <c r="F32" t="s">
        <v>21</v>
      </c>
      <c r="G32">
        <v>0</v>
      </c>
      <c r="H32">
        <v>1000</v>
      </c>
      <c r="I32">
        <v>99</v>
      </c>
      <c r="J32" t="s">
        <v>1923</v>
      </c>
      <c r="K32">
        <v>217464</v>
      </c>
      <c r="L32" t="s">
        <v>1924</v>
      </c>
      <c r="M32" t="s">
        <v>2698</v>
      </c>
      <c r="N32">
        <v>0</v>
      </c>
      <c r="O32" t="s">
        <v>1921</v>
      </c>
      <c r="P32" t="s">
        <v>21</v>
      </c>
      <c r="Q32" t="s">
        <v>21</v>
      </c>
      <c r="R32">
        <v>3000</v>
      </c>
      <c r="S32" t="s">
        <v>113</v>
      </c>
      <c r="T32">
        <v>50654</v>
      </c>
      <c r="U32" t="s">
        <v>1925</v>
      </c>
      <c r="V32">
        <v>0</v>
      </c>
      <c r="W32" t="s">
        <v>1925</v>
      </c>
      <c r="X32">
        <v>0</v>
      </c>
      <c r="Y32" t="s">
        <v>1925</v>
      </c>
      <c r="Z32">
        <v>27</v>
      </c>
      <c r="AA32" t="s">
        <v>1926</v>
      </c>
      <c r="AB32">
        <v>101308</v>
      </c>
      <c r="AC32" t="s">
        <v>1925</v>
      </c>
      <c r="AD32" t="s">
        <v>740</v>
      </c>
    </row>
    <row r="33" spans="1:30">
      <c r="A33">
        <v>218585</v>
      </c>
      <c r="B33">
        <v>81</v>
      </c>
      <c r="C33" t="s">
        <v>1921</v>
      </c>
      <c r="D33" t="s">
        <v>1922</v>
      </c>
      <c r="E33" t="s">
        <v>21</v>
      </c>
      <c r="F33" t="s">
        <v>21</v>
      </c>
      <c r="G33">
        <v>0</v>
      </c>
      <c r="H33">
        <v>1000</v>
      </c>
      <c r="I33">
        <v>99</v>
      </c>
      <c r="J33" t="s">
        <v>1923</v>
      </c>
      <c r="K33">
        <v>218585</v>
      </c>
      <c r="L33" t="s">
        <v>1924</v>
      </c>
      <c r="M33" t="s">
        <v>853</v>
      </c>
      <c r="N33">
        <v>0</v>
      </c>
      <c r="O33" t="s">
        <v>1921</v>
      </c>
      <c r="P33" t="s">
        <v>21</v>
      </c>
      <c r="Q33" t="s">
        <v>21</v>
      </c>
      <c r="R33">
        <v>3000</v>
      </c>
      <c r="S33" t="s">
        <v>113</v>
      </c>
      <c r="T33">
        <v>479085</v>
      </c>
      <c r="U33" t="s">
        <v>1925</v>
      </c>
      <c r="V33">
        <v>0</v>
      </c>
      <c r="W33" t="s">
        <v>1925</v>
      </c>
      <c r="X33">
        <v>0</v>
      </c>
      <c r="Y33" t="s">
        <v>1925</v>
      </c>
      <c r="Z33">
        <v>27</v>
      </c>
      <c r="AA33" t="s">
        <v>1926</v>
      </c>
      <c r="AB33">
        <v>38805885</v>
      </c>
      <c r="AC33" t="s">
        <v>1925</v>
      </c>
      <c r="AD33" t="s">
        <v>848</v>
      </c>
    </row>
    <row r="34" spans="1:30">
      <c r="A34">
        <v>218585</v>
      </c>
      <c r="B34">
        <v>96</v>
      </c>
      <c r="C34" t="s">
        <v>1921</v>
      </c>
      <c r="D34" t="s">
        <v>1928</v>
      </c>
      <c r="E34" t="s">
        <v>21</v>
      </c>
      <c r="F34" t="s">
        <v>21</v>
      </c>
      <c r="G34">
        <v>0</v>
      </c>
      <c r="H34">
        <v>1000</v>
      </c>
      <c r="I34">
        <v>99</v>
      </c>
      <c r="J34" t="s">
        <v>1923</v>
      </c>
      <c r="K34">
        <v>218585</v>
      </c>
      <c r="L34" t="s">
        <v>1924</v>
      </c>
      <c r="M34" t="s">
        <v>853</v>
      </c>
      <c r="N34">
        <v>0</v>
      </c>
      <c r="O34" t="s">
        <v>1921</v>
      </c>
      <c r="P34" t="s">
        <v>21</v>
      </c>
      <c r="Q34" t="s">
        <v>21</v>
      </c>
      <c r="R34">
        <v>3000</v>
      </c>
      <c r="S34" t="s">
        <v>113</v>
      </c>
      <c r="T34">
        <v>479085</v>
      </c>
      <c r="U34" t="s">
        <v>1925</v>
      </c>
      <c r="V34">
        <v>0</v>
      </c>
      <c r="W34" t="s">
        <v>1925</v>
      </c>
      <c r="X34">
        <v>0</v>
      </c>
      <c r="Y34" t="s">
        <v>1925</v>
      </c>
      <c r="Z34">
        <v>27</v>
      </c>
      <c r="AA34" t="s">
        <v>1926</v>
      </c>
      <c r="AB34">
        <v>45992160</v>
      </c>
      <c r="AC34" t="s">
        <v>1925</v>
      </c>
      <c r="AD34" t="s">
        <v>848</v>
      </c>
    </row>
    <row r="35" spans="1:30">
      <c r="A35">
        <v>218586</v>
      </c>
      <c r="B35">
        <v>7</v>
      </c>
      <c r="C35" t="s">
        <v>1921</v>
      </c>
      <c r="D35" t="s">
        <v>1922</v>
      </c>
      <c r="E35" t="s">
        <v>21</v>
      </c>
      <c r="F35" t="s">
        <v>21</v>
      </c>
      <c r="G35">
        <v>0</v>
      </c>
      <c r="H35">
        <v>1000</v>
      </c>
      <c r="I35">
        <v>99</v>
      </c>
      <c r="J35" t="s">
        <v>1923</v>
      </c>
      <c r="K35">
        <v>218586</v>
      </c>
      <c r="L35" t="s">
        <v>1924</v>
      </c>
      <c r="M35" t="s">
        <v>859</v>
      </c>
      <c r="N35">
        <v>0</v>
      </c>
      <c r="O35" t="s">
        <v>1921</v>
      </c>
      <c r="P35" t="s">
        <v>21</v>
      </c>
      <c r="Q35" t="s">
        <v>21</v>
      </c>
      <c r="R35">
        <v>3000</v>
      </c>
      <c r="S35" t="s">
        <v>113</v>
      </c>
      <c r="T35">
        <v>238416</v>
      </c>
      <c r="U35" t="s">
        <v>1925</v>
      </c>
      <c r="V35">
        <v>0</v>
      </c>
      <c r="W35" t="s">
        <v>1925</v>
      </c>
      <c r="X35">
        <v>0</v>
      </c>
      <c r="Y35" t="s">
        <v>1925</v>
      </c>
      <c r="Z35">
        <v>27</v>
      </c>
      <c r="AA35" t="s">
        <v>1926</v>
      </c>
      <c r="AB35">
        <v>1668912</v>
      </c>
      <c r="AC35" t="s">
        <v>1925</v>
      </c>
      <c r="AD35" t="s">
        <v>855</v>
      </c>
    </row>
    <row r="36" spans="1:30">
      <c r="A36">
        <v>218586</v>
      </c>
      <c r="B36">
        <v>29</v>
      </c>
      <c r="C36" t="s">
        <v>1921</v>
      </c>
      <c r="D36" t="s">
        <v>1928</v>
      </c>
      <c r="E36" t="s">
        <v>21</v>
      </c>
      <c r="F36" t="s">
        <v>21</v>
      </c>
      <c r="G36">
        <v>0</v>
      </c>
      <c r="H36">
        <v>1000</v>
      </c>
      <c r="I36">
        <v>99</v>
      </c>
      <c r="J36" t="s">
        <v>1923</v>
      </c>
      <c r="K36">
        <v>218586</v>
      </c>
      <c r="L36" t="s">
        <v>1924</v>
      </c>
      <c r="M36" t="s">
        <v>859</v>
      </c>
      <c r="N36">
        <v>0</v>
      </c>
      <c r="O36" t="s">
        <v>1921</v>
      </c>
      <c r="P36" t="s">
        <v>21</v>
      </c>
      <c r="Q36" t="s">
        <v>21</v>
      </c>
      <c r="R36">
        <v>3000</v>
      </c>
      <c r="S36" t="s">
        <v>113</v>
      </c>
      <c r="T36">
        <v>238416</v>
      </c>
      <c r="U36" t="s">
        <v>1925</v>
      </c>
      <c r="V36">
        <v>0</v>
      </c>
      <c r="W36" t="s">
        <v>1925</v>
      </c>
      <c r="X36">
        <v>0</v>
      </c>
      <c r="Y36" t="s">
        <v>1925</v>
      </c>
      <c r="Z36">
        <v>27</v>
      </c>
      <c r="AA36" t="s">
        <v>1926</v>
      </c>
      <c r="AB36">
        <v>6914064</v>
      </c>
      <c r="AC36" t="s">
        <v>1925</v>
      </c>
      <c r="AD36" t="s">
        <v>855</v>
      </c>
    </row>
    <row r="37" spans="1:30">
      <c r="A37">
        <v>218711</v>
      </c>
      <c r="B37">
        <v>5</v>
      </c>
      <c r="C37" t="s">
        <v>1921</v>
      </c>
      <c r="D37" t="s">
        <v>1922</v>
      </c>
      <c r="E37" t="s">
        <v>21</v>
      </c>
      <c r="F37" t="s">
        <v>21</v>
      </c>
      <c r="G37">
        <v>0</v>
      </c>
      <c r="H37">
        <v>1000</v>
      </c>
      <c r="I37">
        <v>99</v>
      </c>
      <c r="J37" t="s">
        <v>1923</v>
      </c>
      <c r="K37">
        <v>218711</v>
      </c>
      <c r="L37" t="s">
        <v>1924</v>
      </c>
      <c r="M37" t="s">
        <v>354</v>
      </c>
      <c r="N37">
        <v>0</v>
      </c>
      <c r="O37" t="s">
        <v>1921</v>
      </c>
      <c r="P37" t="s">
        <v>21</v>
      </c>
      <c r="Q37" t="s">
        <v>21</v>
      </c>
      <c r="R37">
        <v>3000</v>
      </c>
      <c r="S37" t="s">
        <v>113</v>
      </c>
      <c r="T37">
        <v>63366</v>
      </c>
      <c r="U37" t="s">
        <v>1925</v>
      </c>
      <c r="V37">
        <v>0</v>
      </c>
      <c r="W37" t="s">
        <v>1925</v>
      </c>
      <c r="X37">
        <v>0</v>
      </c>
      <c r="Y37" t="s">
        <v>1925</v>
      </c>
      <c r="Z37">
        <v>27</v>
      </c>
      <c r="AA37" t="s">
        <v>1926</v>
      </c>
      <c r="AB37">
        <v>316830</v>
      </c>
      <c r="AC37" t="s">
        <v>1925</v>
      </c>
      <c r="AD37" t="s">
        <v>348</v>
      </c>
    </row>
    <row r="38" spans="1:30">
      <c r="A38">
        <v>220801</v>
      </c>
      <c r="B38">
        <v>54</v>
      </c>
      <c r="C38" t="s">
        <v>1921</v>
      </c>
      <c r="D38" t="s">
        <v>1922</v>
      </c>
      <c r="E38" t="s">
        <v>21</v>
      </c>
      <c r="F38" t="s">
        <v>21</v>
      </c>
      <c r="G38">
        <v>0</v>
      </c>
      <c r="H38">
        <v>1000</v>
      </c>
      <c r="I38">
        <v>99</v>
      </c>
      <c r="J38" t="s">
        <v>1923</v>
      </c>
      <c r="K38">
        <v>220801</v>
      </c>
      <c r="L38" t="s">
        <v>1924</v>
      </c>
      <c r="M38" t="s">
        <v>212</v>
      </c>
      <c r="N38">
        <v>0</v>
      </c>
      <c r="O38" t="s">
        <v>1921</v>
      </c>
      <c r="P38" t="s">
        <v>21</v>
      </c>
      <c r="Q38" t="s">
        <v>21</v>
      </c>
      <c r="R38">
        <v>3000</v>
      </c>
      <c r="S38" t="s">
        <v>113</v>
      </c>
      <c r="T38">
        <v>220290</v>
      </c>
      <c r="U38" t="s">
        <v>1925</v>
      </c>
      <c r="V38">
        <v>0</v>
      </c>
      <c r="W38" t="s">
        <v>1925</v>
      </c>
      <c r="X38">
        <v>0</v>
      </c>
      <c r="Y38" t="s">
        <v>1925</v>
      </c>
      <c r="Z38">
        <v>27</v>
      </c>
      <c r="AA38" t="s">
        <v>1926</v>
      </c>
      <c r="AB38">
        <v>11895660</v>
      </c>
      <c r="AC38" t="s">
        <v>1925</v>
      </c>
      <c r="AD38" t="s">
        <v>210</v>
      </c>
    </row>
    <row r="39" spans="1:30">
      <c r="A39">
        <v>220801</v>
      </c>
      <c r="B39">
        <v>20</v>
      </c>
      <c r="C39" t="s">
        <v>1921</v>
      </c>
      <c r="D39" t="s">
        <v>1928</v>
      </c>
      <c r="E39" t="s">
        <v>21</v>
      </c>
      <c r="F39" t="s">
        <v>21</v>
      </c>
      <c r="G39">
        <v>0</v>
      </c>
      <c r="H39">
        <v>1000</v>
      </c>
      <c r="I39">
        <v>99</v>
      </c>
      <c r="J39" t="s">
        <v>1923</v>
      </c>
      <c r="K39">
        <v>220801</v>
      </c>
      <c r="L39" t="s">
        <v>1924</v>
      </c>
      <c r="M39" t="s">
        <v>212</v>
      </c>
      <c r="N39">
        <v>0</v>
      </c>
      <c r="O39" t="s">
        <v>1921</v>
      </c>
      <c r="P39" t="s">
        <v>21</v>
      </c>
      <c r="Q39" t="s">
        <v>21</v>
      </c>
      <c r="R39">
        <v>3000</v>
      </c>
      <c r="S39" t="s">
        <v>113</v>
      </c>
      <c r="T39">
        <v>220290</v>
      </c>
      <c r="U39" t="s">
        <v>1925</v>
      </c>
      <c r="V39">
        <v>0</v>
      </c>
      <c r="W39" t="s">
        <v>1925</v>
      </c>
      <c r="X39">
        <v>0</v>
      </c>
      <c r="Y39" t="s">
        <v>1925</v>
      </c>
      <c r="Z39">
        <v>27</v>
      </c>
      <c r="AA39" t="s">
        <v>1926</v>
      </c>
      <c r="AB39">
        <v>4405800</v>
      </c>
      <c r="AC39" t="s">
        <v>1925</v>
      </c>
      <c r="AD39" t="s">
        <v>210</v>
      </c>
    </row>
    <row r="40" spans="1:30">
      <c r="A40">
        <v>220803</v>
      </c>
      <c r="B40">
        <v>105</v>
      </c>
      <c r="C40" t="s">
        <v>1921</v>
      </c>
      <c r="D40" t="s">
        <v>1928</v>
      </c>
      <c r="E40" t="s">
        <v>21</v>
      </c>
      <c r="F40" t="s">
        <v>21</v>
      </c>
      <c r="G40">
        <v>0</v>
      </c>
      <c r="H40">
        <v>1000</v>
      </c>
      <c r="I40">
        <v>99</v>
      </c>
      <c r="J40" t="s">
        <v>1923</v>
      </c>
      <c r="K40">
        <v>220803</v>
      </c>
      <c r="L40" t="s">
        <v>1924</v>
      </c>
      <c r="M40" t="s">
        <v>219</v>
      </c>
      <c r="N40">
        <v>0</v>
      </c>
      <c r="O40" t="s">
        <v>1921</v>
      </c>
      <c r="P40" t="s">
        <v>21</v>
      </c>
      <c r="Q40" t="s">
        <v>21</v>
      </c>
      <c r="R40">
        <v>3000</v>
      </c>
      <c r="S40" t="s">
        <v>113</v>
      </c>
      <c r="T40">
        <v>167178</v>
      </c>
      <c r="U40" t="s">
        <v>1925</v>
      </c>
      <c r="V40">
        <v>0</v>
      </c>
      <c r="W40" t="s">
        <v>1925</v>
      </c>
      <c r="X40">
        <v>0</v>
      </c>
      <c r="Y40" t="s">
        <v>1925</v>
      </c>
      <c r="Z40">
        <v>27</v>
      </c>
      <c r="AA40" t="s">
        <v>1926</v>
      </c>
      <c r="AB40">
        <v>17553690</v>
      </c>
      <c r="AC40" t="s">
        <v>1925</v>
      </c>
      <c r="AD40" t="s">
        <v>216</v>
      </c>
    </row>
    <row r="41" spans="1:30">
      <c r="A41">
        <v>220803</v>
      </c>
      <c r="B41">
        <v>23</v>
      </c>
      <c r="C41" t="s">
        <v>1921</v>
      </c>
      <c r="D41" t="s">
        <v>1922</v>
      </c>
      <c r="E41" t="s">
        <v>21</v>
      </c>
      <c r="F41" t="s">
        <v>21</v>
      </c>
      <c r="G41">
        <v>0</v>
      </c>
      <c r="H41">
        <v>1000</v>
      </c>
      <c r="I41">
        <v>99</v>
      </c>
      <c r="J41" t="s">
        <v>1923</v>
      </c>
      <c r="K41">
        <v>220803</v>
      </c>
      <c r="L41" t="s">
        <v>1924</v>
      </c>
      <c r="M41" t="s">
        <v>219</v>
      </c>
      <c r="N41">
        <v>0</v>
      </c>
      <c r="O41" t="s">
        <v>1921</v>
      </c>
      <c r="P41" t="s">
        <v>21</v>
      </c>
      <c r="Q41" t="s">
        <v>21</v>
      </c>
      <c r="R41">
        <v>3000</v>
      </c>
      <c r="S41" t="s">
        <v>113</v>
      </c>
      <c r="T41">
        <v>167178</v>
      </c>
      <c r="U41" t="s">
        <v>1925</v>
      </c>
      <c r="V41">
        <v>0</v>
      </c>
      <c r="W41" t="s">
        <v>1925</v>
      </c>
      <c r="X41">
        <v>0</v>
      </c>
      <c r="Y41" t="s">
        <v>1925</v>
      </c>
      <c r="Z41">
        <v>27</v>
      </c>
      <c r="AA41" t="s">
        <v>1926</v>
      </c>
      <c r="AB41">
        <v>3845094</v>
      </c>
      <c r="AC41" t="s">
        <v>1925</v>
      </c>
      <c r="AD41" t="s">
        <v>216</v>
      </c>
    </row>
    <row r="42" spans="1:30">
      <c r="A42">
        <v>220827</v>
      </c>
      <c r="B42">
        <v>20</v>
      </c>
      <c r="C42" t="s">
        <v>1921</v>
      </c>
      <c r="D42" t="s">
        <v>1922</v>
      </c>
      <c r="E42" t="s">
        <v>21</v>
      </c>
      <c r="F42" t="s">
        <v>21</v>
      </c>
      <c r="G42">
        <v>0</v>
      </c>
      <c r="H42">
        <v>1000</v>
      </c>
      <c r="I42">
        <v>99</v>
      </c>
      <c r="J42" t="s">
        <v>1923</v>
      </c>
      <c r="K42">
        <v>220827</v>
      </c>
      <c r="L42" t="s">
        <v>1924</v>
      </c>
      <c r="M42" t="s">
        <v>421</v>
      </c>
      <c r="N42">
        <v>0</v>
      </c>
      <c r="O42" t="s">
        <v>1921</v>
      </c>
      <c r="P42" t="s">
        <v>21</v>
      </c>
      <c r="Q42" t="s">
        <v>21</v>
      </c>
      <c r="R42">
        <v>3000</v>
      </c>
      <c r="S42" t="s">
        <v>113</v>
      </c>
      <c r="T42">
        <v>177308</v>
      </c>
      <c r="U42" t="s">
        <v>1925</v>
      </c>
      <c r="V42">
        <v>0</v>
      </c>
      <c r="W42" t="s">
        <v>1925</v>
      </c>
      <c r="X42">
        <v>0</v>
      </c>
      <c r="Y42" t="s">
        <v>1925</v>
      </c>
      <c r="Z42">
        <v>27</v>
      </c>
      <c r="AA42" t="s">
        <v>1926</v>
      </c>
      <c r="AB42">
        <v>3546160</v>
      </c>
      <c r="AC42" t="s">
        <v>1925</v>
      </c>
      <c r="AD42" t="s">
        <v>421</v>
      </c>
    </row>
    <row r="43" spans="1:30">
      <c r="A43">
        <v>222146</v>
      </c>
      <c r="B43">
        <v>84</v>
      </c>
      <c r="C43" t="s">
        <v>1921</v>
      </c>
      <c r="D43" t="s">
        <v>1922</v>
      </c>
      <c r="E43" t="s">
        <v>21</v>
      </c>
      <c r="F43" t="s">
        <v>21</v>
      </c>
      <c r="G43">
        <v>0</v>
      </c>
      <c r="H43">
        <v>1000</v>
      </c>
      <c r="I43">
        <v>99</v>
      </c>
      <c r="J43" t="s">
        <v>1923</v>
      </c>
      <c r="K43">
        <v>222146</v>
      </c>
      <c r="L43" t="s">
        <v>1924</v>
      </c>
      <c r="M43" t="s">
        <v>636</v>
      </c>
      <c r="N43">
        <v>0</v>
      </c>
      <c r="O43" t="s">
        <v>1921</v>
      </c>
      <c r="P43" t="s">
        <v>21</v>
      </c>
      <c r="Q43" t="s">
        <v>21</v>
      </c>
      <c r="R43">
        <v>3000</v>
      </c>
      <c r="S43" t="s">
        <v>113</v>
      </c>
      <c r="T43">
        <v>53543</v>
      </c>
      <c r="U43" t="s">
        <v>1925</v>
      </c>
      <c r="V43">
        <v>0</v>
      </c>
      <c r="W43" t="s">
        <v>1925</v>
      </c>
      <c r="X43">
        <v>0</v>
      </c>
      <c r="Y43" t="s">
        <v>1925</v>
      </c>
      <c r="Z43">
        <v>27</v>
      </c>
      <c r="AA43" t="s">
        <v>1926</v>
      </c>
      <c r="AB43">
        <v>4497612</v>
      </c>
      <c r="AC43" t="s">
        <v>1925</v>
      </c>
      <c r="AD43" t="s">
        <v>633</v>
      </c>
    </row>
    <row r="44" spans="1:30">
      <c r="A44">
        <v>222146</v>
      </c>
      <c r="B44">
        <v>160</v>
      </c>
      <c r="C44" t="s">
        <v>1921</v>
      </c>
      <c r="D44" t="s">
        <v>1928</v>
      </c>
      <c r="E44" t="s">
        <v>21</v>
      </c>
      <c r="F44" t="s">
        <v>21</v>
      </c>
      <c r="G44">
        <v>0</v>
      </c>
      <c r="H44">
        <v>1000</v>
      </c>
      <c r="I44">
        <v>99</v>
      </c>
      <c r="J44" t="s">
        <v>1923</v>
      </c>
      <c r="K44">
        <v>222146</v>
      </c>
      <c r="L44" t="s">
        <v>1924</v>
      </c>
      <c r="M44" t="s">
        <v>636</v>
      </c>
      <c r="N44">
        <v>0</v>
      </c>
      <c r="O44" t="s">
        <v>1921</v>
      </c>
      <c r="P44" t="s">
        <v>21</v>
      </c>
      <c r="Q44" t="s">
        <v>21</v>
      </c>
      <c r="R44">
        <v>3000</v>
      </c>
      <c r="S44" t="s">
        <v>113</v>
      </c>
      <c r="T44">
        <v>53543</v>
      </c>
      <c r="U44" t="s">
        <v>1925</v>
      </c>
      <c r="V44">
        <v>0</v>
      </c>
      <c r="W44" t="s">
        <v>1925</v>
      </c>
      <c r="X44">
        <v>0</v>
      </c>
      <c r="Y44" t="s">
        <v>1925</v>
      </c>
      <c r="Z44">
        <v>27</v>
      </c>
      <c r="AA44" t="s">
        <v>1926</v>
      </c>
      <c r="AB44">
        <v>8566880</v>
      </c>
      <c r="AC44" t="s">
        <v>1925</v>
      </c>
      <c r="AD44" t="s">
        <v>633</v>
      </c>
    </row>
    <row r="45" spans="1:30">
      <c r="A45">
        <v>222644</v>
      </c>
      <c r="B45">
        <v>14</v>
      </c>
      <c r="C45" t="s">
        <v>1921</v>
      </c>
      <c r="D45" t="s">
        <v>1922</v>
      </c>
      <c r="E45" t="s">
        <v>21</v>
      </c>
      <c r="F45" t="s">
        <v>21</v>
      </c>
      <c r="G45">
        <v>0</v>
      </c>
      <c r="H45">
        <v>1000</v>
      </c>
      <c r="I45">
        <v>99</v>
      </c>
      <c r="J45" t="s">
        <v>1923</v>
      </c>
      <c r="K45">
        <v>222644</v>
      </c>
      <c r="L45" t="s">
        <v>1924</v>
      </c>
      <c r="M45" t="s">
        <v>844</v>
      </c>
      <c r="N45">
        <v>0</v>
      </c>
      <c r="O45" t="s">
        <v>1921</v>
      </c>
      <c r="P45" t="s">
        <v>21</v>
      </c>
      <c r="Q45" t="s">
        <v>21</v>
      </c>
      <c r="R45">
        <v>3000</v>
      </c>
      <c r="S45" t="s">
        <v>113</v>
      </c>
      <c r="T45">
        <v>43631</v>
      </c>
      <c r="U45" t="s">
        <v>1925</v>
      </c>
      <c r="V45">
        <v>0</v>
      </c>
      <c r="W45" t="s">
        <v>1925</v>
      </c>
      <c r="X45">
        <v>0</v>
      </c>
      <c r="Y45" t="s">
        <v>1925</v>
      </c>
      <c r="Z45">
        <v>27</v>
      </c>
      <c r="AA45" t="s">
        <v>1926</v>
      </c>
      <c r="AB45">
        <v>610834</v>
      </c>
      <c r="AC45" t="s">
        <v>1925</v>
      </c>
      <c r="AD45" t="s">
        <v>840</v>
      </c>
    </row>
    <row r="46" spans="1:30">
      <c r="A46">
        <v>222645</v>
      </c>
      <c r="B46">
        <v>16</v>
      </c>
      <c r="C46" t="s">
        <v>1921</v>
      </c>
      <c r="D46" t="s">
        <v>1922</v>
      </c>
      <c r="E46" t="s">
        <v>21</v>
      </c>
      <c r="F46" t="s">
        <v>21</v>
      </c>
      <c r="G46">
        <v>0</v>
      </c>
      <c r="H46">
        <v>1000</v>
      </c>
      <c r="I46">
        <v>99</v>
      </c>
      <c r="J46" t="s">
        <v>1923</v>
      </c>
      <c r="K46">
        <v>222645</v>
      </c>
      <c r="L46" t="s">
        <v>1924</v>
      </c>
      <c r="M46" t="s">
        <v>627</v>
      </c>
      <c r="N46">
        <v>0</v>
      </c>
      <c r="O46" t="s">
        <v>1921</v>
      </c>
      <c r="P46" t="s">
        <v>21</v>
      </c>
      <c r="Q46" t="s">
        <v>21</v>
      </c>
      <c r="R46">
        <v>3000</v>
      </c>
      <c r="S46" t="s">
        <v>113</v>
      </c>
      <c r="T46">
        <v>57852</v>
      </c>
      <c r="U46" t="s">
        <v>1925</v>
      </c>
      <c r="V46">
        <v>0</v>
      </c>
      <c r="W46" t="s">
        <v>1925</v>
      </c>
      <c r="X46">
        <v>0</v>
      </c>
      <c r="Y46" t="s">
        <v>1925</v>
      </c>
      <c r="Z46">
        <v>27</v>
      </c>
      <c r="AA46" t="s">
        <v>1926</v>
      </c>
      <c r="AB46">
        <v>925632</v>
      </c>
      <c r="AC46" t="s">
        <v>1925</v>
      </c>
      <c r="AD46" t="s">
        <v>624</v>
      </c>
    </row>
    <row r="47" spans="1:30">
      <c r="A47">
        <v>222645</v>
      </c>
      <c r="B47">
        <v>120</v>
      </c>
      <c r="C47" t="s">
        <v>1921</v>
      </c>
      <c r="D47" t="s">
        <v>1928</v>
      </c>
      <c r="E47" t="s">
        <v>21</v>
      </c>
      <c r="F47" t="s">
        <v>21</v>
      </c>
      <c r="G47">
        <v>0</v>
      </c>
      <c r="H47">
        <v>1000</v>
      </c>
      <c r="I47">
        <v>99</v>
      </c>
      <c r="J47" t="s">
        <v>1923</v>
      </c>
      <c r="K47">
        <v>222645</v>
      </c>
      <c r="L47" t="s">
        <v>1924</v>
      </c>
      <c r="M47" t="s">
        <v>627</v>
      </c>
      <c r="N47">
        <v>0</v>
      </c>
      <c r="O47" t="s">
        <v>1921</v>
      </c>
      <c r="P47" t="s">
        <v>21</v>
      </c>
      <c r="Q47" t="s">
        <v>21</v>
      </c>
      <c r="R47">
        <v>3000</v>
      </c>
      <c r="S47" t="s">
        <v>113</v>
      </c>
      <c r="T47">
        <v>57852</v>
      </c>
      <c r="U47" t="s">
        <v>1925</v>
      </c>
      <c r="V47">
        <v>0</v>
      </c>
      <c r="W47" t="s">
        <v>1925</v>
      </c>
      <c r="X47">
        <v>0</v>
      </c>
      <c r="Y47" t="s">
        <v>1925</v>
      </c>
      <c r="Z47">
        <v>27</v>
      </c>
      <c r="AA47" t="s">
        <v>1926</v>
      </c>
      <c r="AB47">
        <v>6942240</v>
      </c>
      <c r="AC47" t="s">
        <v>1925</v>
      </c>
      <c r="AD47" t="s">
        <v>624</v>
      </c>
    </row>
    <row r="48" spans="1:30">
      <c r="A48">
        <v>222649</v>
      </c>
      <c r="B48">
        <v>63</v>
      </c>
      <c r="C48" t="s">
        <v>1921</v>
      </c>
      <c r="D48" t="s">
        <v>1922</v>
      </c>
      <c r="E48" t="s">
        <v>21</v>
      </c>
      <c r="F48" t="s">
        <v>21</v>
      </c>
      <c r="G48">
        <v>0</v>
      </c>
      <c r="H48">
        <v>1000</v>
      </c>
      <c r="I48">
        <v>99</v>
      </c>
      <c r="J48" t="s">
        <v>1923</v>
      </c>
      <c r="K48">
        <v>222649</v>
      </c>
      <c r="L48" t="s">
        <v>1924</v>
      </c>
      <c r="M48" t="s">
        <v>711</v>
      </c>
      <c r="N48">
        <v>0</v>
      </c>
      <c r="O48" t="s">
        <v>1921</v>
      </c>
      <c r="P48" t="s">
        <v>21</v>
      </c>
      <c r="Q48" t="s">
        <v>21</v>
      </c>
      <c r="R48">
        <v>3000</v>
      </c>
      <c r="S48" t="s">
        <v>113</v>
      </c>
      <c r="T48">
        <v>72377</v>
      </c>
      <c r="U48" t="s">
        <v>1925</v>
      </c>
      <c r="V48">
        <v>0</v>
      </c>
      <c r="W48" t="s">
        <v>1925</v>
      </c>
      <c r="X48">
        <v>0</v>
      </c>
      <c r="Y48" t="s">
        <v>1925</v>
      </c>
      <c r="Z48">
        <v>27</v>
      </c>
      <c r="AA48" t="s">
        <v>1926</v>
      </c>
      <c r="AB48">
        <v>4559751</v>
      </c>
      <c r="AC48" t="s">
        <v>1925</v>
      </c>
      <c r="AD48" t="s">
        <v>708</v>
      </c>
    </row>
    <row r="49" spans="1:30">
      <c r="A49">
        <v>222650</v>
      </c>
      <c r="B49">
        <v>84</v>
      </c>
      <c r="C49" t="s">
        <v>1921</v>
      </c>
      <c r="D49" t="s">
        <v>1922</v>
      </c>
      <c r="E49" t="s">
        <v>21</v>
      </c>
      <c r="F49" t="s">
        <v>21</v>
      </c>
      <c r="G49">
        <v>0</v>
      </c>
      <c r="H49">
        <v>1000</v>
      </c>
      <c r="I49">
        <v>99</v>
      </c>
      <c r="J49" t="s">
        <v>1923</v>
      </c>
      <c r="K49">
        <v>222650</v>
      </c>
      <c r="L49" t="s">
        <v>1924</v>
      </c>
      <c r="M49" t="s">
        <v>766</v>
      </c>
      <c r="N49">
        <v>0</v>
      </c>
      <c r="O49" t="s">
        <v>1921</v>
      </c>
      <c r="P49" t="s">
        <v>21</v>
      </c>
      <c r="Q49" t="s">
        <v>21</v>
      </c>
      <c r="R49">
        <v>3000</v>
      </c>
      <c r="S49" t="s">
        <v>113</v>
      </c>
      <c r="T49">
        <v>59587</v>
      </c>
      <c r="U49" t="s">
        <v>1925</v>
      </c>
      <c r="V49">
        <v>0</v>
      </c>
      <c r="W49" t="s">
        <v>1925</v>
      </c>
      <c r="X49">
        <v>0</v>
      </c>
      <c r="Y49" t="s">
        <v>1925</v>
      </c>
      <c r="Z49">
        <v>27</v>
      </c>
      <c r="AA49" t="s">
        <v>1926</v>
      </c>
      <c r="AB49">
        <v>5005308</v>
      </c>
      <c r="AC49" t="s">
        <v>1925</v>
      </c>
      <c r="AD49" t="s">
        <v>764</v>
      </c>
    </row>
    <row r="50" spans="1:30">
      <c r="A50">
        <v>222650</v>
      </c>
      <c r="B50">
        <v>278</v>
      </c>
      <c r="C50" t="s">
        <v>1921</v>
      </c>
      <c r="D50" t="s">
        <v>1928</v>
      </c>
      <c r="E50" t="s">
        <v>21</v>
      </c>
      <c r="F50" t="s">
        <v>21</v>
      </c>
      <c r="G50">
        <v>0</v>
      </c>
      <c r="H50">
        <v>1000</v>
      </c>
      <c r="I50">
        <v>99</v>
      </c>
      <c r="J50" t="s">
        <v>1923</v>
      </c>
      <c r="K50">
        <v>222650</v>
      </c>
      <c r="L50" t="s">
        <v>1924</v>
      </c>
      <c r="M50" t="s">
        <v>766</v>
      </c>
      <c r="N50">
        <v>0</v>
      </c>
      <c r="O50" t="s">
        <v>1921</v>
      </c>
      <c r="P50" t="s">
        <v>21</v>
      </c>
      <c r="Q50" t="s">
        <v>21</v>
      </c>
      <c r="R50">
        <v>3000</v>
      </c>
      <c r="S50" t="s">
        <v>113</v>
      </c>
      <c r="T50">
        <v>59587</v>
      </c>
      <c r="U50" t="s">
        <v>1925</v>
      </c>
      <c r="V50">
        <v>0</v>
      </c>
      <c r="W50" t="s">
        <v>1925</v>
      </c>
      <c r="X50">
        <v>0</v>
      </c>
      <c r="Y50" t="s">
        <v>1925</v>
      </c>
      <c r="Z50">
        <v>27</v>
      </c>
      <c r="AA50" t="s">
        <v>1926</v>
      </c>
      <c r="AB50">
        <v>16565186</v>
      </c>
      <c r="AC50" t="s">
        <v>1925</v>
      </c>
      <c r="AD50" t="s">
        <v>764</v>
      </c>
    </row>
    <row r="51" spans="1:30">
      <c r="A51">
        <v>223057</v>
      </c>
      <c r="B51">
        <v>75</v>
      </c>
      <c r="C51" t="s">
        <v>1921</v>
      </c>
      <c r="D51" t="s">
        <v>1922</v>
      </c>
      <c r="E51" t="s">
        <v>21</v>
      </c>
      <c r="F51" t="s">
        <v>21</v>
      </c>
      <c r="G51">
        <v>0</v>
      </c>
      <c r="H51">
        <v>1000</v>
      </c>
      <c r="I51">
        <v>99</v>
      </c>
      <c r="J51" t="s">
        <v>1923</v>
      </c>
      <c r="K51">
        <v>223057</v>
      </c>
      <c r="L51" t="s">
        <v>1924</v>
      </c>
      <c r="M51" t="s">
        <v>786</v>
      </c>
      <c r="N51">
        <v>0</v>
      </c>
      <c r="O51" t="s">
        <v>1921</v>
      </c>
      <c r="P51" t="s">
        <v>21</v>
      </c>
      <c r="Q51" t="s">
        <v>21</v>
      </c>
      <c r="R51">
        <v>3000</v>
      </c>
      <c r="S51" t="s">
        <v>113</v>
      </c>
      <c r="T51">
        <v>98778</v>
      </c>
      <c r="U51" t="s">
        <v>1925</v>
      </c>
      <c r="V51">
        <v>0</v>
      </c>
      <c r="W51" t="s">
        <v>1925</v>
      </c>
      <c r="X51">
        <v>0</v>
      </c>
      <c r="Y51" t="s">
        <v>1925</v>
      </c>
      <c r="Z51">
        <v>27</v>
      </c>
      <c r="AA51" t="s">
        <v>1926</v>
      </c>
      <c r="AB51">
        <v>7408350</v>
      </c>
      <c r="AC51" t="s">
        <v>1925</v>
      </c>
      <c r="AD51" t="s">
        <v>785</v>
      </c>
    </row>
    <row r="52" spans="1:30">
      <c r="A52">
        <v>223057</v>
      </c>
      <c r="B52">
        <v>550</v>
      </c>
      <c r="C52" t="s">
        <v>1921</v>
      </c>
      <c r="D52" t="s">
        <v>1928</v>
      </c>
      <c r="E52" t="s">
        <v>21</v>
      </c>
      <c r="F52" t="s">
        <v>21</v>
      </c>
      <c r="G52">
        <v>0</v>
      </c>
      <c r="H52">
        <v>1000</v>
      </c>
      <c r="I52">
        <v>99</v>
      </c>
      <c r="J52" t="s">
        <v>1923</v>
      </c>
      <c r="K52">
        <v>223057</v>
      </c>
      <c r="L52" t="s">
        <v>1924</v>
      </c>
      <c r="M52" t="s">
        <v>786</v>
      </c>
      <c r="N52">
        <v>0</v>
      </c>
      <c r="O52" t="s">
        <v>1921</v>
      </c>
      <c r="P52" t="s">
        <v>21</v>
      </c>
      <c r="Q52" t="s">
        <v>21</v>
      </c>
      <c r="R52">
        <v>3000</v>
      </c>
      <c r="S52" t="s">
        <v>113</v>
      </c>
      <c r="T52">
        <v>98778</v>
      </c>
      <c r="U52" t="s">
        <v>1925</v>
      </c>
      <c r="V52">
        <v>0</v>
      </c>
      <c r="W52" t="s">
        <v>1925</v>
      </c>
      <c r="X52">
        <v>0</v>
      </c>
      <c r="Y52" t="s">
        <v>1925</v>
      </c>
      <c r="Z52">
        <v>27</v>
      </c>
      <c r="AA52" t="s">
        <v>1926</v>
      </c>
      <c r="AB52">
        <v>54327900</v>
      </c>
      <c r="AC52" t="s">
        <v>1925</v>
      </c>
      <c r="AD52" t="s">
        <v>785</v>
      </c>
    </row>
    <row r="53" spans="1:30">
      <c r="A53">
        <v>223058</v>
      </c>
      <c r="B53">
        <v>62</v>
      </c>
      <c r="C53" t="s">
        <v>1921</v>
      </c>
      <c r="D53" t="s">
        <v>1922</v>
      </c>
      <c r="E53" t="s">
        <v>21</v>
      </c>
      <c r="F53" t="s">
        <v>21</v>
      </c>
      <c r="G53">
        <v>0</v>
      </c>
      <c r="H53">
        <v>1000</v>
      </c>
      <c r="I53">
        <v>99</v>
      </c>
      <c r="J53" t="s">
        <v>1923</v>
      </c>
      <c r="K53">
        <v>223058</v>
      </c>
      <c r="L53" t="s">
        <v>1924</v>
      </c>
      <c r="M53" t="s">
        <v>729</v>
      </c>
      <c r="N53">
        <v>0</v>
      </c>
      <c r="O53" t="s">
        <v>1921</v>
      </c>
      <c r="P53" t="s">
        <v>21</v>
      </c>
      <c r="Q53" t="s">
        <v>21</v>
      </c>
      <c r="R53">
        <v>3000</v>
      </c>
      <c r="S53" t="s">
        <v>113</v>
      </c>
      <c r="T53">
        <v>123928</v>
      </c>
      <c r="U53" t="s">
        <v>1925</v>
      </c>
      <c r="V53">
        <v>0</v>
      </c>
      <c r="W53" t="s">
        <v>1925</v>
      </c>
      <c r="X53">
        <v>0</v>
      </c>
      <c r="Y53" t="s">
        <v>1925</v>
      </c>
      <c r="Z53">
        <v>27</v>
      </c>
      <c r="AA53" t="s">
        <v>1926</v>
      </c>
      <c r="AB53">
        <v>7683536</v>
      </c>
      <c r="AC53" t="s">
        <v>1925</v>
      </c>
      <c r="AD53" t="s">
        <v>728</v>
      </c>
    </row>
    <row r="54" spans="1:30">
      <c r="A54">
        <v>223063</v>
      </c>
      <c r="B54">
        <v>1</v>
      </c>
      <c r="C54" t="s">
        <v>1921</v>
      </c>
      <c r="D54" t="s">
        <v>1922</v>
      </c>
      <c r="E54" t="s">
        <v>21</v>
      </c>
      <c r="F54" t="s">
        <v>21</v>
      </c>
      <c r="G54">
        <v>0</v>
      </c>
      <c r="H54">
        <v>1000</v>
      </c>
      <c r="I54">
        <v>99</v>
      </c>
      <c r="J54" t="s">
        <v>1923</v>
      </c>
      <c r="K54">
        <v>223063</v>
      </c>
      <c r="L54" t="s">
        <v>1924</v>
      </c>
      <c r="M54" t="s">
        <v>2697</v>
      </c>
      <c r="N54">
        <v>0</v>
      </c>
      <c r="O54" t="s">
        <v>1921</v>
      </c>
      <c r="P54" t="s">
        <v>21</v>
      </c>
      <c r="Q54" t="s">
        <v>21</v>
      </c>
      <c r="R54">
        <v>3000</v>
      </c>
      <c r="S54" t="s">
        <v>113</v>
      </c>
      <c r="T54">
        <v>64331</v>
      </c>
      <c r="U54" t="s">
        <v>1925</v>
      </c>
      <c r="V54">
        <v>0</v>
      </c>
      <c r="W54" t="s">
        <v>1925</v>
      </c>
      <c r="X54">
        <v>0</v>
      </c>
      <c r="Y54" t="s">
        <v>1925</v>
      </c>
      <c r="Z54">
        <v>27</v>
      </c>
      <c r="AA54" t="s">
        <v>1926</v>
      </c>
      <c r="AB54">
        <v>64331</v>
      </c>
      <c r="AC54" t="s">
        <v>1925</v>
      </c>
      <c r="AD54" t="s">
        <v>698</v>
      </c>
    </row>
    <row r="55" spans="1:30">
      <c r="A55">
        <v>223065</v>
      </c>
      <c r="B55">
        <v>36</v>
      </c>
      <c r="C55" t="s">
        <v>1921</v>
      </c>
      <c r="D55" t="s">
        <v>1922</v>
      </c>
      <c r="E55" t="s">
        <v>21</v>
      </c>
      <c r="F55" t="s">
        <v>21</v>
      </c>
      <c r="G55">
        <v>0</v>
      </c>
      <c r="H55">
        <v>1000</v>
      </c>
      <c r="I55">
        <v>99</v>
      </c>
      <c r="J55" t="s">
        <v>1923</v>
      </c>
      <c r="K55">
        <v>223065</v>
      </c>
      <c r="L55" t="s">
        <v>1924</v>
      </c>
      <c r="M55" t="s">
        <v>677</v>
      </c>
      <c r="N55">
        <v>0</v>
      </c>
      <c r="O55" t="s">
        <v>1921</v>
      </c>
      <c r="P55" t="s">
        <v>21</v>
      </c>
      <c r="Q55" t="s">
        <v>21</v>
      </c>
      <c r="R55">
        <v>3000</v>
      </c>
      <c r="S55" t="s">
        <v>113</v>
      </c>
      <c r="T55">
        <v>45655</v>
      </c>
      <c r="U55" t="s">
        <v>1925</v>
      </c>
      <c r="V55">
        <v>0</v>
      </c>
      <c r="W55" t="s">
        <v>1925</v>
      </c>
      <c r="X55">
        <v>0</v>
      </c>
      <c r="Y55" t="s">
        <v>1925</v>
      </c>
      <c r="Z55">
        <v>27</v>
      </c>
      <c r="AA55" t="s">
        <v>1926</v>
      </c>
      <c r="AB55">
        <v>1643580</v>
      </c>
      <c r="AC55" t="s">
        <v>1925</v>
      </c>
      <c r="AD55" t="s">
        <v>1932</v>
      </c>
    </row>
    <row r="56" spans="1:30">
      <c r="A56">
        <v>223067</v>
      </c>
      <c r="B56">
        <v>22</v>
      </c>
      <c r="C56" t="s">
        <v>1921</v>
      </c>
      <c r="D56" t="s">
        <v>1922</v>
      </c>
      <c r="E56" t="s">
        <v>21</v>
      </c>
      <c r="F56" t="s">
        <v>21</v>
      </c>
      <c r="G56">
        <v>0</v>
      </c>
      <c r="H56">
        <v>1000</v>
      </c>
      <c r="I56">
        <v>99</v>
      </c>
      <c r="J56" t="s">
        <v>1923</v>
      </c>
      <c r="K56">
        <v>223067</v>
      </c>
      <c r="L56" t="s">
        <v>1924</v>
      </c>
      <c r="M56" t="s">
        <v>576</v>
      </c>
      <c r="N56">
        <v>0</v>
      </c>
      <c r="O56" t="s">
        <v>1921</v>
      </c>
      <c r="P56" t="s">
        <v>21</v>
      </c>
      <c r="Q56" t="s">
        <v>21</v>
      </c>
      <c r="R56">
        <v>3000</v>
      </c>
      <c r="S56" t="s">
        <v>113</v>
      </c>
      <c r="T56">
        <v>64133</v>
      </c>
      <c r="U56" t="s">
        <v>1925</v>
      </c>
      <c r="V56">
        <v>0</v>
      </c>
      <c r="W56" t="s">
        <v>1925</v>
      </c>
      <c r="X56">
        <v>0</v>
      </c>
      <c r="Y56" t="s">
        <v>1925</v>
      </c>
      <c r="Z56">
        <v>27</v>
      </c>
      <c r="AA56" t="s">
        <v>1926</v>
      </c>
      <c r="AB56">
        <v>1410926</v>
      </c>
      <c r="AC56" t="s">
        <v>1925</v>
      </c>
      <c r="AD56" t="s">
        <v>1933</v>
      </c>
    </row>
    <row r="57" spans="1:30">
      <c r="A57">
        <v>223074</v>
      </c>
      <c r="B57">
        <v>46</v>
      </c>
      <c r="C57" t="s">
        <v>1921</v>
      </c>
      <c r="D57" t="s">
        <v>1922</v>
      </c>
      <c r="E57" t="s">
        <v>21</v>
      </c>
      <c r="F57" t="s">
        <v>21</v>
      </c>
      <c r="G57">
        <v>0</v>
      </c>
      <c r="H57">
        <v>1000</v>
      </c>
      <c r="I57">
        <v>99</v>
      </c>
      <c r="J57" t="s">
        <v>1923</v>
      </c>
      <c r="K57">
        <v>223074</v>
      </c>
      <c r="L57" t="s">
        <v>1924</v>
      </c>
      <c r="M57" t="s">
        <v>578</v>
      </c>
      <c r="N57">
        <v>0</v>
      </c>
      <c r="O57" t="s">
        <v>1921</v>
      </c>
      <c r="P57" t="s">
        <v>21</v>
      </c>
      <c r="Q57" t="s">
        <v>21</v>
      </c>
      <c r="R57">
        <v>3000</v>
      </c>
      <c r="S57" t="s">
        <v>113</v>
      </c>
      <c r="T57">
        <v>66443</v>
      </c>
      <c r="U57" t="s">
        <v>1925</v>
      </c>
      <c r="V57">
        <v>0</v>
      </c>
      <c r="W57" t="s">
        <v>1925</v>
      </c>
      <c r="X57">
        <v>0</v>
      </c>
      <c r="Y57" t="s">
        <v>1925</v>
      </c>
      <c r="Z57">
        <v>27</v>
      </c>
      <c r="AA57" t="s">
        <v>1926</v>
      </c>
      <c r="AB57">
        <v>3056378</v>
      </c>
      <c r="AC57" t="s">
        <v>1925</v>
      </c>
      <c r="AD57" t="s">
        <v>577</v>
      </c>
    </row>
    <row r="58" spans="1:30">
      <c r="A58">
        <v>281821</v>
      </c>
      <c r="B58">
        <v>22</v>
      </c>
      <c r="C58" t="s">
        <v>1921</v>
      </c>
      <c r="D58" t="s">
        <v>1922</v>
      </c>
      <c r="E58" t="s">
        <v>21</v>
      </c>
      <c r="F58" t="s">
        <v>21</v>
      </c>
      <c r="G58">
        <v>0</v>
      </c>
      <c r="H58">
        <v>1000</v>
      </c>
      <c r="I58">
        <v>99</v>
      </c>
      <c r="J58" t="s">
        <v>1923</v>
      </c>
      <c r="K58">
        <v>281821</v>
      </c>
      <c r="L58" t="s">
        <v>1924</v>
      </c>
      <c r="M58" t="s">
        <v>590</v>
      </c>
      <c r="N58">
        <v>0</v>
      </c>
      <c r="O58" t="s">
        <v>1921</v>
      </c>
      <c r="P58" t="s">
        <v>21</v>
      </c>
      <c r="Q58" t="s">
        <v>21</v>
      </c>
      <c r="R58">
        <v>3000</v>
      </c>
      <c r="S58" t="s">
        <v>113</v>
      </c>
      <c r="T58">
        <v>126153</v>
      </c>
      <c r="U58" t="s">
        <v>1925</v>
      </c>
      <c r="V58">
        <v>0</v>
      </c>
      <c r="W58" t="s">
        <v>1925</v>
      </c>
      <c r="X58">
        <v>0</v>
      </c>
      <c r="Y58" t="s">
        <v>1925</v>
      </c>
      <c r="Z58">
        <v>27</v>
      </c>
      <c r="AA58" t="s">
        <v>1926</v>
      </c>
      <c r="AB58">
        <v>2775366</v>
      </c>
      <c r="AC58" t="s">
        <v>1925</v>
      </c>
      <c r="AD58" t="s">
        <v>1934</v>
      </c>
    </row>
    <row r="59" spans="1:30">
      <c r="A59">
        <v>281821</v>
      </c>
      <c r="B59">
        <v>208</v>
      </c>
      <c r="C59" t="s">
        <v>1921</v>
      </c>
      <c r="D59" t="s">
        <v>1928</v>
      </c>
      <c r="E59" t="s">
        <v>21</v>
      </c>
      <c r="F59" t="s">
        <v>21</v>
      </c>
      <c r="G59">
        <v>0</v>
      </c>
      <c r="H59">
        <v>1000</v>
      </c>
      <c r="I59">
        <v>99</v>
      </c>
      <c r="J59" t="s">
        <v>1923</v>
      </c>
      <c r="K59">
        <v>281821</v>
      </c>
      <c r="L59" t="s">
        <v>1924</v>
      </c>
      <c r="M59" t="s">
        <v>590</v>
      </c>
      <c r="N59">
        <v>0</v>
      </c>
      <c r="O59" t="s">
        <v>1921</v>
      </c>
      <c r="P59" t="s">
        <v>21</v>
      </c>
      <c r="Q59" t="s">
        <v>21</v>
      </c>
      <c r="R59">
        <v>3000</v>
      </c>
      <c r="S59" t="s">
        <v>113</v>
      </c>
      <c r="T59">
        <v>126153</v>
      </c>
      <c r="U59" t="s">
        <v>1925</v>
      </c>
      <c r="V59">
        <v>0</v>
      </c>
      <c r="W59" t="s">
        <v>1925</v>
      </c>
      <c r="X59">
        <v>0</v>
      </c>
      <c r="Y59" t="s">
        <v>1925</v>
      </c>
      <c r="Z59">
        <v>27</v>
      </c>
      <c r="AA59" t="s">
        <v>1926</v>
      </c>
      <c r="AB59">
        <v>26239824</v>
      </c>
      <c r="AC59" t="s">
        <v>1925</v>
      </c>
      <c r="AD59" t="s">
        <v>1934</v>
      </c>
    </row>
    <row r="60" spans="1:30">
      <c r="A60">
        <v>284149</v>
      </c>
      <c r="B60">
        <v>14</v>
      </c>
      <c r="C60" t="s">
        <v>1921</v>
      </c>
      <c r="D60" t="s">
        <v>1922</v>
      </c>
      <c r="E60" t="s">
        <v>21</v>
      </c>
      <c r="F60" t="s">
        <v>21</v>
      </c>
      <c r="G60">
        <v>0</v>
      </c>
      <c r="H60">
        <v>1000</v>
      </c>
      <c r="I60">
        <v>99</v>
      </c>
      <c r="J60" t="s">
        <v>1923</v>
      </c>
      <c r="K60">
        <v>284149</v>
      </c>
      <c r="L60" t="s">
        <v>1924</v>
      </c>
      <c r="M60" t="s">
        <v>599</v>
      </c>
      <c r="N60">
        <v>0</v>
      </c>
      <c r="O60" t="s">
        <v>1921</v>
      </c>
      <c r="P60" t="s">
        <v>21</v>
      </c>
      <c r="Q60" t="s">
        <v>21</v>
      </c>
      <c r="R60">
        <v>3000</v>
      </c>
      <c r="S60" t="s">
        <v>113</v>
      </c>
      <c r="T60">
        <v>59179</v>
      </c>
      <c r="U60" t="s">
        <v>1925</v>
      </c>
      <c r="V60">
        <v>0</v>
      </c>
      <c r="W60" t="s">
        <v>1925</v>
      </c>
      <c r="X60">
        <v>0</v>
      </c>
      <c r="Y60" t="s">
        <v>1925</v>
      </c>
      <c r="Z60">
        <v>27</v>
      </c>
      <c r="AA60" t="s">
        <v>1926</v>
      </c>
      <c r="AB60">
        <v>828506</v>
      </c>
      <c r="AC60" t="s">
        <v>1925</v>
      </c>
      <c r="AD60" t="s">
        <v>1935</v>
      </c>
    </row>
    <row r="61" spans="1:30">
      <c r="A61">
        <v>284149</v>
      </c>
      <c r="B61">
        <v>688</v>
      </c>
      <c r="C61" t="s">
        <v>1921</v>
      </c>
      <c r="D61" t="s">
        <v>1928</v>
      </c>
      <c r="E61" t="s">
        <v>21</v>
      </c>
      <c r="F61" t="s">
        <v>21</v>
      </c>
      <c r="G61">
        <v>0</v>
      </c>
      <c r="H61">
        <v>1000</v>
      </c>
      <c r="I61">
        <v>99</v>
      </c>
      <c r="J61" t="s">
        <v>1923</v>
      </c>
      <c r="K61">
        <v>284149</v>
      </c>
      <c r="L61" t="s">
        <v>1924</v>
      </c>
      <c r="M61" t="s">
        <v>599</v>
      </c>
      <c r="N61">
        <v>0</v>
      </c>
      <c r="O61" t="s">
        <v>1921</v>
      </c>
      <c r="P61" t="s">
        <v>21</v>
      </c>
      <c r="Q61" t="s">
        <v>21</v>
      </c>
      <c r="R61">
        <v>3000</v>
      </c>
      <c r="S61" t="s">
        <v>113</v>
      </c>
      <c r="T61">
        <v>59179</v>
      </c>
      <c r="U61" t="s">
        <v>1925</v>
      </c>
      <c r="V61">
        <v>0</v>
      </c>
      <c r="W61" t="s">
        <v>1925</v>
      </c>
      <c r="X61">
        <v>0</v>
      </c>
      <c r="Y61" t="s">
        <v>1925</v>
      </c>
      <c r="Z61">
        <v>27</v>
      </c>
      <c r="AA61" t="s">
        <v>1926</v>
      </c>
      <c r="AB61">
        <v>40715152</v>
      </c>
      <c r="AC61" t="s">
        <v>1925</v>
      </c>
      <c r="AD61" t="s">
        <v>1935</v>
      </c>
    </row>
    <row r="62" spans="1:30">
      <c r="A62">
        <v>284150</v>
      </c>
      <c r="B62">
        <v>111</v>
      </c>
      <c r="C62" t="s">
        <v>1921</v>
      </c>
      <c r="D62" t="s">
        <v>1922</v>
      </c>
      <c r="E62" t="s">
        <v>21</v>
      </c>
      <c r="F62" t="s">
        <v>21</v>
      </c>
      <c r="G62">
        <v>0</v>
      </c>
      <c r="H62">
        <v>1000</v>
      </c>
      <c r="I62">
        <v>99</v>
      </c>
      <c r="J62" t="s">
        <v>1923</v>
      </c>
      <c r="K62">
        <v>284150</v>
      </c>
      <c r="L62" t="s">
        <v>1924</v>
      </c>
      <c r="M62" t="s">
        <v>659</v>
      </c>
      <c r="N62">
        <v>0</v>
      </c>
      <c r="O62" t="s">
        <v>1921</v>
      </c>
      <c r="P62" t="s">
        <v>21</v>
      </c>
      <c r="Q62" t="s">
        <v>21</v>
      </c>
      <c r="R62">
        <v>3000</v>
      </c>
      <c r="S62" t="s">
        <v>113</v>
      </c>
      <c r="T62">
        <v>48228</v>
      </c>
      <c r="U62" t="s">
        <v>1925</v>
      </c>
      <c r="V62">
        <v>0</v>
      </c>
      <c r="W62" t="s">
        <v>1925</v>
      </c>
      <c r="X62">
        <v>0</v>
      </c>
      <c r="Y62" t="s">
        <v>1925</v>
      </c>
      <c r="Z62">
        <v>27</v>
      </c>
      <c r="AA62" t="s">
        <v>1926</v>
      </c>
      <c r="AB62">
        <v>5353308</v>
      </c>
      <c r="AC62" t="s">
        <v>1925</v>
      </c>
      <c r="AD62" t="s">
        <v>657</v>
      </c>
    </row>
    <row r="63" spans="1:30">
      <c r="A63">
        <v>284150</v>
      </c>
      <c r="B63">
        <v>360</v>
      </c>
      <c r="C63" t="s">
        <v>1921</v>
      </c>
      <c r="D63" t="s">
        <v>1928</v>
      </c>
      <c r="E63" t="s">
        <v>21</v>
      </c>
      <c r="F63" t="s">
        <v>21</v>
      </c>
      <c r="G63">
        <v>0</v>
      </c>
      <c r="H63">
        <v>1000</v>
      </c>
      <c r="I63">
        <v>99</v>
      </c>
      <c r="J63" t="s">
        <v>1923</v>
      </c>
      <c r="K63">
        <v>284150</v>
      </c>
      <c r="L63" t="s">
        <v>1924</v>
      </c>
      <c r="M63" t="s">
        <v>659</v>
      </c>
      <c r="N63">
        <v>0</v>
      </c>
      <c r="O63" t="s">
        <v>1921</v>
      </c>
      <c r="P63" t="s">
        <v>21</v>
      </c>
      <c r="Q63" t="s">
        <v>21</v>
      </c>
      <c r="R63">
        <v>3000</v>
      </c>
      <c r="S63" t="s">
        <v>113</v>
      </c>
      <c r="T63">
        <v>48228</v>
      </c>
      <c r="U63" t="s">
        <v>1925</v>
      </c>
      <c r="V63">
        <v>0</v>
      </c>
      <c r="W63" t="s">
        <v>1925</v>
      </c>
      <c r="X63">
        <v>0</v>
      </c>
      <c r="Y63" t="s">
        <v>1925</v>
      </c>
      <c r="Z63">
        <v>27</v>
      </c>
      <c r="AA63" t="s">
        <v>1926</v>
      </c>
      <c r="AB63">
        <v>17362080</v>
      </c>
      <c r="AC63" t="s">
        <v>1925</v>
      </c>
      <c r="AD63" t="s">
        <v>657</v>
      </c>
    </row>
    <row r="64" spans="1:30">
      <c r="A64">
        <v>284151</v>
      </c>
      <c r="B64">
        <v>10</v>
      </c>
      <c r="C64" t="s">
        <v>1921</v>
      </c>
      <c r="D64" t="s">
        <v>1922</v>
      </c>
      <c r="E64" t="s">
        <v>21</v>
      </c>
      <c r="F64" t="s">
        <v>21</v>
      </c>
      <c r="G64">
        <v>0</v>
      </c>
      <c r="H64">
        <v>1000</v>
      </c>
      <c r="I64">
        <v>99</v>
      </c>
      <c r="J64" t="s">
        <v>1923</v>
      </c>
      <c r="K64">
        <v>284151</v>
      </c>
      <c r="L64" t="s">
        <v>1924</v>
      </c>
      <c r="M64" t="s">
        <v>684</v>
      </c>
      <c r="N64">
        <v>0</v>
      </c>
      <c r="O64" t="s">
        <v>1921</v>
      </c>
      <c r="P64" t="s">
        <v>21</v>
      </c>
      <c r="Q64" t="s">
        <v>21</v>
      </c>
      <c r="R64">
        <v>3000</v>
      </c>
      <c r="S64" t="s">
        <v>113</v>
      </c>
      <c r="T64">
        <v>39424</v>
      </c>
      <c r="U64" t="s">
        <v>1925</v>
      </c>
      <c r="V64">
        <v>0</v>
      </c>
      <c r="W64" t="s">
        <v>1925</v>
      </c>
      <c r="X64">
        <v>0</v>
      </c>
      <c r="Y64" t="s">
        <v>1925</v>
      </c>
      <c r="Z64">
        <v>27</v>
      </c>
      <c r="AA64" t="s">
        <v>1926</v>
      </c>
      <c r="AB64">
        <v>394240</v>
      </c>
      <c r="AC64" t="s">
        <v>1925</v>
      </c>
      <c r="AD64" t="s">
        <v>682</v>
      </c>
    </row>
    <row r="65" spans="1:30">
      <c r="A65">
        <v>284151</v>
      </c>
      <c r="B65">
        <v>432</v>
      </c>
      <c r="C65" t="s">
        <v>1921</v>
      </c>
      <c r="D65" t="s">
        <v>1928</v>
      </c>
      <c r="E65" t="s">
        <v>21</v>
      </c>
      <c r="F65" t="s">
        <v>21</v>
      </c>
      <c r="G65">
        <v>0</v>
      </c>
      <c r="H65">
        <v>1000</v>
      </c>
      <c r="I65">
        <v>99</v>
      </c>
      <c r="J65" t="s">
        <v>1923</v>
      </c>
      <c r="K65">
        <v>284151</v>
      </c>
      <c r="L65" t="s">
        <v>1924</v>
      </c>
      <c r="M65" t="s">
        <v>684</v>
      </c>
      <c r="N65">
        <v>0</v>
      </c>
      <c r="O65" t="s">
        <v>1921</v>
      </c>
      <c r="P65" t="s">
        <v>21</v>
      </c>
      <c r="Q65" t="s">
        <v>21</v>
      </c>
      <c r="R65">
        <v>3000</v>
      </c>
      <c r="S65" t="s">
        <v>113</v>
      </c>
      <c r="T65">
        <v>39424</v>
      </c>
      <c r="U65" t="s">
        <v>1925</v>
      </c>
      <c r="V65">
        <v>0</v>
      </c>
      <c r="W65" t="s">
        <v>1925</v>
      </c>
      <c r="X65">
        <v>0</v>
      </c>
      <c r="Y65" t="s">
        <v>1925</v>
      </c>
      <c r="Z65">
        <v>27</v>
      </c>
      <c r="AA65" t="s">
        <v>1926</v>
      </c>
      <c r="AB65">
        <v>17031168</v>
      </c>
      <c r="AC65" t="s">
        <v>1925</v>
      </c>
      <c r="AD65" t="s">
        <v>682</v>
      </c>
    </row>
    <row r="66" spans="1:30">
      <c r="A66">
        <v>286429</v>
      </c>
      <c r="B66">
        <v>142</v>
      </c>
      <c r="C66" t="s">
        <v>1921</v>
      </c>
      <c r="D66" t="s">
        <v>1928</v>
      </c>
      <c r="E66" t="s">
        <v>21</v>
      </c>
      <c r="F66" t="s">
        <v>21</v>
      </c>
      <c r="G66">
        <v>0</v>
      </c>
      <c r="H66">
        <v>1000</v>
      </c>
      <c r="I66">
        <v>99</v>
      </c>
      <c r="J66" t="s">
        <v>1923</v>
      </c>
      <c r="K66">
        <v>286429</v>
      </c>
      <c r="L66" t="s">
        <v>1924</v>
      </c>
      <c r="M66" t="s">
        <v>704</v>
      </c>
      <c r="N66">
        <v>0</v>
      </c>
      <c r="O66" t="s">
        <v>1921</v>
      </c>
      <c r="P66" t="s">
        <v>21</v>
      </c>
      <c r="Q66" t="s">
        <v>21</v>
      </c>
      <c r="R66">
        <v>3000</v>
      </c>
      <c r="S66" t="s">
        <v>113</v>
      </c>
      <c r="T66">
        <v>73377</v>
      </c>
      <c r="U66" t="s">
        <v>1925</v>
      </c>
      <c r="V66">
        <v>0</v>
      </c>
      <c r="W66" t="s">
        <v>1925</v>
      </c>
      <c r="X66">
        <v>0</v>
      </c>
      <c r="Y66" t="s">
        <v>1925</v>
      </c>
      <c r="Z66">
        <v>27</v>
      </c>
      <c r="AA66" t="s">
        <v>1926</v>
      </c>
      <c r="AB66">
        <v>10419534</v>
      </c>
      <c r="AC66" t="s">
        <v>1925</v>
      </c>
      <c r="AD66" t="s">
        <v>701</v>
      </c>
    </row>
    <row r="67" spans="1:30">
      <c r="A67">
        <v>286429</v>
      </c>
      <c r="B67">
        <v>18</v>
      </c>
      <c r="C67" t="s">
        <v>1921</v>
      </c>
      <c r="D67" t="s">
        <v>1922</v>
      </c>
      <c r="E67" t="s">
        <v>21</v>
      </c>
      <c r="F67" t="s">
        <v>21</v>
      </c>
      <c r="G67">
        <v>0</v>
      </c>
      <c r="H67">
        <v>1000</v>
      </c>
      <c r="I67">
        <v>99</v>
      </c>
      <c r="J67" t="s">
        <v>1923</v>
      </c>
      <c r="K67">
        <v>286429</v>
      </c>
      <c r="L67" t="s">
        <v>1924</v>
      </c>
      <c r="M67" t="s">
        <v>704</v>
      </c>
      <c r="N67">
        <v>0</v>
      </c>
      <c r="O67" t="s">
        <v>1921</v>
      </c>
      <c r="P67" t="s">
        <v>21</v>
      </c>
      <c r="Q67" t="s">
        <v>21</v>
      </c>
      <c r="R67">
        <v>3000</v>
      </c>
      <c r="S67" t="s">
        <v>113</v>
      </c>
      <c r="T67">
        <v>73377</v>
      </c>
      <c r="U67" t="s">
        <v>1925</v>
      </c>
      <c r="V67">
        <v>0</v>
      </c>
      <c r="W67" t="s">
        <v>1925</v>
      </c>
      <c r="X67">
        <v>0</v>
      </c>
      <c r="Y67" t="s">
        <v>1925</v>
      </c>
      <c r="Z67">
        <v>27</v>
      </c>
      <c r="AA67" t="s">
        <v>1926</v>
      </c>
      <c r="AB67">
        <v>1320786</v>
      </c>
      <c r="AC67" t="s">
        <v>1925</v>
      </c>
      <c r="AD67" t="s">
        <v>701</v>
      </c>
    </row>
    <row r="68" spans="1:30">
      <c r="A68">
        <v>286431</v>
      </c>
      <c r="B68">
        <v>12</v>
      </c>
      <c r="C68" t="s">
        <v>1921</v>
      </c>
      <c r="D68" t="s">
        <v>1922</v>
      </c>
      <c r="E68" t="s">
        <v>21</v>
      </c>
      <c r="F68" t="s">
        <v>21</v>
      </c>
      <c r="G68">
        <v>0</v>
      </c>
      <c r="H68">
        <v>1000</v>
      </c>
      <c r="I68">
        <v>99</v>
      </c>
      <c r="J68" t="s">
        <v>1923</v>
      </c>
      <c r="K68">
        <v>286431</v>
      </c>
      <c r="L68" t="s">
        <v>1924</v>
      </c>
      <c r="M68" t="s">
        <v>761</v>
      </c>
      <c r="N68">
        <v>0</v>
      </c>
      <c r="O68" t="s">
        <v>1921</v>
      </c>
      <c r="P68" t="s">
        <v>21</v>
      </c>
      <c r="Q68" t="s">
        <v>21</v>
      </c>
      <c r="R68">
        <v>3000</v>
      </c>
      <c r="S68" t="s">
        <v>113</v>
      </c>
      <c r="T68">
        <v>60356</v>
      </c>
      <c r="U68" t="s">
        <v>1925</v>
      </c>
      <c r="V68">
        <v>0</v>
      </c>
      <c r="W68" t="s">
        <v>1925</v>
      </c>
      <c r="X68">
        <v>0</v>
      </c>
      <c r="Y68" t="s">
        <v>1925</v>
      </c>
      <c r="Z68">
        <v>27</v>
      </c>
      <c r="AA68" t="s">
        <v>1926</v>
      </c>
      <c r="AB68">
        <v>724272</v>
      </c>
      <c r="AC68" t="s">
        <v>1925</v>
      </c>
      <c r="AD68" t="s">
        <v>1936</v>
      </c>
    </row>
    <row r="69" spans="1:30">
      <c r="A69">
        <v>286431</v>
      </c>
      <c r="B69">
        <v>1448</v>
      </c>
      <c r="C69" t="s">
        <v>1921</v>
      </c>
      <c r="D69" t="s">
        <v>1928</v>
      </c>
      <c r="E69" t="s">
        <v>21</v>
      </c>
      <c r="F69" t="s">
        <v>21</v>
      </c>
      <c r="G69">
        <v>0</v>
      </c>
      <c r="H69">
        <v>1000</v>
      </c>
      <c r="I69">
        <v>99</v>
      </c>
      <c r="J69" t="s">
        <v>1923</v>
      </c>
      <c r="K69">
        <v>286431</v>
      </c>
      <c r="L69" t="s">
        <v>1924</v>
      </c>
      <c r="M69" t="s">
        <v>761</v>
      </c>
      <c r="N69">
        <v>0</v>
      </c>
      <c r="O69" t="s">
        <v>1921</v>
      </c>
      <c r="P69" t="s">
        <v>21</v>
      </c>
      <c r="Q69" t="s">
        <v>21</v>
      </c>
      <c r="R69">
        <v>3000</v>
      </c>
      <c r="S69" t="s">
        <v>113</v>
      </c>
      <c r="T69">
        <v>60356</v>
      </c>
      <c r="U69" t="s">
        <v>1925</v>
      </c>
      <c r="V69">
        <v>0</v>
      </c>
      <c r="W69" t="s">
        <v>1925</v>
      </c>
      <c r="X69">
        <v>0</v>
      </c>
      <c r="Y69" t="s">
        <v>1925</v>
      </c>
      <c r="Z69">
        <v>27</v>
      </c>
      <c r="AA69" t="s">
        <v>1926</v>
      </c>
      <c r="AB69">
        <v>87395488</v>
      </c>
      <c r="AC69" t="s">
        <v>1925</v>
      </c>
      <c r="AD69" t="s">
        <v>1936</v>
      </c>
    </row>
    <row r="70" spans="1:30">
      <c r="A70">
        <v>286433</v>
      </c>
      <c r="B70">
        <v>216</v>
      </c>
      <c r="C70" t="s">
        <v>1921</v>
      </c>
      <c r="D70" t="s">
        <v>1928</v>
      </c>
      <c r="E70" t="s">
        <v>21</v>
      </c>
      <c r="F70" t="s">
        <v>21</v>
      </c>
      <c r="G70">
        <v>0</v>
      </c>
      <c r="H70">
        <v>1000</v>
      </c>
      <c r="I70">
        <v>99</v>
      </c>
      <c r="J70" t="s">
        <v>1923</v>
      </c>
      <c r="K70">
        <v>286433</v>
      </c>
      <c r="L70" t="s">
        <v>1924</v>
      </c>
      <c r="M70" t="s">
        <v>737</v>
      </c>
      <c r="N70">
        <v>0</v>
      </c>
      <c r="O70" t="s">
        <v>1921</v>
      </c>
      <c r="P70" t="s">
        <v>21</v>
      </c>
      <c r="Q70" t="s">
        <v>21</v>
      </c>
      <c r="R70">
        <v>3000</v>
      </c>
      <c r="S70" t="s">
        <v>113</v>
      </c>
      <c r="T70">
        <v>55636</v>
      </c>
      <c r="U70" t="s">
        <v>1925</v>
      </c>
      <c r="V70">
        <v>0</v>
      </c>
      <c r="W70" t="s">
        <v>1925</v>
      </c>
      <c r="X70">
        <v>0</v>
      </c>
      <c r="Y70" t="s">
        <v>1925</v>
      </c>
      <c r="Z70">
        <v>27</v>
      </c>
      <c r="AA70" t="s">
        <v>1926</v>
      </c>
      <c r="AB70">
        <v>12017376</v>
      </c>
      <c r="AC70" t="s">
        <v>1925</v>
      </c>
      <c r="AD70" t="s">
        <v>1937</v>
      </c>
    </row>
    <row r="71" spans="1:30">
      <c r="A71">
        <v>286433</v>
      </c>
      <c r="B71">
        <v>43</v>
      </c>
      <c r="C71" t="s">
        <v>1921</v>
      </c>
      <c r="D71" t="s">
        <v>1922</v>
      </c>
      <c r="E71" t="s">
        <v>21</v>
      </c>
      <c r="F71" t="s">
        <v>21</v>
      </c>
      <c r="G71">
        <v>0</v>
      </c>
      <c r="H71">
        <v>1000</v>
      </c>
      <c r="I71">
        <v>99</v>
      </c>
      <c r="J71" t="s">
        <v>1923</v>
      </c>
      <c r="K71">
        <v>286433</v>
      </c>
      <c r="L71" t="s">
        <v>1924</v>
      </c>
      <c r="M71" t="s">
        <v>737</v>
      </c>
      <c r="N71">
        <v>0</v>
      </c>
      <c r="O71" t="s">
        <v>1921</v>
      </c>
      <c r="P71" t="s">
        <v>21</v>
      </c>
      <c r="Q71" t="s">
        <v>21</v>
      </c>
      <c r="R71">
        <v>3000</v>
      </c>
      <c r="S71" t="s">
        <v>113</v>
      </c>
      <c r="T71">
        <v>55636</v>
      </c>
      <c r="U71" t="s">
        <v>1925</v>
      </c>
      <c r="V71">
        <v>0</v>
      </c>
      <c r="W71" t="s">
        <v>1925</v>
      </c>
      <c r="X71">
        <v>0</v>
      </c>
      <c r="Y71" t="s">
        <v>1925</v>
      </c>
      <c r="Z71">
        <v>27</v>
      </c>
      <c r="AA71" t="s">
        <v>1926</v>
      </c>
      <c r="AB71">
        <v>2392348</v>
      </c>
      <c r="AC71" t="s">
        <v>1925</v>
      </c>
      <c r="AD71" t="s">
        <v>1937</v>
      </c>
    </row>
    <row r="72" spans="1:30">
      <c r="A72">
        <v>286436</v>
      </c>
      <c r="B72">
        <v>8</v>
      </c>
      <c r="C72" t="s">
        <v>1921</v>
      </c>
      <c r="D72" t="s">
        <v>1922</v>
      </c>
      <c r="E72" t="s">
        <v>21</v>
      </c>
      <c r="F72" t="s">
        <v>21</v>
      </c>
      <c r="G72">
        <v>0</v>
      </c>
      <c r="H72">
        <v>1000</v>
      </c>
      <c r="I72">
        <v>99</v>
      </c>
      <c r="J72" t="s">
        <v>1923</v>
      </c>
      <c r="K72">
        <v>286436</v>
      </c>
      <c r="L72" t="s">
        <v>1924</v>
      </c>
      <c r="M72" t="s">
        <v>690</v>
      </c>
      <c r="N72">
        <v>0</v>
      </c>
      <c r="O72" t="s">
        <v>1921</v>
      </c>
      <c r="P72" t="s">
        <v>21</v>
      </c>
      <c r="Q72" t="s">
        <v>21</v>
      </c>
      <c r="R72">
        <v>3000</v>
      </c>
      <c r="S72" t="s">
        <v>113</v>
      </c>
      <c r="T72">
        <v>67218</v>
      </c>
      <c r="U72" t="s">
        <v>1925</v>
      </c>
      <c r="V72">
        <v>0</v>
      </c>
      <c r="W72" t="s">
        <v>1925</v>
      </c>
      <c r="X72">
        <v>0</v>
      </c>
      <c r="Y72" t="s">
        <v>1925</v>
      </c>
      <c r="Z72">
        <v>27</v>
      </c>
      <c r="AA72" t="s">
        <v>1926</v>
      </c>
      <c r="AB72">
        <v>537744</v>
      </c>
      <c r="AC72" t="s">
        <v>1925</v>
      </c>
      <c r="AD72" t="s">
        <v>1938</v>
      </c>
    </row>
    <row r="73" spans="1:30">
      <c r="A73">
        <v>286436</v>
      </c>
      <c r="B73">
        <v>144</v>
      </c>
      <c r="C73" t="s">
        <v>1921</v>
      </c>
      <c r="D73" t="s">
        <v>1928</v>
      </c>
      <c r="E73" t="s">
        <v>21</v>
      </c>
      <c r="F73" t="s">
        <v>21</v>
      </c>
      <c r="G73">
        <v>0</v>
      </c>
      <c r="H73">
        <v>1000</v>
      </c>
      <c r="I73">
        <v>99</v>
      </c>
      <c r="J73" t="s">
        <v>1923</v>
      </c>
      <c r="K73">
        <v>286436</v>
      </c>
      <c r="L73" t="s">
        <v>1924</v>
      </c>
      <c r="M73" t="s">
        <v>690</v>
      </c>
      <c r="N73">
        <v>0</v>
      </c>
      <c r="O73" t="s">
        <v>1921</v>
      </c>
      <c r="P73" t="s">
        <v>21</v>
      </c>
      <c r="Q73" t="s">
        <v>21</v>
      </c>
      <c r="R73">
        <v>3000</v>
      </c>
      <c r="S73" t="s">
        <v>113</v>
      </c>
      <c r="T73">
        <v>67218</v>
      </c>
      <c r="U73" t="s">
        <v>1925</v>
      </c>
      <c r="V73">
        <v>0</v>
      </c>
      <c r="W73" t="s">
        <v>1925</v>
      </c>
      <c r="X73">
        <v>0</v>
      </c>
      <c r="Y73" t="s">
        <v>1925</v>
      </c>
      <c r="Z73">
        <v>27</v>
      </c>
      <c r="AA73" t="s">
        <v>1926</v>
      </c>
      <c r="AB73">
        <v>9679392</v>
      </c>
      <c r="AC73" t="s">
        <v>1925</v>
      </c>
      <c r="AD73" t="s">
        <v>1938</v>
      </c>
    </row>
    <row r="74" spans="1:30">
      <c r="A74">
        <v>295632</v>
      </c>
      <c r="B74">
        <v>300</v>
      </c>
      <c r="C74" t="s">
        <v>1921</v>
      </c>
      <c r="D74" t="s">
        <v>1928</v>
      </c>
      <c r="E74" t="s">
        <v>21</v>
      </c>
      <c r="F74" t="s">
        <v>21</v>
      </c>
      <c r="G74">
        <v>0</v>
      </c>
      <c r="H74">
        <v>1000</v>
      </c>
      <c r="I74">
        <v>99</v>
      </c>
      <c r="J74" t="s">
        <v>1923</v>
      </c>
      <c r="K74">
        <v>295632</v>
      </c>
      <c r="L74" t="s">
        <v>1924</v>
      </c>
      <c r="M74" t="s">
        <v>441</v>
      </c>
      <c r="N74">
        <v>0</v>
      </c>
      <c r="O74" t="s">
        <v>1921</v>
      </c>
      <c r="P74" t="s">
        <v>21</v>
      </c>
      <c r="Q74" t="s">
        <v>21</v>
      </c>
      <c r="R74">
        <v>3000</v>
      </c>
      <c r="S74" t="s">
        <v>113</v>
      </c>
      <c r="T74">
        <v>123559</v>
      </c>
      <c r="U74" t="s">
        <v>1925</v>
      </c>
      <c r="V74">
        <v>0</v>
      </c>
      <c r="W74" t="s">
        <v>1925</v>
      </c>
      <c r="X74">
        <v>0</v>
      </c>
      <c r="Y74" t="s">
        <v>1925</v>
      </c>
      <c r="Z74">
        <v>27</v>
      </c>
      <c r="AA74" t="s">
        <v>1926</v>
      </c>
      <c r="AB74">
        <v>37067700</v>
      </c>
      <c r="AC74" t="s">
        <v>1925</v>
      </c>
      <c r="AD74" t="s">
        <v>436</v>
      </c>
    </row>
    <row r="75" spans="1:30">
      <c r="A75">
        <v>295632</v>
      </c>
      <c r="B75">
        <v>120</v>
      </c>
      <c r="C75" t="s">
        <v>1921</v>
      </c>
      <c r="D75" t="s">
        <v>1922</v>
      </c>
      <c r="E75" t="s">
        <v>21</v>
      </c>
      <c r="F75" t="s">
        <v>21</v>
      </c>
      <c r="G75">
        <v>0</v>
      </c>
      <c r="H75">
        <v>1000</v>
      </c>
      <c r="I75">
        <v>99</v>
      </c>
      <c r="J75" t="s">
        <v>1923</v>
      </c>
      <c r="K75">
        <v>295632</v>
      </c>
      <c r="L75" t="s">
        <v>1924</v>
      </c>
      <c r="M75" t="s">
        <v>441</v>
      </c>
      <c r="N75">
        <v>0</v>
      </c>
      <c r="O75" t="s">
        <v>1921</v>
      </c>
      <c r="P75" t="s">
        <v>21</v>
      </c>
      <c r="Q75" t="s">
        <v>21</v>
      </c>
      <c r="R75">
        <v>3000</v>
      </c>
      <c r="S75" t="s">
        <v>113</v>
      </c>
      <c r="T75">
        <v>123559</v>
      </c>
      <c r="U75" t="s">
        <v>1925</v>
      </c>
      <c r="V75">
        <v>0</v>
      </c>
      <c r="W75" t="s">
        <v>1925</v>
      </c>
      <c r="X75">
        <v>0</v>
      </c>
      <c r="Y75" t="s">
        <v>1925</v>
      </c>
      <c r="Z75">
        <v>27</v>
      </c>
      <c r="AA75" t="s">
        <v>1926</v>
      </c>
      <c r="AB75">
        <v>14827080</v>
      </c>
      <c r="AC75" t="s">
        <v>1925</v>
      </c>
      <c r="AD75" t="s">
        <v>436</v>
      </c>
    </row>
    <row r="76" spans="1:30">
      <c r="A76">
        <v>295634</v>
      </c>
      <c r="B76">
        <v>48</v>
      </c>
      <c r="C76" t="s">
        <v>1921</v>
      </c>
      <c r="D76" t="s">
        <v>1922</v>
      </c>
      <c r="E76" t="s">
        <v>21</v>
      </c>
      <c r="F76" t="s">
        <v>21</v>
      </c>
      <c r="G76">
        <v>0</v>
      </c>
      <c r="H76">
        <v>1000</v>
      </c>
      <c r="I76">
        <v>99</v>
      </c>
      <c r="J76" t="s">
        <v>1923</v>
      </c>
      <c r="K76">
        <v>295634</v>
      </c>
      <c r="L76" t="s">
        <v>1924</v>
      </c>
      <c r="M76" t="s">
        <v>432</v>
      </c>
      <c r="N76">
        <v>0</v>
      </c>
      <c r="O76" t="s">
        <v>1921</v>
      </c>
      <c r="P76" t="s">
        <v>21</v>
      </c>
      <c r="Q76" t="s">
        <v>21</v>
      </c>
      <c r="R76">
        <v>3000</v>
      </c>
      <c r="S76" t="s">
        <v>113</v>
      </c>
      <c r="T76">
        <v>192806</v>
      </c>
      <c r="U76" t="s">
        <v>1925</v>
      </c>
      <c r="V76">
        <v>0</v>
      </c>
      <c r="W76" t="s">
        <v>1925</v>
      </c>
      <c r="X76">
        <v>0</v>
      </c>
      <c r="Y76" t="s">
        <v>1925</v>
      </c>
      <c r="Z76">
        <v>27</v>
      </c>
      <c r="AA76" t="s">
        <v>1926</v>
      </c>
      <c r="AB76">
        <v>9254688</v>
      </c>
      <c r="AC76" t="s">
        <v>1925</v>
      </c>
      <c r="AD76" t="s">
        <v>428</v>
      </c>
    </row>
    <row r="77" spans="1:30">
      <c r="A77">
        <v>295634</v>
      </c>
      <c r="B77">
        <v>300</v>
      </c>
      <c r="C77" t="s">
        <v>1921</v>
      </c>
      <c r="D77" t="s">
        <v>1928</v>
      </c>
      <c r="E77" t="s">
        <v>21</v>
      </c>
      <c r="F77" t="s">
        <v>21</v>
      </c>
      <c r="G77">
        <v>0</v>
      </c>
      <c r="H77">
        <v>1000</v>
      </c>
      <c r="I77">
        <v>99</v>
      </c>
      <c r="J77" t="s">
        <v>1923</v>
      </c>
      <c r="K77">
        <v>295634</v>
      </c>
      <c r="L77" t="s">
        <v>1924</v>
      </c>
      <c r="M77" t="s">
        <v>432</v>
      </c>
      <c r="N77">
        <v>0</v>
      </c>
      <c r="O77" t="s">
        <v>1921</v>
      </c>
      <c r="P77" t="s">
        <v>21</v>
      </c>
      <c r="Q77" t="s">
        <v>21</v>
      </c>
      <c r="R77">
        <v>3000</v>
      </c>
      <c r="S77" t="s">
        <v>113</v>
      </c>
      <c r="T77">
        <v>192806</v>
      </c>
      <c r="U77" t="s">
        <v>1925</v>
      </c>
      <c r="V77">
        <v>0</v>
      </c>
      <c r="W77" t="s">
        <v>1925</v>
      </c>
      <c r="X77">
        <v>0</v>
      </c>
      <c r="Y77" t="s">
        <v>1925</v>
      </c>
      <c r="Z77">
        <v>27</v>
      </c>
      <c r="AA77" t="s">
        <v>1926</v>
      </c>
      <c r="AB77">
        <v>57841800</v>
      </c>
      <c r="AC77" t="s">
        <v>1925</v>
      </c>
      <c r="AD77" t="s">
        <v>428</v>
      </c>
    </row>
    <row r="78" spans="1:30">
      <c r="A78">
        <v>295636</v>
      </c>
      <c r="B78">
        <v>54</v>
      </c>
      <c r="C78" t="s">
        <v>1921</v>
      </c>
      <c r="D78" t="s">
        <v>1922</v>
      </c>
      <c r="E78" t="s">
        <v>21</v>
      </c>
      <c r="F78" t="s">
        <v>21</v>
      </c>
      <c r="G78">
        <v>0</v>
      </c>
      <c r="H78">
        <v>1000</v>
      </c>
      <c r="I78">
        <v>99</v>
      </c>
      <c r="J78" t="s">
        <v>1923</v>
      </c>
      <c r="K78">
        <v>295636</v>
      </c>
      <c r="L78" t="s">
        <v>1924</v>
      </c>
      <c r="M78" t="s">
        <v>565</v>
      </c>
      <c r="N78">
        <v>0</v>
      </c>
      <c r="O78" t="s">
        <v>1921</v>
      </c>
      <c r="P78" t="s">
        <v>21</v>
      </c>
      <c r="Q78" t="s">
        <v>21</v>
      </c>
      <c r="R78">
        <v>3000</v>
      </c>
      <c r="S78" t="s">
        <v>113</v>
      </c>
      <c r="T78">
        <v>145576</v>
      </c>
      <c r="U78" t="s">
        <v>1925</v>
      </c>
      <c r="V78">
        <v>0</v>
      </c>
      <c r="W78" t="s">
        <v>1925</v>
      </c>
      <c r="X78">
        <v>0</v>
      </c>
      <c r="Y78" t="s">
        <v>1925</v>
      </c>
      <c r="Z78">
        <v>27</v>
      </c>
      <c r="AA78" t="s">
        <v>1926</v>
      </c>
      <c r="AB78">
        <v>7861104</v>
      </c>
      <c r="AC78" t="s">
        <v>1925</v>
      </c>
      <c r="AD78" t="s">
        <v>560</v>
      </c>
    </row>
    <row r="79" spans="1:30">
      <c r="A79">
        <v>295636</v>
      </c>
      <c r="B79">
        <v>114</v>
      </c>
      <c r="C79" t="s">
        <v>1921</v>
      </c>
      <c r="D79" t="s">
        <v>1928</v>
      </c>
      <c r="E79" t="s">
        <v>21</v>
      </c>
      <c r="F79" t="s">
        <v>21</v>
      </c>
      <c r="G79">
        <v>0</v>
      </c>
      <c r="H79">
        <v>1000</v>
      </c>
      <c r="I79">
        <v>99</v>
      </c>
      <c r="J79" t="s">
        <v>1923</v>
      </c>
      <c r="K79">
        <v>295636</v>
      </c>
      <c r="L79" t="s">
        <v>1924</v>
      </c>
      <c r="M79" t="s">
        <v>565</v>
      </c>
      <c r="N79">
        <v>0</v>
      </c>
      <c r="O79" t="s">
        <v>1921</v>
      </c>
      <c r="P79" t="s">
        <v>21</v>
      </c>
      <c r="Q79" t="s">
        <v>21</v>
      </c>
      <c r="R79">
        <v>3000</v>
      </c>
      <c r="S79" t="s">
        <v>113</v>
      </c>
      <c r="T79">
        <v>145576</v>
      </c>
      <c r="U79" t="s">
        <v>1925</v>
      </c>
      <c r="V79">
        <v>0</v>
      </c>
      <c r="W79" t="s">
        <v>1925</v>
      </c>
      <c r="X79">
        <v>0</v>
      </c>
      <c r="Y79" t="s">
        <v>1925</v>
      </c>
      <c r="Z79">
        <v>27</v>
      </c>
      <c r="AA79" t="s">
        <v>1926</v>
      </c>
      <c r="AB79">
        <v>16595664</v>
      </c>
      <c r="AC79" t="s">
        <v>1925</v>
      </c>
      <c r="AD79" t="s">
        <v>560</v>
      </c>
    </row>
    <row r="80" spans="1:30">
      <c r="A80">
        <v>295638</v>
      </c>
      <c r="B80">
        <v>41</v>
      </c>
      <c r="C80" t="s">
        <v>1921</v>
      </c>
      <c r="D80" t="s">
        <v>1922</v>
      </c>
      <c r="E80" t="s">
        <v>21</v>
      </c>
      <c r="F80" t="s">
        <v>21</v>
      </c>
      <c r="G80">
        <v>0</v>
      </c>
      <c r="H80">
        <v>1000</v>
      </c>
      <c r="I80">
        <v>99</v>
      </c>
      <c r="J80" t="s">
        <v>1923</v>
      </c>
      <c r="K80">
        <v>295638</v>
      </c>
      <c r="L80" t="s">
        <v>1924</v>
      </c>
      <c r="M80" t="s">
        <v>722</v>
      </c>
      <c r="N80">
        <v>0</v>
      </c>
      <c r="O80" t="s">
        <v>1921</v>
      </c>
      <c r="P80" t="s">
        <v>21</v>
      </c>
      <c r="Q80" t="s">
        <v>21</v>
      </c>
      <c r="R80">
        <v>3000</v>
      </c>
      <c r="S80" t="s">
        <v>113</v>
      </c>
      <c r="T80">
        <v>149464</v>
      </c>
      <c r="U80" t="s">
        <v>1925</v>
      </c>
      <c r="V80">
        <v>0</v>
      </c>
      <c r="W80" t="s">
        <v>1925</v>
      </c>
      <c r="X80">
        <v>0</v>
      </c>
      <c r="Y80" t="s">
        <v>1925</v>
      </c>
      <c r="Z80">
        <v>27</v>
      </c>
      <c r="AA80" t="s">
        <v>1926</v>
      </c>
      <c r="AB80">
        <v>6128024</v>
      </c>
      <c r="AC80" t="s">
        <v>1925</v>
      </c>
      <c r="AD80" t="s">
        <v>719</v>
      </c>
    </row>
    <row r="81" spans="1:30">
      <c r="A81">
        <v>295638</v>
      </c>
      <c r="B81">
        <v>260</v>
      </c>
      <c r="C81" t="s">
        <v>1921</v>
      </c>
      <c r="D81" t="s">
        <v>1928</v>
      </c>
      <c r="E81" t="s">
        <v>21</v>
      </c>
      <c r="F81" t="s">
        <v>21</v>
      </c>
      <c r="G81">
        <v>0</v>
      </c>
      <c r="H81">
        <v>1000</v>
      </c>
      <c r="I81">
        <v>99</v>
      </c>
      <c r="J81" t="s">
        <v>1923</v>
      </c>
      <c r="K81">
        <v>295638</v>
      </c>
      <c r="L81" t="s">
        <v>1924</v>
      </c>
      <c r="M81" t="s">
        <v>722</v>
      </c>
      <c r="N81">
        <v>0</v>
      </c>
      <c r="O81" t="s">
        <v>1921</v>
      </c>
      <c r="P81" t="s">
        <v>21</v>
      </c>
      <c r="Q81" t="s">
        <v>21</v>
      </c>
      <c r="R81">
        <v>3000</v>
      </c>
      <c r="S81" t="s">
        <v>113</v>
      </c>
      <c r="T81">
        <v>149464</v>
      </c>
      <c r="U81" t="s">
        <v>1925</v>
      </c>
      <c r="V81">
        <v>0</v>
      </c>
      <c r="W81" t="s">
        <v>1925</v>
      </c>
      <c r="X81">
        <v>0</v>
      </c>
      <c r="Y81" t="s">
        <v>1925</v>
      </c>
      <c r="Z81">
        <v>27</v>
      </c>
      <c r="AA81" t="s">
        <v>1926</v>
      </c>
      <c r="AB81">
        <v>38860640</v>
      </c>
      <c r="AC81" t="s">
        <v>1925</v>
      </c>
      <c r="AD81" t="s">
        <v>719</v>
      </c>
    </row>
    <row r="82" spans="1:30">
      <c r="A82">
        <v>295640</v>
      </c>
      <c r="B82">
        <v>27</v>
      </c>
      <c r="C82" t="s">
        <v>1921</v>
      </c>
      <c r="D82" t="s">
        <v>1922</v>
      </c>
      <c r="E82" t="s">
        <v>21</v>
      </c>
      <c r="F82" t="s">
        <v>21</v>
      </c>
      <c r="G82">
        <v>0</v>
      </c>
      <c r="H82">
        <v>1000</v>
      </c>
      <c r="I82">
        <v>99</v>
      </c>
      <c r="J82" t="s">
        <v>1923</v>
      </c>
      <c r="K82">
        <v>295640</v>
      </c>
      <c r="L82" t="s">
        <v>1924</v>
      </c>
      <c r="M82" t="s">
        <v>775</v>
      </c>
      <c r="N82">
        <v>0</v>
      </c>
      <c r="O82" t="s">
        <v>1921</v>
      </c>
      <c r="P82" t="s">
        <v>21</v>
      </c>
      <c r="Q82" t="s">
        <v>21</v>
      </c>
      <c r="R82">
        <v>3000</v>
      </c>
      <c r="S82" t="s">
        <v>113</v>
      </c>
      <c r="T82">
        <v>116529</v>
      </c>
      <c r="U82" t="s">
        <v>1925</v>
      </c>
      <c r="V82">
        <v>0</v>
      </c>
      <c r="W82" t="s">
        <v>1925</v>
      </c>
      <c r="X82">
        <v>0</v>
      </c>
      <c r="Y82" t="s">
        <v>1925</v>
      </c>
      <c r="Z82">
        <v>27</v>
      </c>
      <c r="AA82" t="s">
        <v>1926</v>
      </c>
      <c r="AB82">
        <v>3146283</v>
      </c>
      <c r="AC82" t="s">
        <v>1925</v>
      </c>
      <c r="AD82" t="s">
        <v>772</v>
      </c>
    </row>
    <row r="83" spans="1:30">
      <c r="A83">
        <v>295640</v>
      </c>
      <c r="B83">
        <v>220</v>
      </c>
      <c r="C83" t="s">
        <v>1921</v>
      </c>
      <c r="D83" t="s">
        <v>1928</v>
      </c>
      <c r="E83" t="s">
        <v>21</v>
      </c>
      <c r="F83" t="s">
        <v>21</v>
      </c>
      <c r="G83">
        <v>0</v>
      </c>
      <c r="H83">
        <v>1000</v>
      </c>
      <c r="I83">
        <v>99</v>
      </c>
      <c r="J83" t="s">
        <v>1923</v>
      </c>
      <c r="K83">
        <v>295640</v>
      </c>
      <c r="L83" t="s">
        <v>1924</v>
      </c>
      <c r="M83" t="s">
        <v>775</v>
      </c>
      <c r="N83">
        <v>0</v>
      </c>
      <c r="O83" t="s">
        <v>1921</v>
      </c>
      <c r="P83" t="s">
        <v>21</v>
      </c>
      <c r="Q83" t="s">
        <v>21</v>
      </c>
      <c r="R83">
        <v>3000</v>
      </c>
      <c r="S83" t="s">
        <v>113</v>
      </c>
      <c r="T83">
        <v>116529</v>
      </c>
      <c r="U83" t="s">
        <v>1925</v>
      </c>
      <c r="V83">
        <v>0</v>
      </c>
      <c r="W83" t="s">
        <v>1925</v>
      </c>
      <c r="X83">
        <v>0</v>
      </c>
      <c r="Y83" t="s">
        <v>1925</v>
      </c>
      <c r="Z83">
        <v>27</v>
      </c>
      <c r="AA83" t="s">
        <v>1926</v>
      </c>
      <c r="AB83">
        <v>25636380</v>
      </c>
      <c r="AC83" t="s">
        <v>1925</v>
      </c>
      <c r="AD83" t="s">
        <v>772</v>
      </c>
    </row>
    <row r="84" spans="1:30">
      <c r="A84">
        <v>304067</v>
      </c>
      <c r="B84">
        <v>74</v>
      </c>
      <c r="C84" t="s">
        <v>1921</v>
      </c>
      <c r="D84" t="s">
        <v>1922</v>
      </c>
      <c r="E84" t="s">
        <v>21</v>
      </c>
      <c r="F84" t="s">
        <v>21</v>
      </c>
      <c r="G84">
        <v>0</v>
      </c>
      <c r="H84">
        <v>1000</v>
      </c>
      <c r="I84">
        <v>99</v>
      </c>
      <c r="J84" t="s">
        <v>1923</v>
      </c>
      <c r="K84">
        <v>304067</v>
      </c>
      <c r="L84" t="s">
        <v>1924</v>
      </c>
      <c r="M84" t="s">
        <v>364</v>
      </c>
      <c r="N84">
        <v>0</v>
      </c>
      <c r="O84" t="s">
        <v>1921</v>
      </c>
      <c r="P84" t="s">
        <v>21</v>
      </c>
      <c r="Q84" t="s">
        <v>21</v>
      </c>
      <c r="R84">
        <v>3000</v>
      </c>
      <c r="S84" t="s">
        <v>113</v>
      </c>
      <c r="T84">
        <v>101954</v>
      </c>
      <c r="U84" t="s">
        <v>1925</v>
      </c>
      <c r="V84">
        <v>0</v>
      </c>
      <c r="W84" t="s">
        <v>1925</v>
      </c>
      <c r="X84">
        <v>0</v>
      </c>
      <c r="Y84" t="s">
        <v>1925</v>
      </c>
      <c r="Z84">
        <v>27</v>
      </c>
      <c r="AA84" t="s">
        <v>1926</v>
      </c>
      <c r="AB84">
        <v>7544596</v>
      </c>
      <c r="AC84" t="s">
        <v>1925</v>
      </c>
      <c r="AD84" t="s">
        <v>361</v>
      </c>
    </row>
    <row r="85" spans="1:30">
      <c r="A85">
        <v>304067</v>
      </c>
      <c r="B85">
        <v>216</v>
      </c>
      <c r="C85" t="s">
        <v>1921</v>
      </c>
      <c r="D85" t="s">
        <v>1928</v>
      </c>
      <c r="E85" t="s">
        <v>21</v>
      </c>
      <c r="F85" t="s">
        <v>21</v>
      </c>
      <c r="G85">
        <v>0</v>
      </c>
      <c r="H85">
        <v>1000</v>
      </c>
      <c r="I85">
        <v>99</v>
      </c>
      <c r="J85" t="s">
        <v>1923</v>
      </c>
      <c r="K85">
        <v>304067</v>
      </c>
      <c r="L85" t="s">
        <v>1924</v>
      </c>
      <c r="M85" t="s">
        <v>364</v>
      </c>
      <c r="N85">
        <v>0</v>
      </c>
      <c r="O85" t="s">
        <v>1921</v>
      </c>
      <c r="P85" t="s">
        <v>21</v>
      </c>
      <c r="Q85" t="s">
        <v>21</v>
      </c>
      <c r="R85">
        <v>3000</v>
      </c>
      <c r="S85" t="s">
        <v>113</v>
      </c>
      <c r="T85">
        <v>101954</v>
      </c>
      <c r="U85" t="s">
        <v>1925</v>
      </c>
      <c r="V85">
        <v>0</v>
      </c>
      <c r="W85" t="s">
        <v>1925</v>
      </c>
      <c r="X85">
        <v>0</v>
      </c>
      <c r="Y85" t="s">
        <v>1925</v>
      </c>
      <c r="Z85">
        <v>27</v>
      </c>
      <c r="AA85" t="s">
        <v>1926</v>
      </c>
      <c r="AB85">
        <v>22022064</v>
      </c>
      <c r="AC85" t="s">
        <v>1925</v>
      </c>
      <c r="AD85" t="s">
        <v>361</v>
      </c>
    </row>
    <row r="86" spans="1:30">
      <c r="A86">
        <v>317450</v>
      </c>
      <c r="B86">
        <v>488</v>
      </c>
      <c r="C86" t="s">
        <v>1921</v>
      </c>
      <c r="D86" t="s">
        <v>1928</v>
      </c>
      <c r="E86" t="s">
        <v>21</v>
      </c>
      <c r="F86" t="s">
        <v>21</v>
      </c>
      <c r="G86">
        <v>0</v>
      </c>
      <c r="H86">
        <v>1000</v>
      </c>
      <c r="I86">
        <v>99</v>
      </c>
      <c r="J86" t="s">
        <v>1923</v>
      </c>
      <c r="K86">
        <v>317450</v>
      </c>
      <c r="L86" t="s">
        <v>1924</v>
      </c>
      <c r="M86" t="s">
        <v>706</v>
      </c>
      <c r="N86">
        <v>0</v>
      </c>
      <c r="O86" t="s">
        <v>1921</v>
      </c>
      <c r="P86" t="s">
        <v>21</v>
      </c>
      <c r="Q86" t="s">
        <v>21</v>
      </c>
      <c r="R86">
        <v>3000</v>
      </c>
      <c r="S86" t="s">
        <v>113</v>
      </c>
      <c r="T86">
        <v>72885</v>
      </c>
      <c r="U86" t="s">
        <v>1925</v>
      </c>
      <c r="V86">
        <v>0</v>
      </c>
      <c r="W86" t="s">
        <v>1925</v>
      </c>
      <c r="X86">
        <v>0</v>
      </c>
      <c r="Y86" t="s">
        <v>1925</v>
      </c>
      <c r="Z86">
        <v>27</v>
      </c>
      <c r="AA86" t="s">
        <v>1926</v>
      </c>
      <c r="AB86">
        <v>35567880</v>
      </c>
      <c r="AC86" t="s">
        <v>1925</v>
      </c>
      <c r="AD86" t="s">
        <v>705</v>
      </c>
    </row>
    <row r="87" spans="1:30">
      <c r="A87">
        <v>317459</v>
      </c>
      <c r="B87">
        <v>16</v>
      </c>
      <c r="C87" t="s">
        <v>1921</v>
      </c>
      <c r="D87" t="s">
        <v>1922</v>
      </c>
      <c r="E87" t="s">
        <v>21</v>
      </c>
      <c r="F87" t="s">
        <v>21</v>
      </c>
      <c r="G87">
        <v>0</v>
      </c>
      <c r="H87">
        <v>1000</v>
      </c>
      <c r="I87">
        <v>99</v>
      </c>
      <c r="J87" t="s">
        <v>1923</v>
      </c>
      <c r="K87">
        <v>317459</v>
      </c>
      <c r="L87" t="s">
        <v>1924</v>
      </c>
      <c r="M87" t="s">
        <v>846</v>
      </c>
      <c r="N87">
        <v>0</v>
      </c>
      <c r="O87" t="s">
        <v>1921</v>
      </c>
      <c r="P87" t="s">
        <v>21</v>
      </c>
      <c r="Q87" t="s">
        <v>21</v>
      </c>
      <c r="R87">
        <v>3000</v>
      </c>
      <c r="S87" t="s">
        <v>113</v>
      </c>
      <c r="T87">
        <v>42940</v>
      </c>
      <c r="U87" t="s">
        <v>1925</v>
      </c>
      <c r="V87">
        <v>0</v>
      </c>
      <c r="W87" t="s">
        <v>1925</v>
      </c>
      <c r="X87">
        <v>0</v>
      </c>
      <c r="Y87" t="s">
        <v>1925</v>
      </c>
      <c r="Z87">
        <v>27</v>
      </c>
      <c r="AA87" t="s">
        <v>1926</v>
      </c>
      <c r="AB87">
        <v>687040</v>
      </c>
      <c r="AC87" t="s">
        <v>1925</v>
      </c>
      <c r="AD87" t="s">
        <v>1939</v>
      </c>
    </row>
    <row r="88" spans="1:30">
      <c r="A88">
        <v>317459</v>
      </c>
      <c r="B88">
        <v>640</v>
      </c>
      <c r="C88" t="s">
        <v>1921</v>
      </c>
      <c r="D88" t="s">
        <v>1928</v>
      </c>
      <c r="E88" t="s">
        <v>21</v>
      </c>
      <c r="F88" t="s">
        <v>21</v>
      </c>
      <c r="G88">
        <v>0</v>
      </c>
      <c r="H88">
        <v>1000</v>
      </c>
      <c r="I88">
        <v>99</v>
      </c>
      <c r="J88" t="s">
        <v>1923</v>
      </c>
      <c r="K88">
        <v>317459</v>
      </c>
      <c r="L88" t="s">
        <v>1924</v>
      </c>
      <c r="M88" t="s">
        <v>846</v>
      </c>
      <c r="N88">
        <v>0</v>
      </c>
      <c r="O88" t="s">
        <v>1921</v>
      </c>
      <c r="P88" t="s">
        <v>21</v>
      </c>
      <c r="Q88" t="s">
        <v>21</v>
      </c>
      <c r="R88">
        <v>3000</v>
      </c>
      <c r="S88" t="s">
        <v>113</v>
      </c>
      <c r="T88">
        <v>42940</v>
      </c>
      <c r="U88" t="s">
        <v>1925</v>
      </c>
      <c r="V88">
        <v>0</v>
      </c>
      <c r="W88" t="s">
        <v>1925</v>
      </c>
      <c r="X88">
        <v>0</v>
      </c>
      <c r="Y88" t="s">
        <v>1925</v>
      </c>
      <c r="Z88">
        <v>27</v>
      </c>
      <c r="AA88" t="s">
        <v>1926</v>
      </c>
      <c r="AB88">
        <v>27481600</v>
      </c>
      <c r="AC88" t="s">
        <v>1925</v>
      </c>
      <c r="AD88" t="s">
        <v>1939</v>
      </c>
    </row>
    <row r="89" spans="1:30">
      <c r="A89">
        <v>317460</v>
      </c>
      <c r="B89">
        <v>27</v>
      </c>
      <c r="C89" t="s">
        <v>1921</v>
      </c>
      <c r="D89" t="s">
        <v>1922</v>
      </c>
      <c r="E89" t="s">
        <v>21</v>
      </c>
      <c r="F89" t="s">
        <v>21</v>
      </c>
      <c r="G89">
        <v>0</v>
      </c>
      <c r="H89">
        <v>1000</v>
      </c>
      <c r="I89">
        <v>99</v>
      </c>
      <c r="J89" t="s">
        <v>1923</v>
      </c>
      <c r="K89">
        <v>317460</v>
      </c>
      <c r="L89" t="s">
        <v>1924</v>
      </c>
      <c r="M89" t="s">
        <v>308</v>
      </c>
      <c r="N89">
        <v>0</v>
      </c>
      <c r="O89" t="s">
        <v>1921</v>
      </c>
      <c r="P89" t="s">
        <v>21</v>
      </c>
      <c r="Q89" t="s">
        <v>21</v>
      </c>
      <c r="R89">
        <v>3000</v>
      </c>
      <c r="S89" t="s">
        <v>113</v>
      </c>
      <c r="T89">
        <v>126467</v>
      </c>
      <c r="U89" t="s">
        <v>1925</v>
      </c>
      <c r="V89">
        <v>0</v>
      </c>
      <c r="W89" t="s">
        <v>1925</v>
      </c>
      <c r="X89">
        <v>0</v>
      </c>
      <c r="Y89" t="s">
        <v>1925</v>
      </c>
      <c r="Z89">
        <v>27</v>
      </c>
      <c r="AA89" t="s">
        <v>1926</v>
      </c>
      <c r="AB89">
        <v>3414609</v>
      </c>
      <c r="AC89" t="s">
        <v>1925</v>
      </c>
      <c r="AD89" t="s">
        <v>307</v>
      </c>
    </row>
    <row r="90" spans="1:30">
      <c r="A90">
        <v>317460</v>
      </c>
      <c r="B90">
        <v>72</v>
      </c>
      <c r="C90" t="s">
        <v>1921</v>
      </c>
      <c r="D90" t="s">
        <v>1928</v>
      </c>
      <c r="E90" t="s">
        <v>21</v>
      </c>
      <c r="F90" t="s">
        <v>21</v>
      </c>
      <c r="G90">
        <v>0</v>
      </c>
      <c r="H90">
        <v>1000</v>
      </c>
      <c r="I90">
        <v>99</v>
      </c>
      <c r="J90" t="s">
        <v>1923</v>
      </c>
      <c r="K90">
        <v>317460</v>
      </c>
      <c r="L90" t="s">
        <v>1924</v>
      </c>
      <c r="M90" t="s">
        <v>308</v>
      </c>
      <c r="N90">
        <v>0</v>
      </c>
      <c r="O90" t="s">
        <v>1921</v>
      </c>
      <c r="P90" t="s">
        <v>21</v>
      </c>
      <c r="Q90" t="s">
        <v>21</v>
      </c>
      <c r="R90">
        <v>3000</v>
      </c>
      <c r="S90" t="s">
        <v>113</v>
      </c>
      <c r="T90">
        <v>126467</v>
      </c>
      <c r="U90" t="s">
        <v>1925</v>
      </c>
      <c r="V90">
        <v>0</v>
      </c>
      <c r="W90" t="s">
        <v>1925</v>
      </c>
      <c r="X90">
        <v>0</v>
      </c>
      <c r="Y90" t="s">
        <v>1925</v>
      </c>
      <c r="Z90">
        <v>27</v>
      </c>
      <c r="AA90" t="s">
        <v>1926</v>
      </c>
      <c r="AB90">
        <v>9105624</v>
      </c>
      <c r="AC90" t="s">
        <v>1925</v>
      </c>
      <c r="AD90" t="s">
        <v>307</v>
      </c>
    </row>
    <row r="91" spans="1:30">
      <c r="A91">
        <v>318394</v>
      </c>
      <c r="B91">
        <v>27</v>
      </c>
      <c r="C91" t="s">
        <v>1921</v>
      </c>
      <c r="D91" t="s">
        <v>1922</v>
      </c>
      <c r="E91" t="s">
        <v>21</v>
      </c>
      <c r="F91" t="s">
        <v>21</v>
      </c>
      <c r="G91">
        <v>0</v>
      </c>
      <c r="H91">
        <v>1000</v>
      </c>
      <c r="I91">
        <v>99</v>
      </c>
      <c r="J91" t="s">
        <v>1923</v>
      </c>
      <c r="K91">
        <v>318394</v>
      </c>
      <c r="L91" t="s">
        <v>1924</v>
      </c>
      <c r="M91" t="s">
        <v>596</v>
      </c>
      <c r="N91">
        <v>0</v>
      </c>
      <c r="O91" t="s">
        <v>1921</v>
      </c>
      <c r="P91" t="s">
        <v>21</v>
      </c>
      <c r="Q91" t="s">
        <v>21</v>
      </c>
      <c r="R91">
        <v>3000</v>
      </c>
      <c r="S91" t="s">
        <v>113</v>
      </c>
      <c r="T91">
        <v>63493</v>
      </c>
      <c r="U91" t="s">
        <v>1925</v>
      </c>
      <c r="V91">
        <v>0</v>
      </c>
      <c r="W91" t="s">
        <v>1925</v>
      </c>
      <c r="X91">
        <v>0</v>
      </c>
      <c r="Y91" t="s">
        <v>1925</v>
      </c>
      <c r="Z91">
        <v>27</v>
      </c>
      <c r="AA91" t="s">
        <v>1926</v>
      </c>
      <c r="AB91">
        <v>1714311</v>
      </c>
      <c r="AC91" t="s">
        <v>1925</v>
      </c>
      <c r="AD91" t="s">
        <v>1940</v>
      </c>
    </row>
    <row r="92" spans="1:30">
      <c r="A92">
        <v>318394</v>
      </c>
      <c r="B92">
        <v>72</v>
      </c>
      <c r="C92" t="s">
        <v>1921</v>
      </c>
      <c r="D92" t="s">
        <v>1928</v>
      </c>
      <c r="E92" t="s">
        <v>21</v>
      </c>
      <c r="F92" t="s">
        <v>21</v>
      </c>
      <c r="G92">
        <v>0</v>
      </c>
      <c r="H92">
        <v>1000</v>
      </c>
      <c r="I92">
        <v>99</v>
      </c>
      <c r="J92" t="s">
        <v>1923</v>
      </c>
      <c r="K92">
        <v>318394</v>
      </c>
      <c r="L92" t="s">
        <v>1924</v>
      </c>
      <c r="M92" t="s">
        <v>596</v>
      </c>
      <c r="N92">
        <v>0</v>
      </c>
      <c r="O92" t="s">
        <v>1921</v>
      </c>
      <c r="P92" t="s">
        <v>21</v>
      </c>
      <c r="Q92" t="s">
        <v>21</v>
      </c>
      <c r="R92">
        <v>3000</v>
      </c>
      <c r="S92" t="s">
        <v>113</v>
      </c>
      <c r="T92">
        <v>63493</v>
      </c>
      <c r="U92" t="s">
        <v>1925</v>
      </c>
      <c r="V92">
        <v>0</v>
      </c>
      <c r="W92" t="s">
        <v>1925</v>
      </c>
      <c r="X92">
        <v>0</v>
      </c>
      <c r="Y92" t="s">
        <v>1925</v>
      </c>
      <c r="Z92">
        <v>27</v>
      </c>
      <c r="AA92" t="s">
        <v>1926</v>
      </c>
      <c r="AB92">
        <v>4571496</v>
      </c>
      <c r="AC92" t="s">
        <v>1925</v>
      </c>
      <c r="AD92" t="s">
        <v>1940</v>
      </c>
    </row>
    <row r="93" spans="1:30">
      <c r="A93">
        <v>318395</v>
      </c>
      <c r="B93">
        <v>35</v>
      </c>
      <c r="C93" t="s">
        <v>1921</v>
      </c>
      <c r="D93" t="s">
        <v>1922</v>
      </c>
      <c r="E93" t="s">
        <v>21</v>
      </c>
      <c r="F93" t="s">
        <v>21</v>
      </c>
      <c r="G93">
        <v>0</v>
      </c>
      <c r="H93">
        <v>1000</v>
      </c>
      <c r="I93">
        <v>99</v>
      </c>
      <c r="J93" t="s">
        <v>1923</v>
      </c>
      <c r="K93">
        <v>318395</v>
      </c>
      <c r="L93" t="s">
        <v>1924</v>
      </c>
      <c r="M93" t="s">
        <v>652</v>
      </c>
      <c r="N93">
        <v>0</v>
      </c>
      <c r="O93" t="s">
        <v>1921</v>
      </c>
      <c r="P93" t="s">
        <v>21</v>
      </c>
      <c r="Q93" t="s">
        <v>21</v>
      </c>
      <c r="R93">
        <v>3000</v>
      </c>
      <c r="S93" t="s">
        <v>113</v>
      </c>
      <c r="T93">
        <v>50298</v>
      </c>
      <c r="U93" t="s">
        <v>1925</v>
      </c>
      <c r="V93">
        <v>0</v>
      </c>
      <c r="W93" t="s">
        <v>1925</v>
      </c>
      <c r="X93">
        <v>0</v>
      </c>
      <c r="Y93" t="s">
        <v>1925</v>
      </c>
      <c r="Z93">
        <v>27</v>
      </c>
      <c r="AA93" t="s">
        <v>1926</v>
      </c>
      <c r="AB93">
        <v>1760430</v>
      </c>
      <c r="AC93" t="s">
        <v>1925</v>
      </c>
      <c r="AD93" t="s">
        <v>1941</v>
      </c>
    </row>
    <row r="94" spans="1:30">
      <c r="A94">
        <v>318395</v>
      </c>
      <c r="B94">
        <v>1296</v>
      </c>
      <c r="C94" t="s">
        <v>1921</v>
      </c>
      <c r="D94" t="s">
        <v>1928</v>
      </c>
      <c r="E94" t="s">
        <v>21</v>
      </c>
      <c r="F94" t="s">
        <v>21</v>
      </c>
      <c r="G94">
        <v>0</v>
      </c>
      <c r="H94">
        <v>1000</v>
      </c>
      <c r="I94">
        <v>99</v>
      </c>
      <c r="J94" t="s">
        <v>1923</v>
      </c>
      <c r="K94">
        <v>318395</v>
      </c>
      <c r="L94" t="s">
        <v>1924</v>
      </c>
      <c r="M94" t="s">
        <v>652</v>
      </c>
      <c r="N94">
        <v>0</v>
      </c>
      <c r="O94" t="s">
        <v>1921</v>
      </c>
      <c r="P94" t="s">
        <v>21</v>
      </c>
      <c r="Q94" t="s">
        <v>21</v>
      </c>
      <c r="R94">
        <v>3000</v>
      </c>
      <c r="S94" t="s">
        <v>113</v>
      </c>
      <c r="T94">
        <v>50298</v>
      </c>
      <c r="U94" t="s">
        <v>1925</v>
      </c>
      <c r="V94">
        <v>0</v>
      </c>
      <c r="W94" t="s">
        <v>1925</v>
      </c>
      <c r="X94">
        <v>0</v>
      </c>
      <c r="Y94" t="s">
        <v>1925</v>
      </c>
      <c r="Z94">
        <v>27</v>
      </c>
      <c r="AA94" t="s">
        <v>1926</v>
      </c>
      <c r="AB94">
        <v>65186208</v>
      </c>
      <c r="AC94" t="s">
        <v>1925</v>
      </c>
      <c r="AD94" t="s">
        <v>1941</v>
      </c>
    </row>
    <row r="95" spans="1:30">
      <c r="A95">
        <v>318440</v>
      </c>
      <c r="B95">
        <v>90</v>
      </c>
      <c r="C95" t="s">
        <v>1921</v>
      </c>
      <c r="D95" t="s">
        <v>1928</v>
      </c>
      <c r="E95" t="s">
        <v>21</v>
      </c>
      <c r="F95" t="s">
        <v>21</v>
      </c>
      <c r="G95">
        <v>0</v>
      </c>
      <c r="H95">
        <v>1000</v>
      </c>
      <c r="I95">
        <v>99</v>
      </c>
      <c r="J95" t="s">
        <v>1923</v>
      </c>
      <c r="K95">
        <v>318440</v>
      </c>
      <c r="L95" t="s">
        <v>1924</v>
      </c>
      <c r="M95" t="s">
        <v>188</v>
      </c>
      <c r="N95">
        <v>0</v>
      </c>
      <c r="O95" t="s">
        <v>1921</v>
      </c>
      <c r="P95" t="s">
        <v>21</v>
      </c>
      <c r="Q95" t="s">
        <v>21</v>
      </c>
      <c r="R95">
        <v>3000</v>
      </c>
      <c r="S95" t="s">
        <v>113</v>
      </c>
      <c r="T95">
        <v>427986</v>
      </c>
      <c r="U95" t="s">
        <v>1925</v>
      </c>
      <c r="V95">
        <v>0</v>
      </c>
      <c r="W95" t="s">
        <v>1925</v>
      </c>
      <c r="X95">
        <v>0</v>
      </c>
      <c r="Y95" t="s">
        <v>1925</v>
      </c>
      <c r="Z95">
        <v>27</v>
      </c>
      <c r="AA95" t="s">
        <v>1926</v>
      </c>
      <c r="AB95">
        <v>38518740</v>
      </c>
      <c r="AC95" t="s">
        <v>1925</v>
      </c>
      <c r="AD95" t="s">
        <v>185</v>
      </c>
    </row>
    <row r="96" spans="1:30">
      <c r="A96">
        <v>318440</v>
      </c>
      <c r="B96">
        <v>17</v>
      </c>
      <c r="C96" t="s">
        <v>1921</v>
      </c>
      <c r="D96" t="s">
        <v>1922</v>
      </c>
      <c r="E96" t="s">
        <v>21</v>
      </c>
      <c r="F96" t="s">
        <v>21</v>
      </c>
      <c r="G96">
        <v>0</v>
      </c>
      <c r="H96">
        <v>1000</v>
      </c>
      <c r="I96">
        <v>99</v>
      </c>
      <c r="J96" t="s">
        <v>1923</v>
      </c>
      <c r="K96">
        <v>318440</v>
      </c>
      <c r="L96" t="s">
        <v>1924</v>
      </c>
      <c r="M96" t="s">
        <v>188</v>
      </c>
      <c r="N96">
        <v>0</v>
      </c>
      <c r="O96" t="s">
        <v>1921</v>
      </c>
      <c r="P96" t="s">
        <v>21</v>
      </c>
      <c r="Q96" t="s">
        <v>21</v>
      </c>
      <c r="R96">
        <v>3000</v>
      </c>
      <c r="S96" t="s">
        <v>113</v>
      </c>
      <c r="T96">
        <v>427986</v>
      </c>
      <c r="U96" t="s">
        <v>1925</v>
      </c>
      <c r="V96">
        <v>0</v>
      </c>
      <c r="W96" t="s">
        <v>1925</v>
      </c>
      <c r="X96">
        <v>0</v>
      </c>
      <c r="Y96" t="s">
        <v>1925</v>
      </c>
      <c r="Z96">
        <v>27</v>
      </c>
      <c r="AA96" t="s">
        <v>1926</v>
      </c>
      <c r="AB96">
        <v>7275762</v>
      </c>
      <c r="AC96" t="s">
        <v>1925</v>
      </c>
      <c r="AD96" t="s">
        <v>185</v>
      </c>
    </row>
    <row r="97" spans="1:30">
      <c r="A97">
        <v>319735</v>
      </c>
      <c r="B97">
        <v>788</v>
      </c>
      <c r="C97" t="s">
        <v>1921</v>
      </c>
      <c r="D97" t="s">
        <v>1928</v>
      </c>
      <c r="E97" t="s">
        <v>21</v>
      </c>
      <c r="F97" t="s">
        <v>21</v>
      </c>
      <c r="G97">
        <v>0</v>
      </c>
      <c r="H97">
        <v>1000</v>
      </c>
      <c r="I97">
        <v>99</v>
      </c>
      <c r="J97" t="s">
        <v>1923</v>
      </c>
      <c r="K97">
        <v>319735</v>
      </c>
      <c r="L97" t="s">
        <v>1924</v>
      </c>
      <c r="M97" t="s">
        <v>656</v>
      </c>
      <c r="N97">
        <v>0</v>
      </c>
      <c r="O97" t="s">
        <v>1921</v>
      </c>
      <c r="P97" t="s">
        <v>21</v>
      </c>
      <c r="Q97" t="s">
        <v>21</v>
      </c>
      <c r="R97">
        <v>3000</v>
      </c>
      <c r="S97" t="s">
        <v>113</v>
      </c>
      <c r="T97">
        <v>49210</v>
      </c>
      <c r="U97" t="s">
        <v>1925</v>
      </c>
      <c r="V97">
        <v>0</v>
      </c>
      <c r="W97" t="s">
        <v>1925</v>
      </c>
      <c r="X97">
        <v>0</v>
      </c>
      <c r="Y97" t="s">
        <v>1925</v>
      </c>
      <c r="Z97">
        <v>27</v>
      </c>
      <c r="AA97" t="s">
        <v>1926</v>
      </c>
      <c r="AB97">
        <v>38777480</v>
      </c>
      <c r="AC97" t="s">
        <v>1925</v>
      </c>
      <c r="AD97" t="s">
        <v>1942</v>
      </c>
    </row>
    <row r="98" spans="1:30">
      <c r="A98">
        <v>319735</v>
      </c>
      <c r="B98">
        <v>45</v>
      </c>
      <c r="C98" t="s">
        <v>1921</v>
      </c>
      <c r="D98" t="s">
        <v>1922</v>
      </c>
      <c r="E98" t="s">
        <v>21</v>
      </c>
      <c r="F98" t="s">
        <v>21</v>
      </c>
      <c r="G98">
        <v>0</v>
      </c>
      <c r="H98">
        <v>1000</v>
      </c>
      <c r="I98">
        <v>99</v>
      </c>
      <c r="J98" t="s">
        <v>1923</v>
      </c>
      <c r="K98">
        <v>319735</v>
      </c>
      <c r="L98" t="s">
        <v>1924</v>
      </c>
      <c r="M98" t="s">
        <v>656</v>
      </c>
      <c r="N98">
        <v>0</v>
      </c>
      <c r="O98" t="s">
        <v>1921</v>
      </c>
      <c r="P98" t="s">
        <v>21</v>
      </c>
      <c r="Q98" t="s">
        <v>21</v>
      </c>
      <c r="R98">
        <v>3000</v>
      </c>
      <c r="S98" t="s">
        <v>113</v>
      </c>
      <c r="T98">
        <v>49210</v>
      </c>
      <c r="U98" t="s">
        <v>1925</v>
      </c>
      <c r="V98">
        <v>0</v>
      </c>
      <c r="W98" t="s">
        <v>1925</v>
      </c>
      <c r="X98">
        <v>0</v>
      </c>
      <c r="Y98" t="s">
        <v>1925</v>
      </c>
      <c r="Z98">
        <v>27</v>
      </c>
      <c r="AA98" t="s">
        <v>1926</v>
      </c>
      <c r="AB98">
        <v>2214450</v>
      </c>
      <c r="AC98" t="s">
        <v>1925</v>
      </c>
      <c r="AD98" t="s">
        <v>1942</v>
      </c>
    </row>
    <row r="99" spans="1:30">
      <c r="A99">
        <v>326941</v>
      </c>
      <c r="B99">
        <v>19</v>
      </c>
      <c r="C99" t="s">
        <v>1921</v>
      </c>
      <c r="D99" t="s">
        <v>1922</v>
      </c>
      <c r="E99" t="s">
        <v>21</v>
      </c>
      <c r="F99" t="s">
        <v>21</v>
      </c>
      <c r="G99">
        <v>0</v>
      </c>
      <c r="H99">
        <v>1000</v>
      </c>
      <c r="I99">
        <v>99</v>
      </c>
      <c r="J99" t="s">
        <v>1923</v>
      </c>
      <c r="K99">
        <v>326941</v>
      </c>
      <c r="L99" t="s">
        <v>1924</v>
      </c>
      <c r="M99" t="s">
        <v>194</v>
      </c>
      <c r="N99">
        <v>0</v>
      </c>
      <c r="O99" t="s">
        <v>1921</v>
      </c>
      <c r="P99" t="s">
        <v>21</v>
      </c>
      <c r="Q99" t="s">
        <v>21</v>
      </c>
      <c r="R99">
        <v>3000</v>
      </c>
      <c r="S99" t="s">
        <v>113</v>
      </c>
      <c r="T99">
        <v>313325</v>
      </c>
      <c r="U99" t="s">
        <v>1925</v>
      </c>
      <c r="V99">
        <v>0</v>
      </c>
      <c r="W99" t="s">
        <v>1925</v>
      </c>
      <c r="X99">
        <v>0</v>
      </c>
      <c r="Y99" t="s">
        <v>1925</v>
      </c>
      <c r="Z99">
        <v>27</v>
      </c>
      <c r="AA99" t="s">
        <v>1926</v>
      </c>
      <c r="AB99">
        <v>5953175</v>
      </c>
      <c r="AC99" t="s">
        <v>1925</v>
      </c>
      <c r="AD99" t="s">
        <v>191</v>
      </c>
    </row>
    <row r="100" spans="1:30">
      <c r="A100">
        <v>326941</v>
      </c>
      <c r="B100">
        <v>250</v>
      </c>
      <c r="C100" t="s">
        <v>1921</v>
      </c>
      <c r="D100" t="s">
        <v>1928</v>
      </c>
      <c r="E100" t="s">
        <v>21</v>
      </c>
      <c r="F100" t="s">
        <v>21</v>
      </c>
      <c r="G100">
        <v>0</v>
      </c>
      <c r="H100">
        <v>1000</v>
      </c>
      <c r="I100">
        <v>99</v>
      </c>
      <c r="J100" t="s">
        <v>1923</v>
      </c>
      <c r="K100">
        <v>326941</v>
      </c>
      <c r="L100" t="s">
        <v>1924</v>
      </c>
      <c r="M100" t="s">
        <v>194</v>
      </c>
      <c r="N100">
        <v>0</v>
      </c>
      <c r="O100" t="s">
        <v>1921</v>
      </c>
      <c r="P100" t="s">
        <v>21</v>
      </c>
      <c r="Q100" t="s">
        <v>21</v>
      </c>
      <c r="R100">
        <v>3000</v>
      </c>
      <c r="S100" t="s">
        <v>113</v>
      </c>
      <c r="T100">
        <v>313325</v>
      </c>
      <c r="U100" t="s">
        <v>1925</v>
      </c>
      <c r="V100">
        <v>0</v>
      </c>
      <c r="W100" t="s">
        <v>1925</v>
      </c>
      <c r="X100">
        <v>0</v>
      </c>
      <c r="Y100" t="s">
        <v>1925</v>
      </c>
      <c r="Z100">
        <v>27</v>
      </c>
      <c r="AA100" t="s">
        <v>1926</v>
      </c>
      <c r="AB100">
        <v>78331250</v>
      </c>
      <c r="AC100" t="s">
        <v>1925</v>
      </c>
      <c r="AD100" t="s">
        <v>191</v>
      </c>
    </row>
    <row r="101" spans="1:30">
      <c r="A101">
        <v>349140</v>
      </c>
      <c r="B101">
        <v>119</v>
      </c>
      <c r="C101" t="s">
        <v>1921</v>
      </c>
      <c r="D101" t="s">
        <v>1928</v>
      </c>
      <c r="E101" t="s">
        <v>21</v>
      </c>
      <c r="F101" t="s">
        <v>21</v>
      </c>
      <c r="G101">
        <v>0</v>
      </c>
      <c r="H101">
        <v>1000</v>
      </c>
      <c r="I101">
        <v>99</v>
      </c>
      <c r="J101" t="s">
        <v>1923</v>
      </c>
      <c r="K101">
        <v>349140</v>
      </c>
      <c r="L101" t="s">
        <v>1924</v>
      </c>
      <c r="M101" t="s">
        <v>2612</v>
      </c>
      <c r="N101">
        <v>0</v>
      </c>
      <c r="O101" t="s">
        <v>1921</v>
      </c>
      <c r="P101" t="s">
        <v>21</v>
      </c>
      <c r="Q101" t="s">
        <v>21</v>
      </c>
      <c r="R101">
        <v>3000</v>
      </c>
      <c r="S101" t="s">
        <v>113</v>
      </c>
      <c r="T101">
        <v>231534</v>
      </c>
      <c r="U101" t="s">
        <v>1925</v>
      </c>
      <c r="V101">
        <v>0</v>
      </c>
      <c r="W101" t="s">
        <v>1925</v>
      </c>
      <c r="X101">
        <v>0</v>
      </c>
      <c r="Y101" t="s">
        <v>1925</v>
      </c>
      <c r="Z101">
        <v>27</v>
      </c>
      <c r="AA101" t="s">
        <v>1926</v>
      </c>
      <c r="AB101">
        <v>27552546</v>
      </c>
      <c r="AC101" t="s">
        <v>1925</v>
      </c>
      <c r="AD101" t="s">
        <v>213</v>
      </c>
    </row>
    <row r="102" spans="1:30">
      <c r="A102">
        <v>353117</v>
      </c>
      <c r="B102">
        <v>2</v>
      </c>
      <c r="C102" t="s">
        <v>1921</v>
      </c>
      <c r="D102" t="s">
        <v>1922</v>
      </c>
      <c r="E102" t="s">
        <v>21</v>
      </c>
      <c r="F102" t="s">
        <v>21</v>
      </c>
      <c r="G102">
        <v>0</v>
      </c>
      <c r="H102">
        <v>1000</v>
      </c>
      <c r="I102">
        <v>99</v>
      </c>
      <c r="J102" t="s">
        <v>1923</v>
      </c>
      <c r="K102">
        <v>353117</v>
      </c>
      <c r="L102" t="s">
        <v>1924</v>
      </c>
      <c r="M102" t="s">
        <v>2608</v>
      </c>
      <c r="N102">
        <v>0</v>
      </c>
      <c r="O102" t="s">
        <v>1921</v>
      </c>
      <c r="P102" t="s">
        <v>21</v>
      </c>
      <c r="Q102" t="s">
        <v>21</v>
      </c>
      <c r="R102">
        <v>3000</v>
      </c>
      <c r="S102" t="s">
        <v>113</v>
      </c>
      <c r="T102">
        <v>74378</v>
      </c>
      <c r="U102" t="s">
        <v>1925</v>
      </c>
      <c r="V102">
        <v>0</v>
      </c>
      <c r="W102" t="s">
        <v>1925</v>
      </c>
      <c r="X102">
        <v>0</v>
      </c>
      <c r="Y102" t="s">
        <v>1925</v>
      </c>
      <c r="Z102">
        <v>27</v>
      </c>
      <c r="AA102" t="s">
        <v>1926</v>
      </c>
      <c r="AB102">
        <v>148756</v>
      </c>
      <c r="AC102" t="s">
        <v>1925</v>
      </c>
      <c r="AD102" t="s">
        <v>793</v>
      </c>
    </row>
    <row r="103" spans="1:30">
      <c r="A103">
        <v>222818</v>
      </c>
      <c r="B103">
        <v>53</v>
      </c>
      <c r="C103" t="s">
        <v>1921</v>
      </c>
      <c r="D103" t="s">
        <v>1943</v>
      </c>
      <c r="E103" t="s">
        <v>21</v>
      </c>
      <c r="F103" t="s">
        <v>21</v>
      </c>
      <c r="G103">
        <v>0</v>
      </c>
      <c r="H103">
        <v>1000</v>
      </c>
      <c r="I103">
        <v>99</v>
      </c>
      <c r="J103" t="s">
        <v>1923</v>
      </c>
      <c r="K103">
        <v>222818</v>
      </c>
      <c r="L103" t="s">
        <v>1924</v>
      </c>
      <c r="M103" t="s">
        <v>305</v>
      </c>
      <c r="N103">
        <v>0</v>
      </c>
      <c r="O103" t="s">
        <v>1921</v>
      </c>
      <c r="P103" t="s">
        <v>21</v>
      </c>
      <c r="Q103" t="s">
        <v>21</v>
      </c>
      <c r="R103">
        <v>3000</v>
      </c>
      <c r="S103" t="s">
        <v>113</v>
      </c>
      <c r="T103">
        <v>122103</v>
      </c>
      <c r="U103" t="s">
        <v>1925</v>
      </c>
      <c r="V103">
        <v>0</v>
      </c>
      <c r="W103" t="s">
        <v>1925</v>
      </c>
      <c r="X103">
        <v>0</v>
      </c>
      <c r="Y103" t="s">
        <v>1925</v>
      </c>
      <c r="Z103">
        <v>27</v>
      </c>
      <c r="AA103" t="s">
        <v>1926</v>
      </c>
      <c r="AB103">
        <v>6471459</v>
      </c>
      <c r="AC103" t="s">
        <v>1925</v>
      </c>
      <c r="AD103" t="s">
        <v>299</v>
      </c>
    </row>
    <row r="104" spans="1:30">
      <c r="A104">
        <v>223062</v>
      </c>
      <c r="B104">
        <v>15</v>
      </c>
      <c r="C104" t="s">
        <v>1921</v>
      </c>
      <c r="D104" t="s">
        <v>1943</v>
      </c>
      <c r="E104" t="s">
        <v>21</v>
      </c>
      <c r="F104" t="s">
        <v>21</v>
      </c>
      <c r="G104">
        <v>0</v>
      </c>
      <c r="H104">
        <v>1000</v>
      </c>
      <c r="I104">
        <v>99</v>
      </c>
      <c r="J104" t="s">
        <v>1923</v>
      </c>
      <c r="K104">
        <v>223062</v>
      </c>
      <c r="L104" t="s">
        <v>1924</v>
      </c>
      <c r="M104" t="s">
        <v>755</v>
      </c>
      <c r="N104">
        <v>0</v>
      </c>
      <c r="O104" t="s">
        <v>1921</v>
      </c>
      <c r="P104" t="s">
        <v>21</v>
      </c>
      <c r="Q104" t="s">
        <v>21</v>
      </c>
      <c r="R104">
        <v>3000</v>
      </c>
      <c r="S104" t="s">
        <v>113</v>
      </c>
      <c r="T104">
        <v>54211</v>
      </c>
      <c r="U104" t="s">
        <v>1925</v>
      </c>
      <c r="V104">
        <v>0</v>
      </c>
      <c r="W104" t="s">
        <v>1925</v>
      </c>
      <c r="X104">
        <v>0</v>
      </c>
      <c r="Y104" t="s">
        <v>1925</v>
      </c>
      <c r="Z104">
        <v>27</v>
      </c>
      <c r="AA104" t="s">
        <v>1926</v>
      </c>
      <c r="AB104">
        <v>813165</v>
      </c>
      <c r="AC104" t="s">
        <v>1925</v>
      </c>
      <c r="AD104" t="s">
        <v>753</v>
      </c>
    </row>
  </sheetData>
  <phoneticPr fontId="4"/>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3CD39-45BF-4CE8-96E3-FDCDC15E9B15}">
  <sheetPr codeName="Sheet3"/>
  <dimension ref="A1:AI90"/>
  <sheetViews>
    <sheetView workbookViewId="0"/>
  </sheetViews>
  <sheetFormatPr defaultColWidth="8.75" defaultRowHeight="18.75"/>
  <cols>
    <col min="1" max="1" width="8.75" bestFit="1" customWidth="1"/>
    <col min="2" max="2" width="6.625" customWidth="1"/>
    <col min="3" max="3" width="10.75" customWidth="1"/>
    <col min="4" max="4" width="14.875" customWidth="1"/>
    <col min="5" max="5" width="12.125" customWidth="1"/>
    <col min="6" max="6" width="4" customWidth="1"/>
    <col min="7" max="7" width="12" customWidth="1"/>
    <col min="8" max="8" width="4.375" customWidth="1"/>
    <col min="9" max="9" width="42.25" customWidth="1"/>
    <col min="10" max="10" width="6.125" customWidth="1"/>
    <col min="11" max="11" width="12.625" customWidth="1"/>
    <col min="12" max="12" width="14" customWidth="1"/>
    <col min="13" max="13" width="13.75" customWidth="1"/>
    <col min="14" max="14" width="14.75" customWidth="1"/>
    <col min="15" max="15" width="5.5" customWidth="1"/>
    <col min="16" max="16" width="11.75" customWidth="1"/>
    <col min="17" max="17" width="6.375" customWidth="1"/>
    <col min="18" max="18" width="11.375" customWidth="1"/>
    <col min="19" max="19" width="21.25" customWidth="1"/>
    <col min="20" max="20" width="7.125" customWidth="1"/>
    <col min="21" max="21" width="14.75" customWidth="1"/>
    <col min="22" max="22" width="19.5" customWidth="1"/>
    <col min="23" max="23" width="16.5" customWidth="1"/>
    <col min="24" max="24" width="10.875" customWidth="1"/>
    <col min="25" max="25" width="8.375" customWidth="1"/>
    <col min="26" max="26" width="19.25" bestFit="1" customWidth="1"/>
    <col min="27" max="28" width="9.75" customWidth="1"/>
    <col min="29" max="29" width="18.625" customWidth="1"/>
    <col min="30" max="30" width="10" customWidth="1"/>
    <col min="31" max="31" width="18.75" customWidth="1"/>
    <col min="32" max="32" width="11.25" customWidth="1"/>
    <col min="33" max="33" width="11.375" customWidth="1"/>
    <col min="34" max="34" width="11.625" customWidth="1"/>
  </cols>
  <sheetData>
    <row r="1" spans="1:34" s="47" customFormat="1" ht="12.95" customHeight="1">
      <c r="A1" s="47" t="s">
        <v>1944</v>
      </c>
      <c r="B1" s="973" t="s">
        <v>1945</v>
      </c>
      <c r="C1" s="974" t="s">
        <v>1946</v>
      </c>
      <c r="D1" s="975" t="s">
        <v>1947</v>
      </c>
      <c r="E1" s="393" t="s">
        <v>1948</v>
      </c>
      <c r="F1" s="392" t="s">
        <v>1949</v>
      </c>
      <c r="G1" s="393" t="s">
        <v>1950</v>
      </c>
      <c r="H1" s="976" t="s">
        <v>1951</v>
      </c>
      <c r="I1" s="392" t="s">
        <v>1952</v>
      </c>
      <c r="J1" s="392" t="s">
        <v>1953</v>
      </c>
      <c r="K1" s="394" t="s">
        <v>1954</v>
      </c>
      <c r="L1" s="395" t="s">
        <v>1955</v>
      </c>
      <c r="M1" s="393" t="s">
        <v>1956</v>
      </c>
      <c r="N1" s="393" t="s">
        <v>1957</v>
      </c>
      <c r="O1" s="392" t="s">
        <v>1958</v>
      </c>
      <c r="P1" s="393" t="s">
        <v>1959</v>
      </c>
      <c r="Q1" s="392" t="s">
        <v>1960</v>
      </c>
      <c r="R1" s="393" t="s">
        <v>1961</v>
      </c>
      <c r="S1" s="393" t="s">
        <v>1962</v>
      </c>
      <c r="T1" s="515" t="s">
        <v>1963</v>
      </c>
      <c r="U1" s="47" t="s">
        <v>1964</v>
      </c>
      <c r="V1" s="392" t="s">
        <v>1965</v>
      </c>
      <c r="W1" s="47" t="s">
        <v>1966</v>
      </c>
      <c r="X1" s="47" t="s">
        <v>1967</v>
      </c>
      <c r="Y1" s="396" t="s">
        <v>1968</v>
      </c>
      <c r="Z1" s="518" t="s">
        <v>1969</v>
      </c>
      <c r="AA1" s="519" t="s">
        <v>1970</v>
      </c>
      <c r="AB1" s="520" t="s">
        <v>1971</v>
      </c>
      <c r="AC1" s="521" t="s">
        <v>1972</v>
      </c>
      <c r="AD1" s="520" t="s">
        <v>1973</v>
      </c>
      <c r="AE1" s="528" t="s">
        <v>1974</v>
      </c>
      <c r="AF1" s="519" t="s">
        <v>1975</v>
      </c>
      <c r="AG1" s="522" t="s">
        <v>1976</v>
      </c>
      <c r="AH1" s="522" t="s">
        <v>1977</v>
      </c>
    </row>
    <row r="2" spans="1:34" s="48" customFormat="1" ht="56.45" customHeight="1">
      <c r="A2" s="403">
        <v>220801</v>
      </c>
      <c r="B2" s="977">
        <v>120</v>
      </c>
      <c r="C2" s="978">
        <v>1351</v>
      </c>
      <c r="D2" s="979" t="s">
        <v>1978</v>
      </c>
      <c r="E2" s="657">
        <v>46031</v>
      </c>
      <c r="F2" s="660">
        <v>1</v>
      </c>
      <c r="G2" s="399">
        <v>45926</v>
      </c>
      <c r="H2" s="980"/>
      <c r="I2" s="400" t="s">
        <v>211</v>
      </c>
      <c r="J2" s="398" t="s">
        <v>1979</v>
      </c>
      <c r="K2" s="401">
        <v>4500011458</v>
      </c>
      <c r="L2" s="402">
        <v>162120</v>
      </c>
      <c r="M2" s="399">
        <v>46008</v>
      </c>
      <c r="N2" s="405">
        <v>46010</v>
      </c>
      <c r="O2" s="362" t="s">
        <v>1980</v>
      </c>
      <c r="P2" s="399">
        <v>46013</v>
      </c>
      <c r="Q2" s="362" t="s">
        <v>1981</v>
      </c>
      <c r="R2" s="399">
        <v>46016</v>
      </c>
      <c r="S2" s="399" t="s">
        <v>1982</v>
      </c>
      <c r="T2" s="513"/>
      <c r="U2" s="979" t="s">
        <v>1983</v>
      </c>
      <c r="V2" s="400"/>
      <c r="W2" s="404"/>
      <c r="X2" s="406"/>
      <c r="Y2" s="407"/>
      <c r="Z2" s="407"/>
      <c r="AA2" s="405">
        <v>45981</v>
      </c>
      <c r="AB2" s="511"/>
      <c r="AC2" s="407"/>
      <c r="AD2" s="407"/>
      <c r="AE2" s="512" t="s">
        <v>1984</v>
      </c>
      <c r="AF2" s="523">
        <v>46013</v>
      </c>
      <c r="AG2" s="399">
        <v>45985</v>
      </c>
      <c r="AH2" s="397">
        <v>45992</v>
      </c>
    </row>
    <row r="3" spans="1:34" s="48" customFormat="1" ht="44.45" customHeight="1">
      <c r="A3" s="403">
        <v>281821</v>
      </c>
      <c r="B3" s="977">
        <v>700</v>
      </c>
      <c r="C3" s="978">
        <v>800</v>
      </c>
      <c r="D3" s="981" t="s">
        <v>1985</v>
      </c>
      <c r="E3" s="657">
        <v>46031</v>
      </c>
      <c r="F3" s="398">
        <v>1</v>
      </c>
      <c r="G3" s="399">
        <v>45926</v>
      </c>
      <c r="H3" s="980"/>
      <c r="I3" s="488" t="s">
        <v>588</v>
      </c>
      <c r="J3" s="398" t="s">
        <v>1979</v>
      </c>
      <c r="K3" s="401">
        <v>4500011513</v>
      </c>
      <c r="L3" s="402">
        <v>560000</v>
      </c>
      <c r="M3" s="951" t="s">
        <v>1986</v>
      </c>
      <c r="N3" s="405">
        <v>46017</v>
      </c>
      <c r="O3" s="362" t="s">
        <v>1980</v>
      </c>
      <c r="P3" s="399">
        <v>46021</v>
      </c>
      <c r="Q3" s="362" t="s">
        <v>1981</v>
      </c>
      <c r="R3" s="399">
        <v>46026</v>
      </c>
      <c r="S3" s="399" t="s">
        <v>1982</v>
      </c>
      <c r="T3" s="513"/>
      <c r="U3" s="981" t="s">
        <v>1987</v>
      </c>
      <c r="V3" s="489" t="s">
        <v>1988</v>
      </c>
      <c r="W3" s="982"/>
      <c r="X3" s="406"/>
      <c r="Y3" s="407"/>
      <c r="Z3" s="407"/>
      <c r="AA3" s="405">
        <v>46002</v>
      </c>
      <c r="AB3" s="511"/>
      <c r="AC3" s="407"/>
      <c r="AD3" s="407"/>
      <c r="AE3" s="512" t="s">
        <v>1989</v>
      </c>
      <c r="AF3" s="523">
        <v>46021</v>
      </c>
      <c r="AG3" s="399">
        <v>46006</v>
      </c>
      <c r="AH3" s="397">
        <v>46013</v>
      </c>
    </row>
    <row r="4" spans="1:34" s="48" customFormat="1" ht="44.45" customHeight="1">
      <c r="A4" s="403">
        <v>281821</v>
      </c>
      <c r="B4" s="977">
        <v>1</v>
      </c>
      <c r="C4" s="978">
        <v>800</v>
      </c>
      <c r="D4" s="983" t="s">
        <v>1990</v>
      </c>
      <c r="E4" s="657">
        <v>46017</v>
      </c>
      <c r="F4" s="398">
        <v>1</v>
      </c>
      <c r="G4" s="399">
        <v>45926</v>
      </c>
      <c r="H4" s="980"/>
      <c r="I4" s="864" t="s">
        <v>588</v>
      </c>
      <c r="J4" s="398" t="s">
        <v>1979</v>
      </c>
      <c r="K4" s="401">
        <v>4500011512</v>
      </c>
      <c r="L4" s="402">
        <v>800</v>
      </c>
      <c r="M4" s="724"/>
      <c r="N4" s="405">
        <v>46014</v>
      </c>
      <c r="O4" s="362" t="s">
        <v>1991</v>
      </c>
      <c r="P4" s="399"/>
      <c r="Q4" s="362" t="s">
        <v>1981</v>
      </c>
      <c r="R4" s="399"/>
      <c r="S4" s="399" t="s">
        <v>1992</v>
      </c>
      <c r="T4" s="513"/>
      <c r="U4" s="658" t="s">
        <v>1993</v>
      </c>
      <c r="V4" s="524" t="s">
        <v>1994</v>
      </c>
      <c r="W4" s="982"/>
      <c r="X4" s="406"/>
      <c r="Y4" s="407"/>
      <c r="Z4" s="407"/>
      <c r="AA4" s="405">
        <v>45996</v>
      </c>
      <c r="AB4" s="511"/>
      <c r="AC4" s="407"/>
      <c r="AD4" s="407"/>
      <c r="AE4" s="512"/>
      <c r="AF4" s="523"/>
      <c r="AG4" s="399">
        <v>46000</v>
      </c>
      <c r="AH4" s="397">
        <v>46007</v>
      </c>
    </row>
    <row r="5" spans="1:34" s="48" customFormat="1" ht="44.45" customHeight="1">
      <c r="A5" s="403">
        <v>281821</v>
      </c>
      <c r="B5" s="977">
        <v>2</v>
      </c>
      <c r="C5" s="978">
        <v>800</v>
      </c>
      <c r="D5" s="983" t="s">
        <v>1990</v>
      </c>
      <c r="E5" s="657">
        <v>46017</v>
      </c>
      <c r="F5" s="398">
        <v>1</v>
      </c>
      <c r="G5" s="399">
        <v>45926</v>
      </c>
      <c r="H5" s="980"/>
      <c r="I5" s="400" t="s">
        <v>588</v>
      </c>
      <c r="J5" s="398" t="s">
        <v>1979</v>
      </c>
      <c r="K5" s="401">
        <v>4500011512</v>
      </c>
      <c r="L5" s="402">
        <v>1600</v>
      </c>
      <c r="M5" s="724"/>
      <c r="N5" s="405">
        <v>46014</v>
      </c>
      <c r="O5" s="362" t="s">
        <v>1991</v>
      </c>
      <c r="P5" s="399"/>
      <c r="Q5" s="362" t="s">
        <v>1981</v>
      </c>
      <c r="R5" s="399"/>
      <c r="S5" s="399" t="s">
        <v>1995</v>
      </c>
      <c r="T5" s="513"/>
      <c r="U5" s="658" t="s">
        <v>1996</v>
      </c>
      <c r="V5" s="524" t="s">
        <v>1994</v>
      </c>
      <c r="W5" s="982"/>
      <c r="X5" s="406"/>
      <c r="Y5" s="407"/>
      <c r="Z5" s="407"/>
      <c r="AA5" s="405">
        <v>45996</v>
      </c>
      <c r="AB5" s="511"/>
      <c r="AC5" s="407"/>
      <c r="AD5" s="407"/>
      <c r="AE5" s="512"/>
      <c r="AF5" s="523"/>
      <c r="AG5" s="399">
        <v>46000</v>
      </c>
      <c r="AH5" s="397">
        <v>46007</v>
      </c>
    </row>
    <row r="6" spans="1:34" s="48" customFormat="1" ht="44.45" customHeight="1">
      <c r="A6" s="403">
        <v>281821</v>
      </c>
      <c r="B6" s="977">
        <v>2</v>
      </c>
      <c r="C6" s="978">
        <v>800</v>
      </c>
      <c r="D6" s="983" t="s">
        <v>1990</v>
      </c>
      <c r="E6" s="657">
        <v>46017</v>
      </c>
      <c r="F6" s="398">
        <v>1</v>
      </c>
      <c r="G6" s="399">
        <v>45926</v>
      </c>
      <c r="H6" s="980"/>
      <c r="I6" s="400" t="s">
        <v>588</v>
      </c>
      <c r="J6" s="398" t="s">
        <v>1979</v>
      </c>
      <c r="K6" s="401">
        <v>4500011512</v>
      </c>
      <c r="L6" s="402">
        <v>1600</v>
      </c>
      <c r="M6" s="724"/>
      <c r="N6" s="405">
        <v>46014</v>
      </c>
      <c r="O6" s="362" t="s">
        <v>1991</v>
      </c>
      <c r="P6" s="399"/>
      <c r="Q6" s="362" t="s">
        <v>1981</v>
      </c>
      <c r="R6" s="399"/>
      <c r="S6" s="399" t="s">
        <v>1997</v>
      </c>
      <c r="T6" s="513"/>
      <c r="U6" s="658" t="s">
        <v>1998</v>
      </c>
      <c r="V6" s="524" t="s">
        <v>1994</v>
      </c>
      <c r="W6" s="982"/>
      <c r="X6" s="406"/>
      <c r="Y6" s="407"/>
      <c r="Z6" s="407"/>
      <c r="AA6" s="405">
        <v>45996</v>
      </c>
      <c r="AB6" s="511"/>
      <c r="AC6" s="407"/>
      <c r="AD6" s="407"/>
      <c r="AE6" s="512"/>
      <c r="AF6" s="523"/>
      <c r="AG6" s="399">
        <v>46000</v>
      </c>
      <c r="AH6" s="397">
        <v>46007</v>
      </c>
    </row>
    <row r="7" spans="1:34" s="48" customFormat="1" ht="34.15" customHeight="1">
      <c r="A7" s="403">
        <v>201900</v>
      </c>
      <c r="B7" s="984">
        <v>500</v>
      </c>
      <c r="C7" s="978">
        <v>624</v>
      </c>
      <c r="D7" s="985" t="s">
        <v>1999</v>
      </c>
      <c r="E7" s="657">
        <v>46031</v>
      </c>
      <c r="F7" s="660">
        <v>1</v>
      </c>
      <c r="G7" s="399">
        <v>45940</v>
      </c>
      <c r="H7" s="980"/>
      <c r="I7" s="400" t="s">
        <v>327</v>
      </c>
      <c r="J7" s="398" t="s">
        <v>1979</v>
      </c>
      <c r="K7" s="401">
        <v>4500011639</v>
      </c>
      <c r="L7" s="402">
        <v>312000</v>
      </c>
      <c r="M7" s="952" t="s">
        <v>2000</v>
      </c>
      <c r="N7" s="405">
        <v>46017</v>
      </c>
      <c r="O7" s="362" t="s">
        <v>1980</v>
      </c>
      <c r="P7" s="399">
        <v>46021</v>
      </c>
      <c r="Q7" s="362" t="s">
        <v>1981</v>
      </c>
      <c r="R7" s="399">
        <v>46026</v>
      </c>
      <c r="S7" s="399" t="s">
        <v>1982</v>
      </c>
      <c r="T7" s="513"/>
      <c r="U7" s="981" t="s">
        <v>1987</v>
      </c>
      <c r="V7" s="489"/>
      <c r="W7" s="404"/>
      <c r="X7" s="982"/>
      <c r="Y7" s="982"/>
      <c r="Z7" s="720"/>
      <c r="AA7" s="523"/>
      <c r="AB7" s="511"/>
      <c r="AC7" s="982"/>
      <c r="AD7" s="982"/>
      <c r="AE7" s="512" t="s">
        <v>1989</v>
      </c>
      <c r="AF7" s="523">
        <v>46021</v>
      </c>
      <c r="AG7" s="523">
        <v>45995</v>
      </c>
      <c r="AH7" s="523"/>
    </row>
    <row r="8" spans="1:34" s="48" customFormat="1" ht="12" customHeight="1">
      <c r="A8" s="403">
        <v>199024</v>
      </c>
      <c r="B8" s="977">
        <v>300</v>
      </c>
      <c r="C8" s="978">
        <v>532</v>
      </c>
      <c r="D8" s="979" t="s">
        <v>1978</v>
      </c>
      <c r="E8" s="657">
        <v>46031</v>
      </c>
      <c r="F8" s="398">
        <v>1</v>
      </c>
      <c r="G8" s="399">
        <v>45940</v>
      </c>
      <c r="H8" s="980"/>
      <c r="I8" s="400" t="s">
        <v>338</v>
      </c>
      <c r="J8" s="398" t="s">
        <v>1979</v>
      </c>
      <c r="K8" s="401">
        <v>4500011640</v>
      </c>
      <c r="L8" s="402">
        <v>159600</v>
      </c>
      <c r="M8" s="399">
        <v>46008</v>
      </c>
      <c r="N8" s="953">
        <v>46010</v>
      </c>
      <c r="O8" s="362" t="s">
        <v>1980</v>
      </c>
      <c r="P8" s="399">
        <v>46013</v>
      </c>
      <c r="Q8" s="362" t="s">
        <v>1981</v>
      </c>
      <c r="R8" s="399">
        <v>46016</v>
      </c>
      <c r="S8" s="399" t="s">
        <v>1982</v>
      </c>
      <c r="T8" s="513"/>
      <c r="U8" s="979" t="s">
        <v>1983</v>
      </c>
      <c r="V8" s="400"/>
      <c r="W8" s="720"/>
      <c r="X8" s="406"/>
      <c r="Y8" s="407"/>
      <c r="Z8" s="407"/>
      <c r="AA8" s="523"/>
      <c r="AB8" s="511"/>
      <c r="AC8" s="407"/>
      <c r="AD8" s="407"/>
      <c r="AE8" s="512" t="s">
        <v>1984</v>
      </c>
      <c r="AF8" s="523">
        <v>46013</v>
      </c>
      <c r="AG8" s="523"/>
      <c r="AH8" s="523"/>
    </row>
    <row r="9" spans="1:34" s="48" customFormat="1" ht="33.6" customHeight="1">
      <c r="A9" s="403">
        <v>199024</v>
      </c>
      <c r="B9" s="984">
        <v>720</v>
      </c>
      <c r="C9" s="978">
        <v>532</v>
      </c>
      <c r="D9" s="985" t="s">
        <v>2001</v>
      </c>
      <c r="E9" s="657">
        <v>46031</v>
      </c>
      <c r="F9" s="660">
        <v>1</v>
      </c>
      <c r="G9" s="399">
        <v>45940</v>
      </c>
      <c r="H9" s="980"/>
      <c r="I9" s="400" t="s">
        <v>338</v>
      </c>
      <c r="J9" s="398" t="s">
        <v>1979</v>
      </c>
      <c r="K9" s="401">
        <v>4500011640</v>
      </c>
      <c r="L9" s="402">
        <v>383040</v>
      </c>
      <c r="M9" s="952" t="s">
        <v>2000</v>
      </c>
      <c r="N9" s="405">
        <v>46017</v>
      </c>
      <c r="O9" s="362" t="s">
        <v>1980</v>
      </c>
      <c r="P9" s="399">
        <v>46021</v>
      </c>
      <c r="Q9" s="362" t="s">
        <v>1981</v>
      </c>
      <c r="R9" s="399">
        <v>46026</v>
      </c>
      <c r="S9" s="399" t="s">
        <v>1982</v>
      </c>
      <c r="T9" s="513"/>
      <c r="U9" s="981" t="s">
        <v>1987</v>
      </c>
      <c r="V9" s="400"/>
      <c r="W9" s="720"/>
      <c r="X9" s="406"/>
      <c r="Y9" s="407"/>
      <c r="Z9" s="407"/>
      <c r="AA9" s="523"/>
      <c r="AB9" s="511"/>
      <c r="AC9" s="407"/>
      <c r="AD9" s="407"/>
      <c r="AE9" s="512" t="s">
        <v>1989</v>
      </c>
      <c r="AF9" s="523">
        <v>46021</v>
      </c>
      <c r="AG9" s="523"/>
      <c r="AH9" s="523"/>
    </row>
    <row r="10" spans="1:34" s="48" customFormat="1" ht="16.5">
      <c r="A10" s="403">
        <v>199022</v>
      </c>
      <c r="B10" s="977">
        <v>300</v>
      </c>
      <c r="C10" s="978">
        <v>651</v>
      </c>
      <c r="D10" s="986"/>
      <c r="E10" s="987">
        <v>46048</v>
      </c>
      <c r="F10" s="722">
        <v>1</v>
      </c>
      <c r="G10" s="399">
        <v>45947</v>
      </c>
      <c r="H10" s="980"/>
      <c r="I10" s="400" t="s">
        <v>460</v>
      </c>
      <c r="J10" s="398" t="s">
        <v>1979</v>
      </c>
      <c r="K10" s="988">
        <v>4500011641</v>
      </c>
      <c r="L10" s="402">
        <v>195300</v>
      </c>
      <c r="M10" s="399">
        <v>46037</v>
      </c>
      <c r="N10" s="961">
        <v>46038</v>
      </c>
      <c r="O10" s="362" t="s">
        <v>1980</v>
      </c>
      <c r="P10" s="399">
        <v>46042</v>
      </c>
      <c r="Q10" s="362" t="s">
        <v>1981</v>
      </c>
      <c r="R10" s="399">
        <v>46046</v>
      </c>
      <c r="S10" s="399" t="s">
        <v>1982</v>
      </c>
      <c r="T10" s="513"/>
      <c r="U10" s="989" t="s">
        <v>2002</v>
      </c>
      <c r="V10" s="400"/>
      <c r="W10" s="990"/>
      <c r="X10" s="398"/>
      <c r="Y10" s="652"/>
      <c r="Z10" s="720"/>
      <c r="AA10" s="405"/>
      <c r="AC10" s="652"/>
      <c r="AD10" s="652"/>
      <c r="AE10" s="512"/>
      <c r="AF10" s="523"/>
      <c r="AG10" s="399"/>
      <c r="AH10" s="397">
        <v>46027</v>
      </c>
    </row>
    <row r="11" spans="1:34" s="48" customFormat="1" ht="30.6" customHeight="1">
      <c r="A11" s="403">
        <v>199024</v>
      </c>
      <c r="B11" s="984">
        <v>300</v>
      </c>
      <c r="C11" s="978">
        <v>532</v>
      </c>
      <c r="D11" s="985" t="s">
        <v>2001</v>
      </c>
      <c r="E11" s="657">
        <v>46031</v>
      </c>
      <c r="F11" s="660">
        <v>1</v>
      </c>
      <c r="G11" s="399">
        <v>45947</v>
      </c>
      <c r="H11" s="980"/>
      <c r="I11" s="400" t="s">
        <v>338</v>
      </c>
      <c r="J11" s="398" t="s">
        <v>1979</v>
      </c>
      <c r="K11" s="401">
        <v>4500011667</v>
      </c>
      <c r="L11" s="402">
        <v>159600</v>
      </c>
      <c r="M11" s="952" t="s">
        <v>2000</v>
      </c>
      <c r="N11" s="405">
        <v>46017</v>
      </c>
      <c r="O11" s="362" t="s">
        <v>1980</v>
      </c>
      <c r="P11" s="399">
        <v>46021</v>
      </c>
      <c r="Q11" s="362" t="s">
        <v>1981</v>
      </c>
      <c r="R11" s="399">
        <v>46026</v>
      </c>
      <c r="S11" s="399" t="s">
        <v>1982</v>
      </c>
      <c r="T11" s="513"/>
      <c r="U11" s="981" t="s">
        <v>1987</v>
      </c>
      <c r="V11" s="400"/>
      <c r="W11" s="720"/>
      <c r="X11" s="406"/>
      <c r="Y11" s="407"/>
      <c r="Z11" s="407"/>
      <c r="AA11" s="523"/>
      <c r="AB11" s="511"/>
      <c r="AC11" s="407"/>
      <c r="AD11" s="407"/>
      <c r="AE11" s="512" t="s">
        <v>1989</v>
      </c>
      <c r="AF11" s="523">
        <v>46021</v>
      </c>
      <c r="AG11" s="523"/>
      <c r="AH11" s="523">
        <v>46013</v>
      </c>
    </row>
    <row r="12" spans="1:34" s="48" customFormat="1" ht="29.45" customHeight="1">
      <c r="A12" s="403">
        <v>199024</v>
      </c>
      <c r="B12" s="984">
        <v>1200</v>
      </c>
      <c r="C12" s="978">
        <v>532</v>
      </c>
      <c r="D12" s="985" t="s">
        <v>2003</v>
      </c>
      <c r="E12" s="657">
        <v>46031</v>
      </c>
      <c r="F12" s="660">
        <v>1</v>
      </c>
      <c r="G12" s="399">
        <v>45947</v>
      </c>
      <c r="H12" s="980"/>
      <c r="I12" s="400" t="s">
        <v>338</v>
      </c>
      <c r="J12" s="398" t="s">
        <v>1979</v>
      </c>
      <c r="K12" s="401">
        <v>4500011667</v>
      </c>
      <c r="L12" s="402">
        <v>638400</v>
      </c>
      <c r="M12" s="952" t="s">
        <v>2000</v>
      </c>
      <c r="N12" s="405">
        <v>46017</v>
      </c>
      <c r="O12" s="362" t="s">
        <v>1980</v>
      </c>
      <c r="P12" s="399">
        <v>46021</v>
      </c>
      <c r="Q12" s="362" t="s">
        <v>1981</v>
      </c>
      <c r="R12" s="399">
        <v>46026</v>
      </c>
      <c r="S12" s="399" t="s">
        <v>1982</v>
      </c>
      <c r="T12" s="513"/>
      <c r="U12" s="981" t="s">
        <v>1987</v>
      </c>
      <c r="V12" s="400"/>
      <c r="W12" s="720"/>
      <c r="X12" s="406"/>
      <c r="Y12" s="407"/>
      <c r="Z12" s="407"/>
      <c r="AA12" s="523"/>
      <c r="AB12" s="511"/>
      <c r="AC12" s="407"/>
      <c r="AD12" s="407"/>
      <c r="AE12" s="512" t="s">
        <v>1989</v>
      </c>
      <c r="AF12" s="523">
        <v>46021</v>
      </c>
      <c r="AG12" s="523"/>
      <c r="AH12" s="523">
        <v>46013</v>
      </c>
    </row>
    <row r="13" spans="1:34" s="48" customFormat="1" ht="27">
      <c r="A13" s="403">
        <v>201900</v>
      </c>
      <c r="B13" s="984">
        <v>190</v>
      </c>
      <c r="C13" s="978">
        <v>624</v>
      </c>
      <c r="D13" s="985" t="s">
        <v>1999</v>
      </c>
      <c r="E13" s="657">
        <v>46031</v>
      </c>
      <c r="F13" s="660">
        <v>1</v>
      </c>
      <c r="G13" s="405">
        <v>45961</v>
      </c>
      <c r="H13" s="980"/>
      <c r="I13" s="400" t="s">
        <v>327</v>
      </c>
      <c r="J13" s="398" t="s">
        <v>1979</v>
      </c>
      <c r="K13" s="401">
        <v>4500011791</v>
      </c>
      <c r="L13" s="402">
        <v>118560</v>
      </c>
      <c r="M13" s="952" t="s">
        <v>2000</v>
      </c>
      <c r="N13" s="405">
        <v>46017</v>
      </c>
      <c r="O13" s="362" t="s">
        <v>1980</v>
      </c>
      <c r="P13" s="399">
        <v>46021</v>
      </c>
      <c r="Q13" s="362" t="s">
        <v>1981</v>
      </c>
      <c r="R13" s="399">
        <v>46026</v>
      </c>
      <c r="S13" s="399" t="s">
        <v>1982</v>
      </c>
      <c r="T13" s="513"/>
      <c r="U13" s="981" t="s">
        <v>2004</v>
      </c>
      <c r="V13" s="489"/>
      <c r="W13" s="404"/>
      <c r="X13" s="982"/>
      <c r="Y13" s="982"/>
      <c r="Z13" s="720"/>
      <c r="AA13" s="523"/>
      <c r="AB13" s="511"/>
      <c r="AC13" s="982"/>
      <c r="AD13" s="982"/>
      <c r="AE13" s="512" t="s">
        <v>1989</v>
      </c>
      <c r="AF13" s="523">
        <v>46021</v>
      </c>
      <c r="AG13" s="523"/>
      <c r="AH13" s="523"/>
    </row>
    <row r="14" spans="1:34" s="48" customFormat="1" ht="27" customHeight="1">
      <c r="A14" s="403">
        <v>201900</v>
      </c>
      <c r="B14" s="977">
        <v>1810</v>
      </c>
      <c r="C14" s="978">
        <v>624</v>
      </c>
      <c r="D14" s="986"/>
      <c r="E14" s="987">
        <v>46048</v>
      </c>
      <c r="F14" s="991">
        <v>1</v>
      </c>
      <c r="G14" s="405">
        <v>45961</v>
      </c>
      <c r="H14" s="980"/>
      <c r="I14" s="960" t="s">
        <v>327</v>
      </c>
      <c r="J14" s="398" t="s">
        <v>1979</v>
      </c>
      <c r="K14" s="988">
        <v>4500011791</v>
      </c>
      <c r="L14" s="402">
        <v>1129440</v>
      </c>
      <c r="M14" s="399">
        <v>46037</v>
      </c>
      <c r="N14" s="961">
        <v>46038</v>
      </c>
      <c r="O14" s="362" t="s">
        <v>1980</v>
      </c>
      <c r="P14" s="399">
        <v>46042</v>
      </c>
      <c r="Q14" s="362" t="s">
        <v>1981</v>
      </c>
      <c r="R14" s="399">
        <v>46046</v>
      </c>
      <c r="S14" s="399" t="s">
        <v>1982</v>
      </c>
      <c r="T14" s="513"/>
      <c r="U14" s="989" t="s">
        <v>2002</v>
      </c>
      <c r="V14" s="489"/>
      <c r="W14" s="404"/>
      <c r="X14" s="982"/>
      <c r="Y14" s="982"/>
      <c r="Z14" s="720"/>
      <c r="AA14" s="523"/>
      <c r="AB14" s="511"/>
      <c r="AC14" s="982"/>
      <c r="AD14" s="982"/>
      <c r="AE14" s="512"/>
      <c r="AF14" s="523"/>
      <c r="AG14" s="523"/>
      <c r="AH14" s="523"/>
    </row>
    <row r="15" spans="1:34" s="48" customFormat="1" ht="12.6" customHeight="1">
      <c r="A15" s="403">
        <v>199022</v>
      </c>
      <c r="B15" s="977">
        <v>250</v>
      </c>
      <c r="C15" s="978">
        <v>651</v>
      </c>
      <c r="D15" s="986"/>
      <c r="E15" s="987">
        <v>46048</v>
      </c>
      <c r="F15" s="991">
        <v>1</v>
      </c>
      <c r="G15" s="405">
        <v>45961</v>
      </c>
      <c r="H15" s="980"/>
      <c r="I15" s="400" t="s">
        <v>460</v>
      </c>
      <c r="J15" s="398" t="s">
        <v>1979</v>
      </c>
      <c r="K15" s="988">
        <v>4500011792</v>
      </c>
      <c r="L15" s="402">
        <v>162750</v>
      </c>
      <c r="M15" s="399">
        <v>46037</v>
      </c>
      <c r="N15" s="961">
        <v>46038</v>
      </c>
      <c r="O15" s="362" t="s">
        <v>1980</v>
      </c>
      <c r="P15" s="399">
        <v>46042</v>
      </c>
      <c r="Q15" s="362" t="s">
        <v>1981</v>
      </c>
      <c r="R15" s="399">
        <v>46046</v>
      </c>
      <c r="S15" s="399" t="s">
        <v>1982</v>
      </c>
      <c r="T15" s="513"/>
      <c r="U15" s="989" t="s">
        <v>2002</v>
      </c>
      <c r="V15" s="489"/>
      <c r="W15" s="404"/>
      <c r="X15" s="982"/>
      <c r="Y15" s="982"/>
      <c r="Z15" s="720"/>
      <c r="AA15" s="523"/>
      <c r="AB15" s="511"/>
      <c r="AC15" s="982"/>
      <c r="AD15" s="982"/>
      <c r="AE15" s="512"/>
      <c r="AF15" s="523"/>
      <c r="AG15" s="523"/>
      <c r="AH15" s="523"/>
    </row>
    <row r="16" spans="1:34" s="48" customFormat="1" ht="12.6" customHeight="1">
      <c r="A16" s="403">
        <v>281821</v>
      </c>
      <c r="B16" s="977">
        <v>500</v>
      </c>
      <c r="C16" s="978">
        <v>800</v>
      </c>
      <c r="D16" s="992" t="s">
        <v>2005</v>
      </c>
      <c r="E16" s="657">
        <v>46045</v>
      </c>
      <c r="F16" s="398">
        <v>1</v>
      </c>
      <c r="G16" s="405">
        <v>45961</v>
      </c>
      <c r="H16" s="980"/>
      <c r="I16" s="400" t="s">
        <v>588</v>
      </c>
      <c r="J16" s="398" t="s">
        <v>1979</v>
      </c>
      <c r="K16" s="401">
        <v>4500011793</v>
      </c>
      <c r="L16" s="402">
        <v>400000</v>
      </c>
      <c r="M16" s="956" t="s">
        <v>2006</v>
      </c>
      <c r="N16" s="405">
        <v>46031</v>
      </c>
      <c r="O16" s="362" t="s">
        <v>1980</v>
      </c>
      <c r="P16" s="399">
        <v>46038</v>
      </c>
      <c r="Q16" s="362" t="s">
        <v>1981</v>
      </c>
      <c r="R16" s="399">
        <v>46042</v>
      </c>
      <c r="S16" s="399" t="s">
        <v>1982</v>
      </c>
      <c r="T16" s="513"/>
      <c r="U16" s="48" t="s">
        <v>2007</v>
      </c>
      <c r="V16" s="400"/>
      <c r="W16" s="982"/>
      <c r="X16" s="406"/>
      <c r="Y16" s="407"/>
      <c r="Z16" s="407"/>
      <c r="AA16" s="405">
        <v>46030</v>
      </c>
      <c r="AB16" s="511"/>
      <c r="AC16" s="407"/>
      <c r="AD16" s="407"/>
      <c r="AE16" s="512"/>
      <c r="AF16" s="523"/>
      <c r="AG16" s="399">
        <v>46034</v>
      </c>
      <c r="AH16" s="657">
        <v>46041</v>
      </c>
    </row>
    <row r="17" spans="1:34" s="48" customFormat="1" ht="12.6" customHeight="1">
      <c r="A17" s="651">
        <v>212476</v>
      </c>
      <c r="B17" s="977">
        <v>120</v>
      </c>
      <c r="C17" s="978">
        <v>1321</v>
      </c>
      <c r="D17" s="993"/>
      <c r="E17" s="657">
        <v>46048</v>
      </c>
      <c r="F17" s="660">
        <v>1</v>
      </c>
      <c r="G17" s="399">
        <v>45967</v>
      </c>
      <c r="H17" s="980"/>
      <c r="I17" s="400" t="s">
        <v>198</v>
      </c>
      <c r="J17" s="398" t="s">
        <v>1979</v>
      </c>
      <c r="K17" s="958">
        <v>4500011836</v>
      </c>
      <c r="L17" s="402">
        <v>158520</v>
      </c>
      <c r="M17" s="399">
        <v>46037</v>
      </c>
      <c r="N17" s="405">
        <v>46038</v>
      </c>
      <c r="O17" s="362" t="s">
        <v>1980</v>
      </c>
      <c r="P17" s="399">
        <v>46042</v>
      </c>
      <c r="Q17" s="362" t="s">
        <v>1981</v>
      </c>
      <c r="R17" s="399">
        <v>46046</v>
      </c>
      <c r="S17" s="399" t="s">
        <v>1982</v>
      </c>
      <c r="T17" s="513"/>
      <c r="U17" s="404" t="s">
        <v>2007</v>
      </c>
      <c r="V17" s="489"/>
      <c r="W17" s="404"/>
      <c r="X17" s="406"/>
      <c r="Y17" s="407"/>
      <c r="Z17" s="407"/>
      <c r="AA17" s="405">
        <v>46037</v>
      </c>
      <c r="AB17" s="511"/>
      <c r="AC17" s="407"/>
      <c r="AD17" s="407"/>
      <c r="AE17" s="512"/>
      <c r="AF17" s="523"/>
      <c r="AG17" s="399">
        <v>46041</v>
      </c>
      <c r="AH17" s="657">
        <v>46048</v>
      </c>
    </row>
    <row r="18" spans="1:34" s="48" customFormat="1" ht="12.6" customHeight="1">
      <c r="A18" s="403">
        <v>220803</v>
      </c>
      <c r="B18" s="977">
        <v>200</v>
      </c>
      <c r="C18" s="978">
        <v>1125</v>
      </c>
      <c r="D18" s="992" t="s">
        <v>2005</v>
      </c>
      <c r="E18" s="657">
        <v>46045</v>
      </c>
      <c r="F18" s="660">
        <v>1</v>
      </c>
      <c r="G18" s="399">
        <v>45967</v>
      </c>
      <c r="H18" s="980"/>
      <c r="I18" s="400" t="s">
        <v>217</v>
      </c>
      <c r="J18" s="398" t="s">
        <v>1979</v>
      </c>
      <c r="K18" s="401">
        <v>4500011837</v>
      </c>
      <c r="L18" s="402">
        <v>225000</v>
      </c>
      <c r="M18" s="956" t="s">
        <v>2006</v>
      </c>
      <c r="N18" s="405">
        <v>46031</v>
      </c>
      <c r="O18" s="362" t="s">
        <v>1980</v>
      </c>
      <c r="P18" s="399">
        <v>46038</v>
      </c>
      <c r="Q18" s="362" t="s">
        <v>1981</v>
      </c>
      <c r="R18" s="399">
        <v>46042</v>
      </c>
      <c r="S18" s="399" t="s">
        <v>1982</v>
      </c>
      <c r="T18" s="513"/>
      <c r="U18" s="48" t="s">
        <v>2007</v>
      </c>
      <c r="V18" s="489"/>
      <c r="W18" s="404"/>
      <c r="X18" s="406"/>
      <c r="Y18" s="407"/>
      <c r="Z18" s="407"/>
      <c r="AA18" s="405">
        <v>46037</v>
      </c>
      <c r="AB18" s="511"/>
      <c r="AC18" s="407"/>
      <c r="AD18" s="407"/>
      <c r="AE18" s="512"/>
      <c r="AF18" s="523"/>
      <c r="AG18" s="399">
        <v>46041</v>
      </c>
      <c r="AH18" s="657">
        <v>46048</v>
      </c>
    </row>
    <row r="19" spans="1:34" s="48" customFormat="1" ht="12.6" customHeight="1">
      <c r="A19" s="403">
        <v>220803</v>
      </c>
      <c r="B19" s="977">
        <v>120</v>
      </c>
      <c r="C19" s="978">
        <v>1125</v>
      </c>
      <c r="D19" s="986"/>
      <c r="E19" s="657">
        <v>46069</v>
      </c>
      <c r="F19" s="660">
        <v>1</v>
      </c>
      <c r="G19" s="399">
        <v>45989</v>
      </c>
      <c r="H19" s="980"/>
      <c r="I19" s="400" t="s">
        <v>217</v>
      </c>
      <c r="J19" s="398" t="s">
        <v>1979</v>
      </c>
      <c r="K19" s="958">
        <v>4500011958</v>
      </c>
      <c r="L19" s="402">
        <v>135000</v>
      </c>
      <c r="M19" s="399"/>
      <c r="N19" s="405">
        <v>46058</v>
      </c>
      <c r="O19" s="362" t="s">
        <v>1980</v>
      </c>
      <c r="P19" s="399">
        <v>46062</v>
      </c>
      <c r="Q19" s="362" t="s">
        <v>1981</v>
      </c>
      <c r="R19" s="399">
        <v>46066</v>
      </c>
      <c r="S19" s="399" t="s">
        <v>1982</v>
      </c>
      <c r="T19" s="513"/>
      <c r="U19" s="404" t="s">
        <v>2008</v>
      </c>
      <c r="V19" s="400"/>
      <c r="W19" s="404"/>
      <c r="X19" s="406"/>
      <c r="Y19" s="407"/>
      <c r="Z19" s="407"/>
      <c r="AA19" s="405">
        <v>46058</v>
      </c>
      <c r="AB19" s="511"/>
      <c r="AC19" s="407"/>
      <c r="AD19" s="407"/>
      <c r="AE19" s="512"/>
      <c r="AF19" s="523"/>
      <c r="AG19" s="399">
        <v>46062</v>
      </c>
      <c r="AH19" s="657">
        <v>46069</v>
      </c>
    </row>
    <row r="20" spans="1:34" s="48" customFormat="1" ht="12" customHeight="1">
      <c r="A20" s="403">
        <v>199024</v>
      </c>
      <c r="B20" s="977">
        <v>1000</v>
      </c>
      <c r="C20" s="978">
        <v>547</v>
      </c>
      <c r="D20" s="400" t="s">
        <v>2009</v>
      </c>
      <c r="E20" s="957">
        <v>46090</v>
      </c>
      <c r="F20" s="959">
        <v>9</v>
      </c>
      <c r="G20" s="399">
        <v>45989</v>
      </c>
      <c r="H20" s="980"/>
      <c r="I20" s="400" t="s">
        <v>338</v>
      </c>
      <c r="J20" s="398" t="s">
        <v>1979</v>
      </c>
      <c r="K20" s="958">
        <v>4500011959</v>
      </c>
      <c r="L20" s="402">
        <v>547000</v>
      </c>
      <c r="M20" s="399"/>
      <c r="N20" s="405">
        <v>46079</v>
      </c>
      <c r="O20" s="362" t="s">
        <v>1980</v>
      </c>
      <c r="P20" s="399">
        <v>46083</v>
      </c>
      <c r="Q20" s="362" t="s">
        <v>1981</v>
      </c>
      <c r="R20" s="399">
        <v>46087</v>
      </c>
      <c r="S20" s="399" t="s">
        <v>1982</v>
      </c>
      <c r="T20" s="513"/>
      <c r="U20" s="875" t="s">
        <v>2010</v>
      </c>
      <c r="V20" s="400"/>
      <c r="W20" s="404"/>
      <c r="X20" s="406"/>
      <c r="Y20" s="407"/>
      <c r="Z20" s="407"/>
      <c r="AA20" s="405">
        <v>46079</v>
      </c>
      <c r="AB20" s="511"/>
      <c r="AC20" s="407"/>
      <c r="AD20" s="407"/>
      <c r="AE20" s="512"/>
      <c r="AF20" s="523"/>
      <c r="AG20" s="399">
        <v>46083</v>
      </c>
      <c r="AH20" s="657">
        <v>46090</v>
      </c>
    </row>
    <row r="21" spans="1:34" s="48" customFormat="1" ht="12" customHeight="1">
      <c r="A21" s="403">
        <v>199024</v>
      </c>
      <c r="B21" s="977">
        <v>550</v>
      </c>
      <c r="C21" s="978">
        <v>547</v>
      </c>
      <c r="D21" s="400" t="s">
        <v>2009</v>
      </c>
      <c r="E21" s="957">
        <v>46118</v>
      </c>
      <c r="F21" s="959">
        <v>9</v>
      </c>
      <c r="G21" s="399">
        <v>45989</v>
      </c>
      <c r="H21" s="980"/>
      <c r="I21" s="400" t="s">
        <v>338</v>
      </c>
      <c r="J21" s="398" t="s">
        <v>1979</v>
      </c>
      <c r="K21" s="958">
        <v>4500011960</v>
      </c>
      <c r="L21" s="402">
        <v>300850</v>
      </c>
      <c r="M21" s="399"/>
      <c r="N21" s="405">
        <v>46107</v>
      </c>
      <c r="O21" s="362" t="s">
        <v>1980</v>
      </c>
      <c r="P21" s="399">
        <v>46111</v>
      </c>
      <c r="Q21" s="362" t="s">
        <v>1981</v>
      </c>
      <c r="R21" s="399">
        <v>46115</v>
      </c>
      <c r="S21" s="399" t="s">
        <v>1982</v>
      </c>
      <c r="T21" s="513"/>
      <c r="U21" s="875" t="s">
        <v>2010</v>
      </c>
      <c r="V21" s="400"/>
      <c r="W21" s="404"/>
      <c r="X21" s="406"/>
      <c r="Y21" s="407"/>
      <c r="Z21" s="407"/>
      <c r="AA21" s="405">
        <v>46107</v>
      </c>
      <c r="AB21" s="511"/>
      <c r="AC21" s="407"/>
      <c r="AD21" s="407"/>
      <c r="AE21" s="512"/>
      <c r="AF21" s="523"/>
      <c r="AG21" s="399">
        <v>46111</v>
      </c>
      <c r="AH21" s="657">
        <v>46118</v>
      </c>
    </row>
    <row r="22" spans="1:34" s="48" customFormat="1" ht="12.6" customHeight="1">
      <c r="A22" s="403">
        <v>199022</v>
      </c>
      <c r="B22" s="977">
        <v>250</v>
      </c>
      <c r="C22" s="978">
        <v>666</v>
      </c>
      <c r="D22" s="400" t="s">
        <v>2009</v>
      </c>
      <c r="E22" s="957">
        <v>46069</v>
      </c>
      <c r="F22" s="959">
        <v>9</v>
      </c>
      <c r="G22" s="399">
        <v>45989</v>
      </c>
      <c r="H22" s="980"/>
      <c r="I22" s="400" t="s">
        <v>460</v>
      </c>
      <c r="J22" s="398" t="s">
        <v>1979</v>
      </c>
      <c r="K22" s="958">
        <v>4500011961</v>
      </c>
      <c r="L22" s="402">
        <v>166500</v>
      </c>
      <c r="M22" s="399"/>
      <c r="N22" s="405">
        <v>46058</v>
      </c>
      <c r="O22" s="362" t="s">
        <v>1980</v>
      </c>
      <c r="P22" s="399">
        <v>46062</v>
      </c>
      <c r="Q22" s="362" t="s">
        <v>1981</v>
      </c>
      <c r="R22" s="399">
        <v>46066</v>
      </c>
      <c r="S22" s="399" t="s">
        <v>1982</v>
      </c>
      <c r="T22" s="513"/>
      <c r="U22" s="875" t="s">
        <v>2010</v>
      </c>
      <c r="V22" s="400"/>
      <c r="W22" s="404"/>
      <c r="X22" s="982"/>
      <c r="Y22" s="982"/>
      <c r="Z22" s="982"/>
      <c r="AA22" s="405">
        <v>46058</v>
      </c>
      <c r="AB22" s="511"/>
      <c r="AC22" s="982"/>
      <c r="AD22" s="982"/>
      <c r="AE22" s="512"/>
      <c r="AF22" s="523"/>
      <c r="AG22" s="399">
        <v>46062</v>
      </c>
      <c r="AH22" s="657">
        <v>46069</v>
      </c>
    </row>
    <row r="23" spans="1:34" s="48" customFormat="1" ht="12.6" customHeight="1">
      <c r="A23" s="877">
        <v>199022</v>
      </c>
      <c r="B23" s="994">
        <v>200</v>
      </c>
      <c r="C23" s="995">
        <v>666</v>
      </c>
      <c r="D23" s="881" t="s">
        <v>2009</v>
      </c>
      <c r="E23" s="996">
        <v>46104</v>
      </c>
      <c r="F23" s="959">
        <v>9</v>
      </c>
      <c r="G23" s="880">
        <v>45989</v>
      </c>
      <c r="H23" s="997"/>
      <c r="I23" s="881" t="s">
        <v>460</v>
      </c>
      <c r="J23" s="879" t="s">
        <v>1979</v>
      </c>
      <c r="K23" s="958">
        <v>4500011962</v>
      </c>
      <c r="L23" s="883">
        <v>133200</v>
      </c>
      <c r="M23" s="880"/>
      <c r="N23" s="884">
        <v>46093</v>
      </c>
      <c r="O23" s="885" t="s">
        <v>1980</v>
      </c>
      <c r="P23" s="880">
        <v>46097</v>
      </c>
      <c r="Q23" s="885" t="s">
        <v>1981</v>
      </c>
      <c r="R23" s="880">
        <v>46101</v>
      </c>
      <c r="S23" s="880" t="s">
        <v>1982</v>
      </c>
      <c r="T23" s="886"/>
      <c r="U23" s="875" t="s">
        <v>2010</v>
      </c>
      <c r="V23" s="400"/>
      <c r="W23" s="404"/>
      <c r="X23" s="982"/>
      <c r="Y23" s="982"/>
      <c r="Z23" s="982"/>
      <c r="AA23" s="884">
        <v>46093</v>
      </c>
      <c r="AB23" s="511"/>
      <c r="AC23" s="982"/>
      <c r="AD23" s="982"/>
      <c r="AE23" s="512"/>
      <c r="AF23" s="523"/>
      <c r="AG23" s="880">
        <v>46097</v>
      </c>
      <c r="AH23" s="878">
        <v>46104</v>
      </c>
    </row>
    <row r="24" spans="1:34" s="48" customFormat="1" ht="12.6" customHeight="1">
      <c r="A24" s="403">
        <v>220801</v>
      </c>
      <c r="B24" s="977">
        <v>150</v>
      </c>
      <c r="C24" s="978">
        <v>1351</v>
      </c>
      <c r="D24" s="986"/>
      <c r="E24" s="657">
        <v>46076</v>
      </c>
      <c r="F24" s="660">
        <v>1</v>
      </c>
      <c r="G24" s="399">
        <v>45996</v>
      </c>
      <c r="H24" s="980"/>
      <c r="I24" s="400" t="s">
        <v>211</v>
      </c>
      <c r="J24" s="398" t="s">
        <v>1979</v>
      </c>
      <c r="K24" s="401">
        <v>4500012087</v>
      </c>
      <c r="L24" s="402">
        <v>202650</v>
      </c>
      <c r="M24" s="399"/>
      <c r="N24" s="405">
        <v>46065</v>
      </c>
      <c r="O24" s="362" t="s">
        <v>1980</v>
      </c>
      <c r="P24" s="399">
        <v>46069</v>
      </c>
      <c r="Q24" s="362" t="s">
        <v>1981</v>
      </c>
      <c r="R24" s="399">
        <v>46073</v>
      </c>
      <c r="S24" s="399" t="s">
        <v>1982</v>
      </c>
      <c r="T24" s="513"/>
      <c r="U24" s="404" t="s">
        <v>2008</v>
      </c>
      <c r="V24" s="400"/>
      <c r="W24" s="404"/>
      <c r="X24" s="406"/>
      <c r="Y24" s="407"/>
      <c r="Z24" s="407"/>
      <c r="AA24" s="399">
        <v>46065</v>
      </c>
      <c r="AB24" s="511"/>
      <c r="AC24" s="407"/>
      <c r="AD24" s="407"/>
      <c r="AE24" s="512"/>
      <c r="AF24" s="523"/>
      <c r="AG24" s="399">
        <v>46069</v>
      </c>
      <c r="AH24" s="657">
        <v>46076</v>
      </c>
    </row>
    <row r="25" spans="1:34" s="48" customFormat="1" ht="12.6" customHeight="1">
      <c r="A25" s="403">
        <v>302866</v>
      </c>
      <c r="B25" s="977">
        <v>50</v>
      </c>
      <c r="C25" s="978">
        <v>20</v>
      </c>
      <c r="D25" s="986"/>
      <c r="E25" s="657">
        <v>46032</v>
      </c>
      <c r="F25" s="660">
        <v>3</v>
      </c>
      <c r="G25" s="399">
        <v>46008</v>
      </c>
      <c r="H25" s="980"/>
      <c r="I25" s="400" t="s">
        <v>2011</v>
      </c>
      <c r="J25" s="398" t="s">
        <v>2012</v>
      </c>
      <c r="K25" s="401">
        <v>4500012181</v>
      </c>
      <c r="L25" s="402">
        <v>1000</v>
      </c>
      <c r="M25" s="399"/>
      <c r="N25" s="405">
        <v>46028</v>
      </c>
      <c r="O25" s="362" t="s">
        <v>1991</v>
      </c>
      <c r="P25" s="399">
        <v>46028</v>
      </c>
      <c r="Q25" s="362" t="s">
        <v>1981</v>
      </c>
      <c r="R25" s="399">
        <v>46032</v>
      </c>
      <c r="S25" s="399" t="s">
        <v>2013</v>
      </c>
      <c r="T25" s="513"/>
      <c r="U25" s="404" t="s">
        <v>2008</v>
      </c>
      <c r="V25" s="954"/>
      <c r="W25" s="404"/>
      <c r="X25" s="406"/>
      <c r="Y25" s="407"/>
      <c r="Z25" s="407"/>
      <c r="AA25" s="523"/>
      <c r="AB25" s="511"/>
      <c r="AC25" s="407"/>
      <c r="AD25" s="407"/>
      <c r="AE25" s="512"/>
      <c r="AF25" s="523"/>
      <c r="AG25" s="523"/>
      <c r="AH25" s="523"/>
    </row>
    <row r="26" spans="1:34" s="48" customFormat="1" ht="12.6" customHeight="1">
      <c r="A26" s="403">
        <v>302867</v>
      </c>
      <c r="B26" s="977">
        <v>50</v>
      </c>
      <c r="C26" s="978">
        <v>26</v>
      </c>
      <c r="D26" s="986"/>
      <c r="E26" s="657">
        <v>46032</v>
      </c>
      <c r="F26" s="660">
        <v>3</v>
      </c>
      <c r="G26" s="399">
        <v>46008</v>
      </c>
      <c r="H26" s="980"/>
      <c r="I26" s="400" t="s">
        <v>2014</v>
      </c>
      <c r="J26" s="398" t="s">
        <v>2012</v>
      </c>
      <c r="K26" s="401">
        <v>4500012181</v>
      </c>
      <c r="L26" s="402">
        <v>1300</v>
      </c>
      <c r="M26" s="399"/>
      <c r="N26" s="405">
        <v>46028</v>
      </c>
      <c r="O26" s="362" t="s">
        <v>1991</v>
      </c>
      <c r="P26" s="399">
        <v>46028</v>
      </c>
      <c r="Q26" s="362" t="s">
        <v>1981</v>
      </c>
      <c r="R26" s="399">
        <v>46032</v>
      </c>
      <c r="S26" s="399" t="s">
        <v>2013</v>
      </c>
      <c r="T26" s="513"/>
      <c r="U26" s="404" t="s">
        <v>2008</v>
      </c>
      <c r="V26" s="954"/>
      <c r="W26" s="404"/>
      <c r="X26" s="406"/>
      <c r="Y26" s="407"/>
      <c r="Z26" s="407"/>
      <c r="AA26" s="523"/>
      <c r="AB26" s="511"/>
      <c r="AC26" s="407"/>
      <c r="AD26" s="407"/>
      <c r="AE26" s="512"/>
      <c r="AF26" s="523"/>
      <c r="AG26" s="523"/>
      <c r="AH26" s="523"/>
    </row>
    <row r="27" spans="1:34" s="48" customFormat="1" ht="12.6" customHeight="1">
      <c r="A27" s="403">
        <v>302868</v>
      </c>
      <c r="B27" s="977">
        <v>50</v>
      </c>
      <c r="C27" s="978">
        <v>26</v>
      </c>
      <c r="D27" s="986"/>
      <c r="E27" s="657">
        <v>46032</v>
      </c>
      <c r="F27" s="660">
        <v>3</v>
      </c>
      <c r="G27" s="399">
        <v>46008</v>
      </c>
      <c r="H27" s="980"/>
      <c r="I27" s="400" t="s">
        <v>2015</v>
      </c>
      <c r="J27" s="398" t="s">
        <v>2012</v>
      </c>
      <c r="K27" s="401">
        <v>4500012181</v>
      </c>
      <c r="L27" s="402">
        <v>1300</v>
      </c>
      <c r="M27" s="399"/>
      <c r="N27" s="405">
        <v>46028</v>
      </c>
      <c r="O27" s="362" t="s">
        <v>1991</v>
      </c>
      <c r="P27" s="399">
        <v>46028</v>
      </c>
      <c r="Q27" s="362" t="s">
        <v>1981</v>
      </c>
      <c r="R27" s="399">
        <v>46032</v>
      </c>
      <c r="S27" s="399" t="s">
        <v>2013</v>
      </c>
      <c r="T27" s="513"/>
      <c r="U27" s="404" t="s">
        <v>2008</v>
      </c>
      <c r="V27" s="954"/>
      <c r="W27" s="404"/>
      <c r="X27" s="406"/>
      <c r="Y27" s="407"/>
      <c r="Z27" s="407"/>
      <c r="AA27" s="523"/>
      <c r="AB27" s="511"/>
      <c r="AC27" s="407"/>
      <c r="AD27" s="407"/>
      <c r="AE27" s="512"/>
      <c r="AF27" s="523"/>
      <c r="AG27" s="523"/>
      <c r="AH27" s="523"/>
    </row>
    <row r="28" spans="1:34" s="48" customFormat="1" ht="12.6" customHeight="1">
      <c r="A28" s="403">
        <v>302869</v>
      </c>
      <c r="B28" s="977">
        <v>50</v>
      </c>
      <c r="C28" s="978">
        <v>26</v>
      </c>
      <c r="D28" s="986"/>
      <c r="E28" s="657">
        <v>46032</v>
      </c>
      <c r="F28" s="660">
        <v>3</v>
      </c>
      <c r="G28" s="399">
        <v>46008</v>
      </c>
      <c r="H28" s="980"/>
      <c r="I28" s="400" t="s">
        <v>2016</v>
      </c>
      <c r="J28" s="398" t="s">
        <v>2012</v>
      </c>
      <c r="K28" s="401">
        <v>4500012181</v>
      </c>
      <c r="L28" s="402">
        <v>1300</v>
      </c>
      <c r="M28" s="399"/>
      <c r="N28" s="405">
        <v>46028</v>
      </c>
      <c r="O28" s="362" t="s">
        <v>1991</v>
      </c>
      <c r="P28" s="399">
        <v>46028</v>
      </c>
      <c r="Q28" s="362" t="s">
        <v>1981</v>
      </c>
      <c r="R28" s="399">
        <v>46032</v>
      </c>
      <c r="S28" s="399" t="s">
        <v>2013</v>
      </c>
      <c r="T28" s="513"/>
      <c r="U28" s="404" t="s">
        <v>2008</v>
      </c>
      <c r="V28" s="954"/>
      <c r="W28" s="404"/>
      <c r="X28" s="406"/>
      <c r="Y28" s="407"/>
      <c r="Z28" s="407"/>
      <c r="AA28" s="523"/>
      <c r="AB28" s="511"/>
      <c r="AC28" s="407"/>
      <c r="AD28" s="407"/>
      <c r="AE28" s="512"/>
      <c r="AF28" s="523"/>
      <c r="AG28" s="523"/>
      <c r="AH28" s="523"/>
    </row>
    <row r="29" spans="1:34" s="48" customFormat="1" ht="12.6" customHeight="1">
      <c r="A29" s="403">
        <v>302870</v>
      </c>
      <c r="B29" s="977">
        <v>50</v>
      </c>
      <c r="C29" s="978">
        <v>35</v>
      </c>
      <c r="D29" s="986"/>
      <c r="E29" s="657">
        <v>46032</v>
      </c>
      <c r="F29" s="660">
        <v>3</v>
      </c>
      <c r="G29" s="399">
        <v>46008</v>
      </c>
      <c r="H29" s="980"/>
      <c r="I29" s="400" t="s">
        <v>2017</v>
      </c>
      <c r="J29" s="398" t="s">
        <v>2012</v>
      </c>
      <c r="K29" s="401">
        <v>4500012181</v>
      </c>
      <c r="L29" s="402">
        <v>1750</v>
      </c>
      <c r="M29" s="399"/>
      <c r="N29" s="405">
        <v>46028</v>
      </c>
      <c r="O29" s="362" t="s">
        <v>1991</v>
      </c>
      <c r="P29" s="399">
        <v>46028</v>
      </c>
      <c r="Q29" s="362" t="s">
        <v>1981</v>
      </c>
      <c r="R29" s="399">
        <v>46032</v>
      </c>
      <c r="S29" s="399" t="s">
        <v>2013</v>
      </c>
      <c r="T29" s="513"/>
      <c r="U29" s="404" t="s">
        <v>2008</v>
      </c>
      <c r="V29" s="954"/>
      <c r="W29" s="404"/>
      <c r="X29" s="406"/>
      <c r="Y29" s="407"/>
      <c r="Z29" s="407"/>
      <c r="AA29" s="523"/>
      <c r="AB29" s="511"/>
      <c r="AC29" s="407"/>
      <c r="AD29" s="407"/>
      <c r="AE29" s="512"/>
      <c r="AF29" s="523"/>
      <c r="AG29" s="523"/>
      <c r="AH29" s="523"/>
    </row>
    <row r="30" spans="1:34" s="48" customFormat="1" ht="12.6" customHeight="1">
      <c r="A30" s="403">
        <v>281821</v>
      </c>
      <c r="B30" s="977">
        <v>400</v>
      </c>
      <c r="C30" s="978">
        <v>850</v>
      </c>
      <c r="D30" s="986"/>
      <c r="E30" s="657">
        <v>46118</v>
      </c>
      <c r="F30" s="398">
        <v>1</v>
      </c>
      <c r="G30" s="399">
        <v>46003</v>
      </c>
      <c r="H30" s="980"/>
      <c r="I30" s="400" t="s">
        <v>588</v>
      </c>
      <c r="J30" s="398" t="s">
        <v>1979</v>
      </c>
      <c r="K30" s="401">
        <v>4500012145</v>
      </c>
      <c r="L30" s="402">
        <v>340000</v>
      </c>
      <c r="M30" s="526"/>
      <c r="N30" s="405">
        <v>46107</v>
      </c>
      <c r="O30" s="362" t="s">
        <v>1980</v>
      </c>
      <c r="P30" s="399">
        <v>46111</v>
      </c>
      <c r="Q30" s="362" t="s">
        <v>1981</v>
      </c>
      <c r="R30" s="399">
        <v>46115</v>
      </c>
      <c r="S30" s="399" t="s">
        <v>1982</v>
      </c>
      <c r="T30" s="513"/>
      <c r="U30" s="458" t="s">
        <v>2008</v>
      </c>
      <c r="V30" s="963" t="s">
        <v>2018</v>
      </c>
      <c r="W30" s="982"/>
      <c r="X30" s="406"/>
      <c r="Y30" s="407"/>
      <c r="Z30" s="407"/>
      <c r="AA30" s="405">
        <v>46072</v>
      </c>
      <c r="AB30" s="511"/>
      <c r="AC30" s="407"/>
      <c r="AD30" s="407"/>
      <c r="AE30" s="512"/>
      <c r="AF30" s="523"/>
      <c r="AG30" s="399">
        <v>46076</v>
      </c>
      <c r="AH30" s="657">
        <v>46083</v>
      </c>
    </row>
    <row r="31" spans="1:34" s="48" customFormat="1" ht="12.6" customHeight="1">
      <c r="A31" s="877">
        <v>220801</v>
      </c>
      <c r="B31" s="994">
        <v>150</v>
      </c>
      <c r="C31" s="995">
        <v>1428</v>
      </c>
      <c r="D31" s="998"/>
      <c r="E31" s="878">
        <v>46083</v>
      </c>
      <c r="F31" s="955">
        <v>1</v>
      </c>
      <c r="G31" s="880">
        <v>46010</v>
      </c>
      <c r="H31" s="997"/>
      <c r="I31" s="881" t="s">
        <v>211</v>
      </c>
      <c r="J31" s="879" t="s">
        <v>1979</v>
      </c>
      <c r="K31" s="882">
        <v>4500012267</v>
      </c>
      <c r="L31" s="883">
        <v>214200</v>
      </c>
      <c r="M31" s="880"/>
      <c r="N31" s="884">
        <v>46072</v>
      </c>
      <c r="O31" s="885" t="s">
        <v>1980</v>
      </c>
      <c r="P31" s="880">
        <v>46076</v>
      </c>
      <c r="Q31" s="885" t="s">
        <v>1981</v>
      </c>
      <c r="R31" s="880">
        <v>46080</v>
      </c>
      <c r="S31" s="880" t="s">
        <v>1982</v>
      </c>
      <c r="T31" s="886"/>
      <c r="U31" s="458" t="s">
        <v>2008</v>
      </c>
      <c r="V31" s="954" t="s">
        <v>2019</v>
      </c>
      <c r="W31" s="404"/>
      <c r="X31" s="406"/>
      <c r="Y31" s="407"/>
      <c r="Z31" s="407"/>
      <c r="AA31" s="523"/>
      <c r="AB31" s="511"/>
      <c r="AC31" s="407"/>
      <c r="AD31" s="407"/>
      <c r="AE31" s="512"/>
      <c r="AF31" s="523"/>
      <c r="AG31" s="523"/>
      <c r="AH31" s="523"/>
    </row>
    <row r="32" spans="1:34" s="48" customFormat="1" ht="12.6" customHeight="1">
      <c r="A32" s="403"/>
      <c r="B32" s="977"/>
      <c r="C32" s="978"/>
      <c r="D32" s="986"/>
      <c r="E32" s="657"/>
      <c r="F32" s="660"/>
      <c r="G32" s="399"/>
      <c r="H32" s="980"/>
      <c r="I32" s="400"/>
      <c r="J32" s="398"/>
      <c r="K32" s="401"/>
      <c r="L32" s="402"/>
      <c r="M32" s="399"/>
      <c r="N32" s="405"/>
      <c r="O32" s="362"/>
      <c r="P32" s="399"/>
      <c r="Q32" s="362"/>
      <c r="R32" s="399"/>
      <c r="S32" s="399"/>
      <c r="T32" s="513"/>
      <c r="U32" s="458"/>
      <c r="V32" s="954"/>
      <c r="W32" s="404"/>
      <c r="X32" s="406"/>
      <c r="Y32" s="407"/>
      <c r="Z32" s="407"/>
      <c r="AA32" s="523"/>
      <c r="AB32" s="511"/>
      <c r="AC32" s="407"/>
      <c r="AD32" s="407"/>
      <c r="AE32" s="512"/>
      <c r="AF32" s="523"/>
      <c r="AG32" s="523"/>
      <c r="AH32" s="523"/>
    </row>
    <row r="33" spans="1:34" s="48" customFormat="1" ht="12.6" customHeight="1">
      <c r="A33" s="403"/>
      <c r="B33" s="977"/>
      <c r="C33" s="978"/>
      <c r="D33" s="986"/>
      <c r="E33" s="657"/>
      <c r="F33" s="660"/>
      <c r="G33" s="399"/>
      <c r="H33" s="980"/>
      <c r="I33" s="962"/>
      <c r="J33" s="398"/>
      <c r="K33" s="401"/>
      <c r="L33" s="402"/>
      <c r="M33" s="399"/>
      <c r="N33" s="405"/>
      <c r="O33" s="362"/>
      <c r="P33" s="399"/>
      <c r="Q33" s="362"/>
      <c r="R33" s="399"/>
      <c r="S33" s="399"/>
      <c r="T33" s="513"/>
      <c r="U33" s="458"/>
      <c r="V33" s="400"/>
      <c r="W33" s="404"/>
      <c r="X33" s="406"/>
      <c r="Y33" s="407"/>
      <c r="Z33" s="407"/>
      <c r="AA33" s="523"/>
      <c r="AB33" s="511"/>
      <c r="AC33" s="407"/>
      <c r="AD33" s="407"/>
      <c r="AE33" s="512"/>
      <c r="AF33" s="523"/>
      <c r="AG33" s="523"/>
      <c r="AH33" s="523"/>
    </row>
    <row r="34" spans="1:34" s="48" customFormat="1" ht="13.5" customHeight="1">
      <c r="B34" s="684"/>
      <c r="C34" s="999"/>
      <c r="E34" s="407"/>
      <c r="J34" s="406"/>
      <c r="L34" s="999"/>
      <c r="U34" s="458"/>
      <c r="V34" s="404"/>
      <c r="AA34" s="523"/>
      <c r="AE34" s="512"/>
      <c r="AF34" s="523"/>
      <c r="AG34" s="523"/>
      <c r="AH34" s="523"/>
    </row>
    <row r="35" spans="1:34" s="1021" customFormat="1" ht="81.75" customHeight="1">
      <c r="A35" s="1000" t="s">
        <v>2020</v>
      </c>
      <c r="B35" s="1001"/>
      <c r="C35" s="1002"/>
      <c r="D35" s="1003"/>
      <c r="E35" s="1004"/>
      <c r="F35" s="1000"/>
      <c r="G35" s="1004"/>
      <c r="H35" s="1005"/>
      <c r="I35" s="1006"/>
      <c r="J35" s="1007"/>
      <c r="K35" s="1008"/>
      <c r="L35" s="1009"/>
      <c r="M35" s="1010"/>
      <c r="N35" s="1010"/>
      <c r="O35" s="1011"/>
      <c r="P35" s="1010"/>
      <c r="Q35" s="1011"/>
      <c r="R35" s="1010"/>
      <c r="S35" s="1010"/>
      <c r="T35" s="1012"/>
      <c r="U35" s="1013"/>
      <c r="V35" s="1006"/>
      <c r="W35" s="1014"/>
      <c r="X35" s="1015"/>
      <c r="Y35" s="1016"/>
      <c r="Z35" s="1016"/>
      <c r="AA35" s="1017"/>
      <c r="AB35" s="1018"/>
      <c r="AC35" s="1019"/>
      <c r="AD35" s="1019"/>
      <c r="AE35" s="1020"/>
      <c r="AF35" s="1017"/>
      <c r="AG35" s="1017"/>
      <c r="AH35" s="1017"/>
    </row>
    <row r="36" spans="1:34" s="47" customFormat="1" ht="12.6" customHeight="1">
      <c r="A36" s="47" t="s">
        <v>1944</v>
      </c>
      <c r="B36" s="973" t="s">
        <v>1945</v>
      </c>
      <c r="C36" s="974" t="s">
        <v>1946</v>
      </c>
      <c r="D36" s="975" t="s">
        <v>1947</v>
      </c>
      <c r="E36" s="393" t="s">
        <v>1948</v>
      </c>
      <c r="F36" s="392" t="s">
        <v>1949</v>
      </c>
      <c r="G36" s="393" t="s">
        <v>1950</v>
      </c>
      <c r="H36" s="976" t="s">
        <v>1951</v>
      </c>
      <c r="I36" s="392" t="s">
        <v>1952</v>
      </c>
      <c r="J36" s="1022" t="s">
        <v>1953</v>
      </c>
      <c r="K36" s="394" t="s">
        <v>1954</v>
      </c>
      <c r="L36" s="395" t="s">
        <v>1955</v>
      </c>
      <c r="M36" s="393" t="s">
        <v>1956</v>
      </c>
      <c r="N36" s="393" t="s">
        <v>1957</v>
      </c>
      <c r="O36" s="392" t="s">
        <v>1958</v>
      </c>
      <c r="P36" s="393" t="s">
        <v>1959</v>
      </c>
      <c r="Q36" s="392" t="s">
        <v>1960</v>
      </c>
      <c r="R36" s="393" t="s">
        <v>1961</v>
      </c>
      <c r="S36" s="393" t="s">
        <v>1962</v>
      </c>
      <c r="T36" s="515" t="s">
        <v>1963</v>
      </c>
      <c r="U36" s="1023" t="s">
        <v>1964</v>
      </c>
      <c r="V36" s="392" t="s">
        <v>1965</v>
      </c>
      <c r="W36" s="47" t="s">
        <v>1966</v>
      </c>
      <c r="X36" s="47" t="s">
        <v>1967</v>
      </c>
      <c r="Y36" s="396" t="s">
        <v>1968</v>
      </c>
      <c r="Z36" s="518" t="s">
        <v>1969</v>
      </c>
      <c r="AA36" s="519" t="s">
        <v>1970</v>
      </c>
      <c r="AB36" s="520" t="s">
        <v>1971</v>
      </c>
      <c r="AC36" s="521" t="s">
        <v>1972</v>
      </c>
      <c r="AD36" s="520" t="s">
        <v>1973</v>
      </c>
      <c r="AE36" s="528" t="s">
        <v>1974</v>
      </c>
      <c r="AF36" s="519" t="s">
        <v>1975</v>
      </c>
      <c r="AG36" s="522" t="s">
        <v>1976</v>
      </c>
      <c r="AH36" s="522" t="s">
        <v>1977</v>
      </c>
    </row>
    <row r="37" spans="1:34" s="48" customFormat="1" ht="12.6" customHeight="1">
      <c r="A37" s="403">
        <v>212347</v>
      </c>
      <c r="B37" s="977">
        <v>40</v>
      </c>
      <c r="C37" s="978">
        <v>2600</v>
      </c>
      <c r="D37" s="986"/>
      <c r="E37" s="657">
        <v>46174</v>
      </c>
      <c r="F37" s="660">
        <v>1</v>
      </c>
      <c r="G37" s="399"/>
      <c r="H37" s="980"/>
      <c r="I37" s="400" t="s">
        <v>152</v>
      </c>
      <c r="J37" s="398" t="s">
        <v>2021</v>
      </c>
      <c r="K37" s="401"/>
      <c r="L37" s="402">
        <v>104000</v>
      </c>
      <c r="M37" s="399"/>
      <c r="N37" s="405">
        <v>46163</v>
      </c>
      <c r="O37" s="362" t="s">
        <v>1980</v>
      </c>
      <c r="P37" s="399">
        <v>46167</v>
      </c>
      <c r="Q37" s="362" t="s">
        <v>1981</v>
      </c>
      <c r="R37" s="399">
        <v>46171</v>
      </c>
      <c r="S37" s="399" t="s">
        <v>1982</v>
      </c>
      <c r="T37" s="986"/>
      <c r="U37" s="458" t="s">
        <v>2022</v>
      </c>
      <c r="V37" s="489"/>
      <c r="W37" s="404"/>
      <c r="X37" s="982"/>
      <c r="Y37" s="982"/>
      <c r="Z37" s="982"/>
      <c r="AA37" s="1024"/>
      <c r="AB37" s="982"/>
      <c r="AC37" s="982"/>
      <c r="AD37" s="982"/>
      <c r="AE37" s="1025"/>
      <c r="AF37" s="1024"/>
      <c r="AG37" s="1024"/>
      <c r="AH37" s="523"/>
    </row>
    <row r="38" spans="1:34" s="48" customFormat="1" ht="12.6" customHeight="1">
      <c r="A38" s="403">
        <v>216515</v>
      </c>
      <c r="B38" s="977">
        <v>360</v>
      </c>
      <c r="C38" s="978">
        <v>755</v>
      </c>
      <c r="D38" s="986"/>
      <c r="E38" s="657">
        <v>46139</v>
      </c>
      <c r="F38" s="660">
        <v>1</v>
      </c>
      <c r="G38" s="399"/>
      <c r="H38" s="980"/>
      <c r="I38" s="400" t="s">
        <v>311</v>
      </c>
      <c r="J38" s="398" t="s">
        <v>2021</v>
      </c>
      <c r="K38" s="401"/>
      <c r="L38" s="402">
        <v>271800</v>
      </c>
      <c r="M38" s="526"/>
      <c r="N38" s="405" t="e">
        <v>#REF!</v>
      </c>
      <c r="O38" s="362" t="s">
        <v>2023</v>
      </c>
      <c r="P38" s="399" t="e">
        <v>#REF!</v>
      </c>
      <c r="Q38" s="362" t="s">
        <v>1981</v>
      </c>
      <c r="R38" s="399" t="e">
        <v>#REF!</v>
      </c>
      <c r="S38" s="399" t="s">
        <v>1982</v>
      </c>
      <c r="T38" s="513"/>
      <c r="U38" s="458" t="s">
        <v>2022</v>
      </c>
      <c r="V38" s="489"/>
      <c r="W38" s="404"/>
      <c r="X38" s="658"/>
      <c r="Y38" s="658"/>
      <c r="Z38" s="658"/>
      <c r="AA38" s="659"/>
      <c r="AB38" s="658"/>
      <c r="AC38" s="658"/>
      <c r="AD38" s="982"/>
      <c r="AE38" s="1025"/>
      <c r="AF38" s="1024"/>
      <c r="AG38" s="1024"/>
      <c r="AH38" s="523"/>
    </row>
    <row r="39" spans="1:34" s="48" customFormat="1" ht="12.6" customHeight="1">
      <c r="A39" s="403">
        <v>216515</v>
      </c>
      <c r="B39" s="977">
        <v>360</v>
      </c>
      <c r="C39" s="978">
        <v>755</v>
      </c>
      <c r="D39" s="986"/>
      <c r="E39" s="657">
        <v>46167</v>
      </c>
      <c r="F39" s="660">
        <v>1</v>
      </c>
      <c r="G39" s="399"/>
      <c r="H39" s="980"/>
      <c r="I39" s="400" t="s">
        <v>311</v>
      </c>
      <c r="J39" s="398" t="s">
        <v>2021</v>
      </c>
      <c r="K39" s="401"/>
      <c r="L39" s="402">
        <v>271800</v>
      </c>
      <c r="M39" s="526"/>
      <c r="N39" s="405">
        <v>46128</v>
      </c>
      <c r="O39" s="362" t="s">
        <v>2023</v>
      </c>
      <c r="P39" s="399">
        <v>46132</v>
      </c>
      <c r="Q39" s="362" t="s">
        <v>1981</v>
      </c>
      <c r="R39" s="399">
        <v>46136</v>
      </c>
      <c r="S39" s="399" t="s">
        <v>1982</v>
      </c>
      <c r="T39" s="513"/>
      <c r="U39" s="458" t="s">
        <v>2022</v>
      </c>
      <c r="V39" s="489"/>
      <c r="W39" s="404"/>
      <c r="X39" s="658"/>
      <c r="Y39" s="658"/>
      <c r="Z39" s="658"/>
      <c r="AA39" s="659"/>
      <c r="AB39" s="658"/>
      <c r="AC39" s="658"/>
      <c r="AD39" s="982"/>
      <c r="AE39" s="1025"/>
      <c r="AF39" s="1024"/>
      <c r="AG39" s="1024"/>
      <c r="AH39" s="523"/>
    </row>
    <row r="40" spans="1:34" s="48" customFormat="1" ht="12.6" customHeight="1">
      <c r="A40" s="403">
        <v>216515</v>
      </c>
      <c r="B40" s="977">
        <v>360</v>
      </c>
      <c r="C40" s="978">
        <v>755</v>
      </c>
      <c r="D40" s="986"/>
      <c r="E40" s="657"/>
      <c r="F40" s="660">
        <v>1</v>
      </c>
      <c r="G40" s="399"/>
      <c r="H40" s="980"/>
      <c r="I40" s="400" t="s">
        <v>311</v>
      </c>
      <c r="J40" s="398" t="s">
        <v>2021</v>
      </c>
      <c r="K40" s="401"/>
      <c r="L40" s="402">
        <v>271800</v>
      </c>
      <c r="M40" s="526"/>
      <c r="N40" s="405">
        <v>46156</v>
      </c>
      <c r="O40" s="362" t="s">
        <v>2023</v>
      </c>
      <c r="P40" s="399">
        <v>46160</v>
      </c>
      <c r="Q40" s="362" t="s">
        <v>1981</v>
      </c>
      <c r="R40" s="399">
        <v>46164</v>
      </c>
      <c r="S40" s="399" t="s">
        <v>1982</v>
      </c>
      <c r="T40" s="513"/>
      <c r="U40" s="458" t="s">
        <v>2022</v>
      </c>
      <c r="V40" s="489"/>
      <c r="W40" s="404"/>
      <c r="X40" s="658"/>
      <c r="Y40" s="658"/>
      <c r="Z40" s="658"/>
      <c r="AA40" s="659"/>
      <c r="AB40" s="658"/>
      <c r="AC40" s="658"/>
      <c r="AD40" s="982"/>
      <c r="AE40" s="1025"/>
      <c r="AF40" s="1024"/>
      <c r="AG40" s="1024"/>
      <c r="AH40" s="523"/>
    </row>
    <row r="41" spans="1:34" s="48" customFormat="1" ht="12.6" customHeight="1">
      <c r="A41" s="403">
        <v>216515</v>
      </c>
      <c r="B41" s="977">
        <v>360</v>
      </c>
      <c r="C41" s="978">
        <v>755</v>
      </c>
      <c r="D41" s="986"/>
      <c r="E41" s="657"/>
      <c r="F41" s="660">
        <v>1</v>
      </c>
      <c r="G41" s="399"/>
      <c r="H41" s="980"/>
      <c r="I41" s="400" t="s">
        <v>311</v>
      </c>
      <c r="J41" s="398" t="s">
        <v>2021</v>
      </c>
      <c r="K41" s="401"/>
      <c r="L41" s="402">
        <v>271800</v>
      </c>
      <c r="M41" s="526"/>
      <c r="N41" s="405">
        <v>-11</v>
      </c>
      <c r="O41" s="362" t="s">
        <v>2023</v>
      </c>
      <c r="P41" s="399">
        <v>-7</v>
      </c>
      <c r="Q41" s="362" t="s">
        <v>1981</v>
      </c>
      <c r="R41" s="399">
        <v>-3</v>
      </c>
      <c r="S41" s="399" t="s">
        <v>1982</v>
      </c>
      <c r="T41" s="513"/>
      <c r="U41" s="458" t="s">
        <v>2022</v>
      </c>
      <c r="V41" s="489"/>
      <c r="W41" s="404"/>
      <c r="X41" s="658"/>
      <c r="Y41" s="658"/>
      <c r="Z41" s="658"/>
      <c r="AA41" s="659"/>
      <c r="AB41" s="658"/>
      <c r="AC41" s="658"/>
      <c r="AD41" s="982"/>
      <c r="AE41" s="1025"/>
      <c r="AF41" s="1024"/>
      <c r="AG41" s="1024"/>
      <c r="AH41" s="523"/>
    </row>
    <row r="42" spans="1:34" s="48" customFormat="1" ht="12.6" customHeight="1">
      <c r="A42" s="403">
        <v>222818</v>
      </c>
      <c r="B42" s="977">
        <v>288</v>
      </c>
      <c r="C42" s="978">
        <v>813</v>
      </c>
      <c r="D42" s="986"/>
      <c r="E42" s="657">
        <v>46160</v>
      </c>
      <c r="F42" s="660">
        <v>1</v>
      </c>
      <c r="G42" s="399"/>
      <c r="H42" s="980"/>
      <c r="I42" s="400" t="s">
        <v>301</v>
      </c>
      <c r="J42" s="398" t="s">
        <v>2021</v>
      </c>
      <c r="K42" s="401"/>
      <c r="L42" s="402">
        <v>234144</v>
      </c>
      <c r="M42" s="399"/>
      <c r="N42" s="405">
        <v>46149</v>
      </c>
      <c r="O42" s="362" t="s">
        <v>1980</v>
      </c>
      <c r="P42" s="399">
        <v>46153</v>
      </c>
      <c r="Q42" s="362" t="s">
        <v>1981</v>
      </c>
      <c r="R42" s="399">
        <v>46157</v>
      </c>
      <c r="S42" s="399" t="s">
        <v>1982</v>
      </c>
      <c r="T42" s="513"/>
      <c r="U42" s="458" t="s">
        <v>2022</v>
      </c>
      <c r="V42" s="400"/>
      <c r="W42" s="404"/>
      <c r="X42" s="407"/>
      <c r="Y42" s="407"/>
      <c r="Z42" s="407"/>
      <c r="AA42" s="405"/>
      <c r="AB42" s="511"/>
      <c r="AC42" s="982"/>
      <c r="AD42" s="982"/>
      <c r="AE42" s="512"/>
      <c r="AF42" s="523"/>
      <c r="AG42" s="399"/>
      <c r="AH42" s="513"/>
    </row>
    <row r="43" spans="1:34" s="48" customFormat="1" ht="12.6" customHeight="1">
      <c r="A43" s="403">
        <v>222818</v>
      </c>
      <c r="B43" s="977">
        <v>360</v>
      </c>
      <c r="C43" s="978">
        <v>813</v>
      </c>
      <c r="D43" s="986"/>
      <c r="E43" s="657"/>
      <c r="F43" s="660">
        <v>1</v>
      </c>
      <c r="G43" s="399"/>
      <c r="H43" s="980"/>
      <c r="I43" s="400" t="s">
        <v>301</v>
      </c>
      <c r="J43" s="398" t="s">
        <v>2021</v>
      </c>
      <c r="K43" s="401"/>
      <c r="L43" s="402">
        <v>292680</v>
      </c>
      <c r="M43" s="399"/>
      <c r="N43" s="405">
        <v>-11</v>
      </c>
      <c r="O43" s="362" t="s">
        <v>1980</v>
      </c>
      <c r="P43" s="399">
        <v>-7</v>
      </c>
      <c r="Q43" s="362" t="s">
        <v>1981</v>
      </c>
      <c r="R43" s="399">
        <v>-3</v>
      </c>
      <c r="S43" s="399" t="s">
        <v>1982</v>
      </c>
      <c r="T43" s="513"/>
      <c r="U43" s="458" t="s">
        <v>2022</v>
      </c>
      <c r="V43" s="400"/>
      <c r="W43" s="404"/>
      <c r="X43" s="407"/>
      <c r="Y43" s="407"/>
      <c r="Z43" s="407"/>
      <c r="AA43" s="405"/>
      <c r="AB43" s="511"/>
      <c r="AC43" s="982"/>
      <c r="AD43" s="982"/>
      <c r="AE43" s="512"/>
      <c r="AF43" s="523"/>
      <c r="AG43" s="399"/>
      <c r="AH43" s="513"/>
    </row>
    <row r="44" spans="1:34" s="48" customFormat="1" ht="12.6" customHeight="1">
      <c r="A44" s="403">
        <v>222818</v>
      </c>
      <c r="B44" s="977">
        <v>720</v>
      </c>
      <c r="C44" s="978">
        <v>813</v>
      </c>
      <c r="D44" s="986"/>
      <c r="E44" s="657"/>
      <c r="F44" s="660">
        <v>1</v>
      </c>
      <c r="G44" s="399"/>
      <c r="H44" s="980"/>
      <c r="I44" s="400" t="s">
        <v>301</v>
      </c>
      <c r="J44" s="398" t="s">
        <v>2021</v>
      </c>
      <c r="K44" s="401"/>
      <c r="L44" s="402">
        <v>585360</v>
      </c>
      <c r="M44" s="399"/>
      <c r="N44" s="405">
        <v>-11</v>
      </c>
      <c r="O44" s="362" t="s">
        <v>1980</v>
      </c>
      <c r="P44" s="399">
        <v>-7</v>
      </c>
      <c r="Q44" s="362" t="s">
        <v>1981</v>
      </c>
      <c r="R44" s="399">
        <v>-3</v>
      </c>
      <c r="S44" s="399" t="s">
        <v>1982</v>
      </c>
      <c r="T44" s="513"/>
      <c r="U44" s="458" t="s">
        <v>2022</v>
      </c>
      <c r="V44" s="400"/>
      <c r="W44" s="404"/>
      <c r="X44" s="407"/>
      <c r="Y44" s="407"/>
      <c r="Z44" s="407"/>
      <c r="AA44" s="405"/>
      <c r="AB44" s="511"/>
      <c r="AC44" s="982"/>
      <c r="AD44" s="982"/>
      <c r="AE44" s="512"/>
      <c r="AF44" s="523"/>
      <c r="AG44" s="399"/>
      <c r="AH44" s="513"/>
    </row>
    <row r="45" spans="1:34" s="48" customFormat="1" ht="12.6" customHeight="1">
      <c r="A45" s="458">
        <v>216518</v>
      </c>
      <c r="B45" s="977">
        <v>100</v>
      </c>
      <c r="C45" s="978">
        <v>1065</v>
      </c>
      <c r="D45" s="986"/>
      <c r="E45" s="657"/>
      <c r="F45" s="660">
        <v>1</v>
      </c>
      <c r="G45" s="399"/>
      <c r="H45" s="980"/>
      <c r="I45" s="400" t="s">
        <v>411</v>
      </c>
      <c r="J45" s="398" t="s">
        <v>2021</v>
      </c>
      <c r="K45" s="401"/>
      <c r="L45" s="402">
        <v>106500</v>
      </c>
      <c r="M45" s="526"/>
      <c r="N45" s="405">
        <v>-11</v>
      </c>
      <c r="O45" s="362" t="s">
        <v>1980</v>
      </c>
      <c r="P45" s="399">
        <v>-7</v>
      </c>
      <c r="Q45" s="362" t="s">
        <v>1981</v>
      </c>
      <c r="R45" s="399">
        <v>-3</v>
      </c>
      <c r="S45" s="399" t="s">
        <v>1982</v>
      </c>
      <c r="T45" s="513"/>
      <c r="U45" s="458" t="s">
        <v>2022</v>
      </c>
      <c r="V45" s="400"/>
      <c r="W45" s="404"/>
      <c r="X45" s="406"/>
      <c r="Y45" s="407"/>
      <c r="Z45" s="407"/>
      <c r="AA45" s="523"/>
      <c r="AB45" s="511"/>
      <c r="AC45" s="407"/>
      <c r="AD45" s="407"/>
      <c r="AE45" s="512"/>
      <c r="AF45" s="523"/>
      <c r="AG45" s="523"/>
      <c r="AH45" s="523"/>
    </row>
    <row r="46" spans="1:34" s="48" customFormat="1" ht="12.6" customHeight="1">
      <c r="A46" s="458">
        <v>216518</v>
      </c>
      <c r="B46" s="977">
        <v>150</v>
      </c>
      <c r="C46" s="978">
        <v>1065</v>
      </c>
      <c r="D46" s="986"/>
      <c r="E46" s="657"/>
      <c r="F46" s="660">
        <v>1</v>
      </c>
      <c r="G46" s="399"/>
      <c r="H46" s="980"/>
      <c r="I46" s="400" t="s">
        <v>411</v>
      </c>
      <c r="J46" s="398" t="s">
        <v>2021</v>
      </c>
      <c r="K46" s="401"/>
      <c r="L46" s="402">
        <v>159750</v>
      </c>
      <c r="M46" s="526"/>
      <c r="N46" s="405">
        <v>-11</v>
      </c>
      <c r="O46" s="362" t="s">
        <v>1980</v>
      </c>
      <c r="P46" s="399">
        <v>-7</v>
      </c>
      <c r="Q46" s="362" t="s">
        <v>1981</v>
      </c>
      <c r="R46" s="399">
        <v>-3</v>
      </c>
      <c r="S46" s="399" t="s">
        <v>1982</v>
      </c>
      <c r="T46" s="513"/>
      <c r="U46" s="458" t="s">
        <v>2022</v>
      </c>
      <c r="V46" s="400"/>
      <c r="W46" s="404"/>
      <c r="X46" s="406"/>
      <c r="Y46" s="407"/>
      <c r="Z46" s="407"/>
      <c r="AA46" s="523"/>
      <c r="AB46" s="511"/>
      <c r="AC46" s="407"/>
      <c r="AD46" s="407"/>
      <c r="AE46" s="512"/>
      <c r="AF46" s="523"/>
      <c r="AG46" s="523"/>
      <c r="AH46" s="523"/>
    </row>
    <row r="47" spans="1:34" s="48" customFormat="1" ht="12.6" customHeight="1">
      <c r="A47" s="458">
        <v>216518</v>
      </c>
      <c r="B47" s="977">
        <v>150</v>
      </c>
      <c r="C47" s="978">
        <v>1065</v>
      </c>
      <c r="D47" s="986"/>
      <c r="E47" s="657"/>
      <c r="F47" s="660">
        <v>1</v>
      </c>
      <c r="G47" s="399"/>
      <c r="H47" s="980"/>
      <c r="I47" s="400" t="s">
        <v>411</v>
      </c>
      <c r="J47" s="398" t="s">
        <v>2021</v>
      </c>
      <c r="K47" s="401"/>
      <c r="L47" s="402">
        <v>159750</v>
      </c>
      <c r="M47" s="526"/>
      <c r="N47" s="405">
        <v>-11</v>
      </c>
      <c r="O47" s="362" t="s">
        <v>1980</v>
      </c>
      <c r="P47" s="399">
        <v>-7</v>
      </c>
      <c r="Q47" s="362" t="s">
        <v>1981</v>
      </c>
      <c r="R47" s="399">
        <v>-3</v>
      </c>
      <c r="S47" s="399" t="s">
        <v>1982</v>
      </c>
      <c r="T47" s="513"/>
      <c r="U47" s="458" t="s">
        <v>2022</v>
      </c>
      <c r="V47" s="400"/>
      <c r="W47" s="404"/>
      <c r="X47" s="406"/>
      <c r="Y47" s="407"/>
      <c r="Z47" s="407"/>
      <c r="AA47" s="523"/>
      <c r="AB47" s="511"/>
      <c r="AC47" s="407"/>
      <c r="AD47" s="407"/>
      <c r="AE47" s="512"/>
      <c r="AF47" s="523"/>
      <c r="AG47" s="523"/>
      <c r="AH47" s="523"/>
    </row>
    <row r="48" spans="1:34" s="48" customFormat="1" ht="12.6" customHeight="1">
      <c r="A48" s="403">
        <v>216521</v>
      </c>
      <c r="B48" s="977">
        <v>288</v>
      </c>
      <c r="C48" s="978">
        <v>830</v>
      </c>
      <c r="D48" s="986"/>
      <c r="E48" s="657"/>
      <c r="F48" s="660">
        <v>1</v>
      </c>
      <c r="G48" s="399"/>
      <c r="H48" s="980"/>
      <c r="I48" s="400" t="s">
        <v>446</v>
      </c>
      <c r="J48" s="398" t="s">
        <v>2021</v>
      </c>
      <c r="K48" s="401"/>
      <c r="L48" s="402">
        <v>239040</v>
      </c>
      <c r="M48" s="526"/>
      <c r="N48" s="405">
        <v>-11</v>
      </c>
      <c r="O48" s="362" t="s">
        <v>1980</v>
      </c>
      <c r="P48" s="399">
        <v>-7</v>
      </c>
      <c r="Q48" s="362" t="s">
        <v>1981</v>
      </c>
      <c r="R48" s="399">
        <v>-3</v>
      </c>
      <c r="S48" s="399" t="s">
        <v>1982</v>
      </c>
      <c r="T48" s="513"/>
      <c r="U48" s="458" t="s">
        <v>2022</v>
      </c>
      <c r="V48" s="400"/>
      <c r="W48" s="404"/>
      <c r="X48" s="406"/>
      <c r="Y48" s="407"/>
      <c r="Z48" s="407"/>
      <c r="AA48" s="523"/>
      <c r="AB48" s="511"/>
      <c r="AC48" s="407"/>
      <c r="AD48" s="407"/>
      <c r="AE48" s="512"/>
      <c r="AF48" s="523"/>
      <c r="AG48" s="523"/>
      <c r="AH48" s="523"/>
    </row>
    <row r="49" spans="1:34" s="48" customFormat="1" ht="12.6" customHeight="1">
      <c r="A49" s="458">
        <v>216524</v>
      </c>
      <c r="B49" s="977">
        <v>144</v>
      </c>
      <c r="C49" s="978">
        <v>772</v>
      </c>
      <c r="D49" s="986"/>
      <c r="E49" s="657"/>
      <c r="F49" s="660">
        <v>1</v>
      </c>
      <c r="G49" s="399"/>
      <c r="H49" s="980"/>
      <c r="I49" s="400" t="s">
        <v>451</v>
      </c>
      <c r="J49" s="398" t="s">
        <v>2021</v>
      </c>
      <c r="K49" s="401"/>
      <c r="L49" s="402">
        <v>111168</v>
      </c>
      <c r="M49" s="526"/>
      <c r="N49" s="405">
        <v>-11</v>
      </c>
      <c r="O49" s="362" t="s">
        <v>1980</v>
      </c>
      <c r="P49" s="399">
        <v>-7</v>
      </c>
      <c r="Q49" s="362" t="s">
        <v>1981</v>
      </c>
      <c r="R49" s="399">
        <v>-3</v>
      </c>
      <c r="S49" s="399" t="s">
        <v>1982</v>
      </c>
      <c r="T49" s="513"/>
      <c r="U49" s="458" t="s">
        <v>2022</v>
      </c>
      <c r="V49" s="400"/>
      <c r="W49" s="404"/>
      <c r="X49" s="406"/>
      <c r="Y49" s="407"/>
      <c r="Z49" s="407"/>
      <c r="AA49" s="523"/>
      <c r="AB49" s="511"/>
      <c r="AC49" s="407"/>
      <c r="AD49" s="407"/>
      <c r="AE49" s="512"/>
      <c r="AF49" s="523"/>
      <c r="AG49" s="523"/>
      <c r="AH49" s="523"/>
    </row>
    <row r="50" spans="1:34" s="48" customFormat="1" ht="12.6" customHeight="1">
      <c r="A50" s="403">
        <v>251110</v>
      </c>
      <c r="B50" s="977">
        <v>128</v>
      </c>
      <c r="C50" s="978">
        <v>960</v>
      </c>
      <c r="D50" s="986"/>
      <c r="E50" s="657"/>
      <c r="F50" s="660">
        <v>1</v>
      </c>
      <c r="G50" s="399"/>
      <c r="H50" s="980"/>
      <c r="I50" s="400" t="s">
        <v>247</v>
      </c>
      <c r="J50" s="398" t="s">
        <v>2021</v>
      </c>
      <c r="K50" s="401"/>
      <c r="L50" s="402">
        <v>122880</v>
      </c>
      <c r="M50" s="526"/>
      <c r="N50" s="405">
        <v>45992</v>
      </c>
      <c r="O50" s="362" t="s">
        <v>1980</v>
      </c>
      <c r="P50" s="399">
        <v>-7</v>
      </c>
      <c r="Q50" s="362" t="s">
        <v>1981</v>
      </c>
      <c r="R50" s="399">
        <v>-3</v>
      </c>
      <c r="S50" s="399" t="s">
        <v>1982</v>
      </c>
      <c r="T50" s="513"/>
      <c r="U50" s="458" t="s">
        <v>2022</v>
      </c>
      <c r="V50" s="400"/>
      <c r="W50" s="404"/>
      <c r="X50" s="406"/>
      <c r="Y50" s="407"/>
      <c r="Z50" s="407"/>
      <c r="AA50" s="523"/>
      <c r="AB50" s="511"/>
      <c r="AC50" s="407"/>
      <c r="AD50" s="407"/>
      <c r="AE50" s="512"/>
      <c r="AF50" s="523"/>
      <c r="AG50" s="523"/>
      <c r="AH50" s="523"/>
    </row>
    <row r="51" spans="1:34" s="362" customFormat="1" ht="12.6" customHeight="1">
      <c r="A51" s="403">
        <v>284149</v>
      </c>
      <c r="B51" s="977">
        <v>300</v>
      </c>
      <c r="C51" s="978">
        <v>392</v>
      </c>
      <c r="D51" s="986"/>
      <c r="E51" s="657">
        <v>46118</v>
      </c>
      <c r="F51" s="398">
        <v>1</v>
      </c>
      <c r="G51" s="399"/>
      <c r="H51" s="980"/>
      <c r="I51" s="400" t="s">
        <v>598</v>
      </c>
      <c r="J51" s="398" t="s">
        <v>2021</v>
      </c>
      <c r="K51" s="401"/>
      <c r="L51" s="402">
        <v>117600</v>
      </c>
      <c r="M51" s="399"/>
      <c r="N51" s="405">
        <v>46107</v>
      </c>
      <c r="O51" s="362" t="s">
        <v>1980</v>
      </c>
      <c r="P51" s="399">
        <v>46111</v>
      </c>
      <c r="Q51" s="362" t="s">
        <v>1981</v>
      </c>
      <c r="R51" s="399">
        <v>46115</v>
      </c>
      <c r="S51" s="399" t="s">
        <v>1982</v>
      </c>
      <c r="T51" s="513"/>
      <c r="U51" s="458" t="s">
        <v>2022</v>
      </c>
      <c r="V51" s="400"/>
      <c r="W51" s="404"/>
      <c r="X51" s="406"/>
      <c r="Y51" s="407"/>
      <c r="Z51" s="407"/>
      <c r="AA51" s="523"/>
      <c r="AB51" s="511"/>
      <c r="AC51" s="407"/>
      <c r="AD51" s="407"/>
      <c r="AE51" s="512"/>
      <c r="AF51" s="523"/>
      <c r="AG51" s="523"/>
      <c r="AH51" s="523"/>
    </row>
    <row r="52" spans="1:34" s="362" customFormat="1" ht="12.6" customHeight="1">
      <c r="A52" s="403">
        <v>284149</v>
      </c>
      <c r="B52" s="977">
        <v>300</v>
      </c>
      <c r="C52" s="978">
        <v>392</v>
      </c>
      <c r="D52" s="986"/>
      <c r="E52" s="657">
        <v>46146</v>
      </c>
      <c r="F52" s="398">
        <v>1</v>
      </c>
      <c r="G52" s="399"/>
      <c r="H52" s="980"/>
      <c r="I52" s="400" t="s">
        <v>598</v>
      </c>
      <c r="J52" s="398" t="s">
        <v>2021</v>
      </c>
      <c r="K52" s="401"/>
      <c r="L52" s="402">
        <v>117600</v>
      </c>
      <c r="M52" s="399"/>
      <c r="N52" s="405">
        <v>46135</v>
      </c>
      <c r="O52" s="362" t="s">
        <v>1980</v>
      </c>
      <c r="P52" s="399">
        <v>46139</v>
      </c>
      <c r="Q52" s="362" t="s">
        <v>1981</v>
      </c>
      <c r="R52" s="399">
        <v>46143</v>
      </c>
      <c r="S52" s="399" t="s">
        <v>1982</v>
      </c>
      <c r="T52" s="513"/>
      <c r="U52" s="458" t="s">
        <v>2022</v>
      </c>
      <c r="V52" s="400"/>
      <c r="W52" s="404"/>
      <c r="X52" s="406"/>
      <c r="Y52" s="407"/>
      <c r="Z52" s="407"/>
      <c r="AA52" s="523"/>
      <c r="AB52" s="511"/>
      <c r="AC52" s="407"/>
      <c r="AD52" s="407"/>
      <c r="AE52" s="512"/>
      <c r="AF52" s="523"/>
      <c r="AG52" s="523"/>
      <c r="AH52" s="523"/>
    </row>
    <row r="53" spans="1:34" s="48" customFormat="1" ht="12.6" customHeight="1">
      <c r="A53" s="458">
        <v>284150</v>
      </c>
      <c r="B53" s="977">
        <v>400</v>
      </c>
      <c r="C53" s="978">
        <v>311</v>
      </c>
      <c r="D53" s="986"/>
      <c r="E53" s="657">
        <v>46111</v>
      </c>
      <c r="F53" s="398">
        <v>1</v>
      </c>
      <c r="G53" s="399"/>
      <c r="H53" s="980"/>
      <c r="I53" s="400" t="s">
        <v>658</v>
      </c>
      <c r="J53" s="398" t="s">
        <v>2021</v>
      </c>
      <c r="K53" s="401"/>
      <c r="L53" s="402">
        <v>124400</v>
      </c>
      <c r="M53" s="399"/>
      <c r="N53" s="405">
        <v>46100</v>
      </c>
      <c r="O53" s="362" t="s">
        <v>1980</v>
      </c>
      <c r="P53" s="399">
        <v>46104</v>
      </c>
      <c r="Q53" s="362" t="s">
        <v>1981</v>
      </c>
      <c r="R53" s="399">
        <v>46108</v>
      </c>
      <c r="S53" s="399" t="s">
        <v>1982</v>
      </c>
      <c r="T53" s="513"/>
      <c r="U53" s="458" t="s">
        <v>2022</v>
      </c>
      <c r="V53" s="489"/>
      <c r="W53" s="404"/>
      <c r="X53" s="406"/>
      <c r="Y53" s="407"/>
      <c r="Z53" s="407"/>
      <c r="AA53" s="405"/>
      <c r="AB53" s="511"/>
      <c r="AC53" s="407"/>
      <c r="AD53" s="407"/>
      <c r="AE53" s="512"/>
      <c r="AF53" s="523"/>
      <c r="AG53" s="399"/>
      <c r="AH53" s="397"/>
    </row>
    <row r="54" spans="1:34" s="48" customFormat="1" ht="12.6" customHeight="1">
      <c r="A54" s="458">
        <v>284150</v>
      </c>
      <c r="B54" s="977">
        <v>300</v>
      </c>
      <c r="C54" s="978">
        <v>311</v>
      </c>
      <c r="D54" s="986"/>
      <c r="E54" s="657">
        <v>46146</v>
      </c>
      <c r="F54" s="398">
        <v>1</v>
      </c>
      <c r="G54" s="399"/>
      <c r="H54" s="980"/>
      <c r="I54" s="400" t="s">
        <v>658</v>
      </c>
      <c r="J54" s="398" t="s">
        <v>2021</v>
      </c>
      <c r="K54" s="401"/>
      <c r="L54" s="402">
        <v>93300</v>
      </c>
      <c r="M54" s="399"/>
      <c r="N54" s="405">
        <v>46135</v>
      </c>
      <c r="O54" s="362" t="s">
        <v>1980</v>
      </c>
      <c r="P54" s="399">
        <v>46139</v>
      </c>
      <c r="Q54" s="362" t="s">
        <v>1981</v>
      </c>
      <c r="R54" s="399">
        <v>46143</v>
      </c>
      <c r="S54" s="399" t="s">
        <v>1982</v>
      </c>
      <c r="T54" s="513"/>
      <c r="U54" s="458" t="s">
        <v>2022</v>
      </c>
      <c r="V54" s="489"/>
      <c r="W54" s="404"/>
      <c r="X54" s="406"/>
      <c r="Y54" s="407"/>
      <c r="Z54" s="407"/>
      <c r="AA54" s="405"/>
      <c r="AB54" s="511"/>
      <c r="AC54" s="407"/>
      <c r="AD54" s="407"/>
      <c r="AE54" s="512"/>
      <c r="AF54" s="523"/>
      <c r="AG54" s="399"/>
      <c r="AH54" s="397"/>
    </row>
    <row r="55" spans="1:34" s="48" customFormat="1" ht="12.6" customHeight="1">
      <c r="A55" s="458">
        <v>284151</v>
      </c>
      <c r="B55" s="977">
        <v>200</v>
      </c>
      <c r="C55" s="978">
        <v>254</v>
      </c>
      <c r="D55" s="986"/>
      <c r="E55" s="657">
        <v>46118</v>
      </c>
      <c r="F55" s="398">
        <v>1</v>
      </c>
      <c r="G55" s="399"/>
      <c r="H55" s="980"/>
      <c r="I55" s="400" t="s">
        <v>683</v>
      </c>
      <c r="J55" s="398" t="s">
        <v>2021</v>
      </c>
      <c r="K55" s="401"/>
      <c r="L55" s="402">
        <v>50800</v>
      </c>
      <c r="M55" s="399"/>
      <c r="N55" s="405">
        <v>46107</v>
      </c>
      <c r="O55" s="362" t="s">
        <v>1980</v>
      </c>
      <c r="P55" s="399">
        <v>46111</v>
      </c>
      <c r="Q55" s="362" t="s">
        <v>1981</v>
      </c>
      <c r="R55" s="399">
        <v>46115</v>
      </c>
      <c r="S55" s="399" t="s">
        <v>1982</v>
      </c>
      <c r="T55" s="513"/>
      <c r="U55" s="458" t="s">
        <v>2022</v>
      </c>
      <c r="V55" s="489"/>
      <c r="W55" s="404"/>
      <c r="X55" s="406"/>
      <c r="Y55" s="407"/>
      <c r="Z55" s="407"/>
      <c r="AA55" s="405"/>
      <c r="AB55" s="511"/>
      <c r="AC55" s="407"/>
      <c r="AD55" s="407"/>
      <c r="AE55" s="512"/>
      <c r="AF55" s="523"/>
      <c r="AG55" s="399"/>
      <c r="AH55" s="397"/>
    </row>
    <row r="56" spans="1:34" s="48" customFormat="1" ht="12.6" customHeight="1">
      <c r="A56" s="458">
        <v>284151</v>
      </c>
      <c r="B56" s="977">
        <v>200</v>
      </c>
      <c r="C56" s="978">
        <v>254</v>
      </c>
      <c r="D56" s="986"/>
      <c r="E56" s="657">
        <v>46146</v>
      </c>
      <c r="F56" s="398">
        <v>1</v>
      </c>
      <c r="G56" s="399"/>
      <c r="H56" s="980"/>
      <c r="I56" s="400" t="s">
        <v>683</v>
      </c>
      <c r="J56" s="398" t="s">
        <v>2021</v>
      </c>
      <c r="K56" s="401"/>
      <c r="L56" s="402">
        <v>50800</v>
      </c>
      <c r="M56" s="399"/>
      <c r="N56" s="405">
        <v>46135</v>
      </c>
      <c r="O56" s="362" t="s">
        <v>1980</v>
      </c>
      <c r="P56" s="399">
        <v>46139</v>
      </c>
      <c r="Q56" s="362" t="s">
        <v>1981</v>
      </c>
      <c r="R56" s="399">
        <v>46143</v>
      </c>
      <c r="S56" s="399" t="s">
        <v>1982</v>
      </c>
      <c r="T56" s="513"/>
      <c r="U56" s="458" t="s">
        <v>2022</v>
      </c>
      <c r="V56" s="489"/>
      <c r="W56" s="404"/>
      <c r="X56" s="406"/>
      <c r="Y56" s="407"/>
      <c r="Z56" s="407"/>
      <c r="AA56" s="405"/>
      <c r="AB56" s="511"/>
      <c r="AC56" s="407"/>
      <c r="AD56" s="407"/>
      <c r="AE56" s="512"/>
      <c r="AF56" s="523"/>
      <c r="AG56" s="399"/>
      <c r="AH56" s="397"/>
    </row>
    <row r="57" spans="1:34" s="689" customFormat="1" ht="12.6" customHeight="1">
      <c r="A57" s="651">
        <v>286429</v>
      </c>
      <c r="B57" s="1026">
        <v>288</v>
      </c>
      <c r="C57" s="978">
        <v>474</v>
      </c>
      <c r="D57" s="1027"/>
      <c r="E57" s="657">
        <v>46118</v>
      </c>
      <c r="F57" s="660">
        <v>1</v>
      </c>
      <c r="G57" s="399"/>
      <c r="H57" s="1028"/>
      <c r="I57" s="400" t="s">
        <v>702</v>
      </c>
      <c r="J57" s="660" t="s">
        <v>2021</v>
      </c>
      <c r="K57" s="401"/>
      <c r="L57" s="690">
        <v>136512</v>
      </c>
      <c r="M57" s="693"/>
      <c r="N57" s="405">
        <v>46107</v>
      </c>
      <c r="O57" s="689" t="s">
        <v>1980</v>
      </c>
      <c r="P57" s="399">
        <v>46111</v>
      </c>
      <c r="Q57" s="689" t="s">
        <v>1981</v>
      </c>
      <c r="R57" s="399">
        <v>46115</v>
      </c>
      <c r="S57" s="691" t="s">
        <v>1982</v>
      </c>
      <c r="T57" s="692"/>
      <c r="U57" s="458" t="s">
        <v>2022</v>
      </c>
      <c r="V57" s="524"/>
      <c r="W57" s="404"/>
      <c r="X57" s="691"/>
      <c r="Y57" s="691"/>
      <c r="Z57" s="691"/>
      <c r="AA57" s="693"/>
      <c r="AB57" s="694"/>
      <c r="AC57" s="1029"/>
      <c r="AD57" s="1029"/>
      <c r="AE57" s="696"/>
      <c r="AF57" s="697"/>
      <c r="AG57" s="691"/>
      <c r="AH57" s="698"/>
    </row>
    <row r="58" spans="1:34" s="689" customFormat="1" ht="12.6" customHeight="1">
      <c r="A58" s="651">
        <v>286429</v>
      </c>
      <c r="B58" s="1026">
        <v>144</v>
      </c>
      <c r="C58" s="978">
        <v>474</v>
      </c>
      <c r="D58" s="1027"/>
      <c r="E58" s="657">
        <v>46174</v>
      </c>
      <c r="F58" s="660">
        <v>1</v>
      </c>
      <c r="G58" s="399"/>
      <c r="H58" s="1028"/>
      <c r="I58" s="400" t="s">
        <v>702</v>
      </c>
      <c r="J58" s="660" t="s">
        <v>2021</v>
      </c>
      <c r="K58" s="401"/>
      <c r="L58" s="690">
        <v>68256</v>
      </c>
      <c r="M58" s="693"/>
      <c r="N58" s="405">
        <v>46163</v>
      </c>
      <c r="O58" s="689" t="s">
        <v>1980</v>
      </c>
      <c r="P58" s="399">
        <v>46167</v>
      </c>
      <c r="Q58" s="689" t="s">
        <v>1981</v>
      </c>
      <c r="R58" s="399">
        <v>46171</v>
      </c>
      <c r="S58" s="691" t="s">
        <v>1982</v>
      </c>
      <c r="T58" s="692"/>
      <c r="U58" s="458" t="s">
        <v>2022</v>
      </c>
      <c r="V58" s="524"/>
      <c r="W58" s="404"/>
      <c r="X58" s="691"/>
      <c r="Y58" s="691"/>
      <c r="Z58" s="691"/>
      <c r="AA58" s="693"/>
      <c r="AB58" s="694"/>
      <c r="AC58" s="1029"/>
      <c r="AD58" s="1029"/>
      <c r="AE58" s="696"/>
      <c r="AF58" s="697"/>
      <c r="AG58" s="691"/>
      <c r="AH58" s="698"/>
    </row>
    <row r="59" spans="1:34" s="689" customFormat="1" ht="12.6" customHeight="1">
      <c r="A59" s="651">
        <v>286431</v>
      </c>
      <c r="B59" s="1026">
        <v>288</v>
      </c>
      <c r="C59" s="978">
        <v>390</v>
      </c>
      <c r="D59" s="1027"/>
      <c r="E59" s="657">
        <v>46139</v>
      </c>
      <c r="F59" s="660">
        <v>1</v>
      </c>
      <c r="G59" s="399"/>
      <c r="H59" s="1028"/>
      <c r="I59" s="524" t="s">
        <v>758</v>
      </c>
      <c r="J59" s="660" t="s">
        <v>2021</v>
      </c>
      <c r="K59" s="401"/>
      <c r="L59" s="690">
        <v>112320</v>
      </c>
      <c r="M59" s="693"/>
      <c r="N59" s="405">
        <v>46128</v>
      </c>
      <c r="O59" s="689" t="s">
        <v>1980</v>
      </c>
      <c r="P59" s="399">
        <v>46132</v>
      </c>
      <c r="Q59" s="689" t="s">
        <v>1981</v>
      </c>
      <c r="R59" s="399">
        <v>46136</v>
      </c>
      <c r="S59" s="691" t="s">
        <v>1982</v>
      </c>
      <c r="T59" s="692"/>
      <c r="U59" s="458" t="s">
        <v>2022</v>
      </c>
      <c r="V59" s="524"/>
      <c r="W59" s="404"/>
      <c r="X59" s="691"/>
      <c r="Y59" s="691"/>
      <c r="Z59" s="691"/>
      <c r="AA59" s="693"/>
      <c r="AB59" s="694"/>
      <c r="AC59" s="1029"/>
      <c r="AD59" s="1029"/>
      <c r="AE59" s="696"/>
      <c r="AF59" s="697"/>
      <c r="AG59" s="691"/>
      <c r="AH59" s="698"/>
    </row>
    <row r="60" spans="1:34" s="689" customFormat="1" ht="12.6" customHeight="1">
      <c r="A60" s="651">
        <v>286431</v>
      </c>
      <c r="B60" s="1026">
        <v>288</v>
      </c>
      <c r="C60" s="978">
        <v>390</v>
      </c>
      <c r="D60" s="1027"/>
      <c r="E60" s="657">
        <v>46174</v>
      </c>
      <c r="F60" s="660">
        <v>1</v>
      </c>
      <c r="G60" s="399"/>
      <c r="H60" s="1028"/>
      <c r="I60" s="524" t="s">
        <v>758</v>
      </c>
      <c r="J60" s="660" t="s">
        <v>2021</v>
      </c>
      <c r="K60" s="401"/>
      <c r="L60" s="690">
        <v>112320</v>
      </c>
      <c r="M60" s="693"/>
      <c r="N60" s="405">
        <v>46163</v>
      </c>
      <c r="O60" s="689" t="s">
        <v>1980</v>
      </c>
      <c r="P60" s="399">
        <v>46167</v>
      </c>
      <c r="Q60" s="689" t="s">
        <v>1981</v>
      </c>
      <c r="R60" s="399">
        <v>46171</v>
      </c>
      <c r="S60" s="691" t="s">
        <v>1982</v>
      </c>
      <c r="T60" s="692"/>
      <c r="U60" s="458" t="s">
        <v>2022</v>
      </c>
      <c r="V60" s="524"/>
      <c r="W60" s="404"/>
      <c r="X60" s="691"/>
      <c r="Y60" s="691"/>
      <c r="Z60" s="691"/>
      <c r="AA60" s="693"/>
      <c r="AB60" s="694"/>
      <c r="AC60" s="1029"/>
      <c r="AD60" s="1029"/>
      <c r="AE60" s="696"/>
      <c r="AF60" s="697"/>
      <c r="AG60" s="691"/>
      <c r="AH60" s="698"/>
    </row>
    <row r="61" spans="1:34" s="48" customFormat="1" ht="12.6" customHeight="1">
      <c r="A61" s="403">
        <v>286436</v>
      </c>
      <c r="B61" s="977">
        <v>144</v>
      </c>
      <c r="C61" s="978">
        <v>440</v>
      </c>
      <c r="D61" s="1027"/>
      <c r="E61" s="657">
        <v>46139</v>
      </c>
      <c r="F61" s="660">
        <v>1</v>
      </c>
      <c r="G61" s="399"/>
      <c r="H61" s="980"/>
      <c r="I61" s="400" t="s">
        <v>688</v>
      </c>
      <c r="J61" s="398" t="s">
        <v>2021</v>
      </c>
      <c r="K61" s="401"/>
      <c r="L61" s="402">
        <v>63360</v>
      </c>
      <c r="M61" s="526"/>
      <c r="N61" s="405">
        <v>46128</v>
      </c>
      <c r="O61" s="362" t="s">
        <v>1980</v>
      </c>
      <c r="P61" s="399">
        <v>46132</v>
      </c>
      <c r="Q61" s="362" t="s">
        <v>1981</v>
      </c>
      <c r="R61" s="399">
        <v>46136</v>
      </c>
      <c r="S61" s="399" t="s">
        <v>1982</v>
      </c>
      <c r="T61" s="513"/>
      <c r="U61" s="458" t="s">
        <v>2022</v>
      </c>
      <c r="V61" s="524"/>
      <c r="W61" s="404"/>
      <c r="X61" s="406"/>
      <c r="Y61" s="407"/>
      <c r="Z61" s="407"/>
      <c r="AA61" s="523"/>
      <c r="AB61" s="511"/>
      <c r="AC61" s="407"/>
      <c r="AD61" s="407"/>
      <c r="AE61" s="512"/>
      <c r="AF61" s="523"/>
      <c r="AG61" s="523"/>
      <c r="AH61" s="523"/>
    </row>
    <row r="62" spans="1:34" s="48" customFormat="1" ht="12.6" customHeight="1">
      <c r="A62" s="403">
        <v>286436</v>
      </c>
      <c r="B62" s="977">
        <v>144</v>
      </c>
      <c r="C62" s="978">
        <v>440</v>
      </c>
      <c r="D62" s="1027"/>
      <c r="E62" s="657">
        <v>46181</v>
      </c>
      <c r="F62" s="660">
        <v>1</v>
      </c>
      <c r="G62" s="399"/>
      <c r="H62" s="980"/>
      <c r="I62" s="400" t="s">
        <v>688</v>
      </c>
      <c r="J62" s="398" t="s">
        <v>2021</v>
      </c>
      <c r="K62" s="401"/>
      <c r="L62" s="402">
        <v>63360</v>
      </c>
      <c r="M62" s="526"/>
      <c r="N62" s="405">
        <v>46170</v>
      </c>
      <c r="O62" s="362" t="s">
        <v>1980</v>
      </c>
      <c r="P62" s="399">
        <v>46174</v>
      </c>
      <c r="Q62" s="362" t="s">
        <v>1981</v>
      </c>
      <c r="R62" s="399">
        <v>46178</v>
      </c>
      <c r="S62" s="399" t="s">
        <v>1982</v>
      </c>
      <c r="T62" s="513"/>
      <c r="U62" s="458" t="s">
        <v>2022</v>
      </c>
      <c r="V62" s="524"/>
      <c r="W62" s="404"/>
      <c r="X62" s="406"/>
      <c r="Y62" s="407"/>
      <c r="Z62" s="407"/>
      <c r="AA62" s="523"/>
      <c r="AB62" s="511"/>
      <c r="AC62" s="407"/>
      <c r="AD62" s="407"/>
      <c r="AE62" s="512"/>
      <c r="AF62" s="523"/>
      <c r="AG62" s="523"/>
      <c r="AH62" s="523"/>
    </row>
    <row r="63" spans="1:34" s="48" customFormat="1" ht="12.6" customHeight="1">
      <c r="A63" s="403">
        <v>286436</v>
      </c>
      <c r="B63" s="977">
        <v>216</v>
      </c>
      <c r="C63" s="978">
        <v>359</v>
      </c>
      <c r="D63" s="1027"/>
      <c r="E63" s="657"/>
      <c r="F63" s="660">
        <v>1</v>
      </c>
      <c r="G63" s="399"/>
      <c r="H63" s="980"/>
      <c r="I63" s="400" t="s">
        <v>688</v>
      </c>
      <c r="J63" s="398" t="s">
        <v>2021</v>
      </c>
      <c r="K63" s="401"/>
      <c r="L63" s="402">
        <v>77544</v>
      </c>
      <c r="M63" s="399"/>
      <c r="N63" s="405">
        <v>-11</v>
      </c>
      <c r="O63" s="362" t="s">
        <v>1980</v>
      </c>
      <c r="P63" s="399">
        <v>-7</v>
      </c>
      <c r="Q63" s="362" t="s">
        <v>1981</v>
      </c>
      <c r="R63" s="399">
        <v>-3</v>
      </c>
      <c r="S63" s="399" t="s">
        <v>1982</v>
      </c>
      <c r="T63" s="513"/>
      <c r="U63" s="458" t="s">
        <v>2022</v>
      </c>
      <c r="V63" s="524"/>
      <c r="W63" s="404"/>
      <c r="X63" s="406"/>
      <c r="Y63" s="407"/>
      <c r="Z63" s="407"/>
      <c r="AA63" s="523"/>
      <c r="AB63" s="511"/>
      <c r="AC63" s="407"/>
      <c r="AD63" s="407"/>
      <c r="AE63" s="512"/>
      <c r="AF63" s="523"/>
      <c r="AG63" s="523"/>
      <c r="AH63" s="523"/>
    </row>
    <row r="64" spans="1:34" s="48" customFormat="1" ht="12.6" customHeight="1">
      <c r="A64" s="403">
        <v>286433</v>
      </c>
      <c r="B64" s="977">
        <v>360</v>
      </c>
      <c r="C64" s="978">
        <v>359</v>
      </c>
      <c r="D64" s="1027"/>
      <c r="E64" s="657">
        <v>46132</v>
      </c>
      <c r="F64" s="660">
        <v>1</v>
      </c>
      <c r="G64" s="399"/>
      <c r="H64" s="980"/>
      <c r="I64" s="400" t="s">
        <v>735</v>
      </c>
      <c r="J64" s="398" t="s">
        <v>2021</v>
      </c>
      <c r="K64" s="401"/>
      <c r="L64" s="402">
        <v>129240</v>
      </c>
      <c r="M64" s="399"/>
      <c r="N64" s="405">
        <v>46121</v>
      </c>
      <c r="O64" s="362" t="s">
        <v>1980</v>
      </c>
      <c r="P64" s="399">
        <v>46125</v>
      </c>
      <c r="Q64" s="362" t="s">
        <v>1981</v>
      </c>
      <c r="R64" s="399">
        <v>46129</v>
      </c>
      <c r="S64" s="399" t="s">
        <v>1982</v>
      </c>
      <c r="T64" s="513"/>
      <c r="U64" s="458" t="s">
        <v>2022</v>
      </c>
      <c r="V64" s="524" t="s">
        <v>2024</v>
      </c>
      <c r="W64" s="404" t="s">
        <v>2025</v>
      </c>
      <c r="X64" s="406"/>
      <c r="Y64" s="407"/>
      <c r="Z64" s="407"/>
      <c r="AA64" s="523"/>
      <c r="AB64" s="511"/>
      <c r="AC64" s="407"/>
      <c r="AD64" s="407"/>
      <c r="AE64" s="512"/>
      <c r="AF64" s="523"/>
      <c r="AG64" s="523"/>
      <c r="AH64" s="523"/>
    </row>
    <row r="65" spans="1:35" s="48" customFormat="1" ht="12.6" customHeight="1">
      <c r="A65" s="403">
        <v>286433</v>
      </c>
      <c r="B65" s="977">
        <v>360</v>
      </c>
      <c r="C65" s="978">
        <v>359</v>
      </c>
      <c r="D65" s="1027"/>
      <c r="E65" s="657">
        <v>46174</v>
      </c>
      <c r="F65" s="660">
        <v>1</v>
      </c>
      <c r="G65" s="399"/>
      <c r="H65" s="980"/>
      <c r="I65" s="400" t="s">
        <v>735</v>
      </c>
      <c r="J65" s="398" t="s">
        <v>2021</v>
      </c>
      <c r="K65" s="401"/>
      <c r="L65" s="402">
        <v>129240</v>
      </c>
      <c r="M65" s="399"/>
      <c r="N65" s="405">
        <v>46163</v>
      </c>
      <c r="O65" s="362" t="s">
        <v>1980</v>
      </c>
      <c r="P65" s="399">
        <v>46167</v>
      </c>
      <c r="Q65" s="362" t="s">
        <v>1981</v>
      </c>
      <c r="R65" s="399">
        <v>46171</v>
      </c>
      <c r="S65" s="399" t="s">
        <v>1982</v>
      </c>
      <c r="T65" s="513"/>
      <c r="U65" s="458" t="s">
        <v>2022</v>
      </c>
      <c r="V65" s="524" t="s">
        <v>2024</v>
      </c>
      <c r="W65" s="404" t="s">
        <v>2025</v>
      </c>
      <c r="X65" s="406"/>
      <c r="Y65" s="407"/>
      <c r="Z65" s="407"/>
      <c r="AA65" s="523"/>
      <c r="AB65" s="511"/>
      <c r="AC65" s="407"/>
      <c r="AD65" s="407"/>
      <c r="AE65" s="512"/>
      <c r="AF65" s="523"/>
      <c r="AG65" s="523"/>
      <c r="AH65" s="523"/>
    </row>
    <row r="66" spans="1:35" s="48" customFormat="1" ht="12.95" customHeight="1">
      <c r="A66" s="403">
        <v>222644</v>
      </c>
      <c r="B66" s="977">
        <v>288</v>
      </c>
      <c r="C66" s="978">
        <v>282</v>
      </c>
      <c r="D66" s="986"/>
      <c r="E66" s="657">
        <v>46125</v>
      </c>
      <c r="F66" s="398">
        <v>1</v>
      </c>
      <c r="G66" s="399"/>
      <c r="H66" s="980"/>
      <c r="I66" s="400" t="s">
        <v>841</v>
      </c>
      <c r="J66" s="398" t="s">
        <v>2021</v>
      </c>
      <c r="K66" s="401"/>
      <c r="L66" s="402">
        <v>81216</v>
      </c>
      <c r="M66" s="399"/>
      <c r="N66" s="405">
        <v>46111</v>
      </c>
      <c r="O66" s="362" t="s">
        <v>1980</v>
      </c>
      <c r="P66" s="399">
        <v>46115</v>
      </c>
      <c r="Q66" s="362" t="s">
        <v>1981</v>
      </c>
      <c r="R66" s="399">
        <v>46119</v>
      </c>
      <c r="S66" s="399" t="s">
        <v>1982</v>
      </c>
      <c r="T66" s="513"/>
      <c r="U66" s="458" t="s">
        <v>2022</v>
      </c>
      <c r="V66" s="489"/>
      <c r="W66" s="982"/>
      <c r="X66" s="407"/>
      <c r="Y66" s="407"/>
      <c r="Z66" s="407"/>
      <c r="AA66" s="405"/>
      <c r="AB66" s="511"/>
      <c r="AC66" s="982"/>
      <c r="AD66" s="982"/>
      <c r="AE66" s="512"/>
      <c r="AF66" s="523"/>
      <c r="AG66" s="399"/>
      <c r="AH66" s="513"/>
    </row>
    <row r="67" spans="1:35" s="48" customFormat="1" ht="12.95" customHeight="1">
      <c r="A67" s="403">
        <v>222644</v>
      </c>
      <c r="B67" s="977">
        <v>216</v>
      </c>
      <c r="C67" s="978">
        <v>282</v>
      </c>
      <c r="D67" s="986"/>
      <c r="E67" s="657">
        <v>46160</v>
      </c>
      <c r="F67" s="398">
        <v>1</v>
      </c>
      <c r="G67" s="399"/>
      <c r="H67" s="980"/>
      <c r="I67" s="400" t="s">
        <v>841</v>
      </c>
      <c r="J67" s="398" t="s">
        <v>2021</v>
      </c>
      <c r="K67" s="401"/>
      <c r="L67" s="402">
        <v>60912</v>
      </c>
      <c r="M67" s="399"/>
      <c r="N67" s="405">
        <v>46146</v>
      </c>
      <c r="O67" s="362" t="s">
        <v>1980</v>
      </c>
      <c r="P67" s="399">
        <v>46150</v>
      </c>
      <c r="Q67" s="362" t="s">
        <v>1981</v>
      </c>
      <c r="R67" s="399">
        <v>46154</v>
      </c>
      <c r="S67" s="399" t="s">
        <v>1982</v>
      </c>
      <c r="T67" s="513"/>
      <c r="U67" s="458" t="s">
        <v>2022</v>
      </c>
      <c r="V67" s="489"/>
      <c r="W67" s="982"/>
      <c r="X67" s="407"/>
      <c r="Y67" s="407"/>
      <c r="Z67" s="407"/>
      <c r="AA67" s="405"/>
      <c r="AB67" s="511"/>
      <c r="AC67" s="982"/>
      <c r="AD67" s="982"/>
      <c r="AE67" s="512"/>
      <c r="AF67" s="523"/>
      <c r="AG67" s="399"/>
      <c r="AH67" s="513"/>
    </row>
    <row r="68" spans="1:35" s="48" customFormat="1" ht="12.6" customHeight="1">
      <c r="A68" s="403">
        <v>214073</v>
      </c>
      <c r="B68" s="977">
        <v>120</v>
      </c>
      <c r="C68" s="978">
        <v>1022</v>
      </c>
      <c r="D68" s="986"/>
      <c r="E68" s="657"/>
      <c r="F68" s="660">
        <v>1</v>
      </c>
      <c r="G68" s="399"/>
      <c r="H68" s="980"/>
      <c r="I68" s="400" t="s">
        <v>259</v>
      </c>
      <c r="J68" s="398" t="s">
        <v>1979</v>
      </c>
      <c r="K68" s="401"/>
      <c r="L68" s="402">
        <v>122640</v>
      </c>
      <c r="M68" s="399"/>
      <c r="N68" s="399">
        <v>45884</v>
      </c>
      <c r="O68" s="362" t="s">
        <v>2026</v>
      </c>
      <c r="P68" s="399">
        <v>-7</v>
      </c>
      <c r="Q68" s="362" t="s">
        <v>1981</v>
      </c>
      <c r="R68" s="399">
        <v>-3</v>
      </c>
      <c r="S68" s="399" t="s">
        <v>1982</v>
      </c>
      <c r="T68" s="513"/>
      <c r="U68" s="458" t="s">
        <v>2022</v>
      </c>
      <c r="V68" s="489"/>
      <c r="W68" s="404"/>
      <c r="X68" s="982"/>
      <c r="Y68" s="982"/>
      <c r="Z68" s="982"/>
      <c r="AA68" s="399"/>
      <c r="AB68" s="511"/>
      <c r="AC68" s="982"/>
      <c r="AD68" s="514"/>
      <c r="AE68" s="512"/>
      <c r="AF68" s="523"/>
      <c r="AG68" s="523"/>
      <c r="AH68" s="523"/>
      <c r="AI68" s="1030"/>
    </row>
    <row r="69" spans="1:35" s="48" customFormat="1" ht="12.6" customHeight="1">
      <c r="A69" s="403">
        <v>214073</v>
      </c>
      <c r="B69" s="977">
        <v>120</v>
      </c>
      <c r="C69" s="978">
        <v>1022</v>
      </c>
      <c r="D69" s="986"/>
      <c r="E69" s="657"/>
      <c r="F69" s="660">
        <v>1</v>
      </c>
      <c r="G69" s="399"/>
      <c r="H69" s="980"/>
      <c r="I69" s="400" t="s">
        <v>259</v>
      </c>
      <c r="J69" s="398" t="s">
        <v>1979</v>
      </c>
      <c r="K69" s="401"/>
      <c r="L69" s="402">
        <v>122640</v>
      </c>
      <c r="M69" s="399"/>
      <c r="N69" s="399">
        <v>45884</v>
      </c>
      <c r="O69" s="362" t="s">
        <v>2026</v>
      </c>
      <c r="P69" s="399">
        <v>-7</v>
      </c>
      <c r="Q69" s="362" t="s">
        <v>1981</v>
      </c>
      <c r="R69" s="399">
        <v>-3</v>
      </c>
      <c r="S69" s="399" t="s">
        <v>1982</v>
      </c>
      <c r="T69" s="513"/>
      <c r="U69" s="458" t="s">
        <v>2022</v>
      </c>
      <c r="V69" s="489"/>
      <c r="W69" s="404"/>
      <c r="X69" s="982"/>
      <c r="Y69" s="982"/>
      <c r="Z69" s="982"/>
      <c r="AA69" s="399"/>
      <c r="AB69" s="511"/>
      <c r="AC69" s="982"/>
      <c r="AD69" s="514"/>
      <c r="AE69" s="512"/>
      <c r="AF69" s="523"/>
      <c r="AG69" s="523"/>
      <c r="AH69" s="523"/>
      <c r="AI69" s="1030"/>
    </row>
    <row r="70" spans="1:35" s="48" customFormat="1" ht="12.6" customHeight="1">
      <c r="A70" s="403">
        <v>214073</v>
      </c>
      <c r="B70" s="977">
        <v>120</v>
      </c>
      <c r="C70" s="978">
        <v>1022</v>
      </c>
      <c r="D70" s="986"/>
      <c r="E70" s="657"/>
      <c r="F70" s="660">
        <v>1</v>
      </c>
      <c r="G70" s="399"/>
      <c r="H70" s="980"/>
      <c r="I70" s="400" t="s">
        <v>259</v>
      </c>
      <c r="J70" s="398" t="s">
        <v>1979</v>
      </c>
      <c r="K70" s="401"/>
      <c r="L70" s="402">
        <v>122640</v>
      </c>
      <c r="M70" s="399"/>
      <c r="N70" s="405">
        <v>-11</v>
      </c>
      <c r="O70" s="362" t="s">
        <v>2026</v>
      </c>
      <c r="P70" s="399">
        <v>-7</v>
      </c>
      <c r="Q70" s="362" t="s">
        <v>1981</v>
      </c>
      <c r="R70" s="399">
        <v>-3</v>
      </c>
      <c r="S70" s="399" t="s">
        <v>1982</v>
      </c>
      <c r="T70" s="513"/>
      <c r="U70" s="458" t="s">
        <v>2022</v>
      </c>
      <c r="V70" s="489"/>
      <c r="W70" s="404"/>
      <c r="X70" s="982"/>
      <c r="Y70" s="982"/>
      <c r="Z70" s="982"/>
      <c r="AA70" s="523"/>
      <c r="AB70" s="511"/>
      <c r="AC70" s="982"/>
      <c r="AD70" s="982"/>
      <c r="AE70" s="512"/>
      <c r="AF70" s="523"/>
      <c r="AG70" s="523"/>
      <c r="AH70" s="523"/>
    </row>
    <row r="71" spans="1:35" s="48" customFormat="1" ht="12.6" customHeight="1">
      <c r="A71" s="403">
        <v>201900</v>
      </c>
      <c r="B71" s="977">
        <v>1000</v>
      </c>
      <c r="C71" s="978">
        <v>624</v>
      </c>
      <c r="D71" s="986"/>
      <c r="E71" s="657"/>
      <c r="F71" s="660">
        <v>1</v>
      </c>
      <c r="G71" s="399"/>
      <c r="H71" s="980"/>
      <c r="I71" s="400" t="s">
        <v>327</v>
      </c>
      <c r="J71" s="398" t="s">
        <v>1979</v>
      </c>
      <c r="K71" s="401"/>
      <c r="L71" s="402">
        <v>624000</v>
      </c>
      <c r="M71" s="399"/>
      <c r="N71" s="405">
        <v>-11</v>
      </c>
      <c r="O71" s="362" t="s">
        <v>1980</v>
      </c>
      <c r="P71" s="399">
        <v>-7</v>
      </c>
      <c r="Q71" s="362" t="s">
        <v>1981</v>
      </c>
      <c r="R71" s="399">
        <v>-3</v>
      </c>
      <c r="S71" s="399" t="s">
        <v>1982</v>
      </c>
      <c r="T71" s="513"/>
      <c r="U71" s="458" t="s">
        <v>2022</v>
      </c>
      <c r="V71" s="489"/>
      <c r="W71" s="404"/>
      <c r="X71" s="982"/>
      <c r="Y71" s="982"/>
      <c r="Z71" s="982"/>
      <c r="AA71" s="523"/>
      <c r="AB71" s="511"/>
      <c r="AC71" s="982"/>
      <c r="AD71" s="982"/>
      <c r="AE71" s="512"/>
      <c r="AF71" s="523"/>
      <c r="AG71" s="523"/>
      <c r="AH71" s="523"/>
    </row>
    <row r="72" spans="1:35" s="48" customFormat="1" ht="12.6" customHeight="1">
      <c r="A72" s="403">
        <v>201900</v>
      </c>
      <c r="B72" s="977">
        <v>1000</v>
      </c>
      <c r="C72" s="978">
        <v>624</v>
      </c>
      <c r="D72" s="986"/>
      <c r="E72" s="657"/>
      <c r="F72" s="660">
        <v>1</v>
      </c>
      <c r="G72" s="399"/>
      <c r="H72" s="980"/>
      <c r="I72" s="400" t="s">
        <v>327</v>
      </c>
      <c r="J72" s="398" t="s">
        <v>1979</v>
      </c>
      <c r="K72" s="401"/>
      <c r="L72" s="402">
        <v>624000</v>
      </c>
      <c r="M72" s="399"/>
      <c r="N72" s="405">
        <v>-11</v>
      </c>
      <c r="O72" s="362" t="s">
        <v>1980</v>
      </c>
      <c r="P72" s="399">
        <v>-7</v>
      </c>
      <c r="Q72" s="362" t="s">
        <v>1981</v>
      </c>
      <c r="R72" s="399">
        <v>-3</v>
      </c>
      <c r="S72" s="399" t="s">
        <v>1982</v>
      </c>
      <c r="T72" s="513"/>
      <c r="U72" s="458" t="s">
        <v>2022</v>
      </c>
      <c r="V72" s="489"/>
      <c r="W72" s="404"/>
      <c r="X72" s="982"/>
      <c r="Y72" s="982"/>
      <c r="Z72" s="982"/>
      <c r="AA72" s="523"/>
      <c r="AB72" s="511"/>
      <c r="AC72" s="982"/>
      <c r="AD72" s="982"/>
      <c r="AE72" s="512"/>
      <c r="AF72" s="523"/>
      <c r="AG72" s="523"/>
      <c r="AH72" s="523"/>
    </row>
    <row r="73" spans="1:35" s="48" customFormat="1" ht="12.6" customHeight="1">
      <c r="A73" s="403">
        <v>201900</v>
      </c>
      <c r="B73" s="977">
        <v>1000</v>
      </c>
      <c r="C73" s="978">
        <v>624</v>
      </c>
      <c r="D73" s="986"/>
      <c r="E73" s="657"/>
      <c r="F73" s="660">
        <v>1</v>
      </c>
      <c r="G73" s="399"/>
      <c r="H73" s="980"/>
      <c r="I73" s="400" t="s">
        <v>327</v>
      </c>
      <c r="J73" s="398" t="s">
        <v>1979</v>
      </c>
      <c r="K73" s="401"/>
      <c r="L73" s="402">
        <v>624000</v>
      </c>
      <c r="M73" s="399"/>
      <c r="N73" s="405">
        <v>-11</v>
      </c>
      <c r="O73" s="362" t="s">
        <v>1980</v>
      </c>
      <c r="P73" s="399">
        <v>-7</v>
      </c>
      <c r="Q73" s="362" t="s">
        <v>1981</v>
      </c>
      <c r="R73" s="399">
        <v>-3</v>
      </c>
      <c r="S73" s="399" t="s">
        <v>1982</v>
      </c>
      <c r="T73" s="513"/>
      <c r="U73" s="458" t="s">
        <v>2022</v>
      </c>
      <c r="V73" s="489"/>
      <c r="W73" s="404"/>
      <c r="X73" s="982"/>
      <c r="Y73" s="982"/>
      <c r="Z73" s="982"/>
      <c r="AA73" s="523"/>
      <c r="AB73" s="511"/>
      <c r="AC73" s="982"/>
      <c r="AD73" s="982"/>
      <c r="AE73" s="512"/>
      <c r="AF73" s="523"/>
      <c r="AG73" s="523"/>
      <c r="AH73" s="523"/>
    </row>
    <row r="74" spans="1:35" s="48" customFormat="1" ht="11.25" customHeight="1">
      <c r="A74" s="403">
        <v>201900</v>
      </c>
      <c r="B74" s="977">
        <v>1000</v>
      </c>
      <c r="C74" s="978">
        <v>624</v>
      </c>
      <c r="D74" s="986"/>
      <c r="E74" s="657"/>
      <c r="F74" s="660">
        <v>1</v>
      </c>
      <c r="G74" s="399"/>
      <c r="H74" s="980"/>
      <c r="I74" s="400" t="s">
        <v>327</v>
      </c>
      <c r="J74" s="398" t="s">
        <v>1979</v>
      </c>
      <c r="K74" s="401"/>
      <c r="L74" s="402">
        <v>624000</v>
      </c>
      <c r="M74" s="399"/>
      <c r="N74" s="405">
        <v>-11</v>
      </c>
      <c r="O74" s="362" t="s">
        <v>1980</v>
      </c>
      <c r="P74" s="399">
        <v>-7</v>
      </c>
      <c r="Q74" s="362" t="s">
        <v>1981</v>
      </c>
      <c r="R74" s="399">
        <v>-3</v>
      </c>
      <c r="S74" s="399" t="s">
        <v>1982</v>
      </c>
      <c r="T74" s="513"/>
      <c r="U74" s="458" t="s">
        <v>2022</v>
      </c>
      <c r="V74" s="489"/>
      <c r="W74" s="404"/>
      <c r="X74" s="982"/>
      <c r="Y74" s="982"/>
      <c r="Z74" s="982"/>
      <c r="AA74" s="523"/>
      <c r="AB74" s="511"/>
      <c r="AC74" s="982"/>
      <c r="AD74" s="982"/>
      <c r="AE74" s="512"/>
      <c r="AF74" s="523"/>
      <c r="AG74" s="523"/>
      <c r="AH74" s="523"/>
    </row>
    <row r="75" spans="1:35" s="48" customFormat="1" ht="12.6" customHeight="1">
      <c r="A75" s="403">
        <v>201900</v>
      </c>
      <c r="B75" s="977">
        <v>1000</v>
      </c>
      <c r="C75" s="978">
        <v>624</v>
      </c>
      <c r="D75" s="986"/>
      <c r="E75" s="657"/>
      <c r="F75" s="660">
        <v>1</v>
      </c>
      <c r="G75" s="399"/>
      <c r="H75" s="980"/>
      <c r="I75" s="400" t="s">
        <v>327</v>
      </c>
      <c r="J75" s="398" t="s">
        <v>1979</v>
      </c>
      <c r="K75" s="401"/>
      <c r="L75" s="402">
        <v>624000</v>
      </c>
      <c r="M75" s="399"/>
      <c r="N75" s="405">
        <v>-11</v>
      </c>
      <c r="O75" s="362" t="s">
        <v>1980</v>
      </c>
      <c r="P75" s="399">
        <v>-7</v>
      </c>
      <c r="Q75" s="362" t="s">
        <v>1981</v>
      </c>
      <c r="R75" s="399">
        <v>-3</v>
      </c>
      <c r="S75" s="399" t="s">
        <v>1982</v>
      </c>
      <c r="T75" s="513"/>
      <c r="U75" s="458" t="s">
        <v>2022</v>
      </c>
      <c r="V75" s="489"/>
      <c r="W75" s="404"/>
      <c r="X75" s="982"/>
      <c r="Y75" s="982"/>
      <c r="Z75" s="982"/>
      <c r="AA75" s="523"/>
      <c r="AB75" s="511"/>
      <c r="AC75" s="982"/>
      <c r="AD75" s="982"/>
      <c r="AE75" s="512"/>
      <c r="AF75" s="523"/>
      <c r="AG75" s="523"/>
      <c r="AH75" s="523"/>
    </row>
    <row r="76" spans="1:35" s="48" customFormat="1" ht="12.6" customHeight="1">
      <c r="A76" s="403">
        <v>201900</v>
      </c>
      <c r="B76" s="977">
        <v>1000</v>
      </c>
      <c r="C76" s="978">
        <v>624</v>
      </c>
      <c r="D76" s="986"/>
      <c r="E76" s="657"/>
      <c r="F76" s="660">
        <v>1</v>
      </c>
      <c r="G76" s="399"/>
      <c r="H76" s="980"/>
      <c r="I76" s="400" t="s">
        <v>327</v>
      </c>
      <c r="J76" s="398" t="s">
        <v>1979</v>
      </c>
      <c r="K76" s="401"/>
      <c r="L76" s="402">
        <v>624000</v>
      </c>
      <c r="M76" s="399"/>
      <c r="N76" s="405">
        <v>-11</v>
      </c>
      <c r="O76" s="362" t="s">
        <v>1980</v>
      </c>
      <c r="P76" s="399">
        <v>-7</v>
      </c>
      <c r="Q76" s="362" t="s">
        <v>1981</v>
      </c>
      <c r="R76" s="399">
        <v>-3</v>
      </c>
      <c r="S76" s="399" t="s">
        <v>1982</v>
      </c>
      <c r="T76" s="513"/>
      <c r="U76" s="458" t="s">
        <v>2022</v>
      </c>
      <c r="V76" s="489"/>
      <c r="W76" s="404"/>
      <c r="X76" s="982"/>
      <c r="Y76" s="982"/>
      <c r="Z76" s="982"/>
      <c r="AA76" s="523"/>
      <c r="AB76" s="511"/>
      <c r="AC76" s="982"/>
      <c r="AD76" s="982"/>
      <c r="AE76" s="512"/>
      <c r="AF76" s="523"/>
      <c r="AG76" s="523"/>
      <c r="AH76" s="523"/>
    </row>
    <row r="77" spans="1:35" s="48" customFormat="1" ht="12" customHeight="1">
      <c r="A77" s="403">
        <v>199024</v>
      </c>
      <c r="B77" s="977">
        <v>1020</v>
      </c>
      <c r="C77" s="978">
        <v>532</v>
      </c>
      <c r="D77" s="986"/>
      <c r="E77" s="657"/>
      <c r="F77" s="660">
        <v>1</v>
      </c>
      <c r="G77" s="399"/>
      <c r="H77" s="980"/>
      <c r="I77" s="400" t="s">
        <v>338</v>
      </c>
      <c r="J77" s="398" t="s">
        <v>1979</v>
      </c>
      <c r="K77" s="401"/>
      <c r="L77" s="402">
        <v>542640</v>
      </c>
      <c r="M77" s="399"/>
      <c r="N77" s="405">
        <v>-11</v>
      </c>
      <c r="O77" s="362" t="s">
        <v>1980</v>
      </c>
      <c r="P77" s="399">
        <v>-7</v>
      </c>
      <c r="Q77" s="362" t="s">
        <v>1981</v>
      </c>
      <c r="R77" s="399">
        <v>-3</v>
      </c>
      <c r="S77" s="399" t="s">
        <v>1982</v>
      </c>
      <c r="T77" s="513"/>
      <c r="U77" s="458" t="s">
        <v>2022</v>
      </c>
      <c r="V77" s="400"/>
      <c r="W77" s="404"/>
      <c r="X77" s="406"/>
      <c r="Y77" s="407"/>
      <c r="Z77" s="407"/>
      <c r="AA77" s="523"/>
      <c r="AB77" s="511"/>
      <c r="AC77" s="407"/>
      <c r="AD77" s="407"/>
      <c r="AE77" s="512"/>
      <c r="AF77" s="523"/>
      <c r="AG77" s="523"/>
      <c r="AH77" s="523"/>
    </row>
    <row r="78" spans="1:35" s="48" customFormat="1" ht="12" customHeight="1">
      <c r="A78" s="403">
        <v>199024</v>
      </c>
      <c r="B78" s="977">
        <v>480</v>
      </c>
      <c r="C78" s="978">
        <v>532</v>
      </c>
      <c r="D78" s="986"/>
      <c r="E78" s="657">
        <v>46146</v>
      </c>
      <c r="F78" s="660">
        <v>1</v>
      </c>
      <c r="G78" s="399"/>
      <c r="H78" s="980"/>
      <c r="I78" s="400" t="s">
        <v>338</v>
      </c>
      <c r="J78" s="398" t="s">
        <v>1979</v>
      </c>
      <c r="K78" s="401"/>
      <c r="L78" s="402">
        <v>255360</v>
      </c>
      <c r="M78" s="399"/>
      <c r="N78" s="405">
        <v>46135</v>
      </c>
      <c r="O78" s="362" t="s">
        <v>1980</v>
      </c>
      <c r="P78" s="399">
        <v>46139</v>
      </c>
      <c r="Q78" s="362" t="s">
        <v>1981</v>
      </c>
      <c r="R78" s="399">
        <v>46143</v>
      </c>
      <c r="S78" s="399" t="s">
        <v>1982</v>
      </c>
      <c r="T78" s="513"/>
      <c r="U78" s="458" t="s">
        <v>2022</v>
      </c>
      <c r="V78" s="400"/>
      <c r="W78" s="404"/>
      <c r="X78" s="406"/>
      <c r="Y78" s="407"/>
      <c r="Z78" s="407"/>
      <c r="AA78" s="523"/>
      <c r="AB78" s="511"/>
      <c r="AC78" s="407"/>
      <c r="AD78" s="407"/>
      <c r="AE78" s="512"/>
      <c r="AF78" s="523"/>
      <c r="AG78" s="523"/>
      <c r="AH78" s="523"/>
    </row>
    <row r="79" spans="1:35" s="48" customFormat="1" ht="12.6" customHeight="1">
      <c r="A79" s="651">
        <v>212476</v>
      </c>
      <c r="B79" s="977">
        <v>120</v>
      </c>
      <c r="C79" s="978">
        <v>1321</v>
      </c>
      <c r="D79" s="993"/>
      <c r="E79" s="657"/>
      <c r="F79" s="660">
        <v>1</v>
      </c>
      <c r="G79" s="399"/>
      <c r="H79" s="980"/>
      <c r="I79" s="400" t="s">
        <v>198</v>
      </c>
      <c r="J79" s="398" t="s">
        <v>1979</v>
      </c>
      <c r="K79" s="401"/>
      <c r="L79" s="402">
        <v>158520</v>
      </c>
      <c r="M79" s="399"/>
      <c r="N79" s="405">
        <v>-11</v>
      </c>
      <c r="O79" s="362" t="s">
        <v>1980</v>
      </c>
      <c r="P79" s="399">
        <v>-7</v>
      </c>
      <c r="Q79" s="362" t="s">
        <v>1981</v>
      </c>
      <c r="R79" s="399">
        <v>-3</v>
      </c>
      <c r="S79" s="399" t="s">
        <v>1982</v>
      </c>
      <c r="T79" s="513"/>
      <c r="U79" s="458" t="s">
        <v>2022</v>
      </c>
      <c r="V79" s="400"/>
      <c r="W79" s="404"/>
      <c r="X79" s="406"/>
      <c r="Y79" s="407"/>
      <c r="Z79" s="407"/>
      <c r="AA79" s="523"/>
      <c r="AB79" s="511"/>
      <c r="AC79" s="407"/>
      <c r="AD79" s="407"/>
      <c r="AE79" s="512"/>
      <c r="AF79" s="523"/>
      <c r="AG79" s="523"/>
      <c r="AH79" s="523"/>
    </row>
    <row r="80" spans="1:35" s="48" customFormat="1" ht="12.6" customHeight="1">
      <c r="A80" s="651">
        <v>212476</v>
      </c>
      <c r="B80" s="977">
        <v>120</v>
      </c>
      <c r="C80" s="978">
        <v>1321</v>
      </c>
      <c r="D80" s="993"/>
      <c r="E80" s="657"/>
      <c r="F80" s="660">
        <v>1</v>
      </c>
      <c r="G80" s="399"/>
      <c r="H80" s="980"/>
      <c r="I80" s="400" t="s">
        <v>198</v>
      </c>
      <c r="J80" s="398" t="s">
        <v>1979</v>
      </c>
      <c r="K80" s="401"/>
      <c r="L80" s="402">
        <v>158520</v>
      </c>
      <c r="M80" s="399"/>
      <c r="N80" s="405">
        <v>-11</v>
      </c>
      <c r="O80" s="362" t="s">
        <v>1980</v>
      </c>
      <c r="P80" s="399">
        <v>-7</v>
      </c>
      <c r="Q80" s="362" t="s">
        <v>1981</v>
      </c>
      <c r="R80" s="399">
        <v>-3</v>
      </c>
      <c r="S80" s="399" t="s">
        <v>1982</v>
      </c>
      <c r="T80" s="513"/>
      <c r="U80" s="458" t="s">
        <v>2022</v>
      </c>
      <c r="V80" s="400"/>
      <c r="W80" s="404"/>
      <c r="X80" s="406"/>
      <c r="Y80" s="407"/>
      <c r="Z80" s="407"/>
      <c r="AA80" s="523"/>
      <c r="AB80" s="511"/>
      <c r="AC80" s="407"/>
      <c r="AD80" s="407"/>
      <c r="AE80" s="512"/>
      <c r="AF80" s="523"/>
      <c r="AG80" s="523"/>
      <c r="AH80" s="523"/>
    </row>
    <row r="81" spans="1:34" s="48" customFormat="1" ht="12.6" customHeight="1">
      <c r="A81" s="403">
        <v>220801</v>
      </c>
      <c r="B81" s="977">
        <v>120</v>
      </c>
      <c r="C81" s="978">
        <v>1351</v>
      </c>
      <c r="D81" s="986"/>
      <c r="E81" s="657">
        <v>46118</v>
      </c>
      <c r="F81" s="660">
        <v>1</v>
      </c>
      <c r="G81" s="399"/>
      <c r="H81" s="980"/>
      <c r="I81" s="400" t="s">
        <v>211</v>
      </c>
      <c r="J81" s="398" t="s">
        <v>1979</v>
      </c>
      <c r="K81" s="401"/>
      <c r="L81" s="402">
        <v>162120</v>
      </c>
      <c r="M81" s="399"/>
      <c r="N81" s="405">
        <v>46107</v>
      </c>
      <c r="O81" s="362" t="s">
        <v>1980</v>
      </c>
      <c r="P81" s="399">
        <v>46111</v>
      </c>
      <c r="Q81" s="362" t="s">
        <v>1981</v>
      </c>
      <c r="R81" s="399">
        <v>46115</v>
      </c>
      <c r="S81" s="399" t="s">
        <v>1982</v>
      </c>
      <c r="T81" s="513"/>
      <c r="U81" s="458" t="s">
        <v>2022</v>
      </c>
      <c r="V81" s="400"/>
      <c r="W81" s="404"/>
      <c r="X81" s="406"/>
      <c r="Y81" s="407"/>
      <c r="Z81" s="407"/>
      <c r="AA81" s="523"/>
      <c r="AB81" s="511"/>
      <c r="AC81" s="407"/>
      <c r="AD81" s="407"/>
      <c r="AE81" s="512"/>
      <c r="AF81" s="523"/>
      <c r="AG81" s="523"/>
      <c r="AH81" s="523"/>
    </row>
    <row r="82" spans="1:34" s="48" customFormat="1" ht="12.6" customHeight="1">
      <c r="A82" s="403">
        <v>220803</v>
      </c>
      <c r="B82" s="977">
        <v>120</v>
      </c>
      <c r="C82" s="978">
        <v>1125</v>
      </c>
      <c r="D82" s="986"/>
      <c r="E82" s="657">
        <v>46174</v>
      </c>
      <c r="F82" s="660">
        <v>1</v>
      </c>
      <c r="G82" s="399"/>
      <c r="H82" s="980"/>
      <c r="I82" s="400" t="s">
        <v>217</v>
      </c>
      <c r="J82" s="398" t="s">
        <v>1979</v>
      </c>
      <c r="K82" s="401"/>
      <c r="L82" s="402">
        <v>135000</v>
      </c>
      <c r="M82" s="399"/>
      <c r="N82" s="405">
        <v>46163</v>
      </c>
      <c r="O82" s="362" t="s">
        <v>1980</v>
      </c>
      <c r="P82" s="399">
        <v>46167</v>
      </c>
      <c r="Q82" s="362" t="s">
        <v>1981</v>
      </c>
      <c r="R82" s="399">
        <v>46171</v>
      </c>
      <c r="S82" s="399" t="s">
        <v>1982</v>
      </c>
      <c r="T82" s="513"/>
      <c r="U82" s="458" t="s">
        <v>2022</v>
      </c>
      <c r="V82" s="400"/>
      <c r="W82" s="404"/>
      <c r="X82" s="406"/>
      <c r="Y82" s="407"/>
      <c r="Z82" s="407"/>
      <c r="AA82" s="523"/>
      <c r="AB82" s="511"/>
      <c r="AC82" s="407"/>
      <c r="AD82" s="407"/>
      <c r="AE82" s="512"/>
      <c r="AF82" s="523"/>
      <c r="AG82" s="523"/>
      <c r="AH82" s="523"/>
    </row>
    <row r="83" spans="1:34" s="48" customFormat="1" ht="12.6" customHeight="1">
      <c r="A83" s="403">
        <v>220803</v>
      </c>
      <c r="B83" s="977">
        <v>120</v>
      </c>
      <c r="C83" s="978">
        <v>1125</v>
      </c>
      <c r="D83" s="986"/>
      <c r="E83" s="657"/>
      <c r="F83" s="660">
        <v>1</v>
      </c>
      <c r="G83" s="399"/>
      <c r="H83" s="980"/>
      <c r="I83" s="400" t="s">
        <v>217</v>
      </c>
      <c r="J83" s="398" t="s">
        <v>1979</v>
      </c>
      <c r="K83" s="401"/>
      <c r="L83" s="402">
        <v>135000</v>
      </c>
      <c r="M83" s="399"/>
      <c r="N83" s="405">
        <v>-11</v>
      </c>
      <c r="O83" s="362" t="s">
        <v>1980</v>
      </c>
      <c r="P83" s="399">
        <v>-7</v>
      </c>
      <c r="Q83" s="362" t="s">
        <v>1981</v>
      </c>
      <c r="R83" s="399">
        <v>-3</v>
      </c>
      <c r="S83" s="399" t="s">
        <v>1982</v>
      </c>
      <c r="T83" s="513"/>
      <c r="U83" s="458" t="s">
        <v>2022</v>
      </c>
      <c r="V83" s="400"/>
      <c r="W83" s="404"/>
      <c r="X83" s="406"/>
      <c r="Y83" s="407"/>
      <c r="Z83" s="407"/>
      <c r="AA83" s="523"/>
      <c r="AB83" s="511"/>
      <c r="AC83" s="407"/>
      <c r="AD83" s="407"/>
      <c r="AE83" s="512"/>
      <c r="AF83" s="523"/>
      <c r="AG83" s="523"/>
      <c r="AH83" s="523"/>
    </row>
    <row r="84" spans="1:34" s="48" customFormat="1" ht="12.6" customHeight="1">
      <c r="A84" s="403">
        <v>223074</v>
      </c>
      <c r="B84" s="977">
        <v>1000</v>
      </c>
      <c r="C84" s="978">
        <v>453.25</v>
      </c>
      <c r="D84" s="986"/>
      <c r="E84" s="657"/>
      <c r="F84" s="660">
        <v>0</v>
      </c>
      <c r="G84" s="399"/>
      <c r="H84" s="980"/>
      <c r="I84" s="400" t="s">
        <v>570</v>
      </c>
      <c r="J84" s="398" t="s">
        <v>2027</v>
      </c>
      <c r="K84" s="401"/>
      <c r="L84" s="402">
        <v>453250</v>
      </c>
      <c r="M84" s="399"/>
      <c r="N84" s="405">
        <v>-11</v>
      </c>
      <c r="O84" s="362" t="s">
        <v>2028</v>
      </c>
      <c r="P84" s="399">
        <v>-7</v>
      </c>
      <c r="Q84" s="362" t="s">
        <v>2029</v>
      </c>
      <c r="R84" s="399">
        <v>-3</v>
      </c>
      <c r="S84" s="399" t="s">
        <v>1982</v>
      </c>
      <c r="T84" s="513"/>
      <c r="U84" s="458" t="s">
        <v>2022</v>
      </c>
      <c r="V84" s="400"/>
      <c r="W84" s="404"/>
      <c r="X84" s="406"/>
      <c r="Y84" s="407"/>
      <c r="Z84" s="407"/>
      <c r="AA84" s="523"/>
      <c r="AB84" s="511"/>
      <c r="AC84" s="407"/>
      <c r="AD84" s="407"/>
      <c r="AE84" s="512"/>
      <c r="AF84" s="523"/>
      <c r="AG84" s="523"/>
      <c r="AH84" s="523"/>
    </row>
    <row r="85" spans="1:34" s="48" customFormat="1" ht="16.5">
      <c r="A85" s="403">
        <v>223065</v>
      </c>
      <c r="B85" s="977">
        <v>1000</v>
      </c>
      <c r="C85" s="978">
        <v>308.25</v>
      </c>
      <c r="D85" s="986"/>
      <c r="E85" s="657"/>
      <c r="F85" s="660">
        <v>0</v>
      </c>
      <c r="G85" s="399"/>
      <c r="H85" s="980"/>
      <c r="I85" s="400" t="s">
        <v>670</v>
      </c>
      <c r="J85" s="398" t="s">
        <v>2027</v>
      </c>
      <c r="K85" s="401"/>
      <c r="L85" s="402">
        <v>308250</v>
      </c>
      <c r="M85" s="399"/>
      <c r="N85" s="405">
        <v>-11</v>
      </c>
      <c r="O85" s="362" t="s">
        <v>2028</v>
      </c>
      <c r="P85" s="399">
        <v>-7</v>
      </c>
      <c r="Q85" s="362" t="s">
        <v>2030</v>
      </c>
      <c r="R85" s="399">
        <v>-3</v>
      </c>
      <c r="S85" s="399" t="s">
        <v>1982</v>
      </c>
      <c r="T85" s="513"/>
      <c r="U85" s="458" t="s">
        <v>2022</v>
      </c>
      <c r="V85" s="400"/>
      <c r="W85" s="404"/>
      <c r="X85" s="406"/>
      <c r="Y85" s="407"/>
      <c r="Z85" s="407"/>
      <c r="AA85" s="405"/>
      <c r="AB85" s="511"/>
      <c r="AC85" s="407"/>
      <c r="AD85" s="407"/>
      <c r="AE85" s="512"/>
      <c r="AF85" s="523"/>
      <c r="AG85" s="399"/>
      <c r="AH85" s="397"/>
    </row>
    <row r="86" spans="1:34" s="48" customFormat="1" ht="12.6" customHeight="1">
      <c r="A86" s="458">
        <v>295632</v>
      </c>
      <c r="B86" s="977">
        <v>100</v>
      </c>
      <c r="C86" s="978">
        <v>800</v>
      </c>
      <c r="D86" s="986"/>
      <c r="E86" s="657">
        <v>46118</v>
      </c>
      <c r="F86" s="398">
        <v>1</v>
      </c>
      <c r="G86" s="399"/>
      <c r="H86" s="980"/>
      <c r="I86" s="400" t="s">
        <v>437</v>
      </c>
      <c r="J86" s="398" t="s">
        <v>2021</v>
      </c>
      <c r="K86" s="401"/>
      <c r="L86" s="402">
        <v>80000</v>
      </c>
      <c r="M86" s="399"/>
      <c r="N86" s="405">
        <v>46107</v>
      </c>
      <c r="O86" s="362" t="s">
        <v>1980</v>
      </c>
      <c r="P86" s="399">
        <v>46111</v>
      </c>
      <c r="Q86" s="362" t="s">
        <v>1981</v>
      </c>
      <c r="R86" s="399">
        <v>46115</v>
      </c>
      <c r="S86" s="399" t="s">
        <v>1982</v>
      </c>
      <c r="T86" s="513"/>
      <c r="U86" s="458" t="s">
        <v>2022</v>
      </c>
      <c r="V86" s="400"/>
      <c r="W86" s="404"/>
      <c r="X86" s="406"/>
      <c r="Y86" s="407"/>
      <c r="Z86" s="407"/>
      <c r="AA86" s="523"/>
      <c r="AB86" s="511"/>
      <c r="AC86" s="407"/>
      <c r="AD86" s="407"/>
      <c r="AE86" s="512"/>
      <c r="AF86" s="523"/>
      <c r="AG86" s="523"/>
      <c r="AH86" s="523"/>
    </row>
    <row r="87" spans="1:34" s="48" customFormat="1" ht="12.6" customHeight="1">
      <c r="A87" s="458">
        <v>295634</v>
      </c>
      <c r="B87" s="977">
        <v>100</v>
      </c>
      <c r="C87" s="978">
        <v>1250</v>
      </c>
      <c r="D87" s="986"/>
      <c r="E87" s="657">
        <v>46132</v>
      </c>
      <c r="F87" s="398">
        <v>1</v>
      </c>
      <c r="G87" s="399"/>
      <c r="H87" s="980"/>
      <c r="I87" s="400" t="s">
        <v>429</v>
      </c>
      <c r="J87" s="398" t="s">
        <v>2021</v>
      </c>
      <c r="K87" s="401"/>
      <c r="L87" s="402">
        <v>125000</v>
      </c>
      <c r="M87" s="399"/>
      <c r="N87" s="405">
        <v>46121</v>
      </c>
      <c r="O87" s="362" t="s">
        <v>1980</v>
      </c>
      <c r="P87" s="399">
        <v>46125</v>
      </c>
      <c r="Q87" s="362" t="s">
        <v>1981</v>
      </c>
      <c r="R87" s="399">
        <v>46129</v>
      </c>
      <c r="S87" s="399" t="s">
        <v>1982</v>
      </c>
      <c r="T87" s="513"/>
      <c r="U87" s="458" t="s">
        <v>2022</v>
      </c>
      <c r="V87" s="400"/>
      <c r="W87" s="404"/>
      <c r="X87" s="406"/>
      <c r="Y87" s="407"/>
      <c r="Z87" s="407"/>
      <c r="AA87" s="523"/>
      <c r="AB87" s="511"/>
      <c r="AC87" s="407"/>
      <c r="AD87" s="407"/>
      <c r="AE87" s="512"/>
      <c r="AF87" s="523"/>
      <c r="AG87" s="523"/>
      <c r="AH87" s="523"/>
    </row>
    <row r="88" spans="1:34" s="48" customFormat="1" ht="12.6" customHeight="1">
      <c r="A88" s="458">
        <v>295636</v>
      </c>
      <c r="B88" s="977">
        <v>100</v>
      </c>
      <c r="C88" s="978">
        <v>940</v>
      </c>
      <c r="D88" s="986"/>
      <c r="E88" s="657">
        <v>46132</v>
      </c>
      <c r="F88" s="398">
        <v>1</v>
      </c>
      <c r="G88" s="399"/>
      <c r="H88" s="980"/>
      <c r="I88" s="400" t="s">
        <v>561</v>
      </c>
      <c r="J88" s="398" t="s">
        <v>2021</v>
      </c>
      <c r="K88" s="401"/>
      <c r="L88" s="402">
        <v>94000</v>
      </c>
      <c r="M88" s="399"/>
      <c r="N88" s="405">
        <v>46121</v>
      </c>
      <c r="O88" s="362" t="s">
        <v>1980</v>
      </c>
      <c r="P88" s="399">
        <v>46125</v>
      </c>
      <c r="Q88" s="362" t="s">
        <v>1981</v>
      </c>
      <c r="R88" s="399">
        <v>46129</v>
      </c>
      <c r="S88" s="399" t="s">
        <v>1982</v>
      </c>
      <c r="T88" s="513"/>
      <c r="U88" s="458" t="s">
        <v>2022</v>
      </c>
      <c r="V88" s="400"/>
      <c r="W88" s="404"/>
      <c r="X88" s="406"/>
      <c r="Y88" s="407"/>
      <c r="Z88" s="407"/>
      <c r="AA88" s="523"/>
      <c r="AB88" s="511"/>
      <c r="AC88" s="407"/>
      <c r="AD88" s="407"/>
      <c r="AE88" s="512"/>
      <c r="AF88" s="523"/>
      <c r="AG88" s="523"/>
      <c r="AH88" s="523"/>
    </row>
    <row r="89" spans="1:34" s="48" customFormat="1" ht="12.6" customHeight="1">
      <c r="A89" s="458">
        <v>295638</v>
      </c>
      <c r="B89" s="977">
        <v>100</v>
      </c>
      <c r="C89" s="978">
        <v>926</v>
      </c>
      <c r="D89" s="986"/>
      <c r="E89" s="657">
        <v>46146</v>
      </c>
      <c r="F89" s="398">
        <v>1</v>
      </c>
      <c r="G89" s="399"/>
      <c r="H89" s="980"/>
      <c r="I89" s="400" t="s">
        <v>721</v>
      </c>
      <c r="J89" s="398" t="s">
        <v>2021</v>
      </c>
      <c r="K89" s="401"/>
      <c r="L89" s="402">
        <v>92600</v>
      </c>
      <c r="M89" s="399"/>
      <c r="N89" s="405">
        <v>46135</v>
      </c>
      <c r="O89" s="362" t="s">
        <v>1980</v>
      </c>
      <c r="P89" s="399">
        <v>46139</v>
      </c>
      <c r="Q89" s="362" t="s">
        <v>1981</v>
      </c>
      <c r="R89" s="399">
        <v>46143</v>
      </c>
      <c r="S89" s="399" t="s">
        <v>1982</v>
      </c>
      <c r="T89" s="513"/>
      <c r="U89" s="458" t="s">
        <v>2022</v>
      </c>
      <c r="V89" s="400"/>
      <c r="W89" s="404"/>
      <c r="X89" s="406"/>
      <c r="Y89" s="407"/>
      <c r="Z89" s="407"/>
      <c r="AA89" s="523"/>
      <c r="AB89" s="511"/>
      <c r="AC89" s="407"/>
      <c r="AD89" s="407"/>
      <c r="AE89" s="512"/>
      <c r="AF89" s="523"/>
      <c r="AG89" s="523"/>
      <c r="AH89" s="523"/>
    </row>
    <row r="90" spans="1:34" s="48" customFormat="1" ht="12.6" customHeight="1">
      <c r="A90" s="458">
        <v>295640</v>
      </c>
      <c r="B90" s="977">
        <v>120</v>
      </c>
      <c r="C90" s="978">
        <v>760</v>
      </c>
      <c r="D90" s="986"/>
      <c r="E90" s="657">
        <v>46139</v>
      </c>
      <c r="F90" s="398">
        <v>1</v>
      </c>
      <c r="G90" s="399"/>
      <c r="H90" s="980"/>
      <c r="I90" s="400" t="s">
        <v>773</v>
      </c>
      <c r="J90" s="398" t="s">
        <v>2021</v>
      </c>
      <c r="K90" s="401"/>
      <c r="L90" s="402">
        <v>91200</v>
      </c>
      <c r="M90" s="399"/>
      <c r="N90" s="405">
        <v>46128</v>
      </c>
      <c r="O90" s="362" t="s">
        <v>1980</v>
      </c>
      <c r="P90" s="399">
        <v>46132</v>
      </c>
      <c r="Q90" s="362" t="s">
        <v>1981</v>
      </c>
      <c r="R90" s="399">
        <v>46136</v>
      </c>
      <c r="S90" s="399" t="s">
        <v>1982</v>
      </c>
      <c r="T90" s="513"/>
      <c r="U90" s="458" t="s">
        <v>2022</v>
      </c>
      <c r="V90" s="400"/>
      <c r="W90" s="404"/>
      <c r="X90" s="406"/>
      <c r="Y90" s="407"/>
      <c r="Z90" s="407"/>
      <c r="AA90" s="523"/>
      <c r="AB90" s="511"/>
      <c r="AC90" s="407"/>
      <c r="AD90" s="407"/>
      <c r="AE90" s="512"/>
      <c r="AF90" s="523"/>
      <c r="AG90" s="523"/>
      <c r="AH90" s="523"/>
    </row>
  </sheetData>
  <autoFilter ref="A1:AH31" xr:uid="{6928950C-8EC1-42AE-A2C3-CB87E9E8B3FA}"/>
  <phoneticPr fontId="4"/>
  <conditionalFormatting sqref="E1:E40 AA2:AA12 AG2:AH12 AA16:AA33 AG16:AH33 E42:E90 AA45 AG45:AH45 AA53:AA56 AG53:AH56">
    <cfRule type="timePeriod" dxfId="29" priority="17" timePeriod="nextWeek">
      <formula>AND(ROUNDDOWN(E1,0)-TODAY()&gt;(7-WEEKDAY(TODAY())),ROUNDDOWN(E1,0)-TODAY()&lt;(15-WEEKDAY(TODAY())))</formula>
    </cfRule>
    <cfRule type="timePeriod" dxfId="28" priority="18" timePeriod="thisWeek">
      <formula>AND(TODAY()-ROUNDDOWN(E1,0)&lt;=WEEKDAY(TODAY())-1,ROUNDDOWN(E1,0)-TODAY()&lt;=7-WEEKDAY(TODAY()))</formula>
    </cfRule>
  </conditionalFormatting>
  <conditionalFormatting sqref="N1:N3">
    <cfRule type="timePeriod" dxfId="27" priority="15" timePeriod="nextWeek">
      <formula>AND(ROUNDDOWN(N1,0)-TODAY()&gt;(7-WEEKDAY(TODAY())),ROUNDDOWN(N1,0)-TODAY()&lt;(15-WEEKDAY(TODAY())))</formula>
    </cfRule>
    <cfRule type="timePeriod" dxfId="26" priority="16" timePeriod="thisWeek">
      <formula>AND(TODAY()-ROUNDDOWN(N1,0)&lt;=WEEKDAY(TODAY())-1,ROUNDDOWN(N1,0)-TODAY()&lt;=7-WEEKDAY(TODAY()))</formula>
    </cfRule>
  </conditionalFormatting>
  <conditionalFormatting sqref="N7:N90">
    <cfRule type="timePeriod" dxfId="25" priority="1" timePeriod="nextWeek">
      <formula>AND(ROUNDDOWN(N7,0)-TODAY()&gt;(7-WEEKDAY(TODAY())),ROUNDDOWN(N7,0)-TODAY()&lt;(15-WEEKDAY(TODAY())))</formula>
    </cfRule>
    <cfRule type="timePeriod" dxfId="24" priority="2" timePeriod="thisWeek">
      <formula>AND(TODAY()-ROUNDDOWN(N7,0)&lt;=WEEKDAY(TODAY())-1,ROUNDDOWN(N7,0)-TODAY()&lt;=7-WEEKDAY(TODAY()))</formula>
    </cfRule>
  </conditionalFormatting>
  <conditionalFormatting sqref="P1:P90 R1:R90">
    <cfRule type="timePeriod" dxfId="23" priority="5" timePeriod="nextWeek">
      <formula>AND(ROUNDDOWN(P1,0)-TODAY()&gt;(7-WEEKDAY(TODAY())),ROUNDDOWN(P1,0)-TODAY()&lt;(15-WEEKDAY(TODAY())))</formula>
    </cfRule>
    <cfRule type="timePeriod" dxfId="22" priority="6" timePeriod="thisWeek">
      <formula>AND(TODAY()-ROUNDDOWN(P1,0)&lt;=WEEKDAY(TODAY())-1,ROUNDDOWN(P1,0)-TODAY()&lt;=7-WEEKDAY(TODAY()))</formula>
    </cfRule>
  </conditionalFormatting>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DFC13-504D-4706-8194-8CFBAED8BE87}">
  <sheetPr codeName="Sheet42" filterMode="1"/>
  <dimension ref="A1:AH63"/>
  <sheetViews>
    <sheetView workbookViewId="0"/>
  </sheetViews>
  <sheetFormatPr defaultColWidth="8.75" defaultRowHeight="18.75"/>
  <cols>
    <col min="1" max="2" width="8.75" style="49"/>
    <col min="3" max="3" width="9.5" style="49" customWidth="1"/>
    <col min="4" max="4" width="8.75" style="49"/>
    <col min="5" max="5" width="10.75" style="49" bestFit="1" customWidth="1"/>
    <col min="6" max="6" width="8.75" style="49"/>
    <col min="7" max="7" width="10.5" style="49" bestFit="1" customWidth="1"/>
    <col min="8" max="8" width="8.75" style="49"/>
    <col min="9" max="9" width="25.75" style="49" customWidth="1"/>
    <col min="10" max="10" width="8.75" style="49"/>
    <col min="11" max="11" width="13" style="49" bestFit="1" customWidth="1"/>
    <col min="12" max="12" width="12.5" style="49" bestFit="1" customWidth="1"/>
    <col min="13" max="13" width="10" style="49" bestFit="1" customWidth="1"/>
    <col min="14" max="14" width="12.5" style="49" bestFit="1" customWidth="1"/>
    <col min="15" max="15" width="8.75" style="49"/>
    <col min="16" max="16" width="10.25" style="49" bestFit="1" customWidth="1"/>
    <col min="17" max="17" width="8.75" style="49"/>
    <col min="18" max="18" width="10.25" style="49" bestFit="1" customWidth="1"/>
    <col min="19" max="19" width="8.75" style="49"/>
    <col min="20" max="21" width="10.25" style="49" bestFit="1" customWidth="1"/>
    <col min="22" max="23" width="8.75" style="49"/>
    <col min="24" max="24" width="10.25" style="49" bestFit="1" customWidth="1"/>
    <col min="25" max="26" width="8.75" style="49"/>
    <col min="27" max="27" width="10.25" style="49" bestFit="1" customWidth="1"/>
    <col min="28" max="29" width="8.75" style="49"/>
    <col min="30" max="30" width="10.25" style="49" bestFit="1" customWidth="1"/>
    <col min="31" max="32" width="8.75" style="49"/>
    <col min="33" max="34" width="10.25" style="49" bestFit="1" customWidth="1"/>
    <col min="35" max="16384" width="8.75" style="49"/>
  </cols>
  <sheetData>
    <row r="1" spans="1:34" s="47" customFormat="1" ht="12.6" customHeight="1">
      <c r="A1" s="47" t="s">
        <v>2031</v>
      </c>
      <c r="B1" s="392" t="s">
        <v>2032</v>
      </c>
      <c r="C1" s="457" t="s">
        <v>2033</v>
      </c>
      <c r="D1" s="457" t="s">
        <v>2034</v>
      </c>
      <c r="E1" s="391" t="s">
        <v>110</v>
      </c>
      <c r="F1" s="392" t="s">
        <v>1949</v>
      </c>
      <c r="G1" s="393" t="s">
        <v>2035</v>
      </c>
      <c r="H1" s="392" t="s">
        <v>2036</v>
      </c>
      <c r="I1" s="392" t="s">
        <v>2037</v>
      </c>
      <c r="J1" s="392" t="s">
        <v>2038</v>
      </c>
      <c r="K1" s="394" t="s">
        <v>2039</v>
      </c>
      <c r="L1" s="395" t="s">
        <v>2040</v>
      </c>
      <c r="M1" s="393" t="s">
        <v>2041</v>
      </c>
      <c r="N1" s="393" t="s">
        <v>2042</v>
      </c>
      <c r="O1" s="392" t="s">
        <v>2043</v>
      </c>
      <c r="P1" s="393" t="s">
        <v>2044</v>
      </c>
      <c r="Q1" s="392" t="s">
        <v>2045</v>
      </c>
      <c r="R1" s="393" t="s">
        <v>2046</v>
      </c>
      <c r="S1" s="393" t="s">
        <v>2047</v>
      </c>
      <c r="T1" s="515" t="s">
        <v>2048</v>
      </c>
      <c r="U1" s="47" t="s">
        <v>2049</v>
      </c>
      <c r="V1" s="392" t="s">
        <v>2050</v>
      </c>
      <c r="W1" s="47" t="s">
        <v>2051</v>
      </c>
      <c r="X1" s="47" t="s">
        <v>2052</v>
      </c>
      <c r="Y1" s="396" t="s">
        <v>2053</v>
      </c>
      <c r="Z1" s="518" t="s">
        <v>2054</v>
      </c>
      <c r="AA1" s="519" t="s">
        <v>2055</v>
      </c>
      <c r="AB1" s="520" t="s">
        <v>2056</v>
      </c>
      <c r="AC1" s="521" t="s">
        <v>2057</v>
      </c>
      <c r="AD1" s="520" t="s">
        <v>2058</v>
      </c>
      <c r="AE1" s="528" t="s">
        <v>2059</v>
      </c>
      <c r="AF1" s="519" t="s">
        <v>2060</v>
      </c>
      <c r="AG1" s="522" t="s">
        <v>2061</v>
      </c>
      <c r="AH1" s="522" t="s">
        <v>2062</v>
      </c>
    </row>
    <row r="2" spans="1:34" s="48" customFormat="1" ht="12.6" customHeight="1">
      <c r="A2" s="403">
        <v>201900</v>
      </c>
      <c r="B2" s="682">
        <v>700</v>
      </c>
      <c r="C2" s="683">
        <v>624</v>
      </c>
      <c r="D2" s="856" t="s">
        <v>2063</v>
      </c>
      <c r="E2" s="657">
        <v>45975</v>
      </c>
      <c r="F2" s="722">
        <v>1</v>
      </c>
      <c r="G2" s="399">
        <v>45887</v>
      </c>
      <c r="H2" s="362"/>
      <c r="I2" s="400" t="s">
        <v>327</v>
      </c>
      <c r="J2" s="398" t="s">
        <v>2012</v>
      </c>
      <c r="K2" s="401">
        <v>4500011234</v>
      </c>
      <c r="L2" s="402">
        <v>436800</v>
      </c>
      <c r="M2" s="405">
        <v>45959</v>
      </c>
      <c r="N2" s="405">
        <v>45961</v>
      </c>
      <c r="O2" s="362" t="s">
        <v>2064</v>
      </c>
      <c r="P2" s="399">
        <v>45968</v>
      </c>
      <c r="Q2" s="362" t="s">
        <v>2065</v>
      </c>
      <c r="R2" s="399">
        <v>45972</v>
      </c>
      <c r="S2" s="399" t="s">
        <v>2066</v>
      </c>
      <c r="T2" s="513"/>
      <c r="U2" s="719" t="s">
        <v>2067</v>
      </c>
      <c r="V2" s="489"/>
      <c r="W2" s="363"/>
      <c r="X2" s="363"/>
      <c r="Y2" s="363"/>
      <c r="Z2" s="363"/>
      <c r="AA2" s="405">
        <v>45939</v>
      </c>
      <c r="AB2" s="511"/>
      <c r="AC2" s="363"/>
      <c r="AD2" s="363"/>
      <c r="AE2" s="512"/>
      <c r="AF2" s="523"/>
      <c r="AG2" s="399">
        <v>45943</v>
      </c>
      <c r="AH2" s="397">
        <v>45950</v>
      </c>
    </row>
    <row r="3" spans="1:34" s="48" customFormat="1" ht="12.6" customHeight="1">
      <c r="A3" s="403">
        <v>199022</v>
      </c>
      <c r="B3" s="682">
        <v>200</v>
      </c>
      <c r="C3" s="683">
        <v>651</v>
      </c>
      <c r="D3" s="856" t="s">
        <v>2063</v>
      </c>
      <c r="E3" s="657">
        <v>45975</v>
      </c>
      <c r="F3" s="722">
        <v>1</v>
      </c>
      <c r="G3" s="399">
        <v>45887</v>
      </c>
      <c r="H3" s="362"/>
      <c r="I3" s="400" t="s">
        <v>460</v>
      </c>
      <c r="J3" s="398" t="s">
        <v>2012</v>
      </c>
      <c r="K3" s="401">
        <v>4500011236</v>
      </c>
      <c r="L3" s="402">
        <v>130200</v>
      </c>
      <c r="M3" s="405">
        <v>45959</v>
      </c>
      <c r="N3" s="405">
        <v>45961</v>
      </c>
      <c r="O3" s="362" t="s">
        <v>2064</v>
      </c>
      <c r="P3" s="399">
        <v>45968</v>
      </c>
      <c r="Q3" s="362" t="s">
        <v>2065</v>
      </c>
      <c r="R3" s="399">
        <v>45972</v>
      </c>
      <c r="S3" s="399" t="s">
        <v>2066</v>
      </c>
      <c r="T3" s="399"/>
      <c r="U3" s="719" t="s">
        <v>2067</v>
      </c>
      <c r="V3" s="400"/>
      <c r="W3" s="857"/>
      <c r="X3" s="398"/>
      <c r="Y3" s="652"/>
      <c r="Z3" s="652"/>
      <c r="AA3" s="405">
        <v>45919</v>
      </c>
      <c r="AC3" s="652"/>
      <c r="AD3" s="652"/>
      <c r="AE3" s="512"/>
      <c r="AF3" s="523"/>
      <c r="AG3" s="399">
        <v>45953</v>
      </c>
      <c r="AH3" s="397">
        <v>45960</v>
      </c>
    </row>
    <row r="4" spans="1:34" s="48" customFormat="1" ht="12.6" customHeight="1">
      <c r="A4" s="403">
        <v>199022</v>
      </c>
      <c r="B4" s="682">
        <v>200</v>
      </c>
      <c r="C4" s="683">
        <v>651</v>
      </c>
      <c r="D4" s="856" t="s">
        <v>2063</v>
      </c>
      <c r="E4" s="657">
        <v>45975</v>
      </c>
      <c r="F4" s="722">
        <v>1</v>
      </c>
      <c r="G4" s="399">
        <v>45887</v>
      </c>
      <c r="H4" s="362"/>
      <c r="I4" s="400" t="s">
        <v>460</v>
      </c>
      <c r="J4" s="398" t="s">
        <v>2012</v>
      </c>
      <c r="K4" s="401">
        <v>4500011238</v>
      </c>
      <c r="L4" s="402">
        <v>130200</v>
      </c>
      <c r="M4" s="405">
        <v>45959</v>
      </c>
      <c r="N4" s="405">
        <v>45961</v>
      </c>
      <c r="O4" s="362" t="s">
        <v>2064</v>
      </c>
      <c r="P4" s="399">
        <v>45968</v>
      </c>
      <c r="Q4" s="362" t="s">
        <v>2065</v>
      </c>
      <c r="R4" s="399">
        <v>45972</v>
      </c>
      <c r="S4" s="399" t="s">
        <v>2066</v>
      </c>
      <c r="T4" s="399"/>
      <c r="U4" s="719" t="s">
        <v>2067</v>
      </c>
      <c r="V4" s="400"/>
      <c r="W4" s="857"/>
      <c r="X4" s="398"/>
      <c r="Y4" s="652"/>
      <c r="Z4" s="652"/>
      <c r="AA4" s="405">
        <v>45919</v>
      </c>
      <c r="AC4" s="652"/>
      <c r="AD4" s="652"/>
      <c r="AE4" s="512"/>
      <c r="AF4" s="523"/>
      <c r="AG4" s="399">
        <v>45999</v>
      </c>
      <c r="AH4" s="397">
        <v>46006</v>
      </c>
    </row>
    <row r="5" spans="1:34" s="48" customFormat="1" ht="12.6" customHeight="1">
      <c r="A5" s="403">
        <v>201900</v>
      </c>
      <c r="B5" s="682">
        <v>800</v>
      </c>
      <c r="C5" s="683">
        <v>624</v>
      </c>
      <c r="D5" s="856" t="s">
        <v>2068</v>
      </c>
      <c r="E5" s="657">
        <v>45975</v>
      </c>
      <c r="F5" s="722">
        <v>1</v>
      </c>
      <c r="G5" s="399">
        <v>45891</v>
      </c>
      <c r="H5" s="362"/>
      <c r="I5" s="400" t="s">
        <v>327</v>
      </c>
      <c r="J5" s="398" t="s">
        <v>2012</v>
      </c>
      <c r="K5" s="401">
        <v>4500011271</v>
      </c>
      <c r="L5" s="402">
        <v>499200</v>
      </c>
      <c r="M5" s="405">
        <v>45959</v>
      </c>
      <c r="N5" s="405">
        <v>45961</v>
      </c>
      <c r="O5" s="362" t="s">
        <v>2064</v>
      </c>
      <c r="P5" s="399">
        <v>45968</v>
      </c>
      <c r="Q5" s="362" t="s">
        <v>2065</v>
      </c>
      <c r="R5" s="399">
        <v>45972</v>
      </c>
      <c r="S5" s="399" t="s">
        <v>2066</v>
      </c>
      <c r="T5" s="513"/>
      <c r="U5" s="719" t="s">
        <v>2067</v>
      </c>
      <c r="V5" s="489"/>
      <c r="W5" s="363"/>
      <c r="X5" s="363"/>
      <c r="Y5" s="363"/>
      <c r="Z5" s="363"/>
      <c r="AA5" s="405">
        <v>45960</v>
      </c>
      <c r="AB5" s="511"/>
      <c r="AC5" s="363"/>
      <c r="AD5" s="363"/>
      <c r="AE5" s="512"/>
      <c r="AF5" s="523"/>
      <c r="AG5" s="399">
        <v>45964</v>
      </c>
      <c r="AH5" s="397">
        <v>45971</v>
      </c>
    </row>
    <row r="6" spans="1:34" s="48" customFormat="1" ht="12.6" customHeight="1">
      <c r="A6" s="403">
        <v>210491</v>
      </c>
      <c r="B6" s="682">
        <v>130</v>
      </c>
      <c r="C6" s="683">
        <v>424.52</v>
      </c>
      <c r="D6" s="858" t="s">
        <v>2069</v>
      </c>
      <c r="E6" s="657">
        <v>45978</v>
      </c>
      <c r="F6" s="398">
        <v>1</v>
      </c>
      <c r="G6" s="399">
        <v>45793</v>
      </c>
      <c r="H6" s="362"/>
      <c r="I6" s="400" t="s">
        <v>583</v>
      </c>
      <c r="J6" s="398" t="s">
        <v>2070</v>
      </c>
      <c r="K6" s="401">
        <v>4500010623</v>
      </c>
      <c r="L6" s="402">
        <v>55187.6</v>
      </c>
      <c r="M6" s="405">
        <v>45958</v>
      </c>
      <c r="N6" s="399">
        <v>45961</v>
      </c>
      <c r="O6" s="362" t="s">
        <v>2064</v>
      </c>
      <c r="P6" s="399">
        <v>45968</v>
      </c>
      <c r="Q6" s="362" t="s">
        <v>2065</v>
      </c>
      <c r="R6" s="399">
        <v>45971</v>
      </c>
      <c r="S6" s="399" t="s">
        <v>2066</v>
      </c>
      <c r="T6" s="513"/>
      <c r="U6" s="723" t="s">
        <v>2067</v>
      </c>
      <c r="V6" s="400"/>
      <c r="W6" s="363"/>
      <c r="X6" s="656"/>
      <c r="Y6" s="656"/>
      <c r="Z6" s="363"/>
      <c r="AA6" s="654">
        <v>45859</v>
      </c>
      <c r="AB6" s="511"/>
      <c r="AC6" s="363"/>
      <c r="AD6" s="514">
        <v>0</v>
      </c>
      <c r="AE6" s="512" t="s">
        <v>2071</v>
      </c>
      <c r="AF6" s="523">
        <v>45968</v>
      </c>
      <c r="AG6" s="654">
        <v>45863</v>
      </c>
      <c r="AH6" s="397">
        <v>45877</v>
      </c>
    </row>
    <row r="7" spans="1:34" s="48" customFormat="1" ht="12.6" customHeight="1">
      <c r="A7" s="403">
        <v>210492</v>
      </c>
      <c r="B7" s="682">
        <v>500</v>
      </c>
      <c r="C7" s="683">
        <v>363.9</v>
      </c>
      <c r="D7" s="858" t="s">
        <v>2069</v>
      </c>
      <c r="E7" s="657">
        <v>45978</v>
      </c>
      <c r="F7" s="398">
        <v>1</v>
      </c>
      <c r="G7" s="399">
        <v>45870</v>
      </c>
      <c r="H7" s="362"/>
      <c r="I7" s="400" t="s">
        <v>646</v>
      </c>
      <c r="J7" s="398" t="s">
        <v>2070</v>
      </c>
      <c r="K7" s="401">
        <v>4500011159</v>
      </c>
      <c r="L7" s="402">
        <v>181950</v>
      </c>
      <c r="M7" s="405">
        <v>45958</v>
      </c>
      <c r="N7" s="399">
        <v>45961</v>
      </c>
      <c r="O7" s="362" t="s">
        <v>2064</v>
      </c>
      <c r="P7" s="399">
        <v>45968</v>
      </c>
      <c r="Q7" s="362" t="s">
        <v>2065</v>
      </c>
      <c r="R7" s="399">
        <v>45971</v>
      </c>
      <c r="S7" s="399" t="s">
        <v>2066</v>
      </c>
      <c r="T7" s="399"/>
      <c r="U7" s="723" t="s">
        <v>2067</v>
      </c>
      <c r="V7" s="398" t="s">
        <v>2072</v>
      </c>
      <c r="W7" s="363"/>
      <c r="X7" s="406"/>
      <c r="Y7" s="406"/>
      <c r="Z7" s="406"/>
      <c r="AA7" s="405">
        <v>45953</v>
      </c>
      <c r="AC7" s="406"/>
      <c r="AD7" s="514">
        <v>0</v>
      </c>
      <c r="AE7" s="512" t="s">
        <v>2071</v>
      </c>
      <c r="AF7" s="523">
        <v>45968</v>
      </c>
      <c r="AG7" s="399">
        <v>45957</v>
      </c>
      <c r="AH7" s="397">
        <v>45964</v>
      </c>
    </row>
    <row r="8" spans="1:34" s="48" customFormat="1" ht="12.6" customHeight="1">
      <c r="A8" s="403">
        <v>222146</v>
      </c>
      <c r="B8" s="682">
        <v>28</v>
      </c>
      <c r="C8" s="683">
        <v>351.25</v>
      </c>
      <c r="D8" s="718" t="s">
        <v>2073</v>
      </c>
      <c r="E8" s="657">
        <v>45980</v>
      </c>
      <c r="F8" s="398">
        <v>1</v>
      </c>
      <c r="G8" s="399">
        <v>45835</v>
      </c>
      <c r="H8" s="362"/>
      <c r="I8" s="400" t="s">
        <v>634</v>
      </c>
      <c r="J8" s="398" t="s">
        <v>2074</v>
      </c>
      <c r="K8" s="401">
        <v>4500010906</v>
      </c>
      <c r="L8" s="402">
        <v>9835</v>
      </c>
      <c r="M8" s="405">
        <v>45926</v>
      </c>
      <c r="N8" s="405">
        <v>45958</v>
      </c>
      <c r="O8" s="362" t="s">
        <v>2064</v>
      </c>
      <c r="P8" s="399">
        <v>45967</v>
      </c>
      <c r="Q8" s="362" t="s">
        <v>2075</v>
      </c>
      <c r="R8" s="399">
        <v>45974</v>
      </c>
      <c r="S8" s="399" t="s">
        <v>2066</v>
      </c>
      <c r="T8" s="397" t="s">
        <v>2076</v>
      </c>
      <c r="U8" s="860" t="s">
        <v>2067</v>
      </c>
      <c r="V8" s="400"/>
      <c r="W8" s="857" t="s">
        <v>2077</v>
      </c>
      <c r="X8" s="406"/>
      <c r="Y8" s="407"/>
      <c r="Z8" s="407"/>
      <c r="AA8" s="405">
        <v>45917</v>
      </c>
      <c r="AB8" s="511"/>
      <c r="AC8" s="407"/>
      <c r="AD8" s="514">
        <v>-4</v>
      </c>
      <c r="AE8" s="512" t="s">
        <v>2078</v>
      </c>
      <c r="AF8" s="523">
        <v>45963</v>
      </c>
      <c r="AG8" s="399">
        <v>45921</v>
      </c>
      <c r="AH8" s="397">
        <v>45928</v>
      </c>
    </row>
    <row r="9" spans="1:34" s="48" customFormat="1" ht="12.6" customHeight="1">
      <c r="A9" s="403">
        <v>223065</v>
      </c>
      <c r="B9" s="682">
        <v>360</v>
      </c>
      <c r="C9" s="683">
        <v>308.25</v>
      </c>
      <c r="D9" s="718" t="s">
        <v>2073</v>
      </c>
      <c r="E9" s="657">
        <v>45980</v>
      </c>
      <c r="F9" s="398">
        <v>1</v>
      </c>
      <c r="G9" s="399">
        <v>45870</v>
      </c>
      <c r="H9" s="362"/>
      <c r="I9" s="400" t="s">
        <v>670</v>
      </c>
      <c r="J9" s="398" t="s">
        <v>2074</v>
      </c>
      <c r="K9" s="401">
        <v>4500011161</v>
      </c>
      <c r="L9" s="402">
        <v>110970</v>
      </c>
      <c r="M9" s="405">
        <v>45957</v>
      </c>
      <c r="N9" s="405">
        <v>45958</v>
      </c>
      <c r="O9" s="362" t="s">
        <v>2064</v>
      </c>
      <c r="P9" s="399">
        <v>45967</v>
      </c>
      <c r="Q9" s="362" t="s">
        <v>2075</v>
      </c>
      <c r="R9" s="399">
        <v>45974</v>
      </c>
      <c r="S9" s="399" t="s">
        <v>2066</v>
      </c>
      <c r="T9" s="397" t="s">
        <v>2076</v>
      </c>
      <c r="U9" s="860" t="s">
        <v>2067</v>
      </c>
      <c r="V9" s="400" t="s">
        <v>2079</v>
      </c>
      <c r="W9" s="363"/>
      <c r="X9" s="406"/>
      <c r="Y9" s="407"/>
      <c r="Z9" s="407"/>
      <c r="AA9" s="405">
        <v>45943</v>
      </c>
      <c r="AB9" s="511"/>
      <c r="AC9" s="407"/>
      <c r="AD9" s="514">
        <v>-4</v>
      </c>
      <c r="AE9" s="512" t="s">
        <v>2078</v>
      </c>
      <c r="AF9" s="523">
        <v>45963</v>
      </c>
      <c r="AG9" s="399">
        <v>45947</v>
      </c>
      <c r="AH9" s="397">
        <v>45954</v>
      </c>
    </row>
    <row r="10" spans="1:34" s="48" customFormat="1" ht="12.6" customHeight="1">
      <c r="A10" s="403">
        <v>222146</v>
      </c>
      <c r="B10" s="682">
        <v>574</v>
      </c>
      <c r="C10" s="683">
        <v>351.25</v>
      </c>
      <c r="D10" s="718" t="s">
        <v>2073</v>
      </c>
      <c r="E10" s="657">
        <v>45980</v>
      </c>
      <c r="F10" s="398">
        <v>1</v>
      </c>
      <c r="G10" s="399">
        <v>45870</v>
      </c>
      <c r="H10" s="362"/>
      <c r="I10" s="400" t="s">
        <v>634</v>
      </c>
      <c r="J10" s="398" t="s">
        <v>2074</v>
      </c>
      <c r="K10" s="401">
        <v>4500011162</v>
      </c>
      <c r="L10" s="402">
        <v>201617.5</v>
      </c>
      <c r="M10" s="405">
        <v>45957</v>
      </c>
      <c r="N10" s="405">
        <v>45958</v>
      </c>
      <c r="O10" s="362" t="s">
        <v>2064</v>
      </c>
      <c r="P10" s="399">
        <v>45967</v>
      </c>
      <c r="Q10" s="362" t="s">
        <v>2075</v>
      </c>
      <c r="R10" s="399">
        <v>45974</v>
      </c>
      <c r="S10" s="399" t="s">
        <v>2066</v>
      </c>
      <c r="T10" s="397" t="s">
        <v>2076</v>
      </c>
      <c r="U10" s="860" t="s">
        <v>2067</v>
      </c>
      <c r="V10" s="400"/>
      <c r="W10" s="363"/>
      <c r="X10" s="406"/>
      <c r="Y10" s="407"/>
      <c r="Z10" s="407"/>
      <c r="AA10" s="405">
        <v>45943</v>
      </c>
      <c r="AB10" s="511"/>
      <c r="AC10" s="407"/>
      <c r="AD10" s="514">
        <v>-4</v>
      </c>
      <c r="AE10" s="512" t="s">
        <v>2078</v>
      </c>
      <c r="AF10" s="523">
        <v>45963</v>
      </c>
      <c r="AG10" s="399">
        <v>45947</v>
      </c>
      <c r="AH10" s="397">
        <v>45954</v>
      </c>
    </row>
    <row r="11" spans="1:34" s="48" customFormat="1" ht="12.6" customHeight="1">
      <c r="A11" s="48">
        <v>272002</v>
      </c>
      <c r="B11" s="684">
        <v>80</v>
      </c>
      <c r="C11" s="683">
        <v>20.5</v>
      </c>
      <c r="D11" s="718" t="s">
        <v>2073</v>
      </c>
      <c r="E11" s="657">
        <v>45980</v>
      </c>
      <c r="F11" s="398">
        <v>1</v>
      </c>
      <c r="G11" s="399">
        <v>45895</v>
      </c>
      <c r="I11" s="48" t="s">
        <v>2080</v>
      </c>
      <c r="J11" s="406" t="s">
        <v>2074</v>
      </c>
      <c r="K11" s="406">
        <v>4500011292</v>
      </c>
      <c r="L11" s="402">
        <v>1640</v>
      </c>
      <c r="M11" s="405"/>
      <c r="N11" s="405">
        <v>45958</v>
      </c>
      <c r="O11" s="362" t="s">
        <v>2064</v>
      </c>
      <c r="P11" s="399">
        <v>45967</v>
      </c>
      <c r="Q11" s="362" t="s">
        <v>2075</v>
      </c>
      <c r="R11" s="399">
        <v>45974</v>
      </c>
      <c r="S11" s="399" t="s">
        <v>2066</v>
      </c>
      <c r="T11" s="397" t="s">
        <v>2076</v>
      </c>
      <c r="U11" s="860" t="s">
        <v>2067</v>
      </c>
      <c r="V11" s="404"/>
      <c r="AA11" s="405">
        <v>45927</v>
      </c>
      <c r="AD11" s="514">
        <v>-4</v>
      </c>
      <c r="AE11" s="512" t="s">
        <v>2078</v>
      </c>
      <c r="AF11" s="523">
        <v>45963</v>
      </c>
      <c r="AG11" s="399">
        <v>45931</v>
      </c>
      <c r="AH11" s="561">
        <v>45938</v>
      </c>
    </row>
    <row r="12" spans="1:34" s="48" customFormat="1" ht="12.6" customHeight="1">
      <c r="A12" s="458">
        <v>216518</v>
      </c>
      <c r="B12" s="682">
        <v>90</v>
      </c>
      <c r="C12" s="683">
        <v>1065</v>
      </c>
      <c r="D12" s="861" t="s">
        <v>2081</v>
      </c>
      <c r="E12" s="657">
        <v>45982</v>
      </c>
      <c r="F12" s="398">
        <v>1</v>
      </c>
      <c r="G12" s="399">
        <v>45807</v>
      </c>
      <c r="H12" s="362"/>
      <c r="I12" s="400" t="s">
        <v>411</v>
      </c>
      <c r="J12" s="398" t="s">
        <v>2082</v>
      </c>
      <c r="K12" s="401">
        <v>4500010696</v>
      </c>
      <c r="L12" s="402">
        <v>95850</v>
      </c>
      <c r="M12" s="405">
        <v>45967</v>
      </c>
      <c r="N12" s="405">
        <v>45968</v>
      </c>
      <c r="O12" s="362" t="s">
        <v>2064</v>
      </c>
      <c r="P12" s="399">
        <v>45972</v>
      </c>
      <c r="Q12" s="362" t="s">
        <v>2065</v>
      </c>
      <c r="R12" s="399">
        <v>45975</v>
      </c>
      <c r="S12" s="399" t="s">
        <v>2066</v>
      </c>
      <c r="T12" s="513"/>
      <c r="U12" s="862" t="s">
        <v>2067</v>
      </c>
      <c r="V12" s="400"/>
      <c r="W12" s="404"/>
      <c r="X12" s="406"/>
      <c r="Y12" s="407"/>
      <c r="Z12" s="407"/>
      <c r="AA12" s="405">
        <v>45941</v>
      </c>
      <c r="AB12" s="511"/>
      <c r="AC12" s="407"/>
      <c r="AD12" s="514">
        <v>0</v>
      </c>
      <c r="AE12" s="653" t="s">
        <v>2083</v>
      </c>
      <c r="AF12" s="654">
        <v>45972</v>
      </c>
      <c r="AG12" s="654">
        <v>45945</v>
      </c>
      <c r="AH12" s="523">
        <v>45952</v>
      </c>
    </row>
    <row r="13" spans="1:34" s="48" customFormat="1" ht="12.6" customHeight="1">
      <c r="A13" s="403">
        <v>216787</v>
      </c>
      <c r="B13" s="682">
        <v>144</v>
      </c>
      <c r="C13" s="683">
        <v>733</v>
      </c>
      <c r="D13" s="861" t="s">
        <v>2081</v>
      </c>
      <c r="E13" s="657">
        <v>45982</v>
      </c>
      <c r="F13" s="398">
        <v>1</v>
      </c>
      <c r="G13" s="399">
        <v>45905</v>
      </c>
      <c r="H13" s="362"/>
      <c r="I13" s="400" t="s">
        <v>488</v>
      </c>
      <c r="J13" s="398" t="s">
        <v>2082</v>
      </c>
      <c r="K13" s="401">
        <v>4500011363</v>
      </c>
      <c r="L13" s="402">
        <v>105552</v>
      </c>
      <c r="M13" s="405">
        <v>45967</v>
      </c>
      <c r="N13" s="405">
        <v>45968</v>
      </c>
      <c r="O13" s="362" t="s">
        <v>2064</v>
      </c>
      <c r="P13" s="399">
        <v>45972</v>
      </c>
      <c r="Q13" s="362" t="s">
        <v>2065</v>
      </c>
      <c r="R13" s="399">
        <v>45975</v>
      </c>
      <c r="S13" s="399" t="s">
        <v>2066</v>
      </c>
      <c r="T13" s="513"/>
      <c r="U13" s="862" t="s">
        <v>2067</v>
      </c>
      <c r="V13" s="400"/>
      <c r="W13" s="363"/>
      <c r="X13" s="406"/>
      <c r="Y13" s="407"/>
      <c r="Z13" s="407"/>
      <c r="AA13" s="405">
        <v>45974</v>
      </c>
      <c r="AB13" s="511"/>
      <c r="AC13" s="407"/>
      <c r="AD13" s="514">
        <v>0</v>
      </c>
      <c r="AE13" s="653" t="s">
        <v>2083</v>
      </c>
      <c r="AF13" s="654">
        <v>45972</v>
      </c>
      <c r="AG13" s="399">
        <v>45978</v>
      </c>
      <c r="AH13" s="397">
        <v>45985</v>
      </c>
    </row>
    <row r="14" spans="1:34" s="48" customFormat="1" ht="12.6" customHeight="1">
      <c r="A14" s="458">
        <v>216518</v>
      </c>
      <c r="B14" s="682">
        <v>150</v>
      </c>
      <c r="C14" s="683">
        <v>1065</v>
      </c>
      <c r="D14" s="861" t="s">
        <v>2081</v>
      </c>
      <c r="E14" s="657">
        <v>45982</v>
      </c>
      <c r="F14" s="660">
        <v>1</v>
      </c>
      <c r="G14" s="399">
        <v>45926</v>
      </c>
      <c r="H14" s="362"/>
      <c r="I14" s="400" t="s">
        <v>411</v>
      </c>
      <c r="J14" s="398" t="s">
        <v>2082</v>
      </c>
      <c r="K14" s="401">
        <v>4500011456</v>
      </c>
      <c r="L14" s="402">
        <v>159750</v>
      </c>
      <c r="M14" s="405">
        <v>45967</v>
      </c>
      <c r="N14" s="405">
        <v>45968</v>
      </c>
      <c r="O14" s="362" t="s">
        <v>2064</v>
      </c>
      <c r="P14" s="399">
        <v>45972</v>
      </c>
      <c r="Q14" s="362" t="s">
        <v>2065</v>
      </c>
      <c r="R14" s="399">
        <v>45975</v>
      </c>
      <c r="S14" s="399" t="s">
        <v>2066</v>
      </c>
      <c r="T14" s="513"/>
      <c r="U14" s="862" t="s">
        <v>2067</v>
      </c>
      <c r="V14" s="400"/>
      <c r="W14" s="404"/>
      <c r="X14" s="406"/>
      <c r="Y14" s="407"/>
      <c r="Z14" s="407"/>
      <c r="AA14" s="405">
        <v>45981</v>
      </c>
      <c r="AB14" s="511"/>
      <c r="AC14" s="407"/>
      <c r="AD14" s="514">
        <v>0</v>
      </c>
      <c r="AE14" s="653" t="s">
        <v>2083</v>
      </c>
      <c r="AF14" s="654">
        <v>45972</v>
      </c>
      <c r="AG14" s="399">
        <v>45985</v>
      </c>
      <c r="AH14" s="397">
        <v>45992</v>
      </c>
    </row>
    <row r="15" spans="1:34" s="48" customFormat="1" ht="12.6" customHeight="1">
      <c r="A15" s="403">
        <v>216787</v>
      </c>
      <c r="B15" s="682">
        <v>216</v>
      </c>
      <c r="C15" s="683">
        <v>733</v>
      </c>
      <c r="D15" s="861" t="s">
        <v>2081</v>
      </c>
      <c r="E15" s="657">
        <v>45982</v>
      </c>
      <c r="F15" s="660">
        <v>1</v>
      </c>
      <c r="G15" s="399">
        <v>45926</v>
      </c>
      <c r="H15" s="362"/>
      <c r="I15" s="400" t="s">
        <v>488</v>
      </c>
      <c r="J15" s="398" t="s">
        <v>2082</v>
      </c>
      <c r="K15" s="401">
        <v>4500011457</v>
      </c>
      <c r="L15" s="402">
        <v>158328</v>
      </c>
      <c r="M15" s="405">
        <v>45967</v>
      </c>
      <c r="N15" s="405">
        <v>45968</v>
      </c>
      <c r="O15" s="362" t="s">
        <v>2064</v>
      </c>
      <c r="P15" s="399">
        <v>45972</v>
      </c>
      <c r="Q15" s="362" t="s">
        <v>2065</v>
      </c>
      <c r="R15" s="399">
        <v>45975</v>
      </c>
      <c r="S15" s="399" t="s">
        <v>2066</v>
      </c>
      <c r="T15" s="513"/>
      <c r="U15" s="862" t="s">
        <v>2067</v>
      </c>
      <c r="V15" s="400"/>
      <c r="W15" s="404"/>
      <c r="X15" s="406"/>
      <c r="Y15" s="407"/>
      <c r="Z15" s="407"/>
      <c r="AA15" s="405">
        <v>45988</v>
      </c>
      <c r="AB15" s="511"/>
      <c r="AC15" s="407"/>
      <c r="AD15" s="514">
        <v>0</v>
      </c>
      <c r="AE15" s="653" t="s">
        <v>2083</v>
      </c>
      <c r="AF15" s="654">
        <v>45972</v>
      </c>
      <c r="AG15" s="399">
        <v>45992</v>
      </c>
      <c r="AH15" s="397">
        <v>45999</v>
      </c>
    </row>
    <row r="16" spans="1:34" s="48" customFormat="1" ht="48">
      <c r="A16" s="403">
        <v>223062</v>
      </c>
      <c r="B16" s="682">
        <v>620</v>
      </c>
      <c r="C16" s="683">
        <v>359</v>
      </c>
      <c r="D16" s="863" t="s">
        <v>2084</v>
      </c>
      <c r="E16" s="657">
        <v>45989</v>
      </c>
      <c r="F16" s="398">
        <v>1</v>
      </c>
      <c r="G16" s="399">
        <v>45807</v>
      </c>
      <c r="H16" s="362"/>
      <c r="I16" s="400" t="s">
        <v>748</v>
      </c>
      <c r="J16" s="398" t="s">
        <v>2082</v>
      </c>
      <c r="K16" s="401">
        <v>4500010701</v>
      </c>
      <c r="L16" s="402">
        <v>222580</v>
      </c>
      <c r="M16" s="405">
        <v>45967</v>
      </c>
      <c r="N16" s="405">
        <v>45975</v>
      </c>
      <c r="O16" s="362" t="s">
        <v>2064</v>
      </c>
      <c r="P16" s="399">
        <v>45982</v>
      </c>
      <c r="Q16" s="362" t="s">
        <v>2065</v>
      </c>
      <c r="R16" s="399">
        <v>45986</v>
      </c>
      <c r="S16" s="399" t="s">
        <v>2066</v>
      </c>
      <c r="T16" s="513"/>
      <c r="U16" s="404" t="s">
        <v>2085</v>
      </c>
      <c r="V16" s="400" t="s">
        <v>2086</v>
      </c>
      <c r="W16" s="525" t="s">
        <v>2087</v>
      </c>
      <c r="X16" s="406"/>
      <c r="Y16" s="407"/>
      <c r="Z16" s="407"/>
      <c r="AA16" s="405">
        <v>45946</v>
      </c>
      <c r="AB16" s="511"/>
      <c r="AC16" s="407"/>
      <c r="AD16" s="514">
        <v>-45982</v>
      </c>
      <c r="AE16" s="512"/>
      <c r="AF16" s="523"/>
      <c r="AG16" s="523">
        <v>45950</v>
      </c>
      <c r="AH16" s="523">
        <v>45957</v>
      </c>
    </row>
    <row r="17" spans="1:34" s="48" customFormat="1" ht="12.6" customHeight="1">
      <c r="A17" s="403">
        <v>222644</v>
      </c>
      <c r="B17" s="682">
        <v>24</v>
      </c>
      <c r="C17" s="683">
        <v>282</v>
      </c>
      <c r="D17" s="863" t="s">
        <v>2084</v>
      </c>
      <c r="E17" s="657">
        <v>45989</v>
      </c>
      <c r="F17" s="398">
        <v>1</v>
      </c>
      <c r="G17" s="399">
        <v>45821</v>
      </c>
      <c r="H17" s="362"/>
      <c r="I17" s="864" t="s">
        <v>841</v>
      </c>
      <c r="J17" s="398" t="s">
        <v>2082</v>
      </c>
      <c r="K17" s="401">
        <v>4500010805</v>
      </c>
      <c r="L17" s="402">
        <v>6768</v>
      </c>
      <c r="M17" s="405">
        <v>45946</v>
      </c>
      <c r="N17" s="405">
        <v>45975</v>
      </c>
      <c r="O17" s="362" t="s">
        <v>2064</v>
      </c>
      <c r="P17" s="399">
        <v>45979</v>
      </c>
      <c r="Q17" s="362" t="s">
        <v>2065</v>
      </c>
      <c r="R17" s="399">
        <v>45983</v>
      </c>
      <c r="S17" s="399" t="s">
        <v>2066</v>
      </c>
      <c r="T17" s="513"/>
      <c r="U17" s="404" t="s">
        <v>2085</v>
      </c>
      <c r="V17" s="489" t="s">
        <v>2088</v>
      </c>
      <c r="W17" s="363" t="s">
        <v>2089</v>
      </c>
      <c r="X17" s="407"/>
      <c r="Y17" s="407"/>
      <c r="Z17" s="407"/>
      <c r="AA17" s="405">
        <v>45954</v>
      </c>
      <c r="AB17" s="511"/>
      <c r="AC17" s="363"/>
      <c r="AD17" s="363"/>
      <c r="AE17" s="512"/>
      <c r="AF17" s="523"/>
      <c r="AG17" s="399">
        <v>45958</v>
      </c>
      <c r="AH17" s="513">
        <v>45968</v>
      </c>
    </row>
    <row r="18" spans="1:34" s="48" customFormat="1" ht="12.6" customHeight="1">
      <c r="A18" s="403">
        <v>222649</v>
      </c>
      <c r="B18" s="682">
        <v>150</v>
      </c>
      <c r="C18" s="683">
        <v>474</v>
      </c>
      <c r="D18" s="863" t="s">
        <v>2084</v>
      </c>
      <c r="E18" s="657">
        <v>45989</v>
      </c>
      <c r="F18" s="398">
        <v>1</v>
      </c>
      <c r="G18" s="399">
        <v>45842</v>
      </c>
      <c r="H18" s="362"/>
      <c r="I18" s="488" t="s">
        <v>709</v>
      </c>
      <c r="J18" s="398" t="s">
        <v>2082</v>
      </c>
      <c r="K18" s="401">
        <v>4500010935</v>
      </c>
      <c r="L18" s="402">
        <v>71100</v>
      </c>
      <c r="M18" s="405">
        <v>45967</v>
      </c>
      <c r="N18" s="405">
        <v>45975</v>
      </c>
      <c r="O18" s="362" t="s">
        <v>2064</v>
      </c>
      <c r="P18" s="399">
        <v>45979</v>
      </c>
      <c r="Q18" s="362" t="s">
        <v>2065</v>
      </c>
      <c r="R18" s="399">
        <v>45983</v>
      </c>
      <c r="S18" s="399" t="s">
        <v>2066</v>
      </c>
      <c r="T18" s="513"/>
      <c r="U18" s="404" t="s">
        <v>2085</v>
      </c>
      <c r="V18" s="489" t="s">
        <v>2090</v>
      </c>
      <c r="W18" s="363"/>
      <c r="X18" s="407"/>
      <c r="Y18" s="407"/>
      <c r="Z18" s="407"/>
      <c r="AA18" s="405">
        <v>45968</v>
      </c>
      <c r="AB18" s="511"/>
      <c r="AC18" s="363"/>
      <c r="AD18" s="363"/>
      <c r="AE18" s="512"/>
      <c r="AF18" s="523"/>
      <c r="AG18" s="399">
        <v>45972</v>
      </c>
      <c r="AH18" s="397">
        <v>45982</v>
      </c>
    </row>
    <row r="19" spans="1:34" s="48" customFormat="1" ht="12.6" customHeight="1">
      <c r="A19" s="403">
        <v>222650</v>
      </c>
      <c r="B19" s="682">
        <v>350</v>
      </c>
      <c r="C19" s="683">
        <v>390</v>
      </c>
      <c r="D19" s="863" t="s">
        <v>2084</v>
      </c>
      <c r="E19" s="657">
        <v>45989</v>
      </c>
      <c r="F19" s="398">
        <v>1</v>
      </c>
      <c r="G19" s="399">
        <v>45842</v>
      </c>
      <c r="H19" s="362"/>
      <c r="I19" s="488" t="s">
        <v>765</v>
      </c>
      <c r="J19" s="398" t="s">
        <v>2082</v>
      </c>
      <c r="K19" s="401">
        <v>4500010939</v>
      </c>
      <c r="L19" s="402">
        <v>136500</v>
      </c>
      <c r="M19" s="405">
        <v>45967</v>
      </c>
      <c r="N19" s="405">
        <v>45975</v>
      </c>
      <c r="O19" s="362" t="s">
        <v>2064</v>
      </c>
      <c r="P19" s="399">
        <v>45979</v>
      </c>
      <c r="Q19" s="362" t="s">
        <v>2065</v>
      </c>
      <c r="R19" s="399">
        <v>45983</v>
      </c>
      <c r="S19" s="399" t="s">
        <v>2066</v>
      </c>
      <c r="T19" s="513"/>
      <c r="U19" s="404" t="s">
        <v>2085</v>
      </c>
      <c r="V19" s="489" t="s">
        <v>2090</v>
      </c>
      <c r="W19" s="363"/>
      <c r="X19" s="407"/>
      <c r="Y19" s="407"/>
      <c r="Z19" s="407"/>
      <c r="AA19" s="405">
        <v>45968</v>
      </c>
      <c r="AB19" s="511"/>
      <c r="AC19" s="363"/>
      <c r="AD19" s="363"/>
      <c r="AE19" s="512"/>
      <c r="AF19" s="523"/>
      <c r="AG19" s="399">
        <v>45972</v>
      </c>
      <c r="AH19" s="397">
        <v>45982</v>
      </c>
    </row>
    <row r="20" spans="1:34" s="48" customFormat="1" ht="12.6" customHeight="1">
      <c r="A20" s="403">
        <v>216521</v>
      </c>
      <c r="B20" s="682">
        <v>360</v>
      </c>
      <c r="C20" s="683">
        <v>830</v>
      </c>
      <c r="D20" s="863" t="s">
        <v>2084</v>
      </c>
      <c r="E20" s="657">
        <v>45989</v>
      </c>
      <c r="F20" s="398">
        <v>1</v>
      </c>
      <c r="G20" s="399">
        <v>45898</v>
      </c>
      <c r="H20" s="362"/>
      <c r="I20" s="400" t="s">
        <v>446</v>
      </c>
      <c r="J20" s="398" t="s">
        <v>2082</v>
      </c>
      <c r="K20" s="401">
        <v>4500011316</v>
      </c>
      <c r="L20" s="402">
        <v>298800</v>
      </c>
      <c r="M20" s="865">
        <v>45972</v>
      </c>
      <c r="N20" s="866">
        <v>45975</v>
      </c>
      <c r="O20" s="362" t="s">
        <v>2064</v>
      </c>
      <c r="P20" s="399">
        <v>45982</v>
      </c>
      <c r="Q20" s="362" t="s">
        <v>2065</v>
      </c>
      <c r="R20" s="399">
        <v>45986</v>
      </c>
      <c r="S20" s="399" t="s">
        <v>2066</v>
      </c>
      <c r="T20" s="685" t="s">
        <v>2091</v>
      </c>
      <c r="U20" s="404" t="s">
        <v>2085</v>
      </c>
      <c r="V20" s="400"/>
      <c r="W20" s="363"/>
      <c r="X20" s="406"/>
      <c r="Y20" s="407"/>
      <c r="Z20" s="407"/>
      <c r="AA20" s="405">
        <v>45967</v>
      </c>
      <c r="AB20" s="511"/>
      <c r="AC20" s="407"/>
      <c r="AD20" s="407"/>
      <c r="AE20" s="512"/>
      <c r="AF20" s="523"/>
      <c r="AG20" s="399">
        <v>45971</v>
      </c>
      <c r="AH20" s="397">
        <v>45978</v>
      </c>
    </row>
    <row r="21" spans="1:34" s="48" customFormat="1" ht="12.6" customHeight="1">
      <c r="A21" s="403">
        <v>223058</v>
      </c>
      <c r="B21" s="682">
        <v>100</v>
      </c>
      <c r="C21" s="683">
        <v>786</v>
      </c>
      <c r="D21" s="863" t="s">
        <v>2084</v>
      </c>
      <c r="E21" s="657">
        <v>45989</v>
      </c>
      <c r="F21" s="398">
        <v>1</v>
      </c>
      <c r="G21" s="399">
        <v>45905</v>
      </c>
      <c r="H21" s="362"/>
      <c r="I21" s="400" t="s">
        <v>726</v>
      </c>
      <c r="J21" s="398" t="s">
        <v>2082</v>
      </c>
      <c r="K21" s="655">
        <v>4500011364</v>
      </c>
      <c r="L21" s="402">
        <v>78600</v>
      </c>
      <c r="M21" s="405">
        <v>45972</v>
      </c>
      <c r="N21" s="405">
        <v>45975</v>
      </c>
      <c r="O21" s="362" t="s">
        <v>2064</v>
      </c>
      <c r="P21" s="399">
        <v>45982</v>
      </c>
      <c r="Q21" s="362" t="s">
        <v>2065</v>
      </c>
      <c r="R21" s="399">
        <v>45986</v>
      </c>
      <c r="S21" s="399" t="s">
        <v>2066</v>
      </c>
      <c r="T21" s="685" t="s">
        <v>2092</v>
      </c>
      <c r="U21" s="404" t="s">
        <v>2085</v>
      </c>
      <c r="V21" s="400"/>
      <c r="W21" s="363"/>
      <c r="X21" s="363"/>
      <c r="Y21" s="363"/>
      <c r="Z21" s="363"/>
      <c r="AA21" s="405">
        <v>45954</v>
      </c>
      <c r="AB21" s="363"/>
      <c r="AC21" s="363"/>
      <c r="AD21" s="363"/>
      <c r="AE21" s="653"/>
      <c r="AF21" s="654"/>
      <c r="AG21" s="399">
        <v>45971</v>
      </c>
      <c r="AH21" s="397">
        <v>45978</v>
      </c>
    </row>
    <row r="22" spans="1:34" s="48" customFormat="1" ht="12.6" customHeight="1">
      <c r="A22" s="403">
        <v>286428</v>
      </c>
      <c r="B22" s="682">
        <v>1</v>
      </c>
      <c r="C22" s="683">
        <v>474</v>
      </c>
      <c r="D22" s="859"/>
      <c r="E22" s="657">
        <v>45993</v>
      </c>
      <c r="F22" s="398">
        <v>3</v>
      </c>
      <c r="G22" s="399">
        <v>45946</v>
      </c>
      <c r="H22" s="362"/>
      <c r="I22" s="400" t="s">
        <v>2093</v>
      </c>
      <c r="J22" s="398" t="s">
        <v>2082</v>
      </c>
      <c r="K22" s="401">
        <v>4500011648</v>
      </c>
      <c r="L22" s="402">
        <v>474</v>
      </c>
      <c r="M22" s="686"/>
      <c r="N22" s="405">
        <v>45989</v>
      </c>
      <c r="O22" s="362" t="s">
        <v>2094</v>
      </c>
      <c r="P22" s="399"/>
      <c r="Q22" s="362" t="s">
        <v>2065</v>
      </c>
      <c r="R22" s="399"/>
      <c r="S22" s="399" t="s">
        <v>2095</v>
      </c>
      <c r="T22" s="513"/>
      <c r="U22" s="404" t="s">
        <v>2085</v>
      </c>
      <c r="V22" s="400"/>
      <c r="W22" s="404"/>
      <c r="X22" s="363"/>
      <c r="Y22" s="363"/>
      <c r="Z22" s="363"/>
      <c r="AA22" s="405">
        <v>45989</v>
      </c>
      <c r="AB22" s="363"/>
      <c r="AC22" s="363"/>
      <c r="AD22" s="363"/>
      <c r="AE22" s="653"/>
      <c r="AF22" s="654"/>
      <c r="AG22" s="399"/>
      <c r="AH22" s="397">
        <v>45993</v>
      </c>
    </row>
    <row r="23" spans="1:34" s="48" customFormat="1" ht="12.6" customHeight="1">
      <c r="A23" s="403">
        <v>286430</v>
      </c>
      <c r="B23" s="682">
        <v>2</v>
      </c>
      <c r="C23" s="683">
        <v>390</v>
      </c>
      <c r="D23" s="859"/>
      <c r="E23" s="657">
        <v>45993</v>
      </c>
      <c r="F23" s="398">
        <v>3</v>
      </c>
      <c r="G23" s="399">
        <v>45946</v>
      </c>
      <c r="H23" s="362"/>
      <c r="I23" s="400" t="s">
        <v>2096</v>
      </c>
      <c r="J23" s="398" t="s">
        <v>2082</v>
      </c>
      <c r="K23" s="401">
        <v>4500011648</v>
      </c>
      <c r="L23" s="402">
        <v>780</v>
      </c>
      <c r="M23" s="686"/>
      <c r="N23" s="405">
        <v>45989</v>
      </c>
      <c r="O23" s="362" t="s">
        <v>2094</v>
      </c>
      <c r="P23" s="399"/>
      <c r="Q23" s="362" t="s">
        <v>2065</v>
      </c>
      <c r="R23" s="399"/>
      <c r="S23" s="399" t="s">
        <v>2097</v>
      </c>
      <c r="T23" s="513"/>
      <c r="U23" s="404" t="s">
        <v>2085</v>
      </c>
      <c r="V23" s="400"/>
      <c r="W23" s="404"/>
      <c r="X23" s="363"/>
      <c r="Y23" s="363"/>
      <c r="Z23" s="363"/>
      <c r="AA23" s="405">
        <v>45989</v>
      </c>
      <c r="AB23" s="363"/>
      <c r="AC23" s="363"/>
      <c r="AD23" s="363"/>
      <c r="AE23" s="653"/>
      <c r="AF23" s="654"/>
      <c r="AG23" s="399"/>
      <c r="AH23" s="397">
        <v>45993</v>
      </c>
    </row>
    <row r="24" spans="1:34" s="48" customFormat="1" ht="12.6" customHeight="1">
      <c r="A24" s="403">
        <v>286432</v>
      </c>
      <c r="B24" s="682">
        <v>2</v>
      </c>
      <c r="C24" s="683">
        <v>359</v>
      </c>
      <c r="D24" s="859"/>
      <c r="E24" s="657">
        <v>45993</v>
      </c>
      <c r="F24" s="398">
        <v>3</v>
      </c>
      <c r="G24" s="399">
        <v>45946</v>
      </c>
      <c r="H24" s="362"/>
      <c r="I24" s="400" t="s">
        <v>2098</v>
      </c>
      <c r="J24" s="398" t="s">
        <v>2082</v>
      </c>
      <c r="K24" s="401">
        <v>4500011648</v>
      </c>
      <c r="L24" s="402">
        <v>718</v>
      </c>
      <c r="M24" s="686"/>
      <c r="N24" s="405">
        <v>45989</v>
      </c>
      <c r="O24" s="362" t="s">
        <v>2094</v>
      </c>
      <c r="P24" s="399"/>
      <c r="Q24" s="362" t="s">
        <v>2065</v>
      </c>
      <c r="R24" s="399"/>
      <c r="S24" s="399" t="s">
        <v>2097</v>
      </c>
      <c r="T24" s="513"/>
      <c r="U24" s="404" t="s">
        <v>2085</v>
      </c>
      <c r="V24" s="400"/>
      <c r="W24" s="404"/>
      <c r="X24" s="363"/>
      <c r="Y24" s="363"/>
      <c r="Z24" s="363"/>
      <c r="AA24" s="405">
        <v>45989</v>
      </c>
      <c r="AB24" s="363"/>
      <c r="AC24" s="363"/>
      <c r="AD24" s="363"/>
      <c r="AE24" s="653"/>
      <c r="AF24" s="654"/>
      <c r="AG24" s="399"/>
      <c r="AH24" s="397">
        <v>45993</v>
      </c>
    </row>
    <row r="25" spans="1:34" s="48" customFormat="1" ht="12.6" customHeight="1">
      <c r="A25" s="403">
        <v>286434</v>
      </c>
      <c r="B25" s="682">
        <v>2</v>
      </c>
      <c r="C25" s="683">
        <v>440</v>
      </c>
      <c r="D25" s="859"/>
      <c r="E25" s="657">
        <v>45993</v>
      </c>
      <c r="F25" s="398">
        <v>3</v>
      </c>
      <c r="G25" s="399">
        <v>45946</v>
      </c>
      <c r="H25" s="362"/>
      <c r="I25" s="400" t="s">
        <v>2099</v>
      </c>
      <c r="J25" s="398" t="s">
        <v>2082</v>
      </c>
      <c r="K25" s="401">
        <v>4500011648</v>
      </c>
      <c r="L25" s="402">
        <v>880</v>
      </c>
      <c r="M25" s="686"/>
      <c r="N25" s="405">
        <v>45989</v>
      </c>
      <c r="O25" s="362" t="s">
        <v>2094</v>
      </c>
      <c r="P25" s="399"/>
      <c r="Q25" s="362" t="s">
        <v>2065</v>
      </c>
      <c r="R25" s="399"/>
      <c r="S25" s="399" t="s">
        <v>2097</v>
      </c>
      <c r="T25" s="513"/>
      <c r="U25" s="404" t="s">
        <v>2085</v>
      </c>
      <c r="V25" s="400"/>
      <c r="W25" s="404"/>
      <c r="X25" s="363"/>
      <c r="Y25" s="363"/>
      <c r="Z25" s="363"/>
      <c r="AA25" s="405">
        <v>45989</v>
      </c>
      <c r="AB25" s="363"/>
      <c r="AC25" s="363"/>
      <c r="AD25" s="363"/>
      <c r="AE25" s="653"/>
      <c r="AF25" s="654"/>
      <c r="AG25" s="399"/>
      <c r="AH25" s="397">
        <v>45993</v>
      </c>
    </row>
    <row r="26" spans="1:34" s="48" customFormat="1" ht="12.6" customHeight="1">
      <c r="A26" s="651">
        <v>251110</v>
      </c>
      <c r="B26" s="682">
        <v>128</v>
      </c>
      <c r="C26" s="683">
        <v>960</v>
      </c>
      <c r="D26" s="867" t="s">
        <v>2100</v>
      </c>
      <c r="E26" s="657">
        <v>45996</v>
      </c>
      <c r="F26" s="398">
        <v>1</v>
      </c>
      <c r="G26" s="399">
        <v>45842</v>
      </c>
      <c r="H26" s="362"/>
      <c r="I26" s="400" t="s">
        <v>247</v>
      </c>
      <c r="J26" s="398" t="s">
        <v>2082</v>
      </c>
      <c r="K26" s="401">
        <v>4500010944</v>
      </c>
      <c r="L26" s="402">
        <v>122880</v>
      </c>
      <c r="M26" s="399">
        <v>45952</v>
      </c>
      <c r="N26" s="866">
        <v>45982</v>
      </c>
      <c r="O26" s="362" t="s">
        <v>2064</v>
      </c>
      <c r="P26" s="399">
        <v>45989</v>
      </c>
      <c r="Q26" s="362" t="s">
        <v>2065</v>
      </c>
      <c r="R26" s="399">
        <v>45993</v>
      </c>
      <c r="S26" s="399" t="s">
        <v>2066</v>
      </c>
      <c r="T26" s="513"/>
      <c r="U26" s="404" t="s">
        <v>2085</v>
      </c>
      <c r="V26" s="489"/>
      <c r="W26" s="363"/>
      <c r="X26" s="658"/>
      <c r="Y26" s="658"/>
      <c r="Z26" s="658"/>
      <c r="AA26" s="659">
        <v>45953</v>
      </c>
      <c r="AB26" s="658"/>
      <c r="AC26" s="658"/>
      <c r="AD26" s="363"/>
      <c r="AE26" s="653"/>
      <c r="AF26" s="654"/>
      <c r="AG26" s="654">
        <v>45957</v>
      </c>
      <c r="AH26" s="657">
        <v>45964</v>
      </c>
    </row>
    <row r="27" spans="1:34" s="48" customFormat="1" ht="12.6" customHeight="1">
      <c r="A27" s="403">
        <v>223057</v>
      </c>
      <c r="B27" s="682">
        <v>200</v>
      </c>
      <c r="C27" s="683">
        <v>636</v>
      </c>
      <c r="D27" s="867" t="s">
        <v>2100</v>
      </c>
      <c r="E27" s="657">
        <v>45996</v>
      </c>
      <c r="F27" s="398">
        <v>1</v>
      </c>
      <c r="G27" s="399">
        <v>45887</v>
      </c>
      <c r="H27" s="362"/>
      <c r="I27" s="400" t="s">
        <v>783</v>
      </c>
      <c r="J27" s="398" t="s">
        <v>2082</v>
      </c>
      <c r="K27" s="401">
        <v>4500011232</v>
      </c>
      <c r="L27" s="402">
        <v>127200</v>
      </c>
      <c r="M27" s="399">
        <v>45952</v>
      </c>
      <c r="N27" s="866">
        <v>45982</v>
      </c>
      <c r="O27" s="362" t="s">
        <v>2064</v>
      </c>
      <c r="P27" s="399">
        <v>45989</v>
      </c>
      <c r="Q27" s="362" t="s">
        <v>2065</v>
      </c>
      <c r="R27" s="399">
        <v>45993</v>
      </c>
      <c r="S27" s="399" t="s">
        <v>2066</v>
      </c>
      <c r="T27" s="513"/>
      <c r="U27" s="404" t="s">
        <v>2085</v>
      </c>
      <c r="V27" s="400"/>
      <c r="W27" s="363"/>
      <c r="X27" s="407"/>
      <c r="Y27" s="406"/>
      <c r="Z27" s="406"/>
      <c r="AA27" s="405">
        <v>45953</v>
      </c>
      <c r="AC27" s="406"/>
      <c r="AD27" s="406"/>
      <c r="AF27" s="523"/>
      <c r="AG27" s="399">
        <v>45957</v>
      </c>
      <c r="AH27" s="397">
        <v>45964</v>
      </c>
    </row>
    <row r="28" spans="1:34" s="48" customFormat="1" ht="12.6" customHeight="1">
      <c r="A28" s="403">
        <v>199024</v>
      </c>
      <c r="B28" s="682">
        <v>1020</v>
      </c>
      <c r="C28" s="683">
        <v>532</v>
      </c>
      <c r="D28" s="868" t="s">
        <v>2101</v>
      </c>
      <c r="E28" s="657">
        <v>45996</v>
      </c>
      <c r="F28" s="398">
        <v>1</v>
      </c>
      <c r="G28" s="399">
        <v>45898</v>
      </c>
      <c r="H28" s="362"/>
      <c r="I28" s="400" t="s">
        <v>338</v>
      </c>
      <c r="J28" s="398" t="s">
        <v>2012</v>
      </c>
      <c r="K28" s="401">
        <v>4500011315</v>
      </c>
      <c r="L28" s="402">
        <v>542640</v>
      </c>
      <c r="M28" s="724" t="s">
        <v>2102</v>
      </c>
      <c r="N28" s="405">
        <v>45982</v>
      </c>
      <c r="O28" s="362" t="s">
        <v>2064</v>
      </c>
      <c r="P28" s="399">
        <v>45989</v>
      </c>
      <c r="Q28" s="362" t="s">
        <v>2065</v>
      </c>
      <c r="R28" s="399">
        <v>45993</v>
      </c>
      <c r="S28" s="399" t="s">
        <v>2066</v>
      </c>
      <c r="T28" s="513"/>
      <c r="U28" s="48" t="s">
        <v>2085</v>
      </c>
      <c r="V28" s="400"/>
      <c r="W28" s="363"/>
      <c r="X28" s="406"/>
      <c r="Y28" s="407"/>
      <c r="Z28" s="407"/>
      <c r="AA28" s="405">
        <v>45967</v>
      </c>
      <c r="AB28" s="511"/>
      <c r="AC28" s="407"/>
      <c r="AD28" s="407"/>
      <c r="AE28" s="512"/>
      <c r="AF28" s="523"/>
      <c r="AG28" s="399">
        <v>45971</v>
      </c>
      <c r="AH28" s="397">
        <v>45978</v>
      </c>
    </row>
    <row r="29" spans="1:34" s="48" customFormat="1" ht="12.6" customHeight="1">
      <c r="A29" s="403">
        <v>216521</v>
      </c>
      <c r="B29" s="682">
        <v>72</v>
      </c>
      <c r="C29" s="683">
        <v>830</v>
      </c>
      <c r="D29" s="867" t="s">
        <v>2100</v>
      </c>
      <c r="E29" s="657">
        <v>45996</v>
      </c>
      <c r="F29" s="398">
        <v>1</v>
      </c>
      <c r="G29" s="399">
        <v>45898</v>
      </c>
      <c r="H29" s="362"/>
      <c r="I29" s="400" t="s">
        <v>446</v>
      </c>
      <c r="J29" s="398" t="s">
        <v>2082</v>
      </c>
      <c r="K29" s="401">
        <v>4500011316</v>
      </c>
      <c r="L29" s="402">
        <v>59760</v>
      </c>
      <c r="M29" s="865">
        <v>45972</v>
      </c>
      <c r="N29" s="866">
        <v>45982</v>
      </c>
      <c r="O29" s="362" t="s">
        <v>2064</v>
      </c>
      <c r="P29" s="399">
        <v>45989</v>
      </c>
      <c r="Q29" s="362" t="s">
        <v>2065</v>
      </c>
      <c r="R29" s="399">
        <v>45993</v>
      </c>
      <c r="S29" s="399" t="s">
        <v>2066</v>
      </c>
      <c r="T29" s="685" t="s">
        <v>2091</v>
      </c>
      <c r="U29" s="404" t="s">
        <v>2085</v>
      </c>
      <c r="V29" s="400"/>
      <c r="W29" s="363"/>
      <c r="X29" s="406"/>
      <c r="Y29" s="407"/>
      <c r="Z29" s="407"/>
      <c r="AA29" s="405">
        <v>45967</v>
      </c>
      <c r="AB29" s="511"/>
      <c r="AC29" s="407"/>
      <c r="AD29" s="407"/>
      <c r="AE29" s="512"/>
      <c r="AF29" s="523"/>
      <c r="AG29" s="399">
        <v>45971</v>
      </c>
      <c r="AH29" s="397">
        <v>45978</v>
      </c>
    </row>
    <row r="30" spans="1:34" s="48" customFormat="1" ht="12.6" customHeight="1">
      <c r="A30" s="403">
        <v>220801</v>
      </c>
      <c r="B30" s="682">
        <v>150</v>
      </c>
      <c r="C30" s="683">
        <v>1351</v>
      </c>
      <c r="D30" s="868" t="s">
        <v>2101</v>
      </c>
      <c r="E30" s="657">
        <v>45996</v>
      </c>
      <c r="F30" s="398">
        <v>1</v>
      </c>
      <c r="G30" s="399">
        <v>45912</v>
      </c>
      <c r="H30" s="362"/>
      <c r="I30" s="400" t="s">
        <v>211</v>
      </c>
      <c r="J30" s="398" t="s">
        <v>2012</v>
      </c>
      <c r="K30" s="401">
        <v>4500011420</v>
      </c>
      <c r="L30" s="402">
        <v>202650</v>
      </c>
      <c r="M30" s="724" t="s">
        <v>2102</v>
      </c>
      <c r="N30" s="405">
        <v>45982</v>
      </c>
      <c r="O30" s="362" t="s">
        <v>2064</v>
      </c>
      <c r="P30" s="399">
        <v>45989</v>
      </c>
      <c r="Q30" s="362" t="s">
        <v>2065</v>
      </c>
      <c r="R30" s="399">
        <v>45993</v>
      </c>
      <c r="S30" s="399" t="s">
        <v>2066</v>
      </c>
      <c r="T30" s="513"/>
      <c r="U30" s="48" t="s">
        <v>2085</v>
      </c>
      <c r="V30" s="400"/>
      <c r="W30" s="363"/>
      <c r="X30" s="406"/>
      <c r="Y30" s="407"/>
      <c r="Z30" s="407"/>
      <c r="AA30" s="523"/>
      <c r="AB30" s="511"/>
      <c r="AC30" s="407"/>
      <c r="AD30" s="407"/>
      <c r="AE30" s="512"/>
      <c r="AF30" s="523"/>
      <c r="AG30" s="523"/>
      <c r="AH30" s="523"/>
    </row>
    <row r="31" spans="1:34" s="48" customFormat="1" ht="12.6" customHeight="1">
      <c r="A31" s="403">
        <v>216521</v>
      </c>
      <c r="B31" s="682">
        <v>360</v>
      </c>
      <c r="C31" s="683">
        <v>830</v>
      </c>
      <c r="D31" s="867" t="s">
        <v>2100</v>
      </c>
      <c r="E31" s="657">
        <v>45996</v>
      </c>
      <c r="F31" s="398">
        <v>1</v>
      </c>
      <c r="G31" s="399">
        <v>45912</v>
      </c>
      <c r="H31" s="362"/>
      <c r="I31" s="400" t="s">
        <v>446</v>
      </c>
      <c r="J31" s="398" t="s">
        <v>2082</v>
      </c>
      <c r="K31" s="401">
        <v>4500011421</v>
      </c>
      <c r="L31" s="402">
        <v>298800</v>
      </c>
      <c r="M31" s="865">
        <v>45972</v>
      </c>
      <c r="N31" s="866">
        <v>45982</v>
      </c>
      <c r="O31" s="362" t="s">
        <v>2064</v>
      </c>
      <c r="P31" s="399">
        <v>45989</v>
      </c>
      <c r="Q31" s="362" t="s">
        <v>2065</v>
      </c>
      <c r="R31" s="399">
        <v>45993</v>
      </c>
      <c r="S31" s="399" t="s">
        <v>2066</v>
      </c>
      <c r="T31" s="513"/>
      <c r="U31" s="404" t="s">
        <v>2085</v>
      </c>
      <c r="V31" s="400"/>
      <c r="W31" s="363"/>
      <c r="X31" s="406"/>
      <c r="Y31" s="407"/>
      <c r="Z31" s="407"/>
      <c r="AA31" s="523"/>
      <c r="AB31" s="511"/>
      <c r="AC31" s="407"/>
      <c r="AD31" s="407"/>
      <c r="AE31" s="512"/>
      <c r="AF31" s="523"/>
      <c r="AG31" s="523"/>
      <c r="AH31" s="523"/>
    </row>
    <row r="32" spans="1:34" s="48" customFormat="1" ht="12.6" customHeight="1">
      <c r="A32" s="403">
        <v>222818</v>
      </c>
      <c r="B32" s="682">
        <v>720</v>
      </c>
      <c r="C32" s="683">
        <v>813</v>
      </c>
      <c r="D32" s="867" t="s">
        <v>2100</v>
      </c>
      <c r="E32" s="657">
        <v>45996</v>
      </c>
      <c r="F32" s="660">
        <v>1</v>
      </c>
      <c r="G32" s="399">
        <v>45926</v>
      </c>
      <c r="H32" s="362"/>
      <c r="I32" s="400" t="s">
        <v>301</v>
      </c>
      <c r="J32" s="398" t="s">
        <v>2082</v>
      </c>
      <c r="K32" s="401">
        <v>4500011455</v>
      </c>
      <c r="L32" s="402">
        <v>585360</v>
      </c>
      <c r="M32" s="869" t="s">
        <v>2103</v>
      </c>
      <c r="N32" s="866">
        <v>45982</v>
      </c>
      <c r="O32" s="362" t="s">
        <v>2064</v>
      </c>
      <c r="P32" s="399">
        <v>45989</v>
      </c>
      <c r="Q32" s="362" t="s">
        <v>2065</v>
      </c>
      <c r="R32" s="399">
        <v>45993</v>
      </c>
      <c r="S32" s="399" t="s">
        <v>2066</v>
      </c>
      <c r="T32" s="513"/>
      <c r="U32" s="404" t="s">
        <v>2085</v>
      </c>
      <c r="V32" s="400"/>
      <c r="W32" s="404"/>
      <c r="X32" s="407"/>
      <c r="Y32" s="407"/>
      <c r="Z32" s="407"/>
      <c r="AA32" s="405">
        <v>45981</v>
      </c>
      <c r="AB32" s="511"/>
      <c r="AC32" s="363"/>
      <c r="AD32" s="363"/>
      <c r="AE32" s="512"/>
      <c r="AF32" s="523"/>
      <c r="AG32" s="399">
        <v>45985</v>
      </c>
      <c r="AH32" s="397">
        <v>45992</v>
      </c>
    </row>
    <row r="33" spans="1:34" s="48" customFormat="1" ht="12.6" customHeight="1">
      <c r="A33" s="403">
        <v>222644</v>
      </c>
      <c r="B33" s="682">
        <v>100</v>
      </c>
      <c r="C33" s="683">
        <v>282</v>
      </c>
      <c r="D33" s="867" t="s">
        <v>2100</v>
      </c>
      <c r="E33" s="657">
        <v>45996</v>
      </c>
      <c r="F33" s="398">
        <v>1</v>
      </c>
      <c r="G33" s="399">
        <v>45926</v>
      </c>
      <c r="H33" s="362"/>
      <c r="I33" s="400" t="s">
        <v>841</v>
      </c>
      <c r="J33" s="398" t="s">
        <v>2082</v>
      </c>
      <c r="K33" s="401">
        <v>4500011510</v>
      </c>
      <c r="L33" s="402">
        <v>28200</v>
      </c>
      <c r="M33" s="405">
        <v>45973</v>
      </c>
      <c r="N33" s="866">
        <v>45982</v>
      </c>
      <c r="O33" s="362" t="s">
        <v>2064</v>
      </c>
      <c r="P33" s="399">
        <v>45986</v>
      </c>
      <c r="Q33" s="362" t="s">
        <v>2065</v>
      </c>
      <c r="R33" s="399">
        <v>45990</v>
      </c>
      <c r="S33" s="399" t="s">
        <v>2066</v>
      </c>
      <c r="T33" s="513"/>
      <c r="U33" s="404" t="s">
        <v>2085</v>
      </c>
      <c r="V33" s="489"/>
      <c r="W33" s="363"/>
      <c r="X33" s="407"/>
      <c r="Y33" s="407"/>
      <c r="Z33" s="407"/>
      <c r="AA33" s="405">
        <v>45978</v>
      </c>
      <c r="AB33" s="511"/>
      <c r="AC33" s="363"/>
      <c r="AD33" s="363"/>
      <c r="AE33" s="512"/>
      <c r="AF33" s="523"/>
      <c r="AG33" s="399">
        <v>45982</v>
      </c>
      <c r="AH33" s="397">
        <v>45992</v>
      </c>
    </row>
    <row r="34" spans="1:34" s="48" customFormat="1" ht="12.6" customHeight="1">
      <c r="A34" s="458">
        <v>284153</v>
      </c>
      <c r="B34" s="682">
        <v>2</v>
      </c>
      <c r="C34" s="683">
        <v>311.5</v>
      </c>
      <c r="D34" s="859" t="s">
        <v>2104</v>
      </c>
      <c r="E34" s="657">
        <v>46000</v>
      </c>
      <c r="F34" s="398">
        <v>3</v>
      </c>
      <c r="G34" s="399">
        <v>45932</v>
      </c>
      <c r="H34" s="362"/>
      <c r="I34" s="400" t="s">
        <v>2105</v>
      </c>
      <c r="J34" s="398" t="s">
        <v>2082</v>
      </c>
      <c r="K34" s="401">
        <v>4500011592</v>
      </c>
      <c r="L34" s="402">
        <v>623</v>
      </c>
      <c r="M34" s="399"/>
      <c r="N34" s="399">
        <v>45996</v>
      </c>
      <c r="O34" s="362" t="s">
        <v>2094</v>
      </c>
      <c r="P34" s="399">
        <v>45996</v>
      </c>
      <c r="Q34" s="362" t="s">
        <v>2065</v>
      </c>
      <c r="R34" s="399"/>
      <c r="S34" s="399" t="s">
        <v>2106</v>
      </c>
      <c r="T34" s="513"/>
      <c r="U34" s="404" t="s">
        <v>2085</v>
      </c>
      <c r="V34" s="400"/>
      <c r="W34" s="404"/>
      <c r="X34" s="406"/>
      <c r="Y34" s="407"/>
      <c r="Z34" s="407"/>
      <c r="AA34" s="399">
        <v>46010</v>
      </c>
      <c r="AB34" s="511"/>
      <c r="AC34" s="407"/>
      <c r="AD34" s="407"/>
      <c r="AE34" s="512"/>
      <c r="AF34" s="523"/>
      <c r="AG34" s="399">
        <v>45996</v>
      </c>
      <c r="AH34" s="397">
        <v>46014</v>
      </c>
    </row>
    <row r="35" spans="1:34" s="48" customFormat="1" ht="12.6" customHeight="1">
      <c r="A35" s="458">
        <v>284188</v>
      </c>
      <c r="B35" s="682">
        <v>2</v>
      </c>
      <c r="C35" s="683">
        <v>254.5</v>
      </c>
      <c r="D35" s="859" t="s">
        <v>2104</v>
      </c>
      <c r="E35" s="657">
        <v>46000</v>
      </c>
      <c r="F35" s="398">
        <v>3</v>
      </c>
      <c r="G35" s="399">
        <v>45932</v>
      </c>
      <c r="H35" s="362"/>
      <c r="I35" s="400" t="s">
        <v>2107</v>
      </c>
      <c r="J35" s="398" t="s">
        <v>2082</v>
      </c>
      <c r="K35" s="401">
        <v>4500011593</v>
      </c>
      <c r="L35" s="402">
        <v>509</v>
      </c>
      <c r="M35" s="399"/>
      <c r="N35" s="399">
        <v>45996</v>
      </c>
      <c r="O35" s="362" t="s">
        <v>2094</v>
      </c>
      <c r="P35" s="399">
        <v>45996</v>
      </c>
      <c r="Q35" s="362" t="s">
        <v>2065</v>
      </c>
      <c r="R35" s="399"/>
      <c r="S35" s="399" t="s">
        <v>2106</v>
      </c>
      <c r="T35" s="513"/>
      <c r="U35" s="404" t="s">
        <v>2085</v>
      </c>
      <c r="V35" s="400"/>
      <c r="W35" s="404"/>
      <c r="X35" s="406"/>
      <c r="Y35" s="407"/>
      <c r="Z35" s="407"/>
      <c r="AA35" s="399">
        <v>45996</v>
      </c>
      <c r="AB35" s="511"/>
      <c r="AC35" s="407"/>
      <c r="AD35" s="407"/>
      <c r="AE35" s="512"/>
      <c r="AF35" s="523"/>
      <c r="AG35" s="399">
        <v>45996</v>
      </c>
      <c r="AH35" s="397">
        <v>46000</v>
      </c>
    </row>
    <row r="36" spans="1:34" s="48" customFormat="1" ht="12.6" customHeight="1">
      <c r="A36" s="403">
        <v>281821</v>
      </c>
      <c r="B36" s="682">
        <v>1</v>
      </c>
      <c r="C36" s="683">
        <v>800</v>
      </c>
      <c r="D36" s="859"/>
      <c r="E36" s="657">
        <v>46007</v>
      </c>
      <c r="F36" s="398">
        <v>1</v>
      </c>
      <c r="G36" s="399">
        <v>45926</v>
      </c>
      <c r="H36" s="362"/>
      <c r="I36" s="400" t="s">
        <v>588</v>
      </c>
      <c r="J36" s="398" t="s">
        <v>2012</v>
      </c>
      <c r="K36" s="401">
        <v>4500011512</v>
      </c>
      <c r="L36" s="402">
        <v>800</v>
      </c>
      <c r="M36" s="526" t="s">
        <v>2108</v>
      </c>
      <c r="N36" s="405">
        <v>46003</v>
      </c>
      <c r="O36" s="362" t="s">
        <v>2094</v>
      </c>
      <c r="P36" s="399"/>
      <c r="Q36" s="362" t="s">
        <v>2065</v>
      </c>
      <c r="R36" s="399"/>
      <c r="S36" s="399" t="s">
        <v>2109</v>
      </c>
      <c r="T36" s="513"/>
      <c r="U36" s="48" t="s">
        <v>2085</v>
      </c>
      <c r="V36" s="524" t="s">
        <v>2110</v>
      </c>
      <c r="W36" s="363"/>
      <c r="X36" s="406"/>
      <c r="Y36" s="407"/>
      <c r="Z36" s="407"/>
      <c r="AA36" s="405">
        <v>45996</v>
      </c>
      <c r="AB36" s="511"/>
      <c r="AC36" s="407"/>
      <c r="AD36" s="407"/>
      <c r="AE36" s="512"/>
      <c r="AF36" s="523"/>
      <c r="AG36" s="399">
        <v>46000</v>
      </c>
      <c r="AH36" s="397">
        <v>46007</v>
      </c>
    </row>
    <row r="37" spans="1:34" s="48" customFormat="1" ht="12.6" customHeight="1">
      <c r="A37" s="403">
        <v>281821</v>
      </c>
      <c r="B37" s="682">
        <v>2</v>
      </c>
      <c r="C37" s="683">
        <v>800</v>
      </c>
      <c r="D37" s="859"/>
      <c r="E37" s="657">
        <v>46007</v>
      </c>
      <c r="F37" s="398">
        <v>1</v>
      </c>
      <c r="G37" s="399">
        <v>45926</v>
      </c>
      <c r="H37" s="362"/>
      <c r="I37" s="400" t="s">
        <v>588</v>
      </c>
      <c r="J37" s="398" t="s">
        <v>2012</v>
      </c>
      <c r="K37" s="401">
        <v>4500011512</v>
      </c>
      <c r="L37" s="402">
        <v>1600</v>
      </c>
      <c r="M37" s="526" t="s">
        <v>2108</v>
      </c>
      <c r="N37" s="405">
        <v>46003</v>
      </c>
      <c r="O37" s="362" t="s">
        <v>2094</v>
      </c>
      <c r="P37" s="399"/>
      <c r="Q37" s="362" t="s">
        <v>2065</v>
      </c>
      <c r="R37" s="399"/>
      <c r="S37" s="399" t="s">
        <v>2111</v>
      </c>
      <c r="T37" s="513"/>
      <c r="U37" s="48" t="s">
        <v>2085</v>
      </c>
      <c r="V37" s="524" t="s">
        <v>2110</v>
      </c>
      <c r="W37" s="363"/>
      <c r="X37" s="406"/>
      <c r="Y37" s="407"/>
      <c r="Z37" s="407"/>
      <c r="AA37" s="405">
        <v>45996</v>
      </c>
      <c r="AB37" s="511"/>
      <c r="AC37" s="407"/>
      <c r="AD37" s="407"/>
      <c r="AE37" s="512"/>
      <c r="AF37" s="523"/>
      <c r="AG37" s="399">
        <v>46000</v>
      </c>
      <c r="AH37" s="397">
        <v>46007</v>
      </c>
    </row>
    <row r="38" spans="1:34" s="48" customFormat="1" ht="12.6" customHeight="1">
      <c r="A38" s="403">
        <v>281821</v>
      </c>
      <c r="B38" s="682">
        <v>2</v>
      </c>
      <c r="C38" s="683">
        <v>800</v>
      </c>
      <c r="D38" s="859"/>
      <c r="E38" s="657">
        <v>46007</v>
      </c>
      <c r="F38" s="398">
        <v>1</v>
      </c>
      <c r="G38" s="399">
        <v>45926</v>
      </c>
      <c r="H38" s="362"/>
      <c r="I38" s="400" t="s">
        <v>588</v>
      </c>
      <c r="J38" s="398" t="s">
        <v>2012</v>
      </c>
      <c r="K38" s="401">
        <v>4500011512</v>
      </c>
      <c r="L38" s="402">
        <v>1600</v>
      </c>
      <c r="M38" s="526" t="s">
        <v>2108</v>
      </c>
      <c r="N38" s="405">
        <v>46003</v>
      </c>
      <c r="O38" s="362" t="s">
        <v>2094</v>
      </c>
      <c r="P38" s="399"/>
      <c r="Q38" s="362" t="s">
        <v>2065</v>
      </c>
      <c r="R38" s="399"/>
      <c r="S38" s="399" t="s">
        <v>2095</v>
      </c>
      <c r="T38" s="513"/>
      <c r="U38" s="48" t="s">
        <v>2085</v>
      </c>
      <c r="V38" s="524" t="s">
        <v>2110</v>
      </c>
      <c r="W38" s="363"/>
      <c r="X38" s="406"/>
      <c r="Y38" s="407"/>
      <c r="Z38" s="407"/>
      <c r="AA38" s="405">
        <v>45996</v>
      </c>
      <c r="AB38" s="511"/>
      <c r="AC38" s="407"/>
      <c r="AD38" s="407"/>
      <c r="AE38" s="512"/>
      <c r="AF38" s="523"/>
      <c r="AG38" s="399">
        <v>46000</v>
      </c>
      <c r="AH38" s="397">
        <v>46007</v>
      </c>
    </row>
    <row r="39" spans="1:34" s="48" customFormat="1" ht="12.6" customHeight="1">
      <c r="A39" s="403">
        <v>222649</v>
      </c>
      <c r="B39" s="682">
        <v>150</v>
      </c>
      <c r="C39" s="683">
        <v>474</v>
      </c>
      <c r="D39" s="870" t="s">
        <v>2101</v>
      </c>
      <c r="E39" s="657">
        <v>46010</v>
      </c>
      <c r="F39" s="398">
        <v>1</v>
      </c>
      <c r="G39" s="399">
        <v>45842</v>
      </c>
      <c r="H39" s="362"/>
      <c r="I39" s="400" t="s">
        <v>709</v>
      </c>
      <c r="J39" s="398" t="s">
        <v>2082</v>
      </c>
      <c r="K39" s="401">
        <v>4500010936</v>
      </c>
      <c r="L39" s="402">
        <v>71100</v>
      </c>
      <c r="M39" s="399"/>
      <c r="N39" s="405">
        <v>45996</v>
      </c>
      <c r="O39" s="362" t="s">
        <v>2064</v>
      </c>
      <c r="P39" s="399">
        <v>46000</v>
      </c>
      <c r="Q39" s="362" t="s">
        <v>2065</v>
      </c>
      <c r="R39" s="399">
        <v>46004</v>
      </c>
      <c r="S39" s="399" t="s">
        <v>2066</v>
      </c>
      <c r="T39" s="513"/>
      <c r="U39" s="404" t="s">
        <v>2085</v>
      </c>
      <c r="V39" s="489"/>
      <c r="W39" s="363"/>
      <c r="X39" s="407"/>
      <c r="Y39" s="407"/>
      <c r="Z39" s="407"/>
      <c r="AA39" s="405">
        <v>45992</v>
      </c>
      <c r="AB39" s="511"/>
      <c r="AC39" s="363"/>
      <c r="AD39" s="363"/>
      <c r="AE39" s="512"/>
      <c r="AF39" s="523"/>
      <c r="AG39" s="399">
        <v>45996</v>
      </c>
      <c r="AH39" s="397">
        <v>46006</v>
      </c>
    </row>
    <row r="40" spans="1:34" s="48" customFormat="1" ht="12.6" customHeight="1">
      <c r="A40" s="403">
        <v>222650</v>
      </c>
      <c r="B40" s="682">
        <v>350</v>
      </c>
      <c r="C40" s="683">
        <v>390</v>
      </c>
      <c r="D40" s="871" t="s">
        <v>2101</v>
      </c>
      <c r="E40" s="725">
        <v>46010</v>
      </c>
      <c r="F40" s="398">
        <v>1</v>
      </c>
      <c r="G40" s="399">
        <v>45842</v>
      </c>
      <c r="H40" s="362"/>
      <c r="I40" s="400" t="s">
        <v>765</v>
      </c>
      <c r="J40" s="398" t="s">
        <v>2082</v>
      </c>
      <c r="K40" s="401">
        <v>4500010940</v>
      </c>
      <c r="L40" s="402">
        <v>136500</v>
      </c>
      <c r="M40" s="726" t="s">
        <v>2112</v>
      </c>
      <c r="N40" s="405">
        <v>45996</v>
      </c>
      <c r="O40" s="362" t="s">
        <v>2064</v>
      </c>
      <c r="P40" s="399">
        <v>46000</v>
      </c>
      <c r="Q40" s="362" t="s">
        <v>2065</v>
      </c>
      <c r="R40" s="399">
        <v>46004</v>
      </c>
      <c r="S40" s="399" t="s">
        <v>2066</v>
      </c>
      <c r="T40" s="513"/>
      <c r="U40" s="404" t="s">
        <v>2085</v>
      </c>
      <c r="V40" s="489"/>
      <c r="W40" s="363"/>
      <c r="X40" s="407"/>
      <c r="Y40" s="407"/>
      <c r="Z40" s="407"/>
      <c r="AA40" s="405">
        <v>45992</v>
      </c>
      <c r="AB40" s="511"/>
      <c r="AC40" s="363"/>
      <c r="AD40" s="363"/>
      <c r="AE40" s="512"/>
      <c r="AF40" s="523"/>
      <c r="AG40" s="399">
        <v>45996</v>
      </c>
      <c r="AH40" s="397">
        <v>46006</v>
      </c>
    </row>
    <row r="41" spans="1:34" s="48" customFormat="1" ht="12.6" customHeight="1">
      <c r="A41" s="403">
        <v>223058</v>
      </c>
      <c r="B41" s="682">
        <v>150</v>
      </c>
      <c r="C41" s="683">
        <v>786</v>
      </c>
      <c r="D41" s="871" t="s">
        <v>2101</v>
      </c>
      <c r="E41" s="725">
        <v>46010</v>
      </c>
      <c r="F41" s="660">
        <v>1</v>
      </c>
      <c r="G41" s="399">
        <v>45940</v>
      </c>
      <c r="H41" s="362"/>
      <c r="I41" s="400" t="s">
        <v>726</v>
      </c>
      <c r="J41" s="398" t="s">
        <v>2082</v>
      </c>
      <c r="K41" s="401">
        <v>4500011638</v>
      </c>
      <c r="L41" s="402">
        <v>117900</v>
      </c>
      <c r="M41" s="686"/>
      <c r="N41" s="405">
        <v>45996</v>
      </c>
      <c r="O41" s="362" t="s">
        <v>2064</v>
      </c>
      <c r="P41" s="399">
        <v>46003</v>
      </c>
      <c r="Q41" s="362" t="s">
        <v>2065</v>
      </c>
      <c r="R41" s="399">
        <v>46007</v>
      </c>
      <c r="S41" s="399" t="s">
        <v>2066</v>
      </c>
      <c r="T41" s="513"/>
      <c r="U41" s="404" t="s">
        <v>2085</v>
      </c>
      <c r="V41" s="400"/>
      <c r="W41" s="404"/>
      <c r="X41" s="363"/>
      <c r="Y41" s="363"/>
      <c r="Z41" s="363"/>
      <c r="AA41" s="405">
        <v>45995</v>
      </c>
      <c r="AB41" s="363"/>
      <c r="AC41" s="363"/>
      <c r="AD41" s="363"/>
      <c r="AE41" s="653"/>
      <c r="AF41" s="654"/>
      <c r="AG41" s="399">
        <v>45999</v>
      </c>
      <c r="AH41" s="397">
        <v>46006</v>
      </c>
    </row>
    <row r="42" spans="1:34" s="48" customFormat="1" ht="12.6" customHeight="1">
      <c r="A42" s="458">
        <v>216524</v>
      </c>
      <c r="B42" s="682">
        <v>144</v>
      </c>
      <c r="C42" s="683">
        <v>772</v>
      </c>
      <c r="D42" s="871" t="s">
        <v>2101</v>
      </c>
      <c r="E42" s="725">
        <v>46010</v>
      </c>
      <c r="F42" s="660">
        <v>1</v>
      </c>
      <c r="G42" s="399">
        <v>45947</v>
      </c>
      <c r="H42" s="362"/>
      <c r="I42" s="400" t="s">
        <v>451</v>
      </c>
      <c r="J42" s="398" t="s">
        <v>2082</v>
      </c>
      <c r="K42" s="401">
        <v>4500011670</v>
      </c>
      <c r="L42" s="402">
        <v>111168</v>
      </c>
      <c r="M42" s="687" t="s">
        <v>2113</v>
      </c>
      <c r="N42" s="405">
        <v>45996</v>
      </c>
      <c r="O42" s="362" t="s">
        <v>2064</v>
      </c>
      <c r="P42" s="399">
        <v>46003</v>
      </c>
      <c r="Q42" s="362" t="s">
        <v>2065</v>
      </c>
      <c r="R42" s="399">
        <v>46007</v>
      </c>
      <c r="S42" s="399" t="s">
        <v>2066</v>
      </c>
      <c r="T42" s="513"/>
      <c r="U42" s="404" t="s">
        <v>2085</v>
      </c>
      <c r="V42" s="400"/>
      <c r="W42" s="404"/>
      <c r="X42" s="406"/>
      <c r="Y42" s="407"/>
      <c r="Z42" s="407"/>
      <c r="AA42" s="523">
        <v>46002</v>
      </c>
      <c r="AB42" s="511"/>
      <c r="AC42" s="407"/>
      <c r="AD42" s="407"/>
      <c r="AE42" s="512"/>
      <c r="AF42" s="523"/>
      <c r="AG42" s="523">
        <v>46006</v>
      </c>
      <c r="AH42" s="727">
        <v>46013</v>
      </c>
    </row>
    <row r="43" spans="1:34" s="48" customFormat="1" ht="12.6" customHeight="1">
      <c r="A43" s="403">
        <v>216787</v>
      </c>
      <c r="B43" s="682">
        <v>360</v>
      </c>
      <c r="C43" s="683">
        <v>733</v>
      </c>
      <c r="D43" s="871" t="s">
        <v>2101</v>
      </c>
      <c r="E43" s="725">
        <v>46010</v>
      </c>
      <c r="F43" s="660">
        <v>1</v>
      </c>
      <c r="G43" s="399">
        <v>45947</v>
      </c>
      <c r="H43" s="362"/>
      <c r="I43" s="400" t="s">
        <v>488</v>
      </c>
      <c r="J43" s="398" t="s">
        <v>2082</v>
      </c>
      <c r="K43" s="401">
        <v>4500011671</v>
      </c>
      <c r="L43" s="402">
        <v>263880</v>
      </c>
      <c r="M43" s="687" t="s">
        <v>2113</v>
      </c>
      <c r="N43" s="405">
        <v>45996</v>
      </c>
      <c r="O43" s="362" t="s">
        <v>2064</v>
      </c>
      <c r="P43" s="399">
        <v>46003</v>
      </c>
      <c r="Q43" s="362" t="s">
        <v>2065</v>
      </c>
      <c r="R43" s="399">
        <v>46007</v>
      </c>
      <c r="S43" s="399" t="s">
        <v>2066</v>
      </c>
      <c r="T43" s="513"/>
      <c r="U43" s="404" t="s">
        <v>2085</v>
      </c>
      <c r="V43" s="400"/>
      <c r="W43" s="404"/>
      <c r="X43" s="406"/>
      <c r="Y43" s="407"/>
      <c r="Z43" s="407"/>
      <c r="AA43" s="523">
        <v>46002</v>
      </c>
      <c r="AB43" s="511"/>
      <c r="AC43" s="407"/>
      <c r="AD43" s="407"/>
      <c r="AE43" s="512"/>
      <c r="AF43" s="523"/>
      <c r="AG43" s="523">
        <v>46006</v>
      </c>
      <c r="AH43" s="727">
        <v>46013</v>
      </c>
    </row>
    <row r="44" spans="1:34" s="48" customFormat="1" ht="12.6" customHeight="1">
      <c r="A44" s="458">
        <v>284152</v>
      </c>
      <c r="B44" s="682">
        <v>3</v>
      </c>
      <c r="C44" s="683">
        <v>392.5</v>
      </c>
      <c r="D44" s="859" t="s">
        <v>2114</v>
      </c>
      <c r="E44" s="657">
        <v>46014</v>
      </c>
      <c r="F44" s="398">
        <v>3</v>
      </c>
      <c r="G44" s="399">
        <v>45932</v>
      </c>
      <c r="H44" s="362"/>
      <c r="I44" s="400" t="s">
        <v>2115</v>
      </c>
      <c r="J44" s="398" t="s">
        <v>2082</v>
      </c>
      <c r="K44" s="401">
        <v>4500011591</v>
      </c>
      <c r="L44" s="402">
        <v>1177.5</v>
      </c>
      <c r="M44" s="399"/>
      <c r="N44" s="399">
        <v>46010</v>
      </c>
      <c r="O44" s="362" t="s">
        <v>2094</v>
      </c>
      <c r="P44" s="399">
        <v>46010</v>
      </c>
      <c r="Q44" s="362" t="s">
        <v>2065</v>
      </c>
      <c r="R44" s="399"/>
      <c r="S44" s="399" t="s">
        <v>2116</v>
      </c>
      <c r="T44" s="513"/>
      <c r="U44" s="404" t="s">
        <v>2085</v>
      </c>
      <c r="V44" s="400"/>
      <c r="W44" s="404"/>
      <c r="X44" s="406"/>
      <c r="Y44" s="407"/>
      <c r="Z44" s="407"/>
      <c r="AA44" s="399">
        <v>46010</v>
      </c>
      <c r="AB44" s="511"/>
      <c r="AC44" s="407"/>
      <c r="AD44" s="407"/>
      <c r="AE44" s="512"/>
      <c r="AF44" s="523"/>
      <c r="AG44" s="399">
        <v>0</v>
      </c>
      <c r="AH44" s="397">
        <v>46014</v>
      </c>
    </row>
    <row r="45" spans="1:34" s="48" customFormat="1" ht="12.6" customHeight="1">
      <c r="A45" s="651">
        <v>251110</v>
      </c>
      <c r="B45" s="682">
        <v>128</v>
      </c>
      <c r="C45" s="683">
        <v>960</v>
      </c>
      <c r="D45" s="728" t="s">
        <v>2117</v>
      </c>
      <c r="E45" s="725">
        <v>46017</v>
      </c>
      <c r="F45" s="398">
        <v>1</v>
      </c>
      <c r="G45" s="399">
        <v>45842</v>
      </c>
      <c r="H45" s="362"/>
      <c r="I45" s="400" t="s">
        <v>247</v>
      </c>
      <c r="J45" s="398" t="s">
        <v>2082</v>
      </c>
      <c r="K45" s="401">
        <v>4500010945</v>
      </c>
      <c r="L45" s="402">
        <v>122880</v>
      </c>
      <c r="M45" s="399" t="s">
        <v>2118</v>
      </c>
      <c r="N45" s="405">
        <v>46003</v>
      </c>
      <c r="O45" s="362" t="s">
        <v>2064</v>
      </c>
      <c r="P45" s="399">
        <v>46010</v>
      </c>
      <c r="Q45" s="362" t="s">
        <v>2065</v>
      </c>
      <c r="R45" s="399">
        <v>46014</v>
      </c>
      <c r="S45" s="399" t="s">
        <v>2066</v>
      </c>
      <c r="T45" s="513"/>
      <c r="U45" s="404" t="s">
        <v>2085</v>
      </c>
      <c r="V45" s="489"/>
      <c r="W45" s="363"/>
      <c r="X45" s="658"/>
      <c r="Y45" s="658"/>
      <c r="Z45" s="658"/>
      <c r="AA45" s="659">
        <v>45988</v>
      </c>
      <c r="AB45" s="658"/>
      <c r="AC45" s="658"/>
      <c r="AD45" s="363"/>
      <c r="AE45" s="653"/>
      <c r="AF45" s="654"/>
      <c r="AG45" s="654">
        <v>45992</v>
      </c>
      <c r="AH45" s="657">
        <v>45999</v>
      </c>
    </row>
    <row r="46" spans="1:34" s="48" customFormat="1" ht="12.6" customHeight="1">
      <c r="A46" s="403">
        <v>281821</v>
      </c>
      <c r="B46" s="682">
        <v>700</v>
      </c>
      <c r="C46" s="683">
        <v>800</v>
      </c>
      <c r="D46" s="872" t="s">
        <v>2119</v>
      </c>
      <c r="E46" s="657">
        <v>46017</v>
      </c>
      <c r="F46" s="398">
        <v>1</v>
      </c>
      <c r="G46" s="399">
        <v>45926</v>
      </c>
      <c r="H46" s="362"/>
      <c r="I46" s="488" t="s">
        <v>588</v>
      </c>
      <c r="J46" s="398" t="s">
        <v>2012</v>
      </c>
      <c r="K46" s="401">
        <v>4500011513</v>
      </c>
      <c r="L46" s="402">
        <v>560000</v>
      </c>
      <c r="M46" s="729" t="s">
        <v>2120</v>
      </c>
      <c r="N46" s="405">
        <v>46003</v>
      </c>
      <c r="O46" s="362" t="s">
        <v>2064</v>
      </c>
      <c r="P46" s="399">
        <v>46010</v>
      </c>
      <c r="Q46" s="362" t="s">
        <v>2065</v>
      </c>
      <c r="R46" s="399">
        <v>46014</v>
      </c>
      <c r="S46" s="399" t="s">
        <v>2066</v>
      </c>
      <c r="T46" s="513"/>
      <c r="U46" s="48" t="s">
        <v>2085</v>
      </c>
      <c r="V46" s="489" t="s">
        <v>2090</v>
      </c>
      <c r="W46" s="363"/>
      <c r="X46" s="406"/>
      <c r="Y46" s="407"/>
      <c r="Z46" s="407"/>
      <c r="AA46" s="405">
        <v>46002</v>
      </c>
      <c r="AB46" s="511"/>
      <c r="AC46" s="407"/>
      <c r="AD46" s="407"/>
      <c r="AE46" s="512"/>
      <c r="AF46" s="523"/>
      <c r="AG46" s="399">
        <v>46006</v>
      </c>
      <c r="AH46" s="397">
        <v>46013</v>
      </c>
    </row>
    <row r="47" spans="1:34" s="48" customFormat="1" ht="12.6" customHeight="1">
      <c r="A47" s="403">
        <v>212347</v>
      </c>
      <c r="B47" s="682">
        <v>80</v>
      </c>
      <c r="C47" s="683">
        <v>2600</v>
      </c>
      <c r="D47" s="728" t="s">
        <v>2117</v>
      </c>
      <c r="E47" s="725">
        <v>46017</v>
      </c>
      <c r="F47" s="660">
        <v>1</v>
      </c>
      <c r="G47" s="399">
        <v>45932</v>
      </c>
      <c r="H47" s="362"/>
      <c r="I47" s="400" t="s">
        <v>152</v>
      </c>
      <c r="J47" s="398" t="s">
        <v>2082</v>
      </c>
      <c r="K47" s="401">
        <v>4500011560</v>
      </c>
      <c r="L47" s="402">
        <v>208000</v>
      </c>
      <c r="M47" s="399" t="s">
        <v>2121</v>
      </c>
      <c r="N47" s="405">
        <v>46003</v>
      </c>
      <c r="O47" s="362" t="s">
        <v>2064</v>
      </c>
      <c r="P47" s="399">
        <v>46010</v>
      </c>
      <c r="Q47" s="362" t="s">
        <v>2065</v>
      </c>
      <c r="R47" s="399">
        <v>46014</v>
      </c>
      <c r="S47" s="399" t="s">
        <v>2066</v>
      </c>
      <c r="T47" s="859"/>
      <c r="U47" s="404" t="s">
        <v>2085</v>
      </c>
      <c r="V47" s="489"/>
      <c r="W47" s="404"/>
      <c r="X47" s="363"/>
      <c r="Y47" s="363"/>
      <c r="Z47" s="363"/>
      <c r="AA47" s="663">
        <v>46002</v>
      </c>
      <c r="AB47" s="363"/>
      <c r="AC47" s="363"/>
      <c r="AD47" s="363"/>
      <c r="AE47" s="653"/>
      <c r="AF47" s="654"/>
      <c r="AG47" s="662">
        <v>46006</v>
      </c>
      <c r="AH47" s="661">
        <v>46013</v>
      </c>
    </row>
    <row r="48" spans="1:34" s="48" customFormat="1" ht="12.6" customHeight="1">
      <c r="A48" s="403">
        <v>222644</v>
      </c>
      <c r="B48" s="682">
        <v>100</v>
      </c>
      <c r="C48" s="683">
        <v>282</v>
      </c>
      <c r="D48" s="728" t="s">
        <v>2117</v>
      </c>
      <c r="E48" s="725">
        <v>46017</v>
      </c>
      <c r="F48" s="398">
        <v>1</v>
      </c>
      <c r="G48" s="399">
        <v>45932</v>
      </c>
      <c r="H48" s="362"/>
      <c r="I48" s="400" t="s">
        <v>841</v>
      </c>
      <c r="J48" s="398" t="s">
        <v>2082</v>
      </c>
      <c r="K48" s="401">
        <v>4500011561</v>
      </c>
      <c r="L48" s="402">
        <v>28200</v>
      </c>
      <c r="M48" s="399"/>
      <c r="N48" s="405">
        <v>46003</v>
      </c>
      <c r="O48" s="362" t="s">
        <v>2064</v>
      </c>
      <c r="P48" s="399">
        <v>46007</v>
      </c>
      <c r="Q48" s="362" t="s">
        <v>2065</v>
      </c>
      <c r="R48" s="399">
        <v>46011</v>
      </c>
      <c r="S48" s="399" t="s">
        <v>2066</v>
      </c>
      <c r="T48" s="513"/>
      <c r="U48" s="404" t="s">
        <v>2085</v>
      </c>
      <c r="V48" s="489"/>
      <c r="W48" s="363"/>
      <c r="X48" s="407"/>
      <c r="Y48" s="407"/>
      <c r="Z48" s="407"/>
      <c r="AA48" s="663">
        <v>45999</v>
      </c>
      <c r="AB48" s="511"/>
      <c r="AC48" s="363"/>
      <c r="AD48" s="363"/>
      <c r="AE48" s="512"/>
      <c r="AF48" s="523"/>
      <c r="AG48" s="662">
        <v>46003</v>
      </c>
      <c r="AH48" s="661">
        <v>46013</v>
      </c>
    </row>
    <row r="49" spans="1:34" s="48" customFormat="1" ht="12.6" customHeight="1">
      <c r="A49" s="458">
        <v>216518</v>
      </c>
      <c r="B49" s="682">
        <v>150</v>
      </c>
      <c r="C49" s="683">
        <v>1065</v>
      </c>
      <c r="D49" s="728" t="s">
        <v>2117</v>
      </c>
      <c r="E49" s="730">
        <v>46017</v>
      </c>
      <c r="F49" s="660">
        <v>1</v>
      </c>
      <c r="G49" s="399">
        <v>45947</v>
      </c>
      <c r="H49" s="362"/>
      <c r="I49" s="400" t="s">
        <v>411</v>
      </c>
      <c r="J49" s="398" t="s">
        <v>2082</v>
      </c>
      <c r="K49" s="401">
        <v>4500011668</v>
      </c>
      <c r="L49" s="402">
        <v>159750</v>
      </c>
      <c r="M49" s="687" t="s">
        <v>2122</v>
      </c>
      <c r="N49" s="405">
        <v>46003</v>
      </c>
      <c r="O49" s="362" t="s">
        <v>2064</v>
      </c>
      <c r="P49" s="399">
        <v>46010</v>
      </c>
      <c r="Q49" s="362" t="s">
        <v>2065</v>
      </c>
      <c r="R49" s="399">
        <v>46014</v>
      </c>
      <c r="S49" s="399" t="s">
        <v>2066</v>
      </c>
      <c r="T49" s="513"/>
      <c r="U49" s="404" t="s">
        <v>2085</v>
      </c>
      <c r="V49" s="400"/>
      <c r="W49" s="404"/>
      <c r="X49" s="406"/>
      <c r="Y49" s="407"/>
      <c r="Z49" s="407"/>
      <c r="AA49" s="523">
        <v>46009</v>
      </c>
      <c r="AB49" s="511"/>
      <c r="AC49" s="407"/>
      <c r="AD49" s="407"/>
      <c r="AE49" s="512"/>
      <c r="AF49" s="523"/>
      <c r="AG49" s="523">
        <v>46013</v>
      </c>
      <c r="AH49" s="727">
        <v>46020</v>
      </c>
    </row>
    <row r="50" spans="1:34" s="48" customFormat="1" ht="12.6" customHeight="1">
      <c r="A50" s="403">
        <v>216521</v>
      </c>
      <c r="B50" s="682">
        <v>288</v>
      </c>
      <c r="C50" s="683">
        <v>830</v>
      </c>
      <c r="D50" s="873" t="s">
        <v>2101</v>
      </c>
      <c r="E50" s="657">
        <v>46031</v>
      </c>
      <c r="F50" s="660">
        <v>1</v>
      </c>
      <c r="G50" s="399">
        <v>45947</v>
      </c>
      <c r="H50" s="362"/>
      <c r="I50" s="400" t="s">
        <v>446</v>
      </c>
      <c r="J50" s="398" t="s">
        <v>2082</v>
      </c>
      <c r="K50" s="401">
        <v>4500011669</v>
      </c>
      <c r="L50" s="402">
        <v>239040</v>
      </c>
      <c r="M50" s="687"/>
      <c r="N50" s="405">
        <v>46017</v>
      </c>
      <c r="O50" s="362" t="s">
        <v>2064</v>
      </c>
      <c r="P50" s="399">
        <v>46024</v>
      </c>
      <c r="Q50" s="362" t="s">
        <v>2065</v>
      </c>
      <c r="R50" s="399">
        <v>46028</v>
      </c>
      <c r="S50" s="399" t="s">
        <v>2066</v>
      </c>
      <c r="T50" s="513"/>
      <c r="U50" s="404" t="s">
        <v>2085</v>
      </c>
      <c r="V50" s="400"/>
      <c r="W50" s="404"/>
      <c r="X50" s="406"/>
      <c r="Y50" s="407"/>
      <c r="Z50" s="407"/>
      <c r="AA50" s="523">
        <v>46016</v>
      </c>
      <c r="AB50" s="511"/>
      <c r="AC50" s="407"/>
      <c r="AD50" s="407"/>
      <c r="AE50" s="512"/>
      <c r="AF50" s="523"/>
      <c r="AG50" s="523">
        <v>46020</v>
      </c>
      <c r="AH50" s="727">
        <v>46027</v>
      </c>
    </row>
    <row r="51" spans="1:34" s="48" customFormat="1" ht="12.6" customHeight="1">
      <c r="A51" s="403">
        <v>223058</v>
      </c>
      <c r="B51" s="682">
        <v>200</v>
      </c>
      <c r="C51" s="683">
        <v>786</v>
      </c>
      <c r="D51" s="873" t="s">
        <v>2123</v>
      </c>
      <c r="E51" s="731">
        <v>46031</v>
      </c>
      <c r="F51" s="660">
        <v>1</v>
      </c>
      <c r="G51" s="399">
        <v>45947</v>
      </c>
      <c r="H51" s="362"/>
      <c r="I51" s="400" t="s">
        <v>726</v>
      </c>
      <c r="J51" s="398" t="s">
        <v>2082</v>
      </c>
      <c r="K51" s="655">
        <v>4500011672</v>
      </c>
      <c r="L51" s="402">
        <v>157200</v>
      </c>
      <c r="M51" s="732"/>
      <c r="N51" s="405">
        <v>46017</v>
      </c>
      <c r="O51" s="362" t="s">
        <v>2064</v>
      </c>
      <c r="P51" s="399">
        <v>46024</v>
      </c>
      <c r="Q51" s="362" t="s">
        <v>2065</v>
      </c>
      <c r="R51" s="399">
        <v>46028</v>
      </c>
      <c r="S51" s="399" t="s">
        <v>2066</v>
      </c>
      <c r="T51" s="513"/>
      <c r="U51" s="404" t="s">
        <v>2085</v>
      </c>
      <c r="V51" s="400"/>
      <c r="W51" s="404"/>
      <c r="X51" s="363"/>
      <c r="Y51" s="363"/>
      <c r="Z51" s="363"/>
      <c r="AA51" s="405">
        <v>45954</v>
      </c>
      <c r="AB51" s="363"/>
      <c r="AC51" s="363"/>
      <c r="AD51" s="363"/>
      <c r="AE51" s="653"/>
      <c r="AF51" s="654"/>
      <c r="AG51" s="399">
        <v>46013</v>
      </c>
      <c r="AH51" s="397">
        <v>46020</v>
      </c>
    </row>
    <row r="52" spans="1:34" s="48" customFormat="1" ht="12.6" customHeight="1">
      <c r="A52" s="651">
        <v>286431</v>
      </c>
      <c r="B52" s="688">
        <v>598</v>
      </c>
      <c r="C52" s="683">
        <v>390</v>
      </c>
      <c r="D52" s="874" t="s">
        <v>2124</v>
      </c>
      <c r="E52" s="731">
        <v>46031</v>
      </c>
      <c r="F52" s="660">
        <v>1</v>
      </c>
      <c r="G52" s="399">
        <v>45947</v>
      </c>
      <c r="H52" s="689"/>
      <c r="I52" s="721" t="s">
        <v>758</v>
      </c>
      <c r="J52" s="660" t="s">
        <v>2082</v>
      </c>
      <c r="K52" s="401">
        <v>4500011677</v>
      </c>
      <c r="L52" s="690">
        <v>233220</v>
      </c>
      <c r="M52" s="526"/>
      <c r="N52" s="405">
        <v>46017</v>
      </c>
      <c r="O52" s="689" t="s">
        <v>2064</v>
      </c>
      <c r="P52" s="399">
        <v>46024</v>
      </c>
      <c r="Q52" s="689" t="s">
        <v>2065</v>
      </c>
      <c r="R52" s="399">
        <v>46028</v>
      </c>
      <c r="S52" s="691" t="s">
        <v>2066</v>
      </c>
      <c r="T52" s="692"/>
      <c r="U52" s="404" t="s">
        <v>2085</v>
      </c>
      <c r="V52" s="524" t="s">
        <v>2125</v>
      </c>
      <c r="W52" s="404"/>
      <c r="X52" s="691"/>
      <c r="Y52" s="691"/>
      <c r="Z52" s="691"/>
      <c r="AA52" s="693">
        <v>46009</v>
      </c>
      <c r="AB52" s="694"/>
      <c r="AC52" s="695"/>
      <c r="AD52" s="695"/>
      <c r="AE52" s="696"/>
      <c r="AF52" s="697"/>
      <c r="AG52" s="691">
        <v>46013</v>
      </c>
      <c r="AH52" s="698">
        <v>46020</v>
      </c>
    </row>
    <row r="53" spans="1:34" s="48" customFormat="1" ht="12.6" customHeight="1">
      <c r="A53" s="403">
        <v>281821</v>
      </c>
      <c r="B53" s="682">
        <v>500</v>
      </c>
      <c r="C53" s="683">
        <v>800</v>
      </c>
      <c r="D53" s="859"/>
      <c r="E53" s="657">
        <v>46041</v>
      </c>
      <c r="F53" s="398">
        <v>1</v>
      </c>
      <c r="G53" s="405">
        <v>45961</v>
      </c>
      <c r="H53" s="362"/>
      <c r="I53" s="400" t="s">
        <v>588</v>
      </c>
      <c r="J53" s="398" t="s">
        <v>2012</v>
      </c>
      <c r="K53" s="401">
        <v>4500011793</v>
      </c>
      <c r="L53" s="402">
        <v>400000</v>
      </c>
      <c r="M53" s="526"/>
      <c r="N53" s="405">
        <v>46030</v>
      </c>
      <c r="O53" s="362" t="s">
        <v>2064</v>
      </c>
      <c r="P53" s="399">
        <v>46034</v>
      </c>
      <c r="Q53" s="362" t="s">
        <v>2065</v>
      </c>
      <c r="R53" s="399">
        <v>46038</v>
      </c>
      <c r="S53" s="399" t="s">
        <v>2066</v>
      </c>
      <c r="T53" s="513"/>
      <c r="U53" s="48" t="s">
        <v>2085</v>
      </c>
      <c r="V53" s="400"/>
      <c r="W53" s="363"/>
      <c r="X53" s="406"/>
      <c r="Y53" s="407"/>
      <c r="Z53" s="407"/>
      <c r="AA53" s="405">
        <v>46030</v>
      </c>
      <c r="AB53" s="511"/>
      <c r="AC53" s="407"/>
      <c r="AD53" s="407"/>
      <c r="AE53" s="512"/>
      <c r="AF53" s="523"/>
      <c r="AG53" s="399">
        <v>46034</v>
      </c>
      <c r="AH53" s="657">
        <v>46041</v>
      </c>
    </row>
    <row r="54" spans="1:34" s="48" customFormat="1" ht="12.6" hidden="1" customHeight="1"/>
    <row r="55" spans="1:34" s="48" customFormat="1" ht="12.6" hidden="1" customHeight="1"/>
    <row r="56" spans="1:34" s="48" customFormat="1" ht="12.6" hidden="1" customHeight="1"/>
    <row r="57" spans="1:34" s="48" customFormat="1" ht="12.6" hidden="1" customHeight="1"/>
    <row r="58" spans="1:34" s="48" customFormat="1" ht="12.6" hidden="1" customHeight="1"/>
    <row r="59" spans="1:34" s="48" customFormat="1" ht="12.6" hidden="1" customHeight="1"/>
    <row r="60" spans="1:34" s="48" customFormat="1" ht="12.6" hidden="1" customHeight="1"/>
    <row r="61" spans="1:34" s="48" customFormat="1" ht="12.6" hidden="1" customHeight="1"/>
    <row r="62" spans="1:34" s="48" customFormat="1" ht="12.6" hidden="1" customHeight="1"/>
    <row r="63" spans="1:34" s="48" customFormat="1" ht="12.6" customHeight="1"/>
  </sheetData>
  <autoFilter ref="A1:AH62" xr:uid="{6928950C-8EC1-42AE-A2C3-CB87E9E8B3FA}">
    <filterColumn colId="20">
      <customFilters>
        <customFilter operator="notEqual" val=" "/>
      </customFilters>
    </filterColumn>
  </autoFilter>
  <phoneticPr fontId="4"/>
  <conditionalFormatting sqref="E1:E53">
    <cfRule type="timePeriod" dxfId="21" priority="9" timePeriod="nextWeek">
      <formula>AND(ROUNDDOWN(E1,0)-TODAY()&gt;(7-WEEKDAY(TODAY())),ROUNDDOWN(E1,0)-TODAY()&lt;(15-WEEKDAY(TODAY())))</formula>
    </cfRule>
    <cfRule type="timePeriod" dxfId="20" priority="10" timePeriod="thisWeek">
      <formula>AND(TODAY()-ROUNDDOWN(E1,0)&lt;=WEEKDAY(TODAY())-1,ROUNDDOWN(E1,0)-TODAY()&lt;=7-WEEKDAY(TODAY()))</formula>
    </cfRule>
  </conditionalFormatting>
  <conditionalFormatting sqref="N1">
    <cfRule type="timePeriod" dxfId="19" priority="41" timePeriod="nextWeek">
      <formula>AND(ROUNDDOWN(N1,0)-TODAY()&gt;(7-WEEKDAY(TODAY())),ROUNDDOWN(N1,0)-TODAY()&lt;(15-WEEKDAY(TODAY())))</formula>
    </cfRule>
    <cfRule type="timePeriod" dxfId="18" priority="42" timePeriod="thisWeek">
      <formula>AND(TODAY()-ROUNDDOWN(N1,0)&lt;=WEEKDAY(TODAY())-1,ROUNDDOWN(N1,0)-TODAY()&lt;=7-WEEKDAY(TODAY()))</formula>
    </cfRule>
  </conditionalFormatting>
  <conditionalFormatting sqref="N3:N8">
    <cfRule type="timePeriod" dxfId="17" priority="27" timePeriod="nextWeek">
      <formula>AND(ROUNDDOWN(N3,0)-TODAY()&gt;(7-WEEKDAY(TODAY())),ROUNDDOWN(N3,0)-TODAY()&lt;(15-WEEKDAY(TODAY())))</formula>
    </cfRule>
    <cfRule type="timePeriod" dxfId="16" priority="28" timePeriod="thisWeek">
      <formula>AND(TODAY()-ROUNDDOWN(N3,0)&lt;=WEEKDAY(TODAY())-1,ROUNDDOWN(N3,0)-TODAY()&lt;=7-WEEKDAY(TODAY()))</formula>
    </cfRule>
  </conditionalFormatting>
  <conditionalFormatting sqref="N10">
    <cfRule type="timePeriod" dxfId="15" priority="25" timePeriod="nextWeek">
      <formula>AND(ROUNDDOWN(N10,0)-TODAY()&gt;(7-WEEKDAY(TODAY())),ROUNDDOWN(N10,0)-TODAY()&lt;(15-WEEKDAY(TODAY())))</formula>
    </cfRule>
    <cfRule type="timePeriod" dxfId="14" priority="26" timePeriod="thisWeek">
      <formula>AND(TODAY()-ROUNDDOWN(N10,0)&lt;=WEEKDAY(TODAY())-1,ROUNDDOWN(N10,0)-TODAY()&lt;=7-WEEKDAY(TODAY()))</formula>
    </cfRule>
  </conditionalFormatting>
  <conditionalFormatting sqref="N12">
    <cfRule type="timePeriod" dxfId="13" priority="23" timePeriod="nextWeek">
      <formula>AND(ROUNDDOWN(N12,0)-TODAY()&gt;(7-WEEKDAY(TODAY())),ROUNDDOWN(N12,0)-TODAY()&lt;(15-WEEKDAY(TODAY())))</formula>
    </cfRule>
    <cfRule type="timePeriod" dxfId="12" priority="24" timePeriod="thisWeek">
      <formula>AND(TODAY()-ROUNDDOWN(N12,0)&lt;=WEEKDAY(TODAY())-1,ROUNDDOWN(N12,0)-TODAY()&lt;=7-WEEKDAY(TODAY()))</formula>
    </cfRule>
  </conditionalFormatting>
  <conditionalFormatting sqref="N15">
    <cfRule type="timePeriod" dxfId="11" priority="21" timePeriod="nextWeek">
      <formula>AND(ROUNDDOWN(N15,0)-TODAY()&gt;(7-WEEKDAY(TODAY())),ROUNDDOWN(N15,0)-TODAY()&lt;(15-WEEKDAY(TODAY())))</formula>
    </cfRule>
    <cfRule type="timePeriod" dxfId="10" priority="22" timePeriod="thisWeek">
      <formula>AND(TODAY()-ROUNDDOWN(N15,0)&lt;=WEEKDAY(TODAY())-1,ROUNDDOWN(N15,0)-TODAY()&lt;=7-WEEKDAY(TODAY()))</formula>
    </cfRule>
  </conditionalFormatting>
  <conditionalFormatting sqref="N18:N19">
    <cfRule type="timePeriod" dxfId="9" priority="15" timePeriod="nextWeek">
      <formula>AND(ROUNDDOWN(N18,0)-TODAY()&gt;(7-WEEKDAY(TODAY())),ROUNDDOWN(N18,0)-TODAY()&lt;(15-WEEKDAY(TODAY())))</formula>
    </cfRule>
    <cfRule type="timePeriod" dxfId="8" priority="16" timePeriod="thisWeek">
      <formula>AND(TODAY()-ROUNDDOWN(N18,0)&lt;=WEEKDAY(TODAY())-1,ROUNDDOWN(N18,0)-TODAY()&lt;=7-WEEKDAY(TODAY()))</formula>
    </cfRule>
  </conditionalFormatting>
  <conditionalFormatting sqref="P1:P53 R1:R53">
    <cfRule type="timePeriod" dxfId="7" priority="13" timePeriod="nextWeek">
      <formula>AND(ROUNDDOWN(P1,0)-TODAY()&gt;(7-WEEKDAY(TODAY())),ROUNDDOWN(P1,0)-TODAY()&lt;(15-WEEKDAY(TODAY())))</formula>
    </cfRule>
    <cfRule type="timePeriod" dxfId="6" priority="14" timePeriod="thisWeek">
      <formula>AND(TODAY()-ROUNDDOWN(P1,0)&lt;=WEEKDAY(TODAY())-1,ROUNDDOWN(P1,0)-TODAY()&lt;=7-WEEKDAY(TODAY()))</formula>
    </cfRule>
  </conditionalFormatting>
  <conditionalFormatting sqref="AG19:AH24 AA19:AA52 N24 AG26:AG36 N26:N53 AH33:AH36 AG37:AH52">
    <cfRule type="timePeriod" dxfId="5" priority="33" timePeriod="nextWeek">
      <formula>AND(ROUNDDOWN(N19,0)-TODAY()&gt;(7-WEEKDAY(TODAY())),ROUNDDOWN(N19,0)-TODAY()&lt;(15-WEEKDAY(TODAY())))</formula>
    </cfRule>
    <cfRule type="timePeriod" dxfId="4" priority="34" timePeriod="thisWeek">
      <formula>AND(TODAY()-ROUNDDOWN(N19,0)&lt;=WEEKDAY(TODAY())-1,ROUNDDOWN(N19,0)-TODAY()&lt;=7-WEEKDAY(TODAY()))</formula>
    </cfRule>
  </conditionalFormatting>
  <conditionalFormatting sqref="AG25:AH25">
    <cfRule type="timePeriod" dxfId="3" priority="5" timePeriod="nextWeek">
      <formula>AND(ROUNDDOWN(AG25,0)-TODAY()&gt;(7-WEEKDAY(TODAY())),ROUNDDOWN(AG25,0)-TODAY()&lt;(15-WEEKDAY(TODAY())))</formula>
    </cfRule>
    <cfRule type="timePeriod" dxfId="2" priority="6" timePeriod="thisWeek">
      <formula>AND(TODAY()-ROUNDDOWN(AG25,0)&lt;=WEEKDAY(TODAY())-1,ROUNDDOWN(AG25,0)-TODAY()&lt;=7-WEEKDAY(TODAY()))</formula>
    </cfRule>
  </conditionalFormatting>
  <conditionalFormatting sqref="AH22">
    <cfRule type="timePeriod" dxfId="1" priority="7" timePeriod="nextWeek">
      <formula>AND(ROUNDDOWN(AH22,0)-TODAY()&gt;(7-WEEKDAY(TODAY())),ROUNDDOWN(AH22,0)-TODAY()&lt;(15-WEEKDAY(TODAY())))</formula>
    </cfRule>
    <cfRule type="timePeriod" dxfId="0" priority="8" timePeriod="thisWeek">
      <formula>AND(TODAY()-ROUNDDOWN(AH22,0)&lt;=WEEKDAY(TODAY())-1,ROUNDDOWN(AH22,0)-TODAY()&lt;=7-WEEKDAY(TODAY()))</formula>
    </cfRule>
  </conditionalFormatting>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A082E-D28C-41FF-ACA4-00CE3755636D}">
  <sheetPr codeName="Sheet17"/>
  <dimension ref="A1:D81"/>
  <sheetViews>
    <sheetView workbookViewId="0"/>
  </sheetViews>
  <sheetFormatPr defaultRowHeight="18.75"/>
  <cols>
    <col min="2" max="2" width="28.625" customWidth="1"/>
  </cols>
  <sheetData>
    <row r="1" spans="1:4">
      <c r="A1" t="s">
        <v>2126</v>
      </c>
      <c r="B1" t="s">
        <v>2127</v>
      </c>
      <c r="C1" t="s">
        <v>1760</v>
      </c>
      <c r="D1" t="s">
        <v>2128</v>
      </c>
    </row>
    <row r="2" spans="1:4">
      <c r="A2">
        <v>223058</v>
      </c>
      <c r="B2" t="e" cm="1">
        <f t="array" ref="B2:B81">VLOOKUP(A2:A81,Onenote貼り付け!#REF!,9,)</f>
        <v>#REF!</v>
      </c>
      <c r="D2" t="str" cm="1">
        <f t="array" ref="D2:D81">VLOOKUP(A2:A81,在庫確認!$F$1:$G$202,2,)</f>
        <v>組CLE L245LU-TD(R1 TW 14FHD+ 258V UMA 32G 65WL7TPM</v>
      </c>
    </row>
    <row r="3" spans="1:4">
      <c r="A3">
        <v>223057</v>
      </c>
      <c r="B3" t="e">
        <v>#REF!</v>
      </c>
      <c r="D3" t="str">
        <v>組CLE L245LU-TD(R1 TW 14FHD+ 226V UMA 16G 65WL7TPM</v>
      </c>
    </row>
    <row r="4" spans="1:4">
      <c r="A4">
        <v>218711</v>
      </c>
      <c r="B4" t="e">
        <v>#REF!</v>
      </c>
      <c r="D4" t="str">
        <v>組TFH GM5PGEE(GG 15.6FHD 13420H 3050 150W L6)</v>
      </c>
    </row>
    <row r="5" spans="1:4">
      <c r="A5">
        <v>210491</v>
      </c>
      <c r="B5" t="e">
        <v>#REF!</v>
      </c>
      <c r="D5" t="str">
        <v>組QNT LGHB(R1 Thirdwave 15.6FHD 1355U UMA 65W L6)</v>
      </c>
    </row>
    <row r="6" spans="1:4">
      <c r="A6">
        <v>212476</v>
      </c>
      <c r="B6" t="e">
        <v>#REF!</v>
      </c>
      <c r="D6" t="str">
        <v xml:space="preserve">	組UNW X6FR57TK(GG 16WQXGA 9955HX 5070Ti 240W L6)</v>
      </c>
    </row>
    <row r="7" spans="1:4">
      <c r="A7">
        <v>189730</v>
      </c>
      <c r="B7" t="e">
        <v>#REF!</v>
      </c>
      <c r="D7" t="e">
        <v>#N/A</v>
      </c>
    </row>
    <row r="8" spans="1:4">
      <c r="A8">
        <v>222146</v>
      </c>
      <c r="B8" t="e">
        <v>#REF!</v>
      </c>
      <c r="D8" t="str">
        <v>組WZN 1051RL-PS(Thirdwave 15.6FHD 1334U UMA 65WL6)</v>
      </c>
    </row>
    <row r="9" spans="1:4">
      <c r="A9">
        <v>216521</v>
      </c>
      <c r="B9" t="e">
        <v>#REF!</v>
      </c>
      <c r="D9" t="str">
        <v>組CLE V350SNNQ(GC 15.6QHD 14650HX 5060 180W L6)</v>
      </c>
    </row>
    <row r="10" spans="1:4">
      <c r="A10">
        <v>216515</v>
      </c>
      <c r="B10" t="e">
        <v>#REF!</v>
      </c>
      <c r="D10" t="str">
        <v xml:space="preserve">	組CLE V350SNMQ(GG 15.6FHD 14650HX 5050 180W L6)</v>
      </c>
    </row>
    <row r="11" spans="1:4">
      <c r="A11">
        <v>222146</v>
      </c>
      <c r="B11" t="e">
        <v>#REF!</v>
      </c>
      <c r="D11" t="str">
        <v>組WZN 1051RL-PS(Thirdwave 15.6FHD 1334U UMA 65WL6)</v>
      </c>
    </row>
    <row r="12" spans="1:4">
      <c r="A12">
        <v>222818</v>
      </c>
      <c r="B12" t="e">
        <v>#REF!</v>
      </c>
      <c r="D12" t="str">
        <v>組CLE V350SNNQ(GG 15.6FHD 14650HX 5060 180W L6)</v>
      </c>
    </row>
    <row r="13" spans="1:4">
      <c r="A13">
        <v>222818</v>
      </c>
      <c r="B13" t="e">
        <v>#REF!</v>
      </c>
      <c r="D13" t="str">
        <v>組CLE V350SNNQ(GG 15.6FHD 14650HX 5060 180W L6)</v>
      </c>
    </row>
    <row r="14" spans="1:4">
      <c r="A14">
        <v>222818</v>
      </c>
      <c r="B14" t="e">
        <v>#REF!</v>
      </c>
      <c r="D14" t="str">
        <v>組CLE V350SNNQ(GG 15.6FHD 14650HX 5060 180W L6)</v>
      </c>
    </row>
    <row r="15" spans="1:4">
      <c r="A15">
        <v>223074</v>
      </c>
      <c r="B15" t="e">
        <v>#REF!</v>
      </c>
      <c r="D15" t="str">
        <v xml:space="preserve">	組WZN 1051RL-PS(R2 TW 15.6FHD 1355U UMA 65W L6)</v>
      </c>
    </row>
    <row r="16" spans="1:4">
      <c r="A16">
        <v>216518</v>
      </c>
      <c r="B16" t="e">
        <v>#REF!</v>
      </c>
      <c r="D16" t="str">
        <v xml:space="preserve">	組CLE V370SNPQ(GC 17.3QHD 14900HX 5070 180W L6)</v>
      </c>
    </row>
    <row r="17" spans="1:4">
      <c r="A17">
        <v>216521</v>
      </c>
      <c r="B17" t="e">
        <v>#REF!</v>
      </c>
      <c r="D17" t="str">
        <v>組CLE V350SNNQ(GC 15.6QHD 14650HX 5060 180W L6)</v>
      </c>
    </row>
    <row r="18" spans="1:4">
      <c r="A18">
        <v>223063</v>
      </c>
      <c r="B18" t="e">
        <v>#REF!</v>
      </c>
      <c r="D18" t="str">
        <v>組CLE NL45AU1-TD(R2 TW 14FHD1355U UMA 45W L6 TPM)</v>
      </c>
    </row>
    <row r="19" spans="1:4">
      <c r="A19">
        <v>216787</v>
      </c>
      <c r="B19" t="e">
        <v>#REF!</v>
      </c>
      <c r="D19" t="str">
        <v>組CLE V545KU-TD(GC 14QWXGA+ HX370 UMA 90W L6)</v>
      </c>
    </row>
    <row r="20" spans="1:4">
      <c r="A20">
        <v>201900</v>
      </c>
      <c r="B20" t="e">
        <v>#REF!</v>
      </c>
      <c r="D20" t="str">
        <v>組UNW GM5PD5E(GG 15.6FHD 13620H 4050 230W L6)</v>
      </c>
    </row>
    <row r="21" spans="1:4">
      <c r="A21">
        <v>199024</v>
      </c>
      <c r="B21" t="e">
        <v>#REF!</v>
      </c>
      <c r="D21" t="str">
        <v>組UNW GM5PD3E(R1 GG 15.6FHD 13620H 3050 180W L6)</v>
      </c>
    </row>
    <row r="22" spans="1:4">
      <c r="A22">
        <v>214073</v>
      </c>
      <c r="B22" t="e">
        <v>#REF!</v>
      </c>
      <c r="D22" t="str">
        <v xml:space="preserve">	組UNW X6AR556U(GG 16WQXGA 255HX 5060 240W L6)</v>
      </c>
    </row>
    <row r="23" spans="1:4">
      <c r="A23">
        <v>220801</v>
      </c>
      <c r="B23" t="e">
        <v>#REF!</v>
      </c>
      <c r="D23" t="str">
        <v>組UNW X6AR57TK(GG 16WQXGA 275HX 5070Ti 240W L6)</v>
      </c>
    </row>
    <row r="24" spans="1:4">
      <c r="A24">
        <v>220803</v>
      </c>
      <c r="B24" t="e">
        <v>#REF!</v>
      </c>
      <c r="D24" t="str">
        <v>組UNW X6AR557K(GG 16WQXGA 255HX 5070 240W L6)</v>
      </c>
    </row>
    <row r="25" spans="1:4">
      <c r="A25">
        <v>210491</v>
      </c>
      <c r="B25" t="e">
        <v>#REF!</v>
      </c>
      <c r="D25" t="str">
        <v>組QNT LGHB(R1 Thirdwave 15.6FHD 1355U UMA 65W L6)</v>
      </c>
    </row>
    <row r="26" spans="1:4">
      <c r="A26">
        <v>222646</v>
      </c>
      <c r="B26" t="e">
        <v>#REF!</v>
      </c>
      <c r="D26" t="e">
        <v>#N/A</v>
      </c>
    </row>
    <row r="27" spans="1:4">
      <c r="A27">
        <v>222646</v>
      </c>
      <c r="B27" t="e">
        <v>#REF!</v>
      </c>
      <c r="D27" t="e">
        <v>#N/A</v>
      </c>
    </row>
    <row r="28" spans="1:4">
      <c r="A28">
        <v>222647</v>
      </c>
      <c r="B28" t="e">
        <v>#REF!</v>
      </c>
      <c r="D28" t="e">
        <v>#N/A</v>
      </c>
    </row>
    <row r="29" spans="1:4">
      <c r="A29">
        <v>222648</v>
      </c>
      <c r="B29" t="e">
        <v>#REF!</v>
      </c>
      <c r="D29" t="e">
        <v>#N/A</v>
      </c>
    </row>
    <row r="30" spans="1:4">
      <c r="A30">
        <v>222818</v>
      </c>
      <c r="B30" t="e">
        <v>#REF!</v>
      </c>
      <c r="D30" t="str">
        <v>組CLE V350SNNQ(GG 15.6FHD 14650HX 5060 180W L6)</v>
      </c>
    </row>
    <row r="31" spans="1:4">
      <c r="A31">
        <v>220827</v>
      </c>
      <c r="B31" t="e">
        <v>#REF!</v>
      </c>
      <c r="D31" t="str">
        <v>組MSH 15F5(GC 16WQXGA 255H 5060 240W L6)</v>
      </c>
    </row>
    <row r="32" spans="1:4">
      <c r="A32">
        <v>218711</v>
      </c>
      <c r="B32" t="e">
        <v>#REF!</v>
      </c>
      <c r="D32" t="str">
        <v>組TFH GM5PGEE(GG 15.6FHD 13420H 3050 150W L6)</v>
      </c>
    </row>
    <row r="33" spans="1:4">
      <c r="A33">
        <v>216524</v>
      </c>
      <c r="B33" t="e">
        <v>#REF!</v>
      </c>
      <c r="D33" t="str">
        <v xml:space="preserve">	組CLE V350SNMQ(GC 15.6QHD 14650HX 5050 180W L6)</v>
      </c>
    </row>
    <row r="34" spans="1:4">
      <c r="A34">
        <v>223063</v>
      </c>
      <c r="B34" t="e">
        <v>#REF!</v>
      </c>
      <c r="D34" t="str">
        <v>組CLE NL45AU1-TD(R2 TW 14FHD1355U UMA 45W L6 TPM)</v>
      </c>
    </row>
    <row r="35" spans="1:4">
      <c r="A35">
        <v>199023</v>
      </c>
      <c r="B35" t="e">
        <v>#REF!</v>
      </c>
      <c r="D35" t="str">
        <v>UNW-E-13620H-3050-L6 Creator</v>
      </c>
    </row>
    <row r="36" spans="1:4">
      <c r="A36">
        <v>251110</v>
      </c>
      <c r="B36" t="e">
        <v>#REF!</v>
      </c>
      <c r="D36" t="str">
        <v>組CLE V561KNN-TD(R1 GG 16QHD+300Hz 350 5060 180WL6</v>
      </c>
    </row>
    <row r="37" spans="1:4">
      <c r="A37">
        <v>199024</v>
      </c>
      <c r="B37" t="e">
        <v>#REF!</v>
      </c>
      <c r="D37" t="str">
        <v>組UNW GM5PD3E(R1 GG 15.6FHD 13620H 3050 180W L6)</v>
      </c>
    </row>
    <row r="38" spans="1:4">
      <c r="A38">
        <v>220827</v>
      </c>
      <c r="B38" t="e">
        <v>#REF!</v>
      </c>
      <c r="D38" t="str">
        <v>組MSH 15F5(GC 16WQXGA 255H 5060 240W L6)</v>
      </c>
    </row>
    <row r="39" spans="1:4">
      <c r="A39">
        <v>199022</v>
      </c>
      <c r="B39" t="e">
        <v>#REF!</v>
      </c>
      <c r="D39" t="str">
        <v>UNW-E-13620H-4050-L6 Creator</v>
      </c>
    </row>
    <row r="40" spans="1:4">
      <c r="A40">
        <v>199024</v>
      </c>
      <c r="B40" t="e">
        <v>#REF!</v>
      </c>
      <c r="D40" t="str">
        <v>組UNW GM5PD3E(R1 GG 15.6FHD 13620H 3050 180W L6)</v>
      </c>
    </row>
    <row r="41" spans="1:4">
      <c r="A41">
        <v>222651</v>
      </c>
      <c r="B41" t="e">
        <v>#REF!</v>
      </c>
      <c r="D41" t="e">
        <v>#N/A</v>
      </c>
    </row>
    <row r="42" spans="1:4">
      <c r="A42">
        <v>222651</v>
      </c>
      <c r="B42" t="e">
        <v>#REF!</v>
      </c>
      <c r="D42" t="e">
        <v>#N/A</v>
      </c>
    </row>
    <row r="43" spans="1:4">
      <c r="A43">
        <v>222652</v>
      </c>
      <c r="B43" t="e">
        <v>#REF!</v>
      </c>
      <c r="D43" t="e">
        <v>#N/A</v>
      </c>
    </row>
    <row r="44" spans="1:4">
      <c r="A44">
        <v>222652</v>
      </c>
      <c r="B44" t="e">
        <v>#REF!</v>
      </c>
      <c r="D44" t="e">
        <v>#N/A</v>
      </c>
    </row>
    <row r="45" spans="1:4">
      <c r="A45">
        <v>222146</v>
      </c>
      <c r="B45" t="e">
        <v>#REF!</v>
      </c>
      <c r="D45" t="str">
        <v>組WZN 1051RL-PS(Thirdwave 15.6FHD 1334U UMA 65WL6)</v>
      </c>
    </row>
    <row r="46" spans="1:4">
      <c r="A46">
        <v>201900</v>
      </c>
      <c r="B46" t="e">
        <v>#REF!</v>
      </c>
      <c r="D46" t="str">
        <v>組UNW GM5PD5E(GG 15.6FHD 13620H 4050 230W L6)</v>
      </c>
    </row>
    <row r="47" spans="1:4">
      <c r="A47">
        <v>216787</v>
      </c>
      <c r="B47" t="e">
        <v>#REF!</v>
      </c>
      <c r="D47" t="str">
        <v>組CLE V545KU-TD(GC 14QWXGA+ HX370 UMA 90W L6)</v>
      </c>
    </row>
    <row r="48" spans="1:4">
      <c r="A48">
        <v>201900</v>
      </c>
      <c r="B48" t="e">
        <v>#REF!</v>
      </c>
      <c r="D48" t="str">
        <v>組UNW GM5PD5E(GG 15.6FHD 13620H 4050 230W L6)</v>
      </c>
    </row>
    <row r="49" spans="1:4">
      <c r="A49">
        <v>216518</v>
      </c>
      <c r="B49" t="e">
        <v>#REF!</v>
      </c>
      <c r="D49" t="str">
        <v xml:space="preserve">	組CLE V370SNPQ(GC 17.3QHD 14900HX 5070 180W L6)</v>
      </c>
    </row>
    <row r="50" spans="1:4">
      <c r="A50">
        <v>223065</v>
      </c>
      <c r="B50" t="e">
        <v>#REF!</v>
      </c>
      <c r="D50" t="str">
        <v>組WZN 1051RL-PS(R2 TW 15.6FHD1315U L6UMA 65W L6)</v>
      </c>
    </row>
    <row r="51" spans="1:4">
      <c r="A51">
        <v>222146</v>
      </c>
      <c r="B51" t="e">
        <v>#REF!</v>
      </c>
      <c r="D51" t="str">
        <v>組WZN 1051RL-PS(Thirdwave 15.6FHD 1334U UMA 65WL6)</v>
      </c>
    </row>
    <row r="52" spans="1:4">
      <c r="A52">
        <v>223062</v>
      </c>
      <c r="B52" t="e">
        <v>#REF!</v>
      </c>
      <c r="D52" t="str">
        <v>組CLE NL45AU1-TD(R2 TW 14FHD1334U UMA 45W L6 TPM)</v>
      </c>
    </row>
    <row r="53" spans="1:4">
      <c r="A53">
        <v>222644</v>
      </c>
      <c r="B53" t="e">
        <v>#REF!</v>
      </c>
      <c r="D53" t="str">
        <v xml:space="preserve">	組CLE NL45NU1-TD(Thirdwave 14FHD7430U UMA65WL6 TPM</v>
      </c>
    </row>
    <row r="54" spans="1:4">
      <c r="A54">
        <v>222645</v>
      </c>
      <c r="B54" t="e">
        <v>#REF!</v>
      </c>
      <c r="D54" t="str">
        <v>組CLE NL75AU(Thirdwave 17FHD1334U UMA45WL6 TPM)</v>
      </c>
    </row>
    <row r="55" spans="1:4">
      <c r="A55">
        <v>199024</v>
      </c>
      <c r="B55" t="e">
        <v>#REF!</v>
      </c>
      <c r="D55" t="str">
        <v>組UNW GM5PD3E(R1 GG 15.6FHD 13620H 3050 180W L6)</v>
      </c>
    </row>
    <row r="56" spans="1:4">
      <c r="A56">
        <v>199022</v>
      </c>
      <c r="B56" t="e">
        <v>#REF!</v>
      </c>
      <c r="D56" t="str">
        <v>UNW-E-13620H-4050-L6 Creator</v>
      </c>
    </row>
    <row r="57" spans="1:4">
      <c r="A57">
        <v>199023</v>
      </c>
      <c r="B57" t="e">
        <v>#REF!</v>
      </c>
      <c r="D57" t="str">
        <v>UNW-E-13620H-3050-L6 Creator</v>
      </c>
    </row>
    <row r="58" spans="1:4">
      <c r="A58">
        <v>216518</v>
      </c>
      <c r="B58" t="e">
        <v>#REF!</v>
      </c>
      <c r="D58" t="str">
        <v xml:space="preserve">	組CLE V370SNPQ(GC 17.3QHD 14900HX 5070 180W L6)</v>
      </c>
    </row>
    <row r="59" spans="1:4">
      <c r="A59">
        <v>251110</v>
      </c>
      <c r="B59" t="e">
        <v>#REF!</v>
      </c>
      <c r="D59" t="str">
        <v>組CLE V561KNN-TD(R1 GG 16QHD+300Hz 350 5060 180WL6</v>
      </c>
    </row>
    <row r="60" spans="1:4">
      <c r="A60">
        <v>210492</v>
      </c>
      <c r="B60" t="e">
        <v>#REF!</v>
      </c>
      <c r="D60" t="str">
        <v>組QNT LGHB(R1 Thirdwave 15.6FHD 1335U UMA 65W L6)</v>
      </c>
    </row>
    <row r="61" spans="1:4">
      <c r="A61">
        <v>223058</v>
      </c>
      <c r="B61" t="e">
        <v>#REF!</v>
      </c>
      <c r="D61" t="str">
        <v>組CLE L245LU-TD(R1 TW 14FHD+ 258V UMA 32G 65WL7TPM</v>
      </c>
    </row>
    <row r="62" spans="1:4">
      <c r="A62">
        <v>223057</v>
      </c>
      <c r="B62" t="e">
        <v>#REF!</v>
      </c>
      <c r="D62" t="str">
        <v>組CLE L245LU-TD(R1 TW 14FHD+ 226V UMA 16G 65WL7TPM</v>
      </c>
    </row>
    <row r="63" spans="1:4">
      <c r="A63">
        <v>216521</v>
      </c>
      <c r="B63" t="e">
        <v>#REF!</v>
      </c>
      <c r="D63" t="str">
        <v>組CLE V350SNNQ(GC 15.6QHD 14650HX 5060 180W L6)</v>
      </c>
    </row>
    <row r="64" spans="1:4">
      <c r="A64">
        <v>222644</v>
      </c>
      <c r="B64" t="e">
        <v>#REF!</v>
      </c>
      <c r="D64" t="str">
        <v xml:space="preserve">	組CLE NL45NU1-TD(Thirdwave 14FHD7430U UMA65WL6 TPM</v>
      </c>
    </row>
    <row r="65" spans="1:4">
      <c r="A65">
        <v>222644</v>
      </c>
      <c r="B65" t="e">
        <v>#REF!</v>
      </c>
      <c r="D65" t="str">
        <v xml:space="preserve">	組CLE NL45NU1-TD(Thirdwave 14FHD7430U UMA65WL6 TPM</v>
      </c>
    </row>
    <row r="66" spans="1:4">
      <c r="A66">
        <v>222645</v>
      </c>
      <c r="B66" t="e">
        <v>#REF!</v>
      </c>
      <c r="D66" t="str">
        <v>組CLE NL75AU(Thirdwave 17FHD1334U UMA45WL6 TPM)</v>
      </c>
    </row>
    <row r="67" spans="1:4">
      <c r="A67">
        <v>222649</v>
      </c>
      <c r="B67" t="e">
        <v>#REF!</v>
      </c>
      <c r="D67" t="str">
        <v>組CLE NL45AU1-TD(Thirdwave 14FHD150U UMA45WL6 TPM)</v>
      </c>
    </row>
    <row r="68" spans="1:4">
      <c r="A68">
        <v>222650</v>
      </c>
      <c r="B68" t="e">
        <v>#REF!</v>
      </c>
      <c r="D68" t="str">
        <v>組CLE NL45AU1-TD(Thirdwave 14FHD120U UMA45WL6 TPM)</v>
      </c>
    </row>
    <row r="69" spans="1:4">
      <c r="A69">
        <v>222818</v>
      </c>
      <c r="B69" t="e">
        <v>#REF!</v>
      </c>
      <c r="D69" t="str">
        <v>組CLE V350SNNQ(GG 15.6FHD 14650HX 5060 180W L6)</v>
      </c>
    </row>
    <row r="70" spans="1:4">
      <c r="A70">
        <v>222649</v>
      </c>
      <c r="B70" t="e">
        <v>#REF!</v>
      </c>
      <c r="D70" t="str">
        <v>組CLE NL45AU1-TD(Thirdwave 14FHD150U UMA45WL6 TPM)</v>
      </c>
    </row>
    <row r="71" spans="1:4">
      <c r="A71">
        <v>222650</v>
      </c>
      <c r="B71" t="e">
        <v>#REF!</v>
      </c>
      <c r="D71" t="str">
        <v>組CLE NL45AU1-TD(Thirdwave 14FHD120U UMA45WL6 TPM)</v>
      </c>
    </row>
    <row r="72" spans="1:4">
      <c r="A72">
        <v>210492</v>
      </c>
      <c r="B72" t="e">
        <v>#REF!</v>
      </c>
      <c r="D72" t="str">
        <v>組QNT LGHB(R1 Thirdwave 15.6FHD 1335U UMA 65W L6)</v>
      </c>
    </row>
    <row r="73" spans="1:4">
      <c r="A73">
        <v>251110</v>
      </c>
      <c r="B73" t="e">
        <v>#REF!</v>
      </c>
      <c r="D73" t="str">
        <v>組CLE V561KNN-TD(R1 GG 16QHD+300Hz 350 5060 180WL6</v>
      </c>
    </row>
    <row r="74" spans="1:4">
      <c r="A74">
        <v>222649</v>
      </c>
      <c r="B74" t="e">
        <v>#REF!</v>
      </c>
      <c r="D74" t="str">
        <v>組CLE NL45AU1-TD(Thirdwave 14FHD150U UMA45WL6 TPM)</v>
      </c>
    </row>
    <row r="75" spans="1:4">
      <c r="A75">
        <v>222650</v>
      </c>
      <c r="B75" t="e">
        <v>#REF!</v>
      </c>
      <c r="D75" t="str">
        <v>組CLE NL45AU1-TD(Thirdwave 14FHD120U UMA45WL6 TPM)</v>
      </c>
    </row>
    <row r="76" spans="1:4">
      <c r="A76">
        <v>199022</v>
      </c>
      <c r="B76" t="e">
        <v>#REF!</v>
      </c>
      <c r="D76" t="str">
        <v>UNW-E-13620H-4050-L6 Creator</v>
      </c>
    </row>
    <row r="77" spans="1:4">
      <c r="A77">
        <v>220827</v>
      </c>
      <c r="B77" t="e">
        <v>#REF!</v>
      </c>
      <c r="D77" t="str">
        <v>組MSH 15F5(GC 16WQXGA 255H 5060 240W L6)</v>
      </c>
    </row>
    <row r="78" spans="1:4">
      <c r="B78" t="e">
        <v>#REF!</v>
      </c>
      <c r="D78" t="e">
        <v>#N/A</v>
      </c>
    </row>
    <row r="79" spans="1:4">
      <c r="B79" t="e">
        <v>#REF!</v>
      </c>
      <c r="D79" t="e">
        <v>#N/A</v>
      </c>
    </row>
    <row r="80" spans="1:4">
      <c r="B80" t="e">
        <v>#REF!</v>
      </c>
      <c r="D80" t="e">
        <v>#N/A</v>
      </c>
    </row>
    <row r="81" spans="2:4">
      <c r="B81" t="e">
        <v>#REF!</v>
      </c>
      <c r="D81" t="e">
        <v>#N/A</v>
      </c>
    </row>
  </sheetData>
  <autoFilter ref="A1:D77" xr:uid="{750A082E-D28C-41FF-ACA4-00CE3755636D}"/>
  <phoneticPr fontId="4"/>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C5B94-0432-42B2-9423-95629BB8CD4E}">
  <sheetPr codeName="Sheet18"/>
  <dimension ref="A2:U319"/>
  <sheetViews>
    <sheetView workbookViewId="0">
      <selection activeCell="U319" sqref="U319"/>
    </sheetView>
  </sheetViews>
  <sheetFormatPr defaultColWidth="8.625" defaultRowHeight="18.75"/>
  <cols>
    <col min="2" max="2" width="20.25" bestFit="1" customWidth="1"/>
    <col min="3" max="3" width="9.25" customWidth="1"/>
    <col min="5" max="5" width="15.75" style="565" bestFit="1" customWidth="1"/>
    <col min="6" max="7" width="14.75" style="596" bestFit="1" customWidth="1"/>
    <col min="8" max="9" width="13.125" style="596" bestFit="1" customWidth="1"/>
    <col min="10" max="11" width="14.625" style="596" bestFit="1" customWidth="1"/>
    <col min="12" max="12" width="14.5" style="596" customWidth="1"/>
    <col min="13" max="17" width="14.625" style="596" bestFit="1" customWidth="1"/>
    <col min="18" max="18" width="15.5" style="565" bestFit="1" customWidth="1"/>
    <col min="19" max="19" width="15.25" style="565" bestFit="1" customWidth="1"/>
    <col min="20" max="21" width="8.75" style="565" bestFit="1" customWidth="1"/>
  </cols>
  <sheetData>
    <row r="2" spans="2:19">
      <c r="F2" s="566" t="s">
        <v>2129</v>
      </c>
      <c r="G2" s="567"/>
      <c r="H2" s="567"/>
      <c r="I2" s="567"/>
      <c r="J2" s="567"/>
      <c r="K2" s="568"/>
      <c r="L2" s="569" t="s">
        <v>2130</v>
      </c>
      <c r="M2" s="567"/>
      <c r="N2" s="567"/>
      <c r="O2" s="567"/>
      <c r="P2" s="567"/>
      <c r="Q2" s="568"/>
    </row>
    <row r="3" spans="2:19">
      <c r="B3" t="s">
        <v>2131</v>
      </c>
      <c r="E3" s="570" t="s">
        <v>2132</v>
      </c>
      <c r="F3" s="571">
        <v>45870</v>
      </c>
      <c r="G3" s="571">
        <v>45901</v>
      </c>
      <c r="H3" s="571">
        <v>45931</v>
      </c>
      <c r="I3" s="571">
        <v>45962</v>
      </c>
      <c r="J3" s="571">
        <v>45992</v>
      </c>
      <c r="K3" s="571">
        <v>46023</v>
      </c>
      <c r="L3" s="571">
        <v>46054</v>
      </c>
      <c r="M3" s="571">
        <v>46082</v>
      </c>
      <c r="N3" s="571">
        <v>46113</v>
      </c>
      <c r="O3" s="571">
        <v>46143</v>
      </c>
      <c r="P3" s="571">
        <v>46174</v>
      </c>
      <c r="Q3" s="571">
        <v>46204</v>
      </c>
      <c r="R3" s="570" t="s">
        <v>2133</v>
      </c>
      <c r="S3" s="570" t="s">
        <v>2134</v>
      </c>
    </row>
    <row r="4" spans="2:19">
      <c r="B4" s="2182" t="s">
        <v>2135</v>
      </c>
      <c r="C4" s="3" t="s">
        <v>2136</v>
      </c>
      <c r="D4" s="141" t="s">
        <v>2137</v>
      </c>
      <c r="E4" s="572">
        <v>13131028000.000002</v>
      </c>
      <c r="F4" s="573">
        <v>845572614.12142944</v>
      </c>
      <c r="G4" s="573">
        <v>872953247.43569613</v>
      </c>
      <c r="H4" s="573">
        <v>890399407.45080185</v>
      </c>
      <c r="I4" s="573">
        <v>984332107.50730562</v>
      </c>
      <c r="J4" s="573">
        <v>1409596198.4063859</v>
      </c>
      <c r="K4" s="573">
        <v>1343958199.1000304</v>
      </c>
      <c r="L4" s="573">
        <v>1102691178.1977346</v>
      </c>
      <c r="M4" s="573">
        <v>1579571606.971128</v>
      </c>
      <c r="N4" s="573">
        <v>1113346924.8842039</v>
      </c>
      <c r="O4" s="573">
        <v>924129640.17128825</v>
      </c>
      <c r="P4" s="573">
        <v>974317933.31604767</v>
      </c>
      <c r="Q4" s="573">
        <v>1090158942.4379489</v>
      </c>
      <c r="R4" s="572">
        <v>6346811774.0216503</v>
      </c>
      <c r="S4" s="572">
        <v>6784216225.9783516</v>
      </c>
    </row>
    <row r="5" spans="2:19">
      <c r="B5" s="2183"/>
      <c r="C5" s="2"/>
      <c r="D5" s="141" t="s">
        <v>2138</v>
      </c>
      <c r="E5" s="572">
        <v>1111908205</v>
      </c>
      <c r="F5" s="573">
        <v>888493969</v>
      </c>
      <c r="G5" s="573">
        <v>223414236</v>
      </c>
      <c r="H5" s="573">
        <v>0</v>
      </c>
      <c r="I5" s="573">
        <v>0</v>
      </c>
      <c r="J5" s="573">
        <v>0</v>
      </c>
      <c r="K5" s="573">
        <v>0</v>
      </c>
      <c r="L5" s="573">
        <v>0</v>
      </c>
      <c r="M5" s="573">
        <v>0</v>
      </c>
      <c r="N5" s="573">
        <v>0</v>
      </c>
      <c r="O5" s="573">
        <v>0</v>
      </c>
      <c r="P5" s="573">
        <v>0</v>
      </c>
      <c r="Q5" s="573">
        <v>0</v>
      </c>
      <c r="R5" s="572">
        <v>1111908205</v>
      </c>
      <c r="S5" s="572">
        <v>0</v>
      </c>
    </row>
    <row r="6" spans="2:19">
      <c r="B6" s="2183"/>
      <c r="C6" s="2"/>
      <c r="D6" s="141" t="s">
        <v>2139</v>
      </c>
      <c r="E6" s="574">
        <v>8.4677925064206683E-2</v>
      </c>
      <c r="F6" s="575">
        <v>1.0507601052372857</v>
      </c>
      <c r="G6" s="575">
        <v>0.25592921116483647</v>
      </c>
      <c r="H6" s="575">
        <v>0</v>
      </c>
      <c r="I6" s="575">
        <v>0</v>
      </c>
      <c r="J6" s="575">
        <v>0</v>
      </c>
      <c r="K6" s="575">
        <v>0</v>
      </c>
      <c r="L6" s="575">
        <v>0</v>
      </c>
      <c r="M6" s="575">
        <v>0</v>
      </c>
      <c r="N6" s="575">
        <v>0</v>
      </c>
      <c r="O6" s="575">
        <v>0</v>
      </c>
      <c r="P6" s="575">
        <v>0</v>
      </c>
      <c r="Q6" s="575">
        <v>0</v>
      </c>
      <c r="R6" s="574">
        <v>0.17519161503279315</v>
      </c>
      <c r="S6" s="574">
        <v>0</v>
      </c>
    </row>
    <row r="7" spans="2:19">
      <c r="B7" s="2183"/>
      <c r="C7" s="2" t="s">
        <v>2140</v>
      </c>
      <c r="D7" s="141" t="s">
        <v>2137</v>
      </c>
      <c r="E7" s="572">
        <v>2312029000</v>
      </c>
      <c r="F7" s="573">
        <v>143244102.28803998</v>
      </c>
      <c r="G7" s="573">
        <v>152132438.70694563</v>
      </c>
      <c r="H7" s="573">
        <v>156168716.08343753</v>
      </c>
      <c r="I7" s="573">
        <v>172494269.41647208</v>
      </c>
      <c r="J7" s="573">
        <v>239843119.06563091</v>
      </c>
      <c r="K7" s="573">
        <v>233850708.58245295</v>
      </c>
      <c r="L7" s="573">
        <v>198226077.77494374</v>
      </c>
      <c r="M7" s="573">
        <v>287600186.97446305</v>
      </c>
      <c r="N7" s="573">
        <v>195459246.43947962</v>
      </c>
      <c r="O7" s="573">
        <v>163999319.63091275</v>
      </c>
      <c r="P7" s="573">
        <v>174506027.48324513</v>
      </c>
      <c r="Q7" s="573">
        <v>194504787.55397666</v>
      </c>
      <c r="R7" s="572">
        <v>1097733354.1429791</v>
      </c>
      <c r="S7" s="572">
        <v>1214295645.8570209</v>
      </c>
    </row>
    <row r="8" spans="2:19">
      <c r="B8" s="2183"/>
      <c r="C8" s="2"/>
      <c r="D8" s="141" t="s">
        <v>2138</v>
      </c>
      <c r="E8" s="572">
        <v>233091185</v>
      </c>
      <c r="F8" s="573">
        <v>182573944</v>
      </c>
      <c r="G8" s="573">
        <v>50517241</v>
      </c>
      <c r="H8" s="573">
        <v>0</v>
      </c>
      <c r="I8" s="573">
        <v>0</v>
      </c>
      <c r="J8" s="573">
        <v>0</v>
      </c>
      <c r="K8" s="573">
        <v>0</v>
      </c>
      <c r="L8" s="573">
        <v>0</v>
      </c>
      <c r="M8" s="573">
        <v>0</v>
      </c>
      <c r="N8" s="573">
        <v>0</v>
      </c>
      <c r="O8" s="573">
        <v>0</v>
      </c>
      <c r="P8" s="573">
        <v>0</v>
      </c>
      <c r="Q8" s="573">
        <v>0</v>
      </c>
      <c r="R8" s="572">
        <v>233091185</v>
      </c>
      <c r="S8" s="572">
        <v>0</v>
      </c>
    </row>
    <row r="9" spans="2:19">
      <c r="B9" s="2183"/>
      <c r="C9" s="2"/>
      <c r="D9" s="141" t="s">
        <v>2139</v>
      </c>
      <c r="E9" s="574">
        <v>0.10081672202208536</v>
      </c>
      <c r="F9" s="575">
        <v>1.2745651729023668</v>
      </c>
      <c r="G9" s="575">
        <v>0.33206094261929181</v>
      </c>
      <c r="H9" s="575">
        <v>0</v>
      </c>
      <c r="I9" s="575">
        <v>0</v>
      </c>
      <c r="J9" s="575">
        <v>0</v>
      </c>
      <c r="K9" s="575">
        <v>0</v>
      </c>
      <c r="L9" s="575">
        <v>0</v>
      </c>
      <c r="M9" s="575">
        <v>0</v>
      </c>
      <c r="N9" s="575">
        <v>0</v>
      </c>
      <c r="O9" s="575">
        <v>0</v>
      </c>
      <c r="P9" s="575">
        <v>0</v>
      </c>
      <c r="Q9" s="575">
        <v>0</v>
      </c>
      <c r="R9" s="574">
        <v>0.21233861950198155</v>
      </c>
      <c r="S9" s="574">
        <v>0</v>
      </c>
    </row>
    <row r="10" spans="2:19">
      <c r="B10" s="2183"/>
      <c r="C10" s="2" t="s">
        <v>2141</v>
      </c>
      <c r="D10" s="141" t="s">
        <v>2137</v>
      </c>
      <c r="E10" s="576">
        <v>80817.017700611425</v>
      </c>
      <c r="F10" s="577">
        <v>5220.880054782865</v>
      </c>
      <c r="G10" s="577">
        <v>5424.2698144060823</v>
      </c>
      <c r="H10" s="577">
        <v>5559.418488159552</v>
      </c>
      <c r="I10" s="577">
        <v>6139.4078015362356</v>
      </c>
      <c r="J10" s="577">
        <v>8802.8165924968926</v>
      </c>
      <c r="K10" s="577">
        <v>8352.6246706793572</v>
      </c>
      <c r="L10" s="577">
        <v>6780.2622948393446</v>
      </c>
      <c r="M10" s="577">
        <v>9701.7514948137978</v>
      </c>
      <c r="N10" s="577">
        <v>6852.0757567414084</v>
      </c>
      <c r="O10" s="577">
        <v>5587.3716328005139</v>
      </c>
      <c r="P10" s="577">
        <v>5862.7269281793497</v>
      </c>
      <c r="Q10" s="577">
        <v>6533.4121711760081</v>
      </c>
      <c r="R10" s="578">
        <v>39499.417422060986</v>
      </c>
      <c r="S10" s="578">
        <v>41317.600278550424</v>
      </c>
    </row>
    <row r="11" spans="2:19">
      <c r="B11" s="2183"/>
      <c r="C11" s="2"/>
      <c r="D11" s="141" t="s">
        <v>2138</v>
      </c>
      <c r="E11" s="576">
        <v>6910</v>
      </c>
      <c r="F11" s="577">
        <v>5634</v>
      </c>
      <c r="G11" s="577">
        <v>1276</v>
      </c>
      <c r="H11" s="577">
        <v>0</v>
      </c>
      <c r="I11" s="577">
        <v>0</v>
      </c>
      <c r="J11" s="577">
        <v>0</v>
      </c>
      <c r="K11" s="577">
        <v>0</v>
      </c>
      <c r="L11" s="577">
        <v>0</v>
      </c>
      <c r="M11" s="577">
        <v>0</v>
      </c>
      <c r="N11" s="577">
        <v>0</v>
      </c>
      <c r="O11" s="577">
        <v>0</v>
      </c>
      <c r="P11" s="577">
        <v>0</v>
      </c>
      <c r="Q11" s="577">
        <v>0</v>
      </c>
      <c r="R11" s="578">
        <v>6910</v>
      </c>
      <c r="S11" s="578">
        <v>0</v>
      </c>
    </row>
    <row r="12" spans="2:19">
      <c r="B12" s="2183"/>
      <c r="C12" s="2"/>
      <c r="D12" s="141" t="s">
        <v>2139</v>
      </c>
      <c r="E12" s="574">
        <v>8.5501794010739915E-2</v>
      </c>
      <c r="F12" s="575">
        <v>1.0791284114712949</v>
      </c>
      <c r="G12" s="575">
        <v>0.23523903560459458</v>
      </c>
      <c r="H12" s="575">
        <v>0</v>
      </c>
      <c r="I12" s="575">
        <v>0</v>
      </c>
      <c r="J12" s="575">
        <v>0</v>
      </c>
      <c r="K12" s="575">
        <v>0</v>
      </c>
      <c r="L12" s="575">
        <v>0</v>
      </c>
      <c r="M12" s="575">
        <v>0</v>
      </c>
      <c r="N12" s="575">
        <v>0</v>
      </c>
      <c r="O12" s="575">
        <v>0</v>
      </c>
      <c r="P12" s="575">
        <v>0</v>
      </c>
      <c r="Q12" s="575">
        <v>0</v>
      </c>
      <c r="R12" s="574">
        <v>0.17493928900684663</v>
      </c>
      <c r="S12" s="574">
        <v>0</v>
      </c>
    </row>
    <row r="13" spans="2:19">
      <c r="B13" s="2183"/>
      <c r="C13" s="2" t="s">
        <v>2142</v>
      </c>
      <c r="D13" s="141" t="s">
        <v>2137</v>
      </c>
      <c r="E13" s="579">
        <v>162478.50234518934</v>
      </c>
      <c r="F13" s="580">
        <v>161959.78556274198</v>
      </c>
      <c r="G13" s="580">
        <v>160934.70223720389</v>
      </c>
      <c r="H13" s="580">
        <v>160160.52926167985</v>
      </c>
      <c r="I13" s="580">
        <v>160330.13921326431</v>
      </c>
      <c r="J13" s="580">
        <v>160130.13375830863</v>
      </c>
      <c r="K13" s="580">
        <v>160902.50096090097</v>
      </c>
      <c r="L13" s="580">
        <v>162632.52515127993</v>
      </c>
      <c r="M13" s="580">
        <v>162813.0351324201</v>
      </c>
      <c r="N13" s="580">
        <v>162483.1604917442</v>
      </c>
      <c r="O13" s="580">
        <v>165396.12914705911</v>
      </c>
      <c r="P13" s="580">
        <v>166188.52374531774</v>
      </c>
      <c r="Q13" s="580">
        <v>166859.04912711505</v>
      </c>
      <c r="R13" s="580">
        <v>160681.14894466434</v>
      </c>
      <c r="S13" s="580">
        <v>164196.76312857654</v>
      </c>
    </row>
    <row r="14" spans="2:19">
      <c r="B14" s="2183"/>
      <c r="C14" s="2"/>
      <c r="D14" s="141" t="s">
        <v>2138</v>
      </c>
      <c r="E14" s="579">
        <v>160912.90955137482</v>
      </c>
      <c r="F14" s="580">
        <v>157702.15992190273</v>
      </c>
      <c r="G14" s="580">
        <v>175089.52664576803</v>
      </c>
      <c r="H14" s="580" t="s">
        <v>21</v>
      </c>
      <c r="I14" s="580" t="s">
        <v>21</v>
      </c>
      <c r="J14" s="580" t="s">
        <v>21</v>
      </c>
      <c r="K14" s="580" t="s">
        <v>21</v>
      </c>
      <c r="L14" s="580" t="s">
        <v>21</v>
      </c>
      <c r="M14" s="580" t="s">
        <v>21</v>
      </c>
      <c r="N14" s="580" t="s">
        <v>21</v>
      </c>
      <c r="O14" s="580" t="s">
        <v>21</v>
      </c>
      <c r="P14" s="580" t="s">
        <v>21</v>
      </c>
      <c r="Q14" s="580" t="s">
        <v>21</v>
      </c>
      <c r="R14" s="580">
        <v>160912.90955137482</v>
      </c>
      <c r="S14" s="580" t="s">
        <v>21</v>
      </c>
    </row>
    <row r="15" spans="2:19">
      <c r="B15" s="2183"/>
      <c r="C15" s="2"/>
      <c r="D15" s="141"/>
      <c r="E15" s="579"/>
      <c r="F15" s="580"/>
      <c r="G15" s="580"/>
      <c r="H15" s="580"/>
      <c r="I15" s="580"/>
      <c r="J15" s="580"/>
      <c r="K15" s="580"/>
      <c r="L15" s="580"/>
      <c r="M15" s="580"/>
      <c r="N15" s="580"/>
      <c r="O15" s="580"/>
      <c r="P15" s="580"/>
      <c r="Q15" s="580"/>
      <c r="R15" s="578"/>
      <c r="S15" s="570"/>
    </row>
    <row r="16" spans="2:19">
      <c r="B16" s="2183"/>
      <c r="C16" s="2" t="s">
        <v>2143</v>
      </c>
      <c r="D16" s="141" t="s">
        <v>2137</v>
      </c>
      <c r="E16" s="581">
        <v>0.17607372400698557</v>
      </c>
      <c r="F16" s="582">
        <v>0.16940485050698348</v>
      </c>
      <c r="G16" s="582">
        <v>0.17427329488015</v>
      </c>
      <c r="H16" s="582">
        <v>0.17539175652704653</v>
      </c>
      <c r="I16" s="582">
        <v>0.17523990947861248</v>
      </c>
      <c r="J16" s="582">
        <v>0.17015023120577702</v>
      </c>
      <c r="K16" s="582">
        <v>0.17400147470289551</v>
      </c>
      <c r="L16" s="582">
        <v>0.17976572379850655</v>
      </c>
      <c r="M16" s="582">
        <v>0.18207480161405554</v>
      </c>
      <c r="N16" s="582">
        <v>0.17556005416713105</v>
      </c>
      <c r="O16" s="582">
        <v>0.17746354245332432</v>
      </c>
      <c r="P16" s="582">
        <v>0.17910583549388406</v>
      </c>
      <c r="Q16" s="582">
        <v>0.17841874242576122</v>
      </c>
      <c r="R16" s="582">
        <v>0.17295823371289323</v>
      </c>
      <c r="S16" s="582">
        <v>0.17898834668730024</v>
      </c>
    </row>
    <row r="17" spans="1:20">
      <c r="B17" s="2183"/>
      <c r="C17" s="2"/>
      <c r="D17" s="141" t="s">
        <v>2138</v>
      </c>
      <c r="E17" s="581">
        <v>0.20963167998207191</v>
      </c>
      <c r="F17" s="582">
        <v>0.20548698175800448</v>
      </c>
      <c r="G17" s="582">
        <v>0.22611469127687997</v>
      </c>
      <c r="H17" s="582" t="s">
        <v>21</v>
      </c>
      <c r="I17" s="582" t="s">
        <v>21</v>
      </c>
      <c r="J17" s="582" t="s">
        <v>21</v>
      </c>
      <c r="K17" s="582" t="s">
        <v>21</v>
      </c>
      <c r="L17" s="582" t="s">
        <v>21</v>
      </c>
      <c r="M17" s="582" t="s">
        <v>21</v>
      </c>
      <c r="N17" s="582" t="s">
        <v>21</v>
      </c>
      <c r="O17" s="582" t="s">
        <v>21</v>
      </c>
      <c r="P17" s="582" t="s">
        <v>21</v>
      </c>
      <c r="Q17" s="582" t="s">
        <v>21</v>
      </c>
      <c r="R17" s="582">
        <v>0.20963167998207191</v>
      </c>
      <c r="S17" s="582" t="s">
        <v>21</v>
      </c>
    </row>
    <row r="18" spans="1:20">
      <c r="B18" s="2184"/>
      <c r="C18" s="1"/>
      <c r="D18" s="141"/>
      <c r="E18" s="583"/>
      <c r="F18" s="584"/>
      <c r="G18" s="584"/>
      <c r="H18" s="584"/>
      <c r="I18" s="584"/>
      <c r="J18" s="584"/>
      <c r="K18" s="584"/>
      <c r="L18" s="584"/>
      <c r="M18" s="584"/>
      <c r="N18" s="584"/>
      <c r="O18" s="584"/>
      <c r="P18" s="584"/>
      <c r="Q18" s="584"/>
      <c r="R18" s="578"/>
      <c r="S18" s="570"/>
    </row>
    <row r="19" spans="1:20">
      <c r="B19" s="2"/>
      <c r="C19" s="2"/>
      <c r="D19" s="141" t="s">
        <v>2144</v>
      </c>
      <c r="E19" s="585">
        <v>-12019119794.999998</v>
      </c>
      <c r="F19" s="586">
        <v>42921354.878570557</v>
      </c>
      <c r="G19" s="586">
        <v>-649539011.43569613</v>
      </c>
      <c r="H19" s="586">
        <v>-890399407.45080185</v>
      </c>
      <c r="I19" s="586">
        <v>-984332107.50730562</v>
      </c>
      <c r="J19" s="586">
        <v>-1409596198.4063859</v>
      </c>
      <c r="K19" s="586">
        <v>-1343958199.1000304</v>
      </c>
      <c r="L19" s="586">
        <v>-1102691178.1977346</v>
      </c>
      <c r="M19" s="586">
        <v>-1579571606.971128</v>
      </c>
      <c r="N19" s="586">
        <v>-1113346924.8842039</v>
      </c>
      <c r="O19" s="586">
        <v>-924129640.17128825</v>
      </c>
      <c r="P19" s="586">
        <v>-974317933.31604767</v>
      </c>
      <c r="Q19" s="586">
        <v>-1090158942.4379489</v>
      </c>
      <c r="R19" s="572">
        <v>-5234903569.0216494</v>
      </c>
      <c r="S19" s="572">
        <v>-6784216225.9783516</v>
      </c>
    </row>
    <row r="20" spans="1:20">
      <c r="B20" s="2" t="s">
        <v>2145</v>
      </c>
      <c r="C20" s="2"/>
      <c r="D20" s="141" t="s">
        <v>2144</v>
      </c>
      <c r="E20" s="585">
        <v>-2078937815</v>
      </c>
      <c r="F20" s="586">
        <v>39329841.711960018</v>
      </c>
      <c r="G20" s="586">
        <v>-101615197.70694563</v>
      </c>
      <c r="H20" s="586">
        <v>-156168716.08343753</v>
      </c>
      <c r="I20" s="586">
        <v>-172494269.41647208</v>
      </c>
      <c r="J20" s="586">
        <v>-239843119.06563091</v>
      </c>
      <c r="K20" s="586">
        <v>-233850708.58245295</v>
      </c>
      <c r="L20" s="586">
        <v>-198226077.77494374</v>
      </c>
      <c r="M20" s="586">
        <v>-287600186.97446305</v>
      </c>
      <c r="N20" s="586">
        <v>-195459246.43947962</v>
      </c>
      <c r="O20" s="586">
        <v>-163999319.63091275</v>
      </c>
      <c r="P20" s="586">
        <v>-174506027.48324513</v>
      </c>
      <c r="Q20" s="586">
        <v>-194504787.55397666</v>
      </c>
      <c r="R20" s="572">
        <v>-864642169.14297915</v>
      </c>
      <c r="S20" s="572">
        <v>-1214295645.8570209</v>
      </c>
    </row>
    <row r="21" spans="1:20">
      <c r="B21" s="2"/>
      <c r="C21" s="2"/>
      <c r="D21" s="141" t="s">
        <v>2144</v>
      </c>
      <c r="E21" s="576">
        <v>-73907.017700611425</v>
      </c>
      <c r="F21" s="587">
        <v>413.11994521713495</v>
      </c>
      <c r="G21" s="587">
        <v>-4148.2698144060823</v>
      </c>
      <c r="H21" s="587">
        <v>-5559.418488159552</v>
      </c>
      <c r="I21" s="587">
        <v>-6139.4078015362356</v>
      </c>
      <c r="J21" s="587">
        <v>-8802.8165924968926</v>
      </c>
      <c r="K21" s="587">
        <v>-8352.6246706793572</v>
      </c>
      <c r="L21" s="587">
        <v>-6780.2622948393446</v>
      </c>
      <c r="M21" s="587">
        <v>-9701.7514948137978</v>
      </c>
      <c r="N21" s="587">
        <v>-6852.0757567414084</v>
      </c>
      <c r="O21" s="587">
        <v>-5587.3716328005139</v>
      </c>
      <c r="P21" s="587">
        <v>-5862.7269281793497</v>
      </c>
      <c r="Q21" s="587">
        <v>-6533.4121711760081</v>
      </c>
      <c r="R21" s="578">
        <v>-32589.417422060986</v>
      </c>
      <c r="S21" s="578">
        <v>-41317.600278550424</v>
      </c>
    </row>
    <row r="22" spans="1:20">
      <c r="A22" t="s">
        <v>2146</v>
      </c>
      <c r="B22" s="2185" t="s">
        <v>2147</v>
      </c>
      <c r="C22" s="10" t="s">
        <v>2136</v>
      </c>
      <c r="D22" s="141" t="s">
        <v>2137</v>
      </c>
      <c r="E22" s="572">
        <v>10674636000</v>
      </c>
      <c r="F22" s="586">
        <v>702136610.91811907</v>
      </c>
      <c r="G22" s="586">
        <v>698213708.98878658</v>
      </c>
      <c r="H22" s="586">
        <v>699221033.59094596</v>
      </c>
      <c r="I22" s="586">
        <v>775133821.17042136</v>
      </c>
      <c r="J22" s="586">
        <v>1130971075.2077079</v>
      </c>
      <c r="K22" s="586">
        <v>1075176869.6916571</v>
      </c>
      <c r="L22" s="586">
        <v>885754140.61380661</v>
      </c>
      <c r="M22" s="586">
        <v>1257659346.7256513</v>
      </c>
      <c r="N22" s="586">
        <v>906388120.72680902</v>
      </c>
      <c r="O22" s="586">
        <v>780049882.23770809</v>
      </c>
      <c r="P22" s="586">
        <v>827175979.35815573</v>
      </c>
      <c r="Q22" s="586">
        <v>936755410.77023196</v>
      </c>
      <c r="R22" s="572">
        <v>5080853119.5676384</v>
      </c>
      <c r="S22" s="572">
        <v>5593782880.4323626</v>
      </c>
    </row>
    <row r="23" spans="1:20">
      <c r="B23" s="2186"/>
      <c r="C23" s="9"/>
      <c r="D23" s="141" t="s">
        <v>2138</v>
      </c>
      <c r="E23" s="572">
        <v>793730043</v>
      </c>
      <c r="F23" s="573">
        <v>631440298</v>
      </c>
      <c r="G23" s="573">
        <v>162289745</v>
      </c>
      <c r="H23" s="573">
        <v>0</v>
      </c>
      <c r="I23" s="573">
        <v>0</v>
      </c>
      <c r="J23" s="573">
        <v>0</v>
      </c>
      <c r="K23" s="573">
        <v>0</v>
      </c>
      <c r="L23" s="573">
        <v>0</v>
      </c>
      <c r="M23" s="573">
        <v>0</v>
      </c>
      <c r="N23" s="573">
        <v>0</v>
      </c>
      <c r="O23" s="573">
        <v>0</v>
      </c>
      <c r="P23" s="573">
        <v>0</v>
      </c>
      <c r="Q23" s="573">
        <v>0</v>
      </c>
      <c r="R23" s="572">
        <v>793730043</v>
      </c>
      <c r="S23" s="572">
        <v>0</v>
      </c>
    </row>
    <row r="24" spans="1:20">
      <c r="B24" s="2186"/>
      <c r="C24" s="9"/>
      <c r="D24" s="141" t="s">
        <v>2139</v>
      </c>
      <c r="E24" s="574">
        <v>7.4356637828212599E-2</v>
      </c>
      <c r="F24" s="575">
        <v>0.89931259555647436</v>
      </c>
      <c r="G24" s="575">
        <v>0.23243563240120568</v>
      </c>
      <c r="H24" s="575">
        <v>0</v>
      </c>
      <c r="I24" s="575">
        <v>0</v>
      </c>
      <c r="J24" s="575">
        <v>0</v>
      </c>
      <c r="K24" s="575">
        <v>0</v>
      </c>
      <c r="L24" s="575">
        <v>0</v>
      </c>
      <c r="M24" s="575">
        <v>0</v>
      </c>
      <c r="N24" s="575">
        <v>0</v>
      </c>
      <c r="O24" s="575">
        <v>0</v>
      </c>
      <c r="P24" s="575">
        <v>0</v>
      </c>
      <c r="Q24" s="575">
        <v>0</v>
      </c>
      <c r="R24" s="574">
        <v>0.15621983637809697</v>
      </c>
      <c r="S24" s="574">
        <v>0</v>
      </c>
    </row>
    <row r="25" spans="1:20">
      <c r="A25" t="s">
        <v>2148</v>
      </c>
      <c r="B25" s="2186"/>
      <c r="C25" s="9" t="s">
        <v>2140</v>
      </c>
      <c r="D25" s="141" t="s">
        <v>2137</v>
      </c>
      <c r="E25" s="572">
        <v>1954907000</v>
      </c>
      <c r="F25" s="586">
        <v>122366673.98586184</v>
      </c>
      <c r="G25" s="586">
        <v>126693160.98199624</v>
      </c>
      <c r="H25" s="586">
        <v>128355170.2932166</v>
      </c>
      <c r="I25" s="586">
        <v>142071233.67893118</v>
      </c>
      <c r="J25" s="586">
        <v>199349480.08185327</v>
      </c>
      <c r="K25" s="586">
        <v>194782459.02232611</v>
      </c>
      <c r="L25" s="586">
        <v>166702719.41360149</v>
      </c>
      <c r="M25" s="586">
        <v>240803735.47505337</v>
      </c>
      <c r="N25" s="586">
        <v>165368086.80195376</v>
      </c>
      <c r="O25" s="586">
        <v>143072454.42372543</v>
      </c>
      <c r="P25" s="586">
        <v>153131479.97073603</v>
      </c>
      <c r="Q25" s="586">
        <v>172210345.87074476</v>
      </c>
      <c r="R25" s="572">
        <v>913618178.04418528</v>
      </c>
      <c r="S25" s="572">
        <v>1041288821.9558148</v>
      </c>
      <c r="T25" s="588">
        <v>0.8</v>
      </c>
    </row>
    <row r="26" spans="1:20">
      <c r="B26" s="2186"/>
      <c r="C26" s="9"/>
      <c r="D26" s="141" t="s">
        <v>2138</v>
      </c>
      <c r="E26" s="572">
        <v>153454469</v>
      </c>
      <c r="F26" s="573">
        <v>118111645</v>
      </c>
      <c r="G26" s="573">
        <v>35342824</v>
      </c>
      <c r="H26" s="573">
        <v>0</v>
      </c>
      <c r="I26" s="573">
        <v>0</v>
      </c>
      <c r="J26" s="573">
        <v>0</v>
      </c>
      <c r="K26" s="573">
        <v>0</v>
      </c>
      <c r="L26" s="573">
        <v>0</v>
      </c>
      <c r="M26" s="573">
        <v>0</v>
      </c>
      <c r="N26" s="573">
        <v>0</v>
      </c>
      <c r="O26" s="573">
        <v>0</v>
      </c>
      <c r="P26" s="573">
        <v>0</v>
      </c>
      <c r="Q26" s="573">
        <v>0</v>
      </c>
      <c r="R26" s="572">
        <v>153454469</v>
      </c>
      <c r="S26" s="572">
        <v>0</v>
      </c>
      <c r="T26" s="588"/>
    </row>
    <row r="27" spans="1:20">
      <c r="B27" s="2186"/>
      <c r="C27" s="9"/>
      <c r="D27" s="141" t="s">
        <v>2139</v>
      </c>
      <c r="E27" s="574">
        <v>7.849706865850907E-2</v>
      </c>
      <c r="F27" s="575">
        <v>0.96522722366096625</v>
      </c>
      <c r="G27" s="575">
        <v>0.2789639450626889</v>
      </c>
      <c r="H27" s="575">
        <v>0</v>
      </c>
      <c r="I27" s="575">
        <v>0</v>
      </c>
      <c r="J27" s="575">
        <v>0</v>
      </c>
      <c r="K27" s="575">
        <v>0</v>
      </c>
      <c r="L27" s="575">
        <v>0</v>
      </c>
      <c r="M27" s="575">
        <v>0</v>
      </c>
      <c r="N27" s="575">
        <v>0</v>
      </c>
      <c r="O27" s="575">
        <v>0</v>
      </c>
      <c r="P27" s="575">
        <v>0</v>
      </c>
      <c r="Q27" s="575">
        <v>0</v>
      </c>
      <c r="R27" s="574">
        <v>0.16796345857358641</v>
      </c>
      <c r="S27" s="574">
        <v>0</v>
      </c>
      <c r="T27" s="588"/>
    </row>
    <row r="28" spans="1:20">
      <c r="A28" t="s">
        <v>2149</v>
      </c>
      <c r="B28" s="2186"/>
      <c r="C28" s="9" t="s">
        <v>2141</v>
      </c>
      <c r="D28" s="141" t="s">
        <v>2137</v>
      </c>
      <c r="E28" s="579">
        <v>59076.6357041788</v>
      </c>
      <c r="F28" s="580">
        <v>3951.8038185963196</v>
      </c>
      <c r="G28" s="580">
        <v>3878.3243658882052</v>
      </c>
      <c r="H28" s="580">
        <v>3867.7133633428994</v>
      </c>
      <c r="I28" s="580">
        <v>4288.040867570815</v>
      </c>
      <c r="J28" s="580">
        <v>6336.5932894716407</v>
      </c>
      <c r="K28" s="580">
        <v>5973.6221068144932</v>
      </c>
      <c r="L28" s="580">
        <v>4859.9813359349964</v>
      </c>
      <c r="M28" s="580">
        <v>6852.5760659951602</v>
      </c>
      <c r="N28" s="580">
        <v>5020.4223169831766</v>
      </c>
      <c r="O28" s="580">
        <v>4311.8457893102504</v>
      </c>
      <c r="P28" s="580">
        <v>4560.1413474295223</v>
      </c>
      <c r="Q28" s="580">
        <v>5175.571036841312</v>
      </c>
      <c r="R28" s="578">
        <v>28296.097811684376</v>
      </c>
      <c r="S28" s="578">
        <v>30780.537892494416</v>
      </c>
      <c r="T28" s="565">
        <v>24624.430313995534</v>
      </c>
    </row>
    <row r="29" spans="1:20">
      <c r="B29" s="2186"/>
      <c r="C29" s="9"/>
      <c r="D29" s="141" t="s">
        <v>2138</v>
      </c>
      <c r="E29" s="579">
        <v>4532</v>
      </c>
      <c r="F29" s="580">
        <v>3704</v>
      </c>
      <c r="G29" s="580">
        <v>828</v>
      </c>
      <c r="H29" s="580">
        <v>0</v>
      </c>
      <c r="I29" s="580">
        <v>0</v>
      </c>
      <c r="J29" s="580">
        <v>0</v>
      </c>
      <c r="K29" s="580">
        <v>0</v>
      </c>
      <c r="L29" s="580">
        <v>0</v>
      </c>
      <c r="M29" s="580">
        <v>0</v>
      </c>
      <c r="N29" s="580">
        <v>0</v>
      </c>
      <c r="O29" s="580">
        <v>0</v>
      </c>
      <c r="P29" s="580">
        <v>0</v>
      </c>
      <c r="Q29" s="580">
        <v>0</v>
      </c>
      <c r="R29" s="578">
        <v>4532</v>
      </c>
      <c r="S29" s="578">
        <v>0</v>
      </c>
    </row>
    <row r="30" spans="1:20">
      <c r="B30" s="2186"/>
      <c r="C30" s="9"/>
      <c r="D30" s="141" t="s">
        <v>2139</v>
      </c>
      <c r="E30" s="574">
        <v>7.6713914832483049E-2</v>
      </c>
      <c r="F30" s="575">
        <v>0.93729349178969634</v>
      </c>
      <c r="G30" s="575">
        <v>0.21349426244041692</v>
      </c>
      <c r="H30" s="575">
        <v>0</v>
      </c>
      <c r="I30" s="575">
        <v>0</v>
      </c>
      <c r="J30" s="575">
        <v>0</v>
      </c>
      <c r="K30" s="575">
        <v>0</v>
      </c>
      <c r="L30" s="575">
        <v>0</v>
      </c>
      <c r="M30" s="575">
        <v>0</v>
      </c>
      <c r="N30" s="575">
        <v>0</v>
      </c>
      <c r="O30" s="575">
        <v>0</v>
      </c>
      <c r="P30" s="575">
        <v>0</v>
      </c>
      <c r="Q30" s="575">
        <v>0</v>
      </c>
      <c r="R30" s="574">
        <v>0.16016342713264831</v>
      </c>
      <c r="S30" s="574">
        <v>0</v>
      </c>
    </row>
    <row r="31" spans="1:20">
      <c r="B31" s="2186"/>
      <c r="C31" s="9" t="s">
        <v>2142</v>
      </c>
      <c r="D31" s="141" t="s">
        <v>2137</v>
      </c>
      <c r="E31" s="579">
        <v>180691.33207673379</v>
      </c>
      <c r="F31" s="580">
        <v>177674.9664581067</v>
      </c>
      <c r="G31" s="580">
        <v>180029.7352975228</v>
      </c>
      <c r="H31" s="580">
        <v>180784.08814313039</v>
      </c>
      <c r="I31" s="580">
        <v>180766.42576625827</v>
      </c>
      <c r="J31" s="580">
        <v>178482.51000846716</v>
      </c>
      <c r="K31" s="580">
        <v>179987.42646695612</v>
      </c>
      <c r="L31" s="580">
        <v>182254.63831815295</v>
      </c>
      <c r="M31" s="580">
        <v>183530.88453356829</v>
      </c>
      <c r="N31" s="580">
        <v>180540.21424864253</v>
      </c>
      <c r="O31" s="580">
        <v>180908.57613033737</v>
      </c>
      <c r="P31" s="580">
        <v>181392.61841618601</v>
      </c>
      <c r="Q31" s="580">
        <v>180995.56630604001</v>
      </c>
      <c r="R31" s="572">
        <v>179560.20485162409</v>
      </c>
      <c r="S31" s="572">
        <v>181731.1607733912</v>
      </c>
    </row>
    <row r="32" spans="1:20">
      <c r="B32" s="2186"/>
      <c r="C32" s="9"/>
      <c r="D32" s="141" t="s">
        <v>2138</v>
      </c>
      <c r="E32" s="579">
        <v>175139.02096204765</v>
      </c>
      <c r="F32" s="580">
        <v>170475.24244060475</v>
      </c>
      <c r="G32" s="580">
        <v>196002.10748792271</v>
      </c>
      <c r="H32" s="580" t="s">
        <v>21</v>
      </c>
      <c r="I32" s="580" t="s">
        <v>21</v>
      </c>
      <c r="J32" s="580" t="s">
        <v>21</v>
      </c>
      <c r="K32" s="580" t="s">
        <v>21</v>
      </c>
      <c r="L32" s="580" t="s">
        <v>21</v>
      </c>
      <c r="M32" s="580" t="s">
        <v>21</v>
      </c>
      <c r="N32" s="580" t="s">
        <v>21</v>
      </c>
      <c r="O32" s="580" t="s">
        <v>21</v>
      </c>
      <c r="P32" s="580" t="s">
        <v>21</v>
      </c>
      <c r="Q32" s="580" t="s">
        <v>21</v>
      </c>
      <c r="R32" s="580">
        <v>175139.02096204765</v>
      </c>
      <c r="S32" s="580" t="s">
        <v>21</v>
      </c>
    </row>
    <row r="33" spans="1:19">
      <c r="B33" s="2186"/>
      <c r="C33" s="9"/>
      <c r="D33" s="141"/>
      <c r="E33" s="579"/>
      <c r="F33" s="580"/>
      <c r="G33" s="580"/>
      <c r="H33" s="580"/>
      <c r="I33" s="580"/>
      <c r="J33" s="580"/>
      <c r="K33" s="580"/>
      <c r="L33" s="580"/>
      <c r="M33" s="580"/>
      <c r="N33" s="580"/>
      <c r="O33" s="580"/>
      <c r="P33" s="580"/>
      <c r="Q33" s="580"/>
      <c r="R33" s="572"/>
      <c r="S33" s="572"/>
    </row>
    <row r="34" spans="1:19">
      <c r="B34" s="2186"/>
      <c r="C34" s="9" t="s">
        <v>2143</v>
      </c>
      <c r="D34" s="141" t="s">
        <v>2137</v>
      </c>
      <c r="E34" s="581">
        <v>0.18313570598566545</v>
      </c>
      <c r="F34" s="582">
        <v>0.17427758655947917</v>
      </c>
      <c r="G34" s="582">
        <v>0.18145327046855642</v>
      </c>
      <c r="H34" s="582">
        <v>0.18356880603838666</v>
      </c>
      <c r="I34" s="582">
        <v>0.18328607241574008</v>
      </c>
      <c r="J34" s="582">
        <v>0.17626399512051344</v>
      </c>
      <c r="K34" s="582">
        <v>0.18116317836914264</v>
      </c>
      <c r="L34" s="582">
        <v>0.18820427900916215</v>
      </c>
      <c r="M34" s="582">
        <v>0.191469761745891</v>
      </c>
      <c r="N34" s="582">
        <v>0.18244732363587179</v>
      </c>
      <c r="O34" s="582">
        <v>0.1834144939722282</v>
      </c>
      <c r="P34" s="582">
        <v>0.18512563685608696</v>
      </c>
      <c r="Q34" s="582">
        <v>0.18383704421749494</v>
      </c>
      <c r="R34" s="582">
        <v>0.17981590031123174</v>
      </c>
      <c r="S34" s="582">
        <v>0.18615109742609998</v>
      </c>
    </row>
    <row r="35" spans="1:19">
      <c r="B35" s="2186"/>
      <c r="C35" s="9"/>
      <c r="D35" s="141" t="s">
        <v>2138</v>
      </c>
      <c r="E35" s="581">
        <v>0.19333332579928564</v>
      </c>
      <c r="F35" s="582">
        <v>0.18705116758322574</v>
      </c>
      <c r="G35" s="582">
        <v>0.21777607697886273</v>
      </c>
      <c r="H35" s="582" t="s">
        <v>21</v>
      </c>
      <c r="I35" s="582" t="s">
        <v>21</v>
      </c>
      <c r="J35" s="582" t="s">
        <v>21</v>
      </c>
      <c r="K35" s="582" t="s">
        <v>21</v>
      </c>
      <c r="L35" s="582" t="s">
        <v>21</v>
      </c>
      <c r="M35" s="582" t="s">
        <v>21</v>
      </c>
      <c r="N35" s="582" t="s">
        <v>21</v>
      </c>
      <c r="O35" s="582" t="s">
        <v>21</v>
      </c>
      <c r="P35" s="582" t="s">
        <v>21</v>
      </c>
      <c r="Q35" s="582" t="s">
        <v>21</v>
      </c>
      <c r="R35" s="582">
        <v>0.19333332579928564</v>
      </c>
      <c r="S35" s="582" t="s">
        <v>21</v>
      </c>
    </row>
    <row r="36" spans="1:19">
      <c r="B36" s="2187"/>
      <c r="C36" s="8"/>
      <c r="D36" s="141"/>
      <c r="E36" s="583"/>
      <c r="F36" s="584"/>
      <c r="G36" s="584"/>
      <c r="H36" s="584"/>
      <c r="I36" s="584"/>
      <c r="J36" s="584"/>
      <c r="K36" s="584"/>
      <c r="L36" s="584"/>
      <c r="M36" s="584"/>
      <c r="N36" s="584"/>
      <c r="O36" s="584"/>
      <c r="P36" s="584"/>
      <c r="Q36" s="584"/>
      <c r="R36" s="574"/>
      <c r="S36" s="574"/>
    </row>
    <row r="37" spans="1:19">
      <c r="B37" s="9"/>
      <c r="C37" s="9" t="s">
        <v>2136</v>
      </c>
      <c r="D37" s="141" t="s">
        <v>2150</v>
      </c>
      <c r="E37" s="585">
        <v>-9880905956.9999981</v>
      </c>
      <c r="F37" s="586">
        <v>-70696312.918119073</v>
      </c>
      <c r="G37" s="586">
        <v>-535923963.98878658</v>
      </c>
      <c r="H37" s="586">
        <v>-699221033.59094596</v>
      </c>
      <c r="I37" s="586">
        <v>-775133821.17042136</v>
      </c>
      <c r="J37" s="586">
        <v>-1130971075.2077079</v>
      </c>
      <c r="K37" s="586">
        <v>-1075176869.6916571</v>
      </c>
      <c r="L37" s="586">
        <v>-885754140.61380661</v>
      </c>
      <c r="M37" s="586">
        <v>-1257659346.7256513</v>
      </c>
      <c r="N37" s="586">
        <v>-906388120.72680902</v>
      </c>
      <c r="O37" s="586">
        <v>-780049882.23770809</v>
      </c>
      <c r="P37" s="586">
        <v>-827175979.35815573</v>
      </c>
      <c r="Q37" s="586">
        <v>-936755410.77023196</v>
      </c>
      <c r="R37" s="586">
        <v>-4287123076.5676384</v>
      </c>
      <c r="S37" s="586">
        <v>-5593782880.4323626</v>
      </c>
    </row>
    <row r="38" spans="1:19">
      <c r="B38" s="9" t="s">
        <v>2151</v>
      </c>
      <c r="C38" s="9" t="s">
        <v>2140</v>
      </c>
      <c r="D38" s="141" t="s">
        <v>2150</v>
      </c>
      <c r="E38" s="585">
        <v>-1801452531</v>
      </c>
      <c r="F38" s="586">
        <v>-4255028.9858618379</v>
      </c>
      <c r="G38" s="586">
        <v>-91350336.981996238</v>
      </c>
      <c r="H38" s="586">
        <v>-128355170.2932166</v>
      </c>
      <c r="I38" s="586">
        <v>-142071233.67893118</v>
      </c>
      <c r="J38" s="586">
        <v>-199349480.08185327</v>
      </c>
      <c r="K38" s="586">
        <v>-194782459.02232611</v>
      </c>
      <c r="L38" s="586">
        <v>-166702719.41360149</v>
      </c>
      <c r="M38" s="586">
        <v>-240803735.47505337</v>
      </c>
      <c r="N38" s="586">
        <v>-165368086.80195376</v>
      </c>
      <c r="O38" s="586">
        <v>-143072454.42372543</v>
      </c>
      <c r="P38" s="586">
        <v>-153131479.97073603</v>
      </c>
      <c r="Q38" s="586">
        <v>-172210345.87074476</v>
      </c>
      <c r="R38" s="572">
        <v>-760163709.04418528</v>
      </c>
      <c r="S38" s="572">
        <v>-1041288821.9558148</v>
      </c>
    </row>
    <row r="39" spans="1:19">
      <c r="B39" s="9"/>
      <c r="C39" s="9" t="s">
        <v>2141</v>
      </c>
      <c r="D39" s="141" t="s">
        <v>2150</v>
      </c>
      <c r="E39" s="576">
        <v>-54544.6357041788</v>
      </c>
      <c r="F39" s="587">
        <v>-247.80381859631962</v>
      </c>
      <c r="G39" s="587">
        <v>-3050.3243658882052</v>
      </c>
      <c r="H39" s="587">
        <v>-3867.7133633428994</v>
      </c>
      <c r="I39" s="587">
        <v>-4288.040867570815</v>
      </c>
      <c r="J39" s="587">
        <v>-6336.5932894716407</v>
      </c>
      <c r="K39" s="587">
        <v>-5973.6221068144932</v>
      </c>
      <c r="L39" s="587">
        <v>-4859.9813359349964</v>
      </c>
      <c r="M39" s="587">
        <v>-6852.5760659951602</v>
      </c>
      <c r="N39" s="587">
        <v>-5020.4223169831766</v>
      </c>
      <c r="O39" s="587">
        <v>-4311.8457893102504</v>
      </c>
      <c r="P39" s="587">
        <v>-4560.1413474295223</v>
      </c>
      <c r="Q39" s="587">
        <v>-5175.571036841312</v>
      </c>
      <c r="R39" s="578">
        <v>-23764.097811684376</v>
      </c>
      <c r="S39" s="578">
        <v>-30780.537892494416</v>
      </c>
    </row>
    <row r="40" spans="1:19">
      <c r="A40" t="s">
        <v>2152</v>
      </c>
      <c r="B40" s="2188" t="s">
        <v>2153</v>
      </c>
      <c r="C40" s="7" t="s">
        <v>2136</v>
      </c>
      <c r="D40" s="141" t="s">
        <v>2137</v>
      </c>
      <c r="E40" s="579">
        <v>0</v>
      </c>
      <c r="F40" s="586">
        <v>0</v>
      </c>
      <c r="G40" s="586">
        <v>0</v>
      </c>
      <c r="H40" s="586">
        <v>0</v>
      </c>
      <c r="I40" s="586">
        <v>0</v>
      </c>
      <c r="J40" s="586">
        <v>0</v>
      </c>
      <c r="K40" s="586">
        <v>0</v>
      </c>
      <c r="L40" s="586">
        <v>0</v>
      </c>
      <c r="M40" s="586">
        <v>0</v>
      </c>
      <c r="N40" s="586">
        <v>0</v>
      </c>
      <c r="O40" s="586">
        <v>0</v>
      </c>
      <c r="P40" s="586">
        <v>0</v>
      </c>
      <c r="Q40" s="586">
        <v>0</v>
      </c>
      <c r="R40" s="572">
        <v>0</v>
      </c>
      <c r="S40" s="572">
        <v>0</v>
      </c>
    </row>
    <row r="41" spans="1:19">
      <c r="B41" s="2189"/>
      <c r="C41" s="6"/>
      <c r="D41" s="141" t="s">
        <v>2138</v>
      </c>
      <c r="E41" s="585">
        <v>39185902</v>
      </c>
      <c r="F41" s="586">
        <v>30100636</v>
      </c>
      <c r="G41" s="586">
        <v>9085266</v>
      </c>
      <c r="H41" s="586">
        <v>0</v>
      </c>
      <c r="I41" s="586">
        <v>0</v>
      </c>
      <c r="J41" s="586">
        <v>0</v>
      </c>
      <c r="K41" s="586">
        <v>0</v>
      </c>
      <c r="L41" s="586">
        <v>0</v>
      </c>
      <c r="M41" s="586">
        <v>0</v>
      </c>
      <c r="N41" s="586">
        <v>0</v>
      </c>
      <c r="O41" s="586">
        <v>0</v>
      </c>
      <c r="P41" s="586">
        <v>0</v>
      </c>
      <c r="Q41" s="586">
        <v>0</v>
      </c>
      <c r="R41" s="570"/>
      <c r="S41" s="570"/>
    </row>
    <row r="42" spans="1:19">
      <c r="B42" s="2189"/>
      <c r="C42" s="6"/>
      <c r="D42" s="141" t="s">
        <v>2139</v>
      </c>
      <c r="E42" s="574" t="e">
        <v>#DIV/0!</v>
      </c>
      <c r="F42" s="575" t="e">
        <v>#DIV/0!</v>
      </c>
      <c r="G42" s="575" t="e">
        <v>#DIV/0!</v>
      </c>
      <c r="H42" s="575" t="e">
        <v>#DIV/0!</v>
      </c>
      <c r="I42" s="575" t="e">
        <v>#DIV/0!</v>
      </c>
      <c r="J42" s="575" t="e">
        <v>#DIV/0!</v>
      </c>
      <c r="K42" s="575" t="e">
        <v>#DIV/0!</v>
      </c>
      <c r="L42" s="575" t="e">
        <v>#DIV/0!</v>
      </c>
      <c r="M42" s="575" t="e">
        <v>#DIV/0!</v>
      </c>
      <c r="N42" s="575" t="e">
        <v>#DIV/0!</v>
      </c>
      <c r="O42" s="575" t="e">
        <v>#DIV/0!</v>
      </c>
      <c r="P42" s="575" t="e">
        <v>#DIV/0!</v>
      </c>
      <c r="Q42" s="575" t="e">
        <v>#DIV/0!</v>
      </c>
      <c r="R42" s="574" t="e">
        <v>#DIV/0!</v>
      </c>
      <c r="S42" s="574" t="e">
        <v>#DIV/0!</v>
      </c>
    </row>
    <row r="43" spans="1:19">
      <c r="A43" t="s">
        <v>2154</v>
      </c>
      <c r="B43" s="2189"/>
      <c r="C43" s="6" t="s">
        <v>2140</v>
      </c>
      <c r="D43" s="141" t="s">
        <v>2137</v>
      </c>
      <c r="E43" s="579">
        <v>0</v>
      </c>
      <c r="F43" s="586">
        <v>0</v>
      </c>
      <c r="G43" s="586">
        <v>0</v>
      </c>
      <c r="H43" s="586">
        <v>0</v>
      </c>
      <c r="I43" s="586">
        <v>0</v>
      </c>
      <c r="J43" s="586">
        <v>0</v>
      </c>
      <c r="K43" s="586">
        <v>0</v>
      </c>
      <c r="L43" s="586">
        <v>0</v>
      </c>
      <c r="M43" s="586">
        <v>0</v>
      </c>
      <c r="N43" s="586">
        <v>0</v>
      </c>
      <c r="O43" s="586">
        <v>0</v>
      </c>
      <c r="P43" s="586">
        <v>0</v>
      </c>
      <c r="Q43" s="586">
        <v>0</v>
      </c>
      <c r="R43" s="572">
        <v>0</v>
      </c>
      <c r="S43" s="572">
        <v>0</v>
      </c>
    </row>
    <row r="44" spans="1:19">
      <c r="B44" s="2189"/>
      <c r="C44" s="6"/>
      <c r="D44" s="141" t="s">
        <v>2138</v>
      </c>
      <c r="E44" s="585">
        <v>1554362</v>
      </c>
      <c r="F44" s="586">
        <v>42994</v>
      </c>
      <c r="G44" s="586">
        <v>1511368</v>
      </c>
      <c r="H44" s="586">
        <v>0</v>
      </c>
      <c r="I44" s="586">
        <v>0</v>
      </c>
      <c r="J44" s="586">
        <v>0</v>
      </c>
      <c r="K44" s="586">
        <v>0</v>
      </c>
      <c r="L44" s="586">
        <v>0</v>
      </c>
      <c r="M44" s="586">
        <v>0</v>
      </c>
      <c r="N44" s="586">
        <v>0</v>
      </c>
      <c r="O44" s="586">
        <v>0</v>
      </c>
      <c r="P44" s="586">
        <v>0</v>
      </c>
      <c r="Q44" s="586">
        <v>0</v>
      </c>
      <c r="R44" s="570"/>
      <c r="S44" s="570"/>
    </row>
    <row r="45" spans="1:19">
      <c r="B45" s="2189"/>
      <c r="C45" s="6"/>
      <c r="D45" s="141" t="s">
        <v>2139</v>
      </c>
      <c r="E45" s="574" t="e">
        <v>#DIV/0!</v>
      </c>
      <c r="F45" s="575" t="e">
        <v>#DIV/0!</v>
      </c>
      <c r="G45" s="575" t="e">
        <v>#DIV/0!</v>
      </c>
      <c r="H45" s="575" t="e">
        <v>#DIV/0!</v>
      </c>
      <c r="I45" s="575" t="e">
        <v>#DIV/0!</v>
      </c>
      <c r="J45" s="575" t="e">
        <v>#DIV/0!</v>
      </c>
      <c r="K45" s="575" t="e">
        <v>#DIV/0!</v>
      </c>
      <c r="L45" s="575" t="e">
        <v>#DIV/0!</v>
      </c>
      <c r="M45" s="575" t="e">
        <v>#DIV/0!</v>
      </c>
      <c r="N45" s="575" t="e">
        <v>#DIV/0!</v>
      </c>
      <c r="O45" s="575" t="e">
        <v>#DIV/0!</v>
      </c>
      <c r="P45" s="575" t="e">
        <v>#DIV/0!</v>
      </c>
      <c r="Q45" s="575" t="e">
        <v>#DIV/0!</v>
      </c>
      <c r="R45" s="574" t="e">
        <v>#DIV/0!</v>
      </c>
      <c r="S45" s="574" t="e">
        <v>#DIV/0!</v>
      </c>
    </row>
    <row r="46" spans="1:19">
      <c r="A46" t="s">
        <v>2155</v>
      </c>
      <c r="B46" s="2189"/>
      <c r="C46" s="6" t="s">
        <v>2141</v>
      </c>
      <c r="D46" s="141" t="s">
        <v>2137</v>
      </c>
      <c r="E46" s="589">
        <v>0</v>
      </c>
      <c r="F46" s="580">
        <v>0</v>
      </c>
      <c r="G46" s="580">
        <v>0</v>
      </c>
      <c r="H46" s="580">
        <v>0</v>
      </c>
      <c r="I46" s="580">
        <v>0</v>
      </c>
      <c r="J46" s="580">
        <v>0</v>
      </c>
      <c r="K46" s="580">
        <v>0</v>
      </c>
      <c r="L46" s="580">
        <v>0</v>
      </c>
      <c r="M46" s="580">
        <v>0</v>
      </c>
      <c r="N46" s="580">
        <v>0</v>
      </c>
      <c r="O46" s="580">
        <v>0</v>
      </c>
      <c r="P46" s="580">
        <v>0</v>
      </c>
      <c r="Q46" s="580">
        <v>0</v>
      </c>
      <c r="R46" s="578">
        <v>0</v>
      </c>
      <c r="S46" s="578">
        <v>0</v>
      </c>
    </row>
    <row r="47" spans="1:19">
      <c r="B47" s="2189"/>
      <c r="C47" s="6"/>
      <c r="D47" s="141" t="s">
        <v>2138</v>
      </c>
      <c r="E47" s="576">
        <v>275</v>
      </c>
      <c r="F47" s="587">
        <v>221</v>
      </c>
      <c r="G47" s="587">
        <v>54</v>
      </c>
      <c r="H47" s="587">
        <v>0</v>
      </c>
      <c r="I47" s="587">
        <v>0</v>
      </c>
      <c r="J47" s="587">
        <v>0</v>
      </c>
      <c r="K47" s="587">
        <v>0</v>
      </c>
      <c r="L47" s="587">
        <v>0</v>
      </c>
      <c r="M47" s="587">
        <v>0</v>
      </c>
      <c r="N47" s="587">
        <v>0</v>
      </c>
      <c r="O47" s="587">
        <v>0</v>
      </c>
      <c r="P47" s="587">
        <v>0</v>
      </c>
      <c r="Q47" s="587">
        <v>0</v>
      </c>
      <c r="R47" s="570"/>
      <c r="S47" s="570"/>
    </row>
    <row r="48" spans="1:19">
      <c r="B48" s="2189"/>
      <c r="C48" s="6"/>
      <c r="D48" s="141" t="s">
        <v>2139</v>
      </c>
      <c r="E48" s="574" t="e">
        <v>#DIV/0!</v>
      </c>
      <c r="F48" s="575" t="e">
        <v>#DIV/0!</v>
      </c>
      <c r="G48" s="575" t="e">
        <v>#DIV/0!</v>
      </c>
      <c r="H48" s="575" t="e">
        <v>#DIV/0!</v>
      </c>
      <c r="I48" s="575" t="e">
        <v>#DIV/0!</v>
      </c>
      <c r="J48" s="575" t="e">
        <v>#DIV/0!</v>
      </c>
      <c r="K48" s="575" t="e">
        <v>#DIV/0!</v>
      </c>
      <c r="L48" s="575" t="e">
        <v>#DIV/0!</v>
      </c>
      <c r="M48" s="575" t="e">
        <v>#DIV/0!</v>
      </c>
      <c r="N48" s="575" t="e">
        <v>#DIV/0!</v>
      </c>
      <c r="O48" s="575" t="e">
        <v>#DIV/0!</v>
      </c>
      <c r="P48" s="575" t="e">
        <v>#DIV/0!</v>
      </c>
      <c r="Q48" s="575" t="e">
        <v>#DIV/0!</v>
      </c>
      <c r="R48" s="574" t="e">
        <v>#DIV/0!</v>
      </c>
      <c r="S48" s="574" t="e">
        <v>#DIV/0!</v>
      </c>
    </row>
    <row r="49" spans="1:19">
      <c r="B49" s="2189"/>
      <c r="C49" s="6" t="s">
        <v>2142</v>
      </c>
      <c r="D49" s="141" t="s">
        <v>2137</v>
      </c>
      <c r="E49" s="579" t="e">
        <v>#DIV/0!</v>
      </c>
      <c r="F49" s="580" t="e">
        <v>#DIV/0!</v>
      </c>
      <c r="G49" s="580" t="e">
        <v>#DIV/0!</v>
      </c>
      <c r="H49" s="580" t="e">
        <v>#DIV/0!</v>
      </c>
      <c r="I49" s="580" t="e">
        <v>#DIV/0!</v>
      </c>
      <c r="J49" s="580" t="e">
        <v>#DIV/0!</v>
      </c>
      <c r="K49" s="580" t="e">
        <v>#DIV/0!</v>
      </c>
      <c r="L49" s="580" t="e">
        <v>#DIV/0!</v>
      </c>
      <c r="M49" s="580" t="e">
        <v>#DIV/0!</v>
      </c>
      <c r="N49" s="580" t="e">
        <v>#DIV/0!</v>
      </c>
      <c r="O49" s="580" t="e">
        <v>#DIV/0!</v>
      </c>
      <c r="P49" s="580" t="e">
        <v>#DIV/0!</v>
      </c>
      <c r="Q49" s="580" t="e">
        <v>#DIV/0!</v>
      </c>
      <c r="R49" s="570"/>
      <c r="S49" s="570"/>
    </row>
    <row r="50" spans="1:19">
      <c r="B50" s="2189"/>
      <c r="C50" s="6"/>
      <c r="D50" s="141" t="s">
        <v>2138</v>
      </c>
      <c r="E50" s="590">
        <v>142494.18909090909</v>
      </c>
      <c r="F50" s="591">
        <v>136201.97285067872</v>
      </c>
      <c r="G50" s="591">
        <v>168245.66666666666</v>
      </c>
      <c r="H50" s="591" t="e">
        <v>#DIV/0!</v>
      </c>
      <c r="I50" s="591" t="e">
        <v>#DIV/0!</v>
      </c>
      <c r="J50" s="591" t="e">
        <v>#DIV/0!</v>
      </c>
      <c r="K50" s="591" t="e">
        <v>#DIV/0!</v>
      </c>
      <c r="L50" s="591" t="e">
        <v>#DIV/0!</v>
      </c>
      <c r="M50" s="591" t="e">
        <v>#DIV/0!</v>
      </c>
      <c r="N50" s="591" t="e">
        <v>#DIV/0!</v>
      </c>
      <c r="O50" s="591" t="e">
        <v>#DIV/0!</v>
      </c>
      <c r="P50" s="591" t="e">
        <v>#DIV/0!</v>
      </c>
      <c r="Q50" s="591" t="e">
        <v>#DIV/0!</v>
      </c>
      <c r="R50" s="591" t="e">
        <v>#DIV/0!</v>
      </c>
      <c r="S50" s="591" t="e">
        <v>#DIV/0!</v>
      </c>
    </row>
    <row r="51" spans="1:19">
      <c r="B51" s="2189"/>
      <c r="C51" s="6"/>
      <c r="D51" s="141"/>
      <c r="E51" s="590"/>
      <c r="F51" s="591"/>
      <c r="G51" s="591"/>
      <c r="H51" s="591"/>
      <c r="I51" s="591"/>
      <c r="J51" s="591"/>
      <c r="K51" s="591"/>
      <c r="L51" s="591"/>
      <c r="M51" s="591"/>
      <c r="N51" s="584"/>
      <c r="O51" s="584"/>
      <c r="P51" s="584"/>
      <c r="Q51" s="584"/>
      <c r="R51" s="570"/>
      <c r="S51" s="570"/>
    </row>
    <row r="52" spans="1:19">
      <c r="B52" s="2190"/>
      <c r="C52" s="6" t="s">
        <v>2143</v>
      </c>
      <c r="D52" s="141" t="s">
        <v>2137</v>
      </c>
      <c r="E52" s="583" t="e">
        <v>#DIV/0!</v>
      </c>
      <c r="F52" s="584" t="e">
        <v>#DIV/0!</v>
      </c>
      <c r="G52" s="584" t="e">
        <v>#DIV/0!</v>
      </c>
      <c r="H52" s="584" t="e">
        <v>#DIV/0!</v>
      </c>
      <c r="I52" s="584" t="e">
        <v>#DIV/0!</v>
      </c>
      <c r="J52" s="584" t="e">
        <v>#DIV/0!</v>
      </c>
      <c r="K52" s="584" t="e">
        <v>#DIV/0!</v>
      </c>
      <c r="L52" s="584" t="e">
        <v>#DIV/0!</v>
      </c>
      <c r="M52" s="584" t="e">
        <v>#DIV/0!</v>
      </c>
      <c r="N52" s="584" t="e">
        <v>#DIV/0!</v>
      </c>
      <c r="O52" s="584" t="e">
        <v>#DIV/0!</v>
      </c>
      <c r="P52" s="584" t="e">
        <v>#DIV/0!</v>
      </c>
      <c r="Q52" s="584" t="e">
        <v>#DIV/0!</v>
      </c>
      <c r="R52" s="570"/>
      <c r="S52" s="570"/>
    </row>
    <row r="53" spans="1:19">
      <c r="B53" s="2189"/>
      <c r="C53" s="6"/>
      <c r="D53" s="141" t="s">
        <v>2138</v>
      </c>
      <c r="E53" s="581">
        <v>3.9666357558899627E-2</v>
      </c>
      <c r="F53" s="582">
        <v>1.4283419127755308E-3</v>
      </c>
      <c r="G53" s="582">
        <v>0.16635374242207107</v>
      </c>
      <c r="H53" s="582" t="s">
        <v>21</v>
      </c>
      <c r="I53" s="582" t="s">
        <v>21</v>
      </c>
      <c r="J53" s="582" t="s">
        <v>21</v>
      </c>
      <c r="K53" s="582" t="s">
        <v>21</v>
      </c>
      <c r="L53" s="582" t="s">
        <v>21</v>
      </c>
      <c r="M53" s="582" t="s">
        <v>21</v>
      </c>
      <c r="N53" s="582" t="s">
        <v>21</v>
      </c>
      <c r="O53" s="582" t="s">
        <v>21</v>
      </c>
      <c r="P53" s="582" t="s">
        <v>21</v>
      </c>
      <c r="Q53" s="582" t="s">
        <v>21</v>
      </c>
      <c r="R53" s="582" t="s">
        <v>21</v>
      </c>
      <c r="S53" s="582" t="s">
        <v>21</v>
      </c>
    </row>
    <row r="54" spans="1:19">
      <c r="B54" s="2191"/>
      <c r="C54" s="5"/>
      <c r="D54" s="141"/>
      <c r="E54" s="583"/>
      <c r="F54" s="584"/>
      <c r="G54" s="584"/>
      <c r="H54" s="584"/>
      <c r="I54" s="584"/>
      <c r="J54" s="584"/>
      <c r="K54" s="584"/>
      <c r="L54" s="584"/>
      <c r="M54" s="584"/>
      <c r="N54" s="584"/>
      <c r="O54" s="584"/>
      <c r="P54" s="584"/>
      <c r="Q54" s="584"/>
      <c r="R54" s="570"/>
      <c r="S54" s="570"/>
    </row>
    <row r="55" spans="1:19">
      <c r="B55" s="6"/>
      <c r="C55" s="6" t="s">
        <v>2136</v>
      </c>
      <c r="D55" s="141" t="s">
        <v>2150</v>
      </c>
      <c r="E55" s="585">
        <v>39185902</v>
      </c>
      <c r="F55" s="586">
        <v>30100636</v>
      </c>
      <c r="G55" s="586">
        <v>9085266</v>
      </c>
      <c r="H55" s="586">
        <v>0</v>
      </c>
      <c r="I55" s="586">
        <v>0</v>
      </c>
      <c r="J55" s="586">
        <v>0</v>
      </c>
      <c r="K55" s="586">
        <v>0</v>
      </c>
      <c r="L55" s="586">
        <v>0</v>
      </c>
      <c r="M55" s="586">
        <v>0</v>
      </c>
      <c r="N55" s="586">
        <v>0</v>
      </c>
      <c r="O55" s="586">
        <v>0</v>
      </c>
      <c r="P55" s="586">
        <v>0</v>
      </c>
      <c r="Q55" s="586">
        <v>0</v>
      </c>
      <c r="R55" s="586">
        <v>0</v>
      </c>
      <c r="S55" s="586">
        <v>0</v>
      </c>
    </row>
    <row r="56" spans="1:19">
      <c r="B56" s="6" t="s">
        <v>2156</v>
      </c>
      <c r="C56" s="6" t="s">
        <v>2140</v>
      </c>
      <c r="D56" s="141" t="s">
        <v>2150</v>
      </c>
      <c r="E56" s="585">
        <v>1554362</v>
      </c>
      <c r="F56" s="586">
        <v>42994</v>
      </c>
      <c r="G56" s="586">
        <v>1511368</v>
      </c>
      <c r="H56" s="586">
        <v>0</v>
      </c>
      <c r="I56" s="586">
        <v>0</v>
      </c>
      <c r="J56" s="586">
        <v>0</v>
      </c>
      <c r="K56" s="586">
        <v>0</v>
      </c>
      <c r="L56" s="586">
        <v>0</v>
      </c>
      <c r="M56" s="586">
        <v>0</v>
      </c>
      <c r="N56" s="586">
        <v>0</v>
      </c>
      <c r="O56" s="586">
        <v>0</v>
      </c>
      <c r="P56" s="586">
        <v>0</v>
      </c>
      <c r="Q56" s="586">
        <v>0</v>
      </c>
      <c r="R56" s="586">
        <v>0</v>
      </c>
      <c r="S56" s="586">
        <v>0</v>
      </c>
    </row>
    <row r="57" spans="1:19">
      <c r="B57" s="6"/>
      <c r="C57" s="6" t="s">
        <v>2141</v>
      </c>
      <c r="D57" s="141" t="s">
        <v>2150</v>
      </c>
      <c r="E57" s="576">
        <v>275</v>
      </c>
      <c r="F57" s="587">
        <v>221</v>
      </c>
      <c r="G57" s="587">
        <v>54</v>
      </c>
      <c r="H57" s="587">
        <v>0</v>
      </c>
      <c r="I57" s="587">
        <v>0</v>
      </c>
      <c r="J57" s="587">
        <v>0</v>
      </c>
      <c r="K57" s="587">
        <v>0</v>
      </c>
      <c r="L57" s="587">
        <v>0</v>
      </c>
      <c r="M57" s="587">
        <v>0</v>
      </c>
      <c r="N57" s="587">
        <v>0</v>
      </c>
      <c r="O57" s="587">
        <v>0</v>
      </c>
      <c r="P57" s="587">
        <v>0</v>
      </c>
      <c r="Q57" s="587">
        <v>0</v>
      </c>
      <c r="R57" s="587">
        <v>0</v>
      </c>
      <c r="S57" s="587">
        <v>0</v>
      </c>
    </row>
    <row r="58" spans="1:19">
      <c r="A58" t="s">
        <v>2157</v>
      </c>
      <c r="B58" s="2192" t="s">
        <v>2158</v>
      </c>
      <c r="C58" s="13" t="s">
        <v>2136</v>
      </c>
      <c r="D58" s="592" t="s">
        <v>2137</v>
      </c>
      <c r="E58" s="572">
        <v>2456391999.9999995</v>
      </c>
      <c r="F58" s="586">
        <v>143436003.20331034</v>
      </c>
      <c r="G58" s="586">
        <v>174739538.44690949</v>
      </c>
      <c r="H58" s="586">
        <v>191178373.85985595</v>
      </c>
      <c r="I58" s="586">
        <v>209198286.3368842</v>
      </c>
      <c r="J58" s="586">
        <v>278625123.1986779</v>
      </c>
      <c r="K58" s="586">
        <v>268781329.4083733</v>
      </c>
      <c r="L58" s="586">
        <v>216937037.58392793</v>
      </c>
      <c r="M58" s="586">
        <v>321912260.2454766</v>
      </c>
      <c r="N58" s="586">
        <v>206958804.15739501</v>
      </c>
      <c r="O58" s="586">
        <v>144079757.93358013</v>
      </c>
      <c r="P58" s="586">
        <v>147141953.95789188</v>
      </c>
      <c r="Q58" s="586">
        <v>153403531.66771707</v>
      </c>
      <c r="R58" s="572">
        <v>1265958654.4540112</v>
      </c>
      <c r="S58" s="572">
        <v>1190433345.5459886</v>
      </c>
    </row>
    <row r="59" spans="1:19">
      <c r="B59" s="2193"/>
      <c r="C59" s="12"/>
      <c r="D59" s="592" t="s">
        <v>2138</v>
      </c>
      <c r="E59" s="585">
        <v>278992260</v>
      </c>
      <c r="F59" s="586">
        <v>226953035</v>
      </c>
      <c r="G59" s="586">
        <v>52039225</v>
      </c>
      <c r="H59" s="586">
        <v>0</v>
      </c>
      <c r="I59" s="586">
        <v>0</v>
      </c>
      <c r="J59" s="586">
        <v>0</v>
      </c>
      <c r="K59" s="586">
        <v>0</v>
      </c>
      <c r="L59" s="586">
        <v>0</v>
      </c>
      <c r="M59" s="586">
        <v>0</v>
      </c>
      <c r="N59" s="586">
        <v>0</v>
      </c>
      <c r="O59" s="586">
        <v>0</v>
      </c>
      <c r="P59" s="586">
        <v>0</v>
      </c>
      <c r="Q59" s="586">
        <v>0</v>
      </c>
      <c r="R59" s="572">
        <v>278992260</v>
      </c>
      <c r="S59" s="572">
        <v>0</v>
      </c>
    </row>
    <row r="60" spans="1:19">
      <c r="B60" s="2193"/>
      <c r="C60" s="12"/>
      <c r="D60" s="592" t="s">
        <v>2139</v>
      </c>
      <c r="E60" s="574">
        <v>0.1135780689727047</v>
      </c>
      <c r="F60" s="575">
        <v>1.5822598924365607</v>
      </c>
      <c r="G60" s="575">
        <v>0.29781024639601472</v>
      </c>
      <c r="H60" s="575">
        <v>0</v>
      </c>
      <c r="I60" s="575">
        <v>0</v>
      </c>
      <c r="J60" s="575">
        <v>0</v>
      </c>
      <c r="K60" s="575">
        <v>0</v>
      </c>
      <c r="L60" s="575">
        <v>0</v>
      </c>
      <c r="M60" s="575">
        <v>0</v>
      </c>
      <c r="N60" s="575">
        <v>0</v>
      </c>
      <c r="O60" s="575">
        <v>0</v>
      </c>
      <c r="P60" s="575">
        <v>0</v>
      </c>
      <c r="Q60" s="575">
        <v>0</v>
      </c>
      <c r="R60" s="574">
        <v>0.22038023044309069</v>
      </c>
      <c r="S60" s="574">
        <v>0</v>
      </c>
    </row>
    <row r="61" spans="1:19">
      <c r="A61" t="s">
        <v>2159</v>
      </c>
      <c r="B61" s="2193"/>
      <c r="C61" s="12" t="s">
        <v>2140</v>
      </c>
      <c r="D61" s="592" t="s">
        <v>2137</v>
      </c>
      <c r="E61" s="572">
        <v>357122000</v>
      </c>
      <c r="F61" s="586">
        <v>20877428.302178137</v>
      </c>
      <c r="G61" s="586">
        <v>25439277.724949382</v>
      </c>
      <c r="H61" s="586">
        <v>27813545.790220924</v>
      </c>
      <c r="I61" s="586">
        <v>30423035.73754089</v>
      </c>
      <c r="J61" s="586">
        <v>40493638.98377765</v>
      </c>
      <c r="K61" s="586">
        <v>39068249.560126826</v>
      </c>
      <c r="L61" s="586">
        <v>31523358.361342262</v>
      </c>
      <c r="M61" s="586">
        <v>46796451.499409661</v>
      </c>
      <c r="N61" s="586">
        <v>30091159.637525864</v>
      </c>
      <c r="O61" s="586">
        <v>20926865.207187336</v>
      </c>
      <c r="P61" s="586">
        <v>21374547.512509115</v>
      </c>
      <c r="Q61" s="586">
        <v>22294441.683231905</v>
      </c>
      <c r="R61" s="572">
        <v>184115176.0987938</v>
      </c>
      <c r="S61" s="572">
        <v>173006823.90120614</v>
      </c>
    </row>
    <row r="62" spans="1:19">
      <c r="B62" s="2193"/>
      <c r="C62" s="12"/>
      <c r="D62" s="592" t="s">
        <v>2138</v>
      </c>
      <c r="E62" s="585">
        <v>78082354</v>
      </c>
      <c r="F62" s="586">
        <v>64419305</v>
      </c>
      <c r="G62" s="586">
        <v>13663049</v>
      </c>
      <c r="H62" s="586">
        <v>0</v>
      </c>
      <c r="I62" s="586">
        <v>0</v>
      </c>
      <c r="J62" s="586">
        <v>0</v>
      </c>
      <c r="K62" s="586">
        <v>0</v>
      </c>
      <c r="L62" s="586">
        <v>0</v>
      </c>
      <c r="M62" s="586">
        <v>0</v>
      </c>
      <c r="N62" s="586">
        <v>0</v>
      </c>
      <c r="O62" s="586">
        <v>0</v>
      </c>
      <c r="P62" s="586">
        <v>0</v>
      </c>
      <c r="Q62" s="586">
        <v>0</v>
      </c>
      <c r="R62" s="572">
        <v>78082354</v>
      </c>
      <c r="S62" s="572">
        <v>0</v>
      </c>
    </row>
    <row r="63" spans="1:19">
      <c r="B63" s="2193"/>
      <c r="C63" s="12"/>
      <c r="D63" s="592" t="s">
        <v>2139</v>
      </c>
      <c r="E63" s="574">
        <v>0.21864335997222237</v>
      </c>
      <c r="F63" s="575">
        <v>3.0855957959764204</v>
      </c>
      <c r="G63" s="575">
        <v>0.53708478470676335</v>
      </c>
      <c r="H63" s="575">
        <v>0</v>
      </c>
      <c r="I63" s="575">
        <v>0</v>
      </c>
      <c r="J63" s="575">
        <v>0</v>
      </c>
      <c r="K63" s="575">
        <v>0</v>
      </c>
      <c r="L63" s="575">
        <v>0</v>
      </c>
      <c r="M63" s="575">
        <v>0</v>
      </c>
      <c r="N63" s="575">
        <v>0</v>
      </c>
      <c r="O63" s="575">
        <v>0</v>
      </c>
      <c r="P63" s="575">
        <v>0</v>
      </c>
      <c r="Q63" s="575">
        <v>0</v>
      </c>
      <c r="R63" s="574">
        <v>0.42409515420989535</v>
      </c>
      <c r="S63" s="574">
        <v>0</v>
      </c>
    </row>
    <row r="64" spans="1:19">
      <c r="A64" t="s">
        <v>2160</v>
      </c>
      <c r="B64" s="2193"/>
      <c r="C64" s="12" t="s">
        <v>2141</v>
      </c>
      <c r="D64" s="592" t="s">
        <v>2137</v>
      </c>
      <c r="E64" s="579">
        <v>28803.574183802924</v>
      </c>
      <c r="F64" s="580">
        <v>1269.0762361865454</v>
      </c>
      <c r="G64" s="580">
        <v>1545.9454485178769</v>
      </c>
      <c r="H64" s="580">
        <v>1691.7051248166522</v>
      </c>
      <c r="I64" s="580">
        <v>1851.3669339654211</v>
      </c>
      <c r="J64" s="580">
        <v>2466.2233030252519</v>
      </c>
      <c r="K64" s="580">
        <v>2379.002563864864</v>
      </c>
      <c r="L64" s="580">
        <v>1920.2809589043482</v>
      </c>
      <c r="M64" s="580">
        <v>2849.1754288186366</v>
      </c>
      <c r="N64" s="580">
        <v>1831.6534397582318</v>
      </c>
      <c r="O64" s="580">
        <v>1275.5258434902632</v>
      </c>
      <c r="P64" s="580">
        <v>1302.5855807498274</v>
      </c>
      <c r="Q64" s="580">
        <v>1357.8411343346961</v>
      </c>
      <c r="R64" s="578">
        <v>11203.319610376611</v>
      </c>
      <c r="S64" s="578">
        <v>10537.062386056004</v>
      </c>
    </row>
    <row r="65" spans="1:19">
      <c r="B65" s="2193"/>
      <c r="C65" s="12"/>
      <c r="D65" s="592" t="s">
        <v>2138</v>
      </c>
      <c r="E65" s="576">
        <v>2103</v>
      </c>
      <c r="F65" s="587">
        <v>1709</v>
      </c>
      <c r="G65" s="587">
        <v>394</v>
      </c>
      <c r="H65" s="587">
        <v>0</v>
      </c>
      <c r="I65" s="587">
        <v>0</v>
      </c>
      <c r="J65" s="587">
        <v>0</v>
      </c>
      <c r="K65" s="587">
        <v>0</v>
      </c>
      <c r="L65" s="587">
        <v>0</v>
      </c>
      <c r="M65" s="587">
        <v>0</v>
      </c>
      <c r="N65" s="587">
        <v>0</v>
      </c>
      <c r="O65" s="587">
        <v>0</v>
      </c>
      <c r="P65" s="587">
        <v>0</v>
      </c>
      <c r="Q65" s="587">
        <v>0</v>
      </c>
      <c r="R65" s="578">
        <v>2103</v>
      </c>
      <c r="S65" s="578">
        <v>0</v>
      </c>
    </row>
    <row r="66" spans="1:19">
      <c r="B66" s="2193"/>
      <c r="C66" s="12"/>
      <c r="D66" s="592" t="s">
        <v>2139</v>
      </c>
      <c r="E66" s="574">
        <v>7.3011772309235751E-2</v>
      </c>
      <c r="F66" s="575">
        <v>1.3466488074312888</v>
      </c>
      <c r="G66" s="575">
        <v>0.25486022186470697</v>
      </c>
      <c r="H66" s="575">
        <v>0</v>
      </c>
      <c r="I66" s="575">
        <v>0</v>
      </c>
      <c r="J66" s="575">
        <v>0</v>
      </c>
      <c r="K66" s="575">
        <v>0</v>
      </c>
      <c r="L66" s="575">
        <v>0</v>
      </c>
      <c r="M66" s="575">
        <v>0</v>
      </c>
      <c r="N66" s="575">
        <v>0</v>
      </c>
      <c r="O66" s="575">
        <v>0</v>
      </c>
      <c r="P66" s="575">
        <v>0</v>
      </c>
      <c r="Q66" s="575">
        <v>0</v>
      </c>
      <c r="R66" s="574">
        <v>0.1877122204076177</v>
      </c>
      <c r="S66" s="574">
        <v>0</v>
      </c>
    </row>
    <row r="67" spans="1:19">
      <c r="B67" s="2193"/>
      <c r="C67" s="12" t="s">
        <v>2142</v>
      </c>
      <c r="D67" s="592" t="s">
        <v>2137</v>
      </c>
      <c r="E67" s="579">
        <v>85280.805233584484</v>
      </c>
      <c r="F67" s="580">
        <v>113023.94538118689</v>
      </c>
      <c r="G67" s="580">
        <v>113030.85669318741</v>
      </c>
      <c r="H67" s="580">
        <v>113009.27747711111</v>
      </c>
      <c r="I67" s="580">
        <v>112996.66343764974</v>
      </c>
      <c r="J67" s="580">
        <v>112976.43763924204</v>
      </c>
      <c r="K67" s="580">
        <v>112980.68084959031</v>
      </c>
      <c r="L67" s="580">
        <v>112971.50897528317</v>
      </c>
      <c r="M67" s="580">
        <v>112984.35926037456</v>
      </c>
      <c r="N67" s="580">
        <v>112990.15395877096</v>
      </c>
      <c r="O67" s="580">
        <v>112957.14521889259</v>
      </c>
      <c r="P67" s="580">
        <v>112961.44847019594</v>
      </c>
      <c r="Q67" s="580">
        <v>112976.05278608714</v>
      </c>
      <c r="R67" s="570"/>
      <c r="S67" s="570"/>
    </row>
    <row r="68" spans="1:19">
      <c r="B68" s="2193"/>
      <c r="C68" s="12"/>
      <c r="D68" s="592" t="s">
        <v>2138</v>
      </c>
      <c r="E68" s="590">
        <v>132663.93723252497</v>
      </c>
      <c r="F68" s="591">
        <v>132798.73317729667</v>
      </c>
      <c r="G68" s="591">
        <v>132079.25126903554</v>
      </c>
      <c r="H68" s="591" t="e">
        <v>#DIV/0!</v>
      </c>
      <c r="I68" s="591" t="e">
        <v>#DIV/0!</v>
      </c>
      <c r="J68" s="591" t="e">
        <v>#DIV/0!</v>
      </c>
      <c r="K68" s="591" t="e">
        <v>#DIV/0!</v>
      </c>
      <c r="L68" s="591" t="e">
        <v>#DIV/0!</v>
      </c>
      <c r="M68" s="591" t="e">
        <v>#DIV/0!</v>
      </c>
      <c r="N68" s="591" t="e">
        <v>#DIV/0!</v>
      </c>
      <c r="O68" s="584"/>
      <c r="P68" s="584"/>
      <c r="Q68" s="584"/>
      <c r="R68" s="591">
        <v>132663.93723252497</v>
      </c>
      <c r="S68" s="591" t="e">
        <v>#DIV/0!</v>
      </c>
    </row>
    <row r="69" spans="1:19">
      <c r="B69" s="2193"/>
      <c r="C69" s="12"/>
      <c r="D69" s="592"/>
      <c r="E69" s="579"/>
      <c r="F69" s="580"/>
      <c r="G69" s="580"/>
      <c r="H69" s="580"/>
      <c r="I69" s="580"/>
      <c r="J69" s="580"/>
      <c r="K69" s="580"/>
      <c r="L69" s="580"/>
      <c r="M69" s="580"/>
      <c r="N69" s="580"/>
      <c r="O69" s="580"/>
      <c r="P69" s="580"/>
      <c r="Q69" s="580"/>
      <c r="R69" s="570"/>
      <c r="S69" s="570"/>
    </row>
    <row r="70" spans="1:19">
      <c r="B70" s="2193"/>
      <c r="C70" s="12" t="s">
        <v>2143</v>
      </c>
      <c r="D70" s="592" t="s">
        <v>2137</v>
      </c>
      <c r="E70" s="583">
        <v>0.14538477571983627</v>
      </c>
      <c r="F70" s="584">
        <v>0.14555221726713805</v>
      </c>
      <c r="G70" s="584">
        <v>0.14558398145636919</v>
      </c>
      <c r="H70" s="584">
        <v>0.14548479113338286</v>
      </c>
      <c r="I70" s="584">
        <v>0.14542679230435426</v>
      </c>
      <c r="J70" s="584">
        <v>0.14533376789178856</v>
      </c>
      <c r="K70" s="584">
        <v>0.14535328642849454</v>
      </c>
      <c r="L70" s="584">
        <v>0.1453110944651238</v>
      </c>
      <c r="M70" s="584">
        <v>0.14537020573160114</v>
      </c>
      <c r="N70" s="584">
        <v>0.14539685692540591</v>
      </c>
      <c r="O70" s="584">
        <v>0.14524500531736381</v>
      </c>
      <c r="P70" s="584">
        <v>0.14526480679076711</v>
      </c>
      <c r="Q70" s="584">
        <v>0.14533199751569767</v>
      </c>
      <c r="R70" s="570"/>
      <c r="S70" s="570"/>
    </row>
    <row r="71" spans="1:19">
      <c r="B71" s="2193"/>
      <c r="C71" s="12"/>
      <c r="D71" s="592" t="s">
        <v>2138</v>
      </c>
      <c r="E71" s="581">
        <v>0.27987283231441618</v>
      </c>
      <c r="F71" s="582">
        <v>0.28384421032307411</v>
      </c>
      <c r="G71" s="582">
        <v>0.26255289159283213</v>
      </c>
      <c r="H71" s="582" t="s">
        <v>21</v>
      </c>
      <c r="I71" s="582" t="s">
        <v>21</v>
      </c>
      <c r="J71" s="582" t="s">
        <v>21</v>
      </c>
      <c r="K71" s="582" t="s">
        <v>21</v>
      </c>
      <c r="L71" s="582" t="s">
        <v>21</v>
      </c>
      <c r="M71" s="582" t="s">
        <v>21</v>
      </c>
      <c r="N71" s="582" t="s">
        <v>21</v>
      </c>
      <c r="O71" s="582" t="s">
        <v>21</v>
      </c>
      <c r="P71" s="582" t="s">
        <v>21</v>
      </c>
      <c r="Q71" s="582" t="s">
        <v>21</v>
      </c>
      <c r="R71" s="582">
        <v>0.27987283231441618</v>
      </c>
      <c r="S71" s="582" t="s">
        <v>21</v>
      </c>
    </row>
    <row r="72" spans="1:19">
      <c r="B72" s="2194"/>
      <c r="C72" s="11"/>
      <c r="D72" s="592"/>
      <c r="E72" s="583"/>
      <c r="F72" s="584"/>
      <c r="G72" s="584"/>
      <c r="H72" s="584"/>
      <c r="I72" s="584"/>
      <c r="J72" s="584"/>
      <c r="K72" s="584"/>
      <c r="L72" s="584"/>
      <c r="M72" s="584"/>
      <c r="N72" s="584"/>
      <c r="O72" s="584"/>
      <c r="P72" s="584"/>
      <c r="Q72" s="584"/>
      <c r="R72" s="570"/>
      <c r="S72" s="570"/>
    </row>
    <row r="73" spans="1:19">
      <c r="B73" s="13"/>
      <c r="C73" s="593" t="s">
        <v>2136</v>
      </c>
      <c r="D73" s="592" t="s">
        <v>2150</v>
      </c>
      <c r="E73" s="585">
        <v>-1732774496.4408107</v>
      </c>
      <c r="F73" s="586">
        <v>83517031.796689659</v>
      </c>
      <c r="G73" s="586">
        <v>-122700313.44690949</v>
      </c>
      <c r="H73" s="586">
        <v>-191178373.85985595</v>
      </c>
      <c r="I73" s="586">
        <v>-209198286.3368842</v>
      </c>
      <c r="J73" s="586">
        <v>-278625123.1986779</v>
      </c>
      <c r="K73" s="586">
        <v>-268781329.4083733</v>
      </c>
      <c r="L73" s="586">
        <v>-216937037.58392793</v>
      </c>
      <c r="M73" s="586">
        <v>-321912260.2454766</v>
      </c>
      <c r="N73" s="586">
        <v>-206958804.15739501</v>
      </c>
      <c r="O73" s="586"/>
      <c r="P73" s="586"/>
      <c r="Q73" s="586"/>
      <c r="R73" s="572">
        <v>-986966394.4540112</v>
      </c>
      <c r="S73" s="572">
        <v>-745808101.9867996</v>
      </c>
    </row>
    <row r="74" spans="1:19">
      <c r="B74" s="12" t="s">
        <v>2161</v>
      </c>
      <c r="C74" s="594" t="s">
        <v>2140</v>
      </c>
      <c r="D74" s="592" t="s">
        <v>2150</v>
      </c>
      <c r="E74" s="585">
        <v>-214443791.59707159</v>
      </c>
      <c r="F74" s="586">
        <v>43541876.697821863</v>
      </c>
      <c r="G74" s="586">
        <v>-11776228.724949382</v>
      </c>
      <c r="H74" s="586">
        <v>-27813545.790220924</v>
      </c>
      <c r="I74" s="586">
        <v>-30423035.73754089</v>
      </c>
      <c r="J74" s="586">
        <v>-40493638.98377765</v>
      </c>
      <c r="K74" s="586">
        <v>-39068249.560126826</v>
      </c>
      <c r="L74" s="586">
        <v>-31523358.361342262</v>
      </c>
      <c r="M74" s="586">
        <v>-46796451.499409661</v>
      </c>
      <c r="N74" s="586">
        <v>-30091159.637525864</v>
      </c>
      <c r="O74" s="586"/>
      <c r="P74" s="586"/>
      <c r="Q74" s="586"/>
      <c r="R74" s="572">
        <v>-106032822.0987938</v>
      </c>
      <c r="S74" s="572">
        <v>-108410969.49827778</v>
      </c>
    </row>
    <row r="75" spans="1:19">
      <c r="B75" s="11"/>
      <c r="C75" s="595" t="s">
        <v>2141</v>
      </c>
      <c r="D75" s="592" t="s">
        <v>2150</v>
      </c>
      <c r="E75" s="576">
        <v>-15701.429437857827</v>
      </c>
      <c r="F75" s="587">
        <v>439.92376381345457</v>
      </c>
      <c r="G75" s="587">
        <v>-1151.9454485178769</v>
      </c>
      <c r="H75" s="587">
        <v>-1691.7051248166522</v>
      </c>
      <c r="I75" s="587">
        <v>-1851.3669339654211</v>
      </c>
      <c r="J75" s="587">
        <v>-2466.2233030252519</v>
      </c>
      <c r="K75" s="587">
        <v>-2379.002563864864</v>
      </c>
      <c r="L75" s="587">
        <v>-1920.2809589043482</v>
      </c>
      <c r="M75" s="587">
        <v>-2849.1754288186366</v>
      </c>
      <c r="N75" s="587">
        <v>-1831.6534397582318</v>
      </c>
      <c r="O75" s="587"/>
      <c r="P75" s="587"/>
      <c r="Q75" s="587"/>
      <c r="R75" s="578">
        <v>-9100.3196103766113</v>
      </c>
      <c r="S75" s="578">
        <v>-6601.1098274812166</v>
      </c>
    </row>
    <row r="78" spans="1:19">
      <c r="B78" t="s">
        <v>2162</v>
      </c>
      <c r="E78" s="570" t="s">
        <v>2132</v>
      </c>
      <c r="F78" s="597" t="s">
        <v>2163</v>
      </c>
      <c r="G78" s="597" t="s">
        <v>2164</v>
      </c>
      <c r="H78" s="597" t="s">
        <v>2165</v>
      </c>
      <c r="I78" s="597" t="s">
        <v>2166</v>
      </c>
      <c r="J78" s="597" t="s">
        <v>2167</v>
      </c>
      <c r="K78" s="597" t="s">
        <v>2168</v>
      </c>
      <c r="L78" s="597" t="s">
        <v>2169</v>
      </c>
      <c r="M78" s="597" t="s">
        <v>2170</v>
      </c>
      <c r="N78" s="597" t="s">
        <v>2171</v>
      </c>
      <c r="O78" s="597" t="s">
        <v>2172</v>
      </c>
      <c r="P78" s="597" t="s">
        <v>2173</v>
      </c>
      <c r="Q78" s="597" t="s">
        <v>2174</v>
      </c>
      <c r="R78" s="570" t="s">
        <v>2133</v>
      </c>
      <c r="S78" s="570" t="s">
        <v>2134</v>
      </c>
    </row>
    <row r="79" spans="1:19">
      <c r="A79" t="s">
        <v>2175</v>
      </c>
      <c r="B79" s="2185" t="s">
        <v>2147</v>
      </c>
      <c r="C79" s="10" t="s">
        <v>2136</v>
      </c>
      <c r="D79" s="141" t="s">
        <v>2137</v>
      </c>
      <c r="E79" s="598">
        <v>8065044000.000001</v>
      </c>
      <c r="F79" s="586">
        <v>581209976.91080809</v>
      </c>
      <c r="G79" s="586">
        <v>535415956.3384124</v>
      </c>
      <c r="H79" s="586">
        <v>526000925.07479733</v>
      </c>
      <c r="I79" s="586">
        <v>585777626.13841772</v>
      </c>
      <c r="J79" s="586">
        <v>921509094.61043119</v>
      </c>
      <c r="K79" s="586">
        <v>834155154.35250759</v>
      </c>
      <c r="L79" s="586">
        <v>626369437.05829453</v>
      </c>
      <c r="M79" s="586">
        <v>872015248.88331687</v>
      </c>
      <c r="N79" s="586">
        <v>684581357.78592229</v>
      </c>
      <c r="O79" s="586">
        <v>583475049.60400629</v>
      </c>
      <c r="P79" s="586">
        <v>610150817.31098354</v>
      </c>
      <c r="Q79" s="586">
        <v>704383355.93210292</v>
      </c>
      <c r="R79" s="572">
        <v>3984068733.4253745</v>
      </c>
      <c r="S79" s="572">
        <v>4080975266.574626</v>
      </c>
    </row>
    <row r="80" spans="1:19">
      <c r="B80" s="2186"/>
      <c r="C80" s="9"/>
      <c r="D80" s="141" t="s">
        <v>2138</v>
      </c>
      <c r="E80" s="598">
        <v>736071222</v>
      </c>
      <c r="F80" s="586">
        <v>587986917</v>
      </c>
      <c r="G80" s="586">
        <v>148084305</v>
      </c>
      <c r="H80" s="586">
        <v>0</v>
      </c>
      <c r="I80" s="586">
        <v>0</v>
      </c>
      <c r="J80" s="586">
        <v>0</v>
      </c>
      <c r="K80" s="586">
        <v>0</v>
      </c>
      <c r="L80" s="586">
        <v>0</v>
      </c>
      <c r="M80" s="586">
        <v>0</v>
      </c>
      <c r="N80" s="586">
        <v>0</v>
      </c>
      <c r="O80" s="586">
        <v>0</v>
      </c>
      <c r="P80" s="586">
        <v>0</v>
      </c>
      <c r="Q80" s="586">
        <v>0</v>
      </c>
      <c r="R80" s="572">
        <v>736071222</v>
      </c>
      <c r="S80" s="572">
        <v>0</v>
      </c>
    </row>
    <row r="81" spans="1:21">
      <c r="B81" s="2186"/>
      <c r="C81" s="9"/>
      <c r="D81" s="141" t="s">
        <v>2139</v>
      </c>
      <c r="E81" s="599">
        <v>9.1266857564571244E-2</v>
      </c>
      <c r="F81" s="575">
        <v>1.0116600546418903</v>
      </c>
      <c r="G81" s="575">
        <v>0.27657805720381362</v>
      </c>
      <c r="H81" s="575">
        <v>0</v>
      </c>
      <c r="I81" s="575">
        <v>0</v>
      </c>
      <c r="J81" s="575">
        <v>0</v>
      </c>
      <c r="K81" s="575">
        <v>0</v>
      </c>
      <c r="L81" s="575">
        <v>0</v>
      </c>
      <c r="M81" s="575">
        <v>0</v>
      </c>
      <c r="N81" s="575">
        <v>0</v>
      </c>
      <c r="O81" s="575">
        <v>0</v>
      </c>
      <c r="P81" s="575">
        <v>0</v>
      </c>
      <c r="Q81" s="575">
        <v>0</v>
      </c>
      <c r="R81" s="574">
        <v>0.18475364539385081</v>
      </c>
      <c r="S81" s="574">
        <v>0</v>
      </c>
    </row>
    <row r="82" spans="1:21">
      <c r="A82" t="s">
        <v>2176</v>
      </c>
      <c r="B82" s="2186"/>
      <c r="C82" s="9" t="s">
        <v>2140</v>
      </c>
      <c r="D82" s="141" t="s">
        <v>2137</v>
      </c>
      <c r="E82" s="598">
        <v>1258789000.0000002</v>
      </c>
      <c r="F82" s="586">
        <v>90830759.517468631</v>
      </c>
      <c r="G82" s="586">
        <v>83615782.990938589</v>
      </c>
      <c r="H82" s="586">
        <v>82128104.605814874</v>
      </c>
      <c r="I82" s="586">
        <v>91424461.126121059</v>
      </c>
      <c r="J82" s="586">
        <v>143883326.54609835</v>
      </c>
      <c r="K82" s="586">
        <v>130311549.10116725</v>
      </c>
      <c r="L82" s="586">
        <v>97754117.69046554</v>
      </c>
      <c r="M82" s="586">
        <v>136094388.39208066</v>
      </c>
      <c r="N82" s="586">
        <v>106728814.30492631</v>
      </c>
      <c r="O82" s="586">
        <v>90935077.797086075</v>
      </c>
      <c r="P82" s="586">
        <v>95177726.110173374</v>
      </c>
      <c r="Q82" s="586">
        <v>109904891.81765941</v>
      </c>
      <c r="R82" s="572">
        <v>622193983.88760877</v>
      </c>
      <c r="S82" s="572">
        <v>636595016.11239135</v>
      </c>
      <c r="U82" s="588">
        <v>0.8</v>
      </c>
    </row>
    <row r="83" spans="1:21">
      <c r="B83" s="2186"/>
      <c r="C83" s="9"/>
      <c r="D83" s="141" t="s">
        <v>2138</v>
      </c>
      <c r="E83" s="598">
        <v>140766220</v>
      </c>
      <c r="F83" s="586">
        <v>108596740</v>
      </c>
      <c r="G83" s="586">
        <v>32169480</v>
      </c>
      <c r="H83" s="586">
        <v>0</v>
      </c>
      <c r="I83" s="586">
        <v>0</v>
      </c>
      <c r="J83" s="586">
        <v>0</v>
      </c>
      <c r="K83" s="586">
        <v>0</v>
      </c>
      <c r="L83" s="586">
        <v>0</v>
      </c>
      <c r="M83" s="586">
        <v>0</v>
      </c>
      <c r="N83" s="586">
        <v>0</v>
      </c>
      <c r="O83" s="586">
        <v>0</v>
      </c>
      <c r="P83" s="586">
        <v>0</v>
      </c>
      <c r="Q83" s="586">
        <v>0</v>
      </c>
      <c r="R83" s="572">
        <v>140766220</v>
      </c>
      <c r="S83" s="572">
        <v>0</v>
      </c>
    </row>
    <row r="84" spans="1:21">
      <c r="B84" s="2186"/>
      <c r="C84" s="9"/>
      <c r="D84" s="141" t="s">
        <v>2139</v>
      </c>
      <c r="E84" s="599">
        <v>0.11182670010621318</v>
      </c>
      <c r="F84" s="575">
        <v>1.1955943182343929</v>
      </c>
      <c r="G84" s="575">
        <v>0.38472975853716751</v>
      </c>
      <c r="H84" s="575">
        <v>0</v>
      </c>
      <c r="I84" s="575">
        <v>0</v>
      </c>
      <c r="J84" s="575">
        <v>0</v>
      </c>
      <c r="K84" s="575">
        <v>0</v>
      </c>
      <c r="L84" s="575">
        <v>0</v>
      </c>
      <c r="M84" s="575">
        <v>0</v>
      </c>
      <c r="N84" s="575">
        <v>0</v>
      </c>
      <c r="O84" s="575">
        <v>0</v>
      </c>
      <c r="P84" s="575">
        <v>0</v>
      </c>
      <c r="Q84" s="575">
        <v>0</v>
      </c>
      <c r="R84" s="574">
        <v>0.22624169253527784</v>
      </c>
      <c r="S84" s="574">
        <v>0</v>
      </c>
    </row>
    <row r="85" spans="1:21">
      <c r="A85" t="s">
        <v>2177</v>
      </c>
      <c r="B85" s="2186"/>
      <c r="C85" s="9" t="s">
        <v>2141</v>
      </c>
      <c r="D85" s="141" t="s">
        <v>2137</v>
      </c>
      <c r="E85" s="600">
        <v>46711.984272266855</v>
      </c>
      <c r="F85" s="580">
        <v>3368.9840101085174</v>
      </c>
      <c r="G85" s="580">
        <v>3102.1928797265441</v>
      </c>
      <c r="H85" s="580">
        <v>3047.2423794642309</v>
      </c>
      <c r="I85" s="580">
        <v>3392.6890252102403</v>
      </c>
      <c r="J85" s="580">
        <v>5338.5531362078655</v>
      </c>
      <c r="K85" s="580">
        <v>4834.0466798762864</v>
      </c>
      <c r="L85" s="580">
        <v>3627.6569488239702</v>
      </c>
      <c r="M85" s="580">
        <v>5050.413841319827</v>
      </c>
      <c r="N85" s="580">
        <v>3962.2541760071813</v>
      </c>
      <c r="O85" s="580">
        <v>3376.3535670812016</v>
      </c>
      <c r="P85" s="580">
        <v>3532.6821321320831</v>
      </c>
      <c r="Q85" s="580">
        <v>4078.9154963089036</v>
      </c>
      <c r="R85" s="578">
        <v>23083.708110593685</v>
      </c>
      <c r="S85" s="578">
        <v>23628.276161673166</v>
      </c>
      <c r="U85" s="565">
        <v>18903</v>
      </c>
    </row>
    <row r="86" spans="1:21">
      <c r="B86" s="2186"/>
      <c r="C86" s="9"/>
      <c r="D86" s="141" t="s">
        <v>2138</v>
      </c>
      <c r="E86" s="600">
        <v>4258</v>
      </c>
      <c r="F86" s="587">
        <v>3504</v>
      </c>
      <c r="G86" s="587">
        <v>754</v>
      </c>
      <c r="H86" s="587">
        <v>0</v>
      </c>
      <c r="I86" s="587">
        <v>0</v>
      </c>
      <c r="J86" s="587">
        <v>0</v>
      </c>
      <c r="K86" s="587">
        <v>0</v>
      </c>
      <c r="L86" s="587">
        <v>0</v>
      </c>
      <c r="M86" s="587">
        <v>0</v>
      </c>
      <c r="N86" s="587">
        <v>0</v>
      </c>
      <c r="O86" s="587">
        <v>0</v>
      </c>
      <c r="P86" s="587">
        <v>0</v>
      </c>
      <c r="Q86" s="587">
        <v>0</v>
      </c>
      <c r="R86" s="578">
        <v>4258</v>
      </c>
      <c r="S86" s="578">
        <v>0</v>
      </c>
      <c r="T86" s="565" t="s">
        <v>2178</v>
      </c>
      <c r="U86" s="601">
        <v>18903</v>
      </c>
    </row>
    <row r="87" spans="1:21">
      <c r="B87" s="2186"/>
      <c r="C87" s="9"/>
      <c r="D87" s="141" t="s">
        <v>2139</v>
      </c>
      <c r="E87" s="599">
        <v>9.115433793567182E-2</v>
      </c>
      <c r="F87" s="575">
        <v>1.0400761741481621</v>
      </c>
      <c r="G87" s="575">
        <v>0.24305387486624125</v>
      </c>
      <c r="H87" s="575">
        <v>0</v>
      </c>
      <c r="I87" s="575">
        <v>0</v>
      </c>
      <c r="J87" s="575">
        <v>0</v>
      </c>
      <c r="K87" s="575">
        <v>0</v>
      </c>
      <c r="L87" s="575">
        <v>0</v>
      </c>
      <c r="M87" s="575">
        <v>0</v>
      </c>
      <c r="N87" s="575">
        <v>0</v>
      </c>
      <c r="O87" s="575">
        <v>0</v>
      </c>
      <c r="P87" s="575">
        <v>0</v>
      </c>
      <c r="Q87" s="575">
        <v>0</v>
      </c>
      <c r="R87" s="574">
        <v>0.18445909901476784</v>
      </c>
      <c r="S87" s="574">
        <v>0</v>
      </c>
      <c r="U87" s="601"/>
    </row>
    <row r="88" spans="1:21">
      <c r="B88" s="2186"/>
      <c r="C88" s="9" t="s">
        <v>2142</v>
      </c>
      <c r="D88" s="141" t="s">
        <v>2137</v>
      </c>
      <c r="E88" s="602">
        <v>172654.70790090712</v>
      </c>
      <c r="F88" s="580">
        <v>172517.87932709331</v>
      </c>
      <c r="G88" s="580">
        <v>172592.7358796623</v>
      </c>
      <c r="H88" s="580">
        <v>172615.38780754266</v>
      </c>
      <c r="I88" s="580">
        <v>172658.80302781888</v>
      </c>
      <c r="J88" s="580">
        <v>172614.01565162779</v>
      </c>
      <c r="K88" s="580">
        <v>172558.35733341644</v>
      </c>
      <c r="L88" s="580">
        <v>172665.01378013534</v>
      </c>
      <c r="M88" s="580">
        <v>172662.13745672625</v>
      </c>
      <c r="N88" s="580">
        <v>172775.73002037554</v>
      </c>
      <c r="O88" s="580">
        <v>172812.18865606253</v>
      </c>
      <c r="P88" s="580">
        <v>172716.02552668349</v>
      </c>
      <c r="Q88" s="580">
        <v>172688.88177985404</v>
      </c>
    </row>
    <row r="89" spans="1:21">
      <c r="B89" s="2186"/>
      <c r="C89" s="9"/>
      <c r="D89" s="141" t="s">
        <v>2138</v>
      </c>
      <c r="E89" s="603">
        <v>172867.83043682479</v>
      </c>
      <c r="F89" s="591">
        <v>167804.48544520547</v>
      </c>
      <c r="G89" s="591">
        <v>196398.28249336869</v>
      </c>
      <c r="H89" s="591" t="e">
        <v>#DIV/0!</v>
      </c>
      <c r="I89" s="591" t="e">
        <v>#DIV/0!</v>
      </c>
      <c r="J89" s="591" t="e">
        <v>#DIV/0!</v>
      </c>
      <c r="K89" s="591" t="e">
        <v>#DIV/0!</v>
      </c>
      <c r="L89" s="591" t="e">
        <v>#DIV/0!</v>
      </c>
      <c r="M89" s="591" t="e">
        <v>#DIV/0!</v>
      </c>
      <c r="N89" s="584"/>
      <c r="O89" s="584"/>
      <c r="P89" s="584"/>
      <c r="Q89" s="584"/>
    </row>
    <row r="90" spans="1:21">
      <c r="B90" s="2186"/>
      <c r="C90" s="9"/>
      <c r="D90" s="141"/>
      <c r="E90" s="603"/>
      <c r="F90" s="591"/>
      <c r="G90" s="591"/>
      <c r="H90" s="591"/>
      <c r="I90" s="591"/>
      <c r="J90" s="591"/>
      <c r="K90" s="591"/>
      <c r="L90" s="591"/>
      <c r="M90" s="591"/>
      <c r="N90" s="584"/>
      <c r="O90" s="584"/>
      <c r="P90" s="584"/>
      <c r="Q90" s="584"/>
    </row>
    <row r="91" spans="1:21">
      <c r="B91" s="2186"/>
      <c r="C91" s="9" t="s">
        <v>2143</v>
      </c>
      <c r="D91" s="141" t="s">
        <v>2137</v>
      </c>
      <c r="E91" s="604">
        <v>0.15607961965241604</v>
      </c>
      <c r="F91" s="584">
        <v>0.15627873423688224</v>
      </c>
      <c r="G91" s="584">
        <v>0.15616976296852986</v>
      </c>
      <c r="H91" s="584">
        <v>0.15613680640226299</v>
      </c>
      <c r="I91" s="584">
        <v>0.15607366523848368</v>
      </c>
      <c r="J91" s="584">
        <v>0.15613880252253523</v>
      </c>
      <c r="K91" s="584">
        <v>0.15621979726579568</v>
      </c>
      <c r="L91" s="584">
        <v>0.15606463519286914</v>
      </c>
      <c r="M91" s="584">
        <v>0.15606881710653578</v>
      </c>
      <c r="N91" s="584">
        <v>0.15590376964121455</v>
      </c>
      <c r="O91" s="584">
        <v>0.15585084205194727</v>
      </c>
      <c r="P91" s="584">
        <v>0.15599049187483577</v>
      </c>
      <c r="Q91" s="584">
        <v>0.1560299386577973</v>
      </c>
    </row>
    <row r="92" spans="1:21">
      <c r="B92" s="2186"/>
      <c r="C92" s="9"/>
      <c r="D92" s="141" t="s">
        <v>2138</v>
      </c>
      <c r="E92" s="605">
        <v>0.19123994498456293</v>
      </c>
      <c r="F92" s="582">
        <v>0.18469244274018431</v>
      </c>
      <c r="G92" s="582">
        <v>0.21723760664575492</v>
      </c>
      <c r="H92" s="582" t="s">
        <v>21</v>
      </c>
      <c r="I92" s="582" t="s">
        <v>21</v>
      </c>
      <c r="J92" s="582" t="s">
        <v>21</v>
      </c>
      <c r="K92" s="582" t="s">
        <v>21</v>
      </c>
      <c r="L92" s="582" t="s">
        <v>21</v>
      </c>
      <c r="M92" s="582" t="s">
        <v>21</v>
      </c>
      <c r="N92" s="582" t="s">
        <v>21</v>
      </c>
      <c r="O92" s="582" t="s">
        <v>21</v>
      </c>
      <c r="P92" s="582" t="s">
        <v>21</v>
      </c>
      <c r="Q92" s="582" t="s">
        <v>21</v>
      </c>
      <c r="R92" s="582">
        <v>0.19123994498456293</v>
      </c>
      <c r="S92" s="582" t="s">
        <v>21</v>
      </c>
    </row>
    <row r="93" spans="1:21">
      <c r="B93" s="2187"/>
      <c r="C93" s="8"/>
      <c r="D93" s="141"/>
      <c r="E93" s="604"/>
      <c r="F93" s="584"/>
      <c r="G93" s="584"/>
      <c r="H93" s="584"/>
      <c r="I93" s="584"/>
      <c r="J93" s="584"/>
      <c r="K93" s="584"/>
      <c r="L93" s="584"/>
      <c r="M93" s="584"/>
      <c r="N93" s="584"/>
      <c r="O93" s="584"/>
      <c r="P93" s="584"/>
      <c r="Q93" s="584"/>
    </row>
    <row r="94" spans="1:21">
      <c r="B94" s="9"/>
      <c r="C94" s="9" t="s">
        <v>2136</v>
      </c>
      <c r="D94" s="141" t="s">
        <v>2150</v>
      </c>
      <c r="E94" s="586">
        <v>-7328972778.000001</v>
      </c>
      <c r="F94" s="586">
        <v>6776940.0891919136</v>
      </c>
      <c r="G94" s="586">
        <v>-387331651.3384124</v>
      </c>
      <c r="H94" s="586">
        <v>-526000925.07479733</v>
      </c>
      <c r="I94" s="586">
        <v>-585777626.13841772</v>
      </c>
      <c r="J94" s="586">
        <v>-921509094.61043119</v>
      </c>
      <c r="K94" s="586">
        <v>-834155154.35250759</v>
      </c>
      <c r="L94" s="586">
        <v>-626369437.05829453</v>
      </c>
      <c r="M94" s="586">
        <v>-872015248.88331687</v>
      </c>
      <c r="N94" s="586">
        <v>-684581357.78592229</v>
      </c>
      <c r="O94" s="586">
        <v>-583475049.60400629</v>
      </c>
      <c r="P94" s="586">
        <v>-610150817.31098354</v>
      </c>
      <c r="Q94" s="586">
        <v>-704383355.93210292</v>
      </c>
      <c r="R94" s="572">
        <v>-3247997511.425374</v>
      </c>
      <c r="S94" s="572">
        <v>-4080975266.574626</v>
      </c>
    </row>
    <row r="95" spans="1:21">
      <c r="B95" s="9" t="s">
        <v>2151</v>
      </c>
      <c r="C95" s="9" t="s">
        <v>2140</v>
      </c>
      <c r="D95" s="141" t="s">
        <v>2150</v>
      </c>
      <c r="E95" s="586">
        <v>-715276269.970155</v>
      </c>
      <c r="F95" s="586">
        <v>17765980.482531369</v>
      </c>
      <c r="G95" s="586">
        <v>-51446302.990938589</v>
      </c>
      <c r="H95" s="586">
        <v>-82128104.605814874</v>
      </c>
      <c r="I95" s="586">
        <v>-91424461.126121059</v>
      </c>
      <c r="J95" s="586">
        <v>-143883326.54609835</v>
      </c>
      <c r="K95" s="586">
        <v>-130311549.10116725</v>
      </c>
      <c r="L95" s="586">
        <v>-97754117.69046554</v>
      </c>
      <c r="M95" s="586">
        <v>-136094388.39208066</v>
      </c>
      <c r="N95" s="586"/>
      <c r="O95" s="586"/>
      <c r="P95" s="586"/>
      <c r="Q95" s="586"/>
      <c r="R95" s="572">
        <v>-481427763.88760877</v>
      </c>
      <c r="S95" s="572">
        <v>-233848506.0825462</v>
      </c>
    </row>
    <row r="96" spans="1:21">
      <c r="B96" s="9"/>
      <c r="C96" s="9" t="s">
        <v>2141</v>
      </c>
      <c r="D96" s="141" t="s">
        <v>2150</v>
      </c>
      <c r="E96" s="587">
        <v>-42453.984272266847</v>
      </c>
      <c r="F96" s="587">
        <v>135.0159898914826</v>
      </c>
      <c r="G96" s="587">
        <v>-2348.1928797265441</v>
      </c>
      <c r="H96" s="587">
        <v>-3047.2423794642309</v>
      </c>
      <c r="I96" s="587">
        <v>-3392.6890252102403</v>
      </c>
      <c r="J96" s="587">
        <v>-5338.5531362078655</v>
      </c>
      <c r="K96" s="587">
        <v>-4834.0466798762864</v>
      </c>
      <c r="L96" s="587">
        <v>-3627.6569488239702</v>
      </c>
      <c r="M96" s="587">
        <v>-5050.413841319827</v>
      </c>
      <c r="N96" s="587">
        <v>-3962.2541760071813</v>
      </c>
      <c r="O96" s="587">
        <v>-3376.3535670812016</v>
      </c>
      <c r="P96" s="587">
        <v>-3532.6821321320831</v>
      </c>
      <c r="Q96" s="587">
        <v>-4078.9154963089036</v>
      </c>
      <c r="R96" s="578">
        <v>-18825.708110593685</v>
      </c>
      <c r="S96" s="578">
        <v>-23628.276161673166</v>
      </c>
    </row>
    <row r="97" spans="1:19">
      <c r="A97" t="s">
        <v>2179</v>
      </c>
      <c r="B97" s="2188" t="s">
        <v>2153</v>
      </c>
      <c r="C97" s="7" t="s">
        <v>2136</v>
      </c>
      <c r="D97" s="141" t="s">
        <v>2137</v>
      </c>
      <c r="E97" s="572"/>
      <c r="F97" s="586">
        <v>0</v>
      </c>
      <c r="G97" s="586">
        <v>0</v>
      </c>
      <c r="H97" s="586">
        <v>0</v>
      </c>
      <c r="I97" s="586">
        <v>0</v>
      </c>
      <c r="J97" s="586">
        <v>0</v>
      </c>
      <c r="K97" s="586">
        <v>0</v>
      </c>
      <c r="L97" s="586">
        <v>0</v>
      </c>
      <c r="M97" s="586">
        <v>0</v>
      </c>
      <c r="N97" s="586">
        <v>0</v>
      </c>
      <c r="O97" s="586">
        <v>0</v>
      </c>
      <c r="P97" s="586">
        <v>0</v>
      </c>
      <c r="Q97" s="586">
        <v>0</v>
      </c>
    </row>
    <row r="98" spans="1:19">
      <c r="B98" s="2189"/>
      <c r="C98" s="6"/>
      <c r="D98" s="141" t="s">
        <v>2138</v>
      </c>
      <c r="E98" s="586">
        <v>17883660</v>
      </c>
      <c r="F98" s="586">
        <v>15527274</v>
      </c>
      <c r="G98" s="586">
        <v>2356386</v>
      </c>
      <c r="H98" s="586">
        <v>0</v>
      </c>
      <c r="I98" s="586">
        <v>0</v>
      </c>
      <c r="J98" s="586">
        <v>0</v>
      </c>
      <c r="K98" s="586">
        <v>0</v>
      </c>
      <c r="L98" s="586">
        <v>0</v>
      </c>
      <c r="M98" s="586">
        <v>0</v>
      </c>
      <c r="N98" s="586">
        <v>0</v>
      </c>
      <c r="O98" s="586">
        <v>0</v>
      </c>
      <c r="P98" s="586">
        <v>0</v>
      </c>
      <c r="Q98" s="586">
        <v>0</v>
      </c>
    </row>
    <row r="99" spans="1:19">
      <c r="B99" s="2189"/>
      <c r="C99" s="6"/>
      <c r="D99" s="141" t="s">
        <v>2139</v>
      </c>
      <c r="E99" s="574" t="e">
        <v>#DIV/0!</v>
      </c>
      <c r="F99" s="575" t="e">
        <v>#DIV/0!</v>
      </c>
      <c r="G99" s="575" t="e">
        <v>#DIV/0!</v>
      </c>
      <c r="H99" s="575" t="e">
        <v>#DIV/0!</v>
      </c>
      <c r="I99" s="575" t="e">
        <v>#DIV/0!</v>
      </c>
      <c r="J99" s="575" t="e">
        <v>#DIV/0!</v>
      </c>
      <c r="K99" s="575" t="e">
        <v>#DIV/0!</v>
      </c>
      <c r="L99" s="575" t="e">
        <v>#DIV/0!</v>
      </c>
      <c r="M99" s="575" t="e">
        <v>#DIV/0!</v>
      </c>
      <c r="N99" s="575" t="e">
        <v>#DIV/0!</v>
      </c>
      <c r="O99" s="575" t="e">
        <v>#DIV/0!</v>
      </c>
      <c r="P99" s="575" t="e">
        <v>#DIV/0!</v>
      </c>
      <c r="Q99" s="575" t="e">
        <v>#DIV/0!</v>
      </c>
      <c r="R99" s="574" t="e">
        <v>#DIV/0!</v>
      </c>
      <c r="S99" s="574" t="e">
        <v>#DIV/0!</v>
      </c>
    </row>
    <row r="100" spans="1:19">
      <c r="A100" t="s">
        <v>2180</v>
      </c>
      <c r="B100" s="2189"/>
      <c r="C100" s="6" t="s">
        <v>2140</v>
      </c>
      <c r="D100" s="141" t="s">
        <v>2137</v>
      </c>
      <c r="E100" s="572"/>
      <c r="F100" s="586">
        <v>0</v>
      </c>
      <c r="G100" s="586">
        <v>0</v>
      </c>
      <c r="H100" s="586">
        <v>0</v>
      </c>
      <c r="I100" s="586">
        <v>0</v>
      </c>
      <c r="J100" s="586">
        <v>0</v>
      </c>
      <c r="K100" s="586">
        <v>0</v>
      </c>
      <c r="L100" s="586">
        <v>0</v>
      </c>
      <c r="M100" s="586">
        <v>0</v>
      </c>
      <c r="N100" s="586">
        <v>0</v>
      </c>
      <c r="O100" s="586">
        <v>0</v>
      </c>
      <c r="P100" s="586">
        <v>0</v>
      </c>
      <c r="Q100" s="586">
        <v>0</v>
      </c>
    </row>
    <row r="101" spans="1:19">
      <c r="B101" s="2189"/>
      <c r="C101" s="6"/>
      <c r="D101" s="141" t="s">
        <v>2138</v>
      </c>
      <c r="E101" s="586">
        <v>879112</v>
      </c>
      <c r="F101" s="586">
        <v>292560</v>
      </c>
      <c r="G101" s="586">
        <v>586552</v>
      </c>
      <c r="H101" s="586">
        <v>0</v>
      </c>
      <c r="I101" s="586">
        <v>0</v>
      </c>
      <c r="J101" s="586">
        <v>0</v>
      </c>
      <c r="K101" s="586">
        <v>0</v>
      </c>
      <c r="L101" s="586">
        <v>0</v>
      </c>
      <c r="M101" s="586">
        <v>0</v>
      </c>
      <c r="N101" s="586">
        <v>0</v>
      </c>
      <c r="O101" s="586">
        <v>0</v>
      </c>
      <c r="P101" s="586">
        <v>0</v>
      </c>
      <c r="Q101" s="586">
        <v>0</v>
      </c>
    </row>
    <row r="102" spans="1:19">
      <c r="B102" s="2189"/>
      <c r="C102" s="6"/>
      <c r="D102" s="141" t="s">
        <v>2139</v>
      </c>
      <c r="E102" s="574" t="e">
        <v>#DIV/0!</v>
      </c>
      <c r="F102" s="575" t="e">
        <v>#DIV/0!</v>
      </c>
      <c r="G102" s="575" t="e">
        <v>#DIV/0!</v>
      </c>
      <c r="H102" s="575" t="e">
        <v>#DIV/0!</v>
      </c>
      <c r="I102" s="575" t="e">
        <v>#DIV/0!</v>
      </c>
      <c r="J102" s="575" t="e">
        <v>#DIV/0!</v>
      </c>
      <c r="K102" s="575" t="e">
        <v>#DIV/0!</v>
      </c>
      <c r="L102" s="575" t="e">
        <v>#DIV/0!</v>
      </c>
      <c r="M102" s="575" t="e">
        <v>#DIV/0!</v>
      </c>
      <c r="N102" s="575" t="e">
        <v>#DIV/0!</v>
      </c>
      <c r="O102" s="575" t="e">
        <v>#DIV/0!</v>
      </c>
      <c r="P102" s="575" t="e">
        <v>#DIV/0!</v>
      </c>
      <c r="Q102" s="575" t="e">
        <v>#DIV/0!</v>
      </c>
      <c r="R102" s="574" t="e">
        <v>#DIV/0!</v>
      </c>
      <c r="S102" s="574" t="e">
        <v>#DIV/0!</v>
      </c>
    </row>
    <row r="103" spans="1:19">
      <c r="A103" t="s">
        <v>2181</v>
      </c>
      <c r="B103" s="2189"/>
      <c r="C103" s="6" t="s">
        <v>2141</v>
      </c>
      <c r="D103" s="141" t="s">
        <v>2137</v>
      </c>
      <c r="E103" s="580"/>
      <c r="F103" s="580">
        <v>0</v>
      </c>
      <c r="G103" s="580">
        <v>0</v>
      </c>
      <c r="H103" s="580">
        <v>0</v>
      </c>
      <c r="I103" s="580">
        <v>0</v>
      </c>
      <c r="J103" s="580">
        <v>0</v>
      </c>
      <c r="K103" s="580">
        <v>0</v>
      </c>
      <c r="L103" s="580">
        <v>0</v>
      </c>
      <c r="M103" s="580">
        <v>0</v>
      </c>
      <c r="N103" s="580">
        <v>0</v>
      </c>
      <c r="O103" s="580">
        <v>0</v>
      </c>
      <c r="P103" s="580">
        <v>0</v>
      </c>
      <c r="Q103" s="580">
        <v>0</v>
      </c>
    </row>
    <row r="104" spans="1:19">
      <c r="B104" s="2189"/>
      <c r="C104" s="6"/>
      <c r="D104" s="141" t="s">
        <v>2138</v>
      </c>
      <c r="E104" s="587">
        <v>120</v>
      </c>
      <c r="F104" s="587">
        <v>106</v>
      </c>
      <c r="G104" s="587">
        <v>14</v>
      </c>
      <c r="H104" s="587">
        <v>0</v>
      </c>
      <c r="I104" s="587">
        <v>0</v>
      </c>
      <c r="J104" s="587">
        <v>0</v>
      </c>
      <c r="K104" s="587">
        <v>0</v>
      </c>
      <c r="L104" s="587">
        <v>0</v>
      </c>
      <c r="M104" s="587">
        <v>0</v>
      </c>
      <c r="N104" s="587">
        <v>0</v>
      </c>
      <c r="O104" s="587">
        <v>0</v>
      </c>
      <c r="P104" s="587">
        <v>0</v>
      </c>
      <c r="Q104" s="587">
        <v>0</v>
      </c>
    </row>
    <row r="105" spans="1:19">
      <c r="B105" s="2189"/>
      <c r="C105" s="6"/>
      <c r="D105" s="141" t="s">
        <v>2139</v>
      </c>
      <c r="E105" s="574" t="e">
        <v>#DIV/0!</v>
      </c>
      <c r="F105" s="575" t="e">
        <v>#DIV/0!</v>
      </c>
      <c r="G105" s="575" t="e">
        <v>#DIV/0!</v>
      </c>
      <c r="H105" s="575" t="e">
        <v>#DIV/0!</v>
      </c>
      <c r="I105" s="575" t="e">
        <v>#DIV/0!</v>
      </c>
      <c r="J105" s="575" t="e">
        <v>#DIV/0!</v>
      </c>
      <c r="K105" s="575" t="e">
        <v>#DIV/0!</v>
      </c>
      <c r="L105" s="575" t="e">
        <v>#DIV/0!</v>
      </c>
      <c r="M105" s="575" t="e">
        <v>#DIV/0!</v>
      </c>
      <c r="N105" s="575" t="e">
        <v>#DIV/0!</v>
      </c>
      <c r="O105" s="575" t="e">
        <v>#DIV/0!</v>
      </c>
      <c r="P105" s="575" t="e">
        <v>#DIV/0!</v>
      </c>
      <c r="Q105" s="575" t="e">
        <v>#DIV/0!</v>
      </c>
      <c r="R105" s="574" t="e">
        <v>#DIV/0!</v>
      </c>
      <c r="S105" s="574" t="e">
        <v>#DIV/0!</v>
      </c>
    </row>
    <row r="106" spans="1:19">
      <c r="B106" s="2189"/>
      <c r="C106" s="6" t="s">
        <v>2142</v>
      </c>
      <c r="D106" s="141" t="s">
        <v>2137</v>
      </c>
      <c r="E106" s="580" t="e">
        <v>#DIV/0!</v>
      </c>
      <c r="F106" s="580" t="e">
        <v>#DIV/0!</v>
      </c>
      <c r="G106" s="580" t="e">
        <v>#DIV/0!</v>
      </c>
      <c r="H106" s="580" t="e">
        <v>#DIV/0!</v>
      </c>
      <c r="I106" s="580" t="e">
        <v>#DIV/0!</v>
      </c>
      <c r="J106" s="580" t="e">
        <v>#DIV/0!</v>
      </c>
      <c r="K106" s="580" t="e">
        <v>#DIV/0!</v>
      </c>
      <c r="L106" s="580" t="e">
        <v>#DIV/0!</v>
      </c>
      <c r="M106" s="580" t="e">
        <v>#DIV/0!</v>
      </c>
      <c r="N106" s="580" t="e">
        <v>#DIV/0!</v>
      </c>
      <c r="O106" s="580" t="e">
        <v>#DIV/0!</v>
      </c>
      <c r="P106" s="580" t="e">
        <v>#DIV/0!</v>
      </c>
      <c r="Q106" s="580" t="e">
        <v>#DIV/0!</v>
      </c>
    </row>
    <row r="107" spans="1:19">
      <c r="B107" s="2189"/>
      <c r="C107" s="6"/>
      <c r="D107" s="141" t="s">
        <v>2138</v>
      </c>
      <c r="E107" s="591">
        <v>149030.5</v>
      </c>
      <c r="F107" s="591">
        <v>146483.71698113208</v>
      </c>
      <c r="G107" s="591">
        <v>168313.28571428571</v>
      </c>
      <c r="H107" s="591" t="e">
        <v>#DIV/0!</v>
      </c>
      <c r="I107" s="591" t="e">
        <v>#DIV/0!</v>
      </c>
      <c r="J107" s="591" t="e">
        <v>#DIV/0!</v>
      </c>
      <c r="K107" s="591" t="e">
        <v>#DIV/0!</v>
      </c>
      <c r="L107" s="591" t="e">
        <v>#DIV/0!</v>
      </c>
      <c r="M107" s="591" t="e">
        <v>#DIV/0!</v>
      </c>
      <c r="N107" s="584"/>
      <c r="O107" s="584"/>
      <c r="P107" s="584"/>
      <c r="Q107" s="584"/>
    </row>
    <row r="108" spans="1:19">
      <c r="B108" s="2189"/>
      <c r="C108" s="6"/>
      <c r="D108" s="141"/>
      <c r="E108" s="591"/>
      <c r="F108" s="591"/>
      <c r="G108" s="591"/>
      <c r="H108" s="591"/>
      <c r="I108" s="591"/>
      <c r="J108" s="591"/>
      <c r="K108" s="591"/>
      <c r="L108" s="591"/>
      <c r="M108" s="591"/>
      <c r="N108" s="584"/>
      <c r="O108" s="584"/>
      <c r="P108" s="584"/>
      <c r="Q108" s="584"/>
    </row>
    <row r="109" spans="1:19">
      <c r="B109" s="2190"/>
      <c r="C109" s="6" t="s">
        <v>2143</v>
      </c>
      <c r="D109" s="141" t="s">
        <v>2137</v>
      </c>
      <c r="E109" s="584" t="e">
        <v>#DIV/0!</v>
      </c>
      <c r="F109" s="584" t="e">
        <v>#DIV/0!</v>
      </c>
      <c r="G109" s="584" t="e">
        <v>#DIV/0!</v>
      </c>
      <c r="H109" s="584" t="e">
        <v>#DIV/0!</v>
      </c>
      <c r="I109" s="584" t="e">
        <v>#DIV/0!</v>
      </c>
      <c r="J109" s="584" t="e">
        <v>#DIV/0!</v>
      </c>
      <c r="K109" s="584" t="e">
        <v>#DIV/0!</v>
      </c>
      <c r="L109" s="584" t="e">
        <v>#DIV/0!</v>
      </c>
      <c r="M109" s="584" t="e">
        <v>#DIV/0!</v>
      </c>
      <c r="N109" s="584" t="e">
        <v>#DIV/0!</v>
      </c>
      <c r="O109" s="584" t="e">
        <v>#DIV/0!</v>
      </c>
      <c r="P109" s="584" t="e">
        <v>#DIV/0!</v>
      </c>
      <c r="Q109" s="584" t="e">
        <v>#DIV/0!</v>
      </c>
    </row>
    <row r="110" spans="1:19">
      <c r="B110" s="2189"/>
      <c r="C110" s="6"/>
      <c r="D110" s="141" t="s">
        <v>2138</v>
      </c>
      <c r="E110" s="582">
        <v>4.9157275412303747E-2</v>
      </c>
      <c r="F110" s="582">
        <v>1.884168463826941E-2</v>
      </c>
      <c r="G110" s="582">
        <v>0.24892016842741385</v>
      </c>
      <c r="H110" s="582" t="s">
        <v>21</v>
      </c>
      <c r="I110" s="582" t="s">
        <v>21</v>
      </c>
      <c r="J110" s="582" t="s">
        <v>21</v>
      </c>
      <c r="K110" s="582" t="s">
        <v>21</v>
      </c>
      <c r="L110" s="582" t="s">
        <v>21</v>
      </c>
      <c r="M110" s="582" t="s">
        <v>21</v>
      </c>
      <c r="N110" s="582" t="s">
        <v>21</v>
      </c>
      <c r="O110" s="582" t="s">
        <v>21</v>
      </c>
      <c r="P110" s="582" t="s">
        <v>21</v>
      </c>
      <c r="Q110" s="582" t="s">
        <v>21</v>
      </c>
      <c r="R110" s="582" t="s">
        <v>21</v>
      </c>
      <c r="S110" s="582" t="s">
        <v>21</v>
      </c>
    </row>
    <row r="111" spans="1:19">
      <c r="B111" s="2191"/>
      <c r="C111" s="5"/>
      <c r="D111" s="141"/>
      <c r="E111" s="584"/>
      <c r="F111" s="584"/>
      <c r="G111" s="584"/>
      <c r="H111" s="584"/>
      <c r="I111" s="584"/>
      <c r="J111" s="584"/>
      <c r="K111" s="584"/>
      <c r="L111" s="584"/>
      <c r="M111" s="584"/>
      <c r="N111" s="584"/>
      <c r="O111" s="584"/>
      <c r="P111" s="584"/>
      <c r="Q111" s="584"/>
    </row>
    <row r="112" spans="1:19">
      <c r="B112" s="6"/>
      <c r="C112" s="6" t="s">
        <v>2136</v>
      </c>
      <c r="D112" s="141" t="s">
        <v>2150</v>
      </c>
      <c r="E112" s="586">
        <v>17883660</v>
      </c>
      <c r="F112" s="586">
        <v>15527274</v>
      </c>
      <c r="G112" s="586">
        <v>2356386</v>
      </c>
      <c r="H112" s="586">
        <v>0</v>
      </c>
      <c r="I112" s="586">
        <v>0</v>
      </c>
      <c r="J112" s="586">
        <v>0</v>
      </c>
      <c r="K112" s="586">
        <v>0</v>
      </c>
      <c r="L112" s="586">
        <v>0</v>
      </c>
      <c r="M112" s="586">
        <v>0</v>
      </c>
      <c r="N112" s="586">
        <v>0</v>
      </c>
      <c r="O112" s="586">
        <v>0</v>
      </c>
      <c r="P112" s="586">
        <v>0</v>
      </c>
      <c r="Q112" s="586">
        <v>0</v>
      </c>
    </row>
    <row r="113" spans="1:21">
      <c r="B113" s="6" t="s">
        <v>2156</v>
      </c>
      <c r="C113" s="6" t="s">
        <v>2140</v>
      </c>
      <c r="D113" s="141" t="s">
        <v>2150</v>
      </c>
      <c r="E113" s="586">
        <v>879112</v>
      </c>
      <c r="F113" s="586">
        <v>292560</v>
      </c>
      <c r="G113" s="586">
        <v>586552</v>
      </c>
      <c r="H113" s="586">
        <v>0</v>
      </c>
      <c r="I113" s="586">
        <v>0</v>
      </c>
      <c r="J113" s="586">
        <v>0</v>
      </c>
      <c r="K113" s="586">
        <v>0</v>
      </c>
      <c r="L113" s="586">
        <v>0</v>
      </c>
      <c r="M113" s="586">
        <v>0</v>
      </c>
      <c r="N113" s="586">
        <v>0</v>
      </c>
      <c r="O113" s="586">
        <v>0</v>
      </c>
      <c r="P113" s="586">
        <v>0</v>
      </c>
      <c r="Q113" s="586">
        <v>0</v>
      </c>
    </row>
    <row r="114" spans="1:21">
      <c r="B114" s="6"/>
      <c r="C114" s="6" t="s">
        <v>2141</v>
      </c>
      <c r="D114" s="141" t="s">
        <v>2150</v>
      </c>
      <c r="E114" s="587">
        <v>120</v>
      </c>
      <c r="F114" s="587">
        <v>106</v>
      </c>
      <c r="G114" s="587">
        <v>14</v>
      </c>
      <c r="H114" s="587">
        <v>0</v>
      </c>
      <c r="I114" s="587">
        <v>0</v>
      </c>
      <c r="J114" s="587">
        <v>0</v>
      </c>
      <c r="K114" s="587">
        <v>0</v>
      </c>
      <c r="L114" s="587">
        <v>0</v>
      </c>
      <c r="M114" s="587">
        <v>0</v>
      </c>
      <c r="N114" s="587">
        <v>0</v>
      </c>
      <c r="O114" s="587">
        <v>0</v>
      </c>
      <c r="P114" s="587">
        <v>0</v>
      </c>
      <c r="Q114" s="587">
        <v>0</v>
      </c>
    </row>
    <row r="115" spans="1:21">
      <c r="A115" t="s">
        <v>2182</v>
      </c>
      <c r="B115" s="2192" t="s">
        <v>2158</v>
      </c>
      <c r="C115" s="13" t="s">
        <v>2136</v>
      </c>
      <c r="D115" s="592" t="s">
        <v>2137</v>
      </c>
      <c r="E115" s="572">
        <v>1421995999.9999998</v>
      </c>
      <c r="F115" s="586">
        <v>85225937.808855563</v>
      </c>
      <c r="G115" s="586">
        <v>104332120.11698684</v>
      </c>
      <c r="H115" s="586">
        <v>112417059.39284861</v>
      </c>
      <c r="I115" s="586">
        <v>121906095.04041603</v>
      </c>
      <c r="J115" s="586">
        <v>159998284.04042563</v>
      </c>
      <c r="K115" s="586">
        <v>154824240.08787686</v>
      </c>
      <c r="L115" s="586">
        <v>124125592.22362247</v>
      </c>
      <c r="M115" s="586">
        <v>185925834.87423992</v>
      </c>
      <c r="N115" s="586">
        <v>120035800.01507011</v>
      </c>
      <c r="O115" s="586">
        <v>81569778.90371424</v>
      </c>
      <c r="P115" s="586">
        <v>83569266.587138668</v>
      </c>
      <c r="Q115" s="586">
        <v>88065990.908804938</v>
      </c>
      <c r="R115" s="572">
        <v>738703736.48740959</v>
      </c>
      <c r="S115" s="572">
        <v>683292263.51259029</v>
      </c>
    </row>
    <row r="116" spans="1:21">
      <c r="B116" s="2193"/>
      <c r="C116" s="12"/>
      <c r="D116" s="592" t="s">
        <v>2138</v>
      </c>
      <c r="E116" s="586">
        <v>151896012</v>
      </c>
      <c r="F116" s="586">
        <v>121851200</v>
      </c>
      <c r="G116" s="586">
        <v>30044812</v>
      </c>
      <c r="H116" s="586">
        <v>0</v>
      </c>
      <c r="I116" s="586">
        <v>0</v>
      </c>
      <c r="J116" s="586">
        <v>0</v>
      </c>
      <c r="K116" s="586">
        <v>0</v>
      </c>
      <c r="L116" s="586">
        <v>0</v>
      </c>
      <c r="M116" s="586">
        <v>0</v>
      </c>
      <c r="N116" s="586">
        <v>0</v>
      </c>
      <c r="O116" s="586">
        <v>0</v>
      </c>
      <c r="P116" s="586">
        <v>0</v>
      </c>
      <c r="Q116" s="586">
        <v>0</v>
      </c>
      <c r="R116" s="572">
        <v>151896012</v>
      </c>
      <c r="S116" s="572">
        <v>0</v>
      </c>
    </row>
    <row r="117" spans="1:21">
      <c r="B117" s="2193"/>
      <c r="C117" s="12"/>
      <c r="D117" s="592" t="s">
        <v>2139</v>
      </c>
      <c r="E117" s="574">
        <v>0.10681887431469569</v>
      </c>
      <c r="F117" s="575">
        <v>1.4297431407946188</v>
      </c>
      <c r="G117" s="575">
        <v>0.28797279271533038</v>
      </c>
      <c r="H117" s="575">
        <v>0</v>
      </c>
      <c r="I117" s="575">
        <v>0</v>
      </c>
      <c r="J117" s="575">
        <v>0</v>
      </c>
      <c r="K117" s="575">
        <v>0</v>
      </c>
      <c r="L117" s="575">
        <v>0</v>
      </c>
      <c r="M117" s="575">
        <v>0</v>
      </c>
      <c r="N117" s="575">
        <v>0</v>
      </c>
      <c r="O117" s="575">
        <v>0</v>
      </c>
      <c r="P117" s="575">
        <v>0</v>
      </c>
      <c r="Q117" s="575">
        <v>0</v>
      </c>
      <c r="R117" s="574">
        <v>0.20562507605860594</v>
      </c>
      <c r="S117" s="574">
        <v>0</v>
      </c>
    </row>
    <row r="118" spans="1:21">
      <c r="A118" t="s">
        <v>2183</v>
      </c>
      <c r="B118" s="2193"/>
      <c r="C118" s="12" t="s">
        <v>2140</v>
      </c>
      <c r="D118" s="592" t="s">
        <v>2137</v>
      </c>
      <c r="E118" s="572">
        <v>207631000</v>
      </c>
      <c r="F118" s="586">
        <v>12464904.582169127</v>
      </c>
      <c r="G118" s="586">
        <v>15263991.496504504</v>
      </c>
      <c r="H118" s="586">
        <v>16430953.764548557</v>
      </c>
      <c r="I118" s="586">
        <v>17807560.649566535</v>
      </c>
      <c r="J118" s="586">
        <v>23349677.858051829</v>
      </c>
      <c r="K118" s="586">
        <v>22599161.087616947</v>
      </c>
      <c r="L118" s="586">
        <v>18110240.195419908</v>
      </c>
      <c r="M118" s="586">
        <v>27143681.462430079</v>
      </c>
      <c r="N118" s="586">
        <v>17529039.509218823</v>
      </c>
      <c r="O118" s="586">
        <v>11892917.594132295</v>
      </c>
      <c r="P118" s="586">
        <v>12187017.197483465</v>
      </c>
      <c r="Q118" s="586">
        <v>12851854.602857912</v>
      </c>
      <c r="R118" s="572">
        <v>107916249.43845749</v>
      </c>
      <c r="S118" s="572">
        <v>99714750.561542481</v>
      </c>
      <c r="T118" s="588"/>
      <c r="U118" s="588">
        <v>0.9</v>
      </c>
    </row>
    <row r="119" spans="1:21">
      <c r="B119" s="2193"/>
      <c r="C119" s="12"/>
      <c r="D119" s="592" t="s">
        <v>2138</v>
      </c>
      <c r="E119" s="586">
        <v>28809818</v>
      </c>
      <c r="F119" s="586">
        <v>23051902</v>
      </c>
      <c r="G119" s="586">
        <v>5757916</v>
      </c>
      <c r="H119" s="586">
        <v>0</v>
      </c>
      <c r="I119" s="586">
        <v>0</v>
      </c>
      <c r="J119" s="586">
        <v>0</v>
      </c>
      <c r="K119" s="586">
        <v>0</v>
      </c>
      <c r="L119" s="586">
        <v>0</v>
      </c>
      <c r="M119" s="586">
        <v>0</v>
      </c>
      <c r="N119" s="586">
        <v>0</v>
      </c>
      <c r="O119" s="586">
        <v>0</v>
      </c>
      <c r="P119" s="586">
        <v>0</v>
      </c>
      <c r="Q119" s="586">
        <v>0</v>
      </c>
      <c r="R119" s="572">
        <v>28809818</v>
      </c>
      <c r="S119" s="572">
        <v>0</v>
      </c>
    </row>
    <row r="120" spans="1:21">
      <c r="B120" s="2193"/>
      <c r="C120" s="12"/>
      <c r="D120" s="592" t="s">
        <v>2139</v>
      </c>
      <c r="E120" s="574">
        <v>0.1387548969084578</v>
      </c>
      <c r="F120" s="575">
        <v>1.849344441270367</v>
      </c>
      <c r="G120" s="575">
        <v>0.37722217031623601</v>
      </c>
      <c r="H120" s="575">
        <v>0</v>
      </c>
      <c r="I120" s="575">
        <v>0</v>
      </c>
      <c r="J120" s="575">
        <v>0</v>
      </c>
      <c r="K120" s="575">
        <v>0</v>
      </c>
      <c r="L120" s="575">
        <v>0</v>
      </c>
      <c r="M120" s="575">
        <v>0</v>
      </c>
      <c r="N120" s="575">
        <v>0</v>
      </c>
      <c r="O120" s="575">
        <v>0</v>
      </c>
      <c r="P120" s="575">
        <v>0</v>
      </c>
      <c r="Q120" s="575">
        <v>0</v>
      </c>
      <c r="R120" s="574">
        <v>0.26696459661924843</v>
      </c>
      <c r="S120" s="574">
        <v>0</v>
      </c>
      <c r="T120" s="588"/>
      <c r="U120" s="588"/>
    </row>
    <row r="121" spans="1:21">
      <c r="A121" t="s">
        <v>2184</v>
      </c>
      <c r="B121" s="2193"/>
      <c r="C121" s="12" t="s">
        <v>2141</v>
      </c>
      <c r="D121" s="592" t="s">
        <v>2137</v>
      </c>
      <c r="E121" s="580">
        <v>12570.190998216307</v>
      </c>
      <c r="F121" s="580">
        <v>753.02878657748658</v>
      </c>
      <c r="G121" s="580">
        <v>921.76527595658831</v>
      </c>
      <c r="H121" s="580">
        <v>993.4654787497351</v>
      </c>
      <c r="I121" s="580">
        <v>1077.4988342807276</v>
      </c>
      <c r="J121" s="580">
        <v>1414.5653571361936</v>
      </c>
      <c r="K121" s="580">
        <v>1368.743171263048</v>
      </c>
      <c r="L121" s="580">
        <v>1097.4832288526873</v>
      </c>
      <c r="M121" s="580">
        <v>1643.6202122295083</v>
      </c>
      <c r="N121" s="580">
        <v>1061.0582807244896</v>
      </c>
      <c r="O121" s="580">
        <v>721.35853522692264</v>
      </c>
      <c r="P121" s="580">
        <v>738.99708518362183</v>
      </c>
      <c r="Q121" s="580">
        <v>778.606752035299</v>
      </c>
      <c r="R121" s="578">
        <v>6529.0669039637787</v>
      </c>
      <c r="S121" s="578">
        <v>6041.1240942525283</v>
      </c>
      <c r="U121" s="601">
        <v>5437.0116848272755</v>
      </c>
    </row>
    <row r="122" spans="1:21">
      <c r="B122" s="2193"/>
      <c r="C122" s="12"/>
      <c r="D122" s="592" t="s">
        <v>2138</v>
      </c>
      <c r="E122" s="587">
        <v>1304</v>
      </c>
      <c r="F122" s="587">
        <v>1058</v>
      </c>
      <c r="G122" s="587">
        <v>246</v>
      </c>
      <c r="H122" s="587">
        <v>0</v>
      </c>
      <c r="I122" s="587">
        <v>0</v>
      </c>
      <c r="J122" s="587">
        <v>0</v>
      </c>
      <c r="K122" s="587">
        <v>0</v>
      </c>
      <c r="L122" s="587">
        <v>0</v>
      </c>
      <c r="M122" s="587">
        <v>0</v>
      </c>
      <c r="N122" s="587">
        <v>0</v>
      </c>
      <c r="O122" s="587">
        <v>0</v>
      </c>
      <c r="P122" s="587">
        <v>0</v>
      </c>
      <c r="Q122" s="587">
        <v>0</v>
      </c>
      <c r="R122" s="578">
        <v>1304</v>
      </c>
      <c r="S122" s="578">
        <v>0</v>
      </c>
      <c r="T122" s="565" t="s">
        <v>2178</v>
      </c>
      <c r="U122" s="601">
        <v>5437.0116848272755</v>
      </c>
    </row>
    <row r="123" spans="1:21">
      <c r="B123" s="2193"/>
      <c r="C123" s="12"/>
      <c r="D123" s="592" t="s">
        <v>2139</v>
      </c>
      <c r="E123" s="574">
        <v>0.10373748499008772</v>
      </c>
      <c r="F123" s="575">
        <v>1.4049927690129969</v>
      </c>
      <c r="G123" s="575">
        <v>0.26687922231037231</v>
      </c>
      <c r="H123" s="575">
        <v>0</v>
      </c>
      <c r="I123" s="575">
        <v>0</v>
      </c>
      <c r="J123" s="575">
        <v>0</v>
      </c>
      <c r="K123" s="575">
        <v>0</v>
      </c>
      <c r="L123" s="575">
        <v>0</v>
      </c>
      <c r="M123" s="575">
        <v>0</v>
      </c>
      <c r="N123" s="575">
        <v>0</v>
      </c>
      <c r="O123" s="575">
        <v>0</v>
      </c>
      <c r="P123" s="575">
        <v>0</v>
      </c>
      <c r="Q123" s="575">
        <v>0</v>
      </c>
      <c r="R123" s="574">
        <v>0.19972226034448279</v>
      </c>
      <c r="S123" s="574">
        <v>0</v>
      </c>
      <c r="U123" s="601"/>
    </row>
    <row r="124" spans="1:21">
      <c r="B124" s="2193"/>
      <c r="C124" s="12" t="s">
        <v>2142</v>
      </c>
      <c r="D124" s="592" t="s">
        <v>2137</v>
      </c>
      <c r="E124" s="580">
        <v>113124.45452911408</v>
      </c>
      <c r="F124" s="580">
        <v>113177.52963496545</v>
      </c>
      <c r="G124" s="580">
        <v>113187.29706834877</v>
      </c>
      <c r="H124" s="580">
        <v>113156.48283453612</v>
      </c>
      <c r="I124" s="580">
        <v>113138.02963118108</v>
      </c>
      <c r="J124" s="580">
        <v>113107.73534306276</v>
      </c>
      <c r="K124" s="580">
        <v>113114.16439433867</v>
      </c>
      <c r="L124" s="580">
        <v>113100.21780777807</v>
      </c>
      <c r="M124" s="580">
        <v>113119.70581211009</v>
      </c>
      <c r="N124" s="580">
        <v>113128.37588252907</v>
      </c>
      <c r="O124" s="580">
        <v>113077.99786143001</v>
      </c>
      <c r="P124" s="580">
        <v>113084.70393543413</v>
      </c>
      <c r="Q124" s="580">
        <v>113107.15027656525</v>
      </c>
    </row>
    <row r="125" spans="1:21">
      <c r="B125" s="2193"/>
      <c r="C125" s="12"/>
      <c r="D125" s="592" t="s">
        <v>2138</v>
      </c>
      <c r="E125" s="591">
        <v>116484.67177914111</v>
      </c>
      <c r="F125" s="591">
        <v>115171.26654064273</v>
      </c>
      <c r="G125" s="591">
        <v>122133.38211382114</v>
      </c>
      <c r="H125" s="591" t="e">
        <v>#DIV/0!</v>
      </c>
      <c r="I125" s="591" t="e">
        <v>#DIV/0!</v>
      </c>
      <c r="J125" s="591" t="e">
        <v>#DIV/0!</v>
      </c>
      <c r="K125" s="591" t="e">
        <v>#DIV/0!</v>
      </c>
      <c r="L125" s="591" t="e">
        <v>#DIV/0!</v>
      </c>
      <c r="M125" s="591" t="e">
        <v>#DIV/0!</v>
      </c>
      <c r="N125" s="591" t="e">
        <v>#DIV/0!</v>
      </c>
      <c r="O125" s="591" t="e">
        <v>#DIV/0!</v>
      </c>
      <c r="P125" s="591" t="e">
        <v>#DIV/0!</v>
      </c>
      <c r="Q125" s="591" t="e">
        <v>#DIV/0!</v>
      </c>
      <c r="R125" s="591">
        <v>116484.67177914111</v>
      </c>
      <c r="S125" s="591" t="e">
        <v>#DIV/0!</v>
      </c>
    </row>
    <row r="126" spans="1:21">
      <c r="B126" s="2193"/>
      <c r="C126" s="12"/>
      <c r="D126" s="592"/>
      <c r="E126" s="591"/>
      <c r="F126" s="591"/>
      <c r="G126" s="591"/>
      <c r="H126" s="591"/>
      <c r="I126" s="591"/>
      <c r="J126" s="591"/>
      <c r="K126" s="591"/>
      <c r="L126" s="591"/>
      <c r="M126" s="591"/>
      <c r="N126" s="591"/>
      <c r="O126" s="591"/>
      <c r="P126" s="591"/>
      <c r="Q126" s="591"/>
      <c r="R126" s="606"/>
      <c r="S126" s="606"/>
    </row>
    <row r="127" spans="1:21">
      <c r="B127" s="2193"/>
      <c r="C127" s="12" t="s">
        <v>2143</v>
      </c>
      <c r="D127" s="592" t="s">
        <v>2137</v>
      </c>
      <c r="E127" s="584">
        <v>0.1460137721906391</v>
      </c>
      <c r="F127" s="584">
        <v>0.14625717126311208</v>
      </c>
      <c r="G127" s="584">
        <v>0.14630193922436449</v>
      </c>
      <c r="H127" s="584">
        <v>0.14616067928915963</v>
      </c>
      <c r="I127" s="584">
        <v>0.14607604848357025</v>
      </c>
      <c r="J127" s="584">
        <v>0.14593705175083146</v>
      </c>
      <c r="K127" s="584">
        <v>0.14596655584932866</v>
      </c>
      <c r="L127" s="584">
        <v>0.14590254814488876</v>
      </c>
      <c r="M127" s="584">
        <v>0.14599198374335681</v>
      </c>
      <c r="N127" s="584">
        <v>0.14603176308249796</v>
      </c>
      <c r="O127" s="584">
        <v>0.14580053733099865</v>
      </c>
      <c r="P127" s="584">
        <v>0.14583132885073147</v>
      </c>
      <c r="Q127" s="584">
        <v>0.14593436660658715</v>
      </c>
    </row>
    <row r="128" spans="1:21">
      <c r="B128" s="2193"/>
      <c r="C128" s="12"/>
      <c r="D128" s="592" t="s">
        <v>2138</v>
      </c>
      <c r="E128" s="582">
        <v>0.18966803420750769</v>
      </c>
      <c r="F128" s="582">
        <v>0.18918075488792888</v>
      </c>
      <c r="G128" s="582">
        <v>0.19164426790222552</v>
      </c>
      <c r="H128" s="582" t="s">
        <v>21</v>
      </c>
      <c r="I128" s="582" t="s">
        <v>21</v>
      </c>
      <c r="J128" s="582" t="s">
        <v>21</v>
      </c>
      <c r="K128" s="582" t="s">
        <v>21</v>
      </c>
      <c r="L128" s="582" t="s">
        <v>21</v>
      </c>
      <c r="M128" s="582" t="s">
        <v>21</v>
      </c>
      <c r="N128" s="582" t="s">
        <v>21</v>
      </c>
      <c r="O128" s="582" t="s">
        <v>21</v>
      </c>
      <c r="P128" s="582" t="s">
        <v>21</v>
      </c>
      <c r="Q128" s="582" t="s">
        <v>21</v>
      </c>
      <c r="R128" s="582">
        <v>0.18966803420750769</v>
      </c>
      <c r="S128" s="582" t="s">
        <v>21</v>
      </c>
    </row>
    <row r="129" spans="1:19">
      <c r="B129" s="2194"/>
      <c r="C129" s="11"/>
      <c r="D129" s="592"/>
      <c r="E129" s="584"/>
      <c r="F129" s="584"/>
      <c r="G129" s="584"/>
      <c r="H129" s="584"/>
      <c r="I129" s="584"/>
      <c r="J129" s="584"/>
      <c r="K129" s="584"/>
      <c r="L129" s="584"/>
      <c r="M129" s="584"/>
      <c r="N129" s="584"/>
      <c r="O129" s="584"/>
      <c r="P129" s="584"/>
      <c r="Q129" s="584"/>
    </row>
    <row r="130" spans="1:19">
      <c r="B130" s="13"/>
      <c r="C130" s="593" t="s">
        <v>2136</v>
      </c>
      <c r="D130" s="592" t="s">
        <v>2150</v>
      </c>
      <c r="E130" s="586">
        <v>-1270099987.9999998</v>
      </c>
      <c r="F130" s="586">
        <v>36625262.191144437</v>
      </c>
      <c r="G130" s="586">
        <v>-74287308.116986841</v>
      </c>
      <c r="H130" s="586">
        <v>-112417059.39284861</v>
      </c>
      <c r="I130" s="586">
        <v>-121906095.04041603</v>
      </c>
      <c r="J130" s="586">
        <v>-159998284.04042563</v>
      </c>
      <c r="K130" s="586">
        <v>-154824240.08787686</v>
      </c>
      <c r="L130" s="586">
        <v>-124125592.22362247</v>
      </c>
      <c r="M130" s="586">
        <v>-185925834.87423992</v>
      </c>
      <c r="N130" s="586">
        <v>-120035800.01507011</v>
      </c>
      <c r="O130" s="586">
        <v>-81569778.90371424</v>
      </c>
      <c r="P130" s="586">
        <v>-83569266.587138668</v>
      </c>
      <c r="Q130" s="586">
        <v>-88065990.908804938</v>
      </c>
      <c r="R130" s="572">
        <v>-586807724.48740959</v>
      </c>
      <c r="S130" s="572">
        <v>-683292263.51259029</v>
      </c>
    </row>
    <row r="131" spans="1:19">
      <c r="B131" s="12" t="s">
        <v>2161</v>
      </c>
      <c r="C131" s="594" t="s">
        <v>2140</v>
      </c>
      <c r="D131" s="592" t="s">
        <v>2150</v>
      </c>
      <c r="E131" s="586">
        <v>-178821181.99999997</v>
      </c>
      <c r="F131" s="586">
        <v>10586997.417830873</v>
      </c>
      <c r="G131" s="586">
        <v>-9506075.4965045042</v>
      </c>
      <c r="H131" s="586">
        <v>-16430953.764548557</v>
      </c>
      <c r="I131" s="586">
        <v>-17807560.649566535</v>
      </c>
      <c r="J131" s="586">
        <v>-23349677.858051829</v>
      </c>
      <c r="K131" s="586">
        <v>-22599161.087616947</v>
      </c>
      <c r="L131" s="586">
        <v>-18110240.195419908</v>
      </c>
      <c r="M131" s="586">
        <v>-27143681.462430079</v>
      </c>
      <c r="N131" s="586">
        <v>-17529039.509218823</v>
      </c>
      <c r="O131" s="586">
        <v>-11892917.594132295</v>
      </c>
      <c r="P131" s="586">
        <v>-12187017.197483465</v>
      </c>
      <c r="Q131" s="586">
        <v>-12851854.602857912</v>
      </c>
      <c r="R131" s="572">
        <v>-79106431.438457504</v>
      </c>
      <c r="S131" s="572">
        <v>-99714750.561542481</v>
      </c>
    </row>
    <row r="132" spans="1:19">
      <c r="B132" s="11"/>
      <c r="C132" s="595" t="s">
        <v>2141</v>
      </c>
      <c r="D132" s="592" t="s">
        <v>2150</v>
      </c>
      <c r="E132" s="587">
        <v>-11266.190998216307</v>
      </c>
      <c r="F132" s="587">
        <v>304.97121342251342</v>
      </c>
      <c r="G132" s="587">
        <v>-675.76527595658831</v>
      </c>
      <c r="H132" s="587">
        <v>-993.4654787497351</v>
      </c>
      <c r="I132" s="587">
        <v>-1077.4988342807276</v>
      </c>
      <c r="J132" s="587">
        <v>-1414.5653571361936</v>
      </c>
      <c r="K132" s="587">
        <v>-1368.743171263048</v>
      </c>
      <c r="L132" s="587">
        <v>-1097.4832288526873</v>
      </c>
      <c r="M132" s="587">
        <v>-1643.6202122295083</v>
      </c>
      <c r="N132" s="587">
        <v>-1061.0582807244896</v>
      </c>
      <c r="O132" s="587">
        <v>-721.35853522692264</v>
      </c>
      <c r="P132" s="587">
        <v>-738.99708518362183</v>
      </c>
      <c r="Q132" s="587">
        <v>-778.606752035299</v>
      </c>
      <c r="R132" s="578">
        <v>-5225.0669039637787</v>
      </c>
      <c r="S132" s="578">
        <v>-6041.1240942525283</v>
      </c>
    </row>
    <row r="134" spans="1:19">
      <c r="B134" t="s">
        <v>2185</v>
      </c>
    </row>
    <row r="135" spans="1:19">
      <c r="A135" t="s">
        <v>2186</v>
      </c>
      <c r="B135" s="2185" t="s">
        <v>2147</v>
      </c>
      <c r="C135" s="10" t="s">
        <v>2136</v>
      </c>
      <c r="D135" s="141" t="s">
        <v>2137</v>
      </c>
      <c r="E135" s="572">
        <v>5690366492.9070292</v>
      </c>
      <c r="F135" s="586">
        <v>436564681.0333038</v>
      </c>
      <c r="G135" s="586">
        <v>413944207.86331558</v>
      </c>
      <c r="H135" s="586">
        <v>410164274.1920892</v>
      </c>
      <c r="I135" s="586">
        <v>464242561.96003556</v>
      </c>
      <c r="J135" s="586">
        <v>718201799.63912773</v>
      </c>
      <c r="K135" s="586">
        <v>636482956.97359276</v>
      </c>
      <c r="L135" s="586">
        <v>497554210.44673389</v>
      </c>
      <c r="M135" s="586">
        <v>691945960.46233308</v>
      </c>
      <c r="N135" s="586">
        <v>566023275.10657477</v>
      </c>
      <c r="O135" s="586">
        <v>488660355.65663362</v>
      </c>
      <c r="P135" s="586">
        <v>493802341.29851216</v>
      </c>
      <c r="Q135" s="586">
        <v>564457375.36774886</v>
      </c>
      <c r="R135" s="585">
        <v>3079600481.6614647</v>
      </c>
      <c r="S135" s="585">
        <v>3302443518.3385363</v>
      </c>
    </row>
    <row r="136" spans="1:19">
      <c r="B136" s="2186"/>
      <c r="C136" s="9"/>
      <c r="D136" s="141" t="s">
        <v>2138</v>
      </c>
      <c r="E136" s="572">
        <v>596975783</v>
      </c>
      <c r="F136" s="586">
        <v>471387105</v>
      </c>
      <c r="G136" s="586">
        <v>125588678</v>
      </c>
      <c r="H136" s="586">
        <v>0</v>
      </c>
      <c r="I136" s="586">
        <v>0</v>
      </c>
      <c r="J136" s="586">
        <v>0</v>
      </c>
      <c r="K136" s="586">
        <v>0</v>
      </c>
      <c r="L136" s="586">
        <v>0</v>
      </c>
      <c r="M136" s="586">
        <v>0</v>
      </c>
      <c r="N136" s="586">
        <v>0</v>
      </c>
      <c r="O136" s="586">
        <v>0</v>
      </c>
      <c r="P136" s="586">
        <v>0</v>
      </c>
      <c r="Q136" s="586">
        <v>0</v>
      </c>
      <c r="R136" s="585">
        <v>596975783</v>
      </c>
      <c r="S136" s="585">
        <v>0</v>
      </c>
    </row>
    <row r="137" spans="1:19">
      <c r="B137" s="2186"/>
      <c r="C137" s="9"/>
      <c r="D137" s="141" t="s">
        <v>2139</v>
      </c>
      <c r="E137" s="574">
        <v>0.10490990057391257</v>
      </c>
      <c r="F137" s="575">
        <v>1.0797646385050552</v>
      </c>
      <c r="G137" s="575">
        <v>0.3033951813174528</v>
      </c>
      <c r="H137" s="575">
        <v>0</v>
      </c>
      <c r="I137" s="575">
        <v>0</v>
      </c>
      <c r="J137" s="575">
        <v>0</v>
      </c>
      <c r="K137" s="575">
        <v>0</v>
      </c>
      <c r="L137" s="575">
        <v>0</v>
      </c>
      <c r="M137" s="575">
        <v>0</v>
      </c>
      <c r="N137" s="575">
        <v>0</v>
      </c>
      <c r="O137" s="575">
        <v>0</v>
      </c>
      <c r="P137" s="575">
        <v>0</v>
      </c>
      <c r="Q137" s="575">
        <v>0</v>
      </c>
      <c r="R137" s="574">
        <v>0.1938484509776176</v>
      </c>
      <c r="S137" s="574">
        <v>0</v>
      </c>
    </row>
    <row r="138" spans="1:19">
      <c r="A138" t="s">
        <v>2187</v>
      </c>
      <c r="B138" s="2186"/>
      <c r="C138" s="9" t="s">
        <v>2140</v>
      </c>
      <c r="D138" s="141" t="s">
        <v>2137</v>
      </c>
      <c r="E138" s="572">
        <v>830416752.24861634</v>
      </c>
      <c r="F138" s="586">
        <v>67687512.17706795</v>
      </c>
      <c r="G138" s="586">
        <v>64180303.234923095</v>
      </c>
      <c r="H138" s="586">
        <v>63594240.464581564</v>
      </c>
      <c r="I138" s="586">
        <v>71978850.857579917</v>
      </c>
      <c r="J138" s="586">
        <v>111354159.35068978</v>
      </c>
      <c r="K138" s="586">
        <v>98683997.520540878</v>
      </c>
      <c r="L138" s="586">
        <v>77143681.432615831</v>
      </c>
      <c r="M138" s="586">
        <v>107283302.24472328</v>
      </c>
      <c r="N138" s="586">
        <v>87759521.07623069</v>
      </c>
      <c r="O138" s="586">
        <v>75764726.765506446</v>
      </c>
      <c r="P138" s="586">
        <v>76561969.948177963</v>
      </c>
      <c r="Q138" s="586">
        <v>87516734.92736274</v>
      </c>
      <c r="R138" s="585">
        <v>477479063.60538322</v>
      </c>
      <c r="S138" s="585">
        <v>512029936.3946169</v>
      </c>
    </row>
    <row r="139" spans="1:19">
      <c r="B139" s="2186"/>
      <c r="C139" s="9"/>
      <c r="D139" s="141" t="s">
        <v>2138</v>
      </c>
      <c r="E139" s="572">
        <v>115233404</v>
      </c>
      <c r="F139" s="586">
        <v>87637036</v>
      </c>
      <c r="G139" s="586">
        <v>27596368</v>
      </c>
      <c r="H139" s="586">
        <v>0</v>
      </c>
      <c r="I139" s="586">
        <v>0</v>
      </c>
      <c r="J139" s="586">
        <v>0</v>
      </c>
      <c r="K139" s="586">
        <v>0</v>
      </c>
      <c r="L139" s="586">
        <v>0</v>
      </c>
      <c r="M139" s="586">
        <v>0</v>
      </c>
      <c r="N139" s="586">
        <v>0</v>
      </c>
      <c r="O139" s="586">
        <v>0</v>
      </c>
      <c r="P139" s="586">
        <v>0</v>
      </c>
      <c r="Q139" s="586">
        <v>0</v>
      </c>
      <c r="R139" s="585">
        <v>115233404</v>
      </c>
      <c r="S139" s="585">
        <v>0</v>
      </c>
    </row>
    <row r="140" spans="1:19">
      <c r="B140" s="2186"/>
      <c r="C140" s="9"/>
      <c r="D140" s="141" t="s">
        <v>2139</v>
      </c>
      <c r="E140" s="574">
        <v>0.13876575067635505</v>
      </c>
      <c r="F140" s="575">
        <v>1.2947297541494043</v>
      </c>
      <c r="G140" s="575">
        <v>0.42998188866430442</v>
      </c>
      <c r="H140" s="575">
        <v>0</v>
      </c>
      <c r="I140" s="575">
        <v>0</v>
      </c>
      <c r="J140" s="575">
        <v>0</v>
      </c>
      <c r="K140" s="575">
        <v>0</v>
      </c>
      <c r="L140" s="575">
        <v>0</v>
      </c>
      <c r="M140" s="575">
        <v>0</v>
      </c>
      <c r="N140" s="575">
        <v>0</v>
      </c>
      <c r="O140" s="575">
        <v>0</v>
      </c>
      <c r="P140" s="575">
        <v>0</v>
      </c>
      <c r="Q140" s="575">
        <v>0</v>
      </c>
      <c r="R140" s="574">
        <v>0.24133708215369137</v>
      </c>
      <c r="S140" s="574">
        <v>0</v>
      </c>
    </row>
    <row r="141" spans="1:19">
      <c r="A141" t="s">
        <v>2188</v>
      </c>
      <c r="B141" s="2186"/>
      <c r="C141" s="9" t="s">
        <v>2141</v>
      </c>
      <c r="D141" s="141" t="s">
        <v>2137</v>
      </c>
      <c r="E141" s="580">
        <v>35394.015889402574</v>
      </c>
      <c r="F141" s="580">
        <v>2518.1293284761391</v>
      </c>
      <c r="G141" s="580">
        <v>2387.6531828142097</v>
      </c>
      <c r="H141" s="580">
        <v>2365.8503154483005</v>
      </c>
      <c r="I141" s="580">
        <v>2677.7768829844631</v>
      </c>
      <c r="J141" s="580">
        <v>4142.6278716707866</v>
      </c>
      <c r="K141" s="580">
        <v>3671.2690482356111</v>
      </c>
      <c r="L141" s="580">
        <v>2869.9203216971423</v>
      </c>
      <c r="M141" s="580">
        <v>3991.1827329610987</v>
      </c>
      <c r="N141" s="580">
        <v>3264.8536896580781</v>
      </c>
      <c r="O141" s="580">
        <v>2818.6200732731268</v>
      </c>
      <c r="P141" s="580">
        <v>2848.279332058722</v>
      </c>
      <c r="Q141" s="580">
        <v>3255.8214929891733</v>
      </c>
      <c r="R141" s="578">
        <v>17763.306629629511</v>
      </c>
      <c r="S141" s="578">
        <v>19048.67764263734</v>
      </c>
    </row>
    <row r="142" spans="1:19">
      <c r="B142" s="2186"/>
      <c r="C142" s="9"/>
      <c r="D142" s="141" t="s">
        <v>2138</v>
      </c>
      <c r="E142" s="580">
        <v>3452</v>
      </c>
      <c r="F142" s="580">
        <v>2823</v>
      </c>
      <c r="G142" s="580">
        <v>629</v>
      </c>
      <c r="H142" s="580">
        <v>0</v>
      </c>
      <c r="I142" s="580">
        <v>0</v>
      </c>
      <c r="J142" s="580">
        <v>0</v>
      </c>
      <c r="K142" s="580">
        <v>0</v>
      </c>
      <c r="L142" s="580">
        <v>0</v>
      </c>
      <c r="M142" s="580">
        <v>0</v>
      </c>
      <c r="N142" s="580">
        <v>0</v>
      </c>
      <c r="O142" s="580">
        <v>0</v>
      </c>
      <c r="P142" s="580">
        <v>0</v>
      </c>
      <c r="Q142" s="580">
        <v>0</v>
      </c>
      <c r="R142" s="578">
        <v>3452</v>
      </c>
      <c r="S142" s="578">
        <v>0</v>
      </c>
    </row>
    <row r="143" spans="1:19">
      <c r="B143" s="2186"/>
      <c r="C143" s="9"/>
      <c r="D143" s="141" t="s">
        <v>2139</v>
      </c>
      <c r="E143" s="574">
        <v>9.7530611128916103E-2</v>
      </c>
      <c r="F143" s="575">
        <v>1.1210702993195172</v>
      </c>
      <c r="G143" s="575">
        <v>0.2634385950720986</v>
      </c>
      <c r="H143" s="575">
        <v>0</v>
      </c>
      <c r="I143" s="575">
        <v>0</v>
      </c>
      <c r="J143" s="575">
        <v>0</v>
      </c>
      <c r="K143" s="575">
        <v>0</v>
      </c>
      <c r="L143" s="575">
        <v>0</v>
      </c>
      <c r="M143" s="575">
        <v>0</v>
      </c>
      <c r="N143" s="575">
        <v>0</v>
      </c>
      <c r="O143" s="575">
        <v>0</v>
      </c>
      <c r="P143" s="575">
        <v>0</v>
      </c>
      <c r="Q143" s="575">
        <v>0</v>
      </c>
      <c r="R143" s="574">
        <v>0.19433318761958446</v>
      </c>
      <c r="S143" s="574">
        <v>0</v>
      </c>
    </row>
    <row r="144" spans="1:19">
      <c r="B144" s="2186"/>
      <c r="C144" s="9" t="s">
        <v>2142</v>
      </c>
      <c r="D144" s="141" t="s">
        <v>2137</v>
      </c>
      <c r="E144" s="580">
        <v>160771.99351121945</v>
      </c>
      <c r="F144" s="580">
        <v>173368.649535365</v>
      </c>
      <c r="G144" s="580">
        <v>173368.64953536502</v>
      </c>
      <c r="H144" s="580">
        <v>173368.64953536502</v>
      </c>
      <c r="I144" s="580">
        <v>173368.64953536502</v>
      </c>
      <c r="J144" s="580">
        <v>173368.64953536502</v>
      </c>
      <c r="K144" s="580">
        <v>173368.64953536502</v>
      </c>
      <c r="L144" s="580">
        <v>173368.64953536502</v>
      </c>
      <c r="M144" s="580">
        <v>173368.64953536502</v>
      </c>
      <c r="N144" s="580">
        <v>173368.64953536502</v>
      </c>
      <c r="O144" s="580">
        <v>173368.64953536502</v>
      </c>
      <c r="P144" s="580">
        <v>173368.64953536502</v>
      </c>
      <c r="Q144" s="580">
        <v>173368.64953536502</v>
      </c>
      <c r="R144" s="579">
        <v>173368.64953536502</v>
      </c>
      <c r="S144" s="579">
        <v>173368.64953536502</v>
      </c>
    </row>
    <row r="145" spans="1:21">
      <c r="B145" s="2186"/>
      <c r="C145" s="9"/>
      <c r="D145" s="141" t="s">
        <v>2138</v>
      </c>
      <c r="E145" s="580">
        <v>172936.20596755503</v>
      </c>
      <c r="F145" s="580">
        <v>166980.90860786397</v>
      </c>
      <c r="G145" s="580">
        <v>199664.03497615262</v>
      </c>
      <c r="H145" s="580" t="e">
        <v>#DIV/0!</v>
      </c>
      <c r="I145" s="580" t="e">
        <v>#DIV/0!</v>
      </c>
      <c r="J145" s="580" t="e">
        <v>#DIV/0!</v>
      </c>
      <c r="K145" s="580" t="e">
        <v>#DIV/0!</v>
      </c>
      <c r="L145" s="580" t="e">
        <v>#DIV/0!</v>
      </c>
      <c r="M145" s="580" t="e">
        <v>#DIV/0!</v>
      </c>
      <c r="N145" s="580" t="e">
        <v>#DIV/0!</v>
      </c>
      <c r="O145" s="580" t="e">
        <v>#DIV/0!</v>
      </c>
      <c r="P145" s="580" t="e">
        <v>#DIV/0!</v>
      </c>
      <c r="Q145" s="580" t="e">
        <v>#DIV/0!</v>
      </c>
      <c r="R145" s="579">
        <v>172936.20596755503</v>
      </c>
      <c r="S145" s="579" t="e">
        <v>#DIV/0!</v>
      </c>
    </row>
    <row r="146" spans="1:21">
      <c r="B146" s="2186"/>
      <c r="C146" s="9"/>
      <c r="D146" s="141"/>
      <c r="E146" s="580"/>
      <c r="F146" s="580"/>
      <c r="G146" s="580"/>
      <c r="H146" s="580"/>
      <c r="I146" s="580"/>
      <c r="J146" s="580"/>
      <c r="K146" s="580"/>
      <c r="L146" s="580"/>
      <c r="M146" s="580"/>
      <c r="N146" s="580"/>
      <c r="O146" s="580"/>
      <c r="P146" s="580"/>
      <c r="Q146" s="580"/>
    </row>
    <row r="147" spans="1:21" s="607" customFormat="1">
      <c r="B147" s="2186"/>
      <c r="C147" s="9" t="s">
        <v>2143</v>
      </c>
      <c r="D147" s="141" t="s">
        <v>2137</v>
      </c>
      <c r="E147" s="584">
        <v>0.14593379060623257</v>
      </c>
      <c r="F147" s="584">
        <v>0.15504578157091992</v>
      </c>
      <c r="G147" s="584">
        <v>0.15504578157091992</v>
      </c>
      <c r="H147" s="584">
        <v>0.15504578157091992</v>
      </c>
      <c r="I147" s="584">
        <v>0.15504578157091989</v>
      </c>
      <c r="J147" s="584">
        <v>0.15504578157091992</v>
      </c>
      <c r="K147" s="584">
        <v>0.15504578157091992</v>
      </c>
      <c r="L147" s="584">
        <v>0.15504578157091994</v>
      </c>
      <c r="M147" s="584">
        <v>0.15504578157091992</v>
      </c>
      <c r="N147" s="584">
        <v>0.15504578157091989</v>
      </c>
      <c r="O147" s="584">
        <v>0.15504578157091989</v>
      </c>
      <c r="P147" s="584">
        <v>0.15504578157091992</v>
      </c>
      <c r="Q147" s="584">
        <v>0.15504578157091992</v>
      </c>
      <c r="R147" s="584">
        <v>0.15504578157091992</v>
      </c>
      <c r="S147" s="584">
        <v>0.15504578157091989</v>
      </c>
      <c r="T147" s="608"/>
      <c r="U147" s="608"/>
    </row>
    <row r="148" spans="1:21">
      <c r="B148" s="2186"/>
      <c r="C148" s="9"/>
      <c r="D148" s="141" t="s">
        <v>2138</v>
      </c>
      <c r="E148" s="584">
        <v>0.19302860732627072</v>
      </c>
      <c r="F148" s="584">
        <v>0.1859130957771957</v>
      </c>
      <c r="G148" s="584">
        <v>0.21973611347354099</v>
      </c>
      <c r="H148" s="584" t="e">
        <v>#DIV/0!</v>
      </c>
      <c r="I148" s="584" t="e">
        <v>#DIV/0!</v>
      </c>
      <c r="J148" s="584" t="e">
        <v>#DIV/0!</v>
      </c>
      <c r="K148" s="584" t="e">
        <v>#DIV/0!</v>
      </c>
      <c r="L148" s="584" t="e">
        <v>#DIV/0!</v>
      </c>
      <c r="M148" s="584" t="e">
        <v>#DIV/0!</v>
      </c>
      <c r="N148" s="584" t="e">
        <v>#DIV/0!</v>
      </c>
      <c r="O148" s="584" t="e">
        <v>#DIV/0!</v>
      </c>
      <c r="P148" s="584" t="e">
        <v>#DIV/0!</v>
      </c>
      <c r="Q148" s="584" t="e">
        <v>#DIV/0!</v>
      </c>
      <c r="R148" s="584">
        <v>0.19302860732627072</v>
      </c>
      <c r="S148" s="584" t="e">
        <v>#DIV/0!</v>
      </c>
    </row>
    <row r="149" spans="1:21">
      <c r="B149" s="2187"/>
      <c r="C149" s="8"/>
      <c r="D149" s="141"/>
      <c r="E149" s="584"/>
      <c r="F149" s="584"/>
      <c r="G149" s="584"/>
      <c r="H149" s="584"/>
      <c r="I149" s="584"/>
      <c r="J149" s="584"/>
      <c r="K149" s="584"/>
      <c r="L149" s="584"/>
      <c r="M149" s="584"/>
      <c r="N149" s="584"/>
      <c r="O149" s="584"/>
      <c r="P149" s="584"/>
      <c r="Q149" s="584"/>
    </row>
    <row r="150" spans="1:21">
      <c r="A150" t="s">
        <v>2189</v>
      </c>
      <c r="B150" s="2188" t="s">
        <v>2153</v>
      </c>
      <c r="C150" s="7" t="s">
        <v>2136</v>
      </c>
      <c r="D150" s="141" t="s">
        <v>2137</v>
      </c>
      <c r="E150" s="572">
        <v>756102727.24503946</v>
      </c>
      <c r="F150" s="586">
        <v>0</v>
      </c>
      <c r="G150" s="586">
        <v>0</v>
      </c>
      <c r="H150" s="586">
        <v>0</v>
      </c>
      <c r="I150" s="586">
        <v>0</v>
      </c>
      <c r="J150" s="586">
        <v>0</v>
      </c>
      <c r="K150" s="586">
        <v>0</v>
      </c>
      <c r="L150" s="586">
        <v>0</v>
      </c>
      <c r="M150" s="586">
        <v>0</v>
      </c>
      <c r="N150" s="586">
        <v>0</v>
      </c>
      <c r="O150" s="586">
        <v>0</v>
      </c>
      <c r="P150" s="586">
        <v>0</v>
      </c>
      <c r="Q150" s="586">
        <v>0</v>
      </c>
      <c r="R150" s="586">
        <v>0</v>
      </c>
      <c r="S150" s="586">
        <v>0</v>
      </c>
    </row>
    <row r="151" spans="1:21">
      <c r="B151" s="2189"/>
      <c r="C151" s="6"/>
      <c r="D151" s="141" t="s">
        <v>2138</v>
      </c>
      <c r="E151" s="572">
        <v>16261887</v>
      </c>
      <c r="F151" s="586">
        <v>13905501</v>
      </c>
      <c r="G151" s="586">
        <v>2356386</v>
      </c>
      <c r="H151" s="586">
        <v>0</v>
      </c>
      <c r="I151" s="586">
        <v>0</v>
      </c>
      <c r="J151" s="586">
        <v>0</v>
      </c>
      <c r="K151" s="586">
        <v>0</v>
      </c>
      <c r="L151" s="586">
        <v>0</v>
      </c>
      <c r="M151" s="586">
        <v>0</v>
      </c>
      <c r="N151" s="586">
        <v>0</v>
      </c>
      <c r="O151" s="586">
        <v>0</v>
      </c>
      <c r="P151" s="586">
        <v>0</v>
      </c>
      <c r="Q151" s="586">
        <v>0</v>
      </c>
      <c r="R151" s="586">
        <v>16261887</v>
      </c>
      <c r="S151" s="586">
        <v>0</v>
      </c>
    </row>
    <row r="152" spans="1:21">
      <c r="B152" s="2189"/>
      <c r="C152" s="6"/>
      <c r="D152" s="141" t="s">
        <v>2139</v>
      </c>
      <c r="E152" s="574">
        <v>2.1507510043314276E-2</v>
      </c>
      <c r="F152" s="575" t="e">
        <v>#DIV/0!</v>
      </c>
      <c r="G152" s="575" t="e">
        <v>#DIV/0!</v>
      </c>
      <c r="H152" s="575" t="e">
        <v>#DIV/0!</v>
      </c>
      <c r="I152" s="575" t="e">
        <v>#DIV/0!</v>
      </c>
      <c r="J152" s="575" t="e">
        <v>#DIV/0!</v>
      </c>
      <c r="K152" s="575" t="e">
        <v>#DIV/0!</v>
      </c>
      <c r="L152" s="575" t="e">
        <v>#DIV/0!</v>
      </c>
      <c r="M152" s="575" t="e">
        <v>#DIV/0!</v>
      </c>
      <c r="N152" s="575" t="e">
        <v>#DIV/0!</v>
      </c>
      <c r="O152" s="575" t="e">
        <v>#DIV/0!</v>
      </c>
      <c r="P152" s="575" t="e">
        <v>#DIV/0!</v>
      </c>
      <c r="Q152" s="575" t="e">
        <v>#DIV/0!</v>
      </c>
      <c r="R152" s="574" t="e">
        <v>#DIV/0!</v>
      </c>
      <c r="S152" s="574" t="e">
        <v>#DIV/0!</v>
      </c>
    </row>
    <row r="153" spans="1:21">
      <c r="A153" t="s">
        <v>2190</v>
      </c>
      <c r="B153" s="2189"/>
      <c r="C153" s="6" t="s">
        <v>2140</v>
      </c>
      <c r="D153" s="141" t="s">
        <v>2137</v>
      </c>
      <c r="E153" s="572">
        <v>136098490.90410712</v>
      </c>
      <c r="F153" s="586">
        <v>0</v>
      </c>
      <c r="G153" s="586">
        <v>0</v>
      </c>
      <c r="H153" s="586">
        <v>0</v>
      </c>
      <c r="I153" s="586">
        <v>0</v>
      </c>
      <c r="J153" s="586">
        <v>0</v>
      </c>
      <c r="K153" s="586">
        <v>0</v>
      </c>
      <c r="L153" s="586">
        <v>0</v>
      </c>
      <c r="M153" s="586">
        <v>0</v>
      </c>
      <c r="N153" s="586">
        <v>0</v>
      </c>
      <c r="O153" s="586">
        <v>0</v>
      </c>
      <c r="P153" s="586">
        <v>0</v>
      </c>
      <c r="Q153" s="586">
        <v>0</v>
      </c>
      <c r="R153" s="586">
        <v>0</v>
      </c>
      <c r="S153" s="586">
        <v>0</v>
      </c>
    </row>
    <row r="154" spans="1:21">
      <c r="B154" s="2189"/>
      <c r="C154" s="6"/>
      <c r="D154" s="141" t="s">
        <v>2138</v>
      </c>
      <c r="E154" s="572">
        <v>785091</v>
      </c>
      <c r="F154" s="586">
        <v>198539</v>
      </c>
      <c r="G154" s="586">
        <v>586552</v>
      </c>
      <c r="H154" s="586">
        <v>0</v>
      </c>
      <c r="I154" s="586">
        <v>0</v>
      </c>
      <c r="J154" s="586">
        <v>0</v>
      </c>
      <c r="K154" s="586">
        <v>0</v>
      </c>
      <c r="L154" s="586">
        <v>0</v>
      </c>
      <c r="M154" s="586">
        <v>0</v>
      </c>
      <c r="N154" s="586">
        <v>0</v>
      </c>
      <c r="O154" s="586">
        <v>0</v>
      </c>
      <c r="P154" s="586">
        <v>0</v>
      </c>
      <c r="Q154" s="586">
        <v>0</v>
      </c>
      <c r="R154" s="586">
        <v>785091</v>
      </c>
      <c r="S154" s="586">
        <v>0</v>
      </c>
    </row>
    <row r="155" spans="1:21">
      <c r="B155" s="2189"/>
      <c r="C155" s="6"/>
      <c r="D155" s="141" t="s">
        <v>2139</v>
      </c>
      <c r="E155" s="574">
        <v>5.7685503695493797E-3</v>
      </c>
      <c r="F155" s="575" t="e">
        <v>#DIV/0!</v>
      </c>
      <c r="G155" s="575" t="e">
        <v>#DIV/0!</v>
      </c>
      <c r="H155" s="575" t="e">
        <v>#DIV/0!</v>
      </c>
      <c r="I155" s="575" t="e">
        <v>#DIV/0!</v>
      </c>
      <c r="J155" s="575" t="e">
        <v>#DIV/0!</v>
      </c>
      <c r="K155" s="575" t="e">
        <v>#DIV/0!</v>
      </c>
      <c r="L155" s="575" t="e">
        <v>#DIV/0!</v>
      </c>
      <c r="M155" s="575" t="e">
        <v>#DIV/0!</v>
      </c>
      <c r="N155" s="575" t="e">
        <v>#DIV/0!</v>
      </c>
      <c r="O155" s="575" t="e">
        <v>#DIV/0!</v>
      </c>
      <c r="P155" s="575" t="e">
        <v>#DIV/0!</v>
      </c>
      <c r="Q155" s="575" t="e">
        <v>#DIV/0!</v>
      </c>
      <c r="R155" s="574" t="e">
        <v>#DIV/0!</v>
      </c>
      <c r="S155" s="574" t="e">
        <v>#DIV/0!</v>
      </c>
    </row>
    <row r="156" spans="1:21">
      <c r="A156" t="s">
        <v>2191</v>
      </c>
      <c r="B156" s="2189"/>
      <c r="C156" s="6" t="s">
        <v>2141</v>
      </c>
      <c r="D156" s="141" t="s">
        <v>2137</v>
      </c>
      <c r="E156" s="580">
        <v>0</v>
      </c>
      <c r="F156" s="580">
        <v>0</v>
      </c>
      <c r="G156" s="580">
        <v>0</v>
      </c>
      <c r="H156" s="580">
        <v>0</v>
      </c>
      <c r="I156" s="580">
        <v>0</v>
      </c>
      <c r="J156" s="580">
        <v>0</v>
      </c>
      <c r="K156" s="580">
        <v>0</v>
      </c>
      <c r="L156" s="580">
        <v>0</v>
      </c>
      <c r="M156" s="580">
        <v>0</v>
      </c>
      <c r="N156" s="580">
        <v>0</v>
      </c>
      <c r="O156" s="580">
        <v>0</v>
      </c>
      <c r="P156" s="580">
        <v>0</v>
      </c>
      <c r="Q156" s="580">
        <v>0</v>
      </c>
      <c r="R156" s="578">
        <v>0</v>
      </c>
      <c r="S156" s="578">
        <v>0</v>
      </c>
    </row>
    <row r="157" spans="1:21">
      <c r="B157" s="2189"/>
      <c r="C157" s="6"/>
      <c r="D157" s="141" t="s">
        <v>2138</v>
      </c>
      <c r="E157" s="580">
        <v>110</v>
      </c>
      <c r="F157" s="580">
        <v>96</v>
      </c>
      <c r="G157" s="580">
        <v>14</v>
      </c>
      <c r="H157" s="580">
        <v>0</v>
      </c>
      <c r="I157" s="580">
        <v>0</v>
      </c>
      <c r="J157" s="580">
        <v>0</v>
      </c>
      <c r="K157" s="580">
        <v>0</v>
      </c>
      <c r="L157" s="580">
        <v>0</v>
      </c>
      <c r="M157" s="580">
        <v>0</v>
      </c>
      <c r="N157" s="580">
        <v>0</v>
      </c>
      <c r="O157" s="580">
        <v>0</v>
      </c>
      <c r="P157" s="580">
        <v>0</v>
      </c>
      <c r="Q157" s="580">
        <v>0</v>
      </c>
      <c r="R157" s="578">
        <v>110</v>
      </c>
      <c r="S157" s="578">
        <v>0</v>
      </c>
    </row>
    <row r="158" spans="1:21">
      <c r="B158" s="2189"/>
      <c r="C158" s="6"/>
      <c r="D158" s="141" t="s">
        <v>2139</v>
      </c>
      <c r="E158" s="574" t="e">
        <v>#DIV/0!</v>
      </c>
      <c r="F158" s="575" t="e">
        <v>#DIV/0!</v>
      </c>
      <c r="G158" s="575" t="e">
        <v>#DIV/0!</v>
      </c>
      <c r="H158" s="575" t="e">
        <v>#DIV/0!</v>
      </c>
      <c r="I158" s="575" t="e">
        <v>#DIV/0!</v>
      </c>
      <c r="J158" s="575" t="e">
        <v>#DIV/0!</v>
      </c>
      <c r="K158" s="575" t="e">
        <v>#DIV/0!</v>
      </c>
      <c r="L158" s="575" t="e">
        <v>#DIV/0!</v>
      </c>
      <c r="M158" s="575" t="e">
        <v>#DIV/0!</v>
      </c>
      <c r="N158" s="575" t="e">
        <v>#DIV/0!</v>
      </c>
      <c r="O158" s="575" t="e">
        <v>#DIV/0!</v>
      </c>
      <c r="P158" s="575" t="e">
        <v>#DIV/0!</v>
      </c>
      <c r="Q158" s="575" t="e">
        <v>#DIV/0!</v>
      </c>
      <c r="R158" s="574" t="e">
        <v>#DIV/0!</v>
      </c>
      <c r="S158" s="574" t="e">
        <v>#DIV/0!</v>
      </c>
    </row>
    <row r="159" spans="1:21">
      <c r="B159" s="2189"/>
      <c r="C159" s="6" t="s">
        <v>2142</v>
      </c>
      <c r="D159" s="141" t="s">
        <v>2137</v>
      </c>
      <c r="E159" s="580" t="e">
        <v>#DIV/0!</v>
      </c>
      <c r="F159" s="580" t="e">
        <v>#DIV/0!</v>
      </c>
      <c r="G159" s="580" t="e">
        <v>#DIV/0!</v>
      </c>
      <c r="H159" s="580" t="e">
        <v>#DIV/0!</v>
      </c>
      <c r="I159" s="580" t="e">
        <v>#DIV/0!</v>
      </c>
      <c r="J159" s="580" t="e">
        <v>#DIV/0!</v>
      </c>
      <c r="K159" s="580" t="e">
        <v>#DIV/0!</v>
      </c>
      <c r="L159" s="580" t="e">
        <v>#DIV/0!</v>
      </c>
      <c r="M159" s="580" t="e">
        <v>#DIV/0!</v>
      </c>
      <c r="N159" s="580" t="e">
        <v>#DIV/0!</v>
      </c>
      <c r="O159" s="580" t="e">
        <v>#DIV/0!</v>
      </c>
      <c r="P159" s="580" t="e">
        <v>#DIV/0!</v>
      </c>
      <c r="Q159" s="580" t="e">
        <v>#DIV/0!</v>
      </c>
      <c r="R159" s="580" t="e">
        <v>#DIV/0!</v>
      </c>
      <c r="S159" s="580" t="e">
        <v>#DIV/0!</v>
      </c>
    </row>
    <row r="160" spans="1:21">
      <c r="B160" s="2189"/>
      <c r="C160" s="6"/>
      <c r="D160" s="141" t="s">
        <v>2138</v>
      </c>
      <c r="E160" s="580">
        <v>147835.33636363636</v>
      </c>
      <c r="F160" s="580">
        <v>144848.96875</v>
      </c>
      <c r="G160" s="580">
        <v>168313.28571428571</v>
      </c>
      <c r="H160" s="580" t="e">
        <v>#DIV/0!</v>
      </c>
      <c r="I160" s="580" t="e">
        <v>#DIV/0!</v>
      </c>
      <c r="J160" s="580" t="e">
        <v>#DIV/0!</v>
      </c>
      <c r="K160" s="580" t="e">
        <v>#DIV/0!</v>
      </c>
      <c r="L160" s="580" t="e">
        <v>#DIV/0!</v>
      </c>
      <c r="M160" s="580" t="e">
        <v>#DIV/0!</v>
      </c>
      <c r="N160" s="580" t="e">
        <v>#DIV/0!</v>
      </c>
      <c r="O160" s="580" t="e">
        <v>#DIV/0!</v>
      </c>
      <c r="P160" s="580" t="e">
        <v>#DIV/0!</v>
      </c>
      <c r="Q160" s="580" t="e">
        <v>#DIV/0!</v>
      </c>
      <c r="R160" s="580">
        <v>147835.33636363636</v>
      </c>
      <c r="S160" s="580" t="e">
        <v>#DIV/0!</v>
      </c>
    </row>
    <row r="161" spans="1:19">
      <c r="B161" s="2189"/>
      <c r="C161" s="6"/>
      <c r="D161" s="141"/>
      <c r="E161" s="580"/>
      <c r="F161" s="580"/>
      <c r="G161" s="580"/>
      <c r="H161" s="580"/>
      <c r="I161" s="580"/>
      <c r="J161" s="580"/>
      <c r="K161" s="580"/>
      <c r="L161" s="580"/>
      <c r="M161" s="580"/>
      <c r="N161" s="580"/>
      <c r="O161" s="580"/>
      <c r="P161" s="580"/>
      <c r="Q161" s="580"/>
    </row>
    <row r="162" spans="1:19">
      <c r="B162" s="2190"/>
      <c r="C162" s="6" t="s">
        <v>2143</v>
      </c>
      <c r="D162" s="141" t="s">
        <v>2137</v>
      </c>
      <c r="E162" s="584">
        <v>0.18000000000000002</v>
      </c>
      <c r="F162" s="584" t="e">
        <v>#DIV/0!</v>
      </c>
      <c r="G162" s="584" t="e">
        <v>#DIV/0!</v>
      </c>
      <c r="H162" s="584" t="e">
        <v>#DIV/0!</v>
      </c>
      <c r="I162" s="584" t="e">
        <v>#DIV/0!</v>
      </c>
      <c r="J162" s="584" t="e">
        <v>#DIV/0!</v>
      </c>
      <c r="K162" s="584" t="e">
        <v>#DIV/0!</v>
      </c>
      <c r="L162" s="584" t="e">
        <v>#DIV/0!</v>
      </c>
      <c r="M162" s="584" t="e">
        <v>#DIV/0!</v>
      </c>
      <c r="N162" s="584" t="e">
        <v>#DIV/0!</v>
      </c>
      <c r="O162" s="584" t="e">
        <v>#DIV/0!</v>
      </c>
      <c r="P162" s="584" t="e">
        <v>#DIV/0!</v>
      </c>
      <c r="Q162" s="584" t="e">
        <v>#DIV/0!</v>
      </c>
      <c r="R162" s="584" t="e">
        <v>#DIV/0!</v>
      </c>
      <c r="S162" s="584" t="e">
        <v>#DIV/0!</v>
      </c>
    </row>
    <row r="163" spans="1:19">
      <c r="B163" s="2189"/>
      <c r="C163" s="6"/>
      <c r="D163" s="141" t="s">
        <v>2138</v>
      </c>
      <c r="E163" s="584">
        <v>4.8277976596442958E-2</v>
      </c>
      <c r="F163" s="584">
        <v>1.4277730805959454E-2</v>
      </c>
      <c r="G163" s="584">
        <v>0.24892016842741385</v>
      </c>
      <c r="H163" s="584" t="e">
        <v>#DIV/0!</v>
      </c>
      <c r="I163" s="584" t="e">
        <v>#DIV/0!</v>
      </c>
      <c r="J163" s="584" t="e">
        <v>#DIV/0!</v>
      </c>
      <c r="K163" s="584" t="e">
        <v>#DIV/0!</v>
      </c>
      <c r="L163" s="584" t="e">
        <v>#DIV/0!</v>
      </c>
      <c r="M163" s="584" t="e">
        <v>#DIV/0!</v>
      </c>
      <c r="N163" s="584" t="e">
        <v>#DIV/0!</v>
      </c>
      <c r="O163" s="584" t="e">
        <v>#DIV/0!</v>
      </c>
      <c r="P163" s="584" t="e">
        <v>#DIV/0!</v>
      </c>
      <c r="Q163" s="584" t="e">
        <v>#DIV/0!</v>
      </c>
      <c r="R163" s="584">
        <v>4.8277976596442958E-2</v>
      </c>
      <c r="S163" s="584" t="e">
        <v>#DIV/0!</v>
      </c>
    </row>
    <row r="164" spans="1:19">
      <c r="B164" s="2191"/>
      <c r="C164" s="5"/>
      <c r="D164" s="141"/>
      <c r="E164" s="584"/>
      <c r="F164" s="584"/>
      <c r="G164" s="584"/>
      <c r="H164" s="584"/>
      <c r="I164" s="584"/>
      <c r="J164" s="584"/>
      <c r="K164" s="584"/>
      <c r="L164" s="584"/>
      <c r="M164" s="584"/>
      <c r="N164" s="584"/>
      <c r="O164" s="584"/>
      <c r="P164" s="584"/>
      <c r="Q164" s="584"/>
    </row>
    <row r="165" spans="1:19">
      <c r="A165" t="s">
        <v>2192</v>
      </c>
      <c r="B165" s="2192" t="s">
        <v>2158</v>
      </c>
      <c r="C165" s="13"/>
      <c r="D165" s="141" t="s">
        <v>1614</v>
      </c>
      <c r="E165" s="572">
        <v>1034395999.9999998</v>
      </c>
      <c r="F165" s="586">
        <v>58210065.394454785</v>
      </c>
      <c r="G165" s="586">
        <v>70407418.329922661</v>
      </c>
      <c r="H165" s="586">
        <v>78761314.467007339</v>
      </c>
      <c r="I165" s="586">
        <v>87292191.296468154</v>
      </c>
      <c r="J165" s="586">
        <v>118626839.15825224</v>
      </c>
      <c r="K165" s="586">
        <v>113957089.32049643</v>
      </c>
      <c r="L165" s="586">
        <v>92811445.360305443</v>
      </c>
      <c r="M165" s="586">
        <v>135986425.37123665</v>
      </c>
      <c r="N165" s="586">
        <v>86923004.14232491</v>
      </c>
      <c r="O165" s="586">
        <v>62509979.029865891</v>
      </c>
      <c r="P165" s="586">
        <v>63572687.370753229</v>
      </c>
      <c r="Q165" s="586">
        <v>65337540.758912139</v>
      </c>
      <c r="R165" s="586">
        <v>527254917.96660161</v>
      </c>
      <c r="S165" s="586">
        <v>507141082.03339827</v>
      </c>
    </row>
    <row r="166" spans="1:19">
      <c r="B166" s="2193"/>
      <c r="C166" s="12"/>
      <c r="D166" s="141"/>
      <c r="E166" s="572">
        <v>116442288</v>
      </c>
      <c r="F166" s="586">
        <v>92829833</v>
      </c>
      <c r="G166" s="586">
        <v>23612455</v>
      </c>
      <c r="H166" s="586">
        <v>0</v>
      </c>
      <c r="I166" s="586">
        <v>0</v>
      </c>
      <c r="J166" s="586">
        <v>0</v>
      </c>
      <c r="K166" s="586">
        <v>0</v>
      </c>
      <c r="L166" s="586">
        <v>0</v>
      </c>
      <c r="M166" s="586">
        <v>0</v>
      </c>
      <c r="N166" s="586">
        <v>0</v>
      </c>
      <c r="O166" s="586">
        <v>0</v>
      </c>
      <c r="P166" s="586">
        <v>0</v>
      </c>
      <c r="Q166" s="586">
        <v>0</v>
      </c>
      <c r="R166" s="586">
        <v>116442288</v>
      </c>
      <c r="S166" s="586">
        <v>0</v>
      </c>
    </row>
    <row r="167" spans="1:19">
      <c r="B167" s="2193"/>
      <c r="C167" s="12"/>
      <c r="D167" s="141"/>
      <c r="E167" s="574">
        <v>0.1125703192974451</v>
      </c>
      <c r="F167" s="575">
        <v>1.594738510787572</v>
      </c>
      <c r="G167" s="575">
        <v>0.33536885118204757</v>
      </c>
      <c r="H167" s="575">
        <v>0</v>
      </c>
      <c r="I167" s="575">
        <v>0</v>
      </c>
      <c r="J167" s="575">
        <v>0</v>
      </c>
      <c r="K167" s="575">
        <v>0</v>
      </c>
      <c r="L167" s="575">
        <v>0</v>
      </c>
      <c r="M167" s="575">
        <v>0</v>
      </c>
      <c r="N167" s="575">
        <v>0</v>
      </c>
      <c r="O167" s="575">
        <v>0</v>
      </c>
      <c r="P167" s="575">
        <v>0</v>
      </c>
      <c r="Q167" s="575">
        <v>0</v>
      </c>
      <c r="R167" s="574">
        <v>0.22084628143264831</v>
      </c>
      <c r="S167" s="574">
        <v>0</v>
      </c>
    </row>
    <row r="168" spans="1:19">
      <c r="A168" t="s">
        <v>2193</v>
      </c>
      <c r="B168" s="2193"/>
      <c r="C168" s="12"/>
      <c r="D168" s="141" t="s">
        <v>1615</v>
      </c>
      <c r="E168" s="572">
        <v>149491000</v>
      </c>
      <c r="F168" s="586">
        <v>8412523.7200090103</v>
      </c>
      <c r="G168" s="586">
        <v>10175286.228444878</v>
      </c>
      <c r="H168" s="586">
        <v>11382592.025672367</v>
      </c>
      <c r="I168" s="586">
        <v>12615475.087974355</v>
      </c>
      <c r="J168" s="586">
        <v>17143961.125725821</v>
      </c>
      <c r="K168" s="586">
        <v>16469088.472509881</v>
      </c>
      <c r="L168" s="586">
        <v>13413118.165922355</v>
      </c>
      <c r="M168" s="586">
        <v>19652770.036979586</v>
      </c>
      <c r="N168" s="586">
        <v>12562120.128307043</v>
      </c>
      <c r="O168" s="586">
        <v>9033947.6130550411</v>
      </c>
      <c r="P168" s="586">
        <v>9187530.3150256481</v>
      </c>
      <c r="Q168" s="586">
        <v>9442587.0803739913</v>
      </c>
      <c r="R168" s="586">
        <v>76198926.660336316</v>
      </c>
      <c r="S168" s="586">
        <v>73292073.339663669</v>
      </c>
    </row>
    <row r="169" spans="1:19">
      <c r="B169" s="2193"/>
      <c r="C169" s="12"/>
      <c r="D169" s="141"/>
      <c r="E169" s="572">
        <v>21882626</v>
      </c>
      <c r="F169" s="586">
        <v>17507399</v>
      </c>
      <c r="G169" s="586">
        <v>4375227</v>
      </c>
      <c r="H169" s="586">
        <v>0</v>
      </c>
      <c r="I169" s="586">
        <v>0</v>
      </c>
      <c r="J169" s="586">
        <v>0</v>
      </c>
      <c r="K169" s="586">
        <v>0</v>
      </c>
      <c r="L169" s="586">
        <v>0</v>
      </c>
      <c r="M169" s="586">
        <v>0</v>
      </c>
      <c r="N169" s="586">
        <v>0</v>
      </c>
      <c r="O169" s="586">
        <v>0</v>
      </c>
      <c r="P169" s="586">
        <v>0</v>
      </c>
      <c r="Q169" s="586">
        <v>0</v>
      </c>
      <c r="R169" s="586">
        <v>21882626</v>
      </c>
      <c r="S169" s="586">
        <v>0</v>
      </c>
    </row>
    <row r="170" spans="1:19">
      <c r="B170" s="2193"/>
      <c r="C170" s="12"/>
      <c r="D170" s="141"/>
      <c r="E170" s="574">
        <v>0.14638089249520039</v>
      </c>
      <c r="F170" s="575">
        <v>2.081111398040878</v>
      </c>
      <c r="G170" s="575">
        <v>0.42998564382091886</v>
      </c>
      <c r="H170" s="575">
        <v>0</v>
      </c>
      <c r="I170" s="575">
        <v>0</v>
      </c>
      <c r="J170" s="575">
        <v>0</v>
      </c>
      <c r="K170" s="575">
        <v>0</v>
      </c>
      <c r="L170" s="575">
        <v>0</v>
      </c>
      <c r="M170" s="575">
        <v>0</v>
      </c>
      <c r="N170" s="575">
        <v>0</v>
      </c>
      <c r="O170" s="575">
        <v>0</v>
      </c>
      <c r="P170" s="575">
        <v>0</v>
      </c>
      <c r="Q170" s="575">
        <v>0</v>
      </c>
      <c r="R170" s="574">
        <v>0.28717761468667147</v>
      </c>
      <c r="S170" s="574">
        <v>0</v>
      </c>
    </row>
    <row r="171" spans="1:19">
      <c r="A171" t="s">
        <v>2194</v>
      </c>
      <c r="B171" s="2193"/>
      <c r="C171" s="12"/>
      <c r="D171" s="141" t="s">
        <v>1260</v>
      </c>
      <c r="E171" s="580">
        <v>9170.190998216307</v>
      </c>
      <c r="F171" s="580">
        <v>516.04744960905873</v>
      </c>
      <c r="G171" s="580">
        <v>624.1801725612886</v>
      </c>
      <c r="H171" s="580">
        <v>698.23964606691698</v>
      </c>
      <c r="I171" s="580">
        <v>773.86809968469356</v>
      </c>
      <c r="J171" s="580">
        <v>1051.6579458890585</v>
      </c>
      <c r="K171" s="580">
        <v>1010.2593926018161</v>
      </c>
      <c r="L171" s="580">
        <v>822.79773005166078</v>
      </c>
      <c r="M171" s="580">
        <v>1205.5552165891286</v>
      </c>
      <c r="N171" s="580">
        <v>770.59515903374211</v>
      </c>
      <c r="O171" s="580">
        <v>554.1673082633406</v>
      </c>
      <c r="P171" s="580">
        <v>563.58849556620567</v>
      </c>
      <c r="Q171" s="580">
        <v>579.23438229939723</v>
      </c>
      <c r="R171" s="578">
        <v>4674.2527064128326</v>
      </c>
      <c r="S171" s="578">
        <v>4495.9382918034753</v>
      </c>
    </row>
    <row r="172" spans="1:19">
      <c r="B172" s="2193"/>
      <c r="C172" s="12"/>
      <c r="D172" s="141"/>
      <c r="E172" s="580">
        <v>1004</v>
      </c>
      <c r="F172" s="580">
        <v>810</v>
      </c>
      <c r="G172" s="580">
        <v>194</v>
      </c>
      <c r="H172" s="580">
        <v>0</v>
      </c>
      <c r="I172" s="580">
        <v>0</v>
      </c>
      <c r="J172" s="580">
        <v>0</v>
      </c>
      <c r="K172" s="580">
        <v>0</v>
      </c>
      <c r="L172" s="580">
        <v>0</v>
      </c>
      <c r="M172" s="580">
        <v>0</v>
      </c>
      <c r="N172" s="580">
        <v>0</v>
      </c>
      <c r="O172" s="580">
        <v>0</v>
      </c>
      <c r="P172" s="580">
        <v>0</v>
      </c>
      <c r="Q172" s="580">
        <v>0</v>
      </c>
      <c r="R172" s="578">
        <v>1004</v>
      </c>
      <c r="S172" s="578">
        <v>0</v>
      </c>
    </row>
    <row r="173" spans="1:19">
      <c r="B173" s="2193"/>
      <c r="C173" s="12"/>
      <c r="D173" s="141"/>
      <c r="E173" s="574">
        <v>0.10948517868333255</v>
      </c>
      <c r="F173" s="575">
        <v>1.5696231046459592</v>
      </c>
      <c r="G173" s="575">
        <v>0.31080769388096996</v>
      </c>
      <c r="H173" s="575">
        <v>0</v>
      </c>
      <c r="I173" s="575">
        <v>0</v>
      </c>
      <c r="J173" s="575">
        <v>0</v>
      </c>
      <c r="K173" s="575">
        <v>0</v>
      </c>
      <c r="L173" s="575">
        <v>0</v>
      </c>
      <c r="M173" s="575">
        <v>0</v>
      </c>
      <c r="N173" s="575">
        <v>0</v>
      </c>
      <c r="O173" s="575">
        <v>0</v>
      </c>
      <c r="P173" s="575">
        <v>0</v>
      </c>
      <c r="Q173" s="575">
        <v>0</v>
      </c>
      <c r="R173" s="574">
        <v>0.21479369282336061</v>
      </c>
      <c r="S173" s="574">
        <v>0</v>
      </c>
    </row>
    <row r="174" spans="1:19">
      <c r="B174" s="2193"/>
      <c r="C174" s="12"/>
      <c r="D174" s="141" t="s">
        <v>1616</v>
      </c>
      <c r="E174" s="580">
        <v>112799.83156307213</v>
      </c>
      <c r="F174" s="580">
        <v>112799.83156307215</v>
      </c>
      <c r="G174" s="580">
        <v>112799.83156307215</v>
      </c>
      <c r="H174" s="580">
        <v>112799.83156307213</v>
      </c>
      <c r="I174" s="580">
        <v>112799.83156307213</v>
      </c>
      <c r="J174" s="580">
        <v>112799.83156307215</v>
      </c>
      <c r="K174" s="580">
        <v>112799.83156307213</v>
      </c>
      <c r="L174" s="580">
        <v>112799.83156307215</v>
      </c>
      <c r="M174" s="580">
        <v>112799.83156307213</v>
      </c>
      <c r="N174" s="580">
        <v>112799.83156307215</v>
      </c>
      <c r="O174" s="580">
        <v>112799.83156307213</v>
      </c>
      <c r="P174" s="580">
        <v>112799.83156307213</v>
      </c>
      <c r="Q174" s="580">
        <v>112799.83156307213</v>
      </c>
      <c r="R174" s="580">
        <v>112799.83156307213</v>
      </c>
      <c r="S174" s="580">
        <v>112799.83156307213</v>
      </c>
    </row>
    <row r="175" spans="1:19">
      <c r="B175" s="2193"/>
      <c r="C175" s="12"/>
      <c r="D175" s="141"/>
      <c r="E175" s="580">
        <v>115978.37450199203</v>
      </c>
      <c r="F175" s="580">
        <v>114604.73209876544</v>
      </c>
      <c r="G175" s="580">
        <v>121713.68556701031</v>
      </c>
      <c r="H175" s="580" t="e">
        <v>#DIV/0!</v>
      </c>
      <c r="I175" s="580" t="e">
        <v>#DIV/0!</v>
      </c>
      <c r="J175" s="580" t="e">
        <v>#DIV/0!</v>
      </c>
      <c r="K175" s="580" t="e">
        <v>#DIV/0!</v>
      </c>
      <c r="L175" s="580" t="e">
        <v>#DIV/0!</v>
      </c>
      <c r="M175" s="580" t="e">
        <v>#DIV/0!</v>
      </c>
      <c r="N175" s="580" t="e">
        <v>#DIV/0!</v>
      </c>
      <c r="O175" s="580" t="e">
        <v>#DIV/0!</v>
      </c>
      <c r="P175" s="580" t="e">
        <v>#DIV/0!</v>
      </c>
      <c r="Q175" s="580" t="e">
        <v>#DIV/0!</v>
      </c>
      <c r="R175" s="580">
        <v>115978.37450199203</v>
      </c>
      <c r="S175" s="580" t="e">
        <v>#DIV/0!</v>
      </c>
    </row>
    <row r="176" spans="1:19">
      <c r="B176" s="2193"/>
      <c r="C176" s="12"/>
      <c r="D176" s="141"/>
      <c r="E176" s="580"/>
      <c r="F176" s="580"/>
      <c r="G176" s="580"/>
      <c r="H176" s="580"/>
      <c r="I176" s="580"/>
      <c r="J176" s="580"/>
      <c r="K176" s="580"/>
      <c r="L176" s="580"/>
      <c r="M176" s="580"/>
      <c r="N176" s="580"/>
      <c r="O176" s="580"/>
      <c r="P176" s="580"/>
      <c r="Q176" s="580"/>
    </row>
    <row r="177" spans="1:19">
      <c r="B177" s="2193"/>
      <c r="C177" s="12"/>
      <c r="D177" s="141" t="s">
        <v>1620</v>
      </c>
      <c r="E177" s="584">
        <v>0.14452008708463687</v>
      </c>
      <c r="F177" s="584">
        <v>0.14452008708463684</v>
      </c>
      <c r="G177" s="584">
        <v>0.14452008708463682</v>
      </c>
      <c r="H177" s="584">
        <v>0.14452008708463682</v>
      </c>
      <c r="I177" s="584">
        <v>0.14452008708463682</v>
      </c>
      <c r="J177" s="584">
        <v>0.14452008708463684</v>
      </c>
      <c r="K177" s="584">
        <v>0.14452008708463684</v>
      </c>
      <c r="L177" s="584">
        <v>0.14452008708463682</v>
      </c>
      <c r="M177" s="584">
        <v>0.14452008708463682</v>
      </c>
      <c r="N177" s="584">
        <v>0.14452008708463682</v>
      </c>
      <c r="O177" s="584">
        <v>0.14452008708463684</v>
      </c>
      <c r="P177" s="584">
        <v>0.14452008708463682</v>
      </c>
      <c r="Q177" s="584">
        <v>0.14452008708463684</v>
      </c>
      <c r="R177" s="584">
        <v>0.14452008708463684</v>
      </c>
      <c r="S177" s="584">
        <v>0.14452008708463684</v>
      </c>
    </row>
    <row r="178" spans="1:19">
      <c r="B178" s="2193"/>
      <c r="C178" s="12"/>
      <c r="D178" s="141"/>
      <c r="E178" s="584">
        <v>0.18792679511759508</v>
      </c>
      <c r="F178" s="584">
        <v>0.18859668744637298</v>
      </c>
      <c r="G178" s="584">
        <v>0.18529318531258185</v>
      </c>
      <c r="H178" s="584" t="e">
        <v>#DIV/0!</v>
      </c>
      <c r="I178" s="584" t="e">
        <v>#DIV/0!</v>
      </c>
      <c r="J178" s="584" t="e">
        <v>#DIV/0!</v>
      </c>
      <c r="K178" s="584" t="e">
        <v>#DIV/0!</v>
      </c>
      <c r="L178" s="584" t="e">
        <v>#DIV/0!</v>
      </c>
      <c r="M178" s="584" t="e">
        <v>#DIV/0!</v>
      </c>
      <c r="N178" s="584" t="e">
        <v>#DIV/0!</v>
      </c>
      <c r="O178" s="584" t="e">
        <v>#DIV/0!</v>
      </c>
      <c r="P178" s="584" t="e">
        <v>#DIV/0!</v>
      </c>
      <c r="Q178" s="584" t="e">
        <v>#DIV/0!</v>
      </c>
      <c r="R178" s="584">
        <v>0.18792679511759508</v>
      </c>
      <c r="S178" s="584" t="e">
        <v>#DIV/0!</v>
      </c>
    </row>
    <row r="179" spans="1:19">
      <c r="B179" s="2194"/>
      <c r="C179" s="11"/>
      <c r="D179" s="141"/>
      <c r="E179" s="584"/>
      <c r="F179" s="584"/>
      <c r="G179" s="584"/>
      <c r="H179" s="584"/>
      <c r="I179" s="584"/>
      <c r="J179" s="584"/>
      <c r="K179" s="584"/>
      <c r="L179" s="584"/>
      <c r="M179" s="584"/>
      <c r="N179" s="584"/>
      <c r="O179" s="584"/>
      <c r="P179" s="584"/>
      <c r="Q179" s="584"/>
    </row>
    <row r="182" spans="1:19">
      <c r="B182" t="s">
        <v>2195</v>
      </c>
    </row>
    <row r="183" spans="1:19">
      <c r="A183" t="s">
        <v>2196</v>
      </c>
      <c r="B183" s="2185" t="s">
        <v>2147</v>
      </c>
      <c r="C183" s="10" t="s">
        <v>2136</v>
      </c>
      <c r="D183" s="141" t="s">
        <v>2137</v>
      </c>
      <c r="E183" s="572">
        <v>1683000000</v>
      </c>
      <c r="F183" s="586">
        <v>144645295.87750432</v>
      </c>
      <c r="G183" s="586">
        <v>121471748.47509685</v>
      </c>
      <c r="H183" s="586">
        <v>115836650.88270815</v>
      </c>
      <c r="I183" s="586">
        <v>121535064.17838211</v>
      </c>
      <c r="J183" s="586">
        <v>203307294.97130349</v>
      </c>
      <c r="K183" s="586">
        <v>197672197.3789148</v>
      </c>
      <c r="L183" s="586">
        <v>128815226.6115607</v>
      </c>
      <c r="M183" s="586">
        <v>180069288.42098376</v>
      </c>
      <c r="N183" s="586">
        <v>118558082.67934756</v>
      </c>
      <c r="O183" s="586">
        <v>94814693.947372705</v>
      </c>
      <c r="P183" s="586">
        <v>116348476.01247135</v>
      </c>
      <c r="Q183" s="586">
        <v>139925980.56435412</v>
      </c>
      <c r="R183" s="586">
        <v>904468251.7639097</v>
      </c>
      <c r="S183" s="586">
        <v>778531748.23609018</v>
      </c>
    </row>
    <row r="184" spans="1:19">
      <c r="B184" s="2186"/>
      <c r="C184" s="9"/>
      <c r="D184" s="141" t="s">
        <v>2138</v>
      </c>
      <c r="E184" s="572">
        <v>139095439</v>
      </c>
      <c r="F184" s="580">
        <v>116599812</v>
      </c>
      <c r="G184" s="580">
        <v>22495627</v>
      </c>
      <c r="H184" s="580">
        <v>0</v>
      </c>
      <c r="I184" s="580">
        <v>0</v>
      </c>
      <c r="J184" s="580">
        <v>0</v>
      </c>
      <c r="K184" s="580">
        <v>0</v>
      </c>
      <c r="L184" s="580">
        <v>0</v>
      </c>
      <c r="M184" s="580">
        <v>0</v>
      </c>
      <c r="N184" s="580">
        <v>0</v>
      </c>
      <c r="O184" s="580">
        <v>0</v>
      </c>
      <c r="P184" s="580">
        <v>0</v>
      </c>
      <c r="Q184" s="580">
        <v>0</v>
      </c>
      <c r="R184" s="586">
        <v>139095439</v>
      </c>
      <c r="S184" s="586">
        <v>0</v>
      </c>
    </row>
    <row r="185" spans="1:19">
      <c r="B185" s="2186"/>
      <c r="C185" s="9"/>
      <c r="D185" s="141" t="s">
        <v>2139</v>
      </c>
      <c r="E185" s="574">
        <v>8.2647319667260841E-2</v>
      </c>
      <c r="F185" s="575">
        <v>0.80610856573410317</v>
      </c>
      <c r="G185" s="575">
        <v>0.18519225484444121</v>
      </c>
      <c r="H185" s="575">
        <v>0</v>
      </c>
      <c r="I185" s="575">
        <v>0</v>
      </c>
      <c r="J185" s="575">
        <v>0</v>
      </c>
      <c r="K185" s="575">
        <v>0</v>
      </c>
      <c r="L185" s="575">
        <v>0</v>
      </c>
      <c r="M185" s="575">
        <v>0</v>
      </c>
      <c r="N185" s="575">
        <v>0</v>
      </c>
      <c r="O185" s="575">
        <v>0</v>
      </c>
      <c r="P185" s="575">
        <v>0</v>
      </c>
      <c r="Q185" s="575">
        <v>0</v>
      </c>
      <c r="R185" s="574">
        <v>0.15378697784995068</v>
      </c>
      <c r="S185" s="574">
        <v>0</v>
      </c>
    </row>
    <row r="186" spans="1:19">
      <c r="A186" t="s">
        <v>2197</v>
      </c>
      <c r="B186" s="2186"/>
      <c r="C186" s="9" t="s">
        <v>2140</v>
      </c>
      <c r="D186" s="141" t="s">
        <v>2137</v>
      </c>
      <c r="E186" s="572">
        <v>269280000</v>
      </c>
      <c r="F186" s="586">
        <v>23143247.340400688</v>
      </c>
      <c r="G186" s="586">
        <v>19435479.756015494</v>
      </c>
      <c r="H186" s="586">
        <v>18533864.141233306</v>
      </c>
      <c r="I186" s="586">
        <v>19445610.268541139</v>
      </c>
      <c r="J186" s="586">
        <v>32529167.19540856</v>
      </c>
      <c r="K186" s="586">
        <v>31627551.580626369</v>
      </c>
      <c r="L186" s="586">
        <v>20610436.257849712</v>
      </c>
      <c r="M186" s="586">
        <v>28811086.147357401</v>
      </c>
      <c r="N186" s="586">
        <v>18969293.228695609</v>
      </c>
      <c r="O186" s="586">
        <v>15170351.031579632</v>
      </c>
      <c r="P186" s="586">
        <v>18615756.161995415</v>
      </c>
      <c r="Q186" s="586">
        <v>22388156.89029666</v>
      </c>
      <c r="R186" s="586">
        <v>144714920.28222555</v>
      </c>
      <c r="S186" s="586">
        <v>124565079.71777442</v>
      </c>
    </row>
    <row r="187" spans="1:19">
      <c r="B187" s="2186"/>
      <c r="C187" s="9"/>
      <c r="D187" s="141" t="s">
        <v>2138</v>
      </c>
      <c r="E187" s="572">
        <v>25532816</v>
      </c>
      <c r="F187" s="586">
        <v>20959704</v>
      </c>
      <c r="G187" s="586">
        <v>4573112</v>
      </c>
      <c r="H187" s="586">
        <v>0</v>
      </c>
      <c r="I187" s="586">
        <v>0</v>
      </c>
      <c r="J187" s="586">
        <v>0</v>
      </c>
      <c r="K187" s="586">
        <v>0</v>
      </c>
      <c r="L187" s="586">
        <v>0</v>
      </c>
      <c r="M187" s="586">
        <v>0</v>
      </c>
      <c r="N187" s="586">
        <v>0</v>
      </c>
      <c r="O187" s="586">
        <v>0</v>
      </c>
      <c r="P187" s="586">
        <v>0</v>
      </c>
      <c r="Q187" s="586">
        <v>0</v>
      </c>
      <c r="R187" s="586">
        <v>25532816</v>
      </c>
      <c r="S187" s="586">
        <v>0</v>
      </c>
    </row>
    <row r="188" spans="1:19">
      <c r="B188" s="2186"/>
      <c r="C188" s="9"/>
      <c r="D188" s="141" t="s">
        <v>2139</v>
      </c>
      <c r="E188" s="574">
        <v>9.4818835412953065E-2</v>
      </c>
      <c r="F188" s="575">
        <v>0.90565095259605499</v>
      </c>
      <c r="G188" s="575">
        <v>0.23529709878062421</v>
      </c>
      <c r="H188" s="575">
        <v>0</v>
      </c>
      <c r="I188" s="575">
        <v>0</v>
      </c>
      <c r="J188" s="575">
        <v>0</v>
      </c>
      <c r="K188" s="575">
        <v>0</v>
      </c>
      <c r="L188" s="575">
        <v>0</v>
      </c>
      <c r="M188" s="575">
        <v>0</v>
      </c>
      <c r="N188" s="575">
        <v>0</v>
      </c>
      <c r="O188" s="575">
        <v>0</v>
      </c>
      <c r="P188" s="575">
        <v>0</v>
      </c>
      <c r="Q188" s="575">
        <v>0</v>
      </c>
      <c r="R188" s="574">
        <v>0.17643526977180693</v>
      </c>
      <c r="S188" s="574">
        <v>0</v>
      </c>
    </row>
    <row r="189" spans="1:19">
      <c r="A189" t="s">
        <v>2198</v>
      </c>
      <c r="B189" s="2186"/>
      <c r="C189" s="9" t="s">
        <v>2141</v>
      </c>
      <c r="D189" s="141" t="s">
        <v>2137</v>
      </c>
      <c r="E189" s="579">
        <v>12326.106485928454</v>
      </c>
      <c r="F189" s="580">
        <v>850.85468163237829</v>
      </c>
      <c r="G189" s="580">
        <v>714.53969691233442</v>
      </c>
      <c r="H189" s="580">
        <v>681.39206401593026</v>
      </c>
      <c r="I189" s="580">
        <v>714.91214222577719</v>
      </c>
      <c r="J189" s="580">
        <v>1195.9252645370793</v>
      </c>
      <c r="K189" s="580">
        <v>1162.7776316406753</v>
      </c>
      <c r="L189" s="580">
        <v>757.73662712682767</v>
      </c>
      <c r="M189" s="580">
        <v>1059.2311083587281</v>
      </c>
      <c r="N189" s="580">
        <v>697.40048634910329</v>
      </c>
      <c r="O189" s="580">
        <v>557.73349380807474</v>
      </c>
      <c r="P189" s="580">
        <v>684.40280007336082</v>
      </c>
      <c r="Q189" s="580">
        <v>823.09400331973018</v>
      </c>
      <c r="R189" s="578">
        <v>5320.4014809641749</v>
      </c>
      <c r="S189" s="578">
        <v>4579.5985190358251</v>
      </c>
    </row>
    <row r="190" spans="1:19">
      <c r="B190" s="2186"/>
      <c r="C190" s="9"/>
      <c r="D190" s="141" t="s">
        <v>2138</v>
      </c>
      <c r="E190" s="579">
        <v>806</v>
      </c>
      <c r="F190" s="580">
        <v>681</v>
      </c>
      <c r="G190" s="580">
        <v>125</v>
      </c>
      <c r="H190" s="580">
        <v>0</v>
      </c>
      <c r="I190" s="580">
        <v>0</v>
      </c>
      <c r="J190" s="580">
        <v>0</v>
      </c>
      <c r="K190" s="580">
        <v>0</v>
      </c>
      <c r="L190" s="580">
        <v>0</v>
      </c>
      <c r="M190" s="580">
        <v>0</v>
      </c>
      <c r="N190" s="580">
        <v>0</v>
      </c>
      <c r="O190" s="580">
        <v>0</v>
      </c>
      <c r="P190" s="580">
        <v>0</v>
      </c>
      <c r="Q190" s="580">
        <v>0</v>
      </c>
      <c r="R190" s="578">
        <v>806</v>
      </c>
      <c r="S190" s="578">
        <v>0</v>
      </c>
    </row>
    <row r="191" spans="1:19">
      <c r="B191" s="2186"/>
      <c r="C191" s="9"/>
      <c r="D191" s="141" t="s">
        <v>2139</v>
      </c>
      <c r="E191" s="574">
        <v>6.5389667119956627E-2</v>
      </c>
      <c r="F191" s="575">
        <v>0.80037169060819013</v>
      </c>
      <c r="G191" s="575">
        <v>0.17493779637457429</v>
      </c>
      <c r="H191" s="575">
        <v>0</v>
      </c>
      <c r="I191" s="575">
        <v>0</v>
      </c>
      <c r="J191" s="575">
        <v>0</v>
      </c>
      <c r="K191" s="575">
        <v>0</v>
      </c>
      <c r="L191" s="575">
        <v>0</v>
      </c>
      <c r="M191" s="575">
        <v>0</v>
      </c>
      <c r="N191" s="575">
        <v>0</v>
      </c>
      <c r="O191" s="575">
        <v>0</v>
      </c>
      <c r="P191" s="575">
        <v>0</v>
      </c>
      <c r="Q191" s="575">
        <v>0</v>
      </c>
      <c r="R191" s="574">
        <v>0.15149232682604527</v>
      </c>
      <c r="S191" s="574">
        <v>0</v>
      </c>
    </row>
    <row r="192" spans="1:19">
      <c r="B192" s="2186"/>
      <c r="C192" s="9" t="s">
        <v>2142</v>
      </c>
      <c r="D192" s="141" t="s">
        <v>2137</v>
      </c>
      <c r="E192" s="579">
        <v>136539.46620705584</v>
      </c>
      <c r="F192" s="580">
        <v>170000</v>
      </c>
      <c r="G192" s="580">
        <v>170000</v>
      </c>
      <c r="H192" s="580">
        <v>170000</v>
      </c>
      <c r="I192" s="580">
        <v>170000</v>
      </c>
      <c r="J192" s="580">
        <v>170000</v>
      </c>
      <c r="K192" s="580">
        <v>170000</v>
      </c>
      <c r="L192" s="580">
        <v>170000</v>
      </c>
      <c r="M192" s="580">
        <v>170000</v>
      </c>
      <c r="N192" s="580">
        <v>170000</v>
      </c>
      <c r="O192" s="580">
        <v>170000</v>
      </c>
      <c r="P192" s="580">
        <v>170000</v>
      </c>
      <c r="Q192" s="580">
        <v>170000</v>
      </c>
      <c r="R192" s="580">
        <v>170000</v>
      </c>
      <c r="S192" s="580">
        <v>169999.99999999997</v>
      </c>
    </row>
    <row r="193" spans="1:19">
      <c r="B193" s="2186"/>
      <c r="C193" s="9"/>
      <c r="D193" s="141" t="s">
        <v>2138</v>
      </c>
      <c r="E193" s="579">
        <v>172574.98635235731</v>
      </c>
      <c r="F193" s="580">
        <v>171218.51982378855</v>
      </c>
      <c r="G193" s="580">
        <v>179965.016</v>
      </c>
      <c r="H193" s="580" t="e">
        <v>#DIV/0!</v>
      </c>
      <c r="I193" s="580" t="e">
        <v>#DIV/0!</v>
      </c>
      <c r="J193" s="580" t="e">
        <v>#DIV/0!</v>
      </c>
      <c r="K193" s="580" t="e">
        <v>#DIV/0!</v>
      </c>
      <c r="L193" s="580" t="e">
        <v>#DIV/0!</v>
      </c>
      <c r="M193" s="580" t="e">
        <v>#DIV/0!</v>
      </c>
      <c r="N193" s="580" t="e">
        <v>#DIV/0!</v>
      </c>
      <c r="O193" s="580" t="e">
        <v>#DIV/0!</v>
      </c>
      <c r="P193" s="580" t="e">
        <v>#DIV/0!</v>
      </c>
      <c r="Q193" s="580" t="e">
        <v>#DIV/0!</v>
      </c>
      <c r="R193" s="580">
        <v>172574.98635235731</v>
      </c>
      <c r="S193" s="580" t="e">
        <v>#DIV/0!</v>
      </c>
    </row>
    <row r="194" spans="1:19">
      <c r="B194" s="2186"/>
      <c r="C194" s="9"/>
      <c r="D194" s="141"/>
      <c r="E194" s="579"/>
      <c r="F194" s="580"/>
      <c r="G194" s="580"/>
      <c r="H194" s="580"/>
      <c r="I194" s="580"/>
      <c r="J194" s="580"/>
      <c r="K194" s="580"/>
      <c r="L194" s="580"/>
      <c r="M194" s="580"/>
      <c r="N194" s="580"/>
      <c r="O194" s="580"/>
      <c r="P194" s="580"/>
      <c r="Q194" s="580"/>
    </row>
    <row r="195" spans="1:19">
      <c r="B195" s="2186"/>
      <c r="C195" s="9" t="s">
        <v>2143</v>
      </c>
      <c r="D195" s="141" t="s">
        <v>2137</v>
      </c>
      <c r="E195" s="583">
        <v>0.16</v>
      </c>
      <c r="F195" s="584">
        <v>0.15999999999999998</v>
      </c>
      <c r="G195" s="584">
        <v>0.15999999999999998</v>
      </c>
      <c r="H195" s="584">
        <v>0.16000000000000003</v>
      </c>
      <c r="I195" s="584">
        <v>0.16</v>
      </c>
      <c r="J195" s="584">
        <v>0.16</v>
      </c>
      <c r="K195" s="584">
        <v>0.16</v>
      </c>
      <c r="L195" s="584">
        <v>0.16</v>
      </c>
      <c r="M195" s="584">
        <v>0.16</v>
      </c>
      <c r="N195" s="584">
        <v>0.16</v>
      </c>
      <c r="O195" s="584">
        <v>0.16</v>
      </c>
      <c r="P195" s="584">
        <v>0.16</v>
      </c>
      <c r="Q195" s="584">
        <v>0.16</v>
      </c>
      <c r="R195" s="584">
        <v>0.16</v>
      </c>
      <c r="S195" s="584">
        <v>0.15999999999999998</v>
      </c>
    </row>
    <row r="196" spans="1:19">
      <c r="B196" s="2186"/>
      <c r="C196" s="9"/>
      <c r="D196" s="141" t="s">
        <v>2138</v>
      </c>
      <c r="E196" s="583">
        <v>0.18356328707514269</v>
      </c>
      <c r="F196" s="584">
        <v>0.17975761401742227</v>
      </c>
      <c r="G196" s="584">
        <v>0.20328893255564737</v>
      </c>
      <c r="H196" s="584" t="e">
        <v>#DIV/0!</v>
      </c>
      <c r="I196" s="584" t="e">
        <v>#DIV/0!</v>
      </c>
      <c r="J196" s="584" t="e">
        <v>#DIV/0!</v>
      </c>
      <c r="K196" s="584" t="e">
        <v>#DIV/0!</v>
      </c>
      <c r="L196" s="584" t="e">
        <v>#DIV/0!</v>
      </c>
      <c r="M196" s="584" t="e">
        <v>#DIV/0!</v>
      </c>
      <c r="N196" s="584" t="e">
        <v>#DIV/0!</v>
      </c>
      <c r="O196" s="584" t="e">
        <v>#DIV/0!</v>
      </c>
      <c r="P196" s="584" t="e">
        <v>#DIV/0!</v>
      </c>
      <c r="Q196" s="584" t="e">
        <v>#DIV/0!</v>
      </c>
      <c r="R196" s="584">
        <v>0.18356328707514269</v>
      </c>
      <c r="S196" s="584" t="e">
        <v>#DIV/0!</v>
      </c>
    </row>
    <row r="197" spans="1:19">
      <c r="B197" s="2187"/>
      <c r="C197" s="8"/>
      <c r="D197" s="141"/>
      <c r="E197" s="583"/>
      <c r="F197" s="584"/>
      <c r="G197" s="584"/>
      <c r="H197" s="584"/>
      <c r="I197" s="584"/>
      <c r="J197" s="584"/>
      <c r="K197" s="584"/>
      <c r="L197" s="584"/>
      <c r="M197" s="584"/>
      <c r="N197" s="584"/>
      <c r="O197" s="584"/>
      <c r="P197" s="584"/>
      <c r="Q197" s="584"/>
    </row>
    <row r="198" spans="1:19">
      <c r="A198" t="s">
        <v>2199</v>
      </c>
      <c r="B198" s="2188" t="s">
        <v>2153</v>
      </c>
      <c r="C198" s="7"/>
      <c r="D198" s="141" t="s">
        <v>1614</v>
      </c>
      <c r="E198" s="572">
        <v>0</v>
      </c>
      <c r="F198" s="586">
        <v>0</v>
      </c>
      <c r="G198" s="586">
        <v>0</v>
      </c>
      <c r="H198" s="586">
        <v>0</v>
      </c>
      <c r="I198" s="586">
        <v>0</v>
      </c>
      <c r="J198" s="586">
        <v>0</v>
      </c>
      <c r="K198" s="586">
        <v>0</v>
      </c>
      <c r="L198" s="586">
        <v>0</v>
      </c>
      <c r="M198" s="586">
        <v>0</v>
      </c>
      <c r="N198" s="586">
        <v>0</v>
      </c>
      <c r="O198" s="586">
        <v>0</v>
      </c>
      <c r="P198" s="586">
        <v>0</v>
      </c>
      <c r="Q198" s="586">
        <v>0</v>
      </c>
      <c r="R198" s="586">
        <v>0</v>
      </c>
      <c r="S198" s="586">
        <v>0</v>
      </c>
    </row>
    <row r="199" spans="1:19">
      <c r="B199" s="2189"/>
      <c r="C199" s="6"/>
      <c r="D199" s="141"/>
      <c r="E199" s="572">
        <v>0</v>
      </c>
      <c r="F199" s="586"/>
      <c r="G199" s="586"/>
      <c r="H199" s="586"/>
      <c r="I199" s="586"/>
      <c r="J199" s="586"/>
      <c r="K199" s="586"/>
      <c r="L199" s="586"/>
      <c r="M199" s="586"/>
      <c r="N199" s="586"/>
      <c r="O199" s="586"/>
      <c r="P199" s="586"/>
      <c r="Q199" s="586"/>
      <c r="R199" s="586">
        <v>0</v>
      </c>
      <c r="S199" s="586">
        <v>0</v>
      </c>
    </row>
    <row r="200" spans="1:19">
      <c r="B200" s="2189"/>
      <c r="C200" s="6"/>
      <c r="D200" s="141"/>
      <c r="E200" s="572"/>
      <c r="F200" s="586"/>
      <c r="G200" s="586"/>
      <c r="H200" s="586"/>
      <c r="I200" s="586"/>
      <c r="J200" s="586"/>
      <c r="K200" s="586"/>
      <c r="L200" s="586"/>
      <c r="M200" s="586"/>
      <c r="N200" s="586"/>
      <c r="O200" s="586"/>
      <c r="P200" s="586"/>
      <c r="Q200" s="586"/>
      <c r="R200" s="574" t="e">
        <v>#DIV/0!</v>
      </c>
      <c r="S200" s="574" t="e">
        <v>#DIV/0!</v>
      </c>
    </row>
    <row r="201" spans="1:19">
      <c r="A201" t="s">
        <v>2200</v>
      </c>
      <c r="B201" s="2189"/>
      <c r="C201" s="6"/>
      <c r="D201" s="141" t="s">
        <v>1615</v>
      </c>
      <c r="E201" s="572">
        <v>0</v>
      </c>
      <c r="F201" s="586">
        <v>0</v>
      </c>
      <c r="G201" s="586">
        <v>0</v>
      </c>
      <c r="H201" s="586">
        <v>0</v>
      </c>
      <c r="I201" s="586">
        <v>0</v>
      </c>
      <c r="J201" s="586">
        <v>0</v>
      </c>
      <c r="K201" s="586">
        <v>0</v>
      </c>
      <c r="L201" s="586">
        <v>0</v>
      </c>
      <c r="M201" s="586">
        <v>0</v>
      </c>
      <c r="N201" s="586">
        <v>0</v>
      </c>
      <c r="O201" s="586">
        <v>0</v>
      </c>
      <c r="P201" s="586">
        <v>0</v>
      </c>
      <c r="Q201" s="586">
        <v>0</v>
      </c>
      <c r="R201" s="586">
        <v>0</v>
      </c>
      <c r="S201" s="586">
        <v>0</v>
      </c>
    </row>
    <row r="202" spans="1:19">
      <c r="B202" s="2189"/>
      <c r="C202" s="6"/>
      <c r="D202" s="141"/>
      <c r="E202" s="572">
        <v>0</v>
      </c>
      <c r="F202" s="586"/>
      <c r="G202" s="586"/>
      <c r="H202" s="586"/>
      <c r="I202" s="586"/>
      <c r="J202" s="586"/>
      <c r="K202" s="586"/>
      <c r="L202" s="586"/>
      <c r="M202" s="586"/>
      <c r="N202" s="586"/>
      <c r="O202" s="586"/>
      <c r="P202" s="586"/>
      <c r="Q202" s="586"/>
      <c r="R202" s="586">
        <v>0</v>
      </c>
      <c r="S202" s="586">
        <v>0</v>
      </c>
    </row>
    <row r="203" spans="1:19">
      <c r="B203" s="2189"/>
      <c r="C203" s="6"/>
      <c r="D203" s="141"/>
      <c r="E203" s="572"/>
      <c r="F203" s="586"/>
      <c r="G203" s="586"/>
      <c r="H203" s="586"/>
      <c r="I203" s="586"/>
      <c r="J203" s="586"/>
      <c r="K203" s="586"/>
      <c r="L203" s="586"/>
      <c r="M203" s="586"/>
      <c r="N203" s="586"/>
      <c r="O203" s="586"/>
      <c r="P203" s="586"/>
      <c r="Q203" s="586"/>
      <c r="R203" s="574" t="e">
        <v>#DIV/0!</v>
      </c>
      <c r="S203" s="574" t="e">
        <v>#DIV/0!</v>
      </c>
    </row>
    <row r="204" spans="1:19">
      <c r="A204" t="s">
        <v>2201</v>
      </c>
      <c r="B204" s="2189"/>
      <c r="C204" s="6"/>
      <c r="D204" s="141" t="s">
        <v>1260</v>
      </c>
      <c r="E204" s="580">
        <v>0</v>
      </c>
      <c r="F204" s="580">
        <v>0</v>
      </c>
      <c r="G204" s="580">
        <v>0</v>
      </c>
      <c r="H204" s="580">
        <v>0</v>
      </c>
      <c r="I204" s="580">
        <v>0</v>
      </c>
      <c r="J204" s="580">
        <v>0</v>
      </c>
      <c r="K204" s="580">
        <v>0</v>
      </c>
      <c r="L204" s="580">
        <v>0</v>
      </c>
      <c r="M204" s="580">
        <v>0</v>
      </c>
      <c r="N204" s="580">
        <v>0</v>
      </c>
      <c r="O204" s="580">
        <v>0</v>
      </c>
      <c r="P204" s="580">
        <v>0</v>
      </c>
      <c r="Q204" s="580">
        <v>0</v>
      </c>
      <c r="R204" s="578">
        <v>0</v>
      </c>
      <c r="S204" s="578">
        <v>0</v>
      </c>
    </row>
    <row r="205" spans="1:19">
      <c r="B205" s="2189"/>
      <c r="C205" s="6"/>
      <c r="D205" s="141"/>
      <c r="E205" s="580">
        <v>0</v>
      </c>
      <c r="F205" s="580"/>
      <c r="G205" s="580"/>
      <c r="H205" s="580"/>
      <c r="I205" s="580"/>
      <c r="J205" s="580"/>
      <c r="K205" s="580"/>
      <c r="L205" s="580"/>
      <c r="M205" s="580"/>
      <c r="N205" s="580"/>
      <c r="O205" s="580"/>
      <c r="P205" s="580"/>
      <c r="Q205" s="580"/>
      <c r="R205" s="578">
        <v>0</v>
      </c>
      <c r="S205" s="578">
        <v>0</v>
      </c>
    </row>
    <row r="206" spans="1:19">
      <c r="B206" s="2189"/>
      <c r="C206" s="6"/>
      <c r="D206" s="141"/>
      <c r="E206" s="580"/>
      <c r="F206" s="580"/>
      <c r="G206" s="580"/>
      <c r="H206" s="580"/>
      <c r="I206" s="580"/>
      <c r="J206" s="580"/>
      <c r="K206" s="580"/>
      <c r="L206" s="580"/>
      <c r="M206" s="580"/>
      <c r="N206" s="580"/>
      <c r="O206" s="580"/>
      <c r="P206" s="580"/>
      <c r="Q206" s="580"/>
      <c r="R206" s="574" t="e">
        <v>#DIV/0!</v>
      </c>
      <c r="S206" s="574" t="e">
        <v>#DIV/0!</v>
      </c>
    </row>
    <row r="207" spans="1:19">
      <c r="B207" s="2189"/>
      <c r="C207" s="6"/>
      <c r="D207" s="141" t="s">
        <v>1616</v>
      </c>
      <c r="E207" s="580" t="s">
        <v>21</v>
      </c>
      <c r="F207" s="580" t="s">
        <v>21</v>
      </c>
      <c r="G207" s="580" t="s">
        <v>21</v>
      </c>
      <c r="H207" s="580" t="s">
        <v>21</v>
      </c>
      <c r="I207" s="580" t="s">
        <v>21</v>
      </c>
      <c r="J207" s="580" t="s">
        <v>21</v>
      </c>
      <c r="K207" s="580" t="s">
        <v>21</v>
      </c>
      <c r="L207" s="580" t="s">
        <v>21</v>
      </c>
      <c r="M207" s="580" t="s">
        <v>21</v>
      </c>
      <c r="N207" s="580" t="s">
        <v>21</v>
      </c>
      <c r="O207" s="580" t="s">
        <v>21</v>
      </c>
      <c r="P207" s="580" t="s">
        <v>21</v>
      </c>
      <c r="Q207" s="580" t="s">
        <v>21</v>
      </c>
      <c r="R207" s="580" t="e">
        <v>#DIV/0!</v>
      </c>
      <c r="S207" s="580" t="e">
        <v>#DIV/0!</v>
      </c>
    </row>
    <row r="208" spans="1:19">
      <c r="B208" s="2189"/>
      <c r="C208" s="6"/>
      <c r="D208" s="141"/>
      <c r="E208" s="580"/>
      <c r="F208" s="580"/>
      <c r="G208" s="580"/>
      <c r="H208" s="580"/>
      <c r="I208" s="580"/>
      <c r="J208" s="580"/>
      <c r="K208" s="580"/>
      <c r="L208" s="580"/>
      <c r="M208" s="580"/>
      <c r="N208" s="580"/>
      <c r="O208" s="580"/>
      <c r="P208" s="580"/>
      <c r="Q208" s="580"/>
      <c r="R208" s="580" t="e">
        <v>#DIV/0!</v>
      </c>
      <c r="S208" s="580" t="e">
        <v>#DIV/0!</v>
      </c>
    </row>
    <row r="209" spans="1:19">
      <c r="B209" s="2189"/>
      <c r="C209" s="6"/>
      <c r="D209" s="141"/>
      <c r="E209" s="580"/>
      <c r="F209" s="580"/>
      <c r="G209" s="580"/>
      <c r="H209" s="580"/>
      <c r="I209" s="580"/>
      <c r="J209" s="580"/>
      <c r="K209" s="580"/>
      <c r="L209" s="580"/>
      <c r="M209" s="580"/>
      <c r="N209" s="580"/>
      <c r="O209" s="580"/>
      <c r="P209" s="580"/>
      <c r="Q209" s="580"/>
    </row>
    <row r="210" spans="1:19">
      <c r="B210" s="2189"/>
      <c r="C210" s="6"/>
      <c r="D210" s="141"/>
      <c r="E210" s="580"/>
      <c r="F210" s="580"/>
      <c r="G210" s="580"/>
      <c r="H210" s="580"/>
      <c r="I210" s="580"/>
      <c r="J210" s="580"/>
      <c r="K210" s="580"/>
      <c r="L210" s="580"/>
      <c r="M210" s="580"/>
      <c r="N210" s="580"/>
      <c r="O210" s="580"/>
      <c r="P210" s="580"/>
      <c r="Q210" s="580"/>
      <c r="R210" s="584" t="e">
        <v>#DIV/0!</v>
      </c>
      <c r="S210" s="584" t="e">
        <v>#DIV/0!</v>
      </c>
    </row>
    <row r="211" spans="1:19">
      <c r="B211" s="2189"/>
      <c r="C211" s="6"/>
      <c r="D211" s="141"/>
      <c r="E211" s="580"/>
      <c r="F211" s="580"/>
      <c r="G211" s="580"/>
      <c r="H211" s="580"/>
      <c r="I211" s="580"/>
      <c r="J211" s="580"/>
      <c r="K211" s="580"/>
      <c r="L211" s="580"/>
      <c r="M211" s="580"/>
      <c r="N211" s="580"/>
      <c r="O211" s="580"/>
      <c r="P211" s="580"/>
      <c r="Q211" s="580"/>
      <c r="R211" s="584" t="e">
        <v>#DIV/0!</v>
      </c>
      <c r="S211" s="584" t="e">
        <v>#DIV/0!</v>
      </c>
    </row>
    <row r="212" spans="1:19">
      <c r="B212" s="2191"/>
      <c r="C212" s="5"/>
      <c r="D212" s="141" t="s">
        <v>1620</v>
      </c>
      <c r="E212" s="584" t="s">
        <v>21</v>
      </c>
      <c r="F212" s="584" t="s">
        <v>21</v>
      </c>
      <c r="G212" s="584" t="s">
        <v>21</v>
      </c>
      <c r="H212" s="584" t="s">
        <v>21</v>
      </c>
      <c r="I212" s="584" t="s">
        <v>21</v>
      </c>
      <c r="J212" s="584" t="s">
        <v>21</v>
      </c>
      <c r="K212" s="584" t="s">
        <v>21</v>
      </c>
      <c r="L212" s="584" t="s">
        <v>21</v>
      </c>
      <c r="M212" s="584" t="s">
        <v>21</v>
      </c>
      <c r="N212" s="584" t="s">
        <v>21</v>
      </c>
      <c r="O212" s="584" t="s">
        <v>21</v>
      </c>
      <c r="P212" s="584" t="s">
        <v>21</v>
      </c>
      <c r="Q212" s="584" t="s">
        <v>21</v>
      </c>
    </row>
    <row r="213" spans="1:19">
      <c r="A213" t="s">
        <v>2202</v>
      </c>
      <c r="B213" s="2192" t="s">
        <v>2158</v>
      </c>
      <c r="C213" s="13"/>
      <c r="D213" s="141" t="s">
        <v>1614</v>
      </c>
      <c r="E213" s="572">
        <v>387600000.00000006</v>
      </c>
      <c r="F213" s="586">
        <v>27015872.414400771</v>
      </c>
      <c r="G213" s="586">
        <v>33924701.787064172</v>
      </c>
      <c r="H213" s="586">
        <v>33655744.925841264</v>
      </c>
      <c r="I213" s="586">
        <v>34613903.743947871</v>
      </c>
      <c r="J213" s="586">
        <v>41371444.882173389</v>
      </c>
      <c r="K213" s="586">
        <v>40867150.767380439</v>
      </c>
      <c r="L213" s="586">
        <v>31314146.86331702</v>
      </c>
      <c r="M213" s="586">
        <v>49939409.503003277</v>
      </c>
      <c r="N213" s="586">
        <v>33112795.872745205</v>
      </c>
      <c r="O213" s="586">
        <v>19059799.873848356</v>
      </c>
      <c r="P213" s="586">
        <v>19996579.216385439</v>
      </c>
      <c r="Q213" s="586">
        <v>22728450.149892803</v>
      </c>
      <c r="R213" s="586">
        <v>211448818.52080792</v>
      </c>
      <c r="S213" s="586">
        <v>176151181.47919208</v>
      </c>
    </row>
    <row r="214" spans="1:19">
      <c r="B214" s="2193"/>
      <c r="C214" s="12"/>
      <c r="D214" s="141"/>
      <c r="E214" s="572">
        <v>35453724</v>
      </c>
      <c r="F214" s="586">
        <v>29021367</v>
      </c>
      <c r="G214" s="586">
        <v>6432357</v>
      </c>
      <c r="H214" s="586">
        <v>0</v>
      </c>
      <c r="I214" s="586">
        <v>0</v>
      </c>
      <c r="J214" s="586">
        <v>0</v>
      </c>
      <c r="K214" s="586">
        <v>0</v>
      </c>
      <c r="L214" s="586">
        <v>0</v>
      </c>
      <c r="M214" s="586">
        <v>0</v>
      </c>
      <c r="N214" s="586">
        <v>0</v>
      </c>
      <c r="O214" s="586">
        <v>0</v>
      </c>
      <c r="P214" s="586">
        <v>0</v>
      </c>
      <c r="Q214" s="586">
        <v>0</v>
      </c>
      <c r="R214" s="586">
        <v>35453724</v>
      </c>
      <c r="S214" s="586">
        <v>0</v>
      </c>
    </row>
    <row r="215" spans="1:19">
      <c r="B215" s="2193"/>
      <c r="C215" s="12"/>
      <c r="D215" s="141"/>
      <c r="E215" s="574">
        <v>9.1469876160990699E-2</v>
      </c>
      <c r="F215" s="575">
        <v>1.0742339375474028</v>
      </c>
      <c r="G215" s="575">
        <v>0.18960688410392224</v>
      </c>
      <c r="H215" s="575">
        <v>0</v>
      </c>
      <c r="I215" s="575">
        <v>0</v>
      </c>
      <c r="J215" s="575">
        <v>0</v>
      </c>
      <c r="K215" s="575">
        <v>0</v>
      </c>
      <c r="L215" s="575">
        <v>0</v>
      </c>
      <c r="M215" s="575">
        <v>0</v>
      </c>
      <c r="N215" s="575">
        <v>0</v>
      </c>
      <c r="O215" s="575">
        <v>0</v>
      </c>
      <c r="P215" s="575">
        <v>0</v>
      </c>
      <c r="Q215" s="575">
        <v>0</v>
      </c>
      <c r="R215" s="574">
        <v>0.16767047575870531</v>
      </c>
      <c r="S215" s="574">
        <v>0</v>
      </c>
    </row>
    <row r="216" spans="1:19">
      <c r="A216" t="s">
        <v>2203</v>
      </c>
      <c r="B216" s="2193"/>
      <c r="C216" s="12"/>
      <c r="D216" s="141" t="s">
        <v>1615</v>
      </c>
      <c r="E216" s="572">
        <v>58140000</v>
      </c>
      <c r="F216" s="586">
        <v>4052380.862160116</v>
      </c>
      <c r="G216" s="586">
        <v>5088705.2680596262</v>
      </c>
      <c r="H216" s="586">
        <v>5048361.73887619</v>
      </c>
      <c r="I216" s="586">
        <v>5192085.5615921803</v>
      </c>
      <c r="J216" s="586">
        <v>6205716.7323260084</v>
      </c>
      <c r="K216" s="586">
        <v>6130072.615107066</v>
      </c>
      <c r="L216" s="586">
        <v>4697122.0294975527</v>
      </c>
      <c r="M216" s="586">
        <v>7490911.4254504917</v>
      </c>
      <c r="N216" s="586">
        <v>4966919.3809117805</v>
      </c>
      <c r="O216" s="586">
        <v>2858969.9810772534</v>
      </c>
      <c r="P216" s="586">
        <v>2999486.882457816</v>
      </c>
      <c r="Q216" s="586">
        <v>3409267.5224839207</v>
      </c>
      <c r="R216" s="586">
        <v>31717322.778121188</v>
      </c>
      <c r="S216" s="586">
        <v>26422677.221878819</v>
      </c>
    </row>
    <row r="217" spans="1:19">
      <c r="B217" s="2193"/>
      <c r="C217" s="12"/>
      <c r="D217" s="141"/>
      <c r="E217" s="572">
        <v>6927192</v>
      </c>
      <c r="F217" s="586">
        <v>5544503</v>
      </c>
      <c r="G217" s="586">
        <v>1382689</v>
      </c>
      <c r="H217" s="586">
        <v>0</v>
      </c>
      <c r="I217" s="586">
        <v>0</v>
      </c>
      <c r="J217" s="586">
        <v>0</v>
      </c>
      <c r="K217" s="586">
        <v>0</v>
      </c>
      <c r="L217" s="586">
        <v>0</v>
      </c>
      <c r="M217" s="586">
        <v>0</v>
      </c>
      <c r="N217" s="586">
        <v>0</v>
      </c>
      <c r="O217" s="586">
        <v>0</v>
      </c>
      <c r="P217" s="586">
        <v>0</v>
      </c>
      <c r="Q217" s="586">
        <v>0</v>
      </c>
      <c r="R217" s="586">
        <v>6927192</v>
      </c>
      <c r="S217" s="586">
        <v>0</v>
      </c>
    </row>
    <row r="218" spans="1:19">
      <c r="B218" s="2193"/>
      <c r="C218" s="12"/>
      <c r="D218" s="141"/>
      <c r="E218" s="574">
        <v>0.1191467492260062</v>
      </c>
      <c r="F218" s="575">
        <v>1.3682087613661542</v>
      </c>
      <c r="G218" s="575">
        <v>0.27171724970568656</v>
      </c>
      <c r="H218" s="575">
        <v>0</v>
      </c>
      <c r="I218" s="575">
        <v>0</v>
      </c>
      <c r="J218" s="575">
        <v>0</v>
      </c>
      <c r="K218" s="575">
        <v>0</v>
      </c>
      <c r="L218" s="575">
        <v>0</v>
      </c>
      <c r="M218" s="575">
        <v>0</v>
      </c>
      <c r="N218" s="575">
        <v>0</v>
      </c>
      <c r="O218" s="575">
        <v>0</v>
      </c>
      <c r="P218" s="575">
        <v>0</v>
      </c>
      <c r="Q218" s="575">
        <v>0</v>
      </c>
      <c r="R218" s="574">
        <v>0.218404057885315</v>
      </c>
      <c r="S218" s="574">
        <v>0</v>
      </c>
    </row>
    <row r="219" spans="1:19">
      <c r="A219" t="s">
        <v>2204</v>
      </c>
      <c r="B219" s="2193"/>
      <c r="C219" s="12"/>
      <c r="D219" s="141" t="s">
        <v>1260</v>
      </c>
      <c r="E219" s="578">
        <v>3400</v>
      </c>
      <c r="F219" s="580">
        <v>236.98133696842783</v>
      </c>
      <c r="G219" s="580">
        <v>297.58510339529977</v>
      </c>
      <c r="H219" s="580">
        <v>295.22583268281812</v>
      </c>
      <c r="I219" s="580">
        <v>303.63073459603396</v>
      </c>
      <c r="J219" s="580">
        <v>362.90741124713497</v>
      </c>
      <c r="K219" s="580">
        <v>358.48377866123195</v>
      </c>
      <c r="L219" s="580">
        <v>274.68549880102648</v>
      </c>
      <c r="M219" s="580">
        <v>438.06499564037966</v>
      </c>
      <c r="N219" s="580">
        <v>290.46312169074741</v>
      </c>
      <c r="O219" s="580">
        <v>167.19122696358207</v>
      </c>
      <c r="P219" s="580">
        <v>175.40858961741614</v>
      </c>
      <c r="Q219" s="580">
        <v>199.3723697359018</v>
      </c>
      <c r="R219" s="578">
        <v>1854.8141975509466</v>
      </c>
      <c r="S219" s="578">
        <v>1545.1858024490534</v>
      </c>
    </row>
    <row r="220" spans="1:19">
      <c r="B220" s="2193"/>
      <c r="C220" s="12"/>
      <c r="D220" s="141"/>
      <c r="E220" s="580">
        <v>300</v>
      </c>
      <c r="F220" s="580">
        <v>248</v>
      </c>
      <c r="G220" s="580">
        <v>52</v>
      </c>
      <c r="H220" s="580">
        <v>0</v>
      </c>
      <c r="I220" s="580">
        <v>0</v>
      </c>
      <c r="J220" s="580">
        <v>0</v>
      </c>
      <c r="K220" s="580">
        <v>0</v>
      </c>
      <c r="L220" s="580">
        <v>0</v>
      </c>
      <c r="M220" s="580">
        <v>0</v>
      </c>
      <c r="N220" s="580">
        <v>0</v>
      </c>
      <c r="O220" s="580">
        <v>0</v>
      </c>
      <c r="P220" s="580">
        <v>0</v>
      </c>
      <c r="Q220" s="580">
        <v>0</v>
      </c>
      <c r="R220" s="578">
        <v>300</v>
      </c>
      <c r="S220" s="578">
        <v>0</v>
      </c>
    </row>
    <row r="221" spans="1:19">
      <c r="B221" s="2193"/>
      <c r="C221" s="12"/>
      <c r="D221" s="141"/>
      <c r="E221" s="574">
        <v>8.8235294117647065E-2</v>
      </c>
      <c r="F221" s="575">
        <v>1.0464959104903697</v>
      </c>
      <c r="G221" s="575">
        <v>0.17473992954185394</v>
      </c>
      <c r="H221" s="575">
        <v>0</v>
      </c>
      <c r="I221" s="575">
        <v>0</v>
      </c>
      <c r="J221" s="575">
        <v>0</v>
      </c>
      <c r="K221" s="575">
        <v>0</v>
      </c>
      <c r="L221" s="575">
        <v>0</v>
      </c>
      <c r="M221" s="575">
        <v>0</v>
      </c>
      <c r="N221" s="575">
        <v>0</v>
      </c>
      <c r="O221" s="575">
        <v>0</v>
      </c>
      <c r="P221" s="575">
        <v>0</v>
      </c>
      <c r="Q221" s="575">
        <v>0</v>
      </c>
      <c r="R221" s="574">
        <v>0.16174126788338855</v>
      </c>
      <c r="S221" s="574">
        <v>0</v>
      </c>
    </row>
    <row r="222" spans="1:19">
      <c r="B222" s="2193"/>
      <c r="C222" s="12"/>
      <c r="D222" s="141" t="s">
        <v>1616</v>
      </c>
      <c r="E222" s="580">
        <v>114000.00000000001</v>
      </c>
      <c r="F222" s="580">
        <v>114000</v>
      </c>
      <c r="G222" s="580">
        <v>114000</v>
      </c>
      <c r="H222" s="580">
        <v>114000</v>
      </c>
      <c r="I222" s="580">
        <v>114000</v>
      </c>
      <c r="J222" s="580">
        <v>114000</v>
      </c>
      <c r="K222" s="580">
        <v>113999.99999999999</v>
      </c>
      <c r="L222" s="580">
        <v>114000</v>
      </c>
      <c r="M222" s="580">
        <v>113999.99999999999</v>
      </c>
      <c r="N222" s="580">
        <v>114000</v>
      </c>
      <c r="O222" s="580">
        <v>114000</v>
      </c>
      <c r="P222" s="580">
        <v>114000</v>
      </c>
      <c r="Q222" s="580">
        <v>113999.99999999999</v>
      </c>
      <c r="R222" s="580">
        <v>114000</v>
      </c>
      <c r="S222" s="580">
        <v>113999.99999999999</v>
      </c>
    </row>
    <row r="223" spans="1:19">
      <c r="B223" s="2193"/>
      <c r="C223" s="12"/>
      <c r="D223" s="141"/>
      <c r="E223" s="580">
        <v>118179.08</v>
      </c>
      <c r="F223" s="580">
        <v>117021.64112903226</v>
      </c>
      <c r="G223" s="580">
        <v>123699.17307692308</v>
      </c>
      <c r="H223" s="580" t="e">
        <v>#DIV/0!</v>
      </c>
      <c r="I223" s="580" t="e">
        <v>#DIV/0!</v>
      </c>
      <c r="J223" s="580" t="e">
        <v>#DIV/0!</v>
      </c>
      <c r="K223" s="580" t="e">
        <v>#DIV/0!</v>
      </c>
      <c r="L223" s="580" t="e">
        <v>#DIV/0!</v>
      </c>
      <c r="M223" s="580" t="e">
        <v>#DIV/0!</v>
      </c>
      <c r="N223" s="580" t="e">
        <v>#DIV/0!</v>
      </c>
      <c r="O223" s="580" t="e">
        <v>#DIV/0!</v>
      </c>
      <c r="P223" s="580" t="e">
        <v>#DIV/0!</v>
      </c>
      <c r="Q223" s="580" t="e">
        <v>#DIV/0!</v>
      </c>
      <c r="R223" s="580">
        <v>118179.08</v>
      </c>
      <c r="S223" s="580" t="e">
        <v>#DIV/0!</v>
      </c>
    </row>
    <row r="224" spans="1:19">
      <c r="B224" s="2193"/>
      <c r="C224" s="12"/>
      <c r="D224" s="141"/>
      <c r="E224" s="580"/>
      <c r="F224" s="580"/>
      <c r="G224" s="580"/>
      <c r="H224" s="580"/>
      <c r="I224" s="580"/>
      <c r="J224" s="580"/>
      <c r="K224" s="580"/>
      <c r="L224" s="580"/>
      <c r="M224" s="580"/>
      <c r="N224" s="580"/>
      <c r="O224" s="580"/>
      <c r="P224" s="580"/>
      <c r="Q224" s="580"/>
    </row>
    <row r="225" spans="1:19">
      <c r="B225" s="2193"/>
      <c r="C225" s="12"/>
      <c r="D225" s="141" t="s">
        <v>1620</v>
      </c>
      <c r="E225" s="584">
        <v>0.14999999999999997</v>
      </c>
      <c r="F225" s="584">
        <v>0.15000000000000002</v>
      </c>
      <c r="G225" s="584">
        <v>0.15000000000000002</v>
      </c>
      <c r="H225" s="584">
        <v>0.15000000000000002</v>
      </c>
      <c r="I225" s="584">
        <v>0.15</v>
      </c>
      <c r="J225" s="584">
        <v>0.15</v>
      </c>
      <c r="K225" s="584">
        <v>0.15</v>
      </c>
      <c r="L225" s="584">
        <v>0.15</v>
      </c>
      <c r="M225" s="584">
        <v>0.15</v>
      </c>
      <c r="N225" s="584">
        <v>0.15</v>
      </c>
      <c r="O225" s="584">
        <v>0.15</v>
      </c>
      <c r="P225" s="584">
        <v>0.15000000000000002</v>
      </c>
      <c r="Q225" s="584">
        <v>0.15</v>
      </c>
      <c r="R225" s="584">
        <v>0.15</v>
      </c>
      <c r="S225" s="584">
        <v>0.15000000000000005</v>
      </c>
    </row>
    <row r="226" spans="1:19">
      <c r="B226" s="2193"/>
      <c r="C226" s="12"/>
      <c r="D226" s="141"/>
      <c r="E226" s="584">
        <v>0.19538686542491276</v>
      </c>
      <c r="F226" s="584">
        <v>0.19104899503872441</v>
      </c>
      <c r="G226" s="584">
        <v>0.21495837373454241</v>
      </c>
      <c r="H226" s="584" t="e">
        <v>#DIV/0!</v>
      </c>
      <c r="I226" s="584" t="e">
        <v>#DIV/0!</v>
      </c>
      <c r="J226" s="584" t="e">
        <v>#DIV/0!</v>
      </c>
      <c r="K226" s="584" t="e">
        <v>#DIV/0!</v>
      </c>
      <c r="L226" s="584" t="e">
        <v>#DIV/0!</v>
      </c>
      <c r="M226" s="584" t="e">
        <v>#DIV/0!</v>
      </c>
      <c r="N226" s="584" t="e">
        <v>#DIV/0!</v>
      </c>
      <c r="O226" s="584" t="e">
        <v>#DIV/0!</v>
      </c>
      <c r="P226" s="584" t="e">
        <v>#DIV/0!</v>
      </c>
      <c r="Q226" s="584" t="e">
        <v>#DIV/0!</v>
      </c>
      <c r="R226" s="584">
        <v>0.19538686542491276</v>
      </c>
      <c r="S226" s="584" t="e">
        <v>#DIV/0!</v>
      </c>
    </row>
    <row r="227" spans="1:19">
      <c r="B227" s="2194"/>
      <c r="C227" s="11"/>
      <c r="D227" s="141"/>
      <c r="E227" s="584"/>
      <c r="F227" s="584"/>
      <c r="G227" s="584"/>
      <c r="H227" s="584"/>
      <c r="I227" s="584"/>
      <c r="J227" s="584"/>
      <c r="K227" s="584"/>
      <c r="L227" s="584"/>
      <c r="M227" s="584"/>
      <c r="N227" s="584"/>
      <c r="O227" s="584"/>
      <c r="P227" s="584"/>
      <c r="Q227" s="584"/>
    </row>
    <row r="233" spans="1:19">
      <c r="B233" t="s">
        <v>2205</v>
      </c>
      <c r="E233" s="609" t="s">
        <v>2132</v>
      </c>
      <c r="F233" s="610" t="s">
        <v>2163</v>
      </c>
      <c r="G233" s="610" t="s">
        <v>2164</v>
      </c>
      <c r="H233" s="610" t="s">
        <v>2165</v>
      </c>
      <c r="I233" s="610" t="s">
        <v>2166</v>
      </c>
      <c r="J233" s="610" t="s">
        <v>2167</v>
      </c>
      <c r="K233" s="610" t="s">
        <v>2168</v>
      </c>
      <c r="L233" s="610" t="s">
        <v>2169</v>
      </c>
      <c r="M233" s="610" t="s">
        <v>2170</v>
      </c>
      <c r="N233" s="610" t="s">
        <v>2171</v>
      </c>
      <c r="O233" s="610" t="s">
        <v>2172</v>
      </c>
      <c r="P233" s="610" t="s">
        <v>2173</v>
      </c>
      <c r="Q233" s="610" t="s">
        <v>2174</v>
      </c>
    </row>
    <row r="234" spans="1:19">
      <c r="A234" t="s">
        <v>2206</v>
      </c>
      <c r="B234" s="2185" t="s">
        <v>2147</v>
      </c>
      <c r="C234" s="611" t="s">
        <v>2136</v>
      </c>
      <c r="D234" s="612" t="s">
        <v>2137</v>
      </c>
      <c r="E234" s="613"/>
      <c r="F234" s="586">
        <v>120926634.00731094</v>
      </c>
      <c r="G234" s="586">
        <v>162797752.6503742</v>
      </c>
      <c r="H234" s="586">
        <v>173220108.51614863</v>
      </c>
      <c r="I234" s="586">
        <v>189356195.0320037</v>
      </c>
      <c r="J234" s="586">
        <v>209461980.59727675</v>
      </c>
      <c r="K234" s="586">
        <v>241021715.33914942</v>
      </c>
      <c r="L234" s="586">
        <v>259384703.5555121</v>
      </c>
      <c r="M234" s="586">
        <v>385644097.84233439</v>
      </c>
      <c r="N234" s="586">
        <v>221806762.94088677</v>
      </c>
      <c r="O234" s="586">
        <v>196574832.63370183</v>
      </c>
      <c r="P234" s="586">
        <v>217025162.04717213</v>
      </c>
      <c r="Q234" s="586">
        <v>232372054.83812907</v>
      </c>
      <c r="R234" s="588"/>
      <c r="S234" s="588"/>
    </row>
    <row r="235" spans="1:19">
      <c r="B235" s="2186"/>
      <c r="C235" s="614"/>
      <c r="D235" s="612" t="s">
        <v>2138</v>
      </c>
      <c r="E235" s="613"/>
      <c r="F235" s="580">
        <v>43453381</v>
      </c>
      <c r="G235" s="580">
        <v>14205440</v>
      </c>
      <c r="H235" s="580">
        <v>0</v>
      </c>
      <c r="I235" s="580">
        <v>0</v>
      </c>
      <c r="J235" s="580">
        <v>0</v>
      </c>
      <c r="K235" s="580">
        <v>0</v>
      </c>
      <c r="L235" s="580">
        <v>0</v>
      </c>
      <c r="M235" s="580">
        <v>0</v>
      </c>
      <c r="N235" s="580">
        <v>0</v>
      </c>
      <c r="O235" s="580">
        <v>0</v>
      </c>
      <c r="P235" s="580">
        <v>0</v>
      </c>
      <c r="Q235" s="580">
        <v>0</v>
      </c>
      <c r="R235" s="588"/>
      <c r="S235" s="588"/>
    </row>
    <row r="236" spans="1:19">
      <c r="B236" s="2186"/>
      <c r="C236" s="614"/>
      <c r="D236" s="612" t="s">
        <v>2139</v>
      </c>
      <c r="E236" s="613"/>
      <c r="F236" s="580"/>
      <c r="G236" s="580"/>
      <c r="H236" s="580"/>
      <c r="I236" s="580"/>
      <c r="J236" s="580"/>
      <c r="K236" s="580"/>
      <c r="L236" s="580"/>
      <c r="M236" s="580"/>
      <c r="N236" s="580"/>
      <c r="O236" s="580"/>
      <c r="P236" s="580"/>
      <c r="Q236" s="580"/>
      <c r="R236" s="588"/>
      <c r="S236" s="588"/>
    </row>
    <row r="237" spans="1:19">
      <c r="A237" t="s">
        <v>2207</v>
      </c>
      <c r="B237" s="2186"/>
      <c r="C237" s="614" t="s">
        <v>2140</v>
      </c>
      <c r="D237" s="612" t="s">
        <v>2137</v>
      </c>
      <c r="E237" s="572"/>
      <c r="F237" s="586">
        <v>31535914.468393203</v>
      </c>
      <c r="G237" s="586">
        <v>43077377.991057649</v>
      </c>
      <c r="H237" s="586">
        <v>46227065.687401727</v>
      </c>
      <c r="I237" s="586">
        <v>50646772.552810133</v>
      </c>
      <c r="J237" s="586">
        <v>55466153.535754934</v>
      </c>
      <c r="K237" s="586">
        <v>64470909.92115885</v>
      </c>
      <c r="L237" s="586">
        <v>68948601.723135948</v>
      </c>
      <c r="M237" s="586">
        <v>104709347.08297271</v>
      </c>
      <c r="N237" s="586">
        <v>58639272.497027457</v>
      </c>
      <c r="O237" s="586">
        <v>52137376.626639344</v>
      </c>
      <c r="P237" s="586">
        <v>57953753.860562637</v>
      </c>
      <c r="Q237" s="586">
        <v>62305454.053085364</v>
      </c>
      <c r="R237" s="615"/>
      <c r="S237" s="615"/>
    </row>
    <row r="238" spans="1:19">
      <c r="B238" s="2186"/>
      <c r="C238" s="614"/>
      <c r="D238" s="612" t="s">
        <v>2138</v>
      </c>
      <c r="E238" s="572"/>
      <c r="F238" s="580">
        <v>9514905</v>
      </c>
      <c r="G238" s="580">
        <v>3173344</v>
      </c>
      <c r="H238" s="580">
        <v>0</v>
      </c>
      <c r="I238" s="580">
        <v>0</v>
      </c>
      <c r="J238" s="580">
        <v>0</v>
      </c>
      <c r="K238" s="580">
        <v>0</v>
      </c>
      <c r="L238" s="580">
        <v>0</v>
      </c>
      <c r="M238" s="580">
        <v>0</v>
      </c>
      <c r="N238" s="580">
        <v>0</v>
      </c>
      <c r="O238" s="580">
        <v>0</v>
      </c>
      <c r="P238" s="580">
        <v>0</v>
      </c>
      <c r="Q238" s="580">
        <v>0</v>
      </c>
      <c r="R238" s="615"/>
      <c r="S238" s="615"/>
    </row>
    <row r="239" spans="1:19">
      <c r="B239" s="2186"/>
      <c r="C239" s="614"/>
      <c r="D239" s="612" t="s">
        <v>2139</v>
      </c>
      <c r="E239" s="572"/>
      <c r="F239" s="580"/>
      <c r="G239" s="580"/>
      <c r="H239" s="580"/>
      <c r="I239" s="580"/>
      <c r="J239" s="580"/>
      <c r="K239" s="580"/>
      <c r="L239" s="580"/>
      <c r="M239" s="580"/>
      <c r="N239" s="580"/>
      <c r="O239" s="580"/>
      <c r="P239" s="580"/>
      <c r="Q239" s="580"/>
      <c r="R239" s="615"/>
      <c r="S239" s="615"/>
    </row>
    <row r="240" spans="1:19">
      <c r="A240" t="s">
        <v>2208</v>
      </c>
      <c r="B240" s="2186"/>
      <c r="C240" s="614" t="s">
        <v>2141</v>
      </c>
      <c r="D240" s="612" t="s">
        <v>2137</v>
      </c>
      <c r="E240" s="570"/>
      <c r="F240" s="580">
        <v>582.81980848780199</v>
      </c>
      <c r="G240" s="580">
        <v>776.13148616166109</v>
      </c>
      <c r="H240" s="580">
        <v>820.47098387866868</v>
      </c>
      <c r="I240" s="580">
        <v>895.35184236057421</v>
      </c>
      <c r="J240" s="580">
        <v>998.04015326377544</v>
      </c>
      <c r="K240" s="580">
        <v>1139.5754269382073</v>
      </c>
      <c r="L240" s="580">
        <v>1232.324387111026</v>
      </c>
      <c r="M240" s="580">
        <v>1802.1622246753329</v>
      </c>
      <c r="N240" s="580">
        <v>1058.1681409759949</v>
      </c>
      <c r="O240" s="580">
        <v>935.49222222904905</v>
      </c>
      <c r="P240" s="580">
        <v>1027.4592152974392</v>
      </c>
      <c r="Q240" s="580">
        <v>1096.6555405324084</v>
      </c>
    </row>
    <row r="241" spans="1:19">
      <c r="B241" s="2186"/>
      <c r="C241" s="614"/>
      <c r="D241" s="612" t="s">
        <v>2138</v>
      </c>
      <c r="E241" s="570"/>
      <c r="F241" s="580">
        <v>200</v>
      </c>
      <c r="G241" s="580">
        <v>74</v>
      </c>
      <c r="H241" s="580">
        <v>0</v>
      </c>
      <c r="I241" s="580">
        <v>0</v>
      </c>
      <c r="J241" s="580">
        <v>0</v>
      </c>
      <c r="K241" s="580">
        <v>0</v>
      </c>
      <c r="L241" s="580">
        <v>0</v>
      </c>
      <c r="M241" s="580">
        <v>0</v>
      </c>
      <c r="N241" s="580">
        <v>0</v>
      </c>
      <c r="O241" s="580">
        <v>0</v>
      </c>
      <c r="P241" s="580">
        <v>0</v>
      </c>
      <c r="Q241" s="580">
        <v>0</v>
      </c>
    </row>
    <row r="242" spans="1:19">
      <c r="B242" s="2186"/>
      <c r="C242" s="614"/>
      <c r="D242" s="612" t="s">
        <v>2209</v>
      </c>
      <c r="E242" s="570"/>
      <c r="F242" s="580"/>
      <c r="G242" s="580"/>
      <c r="H242" s="580"/>
      <c r="I242" s="580"/>
      <c r="J242" s="580"/>
      <c r="K242" s="580"/>
      <c r="L242" s="580"/>
      <c r="M242" s="580"/>
      <c r="N242" s="580"/>
      <c r="O242" s="580"/>
      <c r="P242" s="580"/>
      <c r="Q242" s="580"/>
    </row>
    <row r="243" spans="1:19">
      <c r="B243" s="2186"/>
      <c r="C243" s="614" t="s">
        <v>2142</v>
      </c>
      <c r="D243" s="616" t="s">
        <v>2210</v>
      </c>
      <c r="E243" s="570"/>
      <c r="F243" s="580"/>
      <c r="G243" s="580"/>
      <c r="H243" s="580"/>
      <c r="I243" s="580"/>
      <c r="J243" s="580"/>
      <c r="K243" s="580"/>
      <c r="L243" s="580"/>
      <c r="M243" s="580"/>
      <c r="N243" s="580"/>
      <c r="O243" s="580"/>
      <c r="P243" s="580"/>
      <c r="Q243" s="580"/>
    </row>
    <row r="244" spans="1:19">
      <c r="B244" s="2186"/>
      <c r="C244" s="614"/>
      <c r="D244" s="616" t="s">
        <v>1564</v>
      </c>
      <c r="E244" s="570"/>
      <c r="F244" s="580"/>
      <c r="G244" s="580"/>
      <c r="H244" s="580"/>
      <c r="I244" s="580"/>
      <c r="J244" s="580"/>
      <c r="K244" s="580"/>
      <c r="L244" s="580"/>
      <c r="M244" s="580"/>
      <c r="N244" s="580"/>
      <c r="O244" s="580"/>
      <c r="P244" s="580"/>
      <c r="Q244" s="580"/>
    </row>
    <row r="245" spans="1:19">
      <c r="B245" s="2186"/>
      <c r="C245" s="614"/>
      <c r="D245" s="616"/>
      <c r="E245" s="570"/>
      <c r="F245" s="580"/>
      <c r="G245" s="580"/>
      <c r="H245" s="580"/>
      <c r="I245" s="580"/>
      <c r="J245" s="580"/>
      <c r="K245" s="580"/>
      <c r="L245" s="580"/>
      <c r="M245" s="580"/>
      <c r="N245" s="580"/>
      <c r="O245" s="580"/>
      <c r="P245" s="580"/>
      <c r="Q245" s="580"/>
    </row>
    <row r="246" spans="1:19">
      <c r="B246" s="2186"/>
      <c r="C246" s="614" t="s">
        <v>2143</v>
      </c>
      <c r="D246" s="141" t="s">
        <v>2210</v>
      </c>
      <c r="E246" s="570"/>
      <c r="F246" s="580"/>
      <c r="G246" s="580"/>
      <c r="H246" s="580"/>
      <c r="I246" s="580"/>
      <c r="J246" s="580"/>
      <c r="K246" s="580"/>
      <c r="L246" s="580"/>
      <c r="M246" s="580"/>
      <c r="N246" s="580"/>
      <c r="O246" s="580"/>
      <c r="P246" s="580"/>
      <c r="Q246" s="580"/>
    </row>
    <row r="247" spans="1:19">
      <c r="B247" s="2186"/>
      <c r="C247" s="614"/>
      <c r="D247" s="141" t="s">
        <v>1564</v>
      </c>
      <c r="E247" s="570"/>
      <c r="F247" s="580"/>
      <c r="G247" s="580"/>
      <c r="H247" s="580"/>
      <c r="I247" s="580"/>
      <c r="J247" s="580"/>
      <c r="K247" s="580"/>
      <c r="L247" s="580"/>
      <c r="M247" s="580"/>
      <c r="N247" s="580"/>
      <c r="O247" s="580"/>
      <c r="P247" s="580"/>
      <c r="Q247" s="580"/>
    </row>
    <row r="248" spans="1:19">
      <c r="B248" s="2187"/>
      <c r="C248" s="617"/>
      <c r="D248" s="141"/>
      <c r="E248" s="570"/>
      <c r="F248" s="580"/>
      <c r="G248" s="580"/>
      <c r="H248" s="580"/>
      <c r="I248" s="580"/>
      <c r="J248" s="580"/>
      <c r="K248" s="580"/>
      <c r="L248" s="580"/>
      <c r="M248" s="580"/>
      <c r="N248" s="580"/>
      <c r="O248" s="580"/>
      <c r="P248" s="580"/>
      <c r="Q248" s="580"/>
    </row>
    <row r="249" spans="1:19">
      <c r="A249" t="s">
        <v>2211</v>
      </c>
      <c r="B249" s="2188" t="s">
        <v>2153</v>
      </c>
      <c r="C249" s="618" t="s">
        <v>2136</v>
      </c>
      <c r="D249" s="612" t="s">
        <v>2137</v>
      </c>
      <c r="E249" s="572">
        <v>0</v>
      </c>
      <c r="F249" s="586">
        <v>0</v>
      </c>
      <c r="G249" s="586">
        <v>0</v>
      </c>
      <c r="H249" s="586">
        <v>0</v>
      </c>
      <c r="I249" s="586">
        <v>0</v>
      </c>
      <c r="J249" s="586">
        <v>0</v>
      </c>
      <c r="K249" s="586">
        <v>0</v>
      </c>
      <c r="L249" s="586">
        <v>0</v>
      </c>
      <c r="M249" s="586">
        <v>0</v>
      </c>
      <c r="N249" s="586">
        <v>0</v>
      </c>
      <c r="O249" s="586">
        <v>0</v>
      </c>
      <c r="P249" s="586">
        <v>0</v>
      </c>
      <c r="Q249" s="586">
        <v>0</v>
      </c>
    </row>
    <row r="250" spans="1:19">
      <c r="B250" s="2189"/>
      <c r="C250" s="4"/>
      <c r="D250" s="612" t="s">
        <v>2138</v>
      </c>
      <c r="E250" s="572">
        <v>21302242</v>
      </c>
      <c r="F250" s="580">
        <v>14573362</v>
      </c>
      <c r="G250" s="580">
        <v>6728880</v>
      </c>
      <c r="H250" s="580" t="s">
        <v>21</v>
      </c>
      <c r="I250" s="580" t="s">
        <v>21</v>
      </c>
      <c r="J250" s="580" t="s">
        <v>21</v>
      </c>
      <c r="K250" s="580" t="s">
        <v>21</v>
      </c>
      <c r="L250" s="580" t="s">
        <v>21</v>
      </c>
      <c r="M250" s="580" t="s">
        <v>21</v>
      </c>
      <c r="N250" s="580" t="s">
        <v>21</v>
      </c>
      <c r="O250" s="580" t="s">
        <v>21</v>
      </c>
      <c r="P250" s="580" t="s">
        <v>21</v>
      </c>
      <c r="Q250" s="580" t="s">
        <v>21</v>
      </c>
    </row>
    <row r="251" spans="1:19">
      <c r="B251" s="2189"/>
      <c r="C251" s="5"/>
      <c r="D251" s="612" t="s">
        <v>2139</v>
      </c>
      <c r="E251" s="582" t="s">
        <v>21</v>
      </c>
      <c r="F251" s="582" t="s">
        <v>21</v>
      </c>
      <c r="G251" s="582" t="s">
        <v>21</v>
      </c>
      <c r="H251" s="582" t="s">
        <v>21</v>
      </c>
      <c r="I251" s="582" t="s">
        <v>21</v>
      </c>
      <c r="J251" s="582" t="s">
        <v>21</v>
      </c>
      <c r="K251" s="582" t="s">
        <v>21</v>
      </c>
      <c r="L251" s="582" t="s">
        <v>21</v>
      </c>
      <c r="M251" s="582" t="s">
        <v>21</v>
      </c>
      <c r="N251" s="582" t="s">
        <v>21</v>
      </c>
      <c r="O251" s="582" t="s">
        <v>21</v>
      </c>
      <c r="P251" s="582" t="s">
        <v>21</v>
      </c>
      <c r="Q251" s="582" t="s">
        <v>21</v>
      </c>
      <c r="R251" s="619"/>
      <c r="S251" s="619"/>
    </row>
    <row r="252" spans="1:19">
      <c r="A252" t="s">
        <v>2212</v>
      </c>
      <c r="B252" s="2189"/>
      <c r="C252" s="4" t="s">
        <v>2140</v>
      </c>
      <c r="D252" s="612" t="s">
        <v>2137</v>
      </c>
      <c r="E252" s="572">
        <v>0</v>
      </c>
      <c r="F252" s="586">
        <v>0</v>
      </c>
      <c r="G252" s="586">
        <v>0</v>
      </c>
      <c r="H252" s="586">
        <v>0</v>
      </c>
      <c r="I252" s="586">
        <v>0</v>
      </c>
      <c r="J252" s="586">
        <v>0</v>
      </c>
      <c r="K252" s="586">
        <v>0</v>
      </c>
      <c r="L252" s="586">
        <v>0</v>
      </c>
      <c r="M252" s="586">
        <v>0</v>
      </c>
      <c r="N252" s="586">
        <v>0</v>
      </c>
      <c r="O252" s="586">
        <v>0</v>
      </c>
      <c r="P252" s="586">
        <v>0</v>
      </c>
      <c r="Q252" s="586">
        <v>0</v>
      </c>
    </row>
    <row r="253" spans="1:19">
      <c r="B253" s="2189"/>
      <c r="C253" s="4"/>
      <c r="D253" s="612" t="s">
        <v>2138</v>
      </c>
      <c r="E253" s="572">
        <v>675250</v>
      </c>
      <c r="F253" s="580">
        <v>-249566</v>
      </c>
      <c r="G253" s="580">
        <v>924816</v>
      </c>
      <c r="H253" s="580" t="s">
        <v>21</v>
      </c>
      <c r="I253" s="580" t="s">
        <v>21</v>
      </c>
      <c r="J253" s="580" t="s">
        <v>21</v>
      </c>
      <c r="K253" s="580" t="s">
        <v>21</v>
      </c>
      <c r="L253" s="580" t="s">
        <v>21</v>
      </c>
      <c r="M253" s="580" t="s">
        <v>21</v>
      </c>
      <c r="N253" s="580" t="s">
        <v>21</v>
      </c>
      <c r="O253" s="580" t="s">
        <v>21</v>
      </c>
      <c r="P253" s="580" t="s">
        <v>21</v>
      </c>
      <c r="Q253" s="580" t="s">
        <v>21</v>
      </c>
    </row>
    <row r="254" spans="1:19">
      <c r="B254" s="2189"/>
      <c r="C254" s="5"/>
      <c r="D254" s="612" t="s">
        <v>2139</v>
      </c>
      <c r="E254" s="582" t="s">
        <v>21</v>
      </c>
      <c r="F254" s="582" t="s">
        <v>21</v>
      </c>
      <c r="G254" s="582" t="s">
        <v>21</v>
      </c>
      <c r="H254" s="582" t="s">
        <v>21</v>
      </c>
      <c r="I254" s="582" t="s">
        <v>21</v>
      </c>
      <c r="J254" s="582" t="s">
        <v>21</v>
      </c>
      <c r="K254" s="582" t="s">
        <v>21</v>
      </c>
      <c r="L254" s="582" t="s">
        <v>21</v>
      </c>
      <c r="M254" s="582" t="s">
        <v>21</v>
      </c>
      <c r="N254" s="582" t="s">
        <v>21</v>
      </c>
      <c r="O254" s="582" t="s">
        <v>21</v>
      </c>
      <c r="P254" s="582" t="s">
        <v>21</v>
      </c>
      <c r="Q254" s="582" t="s">
        <v>21</v>
      </c>
      <c r="R254" s="619"/>
      <c r="S254" s="619"/>
    </row>
    <row r="255" spans="1:19">
      <c r="A255" t="s">
        <v>2213</v>
      </c>
      <c r="B255" s="2189"/>
      <c r="C255" s="4" t="s">
        <v>2141</v>
      </c>
      <c r="D255" s="612" t="s">
        <v>2137</v>
      </c>
      <c r="E255" s="579">
        <v>0</v>
      </c>
      <c r="F255" s="580">
        <v>0</v>
      </c>
      <c r="G255" s="580">
        <v>0</v>
      </c>
      <c r="H255" s="580">
        <v>0</v>
      </c>
      <c r="I255" s="580">
        <v>0</v>
      </c>
      <c r="J255" s="580">
        <v>0</v>
      </c>
      <c r="K255" s="580">
        <v>0</v>
      </c>
      <c r="L255" s="580">
        <v>0</v>
      </c>
      <c r="M255" s="580">
        <v>0</v>
      </c>
      <c r="N255" s="580">
        <v>0</v>
      </c>
      <c r="O255" s="580">
        <v>0</v>
      </c>
      <c r="P255" s="580">
        <v>0</v>
      </c>
      <c r="Q255" s="580">
        <v>0</v>
      </c>
    </row>
    <row r="256" spans="1:19">
      <c r="B256" s="2189"/>
      <c r="C256" s="4"/>
      <c r="D256" s="612" t="s">
        <v>2138</v>
      </c>
      <c r="E256" s="578">
        <v>155</v>
      </c>
      <c r="F256" s="580">
        <v>115</v>
      </c>
      <c r="G256" s="580">
        <v>40</v>
      </c>
      <c r="H256" s="580" t="s">
        <v>21</v>
      </c>
      <c r="I256" s="580" t="s">
        <v>21</v>
      </c>
      <c r="J256" s="580" t="s">
        <v>21</v>
      </c>
      <c r="K256" s="580" t="s">
        <v>21</v>
      </c>
      <c r="L256" s="580" t="s">
        <v>21</v>
      </c>
      <c r="M256" s="580" t="s">
        <v>21</v>
      </c>
      <c r="N256" s="580" t="s">
        <v>21</v>
      </c>
      <c r="O256" s="580" t="s">
        <v>21</v>
      </c>
      <c r="P256" s="580" t="s">
        <v>21</v>
      </c>
      <c r="Q256" s="580" t="s">
        <v>21</v>
      </c>
    </row>
    <row r="257" spans="1:19">
      <c r="B257" s="2189"/>
      <c r="C257" s="5"/>
      <c r="D257" s="612" t="s">
        <v>2209</v>
      </c>
      <c r="E257" s="582" t="s">
        <v>21</v>
      </c>
      <c r="F257" s="582" t="s">
        <v>21</v>
      </c>
      <c r="G257" s="582" t="s">
        <v>21</v>
      </c>
      <c r="H257" s="582" t="s">
        <v>21</v>
      </c>
      <c r="I257" s="582" t="s">
        <v>21</v>
      </c>
      <c r="J257" s="582" t="s">
        <v>21</v>
      </c>
      <c r="K257" s="582" t="s">
        <v>21</v>
      </c>
      <c r="L257" s="582" t="s">
        <v>21</v>
      </c>
      <c r="M257" s="582" t="s">
        <v>21</v>
      </c>
      <c r="N257" s="582" t="s">
        <v>21</v>
      </c>
      <c r="O257" s="582" t="s">
        <v>21</v>
      </c>
      <c r="P257" s="582" t="s">
        <v>21</v>
      </c>
      <c r="Q257" s="582" t="s">
        <v>21</v>
      </c>
      <c r="R257" s="619"/>
      <c r="S257" s="619"/>
    </row>
    <row r="258" spans="1:19">
      <c r="B258" s="2190"/>
      <c r="C258" s="7" t="s">
        <v>2142</v>
      </c>
      <c r="D258" s="616" t="s">
        <v>2210</v>
      </c>
      <c r="E258" s="580" t="e">
        <v>#DIV/0!</v>
      </c>
      <c r="F258" s="580" t="e">
        <v>#DIV/0!</v>
      </c>
      <c r="G258" s="580" t="e">
        <v>#DIV/0!</v>
      </c>
      <c r="H258" s="580" t="e">
        <v>#DIV/0!</v>
      </c>
      <c r="I258" s="580" t="e">
        <v>#DIV/0!</v>
      </c>
      <c r="J258" s="580" t="e">
        <v>#DIV/0!</v>
      </c>
      <c r="K258" s="580" t="e">
        <v>#DIV/0!</v>
      </c>
      <c r="L258" s="580" t="e">
        <v>#DIV/0!</v>
      </c>
      <c r="M258" s="580" t="e">
        <v>#DIV/0!</v>
      </c>
      <c r="N258" s="580" t="e">
        <v>#DIV/0!</v>
      </c>
      <c r="O258" s="580" t="e">
        <v>#DIV/0!</v>
      </c>
      <c r="P258" s="580" t="e">
        <v>#DIV/0!</v>
      </c>
      <c r="Q258" s="580" t="e">
        <v>#DIV/0!</v>
      </c>
    </row>
    <row r="259" spans="1:19">
      <c r="B259" s="2190"/>
      <c r="C259" s="6"/>
      <c r="D259" s="616" t="s">
        <v>1564</v>
      </c>
      <c r="E259" s="580">
        <v>137433.81935483872</v>
      </c>
      <c r="F259" s="580">
        <v>126724.88695652173</v>
      </c>
      <c r="G259" s="580">
        <v>168222</v>
      </c>
      <c r="H259" s="580" t="e">
        <v>#VALUE!</v>
      </c>
      <c r="I259" s="580" t="e">
        <v>#VALUE!</v>
      </c>
      <c r="J259" s="580" t="e">
        <v>#VALUE!</v>
      </c>
      <c r="K259" s="580" t="e">
        <v>#VALUE!</v>
      </c>
      <c r="L259" s="580" t="e">
        <v>#VALUE!</v>
      </c>
      <c r="M259" s="580" t="e">
        <v>#VALUE!</v>
      </c>
      <c r="N259" s="580" t="e">
        <v>#VALUE!</v>
      </c>
      <c r="O259" s="580" t="e">
        <v>#VALUE!</v>
      </c>
      <c r="P259" s="580" t="e">
        <v>#VALUE!</v>
      </c>
      <c r="Q259" s="580" t="e">
        <v>#VALUE!</v>
      </c>
    </row>
    <row r="260" spans="1:19">
      <c r="B260" s="2190"/>
      <c r="C260" s="5"/>
      <c r="D260" s="616"/>
      <c r="E260" s="580"/>
      <c r="F260" s="580"/>
      <c r="G260" s="580"/>
      <c r="H260" s="580"/>
      <c r="I260" s="580"/>
      <c r="J260" s="580"/>
      <c r="K260" s="580"/>
      <c r="L260" s="580"/>
      <c r="M260" s="580"/>
      <c r="N260" s="580"/>
      <c r="O260" s="580"/>
      <c r="P260" s="580"/>
      <c r="Q260" s="580"/>
    </row>
    <row r="261" spans="1:19">
      <c r="B261" s="2189"/>
      <c r="C261" s="4" t="s">
        <v>2143</v>
      </c>
      <c r="D261" s="141" t="s">
        <v>2210</v>
      </c>
      <c r="E261" s="584" t="e">
        <v>#DIV/0!</v>
      </c>
      <c r="F261" s="584" t="e">
        <v>#DIV/0!</v>
      </c>
      <c r="G261" s="584" t="e">
        <v>#DIV/0!</v>
      </c>
      <c r="H261" s="584" t="e">
        <v>#DIV/0!</v>
      </c>
      <c r="I261" s="584" t="e">
        <v>#DIV/0!</v>
      </c>
      <c r="J261" s="584" t="e">
        <v>#DIV/0!</v>
      </c>
      <c r="K261" s="584" t="e">
        <v>#DIV/0!</v>
      </c>
      <c r="L261" s="584" t="e">
        <v>#DIV/0!</v>
      </c>
      <c r="M261" s="584" t="e">
        <v>#DIV/0!</v>
      </c>
      <c r="N261" s="584" t="e">
        <v>#DIV/0!</v>
      </c>
      <c r="O261" s="584" t="e">
        <v>#DIV/0!</v>
      </c>
      <c r="P261" s="584" t="e">
        <v>#DIV/0!</v>
      </c>
      <c r="Q261" s="584" t="e">
        <v>#DIV/0!</v>
      </c>
    </row>
    <row r="262" spans="1:19">
      <c r="B262" s="2189"/>
      <c r="C262" s="4"/>
      <c r="D262" s="141" t="s">
        <v>1564</v>
      </c>
      <c r="E262" s="584">
        <v>3.169854140235568E-2</v>
      </c>
      <c r="F262" s="584">
        <v>-1.7124806204635554E-2</v>
      </c>
      <c r="G262" s="584">
        <v>0.13743981167742625</v>
      </c>
      <c r="H262" s="584" t="s">
        <v>21</v>
      </c>
      <c r="I262" s="584" t="s">
        <v>21</v>
      </c>
      <c r="J262" s="584" t="s">
        <v>21</v>
      </c>
      <c r="K262" s="584" t="s">
        <v>21</v>
      </c>
      <c r="L262" s="584" t="s">
        <v>21</v>
      </c>
      <c r="M262" s="584" t="s">
        <v>21</v>
      </c>
      <c r="N262" s="584" t="s">
        <v>21</v>
      </c>
      <c r="O262" s="584" t="s">
        <v>21</v>
      </c>
      <c r="P262" s="584" t="s">
        <v>21</v>
      </c>
      <c r="Q262" s="584" t="s">
        <v>21</v>
      </c>
    </row>
    <row r="263" spans="1:19">
      <c r="B263" s="2191"/>
      <c r="C263" s="620"/>
      <c r="D263" s="141"/>
      <c r="E263" s="584"/>
      <c r="F263" s="584"/>
      <c r="G263" s="584"/>
      <c r="H263" s="584"/>
      <c r="I263" s="584"/>
      <c r="J263" s="584"/>
      <c r="K263" s="584"/>
      <c r="L263" s="584"/>
      <c r="M263" s="584"/>
      <c r="N263" s="584"/>
      <c r="O263" s="584"/>
      <c r="P263" s="584"/>
      <c r="Q263" s="584"/>
    </row>
    <row r="264" spans="1:19">
      <c r="A264" t="s">
        <v>2214</v>
      </c>
      <c r="B264" s="2192" t="s">
        <v>2158</v>
      </c>
      <c r="C264" s="621" t="s">
        <v>2136</v>
      </c>
      <c r="D264" s="612" t="s">
        <v>2137</v>
      </c>
      <c r="E264" s="572">
        <v>2194696000</v>
      </c>
      <c r="F264" s="586">
        <v>98609313.522447199</v>
      </c>
      <c r="G264" s="586">
        <v>135417650.5977298</v>
      </c>
      <c r="H264" s="586">
        <v>145765636.76995984</v>
      </c>
      <c r="I264" s="586">
        <v>159830350.06094593</v>
      </c>
      <c r="J264" s="586">
        <v>174409747.5911164</v>
      </c>
      <c r="K264" s="586">
        <v>203462282.75457451</v>
      </c>
      <c r="L264" s="586">
        <v>217103721.12150493</v>
      </c>
      <c r="M264" s="586">
        <v>332201369.40088981</v>
      </c>
      <c r="N264" s="586">
        <v>184278282.71501213</v>
      </c>
      <c r="O264" s="586">
        <v>164038045.0487147</v>
      </c>
      <c r="P264" s="586">
        <v>182784081.0638859</v>
      </c>
      <c r="Q264" s="586">
        <v>196795519.35321876</v>
      </c>
    </row>
    <row r="265" spans="1:19">
      <c r="B265" s="2193"/>
      <c r="C265" s="622"/>
      <c r="D265" s="612" t="s">
        <v>2138</v>
      </c>
      <c r="E265" s="572">
        <v>127096248</v>
      </c>
      <c r="F265" s="580">
        <v>105101835</v>
      </c>
      <c r="G265" s="580">
        <v>21994413</v>
      </c>
      <c r="H265" s="580">
        <v>0</v>
      </c>
      <c r="I265" s="580">
        <v>0</v>
      </c>
      <c r="J265" s="580">
        <v>0</v>
      </c>
      <c r="K265" s="580">
        <v>0</v>
      </c>
      <c r="L265" s="580">
        <v>0</v>
      </c>
      <c r="M265" s="580">
        <v>0</v>
      </c>
      <c r="N265" s="580">
        <v>0</v>
      </c>
      <c r="O265" s="580">
        <v>0</v>
      </c>
      <c r="P265" s="580">
        <v>0</v>
      </c>
      <c r="Q265" s="580">
        <v>0</v>
      </c>
    </row>
    <row r="266" spans="1:19">
      <c r="B266" s="2193"/>
      <c r="C266" s="11"/>
      <c r="D266" s="612" t="s">
        <v>2139</v>
      </c>
      <c r="E266" s="574"/>
      <c r="F266" s="582">
        <v>1.0658408546376794</v>
      </c>
      <c r="G266" s="582">
        <v>0.16241910048592087</v>
      </c>
      <c r="H266" s="582">
        <v>0</v>
      </c>
      <c r="I266" s="582">
        <v>0</v>
      </c>
      <c r="J266" s="582">
        <v>0</v>
      </c>
      <c r="K266" s="582">
        <v>0</v>
      </c>
      <c r="L266" s="582">
        <v>0</v>
      </c>
      <c r="M266" s="582">
        <v>0</v>
      </c>
      <c r="N266" s="582">
        <v>0</v>
      </c>
      <c r="O266" s="582">
        <v>0</v>
      </c>
      <c r="P266" s="582">
        <v>0</v>
      </c>
      <c r="Q266" s="582">
        <v>0</v>
      </c>
    </row>
    <row r="267" spans="1:19">
      <c r="A267" t="s">
        <v>2215</v>
      </c>
      <c r="B267" s="2193"/>
      <c r="C267" s="622" t="s">
        <v>2140</v>
      </c>
      <c r="D267" s="612" t="s">
        <v>2137</v>
      </c>
      <c r="E267" s="572">
        <v>619534999.99999988</v>
      </c>
      <c r="F267" s="586">
        <v>26992832.096661586</v>
      </c>
      <c r="G267" s="586">
        <v>37818284.051401488</v>
      </c>
      <c r="H267" s="586">
        <v>41171150.760194167</v>
      </c>
      <c r="I267" s="586">
        <v>45276230.890177339</v>
      </c>
      <c r="J267" s="586">
        <v>48756230.64805828</v>
      </c>
      <c r="K267" s="586">
        <v>57642258.431867726</v>
      </c>
      <c r="L267" s="586">
        <v>61001458.044468231</v>
      </c>
      <c r="M267" s="586">
        <v>95923339.431947201</v>
      </c>
      <c r="N267" s="586">
        <v>51401890.38011425</v>
      </c>
      <c r="O267" s="586">
        <v>45955702.543725103</v>
      </c>
      <c r="P267" s="586">
        <v>51669524.242110886</v>
      </c>
      <c r="Q267" s="586">
        <v>55926098.479273729</v>
      </c>
    </row>
    <row r="268" spans="1:19">
      <c r="B268" s="2193"/>
      <c r="C268" s="622"/>
      <c r="D268" s="612" t="s">
        <v>2138</v>
      </c>
      <c r="E268" s="572">
        <v>49272536</v>
      </c>
      <c r="F268" s="580">
        <v>41367403</v>
      </c>
      <c r="G268" s="580">
        <v>7905133</v>
      </c>
      <c r="H268" s="580">
        <v>0</v>
      </c>
      <c r="I268" s="580">
        <v>0</v>
      </c>
      <c r="J268" s="580">
        <v>0</v>
      </c>
      <c r="K268" s="580">
        <v>0</v>
      </c>
      <c r="L268" s="580">
        <v>0</v>
      </c>
      <c r="M268" s="580">
        <v>0</v>
      </c>
      <c r="N268" s="580">
        <v>0</v>
      </c>
      <c r="O268" s="580">
        <v>0</v>
      </c>
      <c r="P268" s="580">
        <v>0</v>
      </c>
      <c r="Q268" s="580">
        <v>0</v>
      </c>
    </row>
    <row r="269" spans="1:19">
      <c r="B269" s="2193"/>
      <c r="C269" s="11"/>
      <c r="D269" s="612" t="s">
        <v>2139</v>
      </c>
      <c r="E269" s="572"/>
      <c r="F269" s="582">
        <v>1.5325328906527089</v>
      </c>
      <c r="G269" s="582">
        <v>0.20902939406916449</v>
      </c>
      <c r="H269" s="582">
        <v>0</v>
      </c>
      <c r="I269" s="582">
        <v>0</v>
      </c>
      <c r="J269" s="582">
        <v>0</v>
      </c>
      <c r="K269" s="582">
        <v>0</v>
      </c>
      <c r="L269" s="582">
        <v>0</v>
      </c>
      <c r="M269" s="582">
        <v>0</v>
      </c>
      <c r="N269" s="582">
        <v>0</v>
      </c>
      <c r="O269" s="582">
        <v>0</v>
      </c>
      <c r="P269" s="582">
        <v>0</v>
      </c>
      <c r="Q269" s="582">
        <v>0</v>
      </c>
    </row>
    <row r="270" spans="1:19">
      <c r="A270" t="s">
        <v>2216</v>
      </c>
      <c r="B270" s="2193"/>
      <c r="C270" s="622" t="s">
        <v>2141</v>
      </c>
      <c r="D270" s="612" t="s">
        <v>2137</v>
      </c>
      <c r="E270" s="579">
        <v>16233.383185586617</v>
      </c>
      <c r="F270" s="580">
        <v>737.45587127492706</v>
      </c>
      <c r="G270" s="580">
        <v>1005.5480499740926</v>
      </c>
      <c r="H270" s="580">
        <v>1077.9527416155775</v>
      </c>
      <c r="I270" s="580">
        <v>1180.6933156488203</v>
      </c>
      <c r="J270" s="580">
        <v>1294.6198954609984</v>
      </c>
      <c r="K270" s="580">
        <v>1502.9510874403322</v>
      </c>
      <c r="L270" s="580">
        <v>1608.5608475350498</v>
      </c>
      <c r="M270" s="580">
        <v>2436.6089125864446</v>
      </c>
      <c r="N270" s="580">
        <v>1368.9559236096427</v>
      </c>
      <c r="O270" s="580">
        <v>1216.6850164158564</v>
      </c>
      <c r="P270" s="580">
        <v>1351.3000806504735</v>
      </c>
      <c r="Q270" s="580">
        <v>1452.0514433744027</v>
      </c>
    </row>
    <row r="271" spans="1:19">
      <c r="B271" s="2193"/>
      <c r="C271" s="622"/>
      <c r="D271" s="612" t="s">
        <v>2138</v>
      </c>
      <c r="E271" s="578">
        <v>799</v>
      </c>
      <c r="F271" s="580">
        <v>651</v>
      </c>
      <c r="G271" s="580">
        <v>148</v>
      </c>
      <c r="H271" s="580">
        <v>0</v>
      </c>
      <c r="I271" s="580">
        <v>0</v>
      </c>
      <c r="J271" s="580">
        <v>0</v>
      </c>
      <c r="K271" s="580">
        <v>0</v>
      </c>
      <c r="L271" s="580">
        <v>0</v>
      </c>
      <c r="M271" s="580">
        <v>0</v>
      </c>
      <c r="N271" s="580">
        <v>0</v>
      </c>
      <c r="O271" s="580">
        <v>0</v>
      </c>
      <c r="P271" s="580">
        <v>0</v>
      </c>
      <c r="Q271" s="580">
        <v>0</v>
      </c>
    </row>
    <row r="272" spans="1:19">
      <c r="B272" s="2193"/>
      <c r="C272" s="11"/>
      <c r="D272" s="612" t="s">
        <v>2139</v>
      </c>
      <c r="E272" s="580"/>
      <c r="F272" s="582">
        <v>0.88276468512555117</v>
      </c>
      <c r="G272" s="582">
        <v>0.1471834190358314</v>
      </c>
      <c r="H272" s="582">
        <v>0</v>
      </c>
      <c r="I272" s="582">
        <v>0</v>
      </c>
      <c r="J272" s="582">
        <v>0</v>
      </c>
      <c r="K272" s="582">
        <v>0</v>
      </c>
      <c r="L272" s="582">
        <v>0</v>
      </c>
      <c r="M272" s="582">
        <v>0</v>
      </c>
      <c r="N272" s="582">
        <v>0</v>
      </c>
      <c r="O272" s="582">
        <v>0</v>
      </c>
      <c r="P272" s="582">
        <v>0</v>
      </c>
      <c r="Q272" s="582">
        <v>0</v>
      </c>
    </row>
    <row r="273" spans="2:17">
      <c r="B273" s="2193"/>
      <c r="C273" s="622" t="s">
        <v>2142</v>
      </c>
      <c r="D273" s="612" t="s">
        <v>2137</v>
      </c>
      <c r="E273" s="580">
        <v>135196.46366437271</v>
      </c>
      <c r="F273" s="580">
        <v>133715.54470367107</v>
      </c>
      <c r="G273" s="580">
        <v>134670.49197819913</v>
      </c>
      <c r="H273" s="580">
        <v>135224.51508541475</v>
      </c>
      <c r="I273" s="580">
        <v>135369.91184972975</v>
      </c>
      <c r="J273" s="580">
        <v>134718.88405438972</v>
      </c>
      <c r="K273" s="580">
        <v>135375.18582929403</v>
      </c>
      <c r="L273" s="580">
        <v>134967.67713462227</v>
      </c>
      <c r="M273" s="580">
        <v>136337.58281227833</v>
      </c>
      <c r="N273" s="580">
        <v>134612.28337367493</v>
      </c>
      <c r="O273" s="580">
        <v>134823.75704103138</v>
      </c>
      <c r="P273" s="580">
        <v>135265.35199783262</v>
      </c>
      <c r="Q273" s="580">
        <v>135529.30252656084</v>
      </c>
    </row>
    <row r="274" spans="2:17">
      <c r="B274" s="2193"/>
      <c r="C274" s="622"/>
      <c r="D274" s="612" t="s">
        <v>2138</v>
      </c>
      <c r="E274" s="580">
        <v>159069.14643304131</v>
      </c>
      <c r="F274" s="580">
        <v>161446.75115207373</v>
      </c>
      <c r="G274" s="580">
        <v>148610.89864864864</v>
      </c>
      <c r="H274" s="580" t="s">
        <v>21</v>
      </c>
      <c r="I274" s="580" t="s">
        <v>21</v>
      </c>
      <c r="J274" s="580" t="s">
        <v>21</v>
      </c>
      <c r="K274" s="580" t="s">
        <v>21</v>
      </c>
      <c r="L274" s="580" t="s">
        <v>21</v>
      </c>
      <c r="M274" s="580" t="s">
        <v>21</v>
      </c>
      <c r="N274" s="580" t="s">
        <v>21</v>
      </c>
      <c r="O274" s="580" t="s">
        <v>21</v>
      </c>
      <c r="P274" s="580" t="s">
        <v>21</v>
      </c>
      <c r="Q274" s="580" t="s">
        <v>21</v>
      </c>
    </row>
    <row r="275" spans="2:17">
      <c r="B275" s="2193"/>
      <c r="C275" s="623"/>
      <c r="D275" s="612"/>
      <c r="E275" s="580"/>
      <c r="F275" s="580"/>
      <c r="G275" s="580"/>
      <c r="H275" s="580"/>
      <c r="I275" s="580"/>
      <c r="J275" s="580"/>
      <c r="K275" s="580"/>
      <c r="L275" s="580"/>
      <c r="M275" s="580"/>
      <c r="N275" s="580"/>
      <c r="O275" s="580"/>
      <c r="P275" s="580"/>
      <c r="Q275" s="580"/>
    </row>
    <row r="276" spans="2:17">
      <c r="B276" s="2193"/>
      <c r="C276" s="622" t="s">
        <v>2143</v>
      </c>
      <c r="D276" s="612" t="s">
        <v>2137</v>
      </c>
      <c r="E276" s="584">
        <v>0.28228738741037479</v>
      </c>
      <c r="F276" s="584">
        <v>0.27373511824029684</v>
      </c>
      <c r="G276" s="584">
        <v>0.27927145305263101</v>
      </c>
      <c r="H276" s="584">
        <v>0.28244757593429548</v>
      </c>
      <c r="I276" s="584">
        <v>0.28327680489289281</v>
      </c>
      <c r="J276" s="584">
        <v>0.27954991806055279</v>
      </c>
      <c r="K276" s="584">
        <v>0.28330685005337547</v>
      </c>
      <c r="L276" s="584">
        <v>0.28097840851989803</v>
      </c>
      <c r="M276" s="584">
        <v>0.28875058403564263</v>
      </c>
      <c r="N276" s="584">
        <v>0.27893623503973985</v>
      </c>
      <c r="O276" s="584">
        <v>0.28015270805060832</v>
      </c>
      <c r="P276" s="584">
        <v>0.28268065764464234</v>
      </c>
      <c r="Q276" s="584">
        <v>0.28418379982978514</v>
      </c>
    </row>
    <row r="277" spans="2:17">
      <c r="B277" s="2193"/>
      <c r="C277" s="622"/>
      <c r="D277" s="612" t="s">
        <v>1564</v>
      </c>
      <c r="E277" s="584">
        <v>0.38767891873566557</v>
      </c>
      <c r="F277" s="584">
        <v>0.39359353716326645</v>
      </c>
      <c r="G277" s="584">
        <v>0.35941550247328719</v>
      </c>
      <c r="H277" s="584" t="s">
        <v>21</v>
      </c>
      <c r="I277" s="584" t="s">
        <v>21</v>
      </c>
      <c r="J277" s="584" t="s">
        <v>21</v>
      </c>
      <c r="K277" s="584" t="s">
        <v>21</v>
      </c>
      <c r="L277" s="584" t="s">
        <v>21</v>
      </c>
      <c r="M277" s="584" t="s">
        <v>21</v>
      </c>
      <c r="N277" s="584" t="s">
        <v>21</v>
      </c>
      <c r="O277" s="584" t="s">
        <v>21</v>
      </c>
      <c r="P277" s="584" t="s">
        <v>21</v>
      </c>
      <c r="Q277" s="584" t="s">
        <v>21</v>
      </c>
    </row>
    <row r="278" spans="2:17">
      <c r="B278" s="2194"/>
      <c r="C278" s="623"/>
      <c r="D278" s="612"/>
      <c r="E278" s="584">
        <v>0.38767891873566557</v>
      </c>
      <c r="F278" s="584">
        <v>0.27373511824029684</v>
      </c>
      <c r="G278" s="584">
        <v>0.27927145305263101</v>
      </c>
      <c r="H278" s="584">
        <v>0.28244757593429548</v>
      </c>
      <c r="I278" s="584">
        <v>0.28327680489289281</v>
      </c>
      <c r="J278" s="584">
        <v>0.27954991806055279</v>
      </c>
      <c r="K278" s="584">
        <v>0.28330685005337547</v>
      </c>
      <c r="L278" s="584">
        <v>0.28097840851989803</v>
      </c>
      <c r="M278" s="584">
        <v>0.28875058403564263</v>
      </c>
      <c r="N278" s="584">
        <v>0.27893623503973985</v>
      </c>
      <c r="O278" s="584">
        <v>0.28015270805060832</v>
      </c>
      <c r="P278" s="584">
        <v>0.28268065764464234</v>
      </c>
      <c r="Q278" s="584">
        <v>0.28418379982978514</v>
      </c>
    </row>
    <row r="307" spans="1:1">
      <c r="A307" t="s">
        <v>2206</v>
      </c>
    </row>
    <row r="308" spans="1:1">
      <c r="A308" t="s">
        <v>2207</v>
      </c>
    </row>
    <row r="309" spans="1:1">
      <c r="A309" t="s">
        <v>2208</v>
      </c>
    </row>
    <row r="312" spans="1:1">
      <c r="A312" t="s">
        <v>2211</v>
      </c>
    </row>
    <row r="313" spans="1:1">
      <c r="A313" t="s">
        <v>2212</v>
      </c>
    </row>
    <row r="314" spans="1:1">
      <c r="A314" t="s">
        <v>2213</v>
      </c>
    </row>
    <row r="317" spans="1:1">
      <c r="A317" t="s">
        <v>2214</v>
      </c>
    </row>
    <row r="318" spans="1:1">
      <c r="A318" t="s">
        <v>2215</v>
      </c>
    </row>
    <row r="319" spans="1:1">
      <c r="A319" t="s">
        <v>2216</v>
      </c>
    </row>
  </sheetData>
  <mergeCells count="16">
    <mergeCell ref="B264:B278"/>
    <mergeCell ref="B183:B197"/>
    <mergeCell ref="B198:B212"/>
    <mergeCell ref="B213:B227"/>
    <mergeCell ref="B234:B248"/>
    <mergeCell ref="B249:B263"/>
    <mergeCell ref="B97:B111"/>
    <mergeCell ref="B115:B129"/>
    <mergeCell ref="B135:B149"/>
    <mergeCell ref="B150:B164"/>
    <mergeCell ref="B165:B179"/>
    <mergeCell ref="B4:B18"/>
    <mergeCell ref="B22:B36"/>
    <mergeCell ref="B40:B54"/>
    <mergeCell ref="B58:B72"/>
    <mergeCell ref="B79:B93"/>
  </mergeCells>
  <phoneticPr fontId="4"/>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8950C-8EC1-42AE-A2C3-CB87E9E8B3FA}">
  <sheetPr codeName="Sheet51"/>
  <dimension ref="A1:AE965"/>
  <sheetViews>
    <sheetView workbookViewId="0">
      <selection activeCell="AE340" sqref="A1:AE340"/>
    </sheetView>
  </sheetViews>
  <sheetFormatPr defaultColWidth="8.75" defaultRowHeight="18.75" outlineLevelCol="1"/>
  <cols>
    <col min="1" max="1" width="9.375" bestFit="1" customWidth="1"/>
    <col min="2" max="2" width="7.5" bestFit="1" customWidth="1"/>
    <col min="3" max="3" width="9.625" bestFit="1" customWidth="1"/>
    <col min="4" max="4" width="40" hidden="1" customWidth="1" outlineLevel="1"/>
    <col min="5" max="5" width="11.375" style="103" bestFit="1" customWidth="1" collapsed="1"/>
    <col min="6" max="6" width="5.75" bestFit="1" customWidth="1"/>
    <col min="7" max="7" width="11.375" style="103" bestFit="1" customWidth="1"/>
    <col min="8" max="8" width="6.125" hidden="1" customWidth="1" outlineLevel="1"/>
    <col min="9" max="9" width="15" bestFit="1" customWidth="1" collapsed="1"/>
    <col min="10" max="10" width="9.375" bestFit="1" customWidth="1"/>
    <col min="11" max="11" width="11.625" bestFit="1" customWidth="1"/>
    <col min="12" max="12" width="11.75" bestFit="1" customWidth="1"/>
    <col min="13" max="13" width="56.125" hidden="1" customWidth="1" outlineLevel="1"/>
    <col min="14" max="14" width="13.25" bestFit="1" customWidth="1" collapsed="1"/>
    <col min="15" max="15" width="13.75" hidden="1" customWidth="1" outlineLevel="1"/>
    <col min="16" max="16" width="11.375" style="103" hidden="1" customWidth="1" outlineLevel="1"/>
    <col min="17" max="17" width="10.5" hidden="1" customWidth="1" outlineLevel="1"/>
    <col min="18" max="18" width="11.375" style="103" hidden="1" customWidth="1" outlineLevel="1"/>
    <col min="19" max="19" width="42.5" hidden="1" customWidth="1" outlineLevel="1"/>
    <col min="20" max="20" width="81" hidden="1" customWidth="1" outlineLevel="1"/>
    <col min="21" max="21" width="12.75" bestFit="1" customWidth="1" collapsed="1"/>
    <col min="22" max="22" width="58.375" hidden="1" customWidth="1" outlineLevel="1"/>
    <col min="23" max="23" width="81" hidden="1" customWidth="1" outlineLevel="1"/>
    <col min="24" max="24" width="34.375" hidden="1" customWidth="1" outlineLevel="1"/>
    <col min="25" max="25" width="12.625" hidden="1" customWidth="1" outlineLevel="1"/>
    <col min="26" max="26" width="15" bestFit="1" customWidth="1" collapsed="1"/>
    <col min="27" max="27" width="15" bestFit="1" customWidth="1"/>
    <col min="28" max="28" width="39.75" hidden="1" customWidth="1" outlineLevel="1"/>
    <col min="29" max="29" width="16.125" hidden="1" customWidth="1" outlineLevel="1"/>
    <col min="30" max="30" width="13.25" bestFit="1" customWidth="1" collapsed="1"/>
    <col min="31" max="31" width="6.75" bestFit="1" customWidth="1"/>
    <col min="32" max="32" width="13.125" bestFit="1" customWidth="1"/>
    <col min="33" max="33" width="11.625" bestFit="1" customWidth="1"/>
    <col min="34" max="34" width="11.375" bestFit="1" customWidth="1"/>
    <col min="35" max="37" width="13.125" bestFit="1" customWidth="1"/>
    <col min="38" max="38" width="11.375" bestFit="1" customWidth="1"/>
    <col min="39" max="41" width="13.125" bestFit="1" customWidth="1"/>
  </cols>
  <sheetData>
    <row r="1" spans="1:31">
      <c r="A1" t="s">
        <v>2031</v>
      </c>
      <c r="B1" t="s">
        <v>2032</v>
      </c>
      <c r="C1" t="s">
        <v>2217</v>
      </c>
      <c r="D1" t="s">
        <v>2218</v>
      </c>
      <c r="E1" s="103" t="s">
        <v>110</v>
      </c>
      <c r="F1" t="s">
        <v>1949</v>
      </c>
      <c r="G1" s="103" t="s">
        <v>2219</v>
      </c>
      <c r="H1" t="s">
        <v>2036</v>
      </c>
      <c r="I1" t="s">
        <v>82</v>
      </c>
      <c r="J1" t="s">
        <v>2220</v>
      </c>
      <c r="K1" t="s">
        <v>2221</v>
      </c>
      <c r="L1" t="s">
        <v>2222</v>
      </c>
      <c r="M1" t="s">
        <v>2223</v>
      </c>
      <c r="N1" t="s">
        <v>2224</v>
      </c>
      <c r="O1" t="s">
        <v>2043</v>
      </c>
      <c r="P1" s="103" t="s">
        <v>2044</v>
      </c>
      <c r="Q1" t="s">
        <v>2045</v>
      </c>
      <c r="R1" s="103" t="s">
        <v>2046</v>
      </c>
      <c r="S1" t="s">
        <v>2047</v>
      </c>
      <c r="T1" t="s">
        <v>2048</v>
      </c>
      <c r="U1" t="s">
        <v>2225</v>
      </c>
      <c r="V1" t="s">
        <v>2226</v>
      </c>
      <c r="W1" t="s">
        <v>90</v>
      </c>
      <c r="X1" t="s">
        <v>2052</v>
      </c>
      <c r="Y1" t="s">
        <v>2053</v>
      </c>
      <c r="Z1" t="s">
        <v>2227</v>
      </c>
      <c r="AA1" t="s">
        <v>2228</v>
      </c>
      <c r="AB1" t="s">
        <v>2229</v>
      </c>
      <c r="AC1" t="s">
        <v>2060</v>
      </c>
      <c r="AD1" t="s">
        <v>2736</v>
      </c>
      <c r="AE1" t="s">
        <v>134</v>
      </c>
    </row>
    <row r="2" spans="1:31" hidden="1">
      <c r="A2">
        <v>189152</v>
      </c>
      <c r="B2">
        <v>150</v>
      </c>
      <c r="C2" t="s">
        <v>2739</v>
      </c>
      <c r="E2" s="103">
        <v>45478</v>
      </c>
      <c r="F2">
        <v>1</v>
      </c>
      <c r="G2" s="1210">
        <v>45356</v>
      </c>
      <c r="I2" t="s">
        <v>426</v>
      </c>
      <c r="J2" t="s">
        <v>2012</v>
      </c>
      <c r="K2">
        <v>4500006708</v>
      </c>
      <c r="L2" t="s">
        <v>2740</v>
      </c>
      <c r="M2" t="s">
        <v>2741</v>
      </c>
      <c r="N2" t="s">
        <v>2742</v>
      </c>
      <c r="O2" t="s">
        <v>2743</v>
      </c>
      <c r="P2" s="103">
        <v>45471</v>
      </c>
      <c r="Q2" t="s">
        <v>2231</v>
      </c>
      <c r="R2" s="103">
        <v>45474</v>
      </c>
      <c r="S2" t="s">
        <v>2281</v>
      </c>
      <c r="U2" t="s">
        <v>2744</v>
      </c>
      <c r="W2" t="s">
        <v>2745</v>
      </c>
      <c r="X2" t="s">
        <v>2738</v>
      </c>
      <c r="Y2" t="s">
        <v>2088</v>
      </c>
      <c r="AD2">
        <v>150</v>
      </c>
    </row>
    <row r="3" spans="1:31" hidden="1">
      <c r="A3">
        <v>193182</v>
      </c>
      <c r="B3">
        <v>20</v>
      </c>
      <c r="C3" t="s">
        <v>2746</v>
      </c>
      <c r="E3" s="103">
        <v>45478</v>
      </c>
      <c r="F3">
        <v>1</v>
      </c>
      <c r="G3" s="1210">
        <v>45405</v>
      </c>
      <c r="I3" t="s">
        <v>2586</v>
      </c>
      <c r="J3" t="s">
        <v>2012</v>
      </c>
      <c r="K3">
        <v>4500007036</v>
      </c>
      <c r="L3" t="s">
        <v>2747</v>
      </c>
      <c r="M3" t="s">
        <v>2748</v>
      </c>
      <c r="N3" t="s">
        <v>2749</v>
      </c>
      <c r="O3" t="s">
        <v>2743</v>
      </c>
      <c r="P3" s="103">
        <v>45471</v>
      </c>
      <c r="Q3" t="s">
        <v>2231</v>
      </c>
      <c r="R3" s="103">
        <v>45475</v>
      </c>
      <c r="S3" t="s">
        <v>2281</v>
      </c>
      <c r="U3" t="s">
        <v>2744</v>
      </c>
      <c r="X3" t="s">
        <v>2738</v>
      </c>
      <c r="Y3" t="s">
        <v>2088</v>
      </c>
      <c r="AD3">
        <v>20</v>
      </c>
    </row>
    <row r="4" spans="1:31" hidden="1">
      <c r="A4">
        <v>186233</v>
      </c>
      <c r="B4">
        <v>150</v>
      </c>
      <c r="C4" t="s">
        <v>2750</v>
      </c>
      <c r="E4" s="103">
        <v>45478</v>
      </c>
      <c r="F4">
        <v>1</v>
      </c>
      <c r="G4" s="1210">
        <v>45405</v>
      </c>
      <c r="I4" t="s">
        <v>1689</v>
      </c>
      <c r="J4" t="s">
        <v>2751</v>
      </c>
      <c r="K4">
        <v>4500007037</v>
      </c>
      <c r="L4" t="s">
        <v>2752</v>
      </c>
      <c r="M4" t="s">
        <v>2741</v>
      </c>
      <c r="N4" t="s">
        <v>2749</v>
      </c>
      <c r="O4" t="s">
        <v>2743</v>
      </c>
      <c r="P4" s="103">
        <v>45471</v>
      </c>
      <c r="Q4" t="s">
        <v>2231</v>
      </c>
      <c r="R4" s="103">
        <v>45475</v>
      </c>
      <c r="S4" t="s">
        <v>2281</v>
      </c>
      <c r="U4" t="s">
        <v>2744</v>
      </c>
      <c r="X4" t="s">
        <v>2738</v>
      </c>
      <c r="Y4" t="s">
        <v>2088</v>
      </c>
      <c r="AD4">
        <v>150</v>
      </c>
    </row>
    <row r="5" spans="1:31" hidden="1">
      <c r="A5">
        <v>193184</v>
      </c>
      <c r="B5">
        <v>110</v>
      </c>
      <c r="C5" t="s">
        <v>2753</v>
      </c>
      <c r="E5" s="103">
        <v>45478</v>
      </c>
      <c r="F5">
        <v>1</v>
      </c>
      <c r="G5" s="1210">
        <v>45405</v>
      </c>
      <c r="I5" t="s">
        <v>338</v>
      </c>
      <c r="J5" t="s">
        <v>2012</v>
      </c>
      <c r="K5">
        <v>4500007038</v>
      </c>
      <c r="L5" t="s">
        <v>2754</v>
      </c>
      <c r="M5" t="s">
        <v>2755</v>
      </c>
      <c r="N5" t="s">
        <v>2749</v>
      </c>
      <c r="O5" t="s">
        <v>2743</v>
      </c>
      <c r="P5" s="103">
        <v>45471</v>
      </c>
      <c r="Q5" t="s">
        <v>2231</v>
      </c>
      <c r="R5" s="103">
        <v>45475</v>
      </c>
      <c r="S5" t="s">
        <v>2281</v>
      </c>
      <c r="U5" t="s">
        <v>2744</v>
      </c>
      <c r="X5" t="s">
        <v>2738</v>
      </c>
      <c r="Y5" t="s">
        <v>2088</v>
      </c>
      <c r="AD5">
        <v>110</v>
      </c>
    </row>
    <row r="6" spans="1:31" hidden="1">
      <c r="A6">
        <v>193190</v>
      </c>
      <c r="B6">
        <v>10</v>
      </c>
      <c r="C6" t="s">
        <v>2756</v>
      </c>
      <c r="E6" s="103">
        <v>45478</v>
      </c>
      <c r="F6">
        <v>1</v>
      </c>
      <c r="G6" s="1210">
        <v>45405</v>
      </c>
      <c r="I6" t="s">
        <v>2591</v>
      </c>
      <c r="J6" t="s">
        <v>2012</v>
      </c>
      <c r="K6">
        <v>4500007040</v>
      </c>
      <c r="L6" t="s">
        <v>2757</v>
      </c>
      <c r="M6" t="s">
        <v>2748</v>
      </c>
      <c r="N6" t="s">
        <v>2749</v>
      </c>
      <c r="O6" t="s">
        <v>2743</v>
      </c>
      <c r="P6" s="103">
        <v>45471</v>
      </c>
      <c r="Q6" t="s">
        <v>2231</v>
      </c>
      <c r="R6" s="103">
        <v>45475</v>
      </c>
      <c r="S6" t="s">
        <v>2281</v>
      </c>
      <c r="U6" t="s">
        <v>2744</v>
      </c>
      <c r="X6" t="s">
        <v>2738</v>
      </c>
      <c r="Y6" t="s">
        <v>2088</v>
      </c>
      <c r="AD6">
        <v>10</v>
      </c>
    </row>
    <row r="7" spans="1:31" hidden="1">
      <c r="A7">
        <v>193192</v>
      </c>
      <c r="B7">
        <v>100</v>
      </c>
      <c r="C7" t="s">
        <v>2758</v>
      </c>
      <c r="E7" s="103">
        <v>45478</v>
      </c>
      <c r="F7">
        <v>1</v>
      </c>
      <c r="G7" s="1210">
        <v>45405</v>
      </c>
      <c r="I7" t="s">
        <v>456</v>
      </c>
      <c r="J7" t="s">
        <v>2012</v>
      </c>
      <c r="K7">
        <v>4500007041</v>
      </c>
      <c r="L7" t="s">
        <v>2759</v>
      </c>
      <c r="M7" t="s">
        <v>2748</v>
      </c>
      <c r="N7" t="s">
        <v>2749</v>
      </c>
      <c r="O7" t="s">
        <v>2743</v>
      </c>
      <c r="P7" s="103">
        <v>45471</v>
      </c>
      <c r="Q7" t="s">
        <v>2231</v>
      </c>
      <c r="R7" s="103">
        <v>45475</v>
      </c>
      <c r="S7" t="s">
        <v>2281</v>
      </c>
      <c r="U7" t="s">
        <v>2744</v>
      </c>
      <c r="X7" t="s">
        <v>2738</v>
      </c>
      <c r="Y7" t="s">
        <v>2088</v>
      </c>
      <c r="AD7">
        <v>100</v>
      </c>
    </row>
    <row r="8" spans="1:31" hidden="1">
      <c r="A8">
        <v>193711</v>
      </c>
      <c r="B8">
        <v>100</v>
      </c>
      <c r="C8" t="s">
        <v>2758</v>
      </c>
      <c r="E8" s="103">
        <v>45478</v>
      </c>
      <c r="F8">
        <v>1</v>
      </c>
      <c r="G8" s="1210">
        <v>45405</v>
      </c>
      <c r="I8" t="s">
        <v>1037</v>
      </c>
      <c r="J8" t="s">
        <v>2012</v>
      </c>
      <c r="K8">
        <v>4500007044</v>
      </c>
      <c r="L8" t="s">
        <v>2759</v>
      </c>
      <c r="M8" t="s">
        <v>2748</v>
      </c>
      <c r="N8" t="s">
        <v>2749</v>
      </c>
      <c r="O8" t="s">
        <v>2743</v>
      </c>
      <c r="P8" s="103">
        <v>45471</v>
      </c>
      <c r="Q8" t="s">
        <v>2231</v>
      </c>
      <c r="R8" s="103">
        <v>45475</v>
      </c>
      <c r="S8" t="s">
        <v>2281</v>
      </c>
      <c r="U8" t="s">
        <v>2744</v>
      </c>
      <c r="X8" t="s">
        <v>2738</v>
      </c>
      <c r="Y8" t="s">
        <v>2088</v>
      </c>
      <c r="AD8">
        <v>100</v>
      </c>
    </row>
    <row r="9" spans="1:31" hidden="1">
      <c r="A9">
        <v>193714</v>
      </c>
      <c r="B9">
        <v>70</v>
      </c>
      <c r="C9" t="s">
        <v>2760</v>
      </c>
      <c r="E9" s="103">
        <v>45478</v>
      </c>
      <c r="F9">
        <v>1</v>
      </c>
      <c r="G9" s="1210">
        <v>45405</v>
      </c>
      <c r="I9" t="s">
        <v>1046</v>
      </c>
      <c r="J9" t="s">
        <v>2012</v>
      </c>
      <c r="K9">
        <v>4500007045</v>
      </c>
      <c r="L9" t="s">
        <v>2761</v>
      </c>
      <c r="M9" t="s">
        <v>2755</v>
      </c>
      <c r="N9" t="s">
        <v>2749</v>
      </c>
      <c r="O9" t="s">
        <v>2743</v>
      </c>
      <c r="P9" s="103">
        <v>45471</v>
      </c>
      <c r="Q9" t="s">
        <v>2231</v>
      </c>
      <c r="R9" s="103">
        <v>45475</v>
      </c>
      <c r="S9" t="s">
        <v>2281</v>
      </c>
      <c r="U9" t="s">
        <v>2744</v>
      </c>
      <c r="X9" t="s">
        <v>2738</v>
      </c>
      <c r="Y9" t="s">
        <v>2088</v>
      </c>
      <c r="AD9">
        <v>70</v>
      </c>
    </row>
    <row r="10" spans="1:31" hidden="1">
      <c r="A10">
        <v>186232</v>
      </c>
      <c r="B10">
        <v>100</v>
      </c>
      <c r="C10" t="s">
        <v>2762</v>
      </c>
      <c r="E10" s="103">
        <v>45478</v>
      </c>
      <c r="F10">
        <v>1</v>
      </c>
      <c r="G10" s="1210">
        <v>45422</v>
      </c>
      <c r="I10" t="s">
        <v>1687</v>
      </c>
      <c r="J10" t="s">
        <v>2751</v>
      </c>
      <c r="K10">
        <v>4500007124</v>
      </c>
      <c r="L10" t="s">
        <v>2763</v>
      </c>
      <c r="M10" t="s">
        <v>2741</v>
      </c>
      <c r="N10" t="s">
        <v>2749</v>
      </c>
      <c r="O10" t="s">
        <v>2743</v>
      </c>
      <c r="P10" s="103">
        <v>45471</v>
      </c>
      <c r="Q10" t="s">
        <v>2231</v>
      </c>
      <c r="R10" s="103">
        <v>45475</v>
      </c>
      <c r="S10" t="s">
        <v>2281</v>
      </c>
      <c r="U10" t="s">
        <v>2744</v>
      </c>
      <c r="X10" t="s">
        <v>2764</v>
      </c>
      <c r="Y10" t="s">
        <v>2088</v>
      </c>
      <c r="AD10">
        <v>100</v>
      </c>
    </row>
    <row r="11" spans="1:31" hidden="1">
      <c r="A11">
        <v>193186</v>
      </c>
      <c r="B11">
        <v>150</v>
      </c>
      <c r="C11" t="s">
        <v>2765</v>
      </c>
      <c r="E11" s="103">
        <v>45481</v>
      </c>
      <c r="F11">
        <v>1</v>
      </c>
      <c r="G11" s="1210">
        <v>45303</v>
      </c>
      <c r="I11" t="s">
        <v>358</v>
      </c>
      <c r="J11" t="s">
        <v>2082</v>
      </c>
      <c r="K11">
        <v>4500006313</v>
      </c>
      <c r="L11" t="s">
        <v>2766</v>
      </c>
      <c r="M11" t="s">
        <v>2741</v>
      </c>
      <c r="N11" t="s">
        <v>2748</v>
      </c>
      <c r="O11" t="s">
        <v>2026</v>
      </c>
      <c r="P11" s="103">
        <v>45471</v>
      </c>
      <c r="Q11" t="s">
        <v>2231</v>
      </c>
      <c r="R11" s="103">
        <v>45475</v>
      </c>
      <c r="S11" t="s">
        <v>2281</v>
      </c>
      <c r="U11" t="s">
        <v>2744</v>
      </c>
      <c r="X11" t="s">
        <v>2738</v>
      </c>
      <c r="Y11" t="s">
        <v>2088</v>
      </c>
      <c r="AD11">
        <v>150</v>
      </c>
    </row>
    <row r="12" spans="1:31" hidden="1">
      <c r="A12">
        <v>193198</v>
      </c>
      <c r="B12">
        <v>260</v>
      </c>
      <c r="C12" t="s">
        <v>2767</v>
      </c>
      <c r="E12" s="103">
        <v>45481</v>
      </c>
      <c r="F12">
        <v>1</v>
      </c>
      <c r="G12" s="1210">
        <v>45303</v>
      </c>
      <c r="I12" t="s">
        <v>498</v>
      </c>
      <c r="J12" t="s">
        <v>2082</v>
      </c>
      <c r="K12">
        <v>4500006316</v>
      </c>
      <c r="L12" t="s">
        <v>2768</v>
      </c>
      <c r="N12" t="s">
        <v>2748</v>
      </c>
      <c r="O12" t="s">
        <v>2026</v>
      </c>
      <c r="P12" s="103">
        <v>45467</v>
      </c>
      <c r="Q12" t="s">
        <v>2231</v>
      </c>
      <c r="R12" s="103">
        <v>45471</v>
      </c>
      <c r="S12" t="s">
        <v>2281</v>
      </c>
      <c r="U12" t="s">
        <v>2744</v>
      </c>
      <c r="X12" t="s">
        <v>2738</v>
      </c>
      <c r="Y12" t="s">
        <v>2088</v>
      </c>
      <c r="AD12">
        <v>260</v>
      </c>
    </row>
    <row r="13" spans="1:31" hidden="1">
      <c r="A13">
        <v>193203</v>
      </c>
      <c r="B13">
        <v>200</v>
      </c>
      <c r="C13" t="s">
        <v>2769</v>
      </c>
      <c r="E13" s="103">
        <v>45481</v>
      </c>
      <c r="F13">
        <v>1</v>
      </c>
      <c r="G13" s="1210">
        <v>45303</v>
      </c>
      <c r="I13" t="s">
        <v>862</v>
      </c>
      <c r="J13" t="s">
        <v>2082</v>
      </c>
      <c r="K13">
        <v>4500006319</v>
      </c>
      <c r="L13" t="s">
        <v>2770</v>
      </c>
      <c r="M13" t="s">
        <v>2741</v>
      </c>
      <c r="N13" t="s">
        <v>2742</v>
      </c>
      <c r="O13" t="s">
        <v>2026</v>
      </c>
      <c r="P13" s="103">
        <v>45470</v>
      </c>
      <c r="Q13" t="s">
        <v>2231</v>
      </c>
      <c r="R13" s="103">
        <v>45474</v>
      </c>
      <c r="S13" t="s">
        <v>2281</v>
      </c>
      <c r="U13" t="s">
        <v>2744</v>
      </c>
      <c r="X13" t="s">
        <v>2738</v>
      </c>
      <c r="Y13" t="s">
        <v>2088</v>
      </c>
      <c r="AD13">
        <v>200</v>
      </c>
    </row>
    <row r="14" spans="1:31" hidden="1">
      <c r="A14">
        <v>193716</v>
      </c>
      <c r="B14">
        <v>20</v>
      </c>
      <c r="C14" t="s">
        <v>2771</v>
      </c>
      <c r="E14" s="103">
        <v>45481</v>
      </c>
      <c r="F14">
        <v>1</v>
      </c>
      <c r="G14" s="1210">
        <v>45307</v>
      </c>
      <c r="I14" t="s">
        <v>992</v>
      </c>
      <c r="J14" t="s">
        <v>2082</v>
      </c>
      <c r="K14">
        <v>4500006335</v>
      </c>
      <c r="L14" t="s">
        <v>2772</v>
      </c>
      <c r="M14" t="s">
        <v>2755</v>
      </c>
      <c r="N14" t="s">
        <v>2748</v>
      </c>
      <c r="O14" t="s">
        <v>2026</v>
      </c>
      <c r="P14" s="103">
        <v>45467</v>
      </c>
      <c r="Q14" t="s">
        <v>2231</v>
      </c>
      <c r="R14" s="103">
        <v>45471</v>
      </c>
      <c r="S14" t="s">
        <v>2281</v>
      </c>
      <c r="U14" t="s">
        <v>2744</v>
      </c>
      <c r="X14" t="s">
        <v>2738</v>
      </c>
      <c r="Y14" t="s">
        <v>2088</v>
      </c>
      <c r="AD14">
        <v>20</v>
      </c>
    </row>
    <row r="15" spans="1:31" hidden="1">
      <c r="A15">
        <v>188030</v>
      </c>
      <c r="B15">
        <v>10</v>
      </c>
      <c r="C15" t="s">
        <v>2773</v>
      </c>
      <c r="E15" s="103">
        <v>45481</v>
      </c>
      <c r="F15">
        <v>1</v>
      </c>
      <c r="G15" s="1210">
        <v>45421</v>
      </c>
      <c r="I15" t="s">
        <v>2774</v>
      </c>
      <c r="J15" t="s">
        <v>2082</v>
      </c>
      <c r="K15">
        <v>1509351</v>
      </c>
      <c r="L15" t="s">
        <v>2775</v>
      </c>
      <c r="M15" t="s">
        <v>2755</v>
      </c>
      <c r="N15" t="s">
        <v>2748</v>
      </c>
      <c r="O15" t="s">
        <v>2026</v>
      </c>
      <c r="P15" s="103">
        <v>45468</v>
      </c>
      <c r="Q15" t="s">
        <v>2231</v>
      </c>
      <c r="R15" s="103">
        <v>45472</v>
      </c>
      <c r="S15" t="s">
        <v>2281</v>
      </c>
      <c r="U15" t="s">
        <v>2744</v>
      </c>
      <c r="X15" t="s">
        <v>490</v>
      </c>
      <c r="Y15" t="s">
        <v>2088</v>
      </c>
      <c r="AD15">
        <v>10</v>
      </c>
    </row>
    <row r="16" spans="1:31" hidden="1">
      <c r="A16">
        <v>188031</v>
      </c>
      <c r="B16">
        <v>10</v>
      </c>
      <c r="C16" t="s">
        <v>2776</v>
      </c>
      <c r="E16" s="103">
        <v>45481</v>
      </c>
      <c r="F16">
        <v>1</v>
      </c>
      <c r="G16" s="1210">
        <v>45421</v>
      </c>
      <c r="I16" t="s">
        <v>2777</v>
      </c>
      <c r="J16" t="s">
        <v>2082</v>
      </c>
      <c r="K16">
        <v>1509351</v>
      </c>
      <c r="L16" t="s">
        <v>2778</v>
      </c>
      <c r="M16" t="s">
        <v>2755</v>
      </c>
      <c r="N16" t="s">
        <v>2748</v>
      </c>
      <c r="O16" t="s">
        <v>2026</v>
      </c>
      <c r="P16" s="103">
        <v>45468</v>
      </c>
      <c r="Q16" t="s">
        <v>2231</v>
      </c>
      <c r="R16" s="103">
        <v>45472</v>
      </c>
      <c r="S16" t="s">
        <v>2281</v>
      </c>
      <c r="U16" t="s">
        <v>2744</v>
      </c>
      <c r="X16" t="s">
        <v>490</v>
      </c>
      <c r="Y16" t="s">
        <v>2088</v>
      </c>
      <c r="AD16">
        <v>10</v>
      </c>
    </row>
    <row r="17" spans="1:30" hidden="1">
      <c r="A17">
        <v>188032</v>
      </c>
      <c r="B17">
        <v>10</v>
      </c>
      <c r="C17" t="s">
        <v>2779</v>
      </c>
      <c r="E17" s="103">
        <v>45481</v>
      </c>
      <c r="F17">
        <v>1</v>
      </c>
      <c r="G17" s="1210">
        <v>45421</v>
      </c>
      <c r="I17" t="s">
        <v>2780</v>
      </c>
      <c r="J17" t="s">
        <v>2082</v>
      </c>
      <c r="K17">
        <v>1509351</v>
      </c>
      <c r="L17" t="s">
        <v>2781</v>
      </c>
      <c r="M17" t="s">
        <v>2755</v>
      </c>
      <c r="N17" t="s">
        <v>2748</v>
      </c>
      <c r="O17" t="s">
        <v>2026</v>
      </c>
      <c r="P17" s="103">
        <v>45468</v>
      </c>
      <c r="Q17" t="s">
        <v>2231</v>
      </c>
      <c r="R17" s="103">
        <v>45472</v>
      </c>
      <c r="S17" t="s">
        <v>2281</v>
      </c>
      <c r="U17" t="s">
        <v>2744</v>
      </c>
      <c r="X17" t="s">
        <v>490</v>
      </c>
      <c r="Y17" t="s">
        <v>2088</v>
      </c>
      <c r="AD17">
        <v>10</v>
      </c>
    </row>
    <row r="18" spans="1:30" hidden="1">
      <c r="A18">
        <v>188033</v>
      </c>
      <c r="B18">
        <v>10</v>
      </c>
      <c r="C18" t="s">
        <v>2776</v>
      </c>
      <c r="E18" s="103">
        <v>45481</v>
      </c>
      <c r="F18">
        <v>1</v>
      </c>
      <c r="G18" s="1210">
        <v>45421</v>
      </c>
      <c r="I18" t="s">
        <v>2782</v>
      </c>
      <c r="J18" t="s">
        <v>2082</v>
      </c>
      <c r="K18">
        <v>1509351</v>
      </c>
      <c r="L18" t="s">
        <v>2778</v>
      </c>
      <c r="M18" t="s">
        <v>2755</v>
      </c>
      <c r="N18" t="s">
        <v>2748</v>
      </c>
      <c r="O18" t="s">
        <v>2026</v>
      </c>
      <c r="P18" s="103">
        <v>45468</v>
      </c>
      <c r="Q18" t="s">
        <v>2231</v>
      </c>
      <c r="R18" s="103">
        <v>45472</v>
      </c>
      <c r="S18" t="s">
        <v>2281</v>
      </c>
      <c r="U18" t="s">
        <v>2744</v>
      </c>
      <c r="X18" t="s">
        <v>490</v>
      </c>
      <c r="Y18" t="s">
        <v>2088</v>
      </c>
      <c r="AD18">
        <v>10</v>
      </c>
    </row>
    <row r="19" spans="1:30" hidden="1">
      <c r="A19">
        <v>198664</v>
      </c>
      <c r="B19">
        <v>10</v>
      </c>
      <c r="C19" t="s">
        <v>2778</v>
      </c>
      <c r="E19" s="103">
        <v>45481</v>
      </c>
      <c r="F19">
        <v>1</v>
      </c>
      <c r="G19" s="1210">
        <v>45421</v>
      </c>
      <c r="I19" t="s">
        <v>2783</v>
      </c>
      <c r="J19" t="s">
        <v>2082</v>
      </c>
      <c r="K19">
        <v>1509351</v>
      </c>
      <c r="L19" t="s">
        <v>2784</v>
      </c>
      <c r="M19" t="s">
        <v>2755</v>
      </c>
      <c r="N19" t="s">
        <v>2748</v>
      </c>
      <c r="O19" t="s">
        <v>2026</v>
      </c>
      <c r="P19" s="103">
        <v>45468</v>
      </c>
      <c r="Q19" t="s">
        <v>2231</v>
      </c>
      <c r="R19" s="103">
        <v>45472</v>
      </c>
      <c r="S19" t="s">
        <v>2281</v>
      </c>
      <c r="U19" t="s">
        <v>2744</v>
      </c>
      <c r="X19" t="s">
        <v>490</v>
      </c>
      <c r="Y19" t="s">
        <v>2088</v>
      </c>
      <c r="AD19">
        <v>10</v>
      </c>
    </row>
    <row r="20" spans="1:30" hidden="1">
      <c r="A20">
        <v>198663</v>
      </c>
      <c r="B20">
        <v>10</v>
      </c>
      <c r="C20" t="s">
        <v>2776</v>
      </c>
      <c r="E20" s="103">
        <v>45481</v>
      </c>
      <c r="F20">
        <v>1</v>
      </c>
      <c r="G20" s="1210">
        <v>45421</v>
      </c>
      <c r="I20" t="s">
        <v>2785</v>
      </c>
      <c r="J20" t="s">
        <v>2082</v>
      </c>
      <c r="K20">
        <v>1509351</v>
      </c>
      <c r="L20" t="s">
        <v>2778</v>
      </c>
      <c r="M20" t="s">
        <v>2755</v>
      </c>
      <c r="N20" t="s">
        <v>2748</v>
      </c>
      <c r="O20" t="s">
        <v>2026</v>
      </c>
      <c r="P20" s="103">
        <v>45468</v>
      </c>
      <c r="Q20" t="s">
        <v>2231</v>
      </c>
      <c r="R20" s="103">
        <v>45472</v>
      </c>
      <c r="S20" t="s">
        <v>2281</v>
      </c>
      <c r="U20" t="s">
        <v>2744</v>
      </c>
      <c r="X20" t="s">
        <v>490</v>
      </c>
      <c r="Y20" t="s">
        <v>2088</v>
      </c>
      <c r="AD20">
        <v>10</v>
      </c>
    </row>
    <row r="21" spans="1:30" hidden="1">
      <c r="A21">
        <v>188009</v>
      </c>
      <c r="B21">
        <v>35</v>
      </c>
      <c r="C21" t="s">
        <v>2786</v>
      </c>
      <c r="E21" s="103">
        <v>45481</v>
      </c>
      <c r="F21">
        <v>1</v>
      </c>
      <c r="G21" s="1210">
        <v>45421</v>
      </c>
      <c r="I21" t="s">
        <v>2787</v>
      </c>
      <c r="J21" t="s">
        <v>2082</v>
      </c>
      <c r="K21">
        <v>1509351</v>
      </c>
      <c r="L21" t="s">
        <v>2788</v>
      </c>
      <c r="M21" t="s">
        <v>2755</v>
      </c>
      <c r="N21" t="s">
        <v>2748</v>
      </c>
      <c r="O21" t="s">
        <v>2026</v>
      </c>
      <c r="P21" s="103">
        <v>45468</v>
      </c>
      <c r="Q21" t="s">
        <v>2231</v>
      </c>
      <c r="R21" s="103">
        <v>45472</v>
      </c>
      <c r="S21" t="s">
        <v>2281</v>
      </c>
      <c r="U21" t="s">
        <v>2744</v>
      </c>
      <c r="X21" t="s">
        <v>490</v>
      </c>
      <c r="Y21" t="s">
        <v>2088</v>
      </c>
      <c r="AD21">
        <v>35</v>
      </c>
    </row>
    <row r="22" spans="1:30" hidden="1">
      <c r="A22">
        <v>188010</v>
      </c>
      <c r="B22">
        <v>35</v>
      </c>
      <c r="C22" t="s">
        <v>2776</v>
      </c>
      <c r="E22" s="103">
        <v>45481</v>
      </c>
      <c r="F22">
        <v>1</v>
      </c>
      <c r="G22" s="1210">
        <v>45421</v>
      </c>
      <c r="I22" t="s">
        <v>2789</v>
      </c>
      <c r="J22" t="s">
        <v>2082</v>
      </c>
      <c r="K22">
        <v>1509351</v>
      </c>
      <c r="L22" t="s">
        <v>2779</v>
      </c>
      <c r="M22" t="s">
        <v>2755</v>
      </c>
      <c r="N22" t="s">
        <v>2748</v>
      </c>
      <c r="O22" t="s">
        <v>2026</v>
      </c>
      <c r="P22" s="103">
        <v>45468</v>
      </c>
      <c r="Q22" t="s">
        <v>2231</v>
      </c>
      <c r="R22" s="103">
        <v>45472</v>
      </c>
      <c r="S22" t="s">
        <v>2281</v>
      </c>
      <c r="U22" t="s">
        <v>2744</v>
      </c>
      <c r="X22" t="s">
        <v>490</v>
      </c>
      <c r="Y22" t="s">
        <v>2088</v>
      </c>
      <c r="AD22">
        <v>35</v>
      </c>
    </row>
    <row r="23" spans="1:30" hidden="1">
      <c r="A23">
        <v>193210</v>
      </c>
      <c r="B23">
        <v>6</v>
      </c>
      <c r="C23" t="s">
        <v>2790</v>
      </c>
      <c r="E23" s="103">
        <v>45483</v>
      </c>
      <c r="F23">
        <v>1</v>
      </c>
      <c r="G23" s="1210">
        <v>45282</v>
      </c>
      <c r="I23" t="s">
        <v>2791</v>
      </c>
      <c r="J23" t="s">
        <v>2082</v>
      </c>
      <c r="K23">
        <v>4500006206</v>
      </c>
      <c r="L23" t="s">
        <v>2792</v>
      </c>
      <c r="M23" t="s">
        <v>2749</v>
      </c>
      <c r="N23" t="s">
        <v>2737</v>
      </c>
      <c r="O23" t="s">
        <v>2793</v>
      </c>
      <c r="Q23" t="s">
        <v>2231</v>
      </c>
      <c r="S23" t="s">
        <v>2281</v>
      </c>
      <c r="U23" t="s">
        <v>2744</v>
      </c>
      <c r="V23" t="s">
        <v>2794</v>
      </c>
      <c r="W23" t="s">
        <v>2795</v>
      </c>
      <c r="AD23">
        <v>6</v>
      </c>
    </row>
    <row r="24" spans="1:30" hidden="1">
      <c r="A24">
        <v>193210</v>
      </c>
      <c r="B24">
        <v>125</v>
      </c>
      <c r="C24" t="s">
        <v>2790</v>
      </c>
      <c r="E24" s="103">
        <v>45483</v>
      </c>
      <c r="F24">
        <v>1</v>
      </c>
      <c r="G24" s="1210">
        <v>45287</v>
      </c>
      <c r="I24" t="s">
        <v>2791</v>
      </c>
      <c r="J24" t="s">
        <v>2082</v>
      </c>
      <c r="K24">
        <v>4500006258</v>
      </c>
      <c r="L24" t="s">
        <v>2796</v>
      </c>
      <c r="M24" t="s">
        <v>2749</v>
      </c>
      <c r="N24" t="s">
        <v>2737</v>
      </c>
      <c r="O24" t="s">
        <v>2793</v>
      </c>
      <c r="Q24" t="s">
        <v>2231</v>
      </c>
      <c r="S24" t="s">
        <v>2281</v>
      </c>
      <c r="U24" t="s">
        <v>2744</v>
      </c>
      <c r="V24" t="s">
        <v>2794</v>
      </c>
      <c r="W24" t="s">
        <v>2795</v>
      </c>
      <c r="AD24">
        <v>131</v>
      </c>
    </row>
    <row r="25" spans="1:30" hidden="1">
      <c r="A25">
        <v>199324</v>
      </c>
      <c r="B25">
        <v>300</v>
      </c>
      <c r="C25" t="s">
        <v>2797</v>
      </c>
      <c r="E25" s="103">
        <v>45485</v>
      </c>
      <c r="F25">
        <v>1</v>
      </c>
      <c r="G25" s="1210">
        <v>45435</v>
      </c>
      <c r="I25" t="s">
        <v>714</v>
      </c>
      <c r="J25" t="s">
        <v>2082</v>
      </c>
      <c r="K25">
        <v>4500007258</v>
      </c>
      <c r="L25" t="s">
        <v>2798</v>
      </c>
      <c r="M25" t="s">
        <v>2749</v>
      </c>
      <c r="N25" t="s">
        <v>2737</v>
      </c>
      <c r="O25" t="s">
        <v>2026</v>
      </c>
      <c r="P25" s="103">
        <v>45476</v>
      </c>
      <c r="Q25" t="s">
        <v>2231</v>
      </c>
      <c r="R25" s="103">
        <v>45480</v>
      </c>
      <c r="S25" t="s">
        <v>2281</v>
      </c>
      <c r="U25" t="s">
        <v>2744</v>
      </c>
      <c r="V25" t="s">
        <v>2799</v>
      </c>
      <c r="X25" t="s">
        <v>2800</v>
      </c>
      <c r="Y25" t="s">
        <v>2088</v>
      </c>
      <c r="AD25">
        <v>300</v>
      </c>
    </row>
    <row r="26" spans="1:30" hidden="1">
      <c r="A26">
        <v>199326</v>
      </c>
      <c r="B26">
        <v>300</v>
      </c>
      <c r="C26" t="s">
        <v>2801</v>
      </c>
      <c r="E26" s="103">
        <v>45485</v>
      </c>
      <c r="F26">
        <v>1</v>
      </c>
      <c r="G26" s="1210">
        <v>45435</v>
      </c>
      <c r="I26" t="s">
        <v>769</v>
      </c>
      <c r="J26" t="s">
        <v>2082</v>
      </c>
      <c r="K26">
        <v>4500007260</v>
      </c>
      <c r="L26" t="s">
        <v>2802</v>
      </c>
      <c r="M26" t="s">
        <v>2749</v>
      </c>
      <c r="N26" t="s">
        <v>2737</v>
      </c>
      <c r="O26" t="s">
        <v>2026</v>
      </c>
      <c r="P26" s="103">
        <v>45476</v>
      </c>
      <c r="Q26" t="s">
        <v>2231</v>
      </c>
      <c r="R26" s="103">
        <v>45480</v>
      </c>
      <c r="S26" t="s">
        <v>2281</v>
      </c>
      <c r="U26" t="s">
        <v>2744</v>
      </c>
      <c r="V26" t="s">
        <v>2799</v>
      </c>
      <c r="X26" t="s">
        <v>2800</v>
      </c>
      <c r="Y26" t="s">
        <v>2088</v>
      </c>
      <c r="AD26">
        <v>300</v>
      </c>
    </row>
    <row r="27" spans="1:30" hidden="1">
      <c r="A27">
        <v>202789</v>
      </c>
      <c r="B27">
        <v>1</v>
      </c>
      <c r="C27" t="s">
        <v>2803</v>
      </c>
      <c r="E27" s="103">
        <v>45495</v>
      </c>
      <c r="F27">
        <v>3</v>
      </c>
      <c r="G27" s="1210">
        <v>45470</v>
      </c>
      <c r="I27" t="s">
        <v>2804</v>
      </c>
      <c r="J27" t="s">
        <v>1833</v>
      </c>
      <c r="K27">
        <v>4500007442</v>
      </c>
      <c r="L27" t="s">
        <v>2803</v>
      </c>
      <c r="N27" t="s">
        <v>2805</v>
      </c>
      <c r="O27" t="s">
        <v>2094</v>
      </c>
      <c r="Q27" t="s">
        <v>2231</v>
      </c>
      <c r="S27" t="s">
        <v>2806</v>
      </c>
      <c r="U27" t="s">
        <v>2744</v>
      </c>
      <c r="W27" t="s">
        <v>2807</v>
      </c>
      <c r="X27" t="s">
        <v>490</v>
      </c>
      <c r="Y27" t="s">
        <v>2088</v>
      </c>
      <c r="AD27">
        <v>0</v>
      </c>
    </row>
    <row r="28" spans="1:30" hidden="1">
      <c r="A28">
        <v>202790</v>
      </c>
      <c r="B28">
        <v>1</v>
      </c>
      <c r="C28" t="s">
        <v>2808</v>
      </c>
      <c r="E28" s="103">
        <v>45495</v>
      </c>
      <c r="F28">
        <v>3</v>
      </c>
      <c r="G28" s="1210">
        <v>45470</v>
      </c>
      <c r="I28" t="s">
        <v>2809</v>
      </c>
      <c r="J28" t="s">
        <v>1833</v>
      </c>
      <c r="K28">
        <v>4500007442</v>
      </c>
      <c r="L28" t="s">
        <v>2808</v>
      </c>
      <c r="N28" t="s">
        <v>2805</v>
      </c>
      <c r="O28" t="s">
        <v>2094</v>
      </c>
      <c r="Q28" t="s">
        <v>2231</v>
      </c>
      <c r="S28" t="s">
        <v>2806</v>
      </c>
      <c r="U28" t="s">
        <v>2744</v>
      </c>
      <c r="W28" t="s">
        <v>2807</v>
      </c>
      <c r="X28" t="s">
        <v>490</v>
      </c>
      <c r="Y28" t="s">
        <v>2088</v>
      </c>
      <c r="AD28">
        <v>0</v>
      </c>
    </row>
    <row r="29" spans="1:30" hidden="1">
      <c r="A29">
        <v>199409</v>
      </c>
      <c r="B29">
        <v>6</v>
      </c>
      <c r="C29" t="s">
        <v>2810</v>
      </c>
      <c r="E29" s="103">
        <v>45496</v>
      </c>
      <c r="F29">
        <v>1</v>
      </c>
      <c r="G29" s="1210">
        <v>45405</v>
      </c>
      <c r="I29" t="s">
        <v>39</v>
      </c>
      <c r="J29" t="s">
        <v>2082</v>
      </c>
      <c r="K29">
        <v>4500007051</v>
      </c>
      <c r="L29" t="s">
        <v>2811</v>
      </c>
      <c r="M29" t="s">
        <v>2812</v>
      </c>
      <c r="N29" t="s">
        <v>2813</v>
      </c>
      <c r="O29" t="s">
        <v>2094</v>
      </c>
      <c r="Q29" t="s">
        <v>2231</v>
      </c>
      <c r="S29" t="s">
        <v>2814</v>
      </c>
      <c r="U29" t="s">
        <v>2744</v>
      </c>
      <c r="V29" t="s">
        <v>2815</v>
      </c>
      <c r="X29" t="s">
        <v>2816</v>
      </c>
      <c r="Y29" t="s">
        <v>2088</v>
      </c>
      <c r="AD29">
        <v>6</v>
      </c>
    </row>
    <row r="30" spans="1:30" hidden="1">
      <c r="A30">
        <v>199408</v>
      </c>
      <c r="B30">
        <v>6</v>
      </c>
      <c r="C30" t="s">
        <v>2817</v>
      </c>
      <c r="E30" s="103">
        <v>45496</v>
      </c>
      <c r="F30">
        <v>1</v>
      </c>
      <c r="G30" s="1210">
        <v>45405</v>
      </c>
      <c r="I30" t="s">
        <v>33</v>
      </c>
      <c r="J30" t="s">
        <v>2082</v>
      </c>
      <c r="K30">
        <v>4500007057</v>
      </c>
      <c r="L30" t="s">
        <v>2818</v>
      </c>
      <c r="M30" t="s">
        <v>2812</v>
      </c>
      <c r="N30" t="s">
        <v>2813</v>
      </c>
      <c r="O30" t="s">
        <v>2094</v>
      </c>
      <c r="Q30" t="s">
        <v>2231</v>
      </c>
      <c r="S30" t="s">
        <v>2814</v>
      </c>
      <c r="U30" t="s">
        <v>2744</v>
      </c>
      <c r="V30" t="s">
        <v>2815</v>
      </c>
      <c r="X30" t="s">
        <v>2738</v>
      </c>
      <c r="Y30" t="s">
        <v>2088</v>
      </c>
      <c r="AD30">
        <v>6</v>
      </c>
    </row>
    <row r="31" spans="1:30" hidden="1">
      <c r="A31">
        <v>201899</v>
      </c>
      <c r="B31">
        <v>1</v>
      </c>
      <c r="C31" t="s">
        <v>2819</v>
      </c>
      <c r="E31" s="103">
        <v>45499</v>
      </c>
      <c r="F31">
        <v>3</v>
      </c>
      <c r="G31" s="1210">
        <v>45463</v>
      </c>
      <c r="I31" t="s">
        <v>2820</v>
      </c>
      <c r="J31" t="s">
        <v>2012</v>
      </c>
      <c r="K31">
        <v>4500007397</v>
      </c>
      <c r="L31" t="s">
        <v>2819</v>
      </c>
      <c r="N31" t="s">
        <v>2813</v>
      </c>
      <c r="O31" t="s">
        <v>2094</v>
      </c>
      <c r="Q31" t="s">
        <v>2231</v>
      </c>
      <c r="S31" t="s">
        <v>2806</v>
      </c>
      <c r="U31" t="s">
        <v>2744</v>
      </c>
      <c r="X31" t="s">
        <v>490</v>
      </c>
      <c r="Y31" t="s">
        <v>2088</v>
      </c>
      <c r="AD31">
        <v>0</v>
      </c>
    </row>
    <row r="32" spans="1:30" hidden="1">
      <c r="A32">
        <v>201901</v>
      </c>
      <c r="B32">
        <v>1</v>
      </c>
      <c r="C32" t="s">
        <v>2821</v>
      </c>
      <c r="E32" s="103">
        <v>45499</v>
      </c>
      <c r="F32">
        <v>3</v>
      </c>
      <c r="G32" s="1210">
        <v>45463</v>
      </c>
      <c r="I32" t="s">
        <v>2822</v>
      </c>
      <c r="J32" t="s">
        <v>2012</v>
      </c>
      <c r="K32">
        <v>4500007400</v>
      </c>
      <c r="L32" t="s">
        <v>2821</v>
      </c>
      <c r="N32" t="s">
        <v>2823</v>
      </c>
      <c r="O32" t="s">
        <v>2094</v>
      </c>
      <c r="Q32" t="s">
        <v>2231</v>
      </c>
      <c r="S32" t="s">
        <v>2806</v>
      </c>
      <c r="U32" t="s">
        <v>2744</v>
      </c>
      <c r="X32" t="s">
        <v>490</v>
      </c>
      <c r="Y32" t="s">
        <v>2088</v>
      </c>
      <c r="AD32">
        <v>0</v>
      </c>
    </row>
    <row r="33" spans="1:30" hidden="1">
      <c r="A33">
        <v>196070</v>
      </c>
      <c r="B33">
        <v>6</v>
      </c>
      <c r="C33" t="s">
        <v>2824</v>
      </c>
      <c r="E33" s="103">
        <v>45502</v>
      </c>
      <c r="F33">
        <v>1</v>
      </c>
      <c r="G33" s="1210">
        <v>45358</v>
      </c>
      <c r="I33" t="s">
        <v>610</v>
      </c>
      <c r="J33" t="s">
        <v>2070</v>
      </c>
      <c r="K33">
        <v>4500006737</v>
      </c>
      <c r="L33" t="s">
        <v>2825</v>
      </c>
      <c r="M33" t="s">
        <v>2826</v>
      </c>
      <c r="N33" t="s">
        <v>2827</v>
      </c>
      <c r="O33" t="s">
        <v>2094</v>
      </c>
      <c r="Q33" t="s">
        <v>2231</v>
      </c>
      <c r="S33" t="s">
        <v>2814</v>
      </c>
      <c r="U33" t="s">
        <v>2744</v>
      </c>
      <c r="V33" t="s">
        <v>2815</v>
      </c>
      <c r="W33" t="s">
        <v>2828</v>
      </c>
      <c r="X33" t="s">
        <v>490</v>
      </c>
      <c r="Y33" t="s">
        <v>2088</v>
      </c>
      <c r="AD33">
        <v>6</v>
      </c>
    </row>
    <row r="34" spans="1:30" hidden="1">
      <c r="A34">
        <v>193210</v>
      </c>
      <c r="B34">
        <v>194</v>
      </c>
      <c r="C34" t="s">
        <v>2829</v>
      </c>
      <c r="E34" s="103">
        <v>45505</v>
      </c>
      <c r="F34">
        <v>1</v>
      </c>
      <c r="G34" s="1210">
        <v>45303</v>
      </c>
      <c r="I34" t="s">
        <v>2791</v>
      </c>
      <c r="J34" t="s">
        <v>2082</v>
      </c>
      <c r="K34">
        <v>4500006312</v>
      </c>
      <c r="L34" t="s">
        <v>2830</v>
      </c>
      <c r="M34" t="s">
        <v>2749</v>
      </c>
      <c r="N34" t="s">
        <v>2737</v>
      </c>
      <c r="O34" t="s">
        <v>2026</v>
      </c>
      <c r="P34" s="103">
        <v>45476</v>
      </c>
      <c r="Q34" t="s">
        <v>2231</v>
      </c>
      <c r="R34" s="103">
        <v>45480</v>
      </c>
      <c r="S34" t="s">
        <v>2281</v>
      </c>
      <c r="U34" t="s">
        <v>2744</v>
      </c>
      <c r="W34" t="s">
        <v>2831</v>
      </c>
      <c r="X34" t="s">
        <v>2738</v>
      </c>
      <c r="Y34" t="s">
        <v>2088</v>
      </c>
      <c r="AD34">
        <v>325</v>
      </c>
    </row>
    <row r="35" spans="1:30" hidden="1">
      <c r="A35">
        <v>193198</v>
      </c>
      <c r="B35">
        <v>200</v>
      </c>
      <c r="C35" t="s">
        <v>2767</v>
      </c>
      <c r="E35" s="103">
        <v>45505</v>
      </c>
      <c r="F35">
        <v>1</v>
      </c>
      <c r="G35" s="1210">
        <v>45303</v>
      </c>
      <c r="I35" t="s">
        <v>498</v>
      </c>
      <c r="J35" t="s">
        <v>2082</v>
      </c>
      <c r="K35">
        <v>4500006316</v>
      </c>
      <c r="L35" t="s">
        <v>2832</v>
      </c>
      <c r="M35" t="s">
        <v>2741</v>
      </c>
      <c r="N35" t="s">
        <v>2737</v>
      </c>
      <c r="O35" t="s">
        <v>2026</v>
      </c>
      <c r="P35" s="103">
        <v>45476</v>
      </c>
      <c r="Q35" t="s">
        <v>2231</v>
      </c>
      <c r="R35" s="103">
        <v>45480</v>
      </c>
      <c r="S35" t="s">
        <v>2281</v>
      </c>
      <c r="U35" t="s">
        <v>2744</v>
      </c>
      <c r="W35" t="s">
        <v>2833</v>
      </c>
      <c r="X35" t="s">
        <v>2738</v>
      </c>
      <c r="Y35" t="s">
        <v>2088</v>
      </c>
      <c r="AD35">
        <v>460</v>
      </c>
    </row>
    <row r="36" spans="1:30" hidden="1">
      <c r="A36">
        <v>193203</v>
      </c>
      <c r="B36">
        <v>600</v>
      </c>
      <c r="C36" t="s">
        <v>2834</v>
      </c>
      <c r="E36" s="103">
        <v>45505</v>
      </c>
      <c r="F36">
        <v>1</v>
      </c>
      <c r="G36" s="1210">
        <v>45303</v>
      </c>
      <c r="I36" t="s">
        <v>862</v>
      </c>
      <c r="J36" t="s">
        <v>2082</v>
      </c>
      <c r="K36">
        <v>4500006319</v>
      </c>
      <c r="L36" t="s">
        <v>2835</v>
      </c>
      <c r="M36" t="s">
        <v>2741</v>
      </c>
      <c r="N36" t="s">
        <v>2737</v>
      </c>
      <c r="O36" t="s">
        <v>2026</v>
      </c>
      <c r="P36" s="103">
        <v>45476</v>
      </c>
      <c r="Q36" t="s">
        <v>2231</v>
      </c>
      <c r="R36" s="103">
        <v>45480</v>
      </c>
      <c r="S36" t="s">
        <v>2281</v>
      </c>
      <c r="U36" t="s">
        <v>2744</v>
      </c>
      <c r="W36" t="s">
        <v>2836</v>
      </c>
      <c r="X36" t="s">
        <v>2738</v>
      </c>
      <c r="Y36" t="s">
        <v>2088</v>
      </c>
      <c r="AD36">
        <v>800</v>
      </c>
    </row>
    <row r="37" spans="1:30" hidden="1">
      <c r="A37">
        <v>193709</v>
      </c>
      <c r="B37">
        <v>125</v>
      </c>
      <c r="C37" t="s">
        <v>2837</v>
      </c>
      <c r="E37" s="103">
        <v>45505</v>
      </c>
      <c r="F37">
        <v>1</v>
      </c>
      <c r="G37" s="1210">
        <v>45309</v>
      </c>
      <c r="I37" t="s">
        <v>1854</v>
      </c>
      <c r="J37" t="s">
        <v>2082</v>
      </c>
      <c r="K37">
        <v>4500006382</v>
      </c>
      <c r="L37" t="s">
        <v>2838</v>
      </c>
      <c r="M37" t="s">
        <v>2839</v>
      </c>
      <c r="N37" t="s">
        <v>2737</v>
      </c>
      <c r="O37" t="s">
        <v>2026</v>
      </c>
      <c r="P37" s="103">
        <v>45476</v>
      </c>
      <c r="Q37" t="s">
        <v>2231</v>
      </c>
      <c r="R37" s="103">
        <v>45480</v>
      </c>
      <c r="S37" t="s">
        <v>2281</v>
      </c>
      <c r="U37" t="s">
        <v>2744</v>
      </c>
      <c r="W37" t="s">
        <v>2840</v>
      </c>
      <c r="X37" t="s">
        <v>2738</v>
      </c>
      <c r="Y37" t="s">
        <v>2088</v>
      </c>
      <c r="AD37">
        <v>125</v>
      </c>
    </row>
    <row r="38" spans="1:30" hidden="1">
      <c r="A38">
        <v>199321</v>
      </c>
      <c r="B38">
        <v>150</v>
      </c>
      <c r="C38" t="s">
        <v>2841</v>
      </c>
      <c r="E38" s="103">
        <v>45505</v>
      </c>
      <c r="F38">
        <v>1</v>
      </c>
      <c r="G38" s="1210">
        <v>45404</v>
      </c>
      <c r="I38" t="s">
        <v>543</v>
      </c>
      <c r="J38" t="s">
        <v>2082</v>
      </c>
      <c r="K38">
        <v>4500007046</v>
      </c>
      <c r="L38" t="s">
        <v>2842</v>
      </c>
      <c r="M38" t="s">
        <v>2843</v>
      </c>
      <c r="N38" t="s">
        <v>2737</v>
      </c>
      <c r="O38" t="s">
        <v>2026</v>
      </c>
      <c r="P38" s="103">
        <v>45476</v>
      </c>
      <c r="Q38" t="s">
        <v>2231</v>
      </c>
      <c r="R38" s="103">
        <v>45480</v>
      </c>
      <c r="S38" t="s">
        <v>2281</v>
      </c>
      <c r="U38" t="s">
        <v>2744</v>
      </c>
      <c r="V38" t="s">
        <v>2844</v>
      </c>
      <c r="W38" t="s">
        <v>2845</v>
      </c>
      <c r="X38" t="s">
        <v>2738</v>
      </c>
      <c r="Y38" t="s">
        <v>2088</v>
      </c>
      <c r="AD38">
        <v>150</v>
      </c>
    </row>
    <row r="39" spans="1:30" hidden="1">
      <c r="A39">
        <v>201899</v>
      </c>
      <c r="B39">
        <v>1</v>
      </c>
      <c r="C39" t="s">
        <v>2819</v>
      </c>
      <c r="E39" s="103">
        <v>45505</v>
      </c>
      <c r="F39">
        <v>3</v>
      </c>
      <c r="G39" s="1210">
        <v>45463</v>
      </c>
      <c r="I39" t="s">
        <v>2820</v>
      </c>
      <c r="J39" t="s">
        <v>2012</v>
      </c>
      <c r="K39">
        <v>4500007397</v>
      </c>
      <c r="L39" t="s">
        <v>2819</v>
      </c>
      <c r="N39" t="s">
        <v>2846</v>
      </c>
      <c r="O39" t="s">
        <v>2094</v>
      </c>
      <c r="Q39" t="s">
        <v>2231</v>
      </c>
      <c r="S39" t="s">
        <v>2806</v>
      </c>
      <c r="U39" t="s">
        <v>2744</v>
      </c>
      <c r="X39" t="s">
        <v>490</v>
      </c>
      <c r="Y39" t="s">
        <v>2088</v>
      </c>
      <c r="AD39">
        <v>0</v>
      </c>
    </row>
    <row r="40" spans="1:30" hidden="1">
      <c r="A40">
        <v>201901</v>
      </c>
      <c r="B40">
        <v>1</v>
      </c>
      <c r="C40" t="s">
        <v>2821</v>
      </c>
      <c r="E40" s="103">
        <v>45505</v>
      </c>
      <c r="F40">
        <v>3</v>
      </c>
      <c r="G40" s="1210">
        <v>45463</v>
      </c>
      <c r="I40" t="s">
        <v>2822</v>
      </c>
      <c r="J40" t="s">
        <v>2012</v>
      </c>
      <c r="K40">
        <v>4500007400</v>
      </c>
      <c r="L40" t="s">
        <v>2821</v>
      </c>
      <c r="N40" t="s">
        <v>2846</v>
      </c>
      <c r="O40" t="s">
        <v>2094</v>
      </c>
      <c r="Q40" t="s">
        <v>2231</v>
      </c>
      <c r="S40" t="s">
        <v>2806</v>
      </c>
      <c r="U40" t="s">
        <v>2744</v>
      </c>
      <c r="X40" t="s">
        <v>490</v>
      </c>
      <c r="Y40" t="s">
        <v>2088</v>
      </c>
      <c r="AD40">
        <v>0</v>
      </c>
    </row>
    <row r="41" spans="1:30" hidden="1">
      <c r="A41">
        <v>186236</v>
      </c>
      <c r="B41">
        <v>178</v>
      </c>
      <c r="C41" t="s">
        <v>2847</v>
      </c>
      <c r="E41" s="103">
        <v>45510</v>
      </c>
      <c r="F41">
        <v>1</v>
      </c>
      <c r="G41" s="1210">
        <v>45356</v>
      </c>
      <c r="I41" t="s">
        <v>36</v>
      </c>
      <c r="J41" t="s">
        <v>2012</v>
      </c>
      <c r="K41">
        <v>4500006706</v>
      </c>
      <c r="L41" t="s">
        <v>2848</v>
      </c>
      <c r="M41" t="s">
        <v>2805</v>
      </c>
      <c r="N41" t="s">
        <v>2813</v>
      </c>
      <c r="O41" t="s">
        <v>2743</v>
      </c>
      <c r="P41" s="103">
        <v>45496</v>
      </c>
      <c r="Q41" t="s">
        <v>2231</v>
      </c>
      <c r="R41" s="103">
        <v>45500</v>
      </c>
      <c r="S41" t="s">
        <v>2281</v>
      </c>
      <c r="U41" t="s">
        <v>2744</v>
      </c>
      <c r="W41" t="s">
        <v>2745</v>
      </c>
      <c r="X41" t="s">
        <v>2738</v>
      </c>
      <c r="Y41" t="s">
        <v>2088</v>
      </c>
      <c r="AD41">
        <v>178</v>
      </c>
    </row>
    <row r="42" spans="1:30" hidden="1">
      <c r="A42">
        <v>199409</v>
      </c>
      <c r="B42">
        <v>994</v>
      </c>
      <c r="C42" t="s">
        <v>2810</v>
      </c>
      <c r="E42" s="103">
        <v>45510</v>
      </c>
      <c r="F42">
        <v>1</v>
      </c>
      <c r="G42" s="1210">
        <v>45405</v>
      </c>
      <c r="I42" t="s">
        <v>39</v>
      </c>
      <c r="J42" t="s">
        <v>2082</v>
      </c>
      <c r="K42">
        <v>4500007052</v>
      </c>
      <c r="L42" t="s">
        <v>2849</v>
      </c>
      <c r="M42" t="s">
        <v>2812</v>
      </c>
      <c r="N42" t="s">
        <v>2813</v>
      </c>
      <c r="O42" t="s">
        <v>2026</v>
      </c>
      <c r="P42" s="103">
        <v>45499</v>
      </c>
      <c r="Q42" t="s">
        <v>2231</v>
      </c>
      <c r="R42" s="103">
        <v>45504</v>
      </c>
      <c r="S42" t="s">
        <v>2281</v>
      </c>
      <c r="U42" t="s">
        <v>2744</v>
      </c>
      <c r="V42" t="s">
        <v>2850</v>
      </c>
      <c r="X42" t="s">
        <v>2816</v>
      </c>
      <c r="Y42" t="s">
        <v>2088</v>
      </c>
      <c r="AD42">
        <v>1000</v>
      </c>
    </row>
    <row r="43" spans="1:30" hidden="1">
      <c r="A43">
        <v>199408</v>
      </c>
      <c r="B43">
        <v>994</v>
      </c>
      <c r="C43" t="s">
        <v>2817</v>
      </c>
      <c r="E43" s="103">
        <v>45510</v>
      </c>
      <c r="F43">
        <v>1</v>
      </c>
      <c r="G43" s="1210">
        <v>45405</v>
      </c>
      <c r="I43" t="s">
        <v>33</v>
      </c>
      <c r="J43" t="s">
        <v>2082</v>
      </c>
      <c r="K43">
        <v>4500007058</v>
      </c>
      <c r="L43" t="s">
        <v>2851</v>
      </c>
      <c r="M43" t="s">
        <v>2852</v>
      </c>
      <c r="N43" t="s">
        <v>2813</v>
      </c>
      <c r="O43" t="s">
        <v>2026</v>
      </c>
      <c r="P43" s="103">
        <v>45499</v>
      </c>
      <c r="Q43" t="s">
        <v>2231</v>
      </c>
      <c r="R43" s="103">
        <v>45504</v>
      </c>
      <c r="S43" t="s">
        <v>2281</v>
      </c>
      <c r="U43" t="s">
        <v>2744</v>
      </c>
      <c r="V43" t="s">
        <v>2850</v>
      </c>
      <c r="X43" t="s">
        <v>2816</v>
      </c>
      <c r="Y43" t="s">
        <v>2088</v>
      </c>
      <c r="AD43">
        <v>1000</v>
      </c>
    </row>
    <row r="44" spans="1:30" hidden="1">
      <c r="A44">
        <v>199408</v>
      </c>
      <c r="B44">
        <v>300</v>
      </c>
      <c r="C44" t="s">
        <v>2817</v>
      </c>
      <c r="E44" s="103">
        <v>45510</v>
      </c>
      <c r="F44">
        <v>1</v>
      </c>
      <c r="G44" s="1210">
        <v>45405</v>
      </c>
      <c r="I44" t="s">
        <v>33</v>
      </c>
      <c r="J44" t="s">
        <v>2082</v>
      </c>
      <c r="K44">
        <v>4500007059</v>
      </c>
      <c r="L44" t="s">
        <v>2853</v>
      </c>
      <c r="M44" t="s">
        <v>2852</v>
      </c>
      <c r="N44" t="s">
        <v>2813</v>
      </c>
      <c r="O44" t="s">
        <v>2026</v>
      </c>
      <c r="P44" s="103">
        <v>45499</v>
      </c>
      <c r="Q44" t="s">
        <v>2231</v>
      </c>
      <c r="R44" s="103">
        <v>45504</v>
      </c>
      <c r="S44" t="s">
        <v>2281</v>
      </c>
      <c r="U44" t="s">
        <v>2744</v>
      </c>
      <c r="V44" t="s">
        <v>2850</v>
      </c>
      <c r="X44" t="s">
        <v>2816</v>
      </c>
      <c r="Y44" t="s">
        <v>2088</v>
      </c>
      <c r="AD44">
        <v>1300</v>
      </c>
    </row>
    <row r="45" spans="1:30" hidden="1">
      <c r="A45">
        <v>187577</v>
      </c>
      <c r="B45">
        <v>160</v>
      </c>
      <c r="C45" t="s">
        <v>2854</v>
      </c>
      <c r="E45" s="103">
        <v>45510</v>
      </c>
      <c r="F45">
        <v>1</v>
      </c>
      <c r="G45" s="1210">
        <v>45405</v>
      </c>
      <c r="I45" t="s">
        <v>344</v>
      </c>
      <c r="J45" t="s">
        <v>2751</v>
      </c>
      <c r="K45">
        <v>4500007039</v>
      </c>
      <c r="L45" t="s">
        <v>2855</v>
      </c>
      <c r="M45" t="s">
        <v>2805</v>
      </c>
      <c r="N45" t="s">
        <v>2813</v>
      </c>
      <c r="O45" t="s">
        <v>2743</v>
      </c>
      <c r="P45" s="103">
        <v>45496</v>
      </c>
      <c r="Q45" t="s">
        <v>2231</v>
      </c>
      <c r="R45" s="103">
        <v>45505</v>
      </c>
      <c r="S45" t="s">
        <v>2281</v>
      </c>
      <c r="U45" t="s">
        <v>2744</v>
      </c>
      <c r="X45" t="s">
        <v>2738</v>
      </c>
      <c r="Y45" t="s">
        <v>2088</v>
      </c>
      <c r="AD45">
        <v>160</v>
      </c>
    </row>
    <row r="46" spans="1:30" hidden="1">
      <c r="A46">
        <v>193192</v>
      </c>
      <c r="B46">
        <v>300</v>
      </c>
      <c r="C46" t="s">
        <v>2758</v>
      </c>
      <c r="E46" s="103">
        <v>45510</v>
      </c>
      <c r="F46">
        <v>1</v>
      </c>
      <c r="G46" s="1210">
        <v>45405</v>
      </c>
      <c r="I46" t="s">
        <v>456</v>
      </c>
      <c r="J46" t="s">
        <v>2012</v>
      </c>
      <c r="K46">
        <v>4500007041</v>
      </c>
      <c r="L46" t="s">
        <v>2856</v>
      </c>
      <c r="M46" t="s">
        <v>2812</v>
      </c>
      <c r="N46" t="s">
        <v>2813</v>
      </c>
      <c r="O46" t="s">
        <v>2743</v>
      </c>
      <c r="P46" s="103">
        <v>45496</v>
      </c>
      <c r="Q46" t="s">
        <v>2231</v>
      </c>
      <c r="R46" s="103">
        <v>45505</v>
      </c>
      <c r="S46" t="s">
        <v>2281</v>
      </c>
      <c r="U46" t="s">
        <v>2744</v>
      </c>
      <c r="X46" t="s">
        <v>2738</v>
      </c>
      <c r="Y46" t="s">
        <v>2088</v>
      </c>
      <c r="AD46">
        <v>400</v>
      </c>
    </row>
    <row r="47" spans="1:30" hidden="1">
      <c r="A47">
        <v>193194</v>
      </c>
      <c r="B47">
        <v>280</v>
      </c>
      <c r="C47" t="s">
        <v>2857</v>
      </c>
      <c r="E47" s="103">
        <v>45510</v>
      </c>
      <c r="F47">
        <v>1</v>
      </c>
      <c r="G47" s="1210">
        <v>45405</v>
      </c>
      <c r="I47" t="s">
        <v>460</v>
      </c>
      <c r="J47" t="s">
        <v>2012</v>
      </c>
      <c r="K47">
        <v>4500007042</v>
      </c>
      <c r="L47" t="s">
        <v>2858</v>
      </c>
      <c r="M47" t="s">
        <v>2812</v>
      </c>
      <c r="N47" t="s">
        <v>2813</v>
      </c>
      <c r="O47" t="s">
        <v>2743</v>
      </c>
      <c r="P47" s="103">
        <v>45496</v>
      </c>
      <c r="Q47" t="s">
        <v>2231</v>
      </c>
      <c r="R47" s="103">
        <v>45505</v>
      </c>
      <c r="S47" t="s">
        <v>2281</v>
      </c>
      <c r="U47" t="s">
        <v>2744</v>
      </c>
      <c r="X47" t="s">
        <v>2738</v>
      </c>
      <c r="Y47" t="s">
        <v>2088</v>
      </c>
      <c r="AD47">
        <v>280</v>
      </c>
    </row>
    <row r="48" spans="1:30" hidden="1">
      <c r="A48">
        <v>193196</v>
      </c>
      <c r="B48">
        <v>350</v>
      </c>
      <c r="C48" t="s">
        <v>2760</v>
      </c>
      <c r="E48" s="103">
        <v>45510</v>
      </c>
      <c r="F48">
        <v>1</v>
      </c>
      <c r="G48" s="1210">
        <v>45405</v>
      </c>
      <c r="I48" t="s">
        <v>465</v>
      </c>
      <c r="J48" t="s">
        <v>2012</v>
      </c>
      <c r="K48">
        <v>4500007043</v>
      </c>
      <c r="L48" t="s">
        <v>2859</v>
      </c>
      <c r="M48" t="s">
        <v>2812</v>
      </c>
      <c r="N48" t="s">
        <v>2813</v>
      </c>
      <c r="O48" t="s">
        <v>2743</v>
      </c>
      <c r="P48" s="103">
        <v>45496</v>
      </c>
      <c r="Q48" t="s">
        <v>2231</v>
      </c>
      <c r="R48" s="103">
        <v>45505</v>
      </c>
      <c r="S48" t="s">
        <v>2281</v>
      </c>
      <c r="U48" t="s">
        <v>2744</v>
      </c>
      <c r="X48" t="s">
        <v>2738</v>
      </c>
      <c r="Y48" t="s">
        <v>2088</v>
      </c>
      <c r="AD48">
        <v>350</v>
      </c>
    </row>
    <row r="49" spans="1:30" hidden="1">
      <c r="A49">
        <v>193190</v>
      </c>
      <c r="B49">
        <v>20</v>
      </c>
      <c r="C49" t="s">
        <v>2756</v>
      </c>
      <c r="E49" s="103">
        <v>45510</v>
      </c>
      <c r="F49">
        <v>1</v>
      </c>
      <c r="G49" s="1210">
        <v>45436</v>
      </c>
      <c r="I49" t="s">
        <v>2591</v>
      </c>
      <c r="J49" t="s">
        <v>2012</v>
      </c>
      <c r="K49">
        <v>4500007125</v>
      </c>
      <c r="L49" t="s">
        <v>2860</v>
      </c>
      <c r="M49" t="s">
        <v>2861</v>
      </c>
      <c r="N49" t="s">
        <v>2813</v>
      </c>
      <c r="O49" t="s">
        <v>2743</v>
      </c>
      <c r="P49" s="103">
        <v>45496</v>
      </c>
      <c r="Q49" t="s">
        <v>2231</v>
      </c>
      <c r="R49" s="103">
        <v>45505</v>
      </c>
      <c r="S49" t="s">
        <v>2281</v>
      </c>
      <c r="U49" t="s">
        <v>2744</v>
      </c>
      <c r="X49" t="s">
        <v>2862</v>
      </c>
      <c r="Y49" t="s">
        <v>2088</v>
      </c>
      <c r="AD49">
        <v>30</v>
      </c>
    </row>
    <row r="50" spans="1:30" hidden="1">
      <c r="A50">
        <v>193711</v>
      </c>
      <c r="B50">
        <v>410</v>
      </c>
      <c r="C50" t="s">
        <v>2758</v>
      </c>
      <c r="E50" s="103">
        <v>45510</v>
      </c>
      <c r="F50">
        <v>1</v>
      </c>
      <c r="G50" s="1210">
        <v>45436</v>
      </c>
      <c r="I50" t="s">
        <v>1037</v>
      </c>
      <c r="J50" t="s">
        <v>2012</v>
      </c>
      <c r="K50">
        <v>4500007126</v>
      </c>
      <c r="L50" t="s">
        <v>2863</v>
      </c>
      <c r="M50" t="s">
        <v>2812</v>
      </c>
      <c r="N50" t="s">
        <v>2813</v>
      </c>
      <c r="O50" t="s">
        <v>2743</v>
      </c>
      <c r="P50" s="103">
        <v>45496</v>
      </c>
      <c r="Q50" t="s">
        <v>2231</v>
      </c>
      <c r="R50" s="103">
        <v>45505</v>
      </c>
      <c r="S50" t="s">
        <v>2281</v>
      </c>
      <c r="U50" t="s">
        <v>2744</v>
      </c>
      <c r="X50" t="s">
        <v>2864</v>
      </c>
      <c r="Y50" t="s">
        <v>2088</v>
      </c>
      <c r="AD50">
        <v>510</v>
      </c>
    </row>
    <row r="51" spans="1:30" hidden="1">
      <c r="A51">
        <v>193714</v>
      </c>
      <c r="B51">
        <v>130</v>
      </c>
      <c r="C51" t="s">
        <v>2760</v>
      </c>
      <c r="E51" s="103">
        <v>45510</v>
      </c>
      <c r="F51">
        <v>1</v>
      </c>
      <c r="G51" s="1210">
        <v>45436</v>
      </c>
      <c r="I51" t="s">
        <v>1046</v>
      </c>
      <c r="J51" t="s">
        <v>2012</v>
      </c>
      <c r="K51">
        <v>4500007127</v>
      </c>
      <c r="L51" t="s">
        <v>2865</v>
      </c>
      <c r="M51" t="s">
        <v>2805</v>
      </c>
      <c r="N51" t="s">
        <v>2813</v>
      </c>
      <c r="O51" t="s">
        <v>2743</v>
      </c>
      <c r="P51" s="103">
        <v>45496</v>
      </c>
      <c r="Q51" t="s">
        <v>2231</v>
      </c>
      <c r="R51" s="103">
        <v>45505</v>
      </c>
      <c r="S51" t="s">
        <v>2281</v>
      </c>
      <c r="U51" t="s">
        <v>2744</v>
      </c>
      <c r="X51" t="s">
        <v>2864</v>
      </c>
      <c r="Y51" t="s">
        <v>2088</v>
      </c>
      <c r="AD51">
        <v>200</v>
      </c>
    </row>
    <row r="52" spans="1:30" hidden="1">
      <c r="A52">
        <v>193184</v>
      </c>
      <c r="B52">
        <v>1280</v>
      </c>
      <c r="C52" t="s">
        <v>2753</v>
      </c>
      <c r="E52" s="103">
        <v>45510</v>
      </c>
      <c r="F52">
        <v>1</v>
      </c>
      <c r="G52" s="1210">
        <v>45436</v>
      </c>
      <c r="I52" t="s">
        <v>338</v>
      </c>
      <c r="J52" t="s">
        <v>2012</v>
      </c>
      <c r="K52">
        <v>4500007131</v>
      </c>
      <c r="L52" t="s">
        <v>2866</v>
      </c>
      <c r="M52" t="s">
        <v>2852</v>
      </c>
      <c r="N52" t="s">
        <v>2813</v>
      </c>
      <c r="O52" t="s">
        <v>2743</v>
      </c>
      <c r="P52" s="103">
        <v>45496</v>
      </c>
      <c r="Q52" t="s">
        <v>2231</v>
      </c>
      <c r="R52" s="103">
        <v>45505</v>
      </c>
      <c r="S52" t="s">
        <v>2281</v>
      </c>
      <c r="U52" t="s">
        <v>2744</v>
      </c>
      <c r="X52" t="s">
        <v>2864</v>
      </c>
      <c r="Y52" t="s">
        <v>2088</v>
      </c>
      <c r="AD52">
        <v>1390</v>
      </c>
    </row>
    <row r="53" spans="1:30" hidden="1">
      <c r="A53">
        <v>193182</v>
      </c>
      <c r="B53">
        <v>30</v>
      </c>
      <c r="C53" t="s">
        <v>2746</v>
      </c>
      <c r="E53" s="103">
        <v>45510</v>
      </c>
      <c r="F53">
        <v>1</v>
      </c>
      <c r="G53" s="1210">
        <v>45428</v>
      </c>
      <c r="I53" t="s">
        <v>2586</v>
      </c>
      <c r="J53" t="s">
        <v>2012</v>
      </c>
      <c r="K53">
        <v>4500007171</v>
      </c>
      <c r="L53" t="s">
        <v>2867</v>
      </c>
      <c r="M53" t="s">
        <v>2805</v>
      </c>
      <c r="N53" t="s">
        <v>2813</v>
      </c>
      <c r="O53" t="s">
        <v>2743</v>
      </c>
      <c r="P53" s="103">
        <v>45496</v>
      </c>
      <c r="Q53" t="s">
        <v>2231</v>
      </c>
      <c r="R53" s="103">
        <v>45505</v>
      </c>
      <c r="S53" t="s">
        <v>2281</v>
      </c>
      <c r="U53" t="s">
        <v>2744</v>
      </c>
      <c r="X53" t="s">
        <v>2862</v>
      </c>
      <c r="Y53" t="s">
        <v>2088</v>
      </c>
      <c r="AD53">
        <v>50</v>
      </c>
    </row>
    <row r="54" spans="1:30" hidden="1">
      <c r="A54">
        <v>196068</v>
      </c>
      <c r="B54">
        <v>20</v>
      </c>
      <c r="C54" t="s">
        <v>2868</v>
      </c>
      <c r="E54" s="103">
        <v>45510</v>
      </c>
      <c r="F54">
        <v>1</v>
      </c>
      <c r="G54" s="1210">
        <v>45428</v>
      </c>
      <c r="I54" t="s">
        <v>2869</v>
      </c>
      <c r="J54" t="s">
        <v>2012</v>
      </c>
      <c r="K54">
        <v>4500007172</v>
      </c>
      <c r="L54" t="s">
        <v>2870</v>
      </c>
      <c r="M54" t="s">
        <v>2861</v>
      </c>
      <c r="N54" t="s">
        <v>2813</v>
      </c>
      <c r="O54" t="s">
        <v>2743</v>
      </c>
      <c r="P54" s="103">
        <v>45496</v>
      </c>
      <c r="Q54" t="s">
        <v>2231</v>
      </c>
      <c r="R54" s="103">
        <v>45505</v>
      </c>
      <c r="S54" t="s">
        <v>2281</v>
      </c>
      <c r="U54" t="s">
        <v>2744</v>
      </c>
      <c r="X54" t="s">
        <v>2862</v>
      </c>
      <c r="Y54" t="s">
        <v>2088</v>
      </c>
      <c r="AD54">
        <v>20</v>
      </c>
    </row>
    <row r="55" spans="1:30" hidden="1">
      <c r="A55">
        <v>196066</v>
      </c>
      <c r="B55">
        <v>40</v>
      </c>
      <c r="C55" t="s">
        <v>2871</v>
      </c>
      <c r="E55" s="103">
        <v>45510</v>
      </c>
      <c r="F55">
        <v>1</v>
      </c>
      <c r="G55" s="1210">
        <v>45428</v>
      </c>
      <c r="I55" t="s">
        <v>2872</v>
      </c>
      <c r="J55" t="s">
        <v>2012</v>
      </c>
      <c r="K55">
        <v>4500007173</v>
      </c>
      <c r="L55" t="s">
        <v>2873</v>
      </c>
      <c r="M55" t="s">
        <v>2861</v>
      </c>
      <c r="N55" t="s">
        <v>2813</v>
      </c>
      <c r="O55" t="s">
        <v>2743</v>
      </c>
      <c r="P55" s="103">
        <v>45496</v>
      </c>
      <c r="Q55" t="s">
        <v>2231</v>
      </c>
      <c r="R55" s="103">
        <v>45505</v>
      </c>
      <c r="S55" t="s">
        <v>2281</v>
      </c>
      <c r="U55" t="s">
        <v>2744</v>
      </c>
      <c r="X55" t="s">
        <v>2862</v>
      </c>
      <c r="Y55" t="s">
        <v>2088</v>
      </c>
      <c r="AD55">
        <v>40</v>
      </c>
    </row>
    <row r="56" spans="1:30" hidden="1">
      <c r="A56">
        <v>180234</v>
      </c>
      <c r="B56">
        <v>10</v>
      </c>
      <c r="C56" t="s">
        <v>2874</v>
      </c>
      <c r="E56" s="103">
        <v>45513</v>
      </c>
      <c r="F56">
        <v>1</v>
      </c>
      <c r="G56" s="1210">
        <v>45398</v>
      </c>
      <c r="I56" t="s">
        <v>583</v>
      </c>
      <c r="J56" t="s">
        <v>2070</v>
      </c>
      <c r="K56">
        <v>4500006990</v>
      </c>
      <c r="L56" t="s">
        <v>2875</v>
      </c>
      <c r="M56" t="s">
        <v>2876</v>
      </c>
      <c r="N56" t="s">
        <v>2812</v>
      </c>
      <c r="O56" t="s">
        <v>2026</v>
      </c>
      <c r="P56" s="103">
        <v>45499</v>
      </c>
      <c r="Q56" t="s">
        <v>2231</v>
      </c>
      <c r="R56" s="103">
        <v>45504</v>
      </c>
      <c r="S56" t="s">
        <v>2281</v>
      </c>
      <c r="U56" t="s">
        <v>2744</v>
      </c>
      <c r="X56" t="s">
        <v>490</v>
      </c>
      <c r="Y56" t="s">
        <v>2088</v>
      </c>
      <c r="AD56">
        <v>10</v>
      </c>
    </row>
    <row r="57" spans="1:30" hidden="1">
      <c r="A57">
        <v>180235</v>
      </c>
      <c r="B57">
        <v>20</v>
      </c>
      <c r="C57" t="s">
        <v>2877</v>
      </c>
      <c r="E57" s="103">
        <v>45513</v>
      </c>
      <c r="F57">
        <v>1</v>
      </c>
      <c r="G57" s="1210">
        <v>45419</v>
      </c>
      <c r="I57" t="s">
        <v>646</v>
      </c>
      <c r="J57" t="s">
        <v>2070</v>
      </c>
      <c r="K57">
        <v>4500007034</v>
      </c>
      <c r="L57" t="s">
        <v>2878</v>
      </c>
      <c r="M57" t="s">
        <v>2879</v>
      </c>
      <c r="N57" t="s">
        <v>2812</v>
      </c>
      <c r="O57" t="s">
        <v>2026</v>
      </c>
      <c r="P57" s="103">
        <v>45499</v>
      </c>
      <c r="Q57" t="s">
        <v>2231</v>
      </c>
      <c r="R57" s="103">
        <v>45504</v>
      </c>
      <c r="S57" t="s">
        <v>2281</v>
      </c>
      <c r="U57" t="s">
        <v>2744</v>
      </c>
      <c r="X57" t="s">
        <v>490</v>
      </c>
      <c r="Y57" t="s">
        <v>2088</v>
      </c>
      <c r="AD57">
        <v>20</v>
      </c>
    </row>
    <row r="58" spans="1:30" hidden="1">
      <c r="A58">
        <v>180234</v>
      </c>
      <c r="B58">
        <v>700</v>
      </c>
      <c r="C58" t="s">
        <v>2880</v>
      </c>
      <c r="E58" s="103">
        <v>45513</v>
      </c>
      <c r="F58">
        <v>1</v>
      </c>
      <c r="G58" s="1210">
        <v>45419</v>
      </c>
      <c r="I58" t="s">
        <v>583</v>
      </c>
      <c r="J58" t="s">
        <v>2070</v>
      </c>
      <c r="K58">
        <v>4500007129</v>
      </c>
      <c r="L58" t="s">
        <v>2881</v>
      </c>
      <c r="M58" t="s">
        <v>2876</v>
      </c>
      <c r="N58" t="s">
        <v>2812</v>
      </c>
      <c r="O58" t="s">
        <v>2026</v>
      </c>
      <c r="P58" s="103">
        <v>45499</v>
      </c>
      <c r="Q58" t="s">
        <v>2231</v>
      </c>
      <c r="R58" s="103">
        <v>45504</v>
      </c>
      <c r="S58" t="s">
        <v>2281</v>
      </c>
      <c r="U58" t="s">
        <v>2744</v>
      </c>
      <c r="W58" t="s">
        <v>2882</v>
      </c>
      <c r="X58" t="s">
        <v>490</v>
      </c>
      <c r="Y58" t="s">
        <v>2088</v>
      </c>
      <c r="AD58">
        <v>710</v>
      </c>
    </row>
    <row r="59" spans="1:30" hidden="1">
      <c r="A59">
        <v>180235</v>
      </c>
      <c r="B59">
        <v>535</v>
      </c>
      <c r="C59" t="s">
        <v>2883</v>
      </c>
      <c r="E59" s="103">
        <v>45513</v>
      </c>
      <c r="F59">
        <v>1</v>
      </c>
      <c r="G59" s="1210">
        <v>45419</v>
      </c>
      <c r="I59" t="s">
        <v>646</v>
      </c>
      <c r="J59" t="s">
        <v>2070</v>
      </c>
      <c r="K59">
        <v>4500007130</v>
      </c>
      <c r="L59" t="s">
        <v>2884</v>
      </c>
      <c r="M59" t="s">
        <v>2879</v>
      </c>
      <c r="N59" t="s">
        <v>2812</v>
      </c>
      <c r="O59" t="s">
        <v>2026</v>
      </c>
      <c r="P59" s="103">
        <v>45499</v>
      </c>
      <c r="Q59" t="s">
        <v>2231</v>
      </c>
      <c r="R59" s="103">
        <v>45504</v>
      </c>
      <c r="S59" t="s">
        <v>2281</v>
      </c>
      <c r="U59" t="s">
        <v>2744</v>
      </c>
      <c r="W59" t="s">
        <v>2882</v>
      </c>
      <c r="X59" t="s">
        <v>490</v>
      </c>
      <c r="Y59" t="s">
        <v>2088</v>
      </c>
      <c r="AD59">
        <v>555</v>
      </c>
    </row>
    <row r="60" spans="1:30" hidden="1">
      <c r="A60">
        <v>196070</v>
      </c>
      <c r="B60">
        <v>185</v>
      </c>
      <c r="C60" t="s">
        <v>2824</v>
      </c>
      <c r="E60" s="103">
        <v>45518</v>
      </c>
      <c r="F60">
        <v>1</v>
      </c>
      <c r="G60" s="1210">
        <v>45359</v>
      </c>
      <c r="I60" t="s">
        <v>610</v>
      </c>
      <c r="J60" t="s">
        <v>2070</v>
      </c>
      <c r="K60">
        <v>4500006736</v>
      </c>
      <c r="L60" t="s">
        <v>2885</v>
      </c>
      <c r="M60" t="s">
        <v>2826</v>
      </c>
      <c r="N60" t="s">
        <v>2886</v>
      </c>
      <c r="O60" t="s">
        <v>2026</v>
      </c>
      <c r="P60" s="103">
        <v>45510</v>
      </c>
      <c r="Q60" t="s">
        <v>2231</v>
      </c>
      <c r="R60" s="103">
        <v>45513</v>
      </c>
      <c r="S60" t="s">
        <v>2281</v>
      </c>
      <c r="U60" t="s">
        <v>2744</v>
      </c>
      <c r="V60" t="s">
        <v>2850</v>
      </c>
      <c r="W60" t="s">
        <v>2828</v>
      </c>
      <c r="X60" t="s">
        <v>490</v>
      </c>
      <c r="Y60" t="s">
        <v>2088</v>
      </c>
      <c r="AD60">
        <v>191</v>
      </c>
    </row>
    <row r="61" spans="1:30" hidden="1">
      <c r="A61">
        <v>180234</v>
      </c>
      <c r="B61">
        <v>190</v>
      </c>
      <c r="C61" t="s">
        <v>2880</v>
      </c>
      <c r="E61" s="103">
        <v>45518</v>
      </c>
      <c r="F61">
        <v>1</v>
      </c>
      <c r="G61" s="1210">
        <v>45429</v>
      </c>
      <c r="I61" t="s">
        <v>583</v>
      </c>
      <c r="J61" t="s">
        <v>2070</v>
      </c>
      <c r="K61">
        <v>4500007129</v>
      </c>
      <c r="L61" t="s">
        <v>2887</v>
      </c>
      <c r="M61" t="s">
        <v>2823</v>
      </c>
      <c r="N61" t="s">
        <v>2886</v>
      </c>
      <c r="O61" t="s">
        <v>2026</v>
      </c>
      <c r="P61" s="103">
        <v>45510</v>
      </c>
      <c r="Q61" t="s">
        <v>2231</v>
      </c>
      <c r="R61" s="103">
        <v>45513</v>
      </c>
      <c r="S61" t="s">
        <v>2281</v>
      </c>
      <c r="U61" t="s">
        <v>2744</v>
      </c>
      <c r="X61" t="s">
        <v>490</v>
      </c>
      <c r="Y61" t="s">
        <v>2088</v>
      </c>
      <c r="AD61">
        <v>900</v>
      </c>
    </row>
    <row r="62" spans="1:30" hidden="1">
      <c r="A62">
        <v>180235</v>
      </c>
      <c r="B62">
        <v>255</v>
      </c>
      <c r="C62" t="s">
        <v>2883</v>
      </c>
      <c r="E62" s="103">
        <v>45518</v>
      </c>
      <c r="F62">
        <v>1</v>
      </c>
      <c r="G62" s="1210">
        <v>45429</v>
      </c>
      <c r="I62" t="s">
        <v>646</v>
      </c>
      <c r="J62" t="s">
        <v>2070</v>
      </c>
      <c r="K62">
        <v>4500007130</v>
      </c>
      <c r="L62" t="s">
        <v>2888</v>
      </c>
      <c r="M62" t="s">
        <v>2823</v>
      </c>
      <c r="N62" t="s">
        <v>2886</v>
      </c>
      <c r="O62" t="s">
        <v>2026</v>
      </c>
      <c r="P62" s="103">
        <v>45510</v>
      </c>
      <c r="Q62" t="s">
        <v>2231</v>
      </c>
      <c r="R62" s="103">
        <v>45513</v>
      </c>
      <c r="S62" t="s">
        <v>2281</v>
      </c>
      <c r="U62" t="s">
        <v>2744</v>
      </c>
      <c r="X62" t="s">
        <v>490</v>
      </c>
      <c r="Y62" t="s">
        <v>2088</v>
      </c>
      <c r="AD62">
        <v>810</v>
      </c>
    </row>
    <row r="63" spans="1:30" hidden="1">
      <c r="A63">
        <v>193186</v>
      </c>
      <c r="B63">
        <v>150</v>
      </c>
      <c r="C63" t="s">
        <v>2765</v>
      </c>
      <c r="E63" s="103">
        <v>45519</v>
      </c>
      <c r="F63">
        <v>1</v>
      </c>
      <c r="G63" s="1210">
        <v>45303</v>
      </c>
      <c r="I63" t="s">
        <v>358</v>
      </c>
      <c r="J63" t="s">
        <v>2082</v>
      </c>
      <c r="K63">
        <v>4500006314</v>
      </c>
      <c r="L63" t="s">
        <v>2766</v>
      </c>
      <c r="M63" t="s">
        <v>2805</v>
      </c>
      <c r="N63" t="s">
        <v>2886</v>
      </c>
      <c r="O63" t="s">
        <v>2026</v>
      </c>
      <c r="P63" s="103">
        <v>45502</v>
      </c>
      <c r="Q63" t="s">
        <v>2231</v>
      </c>
      <c r="R63" s="103">
        <v>45506</v>
      </c>
      <c r="S63" t="s">
        <v>2281</v>
      </c>
      <c r="U63" t="s">
        <v>2744</v>
      </c>
      <c r="X63" t="s">
        <v>2738</v>
      </c>
      <c r="Y63" t="s">
        <v>2088</v>
      </c>
      <c r="AD63">
        <v>300</v>
      </c>
    </row>
    <row r="64" spans="1:30" hidden="1">
      <c r="A64">
        <v>193716</v>
      </c>
      <c r="B64">
        <v>80</v>
      </c>
      <c r="C64" t="s">
        <v>2771</v>
      </c>
      <c r="E64" s="103">
        <v>45519</v>
      </c>
      <c r="F64">
        <v>1</v>
      </c>
      <c r="G64" s="1210">
        <v>45307</v>
      </c>
      <c r="I64" t="s">
        <v>992</v>
      </c>
      <c r="J64" t="s">
        <v>2082</v>
      </c>
      <c r="K64">
        <v>4500006336</v>
      </c>
      <c r="L64" t="s">
        <v>2889</v>
      </c>
      <c r="M64" t="s">
        <v>2805</v>
      </c>
      <c r="N64" t="s">
        <v>2886</v>
      </c>
      <c r="O64" t="s">
        <v>2026</v>
      </c>
      <c r="P64" s="103">
        <v>45502</v>
      </c>
      <c r="Q64" t="s">
        <v>2231</v>
      </c>
      <c r="R64" s="103">
        <v>45506</v>
      </c>
      <c r="S64" t="s">
        <v>2281</v>
      </c>
      <c r="U64" t="s">
        <v>2744</v>
      </c>
      <c r="X64" t="s">
        <v>2738</v>
      </c>
      <c r="Y64" t="s">
        <v>2088</v>
      </c>
      <c r="AD64">
        <v>100</v>
      </c>
    </row>
    <row r="65" spans="1:30" hidden="1">
      <c r="A65">
        <v>193709</v>
      </c>
      <c r="B65">
        <v>315</v>
      </c>
      <c r="C65" t="s">
        <v>2890</v>
      </c>
      <c r="E65" s="103">
        <v>45519</v>
      </c>
      <c r="F65">
        <v>1</v>
      </c>
      <c r="G65" s="1210">
        <v>45309</v>
      </c>
      <c r="I65" t="s">
        <v>1854</v>
      </c>
      <c r="J65" t="s">
        <v>2082</v>
      </c>
      <c r="K65">
        <v>4500007793</v>
      </c>
      <c r="L65" t="s">
        <v>2891</v>
      </c>
      <c r="M65" t="s">
        <v>2812</v>
      </c>
      <c r="N65" t="s">
        <v>2886</v>
      </c>
      <c r="O65" t="s">
        <v>2026</v>
      </c>
      <c r="P65" s="103">
        <v>45502</v>
      </c>
      <c r="Q65" t="s">
        <v>2231</v>
      </c>
      <c r="R65" s="103">
        <v>45506</v>
      </c>
      <c r="S65" t="s">
        <v>2281</v>
      </c>
      <c r="U65" t="s">
        <v>2744</v>
      </c>
      <c r="W65" t="s">
        <v>2892</v>
      </c>
      <c r="X65" t="s">
        <v>2738</v>
      </c>
      <c r="Y65" t="s">
        <v>2088</v>
      </c>
      <c r="AD65">
        <v>440</v>
      </c>
    </row>
    <row r="66" spans="1:30" hidden="1">
      <c r="A66">
        <v>202294</v>
      </c>
      <c r="B66">
        <v>150</v>
      </c>
      <c r="C66" t="s">
        <v>2841</v>
      </c>
      <c r="E66" s="103">
        <v>45519</v>
      </c>
      <c r="F66">
        <v>1</v>
      </c>
      <c r="G66" s="1210">
        <v>45404</v>
      </c>
      <c r="I66" t="s">
        <v>543</v>
      </c>
      <c r="J66" t="s">
        <v>2082</v>
      </c>
      <c r="K66">
        <v>4500007047</v>
      </c>
      <c r="L66" t="s">
        <v>2842</v>
      </c>
      <c r="M66" t="s">
        <v>2805</v>
      </c>
      <c r="N66" t="s">
        <v>2886</v>
      </c>
      <c r="O66" t="s">
        <v>2026</v>
      </c>
      <c r="P66" s="103">
        <v>45503</v>
      </c>
      <c r="Q66" t="s">
        <v>2231</v>
      </c>
      <c r="R66" s="103">
        <v>45507</v>
      </c>
      <c r="S66" t="s">
        <v>2281</v>
      </c>
      <c r="U66" t="s">
        <v>2744</v>
      </c>
      <c r="V66" t="s">
        <v>2893</v>
      </c>
      <c r="W66" t="s">
        <v>2894</v>
      </c>
      <c r="X66" t="s">
        <v>2738</v>
      </c>
      <c r="Y66" t="s">
        <v>2088</v>
      </c>
      <c r="AD66">
        <v>300</v>
      </c>
    </row>
    <row r="67" spans="1:30" hidden="1">
      <c r="A67">
        <v>193186</v>
      </c>
      <c r="B67">
        <v>70</v>
      </c>
      <c r="C67" t="s">
        <v>2765</v>
      </c>
      <c r="E67" s="103">
        <v>45519</v>
      </c>
      <c r="F67">
        <v>1</v>
      </c>
      <c r="G67" s="1210">
        <v>45426</v>
      </c>
      <c r="I67" t="s">
        <v>358</v>
      </c>
      <c r="J67" t="s">
        <v>2082</v>
      </c>
      <c r="K67">
        <v>4500007159</v>
      </c>
      <c r="L67" t="s">
        <v>2895</v>
      </c>
      <c r="M67" t="s">
        <v>2805</v>
      </c>
      <c r="N67" t="s">
        <v>2886</v>
      </c>
      <c r="O67" t="s">
        <v>2743</v>
      </c>
      <c r="P67" s="103">
        <v>45503</v>
      </c>
      <c r="Q67" t="s">
        <v>2231</v>
      </c>
      <c r="R67" s="103">
        <v>45507</v>
      </c>
      <c r="S67" t="s">
        <v>2281</v>
      </c>
      <c r="U67" t="s">
        <v>2744</v>
      </c>
      <c r="X67" t="s">
        <v>2800</v>
      </c>
      <c r="Y67" t="s">
        <v>2088</v>
      </c>
      <c r="AD67">
        <v>370</v>
      </c>
    </row>
    <row r="68" spans="1:30" hidden="1">
      <c r="A68">
        <v>193186</v>
      </c>
      <c r="B68">
        <v>130</v>
      </c>
      <c r="C68" t="s">
        <v>2765</v>
      </c>
      <c r="E68" s="103">
        <v>45519</v>
      </c>
      <c r="F68">
        <v>1</v>
      </c>
      <c r="G68" s="1210">
        <v>45426</v>
      </c>
      <c r="I68" t="s">
        <v>358</v>
      </c>
      <c r="J68" t="s">
        <v>2082</v>
      </c>
      <c r="K68">
        <v>4500007160</v>
      </c>
      <c r="L68" t="s">
        <v>2896</v>
      </c>
      <c r="M68" t="s">
        <v>2805</v>
      </c>
      <c r="N68" t="s">
        <v>2886</v>
      </c>
      <c r="O68" t="s">
        <v>2743</v>
      </c>
      <c r="P68" s="103">
        <v>45503</v>
      </c>
      <c r="Q68" t="s">
        <v>2231</v>
      </c>
      <c r="R68" s="103">
        <v>45507</v>
      </c>
      <c r="S68" t="s">
        <v>2281</v>
      </c>
      <c r="U68" t="s">
        <v>2744</v>
      </c>
      <c r="X68" t="s">
        <v>2800</v>
      </c>
      <c r="Y68" t="s">
        <v>2088</v>
      </c>
      <c r="AD68">
        <v>500</v>
      </c>
    </row>
    <row r="69" spans="1:30" hidden="1">
      <c r="A69">
        <v>193198</v>
      </c>
      <c r="B69">
        <v>460</v>
      </c>
      <c r="C69" t="s">
        <v>2767</v>
      </c>
      <c r="E69" s="103">
        <v>45519</v>
      </c>
      <c r="F69">
        <v>1</v>
      </c>
      <c r="G69" s="1210">
        <v>45434</v>
      </c>
      <c r="I69" t="s">
        <v>498</v>
      </c>
      <c r="J69" t="s">
        <v>2082</v>
      </c>
      <c r="K69">
        <v>4500007223</v>
      </c>
      <c r="L69" t="s">
        <v>2897</v>
      </c>
      <c r="M69" t="s">
        <v>2805</v>
      </c>
      <c r="N69" t="s">
        <v>2886</v>
      </c>
      <c r="O69" t="s">
        <v>2026</v>
      </c>
      <c r="P69" s="103">
        <v>45503</v>
      </c>
      <c r="Q69" t="s">
        <v>2231</v>
      </c>
      <c r="R69" s="103">
        <v>45507</v>
      </c>
      <c r="S69" t="s">
        <v>2281</v>
      </c>
      <c r="U69" t="s">
        <v>2744</v>
      </c>
      <c r="X69" t="s">
        <v>2800</v>
      </c>
      <c r="Y69" t="s">
        <v>2088</v>
      </c>
      <c r="AD69">
        <v>920</v>
      </c>
    </row>
    <row r="70" spans="1:30" hidden="1">
      <c r="A70">
        <v>193716</v>
      </c>
      <c r="B70">
        <v>80</v>
      </c>
      <c r="C70" t="s">
        <v>2771</v>
      </c>
      <c r="E70" s="103">
        <v>45519</v>
      </c>
      <c r="F70">
        <v>1</v>
      </c>
      <c r="G70" s="1210">
        <v>45434</v>
      </c>
      <c r="I70" t="s">
        <v>992</v>
      </c>
      <c r="J70" t="s">
        <v>2082</v>
      </c>
      <c r="K70">
        <v>4500007226</v>
      </c>
      <c r="L70" t="s">
        <v>2889</v>
      </c>
      <c r="M70" t="s">
        <v>2805</v>
      </c>
      <c r="N70" t="s">
        <v>2886</v>
      </c>
      <c r="O70" t="s">
        <v>2026</v>
      </c>
      <c r="P70" s="103">
        <v>45503</v>
      </c>
      <c r="Q70" t="s">
        <v>2231</v>
      </c>
      <c r="R70" s="103">
        <v>45507</v>
      </c>
      <c r="S70" t="s">
        <v>2281</v>
      </c>
      <c r="U70" t="s">
        <v>2744</v>
      </c>
      <c r="X70" t="s">
        <v>2800</v>
      </c>
      <c r="Y70" t="s">
        <v>2088</v>
      </c>
      <c r="AD70">
        <v>180</v>
      </c>
    </row>
    <row r="71" spans="1:30" hidden="1">
      <c r="A71">
        <v>188009</v>
      </c>
      <c r="B71">
        <v>10</v>
      </c>
      <c r="C71" t="s">
        <v>2786</v>
      </c>
      <c r="E71" s="103">
        <v>45519</v>
      </c>
      <c r="F71">
        <v>1</v>
      </c>
      <c r="G71" s="1210">
        <v>45436</v>
      </c>
      <c r="I71" t="s">
        <v>2787</v>
      </c>
      <c r="J71" t="s">
        <v>2082</v>
      </c>
      <c r="K71">
        <v>1509601</v>
      </c>
      <c r="L71" t="s">
        <v>2898</v>
      </c>
      <c r="M71" t="s">
        <v>2805</v>
      </c>
      <c r="N71" t="s">
        <v>2886</v>
      </c>
      <c r="O71" t="s">
        <v>2026</v>
      </c>
      <c r="P71" s="103">
        <v>45503</v>
      </c>
      <c r="Q71" t="s">
        <v>2231</v>
      </c>
      <c r="R71" s="103">
        <v>45507</v>
      </c>
      <c r="S71" t="s">
        <v>2281</v>
      </c>
      <c r="U71" t="s">
        <v>2744</v>
      </c>
      <c r="X71" t="s">
        <v>490</v>
      </c>
      <c r="Y71" t="s">
        <v>2088</v>
      </c>
      <c r="AD71">
        <v>45</v>
      </c>
    </row>
    <row r="72" spans="1:30" hidden="1">
      <c r="A72">
        <v>188010</v>
      </c>
      <c r="B72">
        <v>20</v>
      </c>
      <c r="C72" t="s">
        <v>2776</v>
      </c>
      <c r="E72" s="103">
        <v>45519</v>
      </c>
      <c r="F72">
        <v>1</v>
      </c>
      <c r="G72" s="1210">
        <v>45436</v>
      </c>
      <c r="I72" t="s">
        <v>2789</v>
      </c>
      <c r="J72" t="s">
        <v>2082</v>
      </c>
      <c r="K72">
        <v>1509601</v>
      </c>
      <c r="L72" t="s">
        <v>2899</v>
      </c>
      <c r="M72" t="s">
        <v>2805</v>
      </c>
      <c r="N72" t="s">
        <v>2886</v>
      </c>
      <c r="O72" t="s">
        <v>2026</v>
      </c>
      <c r="P72" s="103">
        <v>45503</v>
      </c>
      <c r="Q72" t="s">
        <v>2231</v>
      </c>
      <c r="R72" s="103">
        <v>45507</v>
      </c>
      <c r="S72" t="s">
        <v>2281</v>
      </c>
      <c r="U72" t="s">
        <v>2744</v>
      </c>
      <c r="X72" t="s">
        <v>490</v>
      </c>
      <c r="Y72" t="s">
        <v>2088</v>
      </c>
      <c r="AD72">
        <v>55</v>
      </c>
    </row>
    <row r="73" spans="1:30" hidden="1">
      <c r="A73">
        <v>198665</v>
      </c>
      <c r="B73">
        <v>10</v>
      </c>
      <c r="C73" t="s">
        <v>2778</v>
      </c>
      <c r="E73" s="103">
        <v>45519</v>
      </c>
      <c r="F73">
        <v>1</v>
      </c>
      <c r="G73" s="1210">
        <v>45436</v>
      </c>
      <c r="I73" t="s">
        <v>2900</v>
      </c>
      <c r="J73" t="s">
        <v>2082</v>
      </c>
      <c r="K73">
        <v>1509601</v>
      </c>
      <c r="L73" t="s">
        <v>2784</v>
      </c>
      <c r="M73" t="s">
        <v>2805</v>
      </c>
      <c r="N73" t="s">
        <v>2886</v>
      </c>
      <c r="O73" t="s">
        <v>2026</v>
      </c>
      <c r="P73" s="103">
        <v>45503</v>
      </c>
      <c r="Q73" t="s">
        <v>2231</v>
      </c>
      <c r="R73" s="103">
        <v>45507</v>
      </c>
      <c r="S73" t="s">
        <v>2281</v>
      </c>
      <c r="U73" t="s">
        <v>2744</v>
      </c>
      <c r="X73" t="s">
        <v>490</v>
      </c>
      <c r="Y73" t="s">
        <v>2088</v>
      </c>
      <c r="AD73">
        <v>10</v>
      </c>
    </row>
    <row r="74" spans="1:30" hidden="1">
      <c r="A74">
        <v>188034</v>
      </c>
      <c r="B74">
        <v>10</v>
      </c>
      <c r="C74" t="s">
        <v>2901</v>
      </c>
      <c r="E74" s="103">
        <v>45519</v>
      </c>
      <c r="F74">
        <v>1</v>
      </c>
      <c r="G74" s="1210">
        <v>45436</v>
      </c>
      <c r="I74" t="s">
        <v>2902</v>
      </c>
      <c r="J74" t="s">
        <v>2082</v>
      </c>
      <c r="K74">
        <v>1509601</v>
      </c>
      <c r="L74" t="s">
        <v>2903</v>
      </c>
      <c r="M74" t="s">
        <v>2805</v>
      </c>
      <c r="N74" t="s">
        <v>2886</v>
      </c>
      <c r="O74" t="s">
        <v>2026</v>
      </c>
      <c r="P74" s="103">
        <v>45503</v>
      </c>
      <c r="Q74" t="s">
        <v>2231</v>
      </c>
      <c r="R74" s="103">
        <v>45507</v>
      </c>
      <c r="S74" t="s">
        <v>2281</v>
      </c>
      <c r="U74" t="s">
        <v>2744</v>
      </c>
      <c r="X74" t="s">
        <v>490</v>
      </c>
      <c r="Y74" t="s">
        <v>2088</v>
      </c>
      <c r="AD74">
        <v>10</v>
      </c>
    </row>
    <row r="75" spans="1:30" hidden="1">
      <c r="A75">
        <v>188035</v>
      </c>
      <c r="B75">
        <v>10</v>
      </c>
      <c r="C75" t="s">
        <v>2776</v>
      </c>
      <c r="E75" s="103">
        <v>45519</v>
      </c>
      <c r="F75">
        <v>1</v>
      </c>
      <c r="G75" s="1210">
        <v>45436</v>
      </c>
      <c r="I75" t="s">
        <v>2904</v>
      </c>
      <c r="J75" t="s">
        <v>2082</v>
      </c>
      <c r="K75">
        <v>1509601</v>
      </c>
      <c r="L75" t="s">
        <v>2778</v>
      </c>
      <c r="M75" t="s">
        <v>2805</v>
      </c>
      <c r="N75" t="s">
        <v>2886</v>
      </c>
      <c r="O75" t="s">
        <v>2026</v>
      </c>
      <c r="P75" s="103">
        <v>45503</v>
      </c>
      <c r="Q75" t="s">
        <v>2231</v>
      </c>
      <c r="R75" s="103">
        <v>45507</v>
      </c>
      <c r="S75" t="s">
        <v>2281</v>
      </c>
      <c r="U75" t="s">
        <v>2744</v>
      </c>
      <c r="X75" t="s">
        <v>490</v>
      </c>
      <c r="Y75" t="s">
        <v>2088</v>
      </c>
      <c r="AD75">
        <v>10</v>
      </c>
    </row>
    <row r="76" spans="1:30" hidden="1">
      <c r="A76">
        <v>189730</v>
      </c>
      <c r="B76">
        <v>10</v>
      </c>
      <c r="C76" t="s">
        <v>2905</v>
      </c>
      <c r="E76" s="103">
        <v>45519</v>
      </c>
      <c r="F76">
        <v>3</v>
      </c>
      <c r="G76" s="1210">
        <v>45470</v>
      </c>
      <c r="I76" t="s">
        <v>2906</v>
      </c>
      <c r="J76" t="s">
        <v>2082</v>
      </c>
      <c r="K76">
        <v>4500007443</v>
      </c>
      <c r="L76" t="s">
        <v>2907</v>
      </c>
      <c r="M76" t="s">
        <v>2805</v>
      </c>
      <c r="N76" t="s">
        <v>2886</v>
      </c>
      <c r="O76" t="s">
        <v>2026</v>
      </c>
      <c r="P76" s="103">
        <v>45503</v>
      </c>
      <c r="Q76" t="s">
        <v>2231</v>
      </c>
      <c r="R76" s="103">
        <v>45507</v>
      </c>
      <c r="S76" t="s">
        <v>2281</v>
      </c>
      <c r="U76" t="s">
        <v>2744</v>
      </c>
      <c r="W76" t="s">
        <v>2908</v>
      </c>
      <c r="X76" t="s">
        <v>490</v>
      </c>
      <c r="Y76" t="s">
        <v>2088</v>
      </c>
      <c r="AD76">
        <v>0</v>
      </c>
    </row>
    <row r="77" spans="1:30" hidden="1">
      <c r="A77">
        <v>196068</v>
      </c>
      <c r="B77">
        <v>80</v>
      </c>
      <c r="C77" t="s">
        <v>2868</v>
      </c>
      <c r="E77" s="103">
        <v>45525</v>
      </c>
      <c r="F77">
        <v>1</v>
      </c>
      <c r="G77" s="1210">
        <v>45448</v>
      </c>
      <c r="I77" t="s">
        <v>2869</v>
      </c>
      <c r="J77" t="s">
        <v>2012</v>
      </c>
      <c r="K77">
        <v>4500007297</v>
      </c>
      <c r="L77" t="s">
        <v>2909</v>
      </c>
      <c r="M77" t="s">
        <v>2861</v>
      </c>
      <c r="N77" t="s">
        <v>2910</v>
      </c>
      <c r="O77" t="s">
        <v>2026</v>
      </c>
      <c r="P77" s="103">
        <v>45513</v>
      </c>
      <c r="Q77" t="s">
        <v>2231</v>
      </c>
      <c r="R77" s="103">
        <v>45520</v>
      </c>
      <c r="S77" t="s">
        <v>2911</v>
      </c>
      <c r="U77" t="s">
        <v>2744</v>
      </c>
      <c r="X77" t="s">
        <v>2862</v>
      </c>
      <c r="Y77" t="s">
        <v>2088</v>
      </c>
      <c r="AD77">
        <v>100</v>
      </c>
    </row>
    <row r="78" spans="1:30" hidden="1">
      <c r="A78">
        <v>196066</v>
      </c>
      <c r="B78">
        <v>70</v>
      </c>
      <c r="C78" t="s">
        <v>2871</v>
      </c>
      <c r="E78" s="103">
        <v>45525</v>
      </c>
      <c r="F78">
        <v>1</v>
      </c>
      <c r="G78" s="1210">
        <v>45448</v>
      </c>
      <c r="I78" t="s">
        <v>2872</v>
      </c>
      <c r="J78" t="s">
        <v>2012</v>
      </c>
      <c r="K78">
        <v>4500007298</v>
      </c>
      <c r="L78" t="s">
        <v>2912</v>
      </c>
      <c r="M78" t="s">
        <v>2861</v>
      </c>
      <c r="N78" t="s">
        <v>2910</v>
      </c>
      <c r="O78" t="s">
        <v>2026</v>
      </c>
      <c r="P78" s="103">
        <v>45513</v>
      </c>
      <c r="Q78" t="s">
        <v>2231</v>
      </c>
      <c r="R78" s="103">
        <v>45520</v>
      </c>
      <c r="S78" t="s">
        <v>2911</v>
      </c>
      <c r="U78" t="s">
        <v>2744</v>
      </c>
      <c r="X78" t="s">
        <v>2862</v>
      </c>
      <c r="Y78" t="s">
        <v>2088</v>
      </c>
      <c r="AD78">
        <v>110</v>
      </c>
    </row>
    <row r="79" spans="1:30" hidden="1">
      <c r="A79">
        <v>193190</v>
      </c>
      <c r="B79">
        <v>10</v>
      </c>
      <c r="C79" t="s">
        <v>2756</v>
      </c>
      <c r="E79" s="103">
        <v>45525</v>
      </c>
      <c r="F79">
        <v>1</v>
      </c>
      <c r="G79" s="1210">
        <v>45448</v>
      </c>
      <c r="I79" t="s">
        <v>2591</v>
      </c>
      <c r="J79" t="s">
        <v>2012</v>
      </c>
      <c r="K79">
        <v>4500007299</v>
      </c>
      <c r="L79" t="s">
        <v>2757</v>
      </c>
      <c r="M79" t="s">
        <v>2861</v>
      </c>
      <c r="N79" t="s">
        <v>2910</v>
      </c>
      <c r="O79" t="s">
        <v>2026</v>
      </c>
      <c r="P79" s="103">
        <v>45513</v>
      </c>
      <c r="Q79" t="s">
        <v>2231</v>
      </c>
      <c r="R79" s="103">
        <v>45520</v>
      </c>
      <c r="S79" t="s">
        <v>2911</v>
      </c>
      <c r="U79" t="s">
        <v>2744</v>
      </c>
      <c r="X79" t="s">
        <v>2862</v>
      </c>
      <c r="Y79" t="s">
        <v>2088</v>
      </c>
      <c r="AD79">
        <v>40</v>
      </c>
    </row>
    <row r="80" spans="1:30" hidden="1">
      <c r="A80">
        <v>193714</v>
      </c>
      <c r="B80">
        <v>70</v>
      </c>
      <c r="C80" t="s">
        <v>2760</v>
      </c>
      <c r="E80" s="103">
        <v>45525</v>
      </c>
      <c r="F80">
        <v>1</v>
      </c>
      <c r="G80" s="1210">
        <v>45448</v>
      </c>
      <c r="I80" t="s">
        <v>1046</v>
      </c>
      <c r="J80" t="s">
        <v>2012</v>
      </c>
      <c r="K80">
        <v>4500007300</v>
      </c>
      <c r="L80" t="s">
        <v>2761</v>
      </c>
      <c r="M80" t="s">
        <v>2805</v>
      </c>
      <c r="N80" t="s">
        <v>2910</v>
      </c>
      <c r="O80" t="s">
        <v>2026</v>
      </c>
      <c r="P80" s="103">
        <v>45513</v>
      </c>
      <c r="Q80" t="s">
        <v>2231</v>
      </c>
      <c r="R80" s="103">
        <v>45520</v>
      </c>
      <c r="S80" t="s">
        <v>2911</v>
      </c>
      <c r="U80" t="s">
        <v>2744</v>
      </c>
      <c r="X80" t="s">
        <v>2864</v>
      </c>
      <c r="Y80" t="s">
        <v>2088</v>
      </c>
      <c r="AD80">
        <v>270</v>
      </c>
    </row>
    <row r="81" spans="1:30" hidden="1">
      <c r="A81">
        <v>199324</v>
      </c>
      <c r="B81">
        <v>120</v>
      </c>
      <c r="C81" t="s">
        <v>2797</v>
      </c>
      <c r="E81" s="103">
        <v>45530</v>
      </c>
      <c r="F81">
        <v>1</v>
      </c>
      <c r="G81" s="1210">
        <v>45435</v>
      </c>
      <c r="I81" t="s">
        <v>714</v>
      </c>
      <c r="J81" t="s">
        <v>2082</v>
      </c>
      <c r="K81">
        <v>4500007259</v>
      </c>
      <c r="L81" t="s">
        <v>2913</v>
      </c>
      <c r="M81" t="s">
        <v>2914</v>
      </c>
      <c r="N81" t="s">
        <v>2915</v>
      </c>
      <c r="O81" t="s">
        <v>2026</v>
      </c>
      <c r="P81" s="103">
        <v>45519</v>
      </c>
      <c r="Q81" t="s">
        <v>2231</v>
      </c>
      <c r="R81" s="103">
        <v>45523</v>
      </c>
      <c r="S81" t="s">
        <v>2281</v>
      </c>
      <c r="U81" t="s">
        <v>2744</v>
      </c>
      <c r="X81" t="s">
        <v>2800</v>
      </c>
      <c r="Y81" t="s">
        <v>2088</v>
      </c>
      <c r="AD81">
        <v>420</v>
      </c>
    </row>
    <row r="82" spans="1:30" hidden="1">
      <c r="A82">
        <v>199326</v>
      </c>
      <c r="B82">
        <v>240</v>
      </c>
      <c r="C82" t="s">
        <v>2801</v>
      </c>
      <c r="E82" s="103">
        <v>45530</v>
      </c>
      <c r="F82">
        <v>1</v>
      </c>
      <c r="G82" s="1210">
        <v>45435</v>
      </c>
      <c r="I82" t="s">
        <v>769</v>
      </c>
      <c r="J82" t="s">
        <v>2082</v>
      </c>
      <c r="K82">
        <v>4500007261</v>
      </c>
      <c r="L82" t="s">
        <v>2916</v>
      </c>
      <c r="M82" t="s">
        <v>2914</v>
      </c>
      <c r="N82" t="s">
        <v>2915</v>
      </c>
      <c r="O82" t="s">
        <v>2026</v>
      </c>
      <c r="P82" s="103">
        <v>45519</v>
      </c>
      <c r="Q82" t="s">
        <v>2231</v>
      </c>
      <c r="R82" s="103">
        <v>45523</v>
      </c>
      <c r="S82" t="s">
        <v>2281</v>
      </c>
      <c r="U82" t="s">
        <v>2744</v>
      </c>
      <c r="X82" t="s">
        <v>2800</v>
      </c>
      <c r="Y82" t="s">
        <v>2088</v>
      </c>
      <c r="AD82">
        <v>540</v>
      </c>
    </row>
    <row r="83" spans="1:30" hidden="1">
      <c r="A83">
        <v>201898</v>
      </c>
      <c r="B83">
        <v>6</v>
      </c>
      <c r="C83" t="s">
        <v>2819</v>
      </c>
      <c r="E83" s="103">
        <v>45537</v>
      </c>
      <c r="F83">
        <v>1</v>
      </c>
      <c r="G83" s="1210">
        <v>45463</v>
      </c>
      <c r="I83" t="s">
        <v>317</v>
      </c>
      <c r="J83" t="s">
        <v>2012</v>
      </c>
      <c r="K83">
        <v>4500007395</v>
      </c>
      <c r="L83" t="s">
        <v>2917</v>
      </c>
      <c r="N83" t="s">
        <v>2918</v>
      </c>
      <c r="O83" t="s">
        <v>2094</v>
      </c>
      <c r="Q83" t="s">
        <v>2231</v>
      </c>
      <c r="S83" t="s">
        <v>2814</v>
      </c>
      <c r="U83" t="s">
        <v>2744</v>
      </c>
      <c r="V83" t="s">
        <v>2815</v>
      </c>
      <c r="X83" t="s">
        <v>2919</v>
      </c>
      <c r="Y83" t="s">
        <v>2088</v>
      </c>
      <c r="AD83">
        <v>6</v>
      </c>
    </row>
    <row r="84" spans="1:30" hidden="1">
      <c r="A84">
        <v>201900</v>
      </c>
      <c r="B84">
        <v>6</v>
      </c>
      <c r="C84" t="s">
        <v>2821</v>
      </c>
      <c r="E84" s="103">
        <v>45537</v>
      </c>
      <c r="F84">
        <v>1</v>
      </c>
      <c r="G84" s="1210">
        <v>45463</v>
      </c>
      <c r="I84" t="s">
        <v>327</v>
      </c>
      <c r="J84" t="s">
        <v>2012</v>
      </c>
      <c r="K84">
        <v>4500007398</v>
      </c>
      <c r="L84" t="s">
        <v>2920</v>
      </c>
      <c r="N84" t="s">
        <v>2918</v>
      </c>
      <c r="O84" t="s">
        <v>2094</v>
      </c>
      <c r="Q84" t="s">
        <v>2231</v>
      </c>
      <c r="S84" t="s">
        <v>2814</v>
      </c>
      <c r="U84" t="s">
        <v>2744</v>
      </c>
      <c r="V84" t="s">
        <v>2815</v>
      </c>
      <c r="X84" t="s">
        <v>2919</v>
      </c>
      <c r="Y84" t="s">
        <v>2088</v>
      </c>
      <c r="AD84">
        <v>6</v>
      </c>
    </row>
    <row r="85" spans="1:30" hidden="1">
      <c r="A85">
        <v>202294</v>
      </c>
      <c r="B85">
        <v>200</v>
      </c>
      <c r="C85" t="s">
        <v>2841</v>
      </c>
      <c r="E85" s="103">
        <v>45553</v>
      </c>
      <c r="F85">
        <v>1</v>
      </c>
      <c r="G85" s="1210">
        <v>45404</v>
      </c>
      <c r="I85" t="s">
        <v>543</v>
      </c>
      <c r="J85" t="s">
        <v>2082</v>
      </c>
      <c r="K85">
        <v>4500007048</v>
      </c>
      <c r="L85" t="s">
        <v>2921</v>
      </c>
      <c r="M85" t="s">
        <v>2922</v>
      </c>
      <c r="N85" t="s">
        <v>2918</v>
      </c>
      <c r="O85" t="s">
        <v>2026</v>
      </c>
      <c r="P85" s="103">
        <v>45538</v>
      </c>
      <c r="Q85" t="s">
        <v>2231</v>
      </c>
      <c r="R85" s="103">
        <v>45549</v>
      </c>
      <c r="S85" t="s">
        <v>2281</v>
      </c>
      <c r="U85" t="s">
        <v>2744</v>
      </c>
      <c r="V85" t="s">
        <v>2893</v>
      </c>
      <c r="W85" t="s">
        <v>2894</v>
      </c>
      <c r="X85" t="s">
        <v>2738</v>
      </c>
      <c r="Y85" t="s">
        <v>2088</v>
      </c>
      <c r="AD85">
        <v>500</v>
      </c>
    </row>
    <row r="86" spans="1:30" hidden="1">
      <c r="A86">
        <v>199319</v>
      </c>
      <c r="B86">
        <v>300</v>
      </c>
      <c r="C86" t="s">
        <v>2765</v>
      </c>
      <c r="E86" s="103">
        <v>45553</v>
      </c>
      <c r="F86">
        <v>1</v>
      </c>
      <c r="G86" s="1210">
        <v>45426</v>
      </c>
      <c r="I86" t="s">
        <v>358</v>
      </c>
      <c r="J86" t="s">
        <v>2082</v>
      </c>
      <c r="K86">
        <v>4500007161</v>
      </c>
      <c r="L86" t="s">
        <v>2923</v>
      </c>
      <c r="M86" t="s">
        <v>2922</v>
      </c>
      <c r="N86" t="s">
        <v>2918</v>
      </c>
      <c r="O86" t="s">
        <v>2743</v>
      </c>
      <c r="P86" s="103">
        <v>45538</v>
      </c>
      <c r="Q86" t="s">
        <v>2231</v>
      </c>
      <c r="R86" s="103">
        <v>45549</v>
      </c>
      <c r="S86" t="s">
        <v>2281</v>
      </c>
      <c r="U86" t="s">
        <v>2744</v>
      </c>
      <c r="V86" t="s">
        <v>2924</v>
      </c>
      <c r="W86" t="s">
        <v>2925</v>
      </c>
      <c r="X86" t="s">
        <v>2800</v>
      </c>
      <c r="Y86" t="s">
        <v>2088</v>
      </c>
      <c r="AD86">
        <v>800</v>
      </c>
    </row>
    <row r="87" spans="1:30" hidden="1">
      <c r="A87">
        <v>199322</v>
      </c>
      <c r="B87">
        <v>320</v>
      </c>
      <c r="C87" t="s">
        <v>2767</v>
      </c>
      <c r="E87" s="103">
        <v>45553</v>
      </c>
      <c r="F87">
        <v>1</v>
      </c>
      <c r="G87" s="1210">
        <v>45434</v>
      </c>
      <c r="I87" t="s">
        <v>498</v>
      </c>
      <c r="J87" t="s">
        <v>2082</v>
      </c>
      <c r="K87">
        <v>4500007224</v>
      </c>
      <c r="L87" t="s">
        <v>2926</v>
      </c>
      <c r="M87" t="s">
        <v>2922</v>
      </c>
      <c r="N87" t="s">
        <v>2918</v>
      </c>
      <c r="O87" t="s">
        <v>2026</v>
      </c>
      <c r="P87" s="103">
        <v>45538</v>
      </c>
      <c r="Q87" t="s">
        <v>2231</v>
      </c>
      <c r="R87" s="103">
        <v>45549</v>
      </c>
      <c r="S87" t="s">
        <v>2281</v>
      </c>
      <c r="U87" t="s">
        <v>2744</v>
      </c>
      <c r="V87" t="s">
        <v>2924</v>
      </c>
      <c r="W87" t="s">
        <v>2927</v>
      </c>
      <c r="X87" t="s">
        <v>2800</v>
      </c>
      <c r="Y87" t="s">
        <v>2088</v>
      </c>
      <c r="AD87">
        <v>1240</v>
      </c>
    </row>
    <row r="88" spans="1:30" hidden="1">
      <c r="A88">
        <v>199330</v>
      </c>
      <c r="B88">
        <v>60</v>
      </c>
      <c r="C88" t="s">
        <v>2771</v>
      </c>
      <c r="E88" s="103">
        <v>45553</v>
      </c>
      <c r="F88">
        <v>1</v>
      </c>
      <c r="G88" s="1210">
        <v>45434</v>
      </c>
      <c r="I88" t="s">
        <v>992</v>
      </c>
      <c r="J88" t="s">
        <v>2082</v>
      </c>
      <c r="K88">
        <v>4500007227</v>
      </c>
      <c r="L88" t="s">
        <v>2928</v>
      </c>
      <c r="M88" t="s">
        <v>2929</v>
      </c>
      <c r="N88" t="s">
        <v>2918</v>
      </c>
      <c r="O88" t="s">
        <v>2026</v>
      </c>
      <c r="P88" s="103">
        <v>45538</v>
      </c>
      <c r="Q88" t="s">
        <v>2231</v>
      </c>
      <c r="R88" s="103">
        <v>45549</v>
      </c>
      <c r="S88" t="s">
        <v>2281</v>
      </c>
      <c r="U88" t="s">
        <v>2744</v>
      </c>
      <c r="V88" t="s">
        <v>2924</v>
      </c>
      <c r="W88" t="s">
        <v>2930</v>
      </c>
      <c r="X88" t="s">
        <v>2800</v>
      </c>
      <c r="Y88" t="s">
        <v>2088</v>
      </c>
      <c r="AD88">
        <v>240</v>
      </c>
    </row>
    <row r="89" spans="1:30" hidden="1">
      <c r="A89">
        <v>201898</v>
      </c>
      <c r="B89">
        <v>742</v>
      </c>
      <c r="C89" t="s">
        <v>2819</v>
      </c>
      <c r="E89" s="103">
        <v>45553</v>
      </c>
      <c r="F89">
        <v>1</v>
      </c>
      <c r="G89" s="1210">
        <v>45463</v>
      </c>
      <c r="I89" t="s">
        <v>317</v>
      </c>
      <c r="J89" t="s">
        <v>2012</v>
      </c>
      <c r="K89">
        <v>4500007396</v>
      </c>
      <c r="L89" t="s">
        <v>2931</v>
      </c>
      <c r="M89" t="s">
        <v>2932</v>
      </c>
      <c r="N89" t="s">
        <v>2918</v>
      </c>
      <c r="O89" t="s">
        <v>2743</v>
      </c>
      <c r="P89" s="103">
        <v>45544</v>
      </c>
      <c r="Q89" t="s">
        <v>2231</v>
      </c>
      <c r="R89" s="103">
        <v>45548</v>
      </c>
      <c r="S89" t="s">
        <v>2281</v>
      </c>
      <c r="U89" t="s">
        <v>2744</v>
      </c>
      <c r="V89" t="s">
        <v>2933</v>
      </c>
      <c r="W89" t="s">
        <v>2934</v>
      </c>
      <c r="X89" t="s">
        <v>2919</v>
      </c>
      <c r="Y89" t="s">
        <v>2088</v>
      </c>
      <c r="AD89">
        <v>748</v>
      </c>
    </row>
    <row r="90" spans="1:30" hidden="1">
      <c r="A90">
        <v>201900</v>
      </c>
      <c r="B90">
        <v>592</v>
      </c>
      <c r="C90" t="s">
        <v>2821</v>
      </c>
      <c r="E90" s="103">
        <v>45553</v>
      </c>
      <c r="F90">
        <v>1</v>
      </c>
      <c r="G90" s="1210">
        <v>45463</v>
      </c>
      <c r="I90" t="s">
        <v>327</v>
      </c>
      <c r="J90" t="s">
        <v>2012</v>
      </c>
      <c r="K90">
        <v>4500007399</v>
      </c>
      <c r="L90" t="s">
        <v>2935</v>
      </c>
      <c r="M90" t="s">
        <v>2932</v>
      </c>
      <c r="N90" t="s">
        <v>2918</v>
      </c>
      <c r="O90" t="s">
        <v>2743</v>
      </c>
      <c r="P90" s="103">
        <v>45544</v>
      </c>
      <c r="Q90" t="s">
        <v>2231</v>
      </c>
      <c r="R90" s="103">
        <v>45548</v>
      </c>
      <c r="S90" t="s">
        <v>2281</v>
      </c>
      <c r="U90" t="s">
        <v>2744</v>
      </c>
      <c r="V90" t="s">
        <v>2933</v>
      </c>
      <c r="W90" t="s">
        <v>2934</v>
      </c>
      <c r="X90" t="s">
        <v>2919</v>
      </c>
      <c r="Y90" t="s">
        <v>2088</v>
      </c>
      <c r="AD90">
        <v>598</v>
      </c>
    </row>
    <row r="91" spans="1:30" hidden="1">
      <c r="A91">
        <v>188009</v>
      </c>
      <c r="B91">
        <v>35</v>
      </c>
      <c r="C91" t="s">
        <v>2786</v>
      </c>
      <c r="E91" s="103">
        <v>45553</v>
      </c>
      <c r="F91">
        <v>1</v>
      </c>
      <c r="G91" s="1210">
        <v>45504</v>
      </c>
      <c r="I91" t="s">
        <v>2787</v>
      </c>
      <c r="J91" t="s">
        <v>2082</v>
      </c>
      <c r="K91">
        <v>1510657</v>
      </c>
      <c r="L91" t="s">
        <v>2788</v>
      </c>
      <c r="M91" t="s">
        <v>2929</v>
      </c>
      <c r="N91" t="s">
        <v>2936</v>
      </c>
      <c r="O91" t="s">
        <v>2231</v>
      </c>
      <c r="P91" s="103">
        <v>45548</v>
      </c>
      <c r="Q91" t="s">
        <v>2231</v>
      </c>
      <c r="R91" s="103">
        <v>45552</v>
      </c>
      <c r="S91" t="s">
        <v>2281</v>
      </c>
      <c r="U91" t="s">
        <v>2744</v>
      </c>
      <c r="X91" t="s">
        <v>490</v>
      </c>
      <c r="Y91" t="s">
        <v>2088</v>
      </c>
      <c r="AD91">
        <v>80</v>
      </c>
    </row>
    <row r="92" spans="1:30" hidden="1">
      <c r="A92">
        <v>188010</v>
      </c>
      <c r="B92">
        <v>35</v>
      </c>
      <c r="C92" t="s">
        <v>2776</v>
      </c>
      <c r="E92" s="103">
        <v>45553</v>
      </c>
      <c r="F92">
        <v>1</v>
      </c>
      <c r="G92" s="1210">
        <v>45504</v>
      </c>
      <c r="I92" t="s">
        <v>2789</v>
      </c>
      <c r="J92" t="s">
        <v>2082</v>
      </c>
      <c r="K92">
        <v>1510657</v>
      </c>
      <c r="L92" t="s">
        <v>2779</v>
      </c>
      <c r="M92" t="s">
        <v>2929</v>
      </c>
      <c r="N92" t="s">
        <v>2936</v>
      </c>
      <c r="O92" t="s">
        <v>2231</v>
      </c>
      <c r="P92" s="103">
        <v>45548</v>
      </c>
      <c r="Q92" t="s">
        <v>2231</v>
      </c>
      <c r="R92" s="103">
        <v>45552</v>
      </c>
      <c r="S92" t="s">
        <v>2281</v>
      </c>
      <c r="U92" t="s">
        <v>2744</v>
      </c>
      <c r="X92" t="s">
        <v>490</v>
      </c>
      <c r="Y92" t="s">
        <v>2088</v>
      </c>
      <c r="AD92">
        <v>90</v>
      </c>
    </row>
    <row r="93" spans="1:30" hidden="1">
      <c r="A93">
        <v>206379</v>
      </c>
      <c r="B93">
        <v>1</v>
      </c>
      <c r="C93" t="s">
        <v>2779</v>
      </c>
      <c r="E93" s="103">
        <v>45554</v>
      </c>
      <c r="F93">
        <v>3</v>
      </c>
      <c r="G93" s="1210">
        <v>45541</v>
      </c>
      <c r="I93" t="s">
        <v>2937</v>
      </c>
      <c r="J93" t="s">
        <v>2082</v>
      </c>
      <c r="K93">
        <v>4500008020</v>
      </c>
      <c r="L93" t="s">
        <v>2779</v>
      </c>
      <c r="N93" t="s">
        <v>2938</v>
      </c>
      <c r="O93" t="s">
        <v>2094</v>
      </c>
      <c r="Q93" t="s">
        <v>2231</v>
      </c>
      <c r="S93" t="s">
        <v>2806</v>
      </c>
      <c r="U93" t="s">
        <v>2744</v>
      </c>
      <c r="W93" t="s">
        <v>2939</v>
      </c>
      <c r="X93" t="s">
        <v>490</v>
      </c>
      <c r="Y93" t="s">
        <v>2088</v>
      </c>
      <c r="AD93">
        <v>0</v>
      </c>
    </row>
    <row r="94" spans="1:30" hidden="1">
      <c r="A94">
        <v>206380</v>
      </c>
      <c r="B94">
        <v>1</v>
      </c>
      <c r="C94" t="s">
        <v>2779</v>
      </c>
      <c r="E94" s="103">
        <v>45554</v>
      </c>
      <c r="F94">
        <v>3</v>
      </c>
      <c r="G94" s="1210">
        <v>45541</v>
      </c>
      <c r="I94" t="s">
        <v>2940</v>
      </c>
      <c r="J94" t="s">
        <v>2082</v>
      </c>
      <c r="K94">
        <v>4500008020</v>
      </c>
      <c r="L94" t="s">
        <v>2779</v>
      </c>
      <c r="N94" t="s">
        <v>2938</v>
      </c>
      <c r="O94" t="s">
        <v>2094</v>
      </c>
      <c r="Q94" t="s">
        <v>2231</v>
      </c>
      <c r="S94" t="s">
        <v>2806</v>
      </c>
      <c r="U94" t="s">
        <v>2744</v>
      </c>
      <c r="W94" t="s">
        <v>2939</v>
      </c>
      <c r="X94" t="s">
        <v>490</v>
      </c>
      <c r="Y94" t="s">
        <v>2088</v>
      </c>
      <c r="AD94">
        <v>0</v>
      </c>
    </row>
    <row r="95" spans="1:30" hidden="1">
      <c r="A95">
        <v>206381</v>
      </c>
      <c r="B95">
        <v>1</v>
      </c>
      <c r="C95" t="s">
        <v>2779</v>
      </c>
      <c r="E95" s="103">
        <v>45554</v>
      </c>
      <c r="F95">
        <v>3</v>
      </c>
      <c r="G95" s="1210">
        <v>45541</v>
      </c>
      <c r="I95" t="s">
        <v>2941</v>
      </c>
      <c r="J95" t="s">
        <v>2082</v>
      </c>
      <c r="K95">
        <v>4500008020</v>
      </c>
      <c r="L95" t="s">
        <v>2779</v>
      </c>
      <c r="N95" t="s">
        <v>2938</v>
      </c>
      <c r="O95" t="s">
        <v>2094</v>
      </c>
      <c r="Q95" t="s">
        <v>2231</v>
      </c>
      <c r="S95" t="s">
        <v>2806</v>
      </c>
      <c r="U95" t="s">
        <v>2744</v>
      </c>
      <c r="W95" t="s">
        <v>2939</v>
      </c>
      <c r="X95" t="s">
        <v>490</v>
      </c>
      <c r="Y95" t="s">
        <v>2088</v>
      </c>
      <c r="AD95">
        <v>0</v>
      </c>
    </row>
    <row r="96" spans="1:30" hidden="1">
      <c r="A96">
        <v>203728</v>
      </c>
      <c r="B96">
        <v>92</v>
      </c>
      <c r="C96" t="s">
        <v>2942</v>
      </c>
      <c r="E96" s="103">
        <v>45559</v>
      </c>
      <c r="F96">
        <v>1</v>
      </c>
      <c r="G96" s="1210">
        <v>45511</v>
      </c>
      <c r="I96" t="s">
        <v>553</v>
      </c>
      <c r="J96" t="s">
        <v>2082</v>
      </c>
      <c r="K96">
        <v>4500007760</v>
      </c>
      <c r="L96" t="s">
        <v>2943</v>
      </c>
      <c r="M96" t="s">
        <v>2944</v>
      </c>
      <c r="N96" t="s">
        <v>2945</v>
      </c>
      <c r="O96" t="s">
        <v>2946</v>
      </c>
      <c r="Q96" t="s">
        <v>2231</v>
      </c>
      <c r="S96" t="s">
        <v>2911</v>
      </c>
      <c r="U96" t="s">
        <v>2744</v>
      </c>
      <c r="V96" t="s">
        <v>2933</v>
      </c>
      <c r="X96" t="s">
        <v>2947</v>
      </c>
      <c r="Y96" t="s">
        <v>2088</v>
      </c>
      <c r="AD96">
        <v>92</v>
      </c>
    </row>
    <row r="97" spans="1:30" hidden="1">
      <c r="A97">
        <v>203746</v>
      </c>
      <c r="B97">
        <v>142</v>
      </c>
      <c r="C97" t="s">
        <v>2948</v>
      </c>
      <c r="E97" s="103">
        <v>45559</v>
      </c>
      <c r="F97">
        <v>1</v>
      </c>
      <c r="G97" s="1210">
        <v>45511</v>
      </c>
      <c r="I97" t="s">
        <v>726</v>
      </c>
      <c r="J97" t="s">
        <v>2082</v>
      </c>
      <c r="K97">
        <v>4500007761</v>
      </c>
      <c r="L97" t="s">
        <v>2949</v>
      </c>
      <c r="M97" t="s">
        <v>2950</v>
      </c>
      <c r="N97" t="s">
        <v>2945</v>
      </c>
      <c r="O97" t="s">
        <v>2946</v>
      </c>
      <c r="Q97" t="s">
        <v>2231</v>
      </c>
      <c r="S97" t="s">
        <v>2911</v>
      </c>
      <c r="U97" t="s">
        <v>2744</v>
      </c>
      <c r="V97" t="s">
        <v>2933</v>
      </c>
      <c r="X97" t="s">
        <v>2947</v>
      </c>
      <c r="Y97" t="s">
        <v>2088</v>
      </c>
      <c r="AD97">
        <v>142</v>
      </c>
    </row>
    <row r="98" spans="1:30" hidden="1">
      <c r="A98">
        <v>203750</v>
      </c>
      <c r="B98">
        <v>192</v>
      </c>
      <c r="C98" t="s">
        <v>2951</v>
      </c>
      <c r="E98" s="103">
        <v>45559</v>
      </c>
      <c r="F98">
        <v>1</v>
      </c>
      <c r="G98" s="1210">
        <v>45511</v>
      </c>
      <c r="I98" t="s">
        <v>783</v>
      </c>
      <c r="J98" t="s">
        <v>2082</v>
      </c>
      <c r="K98">
        <v>4500007762</v>
      </c>
      <c r="L98" t="s">
        <v>2952</v>
      </c>
      <c r="M98" t="s">
        <v>2950</v>
      </c>
      <c r="N98" t="s">
        <v>2945</v>
      </c>
      <c r="O98" t="s">
        <v>2946</v>
      </c>
      <c r="Q98" t="s">
        <v>2231</v>
      </c>
      <c r="S98" t="s">
        <v>2911</v>
      </c>
      <c r="U98" t="s">
        <v>2744</v>
      </c>
      <c r="V98" t="s">
        <v>2933</v>
      </c>
      <c r="X98" t="s">
        <v>2947</v>
      </c>
      <c r="Y98" t="s">
        <v>2088</v>
      </c>
      <c r="AD98">
        <v>192</v>
      </c>
    </row>
    <row r="99" spans="1:30" hidden="1">
      <c r="A99">
        <v>203728</v>
      </c>
      <c r="B99">
        <v>4</v>
      </c>
      <c r="C99" t="s">
        <v>2942</v>
      </c>
      <c r="E99" s="103">
        <v>45559</v>
      </c>
      <c r="F99">
        <v>1</v>
      </c>
      <c r="G99" s="1210">
        <v>45511</v>
      </c>
      <c r="I99" t="s">
        <v>553</v>
      </c>
      <c r="J99" t="s">
        <v>2082</v>
      </c>
      <c r="K99">
        <v>4500007763</v>
      </c>
      <c r="L99" t="s">
        <v>2953</v>
      </c>
      <c r="M99" t="s">
        <v>2944</v>
      </c>
      <c r="N99" t="s">
        <v>2944</v>
      </c>
      <c r="O99" t="s">
        <v>2094</v>
      </c>
      <c r="Q99" t="s">
        <v>2231</v>
      </c>
      <c r="S99" t="s">
        <v>2954</v>
      </c>
      <c r="U99" t="s">
        <v>2744</v>
      </c>
      <c r="V99" t="s">
        <v>2815</v>
      </c>
      <c r="X99" t="s">
        <v>2947</v>
      </c>
      <c r="Y99" t="s">
        <v>2088</v>
      </c>
      <c r="AD99">
        <v>96</v>
      </c>
    </row>
    <row r="100" spans="1:30" hidden="1">
      <c r="A100">
        <v>203746</v>
      </c>
      <c r="B100">
        <v>4</v>
      </c>
      <c r="C100" t="s">
        <v>2948</v>
      </c>
      <c r="E100" s="103">
        <v>45559</v>
      </c>
      <c r="F100">
        <v>1</v>
      </c>
      <c r="G100" s="1210">
        <v>45511</v>
      </c>
      <c r="I100" t="s">
        <v>726</v>
      </c>
      <c r="J100" t="s">
        <v>2082</v>
      </c>
      <c r="K100">
        <v>4500007764</v>
      </c>
      <c r="L100" t="s">
        <v>2955</v>
      </c>
      <c r="M100" t="s">
        <v>2950</v>
      </c>
      <c r="N100" t="s">
        <v>2944</v>
      </c>
      <c r="O100" t="s">
        <v>2094</v>
      </c>
      <c r="Q100" t="s">
        <v>2231</v>
      </c>
      <c r="S100" t="s">
        <v>2954</v>
      </c>
      <c r="U100" t="s">
        <v>2744</v>
      </c>
      <c r="V100" t="s">
        <v>2815</v>
      </c>
      <c r="X100" t="s">
        <v>2947</v>
      </c>
      <c r="Y100" t="s">
        <v>2088</v>
      </c>
      <c r="AD100">
        <v>146</v>
      </c>
    </row>
    <row r="101" spans="1:30" hidden="1">
      <c r="A101">
        <v>203750</v>
      </c>
      <c r="B101">
        <v>4</v>
      </c>
      <c r="C101" t="s">
        <v>2951</v>
      </c>
      <c r="E101" s="103">
        <v>45559</v>
      </c>
      <c r="F101">
        <v>1</v>
      </c>
      <c r="G101" s="1210">
        <v>45511</v>
      </c>
      <c r="I101" t="s">
        <v>783</v>
      </c>
      <c r="J101" t="s">
        <v>2082</v>
      </c>
      <c r="K101">
        <v>4500007765</v>
      </c>
      <c r="L101" t="s">
        <v>2956</v>
      </c>
      <c r="M101" t="s">
        <v>2950</v>
      </c>
      <c r="N101" t="s">
        <v>2944</v>
      </c>
      <c r="O101" t="s">
        <v>2094</v>
      </c>
      <c r="Q101" t="s">
        <v>2231</v>
      </c>
      <c r="S101" t="s">
        <v>2954</v>
      </c>
      <c r="U101" t="s">
        <v>2744</v>
      </c>
      <c r="V101" t="s">
        <v>2815</v>
      </c>
      <c r="X101" t="s">
        <v>2947</v>
      </c>
      <c r="Y101" t="s">
        <v>2088</v>
      </c>
      <c r="AD101">
        <v>196</v>
      </c>
    </row>
    <row r="102" spans="1:30" hidden="1">
      <c r="A102">
        <v>196070</v>
      </c>
      <c r="B102">
        <v>1</v>
      </c>
      <c r="C102" t="s">
        <v>2824</v>
      </c>
      <c r="E102" s="103">
        <v>45560</v>
      </c>
      <c r="F102">
        <v>4</v>
      </c>
      <c r="G102" s="1210">
        <v>45448</v>
      </c>
      <c r="I102" t="s">
        <v>610</v>
      </c>
      <c r="J102" t="s">
        <v>2070</v>
      </c>
      <c r="K102">
        <v>4500007293</v>
      </c>
      <c r="L102" t="s">
        <v>2824</v>
      </c>
      <c r="M102" t="s">
        <v>2957</v>
      </c>
      <c r="N102" t="s">
        <v>2958</v>
      </c>
      <c r="O102" t="s">
        <v>2026</v>
      </c>
      <c r="P102" s="103">
        <v>45545</v>
      </c>
      <c r="Q102" t="s">
        <v>2231</v>
      </c>
      <c r="R102" s="103">
        <v>45550</v>
      </c>
      <c r="S102" t="s">
        <v>2281</v>
      </c>
      <c r="U102" t="s">
        <v>2282</v>
      </c>
      <c r="X102" t="s">
        <v>490</v>
      </c>
      <c r="Y102" t="s">
        <v>2088</v>
      </c>
      <c r="AD102">
        <v>191</v>
      </c>
    </row>
    <row r="103" spans="1:30" hidden="1">
      <c r="A103">
        <v>203728</v>
      </c>
      <c r="B103">
        <v>2</v>
      </c>
      <c r="C103" t="s">
        <v>2942</v>
      </c>
      <c r="E103" s="103">
        <v>45560</v>
      </c>
      <c r="F103">
        <v>1</v>
      </c>
      <c r="G103" s="1210">
        <v>45511</v>
      </c>
      <c r="I103" t="s">
        <v>553</v>
      </c>
      <c r="J103" t="s">
        <v>2082</v>
      </c>
      <c r="K103">
        <v>4500007760</v>
      </c>
      <c r="L103" t="s">
        <v>2959</v>
      </c>
      <c r="M103" t="s">
        <v>2944</v>
      </c>
      <c r="N103" t="s">
        <v>2960</v>
      </c>
      <c r="O103" t="s">
        <v>2094</v>
      </c>
      <c r="Q103" t="s">
        <v>2231</v>
      </c>
      <c r="S103" t="s">
        <v>2961</v>
      </c>
      <c r="U103" t="s">
        <v>2744</v>
      </c>
      <c r="W103" t="s">
        <v>2962</v>
      </c>
      <c r="X103" t="s">
        <v>2947</v>
      </c>
      <c r="Y103" t="s">
        <v>2088</v>
      </c>
      <c r="AD103">
        <v>98</v>
      </c>
    </row>
    <row r="104" spans="1:30" hidden="1">
      <c r="A104">
        <v>203746</v>
      </c>
      <c r="B104">
        <v>2</v>
      </c>
      <c r="C104" t="s">
        <v>2948</v>
      </c>
      <c r="E104" s="103">
        <v>45560</v>
      </c>
      <c r="F104">
        <v>1</v>
      </c>
      <c r="G104" s="1210">
        <v>45511</v>
      </c>
      <c r="I104" t="s">
        <v>726</v>
      </c>
      <c r="J104" t="s">
        <v>2082</v>
      </c>
      <c r="K104">
        <v>4500007761</v>
      </c>
      <c r="L104" t="s">
        <v>2963</v>
      </c>
      <c r="M104" t="s">
        <v>2950</v>
      </c>
      <c r="N104" t="s">
        <v>2960</v>
      </c>
      <c r="O104" t="s">
        <v>2094</v>
      </c>
      <c r="Q104" t="s">
        <v>2231</v>
      </c>
      <c r="S104" t="s">
        <v>2961</v>
      </c>
      <c r="U104" t="s">
        <v>2744</v>
      </c>
      <c r="W104" t="s">
        <v>2962</v>
      </c>
      <c r="X104" t="s">
        <v>2947</v>
      </c>
      <c r="Y104" t="s">
        <v>2088</v>
      </c>
      <c r="AD104">
        <v>148</v>
      </c>
    </row>
    <row r="105" spans="1:30" hidden="1">
      <c r="A105">
        <v>203750</v>
      </c>
      <c r="B105">
        <v>2</v>
      </c>
      <c r="C105" t="s">
        <v>2951</v>
      </c>
      <c r="E105" s="103">
        <v>45560</v>
      </c>
      <c r="F105">
        <v>1</v>
      </c>
      <c r="G105" s="1210">
        <v>45511</v>
      </c>
      <c r="I105" t="s">
        <v>783</v>
      </c>
      <c r="J105" t="s">
        <v>2082</v>
      </c>
      <c r="K105">
        <v>4500007762</v>
      </c>
      <c r="L105" t="s">
        <v>2964</v>
      </c>
      <c r="M105" t="s">
        <v>2950</v>
      </c>
      <c r="N105" t="s">
        <v>2960</v>
      </c>
      <c r="O105" t="s">
        <v>2094</v>
      </c>
      <c r="Q105" t="s">
        <v>2231</v>
      </c>
      <c r="S105" t="s">
        <v>2961</v>
      </c>
      <c r="U105" t="s">
        <v>2744</v>
      </c>
      <c r="W105" t="s">
        <v>2962</v>
      </c>
      <c r="X105" t="s">
        <v>2947</v>
      </c>
      <c r="Y105" t="s">
        <v>2088</v>
      </c>
      <c r="AD105">
        <v>198</v>
      </c>
    </row>
    <row r="106" spans="1:30" hidden="1">
      <c r="A106">
        <v>196070</v>
      </c>
      <c r="B106">
        <v>9</v>
      </c>
      <c r="C106" t="s">
        <v>2824</v>
      </c>
      <c r="E106" s="103">
        <v>45566</v>
      </c>
      <c r="F106">
        <v>1</v>
      </c>
      <c r="G106" s="1210">
        <v>45359</v>
      </c>
      <c r="I106" t="s">
        <v>610</v>
      </c>
      <c r="J106" t="s">
        <v>2070</v>
      </c>
      <c r="K106">
        <v>4500006736</v>
      </c>
      <c r="L106" t="s">
        <v>2965</v>
      </c>
      <c r="M106" t="s">
        <v>2966</v>
      </c>
      <c r="N106" t="s">
        <v>2958</v>
      </c>
      <c r="O106" t="s">
        <v>2026</v>
      </c>
      <c r="P106" s="103">
        <v>45557</v>
      </c>
      <c r="Q106" t="s">
        <v>2231</v>
      </c>
      <c r="R106" s="103">
        <v>45560</v>
      </c>
      <c r="S106" t="s">
        <v>2281</v>
      </c>
      <c r="U106" t="s">
        <v>2744</v>
      </c>
      <c r="W106" t="s">
        <v>2228</v>
      </c>
      <c r="X106" t="s">
        <v>490</v>
      </c>
      <c r="Y106" t="s">
        <v>2088</v>
      </c>
      <c r="AD106">
        <v>200</v>
      </c>
    </row>
    <row r="107" spans="1:30" hidden="1">
      <c r="A107">
        <v>180234</v>
      </c>
      <c r="B107">
        <v>10</v>
      </c>
      <c r="C107" t="s">
        <v>2880</v>
      </c>
      <c r="E107" s="103">
        <v>45566</v>
      </c>
      <c r="F107">
        <v>1</v>
      </c>
      <c r="G107" s="1210">
        <v>45469</v>
      </c>
      <c r="I107" t="s">
        <v>583</v>
      </c>
      <c r="J107" t="s">
        <v>2070</v>
      </c>
      <c r="K107">
        <v>4500007129</v>
      </c>
      <c r="L107" t="s">
        <v>2967</v>
      </c>
      <c r="M107" t="s">
        <v>2966</v>
      </c>
      <c r="N107" t="s">
        <v>2958</v>
      </c>
      <c r="O107" t="s">
        <v>2026</v>
      </c>
      <c r="P107" s="103">
        <v>45557</v>
      </c>
      <c r="Q107" t="s">
        <v>2231</v>
      </c>
      <c r="R107" s="103">
        <v>45560</v>
      </c>
      <c r="S107" t="s">
        <v>2281</v>
      </c>
      <c r="U107" t="s">
        <v>2744</v>
      </c>
      <c r="X107" t="s">
        <v>490</v>
      </c>
      <c r="Y107" t="s">
        <v>2088</v>
      </c>
      <c r="AD107">
        <v>910</v>
      </c>
    </row>
    <row r="108" spans="1:30" hidden="1">
      <c r="A108">
        <v>180235</v>
      </c>
      <c r="B108">
        <v>10</v>
      </c>
      <c r="C108" t="s">
        <v>2883</v>
      </c>
      <c r="E108" s="103">
        <v>45566</v>
      </c>
      <c r="F108">
        <v>1</v>
      </c>
      <c r="G108" s="1210">
        <v>45469</v>
      </c>
      <c r="I108" t="s">
        <v>646</v>
      </c>
      <c r="J108" t="s">
        <v>2070</v>
      </c>
      <c r="K108">
        <v>4500007130</v>
      </c>
      <c r="L108" t="s">
        <v>2968</v>
      </c>
      <c r="M108" t="s">
        <v>2966</v>
      </c>
      <c r="N108" t="s">
        <v>2958</v>
      </c>
      <c r="O108" t="s">
        <v>2026</v>
      </c>
      <c r="P108" s="103">
        <v>45557</v>
      </c>
      <c r="Q108" t="s">
        <v>2231</v>
      </c>
      <c r="R108" s="103">
        <v>45560</v>
      </c>
      <c r="S108" t="s">
        <v>2281</v>
      </c>
      <c r="U108" t="s">
        <v>2744</v>
      </c>
      <c r="X108" t="s">
        <v>490</v>
      </c>
      <c r="Y108" t="s">
        <v>2088</v>
      </c>
      <c r="AD108">
        <v>820</v>
      </c>
    </row>
    <row r="109" spans="1:30" hidden="1">
      <c r="A109">
        <v>196070</v>
      </c>
      <c r="B109">
        <v>99</v>
      </c>
      <c r="C109" t="s">
        <v>2824</v>
      </c>
      <c r="E109" s="103">
        <v>45566</v>
      </c>
      <c r="F109">
        <v>1</v>
      </c>
      <c r="G109" s="1210">
        <v>45448</v>
      </c>
      <c r="I109" t="s">
        <v>610</v>
      </c>
      <c r="J109" t="s">
        <v>2070</v>
      </c>
      <c r="K109">
        <v>4500007293</v>
      </c>
      <c r="L109" t="s">
        <v>2969</v>
      </c>
      <c r="M109" t="s">
        <v>2957</v>
      </c>
      <c r="N109" t="s">
        <v>2958</v>
      </c>
      <c r="O109" t="s">
        <v>2026</v>
      </c>
      <c r="P109" s="103">
        <v>45557</v>
      </c>
      <c r="Q109" t="s">
        <v>2231</v>
      </c>
      <c r="R109" s="103">
        <v>45560</v>
      </c>
      <c r="S109" t="s">
        <v>2281</v>
      </c>
      <c r="U109" t="s">
        <v>2744</v>
      </c>
      <c r="X109" t="s">
        <v>490</v>
      </c>
      <c r="Y109" t="s">
        <v>2088</v>
      </c>
      <c r="AD109">
        <v>299</v>
      </c>
    </row>
    <row r="110" spans="1:30" hidden="1">
      <c r="A110">
        <v>180234</v>
      </c>
      <c r="B110">
        <v>190</v>
      </c>
      <c r="C110" t="s">
        <v>2874</v>
      </c>
      <c r="E110" s="103">
        <v>45566</v>
      </c>
      <c r="F110">
        <v>1</v>
      </c>
      <c r="G110" s="1210">
        <v>45449</v>
      </c>
      <c r="I110" t="s">
        <v>583</v>
      </c>
      <c r="J110" t="s">
        <v>2070</v>
      </c>
      <c r="K110">
        <v>4500007294</v>
      </c>
      <c r="L110" t="s">
        <v>2970</v>
      </c>
      <c r="M110" t="s">
        <v>2957</v>
      </c>
      <c r="N110" t="s">
        <v>2958</v>
      </c>
      <c r="O110" t="s">
        <v>2026</v>
      </c>
      <c r="P110" s="103">
        <v>45557</v>
      </c>
      <c r="Q110" t="s">
        <v>2231</v>
      </c>
      <c r="R110" s="103">
        <v>45560</v>
      </c>
      <c r="S110" t="s">
        <v>2281</v>
      </c>
      <c r="U110" t="s">
        <v>2744</v>
      </c>
      <c r="X110" t="s">
        <v>490</v>
      </c>
      <c r="Y110" t="s">
        <v>2088</v>
      </c>
      <c r="AD110">
        <v>1100</v>
      </c>
    </row>
    <row r="111" spans="1:30" hidden="1">
      <c r="A111">
        <v>193182</v>
      </c>
      <c r="B111">
        <v>20</v>
      </c>
      <c r="C111" t="s">
        <v>2971</v>
      </c>
      <c r="E111" s="103">
        <v>45566</v>
      </c>
      <c r="F111">
        <v>1</v>
      </c>
      <c r="G111" s="1210">
        <v>45481</v>
      </c>
      <c r="I111" t="s">
        <v>2586</v>
      </c>
      <c r="J111" t="s">
        <v>2012</v>
      </c>
      <c r="K111">
        <v>4500007521</v>
      </c>
      <c r="L111" t="s">
        <v>2972</v>
      </c>
      <c r="M111" t="s">
        <v>2973</v>
      </c>
      <c r="N111" t="s">
        <v>2974</v>
      </c>
      <c r="O111" t="s">
        <v>2743</v>
      </c>
      <c r="P111" s="103">
        <v>45557</v>
      </c>
      <c r="Q111" t="s">
        <v>2231</v>
      </c>
      <c r="R111" s="103">
        <v>45560</v>
      </c>
      <c r="S111" t="s">
        <v>2281</v>
      </c>
      <c r="U111" t="s">
        <v>2744</v>
      </c>
      <c r="X111" t="s">
        <v>2862</v>
      </c>
      <c r="Y111" t="s">
        <v>2088</v>
      </c>
      <c r="AD111">
        <v>70</v>
      </c>
    </row>
    <row r="112" spans="1:30" hidden="1">
      <c r="A112">
        <v>193192</v>
      </c>
      <c r="B112">
        <v>120</v>
      </c>
      <c r="C112" t="s">
        <v>2975</v>
      </c>
      <c r="E112" s="103">
        <v>45566</v>
      </c>
      <c r="F112">
        <v>1</v>
      </c>
      <c r="G112" s="1210">
        <v>45481</v>
      </c>
      <c r="I112" t="s">
        <v>456</v>
      </c>
      <c r="J112" t="s">
        <v>2012</v>
      </c>
      <c r="K112">
        <v>4500007522</v>
      </c>
      <c r="L112" t="s">
        <v>2976</v>
      </c>
      <c r="M112" t="s">
        <v>2958</v>
      </c>
      <c r="N112" t="s">
        <v>2974</v>
      </c>
      <c r="O112" t="s">
        <v>2743</v>
      </c>
      <c r="P112" s="103">
        <v>45557</v>
      </c>
      <c r="Q112" t="s">
        <v>2231</v>
      </c>
      <c r="R112" s="103">
        <v>45560</v>
      </c>
      <c r="S112" t="s">
        <v>2281</v>
      </c>
      <c r="U112" t="s">
        <v>2744</v>
      </c>
      <c r="X112" t="s">
        <v>2919</v>
      </c>
      <c r="Y112" t="s">
        <v>2088</v>
      </c>
      <c r="AD112">
        <v>520</v>
      </c>
    </row>
    <row r="113" spans="1:30" hidden="1">
      <c r="A113">
        <v>199688</v>
      </c>
      <c r="B113">
        <v>14</v>
      </c>
      <c r="C113" t="s">
        <v>2977</v>
      </c>
      <c r="E113" s="103">
        <v>45566</v>
      </c>
      <c r="F113">
        <v>1</v>
      </c>
      <c r="G113" s="1210">
        <v>45483</v>
      </c>
      <c r="I113" t="s">
        <v>2978</v>
      </c>
      <c r="J113" t="s">
        <v>2751</v>
      </c>
      <c r="K113">
        <v>1510378</v>
      </c>
      <c r="L113" t="s">
        <v>2979</v>
      </c>
      <c r="N113" t="s">
        <v>2974</v>
      </c>
      <c r="O113" t="s">
        <v>2743</v>
      </c>
      <c r="P113" s="103">
        <v>45557</v>
      </c>
      <c r="Q113" t="s">
        <v>2231</v>
      </c>
      <c r="R113" s="103">
        <v>45560</v>
      </c>
      <c r="S113" t="s">
        <v>2281</v>
      </c>
      <c r="U113" t="s">
        <v>2744</v>
      </c>
      <c r="X113" t="s">
        <v>490</v>
      </c>
      <c r="Y113" t="s">
        <v>2088</v>
      </c>
      <c r="AD113">
        <v>14</v>
      </c>
    </row>
    <row r="114" spans="1:30" hidden="1">
      <c r="A114">
        <v>171358</v>
      </c>
      <c r="B114">
        <v>14</v>
      </c>
      <c r="C114" t="s">
        <v>2980</v>
      </c>
      <c r="E114" s="103">
        <v>45566</v>
      </c>
      <c r="F114">
        <v>1</v>
      </c>
      <c r="G114" s="1210">
        <v>45483</v>
      </c>
      <c r="I114" t="s">
        <v>2981</v>
      </c>
      <c r="J114" t="s">
        <v>2751</v>
      </c>
      <c r="K114">
        <v>1510378</v>
      </c>
      <c r="L114" t="s">
        <v>2982</v>
      </c>
      <c r="N114" t="s">
        <v>2974</v>
      </c>
      <c r="O114" t="s">
        <v>2743</v>
      </c>
      <c r="P114" s="103">
        <v>45557</v>
      </c>
      <c r="Q114" t="s">
        <v>2231</v>
      </c>
      <c r="R114" s="103">
        <v>45560</v>
      </c>
      <c r="S114" t="s">
        <v>2281</v>
      </c>
      <c r="U114" t="s">
        <v>2744</v>
      </c>
      <c r="X114" t="s">
        <v>490</v>
      </c>
      <c r="Y114" t="s">
        <v>2088</v>
      </c>
      <c r="AD114">
        <v>14</v>
      </c>
    </row>
    <row r="115" spans="1:30" hidden="1">
      <c r="A115">
        <v>196066</v>
      </c>
      <c r="B115">
        <v>70</v>
      </c>
      <c r="C115" t="s">
        <v>2983</v>
      </c>
      <c r="E115" s="103">
        <v>45566</v>
      </c>
      <c r="F115">
        <v>1</v>
      </c>
      <c r="G115" s="1210">
        <v>45499</v>
      </c>
      <c r="I115" t="s">
        <v>2872</v>
      </c>
      <c r="J115" t="s">
        <v>2012</v>
      </c>
      <c r="K115">
        <v>4500007685</v>
      </c>
      <c r="L115" t="s">
        <v>2984</v>
      </c>
      <c r="M115" t="s">
        <v>2973</v>
      </c>
      <c r="N115" t="s">
        <v>2974</v>
      </c>
      <c r="O115" t="s">
        <v>2743</v>
      </c>
      <c r="P115" s="103">
        <v>45557</v>
      </c>
      <c r="Q115" t="s">
        <v>2231</v>
      </c>
      <c r="R115" s="103">
        <v>45560</v>
      </c>
      <c r="S115" t="s">
        <v>2281</v>
      </c>
      <c r="U115" t="s">
        <v>2744</v>
      </c>
      <c r="X115" t="s">
        <v>2862</v>
      </c>
      <c r="Y115" t="s">
        <v>2088</v>
      </c>
      <c r="AD115">
        <v>180</v>
      </c>
    </row>
    <row r="116" spans="1:30" hidden="1">
      <c r="A116">
        <v>193190</v>
      </c>
      <c r="B116">
        <v>30</v>
      </c>
      <c r="C116" t="s">
        <v>2985</v>
      </c>
      <c r="E116" s="103">
        <v>45566</v>
      </c>
      <c r="F116">
        <v>1</v>
      </c>
      <c r="G116" s="1210">
        <v>45499</v>
      </c>
      <c r="I116" t="s">
        <v>2591</v>
      </c>
      <c r="J116" t="s">
        <v>2012</v>
      </c>
      <c r="K116">
        <v>4500007686</v>
      </c>
      <c r="L116" t="s">
        <v>2986</v>
      </c>
      <c r="M116" t="s">
        <v>2973</v>
      </c>
      <c r="N116" t="s">
        <v>2974</v>
      </c>
      <c r="O116" t="s">
        <v>2743</v>
      </c>
      <c r="P116" s="103">
        <v>45557</v>
      </c>
      <c r="Q116" t="s">
        <v>2231</v>
      </c>
      <c r="R116" s="103">
        <v>45560</v>
      </c>
      <c r="S116" t="s">
        <v>2281</v>
      </c>
      <c r="U116" t="s">
        <v>2744</v>
      </c>
      <c r="X116" t="s">
        <v>2862</v>
      </c>
      <c r="Y116" t="s">
        <v>2088</v>
      </c>
      <c r="AD116">
        <v>70</v>
      </c>
    </row>
    <row r="117" spans="1:30" hidden="1">
      <c r="A117">
        <v>171363</v>
      </c>
      <c r="B117">
        <v>15</v>
      </c>
      <c r="C117" t="s">
        <v>2987</v>
      </c>
      <c r="E117" s="103">
        <v>45566</v>
      </c>
      <c r="F117">
        <v>1</v>
      </c>
      <c r="G117" s="1210">
        <v>45504</v>
      </c>
      <c r="I117" t="s">
        <v>2988</v>
      </c>
      <c r="J117" t="s">
        <v>2751</v>
      </c>
      <c r="K117">
        <v>1510713</v>
      </c>
      <c r="L117" t="s">
        <v>2989</v>
      </c>
      <c r="N117" t="s">
        <v>2974</v>
      </c>
      <c r="O117" t="s">
        <v>2743</v>
      </c>
      <c r="P117" s="103">
        <v>45557</v>
      </c>
      <c r="Q117" t="s">
        <v>2231</v>
      </c>
      <c r="R117" s="103">
        <v>45560</v>
      </c>
      <c r="S117" t="s">
        <v>2281</v>
      </c>
      <c r="U117" t="s">
        <v>2744</v>
      </c>
      <c r="X117" t="s">
        <v>490</v>
      </c>
      <c r="Y117" t="s">
        <v>2088</v>
      </c>
      <c r="AD117">
        <v>15</v>
      </c>
    </row>
    <row r="118" spans="1:30" hidden="1">
      <c r="A118">
        <v>171480</v>
      </c>
      <c r="B118">
        <v>15</v>
      </c>
      <c r="C118" t="s">
        <v>2980</v>
      </c>
      <c r="E118" s="103">
        <v>45566</v>
      </c>
      <c r="F118">
        <v>1</v>
      </c>
      <c r="G118" s="1210">
        <v>45504</v>
      </c>
      <c r="I118" t="s">
        <v>2990</v>
      </c>
      <c r="J118" t="s">
        <v>2751</v>
      </c>
      <c r="K118">
        <v>1510713</v>
      </c>
      <c r="L118" t="s">
        <v>2991</v>
      </c>
      <c r="N118" t="s">
        <v>2974</v>
      </c>
      <c r="O118" t="s">
        <v>2743</v>
      </c>
      <c r="P118" s="103">
        <v>45557</v>
      </c>
      <c r="Q118" t="s">
        <v>2231</v>
      </c>
      <c r="R118" s="103">
        <v>45560</v>
      </c>
      <c r="S118" t="s">
        <v>2281</v>
      </c>
      <c r="U118" t="s">
        <v>2744</v>
      </c>
      <c r="X118" t="s">
        <v>490</v>
      </c>
      <c r="Y118" t="s">
        <v>2088</v>
      </c>
      <c r="AD118">
        <v>15</v>
      </c>
    </row>
    <row r="119" spans="1:30" hidden="1">
      <c r="A119">
        <v>199688</v>
      </c>
      <c r="B119">
        <v>15</v>
      </c>
      <c r="C119" t="s">
        <v>2992</v>
      </c>
      <c r="E119" s="103">
        <v>45566</v>
      </c>
      <c r="F119">
        <v>1</v>
      </c>
      <c r="G119" s="1210">
        <v>45504</v>
      </c>
      <c r="I119" t="s">
        <v>2978</v>
      </c>
      <c r="J119" t="s">
        <v>2751</v>
      </c>
      <c r="K119">
        <v>1510713</v>
      </c>
      <c r="L119" t="s">
        <v>2993</v>
      </c>
      <c r="N119" t="s">
        <v>2974</v>
      </c>
      <c r="O119" t="s">
        <v>2743</v>
      </c>
      <c r="P119" s="103">
        <v>45557</v>
      </c>
      <c r="Q119" t="s">
        <v>2231</v>
      </c>
      <c r="R119" s="103">
        <v>45560</v>
      </c>
      <c r="S119" t="s">
        <v>2281</v>
      </c>
      <c r="U119" t="s">
        <v>2744</v>
      </c>
      <c r="X119" t="s">
        <v>490</v>
      </c>
      <c r="Y119" t="s">
        <v>2088</v>
      </c>
      <c r="AD119">
        <v>29</v>
      </c>
    </row>
    <row r="120" spans="1:30" hidden="1">
      <c r="A120">
        <v>171358</v>
      </c>
      <c r="B120">
        <v>15</v>
      </c>
      <c r="C120" t="s">
        <v>2980</v>
      </c>
      <c r="E120" s="103">
        <v>45566</v>
      </c>
      <c r="F120">
        <v>1</v>
      </c>
      <c r="G120" s="1210">
        <v>45504</v>
      </c>
      <c r="I120" t="s">
        <v>2981</v>
      </c>
      <c r="J120" t="s">
        <v>2751</v>
      </c>
      <c r="K120">
        <v>1510713</v>
      </c>
      <c r="L120" t="s">
        <v>2991</v>
      </c>
      <c r="N120" t="s">
        <v>2974</v>
      </c>
      <c r="O120" t="s">
        <v>2743</v>
      </c>
      <c r="P120" s="103">
        <v>45557</v>
      </c>
      <c r="Q120" t="s">
        <v>2231</v>
      </c>
      <c r="R120" s="103">
        <v>45560</v>
      </c>
      <c r="S120" t="s">
        <v>2281</v>
      </c>
      <c r="U120" t="s">
        <v>2744</v>
      </c>
      <c r="X120" t="s">
        <v>490</v>
      </c>
      <c r="Y120" t="s">
        <v>2088</v>
      </c>
      <c r="AD120">
        <v>29</v>
      </c>
    </row>
    <row r="121" spans="1:30" hidden="1">
      <c r="A121">
        <v>193184</v>
      </c>
      <c r="B121">
        <v>400</v>
      </c>
      <c r="C121" t="s">
        <v>2994</v>
      </c>
      <c r="E121" s="103">
        <v>45566</v>
      </c>
      <c r="F121">
        <v>1</v>
      </c>
      <c r="G121" s="1210">
        <v>45506</v>
      </c>
      <c r="I121" t="s">
        <v>338</v>
      </c>
      <c r="J121" t="s">
        <v>2012</v>
      </c>
      <c r="K121">
        <v>4500007720</v>
      </c>
      <c r="L121" t="s">
        <v>2995</v>
      </c>
      <c r="M121" t="s">
        <v>2996</v>
      </c>
      <c r="N121" t="s">
        <v>2974</v>
      </c>
      <c r="O121" t="s">
        <v>2743</v>
      </c>
      <c r="P121" s="103">
        <v>45557</v>
      </c>
      <c r="Q121" t="s">
        <v>2231</v>
      </c>
      <c r="R121" s="103">
        <v>45560</v>
      </c>
      <c r="S121" t="s">
        <v>2281</v>
      </c>
      <c r="U121" t="s">
        <v>2744</v>
      </c>
      <c r="W121" t="s">
        <v>2228</v>
      </c>
      <c r="X121" t="s">
        <v>2862</v>
      </c>
      <c r="Y121" t="s">
        <v>2088</v>
      </c>
      <c r="AD121">
        <v>1790</v>
      </c>
    </row>
    <row r="122" spans="1:30" hidden="1">
      <c r="A122">
        <v>205924</v>
      </c>
      <c r="B122">
        <v>1</v>
      </c>
      <c r="C122" t="s">
        <v>2997</v>
      </c>
      <c r="E122" s="103">
        <v>45566</v>
      </c>
      <c r="F122">
        <v>3</v>
      </c>
      <c r="G122" s="1210">
        <v>45534</v>
      </c>
      <c r="I122" t="s">
        <v>2998</v>
      </c>
      <c r="J122" t="s">
        <v>2082</v>
      </c>
      <c r="K122">
        <v>4500007936</v>
      </c>
      <c r="L122" t="s">
        <v>2997</v>
      </c>
      <c r="N122" t="s">
        <v>2999</v>
      </c>
      <c r="O122" t="s">
        <v>2094</v>
      </c>
      <c r="Q122" t="s">
        <v>2231</v>
      </c>
      <c r="S122" t="s">
        <v>2806</v>
      </c>
      <c r="U122" t="s">
        <v>2744</v>
      </c>
      <c r="X122" t="s">
        <v>3000</v>
      </c>
      <c r="Y122" t="s">
        <v>2088</v>
      </c>
      <c r="AD122">
        <v>0</v>
      </c>
    </row>
    <row r="123" spans="1:30" hidden="1">
      <c r="A123">
        <v>199326</v>
      </c>
      <c r="B123">
        <v>40</v>
      </c>
      <c r="C123" t="s">
        <v>2801</v>
      </c>
      <c r="D123" t="s">
        <v>3001</v>
      </c>
      <c r="E123" s="103">
        <v>45573</v>
      </c>
      <c r="F123">
        <v>1</v>
      </c>
      <c r="G123" s="1210">
        <v>45435</v>
      </c>
      <c r="I123" t="s">
        <v>769</v>
      </c>
      <c r="J123" t="s">
        <v>2082</v>
      </c>
      <c r="K123">
        <v>4500007262</v>
      </c>
      <c r="L123" t="s">
        <v>3002</v>
      </c>
      <c r="M123" t="s">
        <v>2945</v>
      </c>
      <c r="N123" t="s">
        <v>3003</v>
      </c>
      <c r="O123" t="s">
        <v>2026</v>
      </c>
      <c r="P123" s="103">
        <v>45562</v>
      </c>
      <c r="Q123" t="s">
        <v>2231</v>
      </c>
      <c r="R123" s="103">
        <v>45568</v>
      </c>
      <c r="S123" t="s">
        <v>2911</v>
      </c>
      <c r="U123" t="s">
        <v>2744</v>
      </c>
      <c r="W123" t="s">
        <v>2623</v>
      </c>
      <c r="X123" t="s">
        <v>2800</v>
      </c>
      <c r="Y123" t="s">
        <v>2088</v>
      </c>
      <c r="AD123">
        <v>580</v>
      </c>
    </row>
    <row r="124" spans="1:30" hidden="1">
      <c r="A124">
        <v>199324</v>
      </c>
      <c r="B124">
        <v>100</v>
      </c>
      <c r="C124" t="s">
        <v>2797</v>
      </c>
      <c r="E124" s="103">
        <v>45573</v>
      </c>
      <c r="F124">
        <v>1</v>
      </c>
      <c r="G124" s="1210">
        <v>45481</v>
      </c>
      <c r="I124" t="s">
        <v>714</v>
      </c>
      <c r="J124" t="s">
        <v>2082</v>
      </c>
      <c r="K124">
        <v>4500007514</v>
      </c>
      <c r="L124" t="s">
        <v>3004</v>
      </c>
      <c r="M124" t="s">
        <v>2945</v>
      </c>
      <c r="N124" t="s">
        <v>3003</v>
      </c>
      <c r="O124" t="s">
        <v>2026</v>
      </c>
      <c r="P124" s="103">
        <v>45562</v>
      </c>
      <c r="Q124" t="s">
        <v>2231</v>
      </c>
      <c r="R124" s="103">
        <v>45568</v>
      </c>
      <c r="S124" t="s">
        <v>2911</v>
      </c>
      <c r="U124" t="s">
        <v>2744</v>
      </c>
      <c r="W124" t="s">
        <v>2623</v>
      </c>
      <c r="X124" t="s">
        <v>3005</v>
      </c>
      <c r="Y124" t="s">
        <v>2088</v>
      </c>
      <c r="AD124">
        <v>520</v>
      </c>
    </row>
    <row r="125" spans="1:30" hidden="1">
      <c r="A125">
        <v>199326</v>
      </c>
      <c r="B125">
        <v>100</v>
      </c>
      <c r="C125" t="s">
        <v>2801</v>
      </c>
      <c r="E125" s="103">
        <v>45573</v>
      </c>
      <c r="F125">
        <v>1</v>
      </c>
      <c r="G125" s="1210">
        <v>45481</v>
      </c>
      <c r="I125" t="s">
        <v>769</v>
      </c>
      <c r="J125" t="s">
        <v>2082</v>
      </c>
      <c r="K125">
        <v>4500007518</v>
      </c>
      <c r="L125" t="s">
        <v>3006</v>
      </c>
      <c r="M125" t="s">
        <v>2945</v>
      </c>
      <c r="N125" t="s">
        <v>3003</v>
      </c>
      <c r="O125" t="s">
        <v>2026</v>
      </c>
      <c r="P125" s="103">
        <v>45562</v>
      </c>
      <c r="Q125" t="s">
        <v>2231</v>
      </c>
      <c r="R125" s="103">
        <v>45568</v>
      </c>
      <c r="S125" t="s">
        <v>2911</v>
      </c>
      <c r="U125" t="s">
        <v>2744</v>
      </c>
      <c r="W125" t="s">
        <v>2623</v>
      </c>
      <c r="X125" t="s">
        <v>3005</v>
      </c>
      <c r="Y125" t="s">
        <v>2088</v>
      </c>
      <c r="AD125">
        <v>680</v>
      </c>
    </row>
    <row r="126" spans="1:30" hidden="1">
      <c r="A126">
        <v>199021</v>
      </c>
      <c r="B126">
        <v>400</v>
      </c>
      <c r="C126" t="s">
        <v>3007</v>
      </c>
      <c r="E126" s="103">
        <v>45573</v>
      </c>
      <c r="F126">
        <v>1</v>
      </c>
      <c r="G126" s="1210">
        <v>45499</v>
      </c>
      <c r="I126" t="s">
        <v>456</v>
      </c>
      <c r="J126" t="s">
        <v>2012</v>
      </c>
      <c r="K126">
        <v>4500007627</v>
      </c>
      <c r="L126" t="s">
        <v>3008</v>
      </c>
      <c r="M126" t="s">
        <v>2944</v>
      </c>
      <c r="N126" t="s">
        <v>2945</v>
      </c>
      <c r="O126" t="s">
        <v>2026</v>
      </c>
      <c r="P126" s="103">
        <v>45565</v>
      </c>
      <c r="Q126" t="s">
        <v>2231</v>
      </c>
      <c r="R126" s="103">
        <v>45568</v>
      </c>
      <c r="S126" t="s">
        <v>2281</v>
      </c>
      <c r="U126" t="s">
        <v>2744</v>
      </c>
      <c r="V126" t="s">
        <v>2924</v>
      </c>
      <c r="W126" t="s">
        <v>3009</v>
      </c>
      <c r="X126" t="s">
        <v>2864</v>
      </c>
      <c r="Y126" t="s">
        <v>2088</v>
      </c>
      <c r="AD126">
        <v>920</v>
      </c>
    </row>
    <row r="127" spans="1:30" hidden="1">
      <c r="A127">
        <v>188034</v>
      </c>
      <c r="B127">
        <v>10</v>
      </c>
      <c r="C127" t="s">
        <v>2901</v>
      </c>
      <c r="E127" s="103">
        <v>45576</v>
      </c>
      <c r="F127">
        <v>1</v>
      </c>
      <c r="G127" s="1210">
        <v>45481</v>
      </c>
      <c r="I127" t="s">
        <v>2902</v>
      </c>
      <c r="J127" t="s">
        <v>2082</v>
      </c>
      <c r="K127">
        <v>1510323</v>
      </c>
      <c r="L127" t="s">
        <v>2903</v>
      </c>
      <c r="M127" t="s">
        <v>2944</v>
      </c>
      <c r="N127" t="s">
        <v>3003</v>
      </c>
      <c r="O127" t="s">
        <v>2026</v>
      </c>
      <c r="P127" s="103">
        <v>45562</v>
      </c>
      <c r="Q127" t="s">
        <v>2231</v>
      </c>
      <c r="R127" s="103">
        <v>45565</v>
      </c>
      <c r="S127" t="s">
        <v>2911</v>
      </c>
      <c r="U127" t="s">
        <v>2744</v>
      </c>
      <c r="X127" t="s">
        <v>490</v>
      </c>
      <c r="Y127" t="s">
        <v>2088</v>
      </c>
      <c r="AD127">
        <v>20</v>
      </c>
    </row>
    <row r="128" spans="1:30" hidden="1">
      <c r="A128">
        <v>188035</v>
      </c>
      <c r="B128">
        <v>10</v>
      </c>
      <c r="C128" t="s">
        <v>2776</v>
      </c>
      <c r="E128" s="103">
        <v>45576</v>
      </c>
      <c r="F128">
        <v>1</v>
      </c>
      <c r="G128" s="1210">
        <v>45481</v>
      </c>
      <c r="I128" t="s">
        <v>2904</v>
      </c>
      <c r="J128" t="s">
        <v>2082</v>
      </c>
      <c r="K128">
        <v>1510323</v>
      </c>
      <c r="L128" t="s">
        <v>2778</v>
      </c>
      <c r="M128" t="s">
        <v>2944</v>
      </c>
      <c r="N128" t="s">
        <v>3003</v>
      </c>
      <c r="O128" t="s">
        <v>2026</v>
      </c>
      <c r="P128" s="103">
        <v>45562</v>
      </c>
      <c r="Q128" t="s">
        <v>2231</v>
      </c>
      <c r="R128" s="103">
        <v>45565</v>
      </c>
      <c r="S128" t="s">
        <v>2911</v>
      </c>
      <c r="U128" t="s">
        <v>2744</v>
      </c>
      <c r="X128" t="s">
        <v>490</v>
      </c>
      <c r="Y128" t="s">
        <v>2088</v>
      </c>
      <c r="AD128">
        <v>20</v>
      </c>
    </row>
    <row r="129" spans="1:30" hidden="1">
      <c r="A129">
        <v>203728</v>
      </c>
      <c r="B129">
        <v>2</v>
      </c>
      <c r="C129" t="s">
        <v>2942</v>
      </c>
      <c r="E129" s="103">
        <v>45576</v>
      </c>
      <c r="F129">
        <v>1</v>
      </c>
      <c r="G129" s="1210">
        <v>45511</v>
      </c>
      <c r="I129" t="s">
        <v>553</v>
      </c>
      <c r="J129" t="s">
        <v>2082</v>
      </c>
      <c r="K129">
        <v>4500007763</v>
      </c>
      <c r="L129" t="s">
        <v>2959</v>
      </c>
      <c r="M129" t="s">
        <v>2944</v>
      </c>
      <c r="N129" t="s">
        <v>2960</v>
      </c>
      <c r="O129" t="s">
        <v>2094</v>
      </c>
      <c r="Q129" t="s">
        <v>2231</v>
      </c>
      <c r="S129" t="s">
        <v>2806</v>
      </c>
      <c r="U129" t="s">
        <v>2744</v>
      </c>
      <c r="V129" t="s">
        <v>2815</v>
      </c>
      <c r="X129" t="s">
        <v>2947</v>
      </c>
      <c r="Y129" t="s">
        <v>2088</v>
      </c>
      <c r="AD129">
        <v>100</v>
      </c>
    </row>
    <row r="130" spans="1:30" hidden="1">
      <c r="A130">
        <v>203746</v>
      </c>
      <c r="B130">
        <v>2</v>
      </c>
      <c r="C130" t="s">
        <v>2948</v>
      </c>
      <c r="E130" s="103">
        <v>45576</v>
      </c>
      <c r="F130">
        <v>1</v>
      </c>
      <c r="G130" s="1210">
        <v>45511</v>
      </c>
      <c r="I130" t="s">
        <v>726</v>
      </c>
      <c r="J130" t="s">
        <v>2082</v>
      </c>
      <c r="K130">
        <v>4500007764</v>
      </c>
      <c r="L130" t="s">
        <v>2963</v>
      </c>
      <c r="M130" t="s">
        <v>2950</v>
      </c>
      <c r="N130" t="s">
        <v>2960</v>
      </c>
      <c r="O130" t="s">
        <v>2094</v>
      </c>
      <c r="Q130" t="s">
        <v>2231</v>
      </c>
      <c r="S130" t="s">
        <v>2806</v>
      </c>
      <c r="U130" t="s">
        <v>2744</v>
      </c>
      <c r="V130" t="s">
        <v>2815</v>
      </c>
      <c r="X130" t="s">
        <v>2947</v>
      </c>
      <c r="Y130" t="s">
        <v>2088</v>
      </c>
      <c r="AD130">
        <v>150</v>
      </c>
    </row>
    <row r="131" spans="1:30" hidden="1">
      <c r="A131">
        <v>203750</v>
      </c>
      <c r="B131">
        <v>2</v>
      </c>
      <c r="C131" t="s">
        <v>2951</v>
      </c>
      <c r="E131" s="103">
        <v>45576</v>
      </c>
      <c r="F131">
        <v>1</v>
      </c>
      <c r="G131" s="1210">
        <v>45511</v>
      </c>
      <c r="I131" t="s">
        <v>783</v>
      </c>
      <c r="J131" t="s">
        <v>2082</v>
      </c>
      <c r="K131">
        <v>4500007765</v>
      </c>
      <c r="L131" t="s">
        <v>2964</v>
      </c>
      <c r="M131" t="s">
        <v>2950</v>
      </c>
      <c r="N131" t="s">
        <v>2960</v>
      </c>
      <c r="O131" t="s">
        <v>2094</v>
      </c>
      <c r="Q131" t="s">
        <v>2231</v>
      </c>
      <c r="S131" t="s">
        <v>2806</v>
      </c>
      <c r="U131" t="s">
        <v>2744</v>
      </c>
      <c r="V131" t="s">
        <v>2815</v>
      </c>
      <c r="X131" t="s">
        <v>2947</v>
      </c>
      <c r="Y131" t="s">
        <v>2088</v>
      </c>
      <c r="AD131">
        <v>200</v>
      </c>
    </row>
    <row r="132" spans="1:30" hidden="1">
      <c r="A132">
        <v>198664</v>
      </c>
      <c r="B132">
        <v>10</v>
      </c>
      <c r="C132" t="s">
        <v>2778</v>
      </c>
      <c r="E132" s="103">
        <v>45576</v>
      </c>
      <c r="F132">
        <v>1</v>
      </c>
      <c r="G132" s="1210">
        <v>45512</v>
      </c>
      <c r="I132" t="s">
        <v>2783</v>
      </c>
      <c r="J132" t="s">
        <v>2082</v>
      </c>
      <c r="K132">
        <v>1510847</v>
      </c>
      <c r="L132" t="s">
        <v>2784</v>
      </c>
      <c r="M132" t="s">
        <v>2944</v>
      </c>
      <c r="N132" t="s">
        <v>3003</v>
      </c>
      <c r="O132" t="s">
        <v>2026</v>
      </c>
      <c r="P132" s="103">
        <v>45562</v>
      </c>
      <c r="Q132" t="s">
        <v>2231</v>
      </c>
      <c r="R132" s="103">
        <v>45565</v>
      </c>
      <c r="S132" t="s">
        <v>2911</v>
      </c>
      <c r="U132" t="s">
        <v>2744</v>
      </c>
      <c r="X132" t="s">
        <v>490</v>
      </c>
      <c r="Y132" t="s">
        <v>2088</v>
      </c>
      <c r="AD132">
        <v>20</v>
      </c>
    </row>
    <row r="133" spans="1:30" hidden="1">
      <c r="A133">
        <v>198663</v>
      </c>
      <c r="B133">
        <v>10</v>
      </c>
      <c r="C133" t="s">
        <v>2776</v>
      </c>
      <c r="E133" s="103">
        <v>45576</v>
      </c>
      <c r="F133">
        <v>1</v>
      </c>
      <c r="G133" s="1210">
        <v>45512</v>
      </c>
      <c r="I133" t="s">
        <v>2785</v>
      </c>
      <c r="J133" t="s">
        <v>2082</v>
      </c>
      <c r="K133">
        <v>1510847</v>
      </c>
      <c r="L133" t="s">
        <v>2778</v>
      </c>
      <c r="M133" t="s">
        <v>2944</v>
      </c>
      <c r="N133" t="s">
        <v>3003</v>
      </c>
      <c r="O133" t="s">
        <v>2026</v>
      </c>
      <c r="P133" s="103">
        <v>45562</v>
      </c>
      <c r="Q133" t="s">
        <v>2231</v>
      </c>
      <c r="R133" s="103">
        <v>45565</v>
      </c>
      <c r="S133" t="s">
        <v>2911</v>
      </c>
      <c r="U133" t="s">
        <v>2744</v>
      </c>
      <c r="X133" t="s">
        <v>490</v>
      </c>
      <c r="Y133" t="s">
        <v>2088</v>
      </c>
      <c r="AD133">
        <v>20</v>
      </c>
    </row>
    <row r="134" spans="1:30" hidden="1">
      <c r="A134">
        <v>201898</v>
      </c>
      <c r="B134">
        <v>390</v>
      </c>
      <c r="C134" t="s">
        <v>2254</v>
      </c>
      <c r="E134" s="103">
        <v>45581</v>
      </c>
      <c r="F134">
        <v>1</v>
      </c>
      <c r="G134" s="1210">
        <v>45508</v>
      </c>
      <c r="I134" t="s">
        <v>317</v>
      </c>
      <c r="J134" t="s">
        <v>2012</v>
      </c>
      <c r="K134">
        <v>4500007625</v>
      </c>
      <c r="L134" t="s">
        <v>3010</v>
      </c>
      <c r="M134" t="s">
        <v>3011</v>
      </c>
      <c r="N134" t="s">
        <v>3012</v>
      </c>
      <c r="O134" t="s">
        <v>2743</v>
      </c>
      <c r="P134" s="103">
        <v>45571</v>
      </c>
      <c r="Q134" t="s">
        <v>2231</v>
      </c>
      <c r="R134" s="103">
        <v>45575</v>
      </c>
      <c r="S134" t="s">
        <v>2281</v>
      </c>
      <c r="U134" t="s">
        <v>2744</v>
      </c>
      <c r="X134" t="s">
        <v>2864</v>
      </c>
      <c r="Y134" t="s">
        <v>2088</v>
      </c>
      <c r="AD134">
        <v>1138</v>
      </c>
    </row>
    <row r="135" spans="1:30" hidden="1">
      <c r="A135">
        <v>201900</v>
      </c>
      <c r="B135">
        <v>300</v>
      </c>
      <c r="C135" t="s">
        <v>3013</v>
      </c>
      <c r="E135" s="103">
        <v>45581</v>
      </c>
      <c r="F135">
        <v>1</v>
      </c>
      <c r="G135" s="1210">
        <v>45508</v>
      </c>
      <c r="I135" t="s">
        <v>327</v>
      </c>
      <c r="J135" t="s">
        <v>2012</v>
      </c>
      <c r="K135">
        <v>4500007626</v>
      </c>
      <c r="L135" t="s">
        <v>3014</v>
      </c>
      <c r="M135" t="s">
        <v>3015</v>
      </c>
      <c r="N135" t="s">
        <v>3012</v>
      </c>
      <c r="O135" t="s">
        <v>2743</v>
      </c>
      <c r="P135" s="103">
        <v>45571</v>
      </c>
      <c r="Q135" t="s">
        <v>2231</v>
      </c>
      <c r="R135" s="103">
        <v>45575</v>
      </c>
      <c r="S135" t="s">
        <v>2281</v>
      </c>
      <c r="U135" t="s">
        <v>2744</v>
      </c>
      <c r="X135" t="s">
        <v>2864</v>
      </c>
      <c r="Y135" t="s">
        <v>2088</v>
      </c>
      <c r="AD135">
        <v>898</v>
      </c>
    </row>
    <row r="136" spans="1:30" hidden="1">
      <c r="A136">
        <v>199024</v>
      </c>
      <c r="B136">
        <v>200</v>
      </c>
      <c r="C136" t="s">
        <v>2753</v>
      </c>
      <c r="E136" s="103">
        <v>45581</v>
      </c>
      <c r="F136">
        <v>1</v>
      </c>
      <c r="G136" s="1210">
        <v>45508</v>
      </c>
      <c r="I136" t="s">
        <v>338</v>
      </c>
      <c r="J136" t="s">
        <v>2012</v>
      </c>
      <c r="K136">
        <v>4500007831</v>
      </c>
      <c r="L136" t="s">
        <v>3016</v>
      </c>
      <c r="M136" t="s">
        <v>3015</v>
      </c>
      <c r="N136" t="s">
        <v>3012</v>
      </c>
      <c r="O136" t="s">
        <v>2743</v>
      </c>
      <c r="P136" s="103">
        <v>45571</v>
      </c>
      <c r="Q136" t="s">
        <v>2231</v>
      </c>
      <c r="R136" s="103">
        <v>45575</v>
      </c>
      <c r="S136" t="s">
        <v>2281</v>
      </c>
      <c r="U136" t="s">
        <v>2744</v>
      </c>
      <c r="V136" t="s">
        <v>2924</v>
      </c>
      <c r="X136" t="s">
        <v>2862</v>
      </c>
      <c r="Y136" t="s">
        <v>2088</v>
      </c>
      <c r="AD136">
        <v>1990</v>
      </c>
    </row>
    <row r="137" spans="1:30" hidden="1">
      <c r="A137">
        <v>206311</v>
      </c>
      <c r="B137">
        <v>2</v>
      </c>
      <c r="C137" t="s">
        <v>3017</v>
      </c>
      <c r="E137" s="103">
        <v>45585</v>
      </c>
      <c r="F137">
        <v>3</v>
      </c>
      <c r="G137" s="1210">
        <v>45548</v>
      </c>
      <c r="I137" t="s">
        <v>3018</v>
      </c>
      <c r="J137" t="s">
        <v>2082</v>
      </c>
      <c r="K137">
        <v>4500008096</v>
      </c>
      <c r="L137" t="s">
        <v>3019</v>
      </c>
      <c r="N137" t="s">
        <v>3020</v>
      </c>
      <c r="O137" t="s">
        <v>2094</v>
      </c>
      <c r="Q137" t="s">
        <v>2231</v>
      </c>
      <c r="S137" t="s">
        <v>2806</v>
      </c>
      <c r="U137" t="s">
        <v>2744</v>
      </c>
      <c r="X137" t="s">
        <v>490</v>
      </c>
      <c r="Y137" t="s">
        <v>2088</v>
      </c>
      <c r="AD137">
        <v>0</v>
      </c>
    </row>
    <row r="138" spans="1:30" hidden="1">
      <c r="A138">
        <v>199019</v>
      </c>
      <c r="B138">
        <v>50</v>
      </c>
      <c r="C138" t="s">
        <v>2868</v>
      </c>
      <c r="E138" s="103">
        <v>45588</v>
      </c>
      <c r="F138">
        <v>1</v>
      </c>
      <c r="G138" s="1210">
        <v>45530</v>
      </c>
      <c r="I138" t="s">
        <v>2869</v>
      </c>
      <c r="J138" t="s">
        <v>2012</v>
      </c>
      <c r="K138">
        <v>4500007896</v>
      </c>
      <c r="L138" t="s">
        <v>3021</v>
      </c>
      <c r="M138" t="s">
        <v>3020</v>
      </c>
      <c r="N138" t="s">
        <v>3022</v>
      </c>
      <c r="O138" t="s">
        <v>2946</v>
      </c>
      <c r="Q138" t="s">
        <v>2231</v>
      </c>
      <c r="S138" t="s">
        <v>2281</v>
      </c>
      <c r="U138" t="s">
        <v>2744</v>
      </c>
      <c r="V138" t="s">
        <v>2924</v>
      </c>
      <c r="X138" t="s">
        <v>2862</v>
      </c>
      <c r="Y138" t="s">
        <v>2088</v>
      </c>
      <c r="AD138">
        <v>150</v>
      </c>
    </row>
    <row r="139" spans="1:30" hidden="1">
      <c r="A139">
        <v>199019</v>
      </c>
      <c r="B139">
        <v>10</v>
      </c>
      <c r="C139" t="s">
        <v>3023</v>
      </c>
      <c r="E139" s="103">
        <v>45588</v>
      </c>
      <c r="F139">
        <v>1</v>
      </c>
      <c r="G139" s="1210">
        <v>45530</v>
      </c>
      <c r="I139" t="s">
        <v>2869</v>
      </c>
      <c r="J139" t="s">
        <v>2012</v>
      </c>
      <c r="K139">
        <v>4500007897</v>
      </c>
      <c r="L139" t="s">
        <v>3024</v>
      </c>
      <c r="M139" t="s">
        <v>3020</v>
      </c>
      <c r="N139" t="s">
        <v>3022</v>
      </c>
      <c r="O139" t="s">
        <v>2946</v>
      </c>
      <c r="Q139" t="s">
        <v>2231</v>
      </c>
      <c r="S139" t="s">
        <v>2281</v>
      </c>
      <c r="U139" t="s">
        <v>2744</v>
      </c>
      <c r="V139" t="s">
        <v>2924</v>
      </c>
      <c r="X139" t="s">
        <v>2862</v>
      </c>
      <c r="Y139" t="s">
        <v>2088</v>
      </c>
      <c r="AD139">
        <v>160</v>
      </c>
    </row>
    <row r="140" spans="1:30" hidden="1">
      <c r="A140">
        <v>199024</v>
      </c>
      <c r="B140">
        <v>100</v>
      </c>
      <c r="C140" t="s">
        <v>2753</v>
      </c>
      <c r="E140" s="103">
        <v>45589</v>
      </c>
      <c r="F140">
        <v>1</v>
      </c>
      <c r="G140" s="1210">
        <v>45525</v>
      </c>
      <c r="I140" t="s">
        <v>338</v>
      </c>
      <c r="J140" t="s">
        <v>2012</v>
      </c>
      <c r="K140">
        <v>4500007831</v>
      </c>
      <c r="L140" t="s">
        <v>3025</v>
      </c>
      <c r="M140" t="s">
        <v>3026</v>
      </c>
      <c r="N140" t="s">
        <v>3020</v>
      </c>
      <c r="O140" t="s">
        <v>2743</v>
      </c>
      <c r="P140" s="103">
        <v>45582</v>
      </c>
      <c r="Q140" t="s">
        <v>2231</v>
      </c>
      <c r="R140" s="103">
        <v>45586</v>
      </c>
      <c r="S140" t="s">
        <v>2281</v>
      </c>
      <c r="U140" t="s">
        <v>2744</v>
      </c>
      <c r="V140" t="s">
        <v>2924</v>
      </c>
      <c r="W140" t="s">
        <v>3027</v>
      </c>
      <c r="X140" t="s">
        <v>2862</v>
      </c>
      <c r="Y140" t="s">
        <v>2088</v>
      </c>
      <c r="AD140">
        <v>2090</v>
      </c>
    </row>
    <row r="141" spans="1:30" hidden="1">
      <c r="A141">
        <v>199024</v>
      </c>
      <c r="B141">
        <v>310</v>
      </c>
      <c r="C141" t="s">
        <v>2753</v>
      </c>
      <c r="E141" s="103">
        <v>45589</v>
      </c>
      <c r="F141">
        <v>1</v>
      </c>
      <c r="G141" s="1210">
        <v>45530</v>
      </c>
      <c r="I141" t="s">
        <v>338</v>
      </c>
      <c r="J141" t="s">
        <v>2012</v>
      </c>
      <c r="K141">
        <v>4500007900</v>
      </c>
      <c r="L141" t="s">
        <v>3028</v>
      </c>
      <c r="M141" t="s">
        <v>3026</v>
      </c>
      <c r="N141" t="s">
        <v>3020</v>
      </c>
      <c r="O141" t="s">
        <v>2743</v>
      </c>
      <c r="P141" s="103">
        <v>45582</v>
      </c>
      <c r="Q141" t="s">
        <v>2231</v>
      </c>
      <c r="R141" s="103">
        <v>45586</v>
      </c>
      <c r="S141" t="s">
        <v>2281</v>
      </c>
      <c r="U141" t="s">
        <v>2744</v>
      </c>
      <c r="V141" t="s">
        <v>2924</v>
      </c>
      <c r="W141" t="s">
        <v>3027</v>
      </c>
      <c r="X141" t="s">
        <v>2862</v>
      </c>
      <c r="Y141" t="s">
        <v>2088</v>
      </c>
      <c r="AD141">
        <v>2400</v>
      </c>
    </row>
    <row r="142" spans="1:30" hidden="1">
      <c r="A142">
        <v>205918</v>
      </c>
      <c r="B142">
        <v>2</v>
      </c>
      <c r="C142" t="s">
        <v>3029</v>
      </c>
      <c r="E142" s="103">
        <v>45590</v>
      </c>
      <c r="F142">
        <v>3</v>
      </c>
      <c r="G142" s="1210">
        <v>45539</v>
      </c>
      <c r="I142" t="s">
        <v>3030</v>
      </c>
      <c r="J142" t="s">
        <v>2082</v>
      </c>
      <c r="K142">
        <v>4500007927</v>
      </c>
      <c r="L142" t="s">
        <v>3031</v>
      </c>
      <c r="N142" t="s">
        <v>3032</v>
      </c>
      <c r="O142" t="s">
        <v>2094</v>
      </c>
      <c r="Q142" t="s">
        <v>2231</v>
      </c>
      <c r="S142" t="s">
        <v>2806</v>
      </c>
      <c r="U142" t="s">
        <v>2744</v>
      </c>
      <c r="X142" t="s">
        <v>3000</v>
      </c>
      <c r="Y142" t="s">
        <v>2088</v>
      </c>
      <c r="AD142">
        <v>0</v>
      </c>
    </row>
    <row r="143" spans="1:30" hidden="1">
      <c r="A143">
        <v>205920</v>
      </c>
      <c r="B143">
        <v>2</v>
      </c>
      <c r="C143" t="s">
        <v>3033</v>
      </c>
      <c r="E143" s="103">
        <v>45590</v>
      </c>
      <c r="F143">
        <v>3</v>
      </c>
      <c r="G143" s="1210">
        <v>45539</v>
      </c>
      <c r="I143" t="s">
        <v>3034</v>
      </c>
      <c r="J143" t="s">
        <v>2082</v>
      </c>
      <c r="K143">
        <v>4500007932</v>
      </c>
      <c r="L143" t="s">
        <v>3035</v>
      </c>
      <c r="N143" t="s">
        <v>3032</v>
      </c>
      <c r="O143" t="s">
        <v>2094</v>
      </c>
      <c r="Q143" t="s">
        <v>2231</v>
      </c>
      <c r="S143" t="s">
        <v>2806</v>
      </c>
      <c r="U143" t="s">
        <v>2744</v>
      </c>
      <c r="X143" t="s">
        <v>3000</v>
      </c>
      <c r="Y143" t="s">
        <v>2088</v>
      </c>
      <c r="AD143">
        <v>0</v>
      </c>
    </row>
    <row r="144" spans="1:30" hidden="1">
      <c r="A144">
        <v>199017</v>
      </c>
      <c r="B144">
        <v>30</v>
      </c>
      <c r="C144" t="s">
        <v>3036</v>
      </c>
      <c r="E144" s="103">
        <v>45597</v>
      </c>
      <c r="F144">
        <v>1</v>
      </c>
      <c r="G144" s="1210">
        <v>45530</v>
      </c>
      <c r="I144" t="s">
        <v>2586</v>
      </c>
      <c r="J144" t="s">
        <v>2012</v>
      </c>
      <c r="K144">
        <v>4500007895</v>
      </c>
      <c r="L144" t="s">
        <v>3037</v>
      </c>
      <c r="M144" t="s">
        <v>3020</v>
      </c>
      <c r="N144" t="s">
        <v>3022</v>
      </c>
      <c r="O144" t="s">
        <v>2743</v>
      </c>
      <c r="P144" s="103">
        <v>45587</v>
      </c>
      <c r="Q144" t="s">
        <v>2231</v>
      </c>
      <c r="R144" s="103">
        <v>45591</v>
      </c>
      <c r="S144" t="s">
        <v>2281</v>
      </c>
      <c r="U144" t="s">
        <v>2744</v>
      </c>
      <c r="V144" t="s">
        <v>2924</v>
      </c>
      <c r="X144" t="s">
        <v>2862</v>
      </c>
      <c r="Y144" t="s">
        <v>2088</v>
      </c>
      <c r="AD144">
        <v>100</v>
      </c>
    </row>
    <row r="145" spans="1:30" hidden="1">
      <c r="A145">
        <v>199019</v>
      </c>
      <c r="B145">
        <v>40</v>
      </c>
      <c r="C145" t="s">
        <v>3023</v>
      </c>
      <c r="E145" s="103">
        <v>45597</v>
      </c>
      <c r="F145">
        <v>1</v>
      </c>
      <c r="G145" s="1210">
        <v>45530</v>
      </c>
      <c r="I145" t="s">
        <v>2869</v>
      </c>
      <c r="J145" t="s">
        <v>2012</v>
      </c>
      <c r="K145">
        <v>4500007897</v>
      </c>
      <c r="L145" t="s">
        <v>3038</v>
      </c>
      <c r="M145" t="s">
        <v>3020</v>
      </c>
      <c r="N145" t="s">
        <v>3022</v>
      </c>
      <c r="O145" t="s">
        <v>2743</v>
      </c>
      <c r="P145" s="103">
        <v>45587</v>
      </c>
      <c r="Q145" t="s">
        <v>2231</v>
      </c>
      <c r="R145" s="103">
        <v>45591</v>
      </c>
      <c r="S145" t="s">
        <v>2281</v>
      </c>
      <c r="U145" t="s">
        <v>2744</v>
      </c>
      <c r="V145" t="s">
        <v>2924</v>
      </c>
      <c r="X145" t="s">
        <v>2862</v>
      </c>
      <c r="Y145" t="s">
        <v>2088</v>
      </c>
      <c r="AD145">
        <v>200</v>
      </c>
    </row>
    <row r="146" spans="1:30" hidden="1">
      <c r="A146">
        <v>199024</v>
      </c>
      <c r="B146">
        <v>1000</v>
      </c>
      <c r="C146" t="s">
        <v>2753</v>
      </c>
      <c r="E146" s="103">
        <v>45597</v>
      </c>
      <c r="F146">
        <v>1</v>
      </c>
      <c r="G146" s="1210">
        <v>45530</v>
      </c>
      <c r="I146" t="s">
        <v>338</v>
      </c>
      <c r="J146" t="s">
        <v>2012</v>
      </c>
      <c r="K146">
        <v>4500007901</v>
      </c>
      <c r="L146" t="s">
        <v>3039</v>
      </c>
      <c r="M146" t="s">
        <v>3040</v>
      </c>
      <c r="N146" t="s">
        <v>3022</v>
      </c>
      <c r="O146" t="s">
        <v>2743</v>
      </c>
      <c r="P146" s="103">
        <v>45587</v>
      </c>
      <c r="Q146" t="s">
        <v>2231</v>
      </c>
      <c r="R146" s="103">
        <v>45591</v>
      </c>
      <c r="S146" t="s">
        <v>2281</v>
      </c>
      <c r="U146" t="s">
        <v>2744</v>
      </c>
      <c r="V146" t="s">
        <v>2924</v>
      </c>
      <c r="W146" t="s">
        <v>3027</v>
      </c>
      <c r="X146" t="s">
        <v>2862</v>
      </c>
      <c r="Y146" t="s">
        <v>2088</v>
      </c>
      <c r="AD146">
        <v>3400</v>
      </c>
    </row>
    <row r="147" spans="1:30" hidden="1">
      <c r="A147">
        <v>199018</v>
      </c>
      <c r="B147">
        <v>30</v>
      </c>
      <c r="C147" t="s">
        <v>2756</v>
      </c>
      <c r="E147" s="103">
        <v>45597</v>
      </c>
      <c r="F147">
        <v>1</v>
      </c>
      <c r="G147" s="1210">
        <v>45530</v>
      </c>
      <c r="I147" t="s">
        <v>2591</v>
      </c>
      <c r="J147" t="s">
        <v>2012</v>
      </c>
      <c r="K147">
        <v>4500007902</v>
      </c>
      <c r="L147" t="s">
        <v>3041</v>
      </c>
      <c r="M147" t="s">
        <v>3042</v>
      </c>
      <c r="N147" t="s">
        <v>3022</v>
      </c>
      <c r="O147" t="s">
        <v>2743</v>
      </c>
      <c r="P147" s="103">
        <v>45587</v>
      </c>
      <c r="Q147" t="s">
        <v>2231</v>
      </c>
      <c r="R147" s="103">
        <v>45591</v>
      </c>
      <c r="S147" t="s">
        <v>2281</v>
      </c>
      <c r="U147" t="s">
        <v>2744</v>
      </c>
      <c r="V147" t="s">
        <v>2924</v>
      </c>
      <c r="X147" t="s">
        <v>2862</v>
      </c>
      <c r="Y147" t="s">
        <v>2088</v>
      </c>
      <c r="AD147">
        <v>100</v>
      </c>
    </row>
    <row r="148" spans="1:30" hidden="1">
      <c r="A148">
        <v>199324</v>
      </c>
      <c r="B148">
        <v>100</v>
      </c>
      <c r="C148" t="s">
        <v>2258</v>
      </c>
      <c r="E148" s="103">
        <v>45602</v>
      </c>
      <c r="F148">
        <v>1</v>
      </c>
      <c r="G148" s="1210">
        <v>45481</v>
      </c>
      <c r="I148" t="s">
        <v>714</v>
      </c>
      <c r="J148" t="s">
        <v>2082</v>
      </c>
      <c r="K148">
        <v>4500007515</v>
      </c>
      <c r="L148" t="s">
        <v>3043</v>
      </c>
      <c r="M148" t="s">
        <v>3040</v>
      </c>
      <c r="N148" t="s">
        <v>3022</v>
      </c>
      <c r="O148" t="s">
        <v>2026</v>
      </c>
      <c r="P148" s="103">
        <v>45587</v>
      </c>
      <c r="Q148" t="s">
        <v>2231</v>
      </c>
      <c r="R148" s="103">
        <v>45594</v>
      </c>
      <c r="S148" t="s">
        <v>2281</v>
      </c>
      <c r="U148" t="s">
        <v>2744</v>
      </c>
      <c r="X148" t="s">
        <v>3005</v>
      </c>
      <c r="Y148" t="s">
        <v>2088</v>
      </c>
      <c r="AD148">
        <v>620</v>
      </c>
    </row>
    <row r="149" spans="1:30" hidden="1">
      <c r="A149">
        <v>199326</v>
      </c>
      <c r="B149">
        <v>300</v>
      </c>
      <c r="C149" t="s">
        <v>3044</v>
      </c>
      <c r="E149" s="103">
        <v>45602</v>
      </c>
      <c r="F149">
        <v>1</v>
      </c>
      <c r="G149" s="1210">
        <v>45481</v>
      </c>
      <c r="I149" t="s">
        <v>769</v>
      </c>
      <c r="J149" t="s">
        <v>2082</v>
      </c>
      <c r="K149">
        <v>4500007519</v>
      </c>
      <c r="L149" t="s">
        <v>3045</v>
      </c>
      <c r="M149" t="s">
        <v>3020</v>
      </c>
      <c r="N149" t="s">
        <v>3022</v>
      </c>
      <c r="O149" t="s">
        <v>2026</v>
      </c>
      <c r="P149" s="103">
        <v>45587</v>
      </c>
      <c r="Q149" t="s">
        <v>2231</v>
      </c>
      <c r="R149" s="103">
        <v>45594</v>
      </c>
      <c r="S149" t="s">
        <v>2281</v>
      </c>
      <c r="U149" t="s">
        <v>2744</v>
      </c>
      <c r="X149" t="s">
        <v>3005</v>
      </c>
      <c r="Y149" t="s">
        <v>2088</v>
      </c>
      <c r="AD149">
        <v>980</v>
      </c>
    </row>
    <row r="150" spans="1:30" hidden="1">
      <c r="A150">
        <v>209207</v>
      </c>
      <c r="B150">
        <v>3</v>
      </c>
      <c r="C150" t="s">
        <v>3046</v>
      </c>
      <c r="E150" s="103">
        <v>45604</v>
      </c>
      <c r="F150">
        <v>3</v>
      </c>
      <c r="G150" s="1210">
        <v>45588</v>
      </c>
      <c r="I150" t="s">
        <v>3047</v>
      </c>
      <c r="J150" t="s">
        <v>2074</v>
      </c>
      <c r="K150">
        <v>4500008486</v>
      </c>
      <c r="L150" t="s">
        <v>3048</v>
      </c>
      <c r="N150" t="s">
        <v>3049</v>
      </c>
      <c r="O150" t="s">
        <v>3050</v>
      </c>
      <c r="Q150" t="s">
        <v>3051</v>
      </c>
      <c r="S150" t="s">
        <v>2806</v>
      </c>
      <c r="U150" t="s">
        <v>2744</v>
      </c>
      <c r="W150" t="s">
        <v>3052</v>
      </c>
      <c r="X150" t="s">
        <v>490</v>
      </c>
      <c r="Y150" t="s">
        <v>2088</v>
      </c>
      <c r="AD150">
        <v>0</v>
      </c>
    </row>
    <row r="151" spans="1:30" hidden="1">
      <c r="A151">
        <v>199021</v>
      </c>
      <c r="B151">
        <v>600</v>
      </c>
      <c r="C151" t="s">
        <v>3053</v>
      </c>
      <c r="E151" s="103">
        <v>45608</v>
      </c>
      <c r="F151">
        <v>1</v>
      </c>
      <c r="G151" s="1210">
        <v>45530</v>
      </c>
      <c r="I151" t="s">
        <v>456</v>
      </c>
      <c r="J151" t="s">
        <v>2012</v>
      </c>
      <c r="K151">
        <v>4500007903</v>
      </c>
      <c r="L151" t="s">
        <v>3054</v>
      </c>
      <c r="M151" t="s">
        <v>3055</v>
      </c>
      <c r="N151" t="s">
        <v>3056</v>
      </c>
      <c r="O151" t="s">
        <v>2743</v>
      </c>
      <c r="P151" s="103">
        <v>45599</v>
      </c>
      <c r="Q151" t="s">
        <v>2231</v>
      </c>
      <c r="R151" s="103">
        <v>45604</v>
      </c>
      <c r="S151" t="s">
        <v>2281</v>
      </c>
      <c r="U151" t="s">
        <v>2744</v>
      </c>
      <c r="V151" t="s">
        <v>2924</v>
      </c>
      <c r="X151" t="s">
        <v>2862</v>
      </c>
      <c r="Y151" t="s">
        <v>2088</v>
      </c>
      <c r="AD151">
        <v>1520</v>
      </c>
    </row>
    <row r="152" spans="1:30" hidden="1">
      <c r="A152">
        <v>199022</v>
      </c>
      <c r="B152">
        <v>300</v>
      </c>
      <c r="C152" t="s">
        <v>3057</v>
      </c>
      <c r="E152" s="103">
        <v>45608</v>
      </c>
      <c r="F152">
        <v>1</v>
      </c>
      <c r="G152" s="1210">
        <v>45530</v>
      </c>
      <c r="I152" t="s">
        <v>460</v>
      </c>
      <c r="J152" t="s">
        <v>2012</v>
      </c>
      <c r="K152">
        <v>4500007904</v>
      </c>
      <c r="L152" t="s">
        <v>3058</v>
      </c>
      <c r="M152" t="s">
        <v>3032</v>
      </c>
      <c r="N152" t="s">
        <v>3056</v>
      </c>
      <c r="O152" t="s">
        <v>2743</v>
      </c>
      <c r="P152" s="103">
        <v>45599</v>
      </c>
      <c r="Q152" t="s">
        <v>2231</v>
      </c>
      <c r="R152" s="103">
        <v>45604</v>
      </c>
      <c r="S152" t="s">
        <v>2281</v>
      </c>
      <c r="U152" t="s">
        <v>2744</v>
      </c>
      <c r="V152" t="s">
        <v>2924</v>
      </c>
      <c r="X152" t="s">
        <v>2862</v>
      </c>
      <c r="Y152" t="s">
        <v>2088</v>
      </c>
      <c r="AD152">
        <v>580</v>
      </c>
    </row>
    <row r="153" spans="1:30" hidden="1">
      <c r="A153">
        <v>199019</v>
      </c>
      <c r="B153">
        <v>60</v>
      </c>
      <c r="C153" t="s">
        <v>3023</v>
      </c>
      <c r="E153" s="103">
        <v>45608</v>
      </c>
      <c r="F153">
        <v>1</v>
      </c>
      <c r="G153" s="1210">
        <v>45559</v>
      </c>
      <c r="I153" t="s">
        <v>2869</v>
      </c>
      <c r="J153" t="s">
        <v>2012</v>
      </c>
      <c r="K153">
        <v>4500008163</v>
      </c>
      <c r="L153" t="s">
        <v>3059</v>
      </c>
      <c r="M153" t="s">
        <v>3060</v>
      </c>
      <c r="N153" t="s">
        <v>3061</v>
      </c>
      <c r="O153" t="s">
        <v>2946</v>
      </c>
      <c r="P153" s="103">
        <v>45608</v>
      </c>
      <c r="Q153" t="s">
        <v>2231</v>
      </c>
      <c r="R153" s="103">
        <v>45612</v>
      </c>
      <c r="S153" t="s">
        <v>2281</v>
      </c>
      <c r="U153" t="s">
        <v>2744</v>
      </c>
      <c r="X153" t="s">
        <v>2862</v>
      </c>
      <c r="Y153" t="s">
        <v>2088</v>
      </c>
      <c r="AD153">
        <v>260</v>
      </c>
    </row>
    <row r="154" spans="1:30" hidden="1">
      <c r="A154">
        <v>199023</v>
      </c>
      <c r="B154">
        <v>225</v>
      </c>
      <c r="C154" t="s">
        <v>3062</v>
      </c>
      <c r="E154" s="103">
        <v>45609</v>
      </c>
      <c r="F154">
        <v>1</v>
      </c>
      <c r="G154" s="1210">
        <v>45541</v>
      </c>
      <c r="I154" t="s">
        <v>465</v>
      </c>
      <c r="J154" t="s">
        <v>2012</v>
      </c>
      <c r="K154">
        <v>4500008015</v>
      </c>
      <c r="L154" t="s">
        <v>3063</v>
      </c>
      <c r="M154" t="s">
        <v>3064</v>
      </c>
      <c r="N154" t="s">
        <v>3061</v>
      </c>
      <c r="O154" t="s">
        <v>2946</v>
      </c>
      <c r="Q154" t="s">
        <v>2231</v>
      </c>
      <c r="S154" t="s">
        <v>2281</v>
      </c>
      <c r="U154" t="s">
        <v>2744</v>
      </c>
      <c r="W154" t="s">
        <v>3027</v>
      </c>
      <c r="X154" t="s">
        <v>2862</v>
      </c>
      <c r="Y154" t="s">
        <v>2088</v>
      </c>
      <c r="AD154">
        <v>575</v>
      </c>
    </row>
    <row r="155" spans="1:30" hidden="1">
      <c r="A155">
        <v>199409</v>
      </c>
      <c r="B155">
        <v>500</v>
      </c>
      <c r="C155" t="s">
        <v>2810</v>
      </c>
      <c r="E155" s="103">
        <v>45610</v>
      </c>
      <c r="F155">
        <v>1</v>
      </c>
      <c r="G155" s="1210">
        <v>45405</v>
      </c>
      <c r="I155" t="s">
        <v>39</v>
      </c>
      <c r="J155" t="s">
        <v>2082</v>
      </c>
      <c r="K155">
        <v>4500007053</v>
      </c>
      <c r="L155" t="s">
        <v>3065</v>
      </c>
      <c r="M155" t="s">
        <v>3040</v>
      </c>
      <c r="N155" t="s">
        <v>3066</v>
      </c>
      <c r="O155" t="s">
        <v>2026</v>
      </c>
      <c r="P155" s="103">
        <v>45598</v>
      </c>
      <c r="Q155" t="s">
        <v>2231</v>
      </c>
      <c r="R155" s="103">
        <v>45602</v>
      </c>
      <c r="S155" t="s">
        <v>2281</v>
      </c>
      <c r="U155" t="s">
        <v>2744</v>
      </c>
      <c r="X155" t="s">
        <v>2816</v>
      </c>
      <c r="Y155" t="s">
        <v>2088</v>
      </c>
      <c r="AD155">
        <v>1500</v>
      </c>
    </row>
    <row r="156" spans="1:30" hidden="1">
      <c r="A156">
        <v>199408</v>
      </c>
      <c r="B156">
        <v>700</v>
      </c>
      <c r="C156" t="s">
        <v>2817</v>
      </c>
      <c r="E156" s="103">
        <v>45610</v>
      </c>
      <c r="F156">
        <v>1</v>
      </c>
      <c r="G156" s="1210">
        <v>45405</v>
      </c>
      <c r="I156" t="s">
        <v>33</v>
      </c>
      <c r="J156" t="s">
        <v>2082</v>
      </c>
      <c r="K156">
        <v>4500007059</v>
      </c>
      <c r="L156" t="s">
        <v>3067</v>
      </c>
      <c r="M156" t="s">
        <v>3020</v>
      </c>
      <c r="N156" t="s">
        <v>3066</v>
      </c>
      <c r="O156" t="s">
        <v>2026</v>
      </c>
      <c r="P156" s="103">
        <v>45598</v>
      </c>
      <c r="Q156" t="s">
        <v>2231</v>
      </c>
      <c r="R156" s="103">
        <v>45602</v>
      </c>
      <c r="S156" t="s">
        <v>2281</v>
      </c>
      <c r="U156" t="s">
        <v>2744</v>
      </c>
      <c r="X156" t="s">
        <v>2816</v>
      </c>
      <c r="Y156" t="s">
        <v>2088</v>
      </c>
      <c r="AD156">
        <v>2000</v>
      </c>
    </row>
    <row r="157" spans="1:30" hidden="1">
      <c r="A157">
        <v>208425</v>
      </c>
      <c r="B157">
        <v>80</v>
      </c>
      <c r="C157" t="s">
        <v>2767</v>
      </c>
      <c r="E157" s="103">
        <v>45610</v>
      </c>
      <c r="F157">
        <v>1</v>
      </c>
      <c r="G157" s="1210">
        <v>45434</v>
      </c>
      <c r="I157" t="s">
        <v>498</v>
      </c>
      <c r="J157" t="s">
        <v>2082</v>
      </c>
      <c r="K157">
        <v>4500007225</v>
      </c>
      <c r="L157" t="s">
        <v>3068</v>
      </c>
      <c r="M157" t="s">
        <v>3020</v>
      </c>
      <c r="N157" t="s">
        <v>3066</v>
      </c>
      <c r="O157" t="s">
        <v>2026</v>
      </c>
      <c r="P157" s="103">
        <v>45598</v>
      </c>
      <c r="Q157" t="s">
        <v>2231</v>
      </c>
      <c r="R157" s="103">
        <v>45602</v>
      </c>
      <c r="S157" t="s">
        <v>2281</v>
      </c>
      <c r="U157" t="s">
        <v>2744</v>
      </c>
      <c r="V157" t="s">
        <v>3069</v>
      </c>
      <c r="W157" t="s">
        <v>3070</v>
      </c>
      <c r="X157" t="s">
        <v>2800</v>
      </c>
      <c r="Y157" t="s">
        <v>2088</v>
      </c>
      <c r="AD157">
        <v>1320</v>
      </c>
    </row>
    <row r="158" spans="1:30" hidden="1">
      <c r="A158">
        <v>203728</v>
      </c>
      <c r="B158">
        <v>125</v>
      </c>
      <c r="C158" t="s">
        <v>2942</v>
      </c>
      <c r="E158" s="103">
        <v>45610</v>
      </c>
      <c r="F158">
        <v>1</v>
      </c>
      <c r="G158" s="1210">
        <v>45530</v>
      </c>
      <c r="I158" t="s">
        <v>553</v>
      </c>
      <c r="J158" t="s">
        <v>2082</v>
      </c>
      <c r="K158">
        <v>4500007905</v>
      </c>
      <c r="L158" t="s">
        <v>3071</v>
      </c>
      <c r="M158" t="s">
        <v>3072</v>
      </c>
      <c r="N158" t="s">
        <v>3066</v>
      </c>
      <c r="O158" t="s">
        <v>2026</v>
      </c>
      <c r="P158" s="103">
        <v>45598</v>
      </c>
      <c r="Q158" t="s">
        <v>2231</v>
      </c>
      <c r="R158" s="103">
        <v>45606</v>
      </c>
      <c r="S158" t="s">
        <v>2281</v>
      </c>
      <c r="U158" t="s">
        <v>2744</v>
      </c>
      <c r="W158" t="s">
        <v>3073</v>
      </c>
      <c r="X158" t="s">
        <v>3000</v>
      </c>
      <c r="Y158" t="s">
        <v>2088</v>
      </c>
      <c r="AD158">
        <v>225</v>
      </c>
    </row>
    <row r="159" spans="1:30" hidden="1">
      <c r="A159">
        <v>203746</v>
      </c>
      <c r="B159">
        <v>175</v>
      </c>
      <c r="C159" t="s">
        <v>2948</v>
      </c>
      <c r="E159" s="103">
        <v>45610</v>
      </c>
      <c r="F159">
        <v>1</v>
      </c>
      <c r="G159" s="1210">
        <v>45530</v>
      </c>
      <c r="I159" t="s">
        <v>726</v>
      </c>
      <c r="J159" t="s">
        <v>2082</v>
      </c>
      <c r="K159">
        <v>4500007906</v>
      </c>
      <c r="L159" t="s">
        <v>3074</v>
      </c>
      <c r="M159" t="s">
        <v>3072</v>
      </c>
      <c r="N159" t="s">
        <v>3066</v>
      </c>
      <c r="O159" t="s">
        <v>2026</v>
      </c>
      <c r="P159" s="103">
        <v>45598</v>
      </c>
      <c r="Q159" t="s">
        <v>2231</v>
      </c>
      <c r="R159" s="103">
        <v>45606</v>
      </c>
      <c r="S159" t="s">
        <v>2281</v>
      </c>
      <c r="U159" t="s">
        <v>2744</v>
      </c>
      <c r="W159" t="s">
        <v>3073</v>
      </c>
      <c r="X159" t="s">
        <v>3000</v>
      </c>
      <c r="Y159" t="s">
        <v>2088</v>
      </c>
      <c r="AD159">
        <v>325</v>
      </c>
    </row>
    <row r="160" spans="1:30" hidden="1">
      <c r="A160">
        <v>203750</v>
      </c>
      <c r="B160">
        <v>300</v>
      </c>
      <c r="C160" t="s">
        <v>2951</v>
      </c>
      <c r="E160" s="103">
        <v>45610</v>
      </c>
      <c r="F160">
        <v>1</v>
      </c>
      <c r="G160" s="1210">
        <v>45548</v>
      </c>
      <c r="I160" t="s">
        <v>783</v>
      </c>
      <c r="J160" t="s">
        <v>2082</v>
      </c>
      <c r="K160">
        <v>4500008083</v>
      </c>
      <c r="L160" t="s">
        <v>3075</v>
      </c>
      <c r="M160" t="s">
        <v>3032</v>
      </c>
      <c r="N160" t="s">
        <v>3066</v>
      </c>
      <c r="O160" t="s">
        <v>2026</v>
      </c>
      <c r="P160" s="103">
        <v>45598</v>
      </c>
      <c r="Q160" t="s">
        <v>2231</v>
      </c>
      <c r="R160" s="103">
        <v>45602</v>
      </c>
      <c r="S160" t="s">
        <v>2281</v>
      </c>
      <c r="U160" t="s">
        <v>2744</v>
      </c>
      <c r="W160" t="s">
        <v>3076</v>
      </c>
      <c r="X160" t="s">
        <v>3000</v>
      </c>
      <c r="Y160" t="s">
        <v>2088</v>
      </c>
      <c r="AD160">
        <v>500</v>
      </c>
    </row>
    <row r="161" spans="1:30" hidden="1">
      <c r="A161">
        <v>205923</v>
      </c>
      <c r="B161">
        <v>6</v>
      </c>
      <c r="C161" t="s">
        <v>2997</v>
      </c>
      <c r="E161" s="103">
        <v>45611</v>
      </c>
      <c r="F161">
        <v>1</v>
      </c>
      <c r="G161" s="1210">
        <v>45534</v>
      </c>
      <c r="I161" t="s">
        <v>748</v>
      </c>
      <c r="J161" t="s">
        <v>2082</v>
      </c>
      <c r="K161">
        <v>4500007934</v>
      </c>
      <c r="L161" t="s">
        <v>3077</v>
      </c>
      <c r="M161" t="s">
        <v>3078</v>
      </c>
      <c r="N161" t="s">
        <v>3079</v>
      </c>
      <c r="O161" t="s">
        <v>2094</v>
      </c>
      <c r="Q161" t="s">
        <v>2231</v>
      </c>
      <c r="S161" t="s">
        <v>2814</v>
      </c>
      <c r="U161" t="s">
        <v>2744</v>
      </c>
      <c r="V161" t="s">
        <v>2815</v>
      </c>
      <c r="X161" t="s">
        <v>3000</v>
      </c>
      <c r="Y161" t="s">
        <v>2088</v>
      </c>
      <c r="AD161">
        <v>6</v>
      </c>
    </row>
    <row r="162" spans="1:30" hidden="1">
      <c r="A162">
        <v>199019</v>
      </c>
      <c r="B162">
        <v>30</v>
      </c>
      <c r="C162" t="s">
        <v>3023</v>
      </c>
      <c r="E162" s="103">
        <v>45615</v>
      </c>
      <c r="F162">
        <v>1</v>
      </c>
      <c r="G162" s="1210">
        <v>45545</v>
      </c>
      <c r="I162" t="s">
        <v>2869</v>
      </c>
      <c r="J162" t="s">
        <v>2012</v>
      </c>
      <c r="K162">
        <v>4500008016</v>
      </c>
      <c r="L162" t="s">
        <v>3080</v>
      </c>
      <c r="M162" t="s">
        <v>3081</v>
      </c>
      <c r="N162" t="s">
        <v>3082</v>
      </c>
      <c r="O162" t="s">
        <v>2946</v>
      </c>
      <c r="Q162" t="s">
        <v>2231</v>
      </c>
      <c r="S162" t="s">
        <v>2281</v>
      </c>
      <c r="U162" t="s">
        <v>2744</v>
      </c>
      <c r="X162" t="s">
        <v>2862</v>
      </c>
      <c r="Y162" t="s">
        <v>2088</v>
      </c>
      <c r="AD162">
        <v>290</v>
      </c>
    </row>
    <row r="163" spans="1:30" hidden="1">
      <c r="A163">
        <v>199023</v>
      </c>
      <c r="B163">
        <v>375</v>
      </c>
      <c r="C163" t="s">
        <v>3062</v>
      </c>
      <c r="E163" s="103">
        <v>45616</v>
      </c>
      <c r="F163">
        <v>1</v>
      </c>
      <c r="G163" s="1210">
        <v>45541</v>
      </c>
      <c r="I163" t="s">
        <v>465</v>
      </c>
      <c r="J163" t="s">
        <v>2012</v>
      </c>
      <c r="K163">
        <v>4500008015</v>
      </c>
      <c r="L163" t="s">
        <v>3083</v>
      </c>
      <c r="M163" t="s">
        <v>3084</v>
      </c>
      <c r="N163" t="s">
        <v>3061</v>
      </c>
      <c r="O163" t="s">
        <v>2743</v>
      </c>
      <c r="P163" s="103">
        <v>45608</v>
      </c>
      <c r="Q163" t="s">
        <v>2231</v>
      </c>
      <c r="R163" s="103">
        <v>45612</v>
      </c>
      <c r="S163" t="s">
        <v>2281</v>
      </c>
      <c r="U163" t="s">
        <v>2744</v>
      </c>
      <c r="W163" t="s">
        <v>3027</v>
      </c>
      <c r="X163" t="s">
        <v>2862</v>
      </c>
      <c r="Y163" t="s">
        <v>2088</v>
      </c>
      <c r="AD163">
        <v>950</v>
      </c>
    </row>
    <row r="164" spans="1:30" hidden="1">
      <c r="A164">
        <v>199017</v>
      </c>
      <c r="B164">
        <v>40</v>
      </c>
      <c r="C164" t="s">
        <v>3036</v>
      </c>
      <c r="E164" s="103">
        <v>45616</v>
      </c>
      <c r="F164">
        <v>1</v>
      </c>
      <c r="G164" s="1210">
        <v>45559</v>
      </c>
      <c r="I164" t="s">
        <v>2586</v>
      </c>
      <c r="J164" t="s">
        <v>2012</v>
      </c>
      <c r="K164">
        <v>4500008162</v>
      </c>
      <c r="L164" t="s">
        <v>3085</v>
      </c>
      <c r="M164" t="s">
        <v>3084</v>
      </c>
      <c r="N164" t="s">
        <v>3061</v>
      </c>
      <c r="O164" t="s">
        <v>2743</v>
      </c>
      <c r="P164" s="103">
        <v>45608</v>
      </c>
      <c r="Q164" t="s">
        <v>2231</v>
      </c>
      <c r="R164" s="103">
        <v>45612</v>
      </c>
      <c r="S164" t="s">
        <v>2281</v>
      </c>
      <c r="U164" t="s">
        <v>2744</v>
      </c>
      <c r="X164" t="s">
        <v>2862</v>
      </c>
      <c r="Y164" t="s">
        <v>2088</v>
      </c>
      <c r="AD164">
        <v>140</v>
      </c>
    </row>
    <row r="165" spans="1:30" hidden="1">
      <c r="A165">
        <v>199018</v>
      </c>
      <c r="B165">
        <v>20</v>
      </c>
      <c r="C165" t="s">
        <v>2756</v>
      </c>
      <c r="E165" s="103">
        <v>45616</v>
      </c>
      <c r="F165">
        <v>1</v>
      </c>
      <c r="G165" s="1210">
        <v>45559</v>
      </c>
      <c r="I165" t="s">
        <v>2591</v>
      </c>
      <c r="J165" t="s">
        <v>2012</v>
      </c>
      <c r="K165">
        <v>4500008167</v>
      </c>
      <c r="L165" t="s">
        <v>2860</v>
      </c>
      <c r="M165" t="s">
        <v>3084</v>
      </c>
      <c r="N165" t="s">
        <v>3061</v>
      </c>
      <c r="O165" t="s">
        <v>2743</v>
      </c>
      <c r="P165" s="103">
        <v>45608</v>
      </c>
      <c r="Q165" t="s">
        <v>2231</v>
      </c>
      <c r="R165" s="103">
        <v>45612</v>
      </c>
      <c r="S165" t="s">
        <v>2281</v>
      </c>
      <c r="U165" t="s">
        <v>2744</v>
      </c>
      <c r="X165" t="s">
        <v>2862</v>
      </c>
      <c r="Y165" t="s">
        <v>2088</v>
      </c>
      <c r="AD165">
        <v>120</v>
      </c>
    </row>
    <row r="166" spans="1:30" hidden="1">
      <c r="A166">
        <v>199021</v>
      </c>
      <c r="B166">
        <v>200</v>
      </c>
      <c r="C166" t="s">
        <v>3053</v>
      </c>
      <c r="E166" s="103">
        <v>45616</v>
      </c>
      <c r="F166">
        <v>1</v>
      </c>
      <c r="G166" s="1210">
        <v>45559</v>
      </c>
      <c r="I166" t="s">
        <v>456</v>
      </c>
      <c r="J166" t="s">
        <v>2012</v>
      </c>
      <c r="K166">
        <v>4500008170</v>
      </c>
      <c r="L166" t="s">
        <v>3086</v>
      </c>
      <c r="M166" t="s">
        <v>3060</v>
      </c>
      <c r="N166" t="s">
        <v>3061</v>
      </c>
      <c r="O166" t="s">
        <v>2743</v>
      </c>
      <c r="P166" s="103">
        <v>45608</v>
      </c>
      <c r="Q166" t="s">
        <v>2231</v>
      </c>
      <c r="R166" s="103">
        <v>45612</v>
      </c>
      <c r="S166" t="s">
        <v>2281</v>
      </c>
      <c r="U166" t="s">
        <v>2744</v>
      </c>
      <c r="X166" t="s">
        <v>2862</v>
      </c>
      <c r="Y166" t="s">
        <v>2088</v>
      </c>
      <c r="AD166">
        <v>1720</v>
      </c>
    </row>
    <row r="167" spans="1:30" hidden="1">
      <c r="A167">
        <v>199026</v>
      </c>
      <c r="B167">
        <v>200</v>
      </c>
      <c r="C167" t="s">
        <v>3053</v>
      </c>
      <c r="E167" s="103">
        <v>45616</v>
      </c>
      <c r="F167">
        <v>1</v>
      </c>
      <c r="G167" s="1210">
        <v>45559</v>
      </c>
      <c r="I167" t="s">
        <v>1037</v>
      </c>
      <c r="J167" t="s">
        <v>2012</v>
      </c>
      <c r="K167">
        <v>4500008174</v>
      </c>
      <c r="L167" t="s">
        <v>3086</v>
      </c>
      <c r="M167" t="s">
        <v>3060</v>
      </c>
      <c r="N167" t="s">
        <v>3061</v>
      </c>
      <c r="O167" t="s">
        <v>2743</v>
      </c>
      <c r="P167" s="103">
        <v>45608</v>
      </c>
      <c r="Q167" t="s">
        <v>2231</v>
      </c>
      <c r="R167" s="103">
        <v>45612</v>
      </c>
      <c r="S167" t="s">
        <v>2281</v>
      </c>
      <c r="U167" t="s">
        <v>2744</v>
      </c>
      <c r="X167" t="s">
        <v>2862</v>
      </c>
      <c r="Y167" t="s">
        <v>2088</v>
      </c>
      <c r="AD167">
        <v>710</v>
      </c>
    </row>
    <row r="168" spans="1:30" hidden="1">
      <c r="A168">
        <v>199027</v>
      </c>
      <c r="B168">
        <v>175</v>
      </c>
      <c r="C168" t="s">
        <v>3062</v>
      </c>
      <c r="E168" s="103">
        <v>45616</v>
      </c>
      <c r="F168">
        <v>1</v>
      </c>
      <c r="G168" s="1210">
        <v>45559</v>
      </c>
      <c r="I168" t="s">
        <v>1046</v>
      </c>
      <c r="J168" t="s">
        <v>2012</v>
      </c>
      <c r="K168">
        <v>4500008176</v>
      </c>
      <c r="L168" t="s">
        <v>3087</v>
      </c>
      <c r="M168" t="s">
        <v>3088</v>
      </c>
      <c r="N168" t="s">
        <v>3061</v>
      </c>
      <c r="O168" t="s">
        <v>2743</v>
      </c>
      <c r="P168" s="103">
        <v>45608</v>
      </c>
      <c r="Q168" t="s">
        <v>2231</v>
      </c>
      <c r="R168" s="103">
        <v>45612</v>
      </c>
      <c r="S168" t="s">
        <v>2281</v>
      </c>
      <c r="U168" t="s">
        <v>2744</v>
      </c>
      <c r="X168" t="s">
        <v>2862</v>
      </c>
      <c r="Y168" t="s">
        <v>2088</v>
      </c>
      <c r="AD168">
        <v>445</v>
      </c>
    </row>
    <row r="169" spans="1:30" hidden="1">
      <c r="A169">
        <v>199685</v>
      </c>
      <c r="B169">
        <v>10</v>
      </c>
      <c r="C169" t="s">
        <v>2982</v>
      </c>
      <c r="E169" s="103">
        <v>45616</v>
      </c>
      <c r="F169">
        <v>1</v>
      </c>
      <c r="G169" s="1210">
        <v>45575</v>
      </c>
      <c r="I169" t="s">
        <v>3089</v>
      </c>
      <c r="J169" t="s">
        <v>2751</v>
      </c>
      <c r="K169">
        <v>1511730</v>
      </c>
      <c r="L169" t="s">
        <v>2989</v>
      </c>
      <c r="M169" t="s">
        <v>3084</v>
      </c>
      <c r="N169" t="s">
        <v>3061</v>
      </c>
      <c r="O169" t="s">
        <v>2743</v>
      </c>
      <c r="P169" s="103">
        <v>45608</v>
      </c>
      <c r="Q169" t="s">
        <v>2231</v>
      </c>
      <c r="R169" s="103">
        <v>45612</v>
      </c>
      <c r="S169" t="s">
        <v>2281</v>
      </c>
      <c r="U169" t="s">
        <v>2744</v>
      </c>
      <c r="X169" t="s">
        <v>490</v>
      </c>
      <c r="Y169" t="s">
        <v>2088</v>
      </c>
      <c r="AD169">
        <v>10</v>
      </c>
    </row>
    <row r="170" spans="1:30" hidden="1">
      <c r="A170">
        <v>199686</v>
      </c>
      <c r="B170">
        <v>10</v>
      </c>
      <c r="C170" t="s">
        <v>3090</v>
      </c>
      <c r="E170" s="103">
        <v>45616</v>
      </c>
      <c r="F170">
        <v>1</v>
      </c>
      <c r="G170" s="1210">
        <v>45575</v>
      </c>
      <c r="I170" t="s">
        <v>3091</v>
      </c>
      <c r="J170" t="s">
        <v>2751</v>
      </c>
      <c r="K170">
        <v>1511730</v>
      </c>
      <c r="L170" t="s">
        <v>3092</v>
      </c>
      <c r="M170" t="s">
        <v>3084</v>
      </c>
      <c r="N170" t="s">
        <v>3061</v>
      </c>
      <c r="O170" t="s">
        <v>2743</v>
      </c>
      <c r="P170" s="103">
        <v>45608</v>
      </c>
      <c r="Q170" t="s">
        <v>2231</v>
      </c>
      <c r="R170" s="103">
        <v>45612</v>
      </c>
      <c r="S170" t="s">
        <v>2281</v>
      </c>
      <c r="U170" t="s">
        <v>2744</v>
      </c>
      <c r="X170" t="s">
        <v>490</v>
      </c>
      <c r="Y170" t="s">
        <v>2088</v>
      </c>
      <c r="AD170">
        <v>10</v>
      </c>
    </row>
    <row r="171" spans="1:30" hidden="1">
      <c r="A171">
        <v>199687</v>
      </c>
      <c r="B171">
        <v>59</v>
      </c>
      <c r="C171" t="s">
        <v>3093</v>
      </c>
      <c r="E171" s="103">
        <v>45616</v>
      </c>
      <c r="F171">
        <v>1</v>
      </c>
      <c r="G171" s="1210">
        <v>45575</v>
      </c>
      <c r="I171" t="s">
        <v>3094</v>
      </c>
      <c r="J171" t="s">
        <v>2751</v>
      </c>
      <c r="K171">
        <v>1511730</v>
      </c>
      <c r="L171" t="s">
        <v>3095</v>
      </c>
      <c r="M171" t="s">
        <v>3084</v>
      </c>
      <c r="N171" t="s">
        <v>3061</v>
      </c>
      <c r="O171" t="s">
        <v>2743</v>
      </c>
      <c r="P171" s="103">
        <v>45608</v>
      </c>
      <c r="Q171" t="s">
        <v>2231</v>
      </c>
      <c r="R171" s="103">
        <v>45612</v>
      </c>
      <c r="S171" t="s">
        <v>2281</v>
      </c>
      <c r="U171" t="s">
        <v>2744</v>
      </c>
      <c r="X171" t="s">
        <v>490</v>
      </c>
      <c r="Y171" t="s">
        <v>2088</v>
      </c>
      <c r="AD171">
        <v>59</v>
      </c>
    </row>
    <row r="172" spans="1:30" hidden="1">
      <c r="A172">
        <v>199688</v>
      </c>
      <c r="B172">
        <v>67</v>
      </c>
      <c r="C172" t="s">
        <v>2977</v>
      </c>
      <c r="E172" s="103">
        <v>45616</v>
      </c>
      <c r="F172">
        <v>1</v>
      </c>
      <c r="G172" s="1210">
        <v>45575</v>
      </c>
      <c r="I172" t="s">
        <v>2978</v>
      </c>
      <c r="J172" t="s">
        <v>2751</v>
      </c>
      <c r="K172">
        <v>1511730</v>
      </c>
      <c r="L172" t="s">
        <v>3096</v>
      </c>
      <c r="M172" t="s">
        <v>3084</v>
      </c>
      <c r="N172" t="s">
        <v>3061</v>
      </c>
      <c r="O172" t="s">
        <v>2743</v>
      </c>
      <c r="P172" s="103">
        <v>45608</v>
      </c>
      <c r="Q172" t="s">
        <v>2231</v>
      </c>
      <c r="R172" s="103">
        <v>45612</v>
      </c>
      <c r="S172" t="s">
        <v>2281</v>
      </c>
      <c r="U172" t="s">
        <v>2744</v>
      </c>
      <c r="X172" t="s">
        <v>490</v>
      </c>
      <c r="Y172" t="s">
        <v>2088</v>
      </c>
      <c r="AD172">
        <v>96</v>
      </c>
    </row>
    <row r="173" spans="1:30" hidden="1">
      <c r="A173">
        <v>183051</v>
      </c>
      <c r="B173">
        <v>10</v>
      </c>
      <c r="C173" t="s">
        <v>3097</v>
      </c>
      <c r="E173" s="103">
        <v>45616</v>
      </c>
      <c r="F173">
        <v>1</v>
      </c>
      <c r="G173" s="1210">
        <v>45575</v>
      </c>
      <c r="I173" t="s">
        <v>3098</v>
      </c>
      <c r="J173" t="s">
        <v>2751</v>
      </c>
      <c r="K173">
        <v>1511730</v>
      </c>
      <c r="L173" t="s">
        <v>3099</v>
      </c>
      <c r="M173" t="s">
        <v>3084</v>
      </c>
      <c r="N173" t="s">
        <v>3061</v>
      </c>
      <c r="O173" t="s">
        <v>2743</v>
      </c>
      <c r="P173" s="103">
        <v>45608</v>
      </c>
      <c r="Q173" t="s">
        <v>2231</v>
      </c>
      <c r="R173" s="103">
        <v>45612</v>
      </c>
      <c r="S173" t="s">
        <v>2281</v>
      </c>
      <c r="U173" t="s">
        <v>2744</v>
      </c>
      <c r="X173" t="s">
        <v>490</v>
      </c>
      <c r="Y173" t="s">
        <v>2088</v>
      </c>
      <c r="AD173">
        <v>10</v>
      </c>
    </row>
    <row r="174" spans="1:30" hidden="1">
      <c r="A174">
        <v>171358</v>
      </c>
      <c r="B174">
        <v>77</v>
      </c>
      <c r="C174" t="s">
        <v>2980</v>
      </c>
      <c r="E174" s="103">
        <v>45616</v>
      </c>
      <c r="F174">
        <v>1</v>
      </c>
      <c r="G174" s="1210">
        <v>45575</v>
      </c>
      <c r="I174" t="s">
        <v>2981</v>
      </c>
      <c r="J174" t="s">
        <v>2751</v>
      </c>
      <c r="K174">
        <v>1511730</v>
      </c>
      <c r="L174" t="s">
        <v>3100</v>
      </c>
      <c r="M174" t="s">
        <v>3084</v>
      </c>
      <c r="N174" t="s">
        <v>3061</v>
      </c>
      <c r="O174" t="s">
        <v>2743</v>
      </c>
      <c r="P174" s="103">
        <v>45608</v>
      </c>
      <c r="Q174" t="s">
        <v>2231</v>
      </c>
      <c r="R174" s="103">
        <v>45612</v>
      </c>
      <c r="S174" t="s">
        <v>2281</v>
      </c>
      <c r="U174" t="s">
        <v>2744</v>
      </c>
      <c r="X174" t="s">
        <v>490</v>
      </c>
      <c r="Y174" t="s">
        <v>2088</v>
      </c>
      <c r="AD174">
        <v>106</v>
      </c>
    </row>
    <row r="175" spans="1:30" hidden="1">
      <c r="A175">
        <v>171480</v>
      </c>
      <c r="B175">
        <v>79</v>
      </c>
      <c r="C175" t="s">
        <v>2980</v>
      </c>
      <c r="E175" s="103">
        <v>45616</v>
      </c>
      <c r="F175">
        <v>1</v>
      </c>
      <c r="G175" s="1210">
        <v>45575</v>
      </c>
      <c r="I175" t="s">
        <v>2990</v>
      </c>
      <c r="J175" t="s">
        <v>2751</v>
      </c>
      <c r="K175">
        <v>1511730</v>
      </c>
      <c r="L175" t="s">
        <v>3101</v>
      </c>
      <c r="M175" t="s">
        <v>3084</v>
      </c>
      <c r="N175" t="s">
        <v>3061</v>
      </c>
      <c r="O175" t="s">
        <v>2743</v>
      </c>
      <c r="P175" s="103">
        <v>45608</v>
      </c>
      <c r="Q175" t="s">
        <v>2231</v>
      </c>
      <c r="R175" s="103">
        <v>45612</v>
      </c>
      <c r="S175" t="s">
        <v>2281</v>
      </c>
      <c r="U175" t="s">
        <v>2744</v>
      </c>
      <c r="X175" t="s">
        <v>490</v>
      </c>
      <c r="Y175" t="s">
        <v>2088</v>
      </c>
      <c r="AD175">
        <v>94</v>
      </c>
    </row>
    <row r="176" spans="1:30" hidden="1">
      <c r="A176">
        <v>201898</v>
      </c>
      <c r="B176">
        <v>720</v>
      </c>
      <c r="C176" t="s">
        <v>3102</v>
      </c>
      <c r="E176" s="103">
        <v>45621</v>
      </c>
      <c r="F176">
        <v>1</v>
      </c>
      <c r="G176" s="1210">
        <v>45530</v>
      </c>
      <c r="I176" t="s">
        <v>317</v>
      </c>
      <c r="J176" t="s">
        <v>2012</v>
      </c>
      <c r="K176">
        <v>4500007898</v>
      </c>
      <c r="L176" t="s">
        <v>3103</v>
      </c>
      <c r="M176" t="s">
        <v>3104</v>
      </c>
      <c r="N176" t="s">
        <v>3049</v>
      </c>
      <c r="O176" t="s">
        <v>2743</v>
      </c>
      <c r="P176" s="103">
        <v>45610</v>
      </c>
      <c r="Q176" t="s">
        <v>2231</v>
      </c>
      <c r="R176" s="103">
        <v>45614</v>
      </c>
      <c r="S176" t="s">
        <v>2281</v>
      </c>
      <c r="U176" t="s">
        <v>2744</v>
      </c>
      <c r="X176" t="s">
        <v>2862</v>
      </c>
      <c r="Y176" t="s">
        <v>2088</v>
      </c>
      <c r="AD176">
        <v>1858</v>
      </c>
    </row>
    <row r="177" spans="1:30" hidden="1">
      <c r="A177">
        <v>201900</v>
      </c>
      <c r="B177">
        <v>820</v>
      </c>
      <c r="C177" t="s">
        <v>3105</v>
      </c>
      <c r="E177" s="103">
        <v>45621</v>
      </c>
      <c r="F177">
        <v>1</v>
      </c>
      <c r="G177" s="1210">
        <v>45530</v>
      </c>
      <c r="I177" t="s">
        <v>327</v>
      </c>
      <c r="J177" t="s">
        <v>2012</v>
      </c>
      <c r="K177">
        <v>4500007899</v>
      </c>
      <c r="L177" t="s">
        <v>3106</v>
      </c>
      <c r="M177" t="s">
        <v>3066</v>
      </c>
      <c r="N177" t="s">
        <v>3049</v>
      </c>
      <c r="O177" t="s">
        <v>2743</v>
      </c>
      <c r="P177" s="103">
        <v>45610</v>
      </c>
      <c r="Q177" t="s">
        <v>2231</v>
      </c>
      <c r="R177" s="103">
        <v>45614</v>
      </c>
      <c r="S177" t="s">
        <v>2281</v>
      </c>
      <c r="U177" t="s">
        <v>2744</v>
      </c>
      <c r="X177" t="s">
        <v>2862</v>
      </c>
      <c r="Y177" t="s">
        <v>2088</v>
      </c>
      <c r="AD177">
        <v>1718</v>
      </c>
    </row>
    <row r="178" spans="1:30" hidden="1">
      <c r="A178">
        <v>199024</v>
      </c>
      <c r="B178">
        <v>840</v>
      </c>
      <c r="C178" t="s">
        <v>3107</v>
      </c>
      <c r="E178" s="103">
        <v>45621</v>
      </c>
      <c r="F178">
        <v>1</v>
      </c>
      <c r="G178" s="1210">
        <v>45559</v>
      </c>
      <c r="I178" t="s">
        <v>338</v>
      </c>
      <c r="J178" t="s">
        <v>2012</v>
      </c>
      <c r="K178">
        <v>4500008165</v>
      </c>
      <c r="L178" t="s">
        <v>3108</v>
      </c>
      <c r="M178" t="s">
        <v>3109</v>
      </c>
      <c r="N178" t="s">
        <v>3049</v>
      </c>
      <c r="O178" t="s">
        <v>2743</v>
      </c>
      <c r="P178" s="103">
        <v>45610</v>
      </c>
      <c r="Q178" t="s">
        <v>2231</v>
      </c>
      <c r="R178" s="103">
        <v>45614</v>
      </c>
      <c r="S178" t="s">
        <v>2281</v>
      </c>
      <c r="U178" t="s">
        <v>2744</v>
      </c>
      <c r="X178" t="s">
        <v>2862</v>
      </c>
      <c r="Y178" t="s">
        <v>2088</v>
      </c>
      <c r="AD178">
        <v>4240</v>
      </c>
    </row>
    <row r="179" spans="1:30" hidden="1">
      <c r="A179">
        <v>199022</v>
      </c>
      <c r="B179">
        <v>500</v>
      </c>
      <c r="C179" t="s">
        <v>3057</v>
      </c>
      <c r="E179" s="103">
        <v>45621</v>
      </c>
      <c r="F179">
        <v>1</v>
      </c>
      <c r="G179" s="1210">
        <v>45559</v>
      </c>
      <c r="I179" t="s">
        <v>460</v>
      </c>
      <c r="J179" t="s">
        <v>2012</v>
      </c>
      <c r="K179">
        <v>4500008172</v>
      </c>
      <c r="L179" t="s">
        <v>3110</v>
      </c>
      <c r="M179" t="s">
        <v>3109</v>
      </c>
      <c r="N179" t="s">
        <v>3049</v>
      </c>
      <c r="O179" t="s">
        <v>2743</v>
      </c>
      <c r="P179" s="103">
        <v>45610</v>
      </c>
      <c r="Q179" t="s">
        <v>2231</v>
      </c>
      <c r="R179" s="103">
        <v>45614</v>
      </c>
      <c r="S179" t="s">
        <v>2281</v>
      </c>
      <c r="U179" t="s">
        <v>2744</v>
      </c>
      <c r="X179" t="s">
        <v>2862</v>
      </c>
      <c r="Y179" t="s">
        <v>2088</v>
      </c>
      <c r="AD179">
        <v>1080</v>
      </c>
    </row>
    <row r="180" spans="1:30" hidden="1">
      <c r="A180">
        <v>205917</v>
      </c>
      <c r="B180">
        <v>6</v>
      </c>
      <c r="C180" t="s">
        <v>3029</v>
      </c>
      <c r="E180" s="103">
        <v>45622</v>
      </c>
      <c r="F180">
        <v>1</v>
      </c>
      <c r="G180" s="1210">
        <v>45539</v>
      </c>
      <c r="I180" t="s">
        <v>630</v>
      </c>
      <c r="J180" t="s">
        <v>2082</v>
      </c>
      <c r="K180">
        <v>4500007925</v>
      </c>
      <c r="L180" t="s">
        <v>3111</v>
      </c>
      <c r="M180" t="s">
        <v>3112</v>
      </c>
      <c r="N180" t="s">
        <v>3113</v>
      </c>
      <c r="O180" t="s">
        <v>2094</v>
      </c>
      <c r="Q180" t="s">
        <v>2231</v>
      </c>
      <c r="S180" t="s">
        <v>2814</v>
      </c>
      <c r="U180" t="s">
        <v>2744</v>
      </c>
      <c r="V180" t="s">
        <v>2815</v>
      </c>
      <c r="X180" t="s">
        <v>3000</v>
      </c>
      <c r="Y180" t="s">
        <v>2088</v>
      </c>
      <c r="AD180">
        <v>6</v>
      </c>
    </row>
    <row r="181" spans="1:30" hidden="1">
      <c r="A181">
        <v>205919</v>
      </c>
      <c r="B181">
        <v>6</v>
      </c>
      <c r="C181" t="s">
        <v>3033</v>
      </c>
      <c r="E181" s="103">
        <v>45622</v>
      </c>
      <c r="F181">
        <v>1</v>
      </c>
      <c r="G181" s="1210">
        <v>45539</v>
      </c>
      <c r="I181" t="s">
        <v>779</v>
      </c>
      <c r="J181" t="s">
        <v>2082</v>
      </c>
      <c r="K181">
        <v>4500007929</v>
      </c>
      <c r="L181" t="s">
        <v>3114</v>
      </c>
      <c r="M181" t="s">
        <v>3115</v>
      </c>
      <c r="N181" t="s">
        <v>3113</v>
      </c>
      <c r="O181" t="s">
        <v>2094</v>
      </c>
      <c r="Q181" t="s">
        <v>2231</v>
      </c>
      <c r="S181" t="s">
        <v>2814</v>
      </c>
      <c r="U181" t="s">
        <v>2744</v>
      </c>
      <c r="V181" t="s">
        <v>2815</v>
      </c>
      <c r="X181" t="s">
        <v>3000</v>
      </c>
      <c r="Y181" t="s">
        <v>2088</v>
      </c>
      <c r="AD181">
        <v>6</v>
      </c>
    </row>
    <row r="182" spans="1:30" hidden="1">
      <c r="A182">
        <v>199023</v>
      </c>
      <c r="B182">
        <v>200</v>
      </c>
      <c r="C182" t="s">
        <v>3062</v>
      </c>
      <c r="E182" s="103">
        <v>45628</v>
      </c>
      <c r="F182">
        <v>1</v>
      </c>
      <c r="G182" s="1210">
        <v>45548</v>
      </c>
      <c r="I182" t="s">
        <v>465</v>
      </c>
      <c r="J182" t="s">
        <v>2012</v>
      </c>
      <c r="K182">
        <v>4500008015</v>
      </c>
      <c r="L182" t="s">
        <v>3116</v>
      </c>
      <c r="M182" t="s">
        <v>3084</v>
      </c>
      <c r="N182" t="s">
        <v>3082</v>
      </c>
      <c r="O182" t="s">
        <v>2743</v>
      </c>
      <c r="P182" s="103">
        <v>45615</v>
      </c>
      <c r="Q182" t="s">
        <v>2231</v>
      </c>
      <c r="R182" s="103">
        <v>45619</v>
      </c>
      <c r="S182" t="s">
        <v>2281</v>
      </c>
      <c r="U182" t="s">
        <v>2744</v>
      </c>
      <c r="X182" t="s">
        <v>2862</v>
      </c>
      <c r="Y182" t="s">
        <v>2088</v>
      </c>
      <c r="AD182">
        <v>1150</v>
      </c>
    </row>
    <row r="183" spans="1:30" hidden="1">
      <c r="A183">
        <v>199019</v>
      </c>
      <c r="B183">
        <v>90</v>
      </c>
      <c r="C183" t="s">
        <v>3023</v>
      </c>
      <c r="E183" s="103">
        <v>45628</v>
      </c>
      <c r="F183">
        <v>1</v>
      </c>
      <c r="G183" s="1210">
        <v>45545</v>
      </c>
      <c r="I183" t="s">
        <v>2869</v>
      </c>
      <c r="J183" t="s">
        <v>2012</v>
      </c>
      <c r="K183">
        <v>4500008016</v>
      </c>
      <c r="L183" t="s">
        <v>3117</v>
      </c>
      <c r="M183" t="s">
        <v>3118</v>
      </c>
      <c r="N183" t="s">
        <v>3082</v>
      </c>
      <c r="O183" t="s">
        <v>2743</v>
      </c>
      <c r="P183" s="103">
        <v>45615</v>
      </c>
      <c r="Q183" t="s">
        <v>2231</v>
      </c>
      <c r="R183" s="103">
        <v>45619</v>
      </c>
      <c r="S183" t="s">
        <v>2281</v>
      </c>
      <c r="U183" t="s">
        <v>2744</v>
      </c>
      <c r="W183" t="s">
        <v>3027</v>
      </c>
      <c r="X183" t="s">
        <v>2862</v>
      </c>
      <c r="Y183" t="s">
        <v>2088</v>
      </c>
      <c r="AD183">
        <v>380</v>
      </c>
    </row>
    <row r="184" spans="1:30" hidden="1">
      <c r="A184">
        <v>199027</v>
      </c>
      <c r="B184">
        <v>650</v>
      </c>
      <c r="C184" t="s">
        <v>3062</v>
      </c>
      <c r="E184" s="103">
        <v>45628</v>
      </c>
      <c r="F184">
        <v>1</v>
      </c>
      <c r="G184" s="1210">
        <v>45548</v>
      </c>
      <c r="I184" t="s">
        <v>1046</v>
      </c>
      <c r="J184" t="s">
        <v>2012</v>
      </c>
      <c r="K184">
        <v>4500008082</v>
      </c>
      <c r="L184" t="s">
        <v>3119</v>
      </c>
      <c r="M184" t="s">
        <v>3118</v>
      </c>
      <c r="N184" t="s">
        <v>3082</v>
      </c>
      <c r="O184" t="s">
        <v>2743</v>
      </c>
      <c r="P184" s="103">
        <v>45615</v>
      </c>
      <c r="Q184" t="s">
        <v>2231</v>
      </c>
      <c r="R184" s="103">
        <v>45619</v>
      </c>
      <c r="S184" t="s">
        <v>2281</v>
      </c>
      <c r="U184" t="s">
        <v>2744</v>
      </c>
      <c r="W184" t="s">
        <v>3120</v>
      </c>
      <c r="X184" t="s">
        <v>2862</v>
      </c>
      <c r="Y184" t="s">
        <v>2088</v>
      </c>
      <c r="AD184">
        <v>1095</v>
      </c>
    </row>
    <row r="185" spans="1:30" hidden="1">
      <c r="A185">
        <v>199024</v>
      </c>
      <c r="B185">
        <v>400</v>
      </c>
      <c r="C185" t="s">
        <v>3107</v>
      </c>
      <c r="E185" s="103">
        <v>45628</v>
      </c>
      <c r="F185">
        <v>1</v>
      </c>
      <c r="G185" s="1210">
        <v>45559</v>
      </c>
      <c r="I185" t="s">
        <v>338</v>
      </c>
      <c r="J185" t="s">
        <v>2012</v>
      </c>
      <c r="K185">
        <v>4500008166</v>
      </c>
      <c r="L185" t="s">
        <v>3121</v>
      </c>
      <c r="M185" t="s">
        <v>3118</v>
      </c>
      <c r="N185" t="s">
        <v>3082</v>
      </c>
      <c r="O185" t="s">
        <v>2743</v>
      </c>
      <c r="P185" s="103">
        <v>45615</v>
      </c>
      <c r="Q185" t="s">
        <v>2231</v>
      </c>
      <c r="R185" s="103">
        <v>45619</v>
      </c>
      <c r="S185" t="s">
        <v>2281</v>
      </c>
      <c r="U185" t="s">
        <v>2744</v>
      </c>
      <c r="W185" t="s">
        <v>3120</v>
      </c>
      <c r="X185" t="s">
        <v>2862</v>
      </c>
      <c r="Y185" t="s">
        <v>2088</v>
      </c>
      <c r="AD185">
        <v>4640</v>
      </c>
    </row>
    <row r="186" spans="1:30" hidden="1">
      <c r="A186">
        <v>199021</v>
      </c>
      <c r="B186">
        <v>200</v>
      </c>
      <c r="C186" t="s">
        <v>3053</v>
      </c>
      <c r="E186" s="103">
        <v>45628</v>
      </c>
      <c r="F186">
        <v>1</v>
      </c>
      <c r="G186" s="1210">
        <v>45559</v>
      </c>
      <c r="I186" t="s">
        <v>456</v>
      </c>
      <c r="J186" t="s">
        <v>2012</v>
      </c>
      <c r="K186">
        <v>4500008171</v>
      </c>
      <c r="L186" t="s">
        <v>3086</v>
      </c>
      <c r="M186" t="s">
        <v>3081</v>
      </c>
      <c r="N186" t="s">
        <v>3082</v>
      </c>
      <c r="O186" t="s">
        <v>2743</v>
      </c>
      <c r="P186" s="103">
        <v>45615</v>
      </c>
      <c r="Q186" t="s">
        <v>2231</v>
      </c>
      <c r="R186" s="103">
        <v>45619</v>
      </c>
      <c r="S186" t="s">
        <v>2281</v>
      </c>
      <c r="U186" t="s">
        <v>2744</v>
      </c>
      <c r="W186" t="s">
        <v>3120</v>
      </c>
      <c r="X186" t="s">
        <v>2862</v>
      </c>
      <c r="Y186" t="s">
        <v>2088</v>
      </c>
      <c r="AD186">
        <v>1920</v>
      </c>
    </row>
    <row r="187" spans="1:30" hidden="1">
      <c r="A187">
        <v>199027</v>
      </c>
      <c r="B187">
        <v>125</v>
      </c>
      <c r="C187" t="s">
        <v>3062</v>
      </c>
      <c r="E187" s="103">
        <v>45628</v>
      </c>
      <c r="F187">
        <v>1</v>
      </c>
      <c r="G187" s="1210">
        <v>45559</v>
      </c>
      <c r="I187" t="s">
        <v>1046</v>
      </c>
      <c r="J187" t="s">
        <v>2012</v>
      </c>
      <c r="K187">
        <v>4500008176</v>
      </c>
      <c r="L187" t="s">
        <v>3122</v>
      </c>
      <c r="M187" t="s">
        <v>3118</v>
      </c>
      <c r="N187" t="s">
        <v>3082</v>
      </c>
      <c r="O187" t="s">
        <v>2743</v>
      </c>
      <c r="P187" s="103">
        <v>45615</v>
      </c>
      <c r="Q187" t="s">
        <v>2231</v>
      </c>
      <c r="R187" s="103">
        <v>45619</v>
      </c>
      <c r="S187" t="s">
        <v>2281</v>
      </c>
      <c r="U187" t="s">
        <v>2744</v>
      </c>
      <c r="W187" t="s">
        <v>3120</v>
      </c>
      <c r="X187" t="s">
        <v>2862</v>
      </c>
      <c r="Y187" t="s">
        <v>2088</v>
      </c>
      <c r="AD187">
        <v>1220</v>
      </c>
    </row>
    <row r="188" spans="1:30" hidden="1">
      <c r="A188">
        <v>199017</v>
      </c>
      <c r="B188">
        <v>20</v>
      </c>
      <c r="C188" t="s">
        <v>3036</v>
      </c>
      <c r="E188" s="103">
        <v>45628</v>
      </c>
      <c r="F188">
        <v>1</v>
      </c>
      <c r="G188" s="1210">
        <v>45565</v>
      </c>
      <c r="I188" t="s">
        <v>2586</v>
      </c>
      <c r="J188" t="s">
        <v>2012</v>
      </c>
      <c r="K188">
        <v>4500008242</v>
      </c>
      <c r="L188" t="s">
        <v>3123</v>
      </c>
      <c r="M188" t="s">
        <v>3081</v>
      </c>
      <c r="N188" t="s">
        <v>3082</v>
      </c>
      <c r="O188" t="s">
        <v>2743</v>
      </c>
      <c r="P188" s="103">
        <v>45615</v>
      </c>
      <c r="Q188" t="s">
        <v>2231</v>
      </c>
      <c r="R188" s="103">
        <v>45619</v>
      </c>
      <c r="S188" t="s">
        <v>2281</v>
      </c>
      <c r="U188" t="s">
        <v>2744</v>
      </c>
      <c r="W188" t="s">
        <v>3120</v>
      </c>
      <c r="X188" t="s">
        <v>2862</v>
      </c>
      <c r="Y188" t="s">
        <v>2088</v>
      </c>
      <c r="AD188">
        <v>160</v>
      </c>
    </row>
    <row r="189" spans="1:30" hidden="1">
      <c r="A189">
        <v>199019</v>
      </c>
      <c r="B189">
        <v>50</v>
      </c>
      <c r="C189" t="s">
        <v>3023</v>
      </c>
      <c r="E189" s="103">
        <v>45628</v>
      </c>
      <c r="F189">
        <v>1</v>
      </c>
      <c r="G189" s="1210">
        <v>45565</v>
      </c>
      <c r="I189" t="s">
        <v>2869</v>
      </c>
      <c r="J189" t="s">
        <v>2012</v>
      </c>
      <c r="K189">
        <v>4500008243</v>
      </c>
      <c r="L189" t="s">
        <v>3124</v>
      </c>
      <c r="M189" t="s">
        <v>3081</v>
      </c>
      <c r="N189" t="s">
        <v>3082</v>
      </c>
      <c r="O189" t="s">
        <v>2743</v>
      </c>
      <c r="P189" s="103">
        <v>45615</v>
      </c>
      <c r="Q189" t="s">
        <v>2231</v>
      </c>
      <c r="R189" s="103">
        <v>45619</v>
      </c>
      <c r="S189" t="s">
        <v>2281</v>
      </c>
      <c r="U189" t="s">
        <v>2744</v>
      </c>
      <c r="W189" t="s">
        <v>3120</v>
      </c>
      <c r="X189" t="s">
        <v>2862</v>
      </c>
      <c r="Y189" t="s">
        <v>2088</v>
      </c>
      <c r="AD189">
        <v>430</v>
      </c>
    </row>
    <row r="190" spans="1:30" hidden="1">
      <c r="A190">
        <v>180234</v>
      </c>
      <c r="B190">
        <v>10</v>
      </c>
      <c r="C190" t="s">
        <v>2874</v>
      </c>
      <c r="E190" s="103">
        <v>45629</v>
      </c>
      <c r="F190">
        <v>1</v>
      </c>
      <c r="G190" s="1210">
        <v>45541</v>
      </c>
      <c r="I190" t="s">
        <v>583</v>
      </c>
      <c r="J190" t="s">
        <v>2070</v>
      </c>
      <c r="K190">
        <v>4500007294</v>
      </c>
      <c r="L190" t="s">
        <v>2875</v>
      </c>
      <c r="M190" t="s">
        <v>3118</v>
      </c>
      <c r="N190" t="s">
        <v>3079</v>
      </c>
      <c r="O190" t="s">
        <v>2026</v>
      </c>
      <c r="P190" s="103">
        <v>45619</v>
      </c>
      <c r="Q190" t="s">
        <v>2231</v>
      </c>
      <c r="R190" s="103">
        <v>45623</v>
      </c>
      <c r="S190" t="s">
        <v>2281</v>
      </c>
      <c r="U190" t="s">
        <v>2744</v>
      </c>
      <c r="X190" t="s">
        <v>490</v>
      </c>
      <c r="Y190" t="s">
        <v>2088</v>
      </c>
      <c r="AD190">
        <v>1110</v>
      </c>
    </row>
    <row r="191" spans="1:30" hidden="1">
      <c r="A191">
        <v>180234</v>
      </c>
      <c r="B191">
        <v>988</v>
      </c>
      <c r="C191" t="s">
        <v>3125</v>
      </c>
      <c r="E191" s="103">
        <v>45629</v>
      </c>
      <c r="F191">
        <v>1</v>
      </c>
      <c r="G191" s="1210">
        <v>45541</v>
      </c>
      <c r="I191" t="s">
        <v>583</v>
      </c>
      <c r="J191" t="s">
        <v>2070</v>
      </c>
      <c r="K191">
        <v>4500008011</v>
      </c>
      <c r="L191" t="s">
        <v>3126</v>
      </c>
      <c r="M191" t="s">
        <v>3118</v>
      </c>
      <c r="N191" t="s">
        <v>3079</v>
      </c>
      <c r="O191" t="s">
        <v>2026</v>
      </c>
      <c r="P191" s="103">
        <v>45619</v>
      </c>
      <c r="Q191" t="s">
        <v>2231</v>
      </c>
      <c r="R191" s="103">
        <v>45623</v>
      </c>
      <c r="S191" t="s">
        <v>2281</v>
      </c>
      <c r="U191" t="s">
        <v>2744</v>
      </c>
      <c r="X191" t="s">
        <v>490</v>
      </c>
      <c r="Y191" t="s">
        <v>2088</v>
      </c>
      <c r="AD191">
        <v>2098</v>
      </c>
    </row>
    <row r="192" spans="1:30" hidden="1">
      <c r="A192">
        <v>180235</v>
      </c>
      <c r="B192">
        <v>1250</v>
      </c>
      <c r="C192" t="s">
        <v>3127</v>
      </c>
      <c r="E192" s="103">
        <v>45629</v>
      </c>
      <c r="F192">
        <v>1</v>
      </c>
      <c r="G192" s="1210">
        <v>45541</v>
      </c>
      <c r="I192" t="s">
        <v>646</v>
      </c>
      <c r="J192" t="s">
        <v>2070</v>
      </c>
      <c r="K192">
        <v>4500008012</v>
      </c>
      <c r="L192" t="s">
        <v>3128</v>
      </c>
      <c r="M192" t="s">
        <v>3118</v>
      </c>
      <c r="N192" t="s">
        <v>3079</v>
      </c>
      <c r="O192" t="s">
        <v>2026</v>
      </c>
      <c r="P192" s="103">
        <v>45619</v>
      </c>
      <c r="Q192" t="s">
        <v>2231</v>
      </c>
      <c r="R192" s="103">
        <v>45623</v>
      </c>
      <c r="S192" t="s">
        <v>2281</v>
      </c>
      <c r="U192" t="s">
        <v>2744</v>
      </c>
      <c r="X192" t="s">
        <v>490</v>
      </c>
      <c r="Y192" t="s">
        <v>2088</v>
      </c>
      <c r="AD192">
        <v>2070</v>
      </c>
    </row>
    <row r="193" spans="1:30" hidden="1">
      <c r="A193">
        <v>206310</v>
      </c>
      <c r="B193">
        <v>6</v>
      </c>
      <c r="C193" t="s">
        <v>3017</v>
      </c>
      <c r="E193" s="103">
        <v>45631</v>
      </c>
      <c r="F193">
        <v>1</v>
      </c>
      <c r="G193" s="1210">
        <v>45548</v>
      </c>
      <c r="I193" t="s">
        <v>693</v>
      </c>
      <c r="J193" t="s">
        <v>2082</v>
      </c>
      <c r="K193">
        <v>4500008093</v>
      </c>
      <c r="L193" t="s">
        <v>3129</v>
      </c>
      <c r="N193" t="s">
        <v>3130</v>
      </c>
      <c r="O193" t="s">
        <v>2094</v>
      </c>
      <c r="Q193" t="s">
        <v>2231</v>
      </c>
      <c r="S193" t="s">
        <v>2814</v>
      </c>
      <c r="U193" t="s">
        <v>2744</v>
      </c>
      <c r="V193" t="s">
        <v>2815</v>
      </c>
      <c r="X193" t="s">
        <v>3000</v>
      </c>
      <c r="Y193" t="s">
        <v>2088</v>
      </c>
      <c r="AD193">
        <v>6</v>
      </c>
    </row>
    <row r="194" spans="1:30" hidden="1">
      <c r="A194">
        <v>203724</v>
      </c>
      <c r="B194">
        <v>6</v>
      </c>
      <c r="C194" t="s">
        <v>3131</v>
      </c>
      <c r="E194" s="103">
        <v>45632</v>
      </c>
      <c r="F194">
        <v>1</v>
      </c>
      <c r="G194" s="1210">
        <v>45530</v>
      </c>
      <c r="I194" t="s">
        <v>985</v>
      </c>
      <c r="J194" t="s">
        <v>1833</v>
      </c>
      <c r="K194">
        <v>4500007889</v>
      </c>
      <c r="L194" t="s">
        <v>3132</v>
      </c>
      <c r="M194" t="s">
        <v>3133</v>
      </c>
      <c r="N194" t="s">
        <v>3134</v>
      </c>
      <c r="O194" t="s">
        <v>2094</v>
      </c>
      <c r="Q194" t="s">
        <v>2231</v>
      </c>
      <c r="S194" t="s">
        <v>2814</v>
      </c>
      <c r="U194" t="s">
        <v>2744</v>
      </c>
      <c r="V194" t="s">
        <v>2815</v>
      </c>
      <c r="X194" t="s">
        <v>3135</v>
      </c>
      <c r="Y194" t="s">
        <v>2088</v>
      </c>
      <c r="AD194">
        <v>6</v>
      </c>
    </row>
    <row r="195" spans="1:30" hidden="1">
      <c r="A195">
        <v>203726</v>
      </c>
      <c r="B195">
        <v>6</v>
      </c>
      <c r="C195" t="s">
        <v>3136</v>
      </c>
      <c r="E195" s="103">
        <v>45632</v>
      </c>
      <c r="F195">
        <v>1</v>
      </c>
      <c r="G195" s="1210">
        <v>45530</v>
      </c>
      <c r="I195" t="s">
        <v>988</v>
      </c>
      <c r="J195" t="s">
        <v>1833</v>
      </c>
      <c r="K195">
        <v>4500007891</v>
      </c>
      <c r="L195" t="s">
        <v>3137</v>
      </c>
      <c r="M195" t="s">
        <v>3133</v>
      </c>
      <c r="N195" t="s">
        <v>3134</v>
      </c>
      <c r="O195" t="s">
        <v>2094</v>
      </c>
      <c r="Q195" t="s">
        <v>2231</v>
      </c>
      <c r="S195" t="s">
        <v>2814</v>
      </c>
      <c r="U195" t="s">
        <v>2744</v>
      </c>
      <c r="V195" t="s">
        <v>2815</v>
      </c>
      <c r="X195" t="s">
        <v>3135</v>
      </c>
      <c r="Y195" t="s">
        <v>2088</v>
      </c>
      <c r="AD195">
        <v>6</v>
      </c>
    </row>
    <row r="196" spans="1:30" hidden="1">
      <c r="A196">
        <v>199324</v>
      </c>
      <c r="B196">
        <v>100</v>
      </c>
      <c r="C196" t="s">
        <v>2258</v>
      </c>
      <c r="E196" s="103">
        <v>45636</v>
      </c>
      <c r="F196">
        <v>1</v>
      </c>
      <c r="G196" s="1210">
        <v>45481</v>
      </c>
      <c r="I196" t="s">
        <v>714</v>
      </c>
      <c r="J196" t="s">
        <v>2082</v>
      </c>
      <c r="K196">
        <v>4500007517</v>
      </c>
      <c r="L196" t="s">
        <v>3043</v>
      </c>
      <c r="M196" t="s">
        <v>3138</v>
      </c>
      <c r="N196" t="s">
        <v>3113</v>
      </c>
      <c r="O196" t="s">
        <v>2026</v>
      </c>
      <c r="P196" s="103">
        <v>45622</v>
      </c>
      <c r="Q196" t="s">
        <v>2231</v>
      </c>
      <c r="R196" s="103">
        <v>45626</v>
      </c>
      <c r="S196" t="s">
        <v>2281</v>
      </c>
      <c r="U196" t="s">
        <v>2744</v>
      </c>
      <c r="W196" t="s">
        <v>3139</v>
      </c>
      <c r="X196" t="s">
        <v>3005</v>
      </c>
      <c r="Y196" t="s">
        <v>2088</v>
      </c>
      <c r="AD196">
        <v>720</v>
      </c>
    </row>
    <row r="197" spans="1:30" hidden="1">
      <c r="A197">
        <v>199326</v>
      </c>
      <c r="B197">
        <v>300</v>
      </c>
      <c r="C197" t="s">
        <v>3044</v>
      </c>
      <c r="E197" s="103">
        <v>45636</v>
      </c>
      <c r="F197">
        <v>1</v>
      </c>
      <c r="G197" s="1210">
        <v>45481</v>
      </c>
      <c r="I197" t="s">
        <v>769</v>
      </c>
      <c r="J197" t="s">
        <v>2082</v>
      </c>
      <c r="K197">
        <v>4500007520</v>
      </c>
      <c r="L197" t="s">
        <v>3045</v>
      </c>
      <c r="M197" t="s">
        <v>3115</v>
      </c>
      <c r="N197" t="s">
        <v>3113</v>
      </c>
      <c r="O197" t="s">
        <v>2026</v>
      </c>
      <c r="P197" s="103">
        <v>45622</v>
      </c>
      <c r="Q197" t="s">
        <v>2231</v>
      </c>
      <c r="R197" s="103">
        <v>45626</v>
      </c>
      <c r="S197" t="s">
        <v>2281</v>
      </c>
      <c r="U197" t="s">
        <v>2744</v>
      </c>
      <c r="W197" t="s">
        <v>3139</v>
      </c>
      <c r="X197" t="s">
        <v>3005</v>
      </c>
      <c r="Y197" t="s">
        <v>2088</v>
      </c>
      <c r="AD197">
        <v>1280</v>
      </c>
    </row>
    <row r="198" spans="1:30" hidden="1">
      <c r="A198">
        <v>205923</v>
      </c>
      <c r="B198">
        <v>1293</v>
      </c>
      <c r="C198" t="s">
        <v>2997</v>
      </c>
      <c r="E198" s="103">
        <v>45636</v>
      </c>
      <c r="F198">
        <v>1</v>
      </c>
      <c r="G198" s="1210">
        <v>45534</v>
      </c>
      <c r="I198" t="s">
        <v>748</v>
      </c>
      <c r="J198" t="s">
        <v>2082</v>
      </c>
      <c r="K198">
        <v>4500007933</v>
      </c>
      <c r="L198" t="s">
        <v>3140</v>
      </c>
      <c r="M198" t="s">
        <v>3141</v>
      </c>
      <c r="N198" t="s">
        <v>3113</v>
      </c>
      <c r="O198" t="s">
        <v>2026</v>
      </c>
      <c r="P198" s="103">
        <v>45629</v>
      </c>
      <c r="Q198" t="s">
        <v>2231</v>
      </c>
      <c r="R198" s="103">
        <v>45632</v>
      </c>
      <c r="S198" t="s">
        <v>2281</v>
      </c>
      <c r="U198" t="s">
        <v>2744</v>
      </c>
      <c r="V198" t="s">
        <v>2933</v>
      </c>
      <c r="W198" t="s">
        <v>3142</v>
      </c>
      <c r="X198" t="s">
        <v>3000</v>
      </c>
      <c r="Y198" t="s">
        <v>2088</v>
      </c>
      <c r="AD198">
        <v>1299</v>
      </c>
    </row>
    <row r="199" spans="1:30" hidden="1">
      <c r="A199">
        <v>205917</v>
      </c>
      <c r="B199">
        <v>102</v>
      </c>
      <c r="C199" t="s">
        <v>3029</v>
      </c>
      <c r="E199" s="103">
        <v>45636</v>
      </c>
      <c r="F199">
        <v>1</v>
      </c>
      <c r="G199" s="1210">
        <v>45539</v>
      </c>
      <c r="I199" t="s">
        <v>630</v>
      </c>
      <c r="J199" t="s">
        <v>2082</v>
      </c>
      <c r="K199">
        <v>4500007924</v>
      </c>
      <c r="L199" t="s">
        <v>3143</v>
      </c>
      <c r="M199" t="s">
        <v>3112</v>
      </c>
      <c r="N199" t="s">
        <v>3113</v>
      </c>
      <c r="O199" t="s">
        <v>2026</v>
      </c>
      <c r="P199" s="103">
        <v>45629</v>
      </c>
      <c r="Q199" t="s">
        <v>2231</v>
      </c>
      <c r="R199" s="103">
        <v>45632</v>
      </c>
      <c r="S199" t="s">
        <v>2281</v>
      </c>
      <c r="U199" t="s">
        <v>2744</v>
      </c>
      <c r="V199" t="s">
        <v>2933</v>
      </c>
      <c r="X199" t="s">
        <v>3000</v>
      </c>
      <c r="Y199" t="s">
        <v>2088</v>
      </c>
      <c r="AD199">
        <v>108</v>
      </c>
    </row>
    <row r="200" spans="1:30" hidden="1">
      <c r="A200">
        <v>205919</v>
      </c>
      <c r="B200">
        <v>292</v>
      </c>
      <c r="C200" t="s">
        <v>3033</v>
      </c>
      <c r="E200" s="103">
        <v>45636</v>
      </c>
      <c r="F200">
        <v>1</v>
      </c>
      <c r="G200" s="1210">
        <v>45539</v>
      </c>
      <c r="I200" t="s">
        <v>779</v>
      </c>
      <c r="J200" t="s">
        <v>2082</v>
      </c>
      <c r="K200">
        <v>4500007928</v>
      </c>
      <c r="L200" t="s">
        <v>3144</v>
      </c>
      <c r="M200" t="s">
        <v>3115</v>
      </c>
      <c r="N200" t="s">
        <v>3113</v>
      </c>
      <c r="O200" t="s">
        <v>2026</v>
      </c>
      <c r="P200" s="103">
        <v>45629</v>
      </c>
      <c r="Q200" t="s">
        <v>2231</v>
      </c>
      <c r="R200" s="103">
        <v>45632</v>
      </c>
      <c r="S200" t="s">
        <v>2281</v>
      </c>
      <c r="U200" t="s">
        <v>2744</v>
      </c>
      <c r="V200" t="s">
        <v>2933</v>
      </c>
      <c r="X200" t="s">
        <v>3000</v>
      </c>
      <c r="Y200" t="s">
        <v>2088</v>
      </c>
      <c r="AD200">
        <v>298</v>
      </c>
    </row>
    <row r="201" spans="1:30" hidden="1">
      <c r="A201">
        <v>209065</v>
      </c>
      <c r="B201">
        <v>150</v>
      </c>
      <c r="C201" t="s">
        <v>3145</v>
      </c>
      <c r="E201" s="103">
        <v>45636</v>
      </c>
      <c r="F201">
        <v>1</v>
      </c>
      <c r="G201" s="1210">
        <v>45555</v>
      </c>
      <c r="I201" t="s">
        <v>992</v>
      </c>
      <c r="J201" t="s">
        <v>2082</v>
      </c>
      <c r="K201">
        <v>4500008097</v>
      </c>
      <c r="L201" t="s">
        <v>3146</v>
      </c>
      <c r="M201" t="s">
        <v>3115</v>
      </c>
      <c r="N201" t="s">
        <v>3113</v>
      </c>
      <c r="O201" t="s">
        <v>2743</v>
      </c>
      <c r="P201" s="103">
        <v>45622</v>
      </c>
      <c r="Q201" t="s">
        <v>2231</v>
      </c>
      <c r="R201" s="103">
        <v>45626</v>
      </c>
      <c r="S201" t="s">
        <v>2281</v>
      </c>
      <c r="U201" t="s">
        <v>2744</v>
      </c>
      <c r="V201" t="s">
        <v>2799</v>
      </c>
      <c r="W201" t="s">
        <v>3147</v>
      </c>
      <c r="X201" t="s">
        <v>3000</v>
      </c>
      <c r="Y201" t="s">
        <v>2088</v>
      </c>
      <c r="AD201">
        <v>390</v>
      </c>
    </row>
    <row r="202" spans="1:30" hidden="1">
      <c r="A202">
        <v>209064</v>
      </c>
      <c r="B202">
        <v>300</v>
      </c>
      <c r="C202" t="s">
        <v>3148</v>
      </c>
      <c r="E202" s="103">
        <v>45636</v>
      </c>
      <c r="F202">
        <v>1</v>
      </c>
      <c r="G202" s="1210">
        <v>45548</v>
      </c>
      <c r="I202" t="s">
        <v>1854</v>
      </c>
      <c r="J202" t="s">
        <v>2082</v>
      </c>
      <c r="K202">
        <v>4500008100</v>
      </c>
      <c r="L202" t="s">
        <v>3149</v>
      </c>
      <c r="M202" t="s">
        <v>3112</v>
      </c>
      <c r="N202" t="s">
        <v>3113</v>
      </c>
      <c r="O202" t="s">
        <v>2743</v>
      </c>
      <c r="P202" s="103">
        <v>45622</v>
      </c>
      <c r="Q202" t="s">
        <v>2231</v>
      </c>
      <c r="R202" s="103">
        <v>45626</v>
      </c>
      <c r="S202" t="s">
        <v>2281</v>
      </c>
      <c r="U202" t="s">
        <v>2744</v>
      </c>
      <c r="V202" t="s">
        <v>2799</v>
      </c>
      <c r="W202" t="s">
        <v>3150</v>
      </c>
      <c r="X202" t="s">
        <v>3000</v>
      </c>
      <c r="Y202" t="s">
        <v>2088</v>
      </c>
      <c r="AD202">
        <v>740</v>
      </c>
    </row>
    <row r="203" spans="1:30" hidden="1">
      <c r="A203">
        <v>199025</v>
      </c>
      <c r="B203">
        <v>300</v>
      </c>
      <c r="C203" t="s">
        <v>2854</v>
      </c>
      <c r="E203" s="103">
        <v>45638</v>
      </c>
      <c r="F203">
        <v>1</v>
      </c>
      <c r="G203" s="1210">
        <v>45545</v>
      </c>
      <c r="I203" t="s">
        <v>344</v>
      </c>
      <c r="J203" t="s">
        <v>2012</v>
      </c>
      <c r="K203">
        <v>4500008017</v>
      </c>
      <c r="L203" t="s">
        <v>3151</v>
      </c>
      <c r="M203" t="s">
        <v>3118</v>
      </c>
      <c r="N203" t="s">
        <v>3113</v>
      </c>
      <c r="O203" t="s">
        <v>2743</v>
      </c>
      <c r="P203" s="103">
        <v>45628</v>
      </c>
      <c r="Q203" t="s">
        <v>2231</v>
      </c>
      <c r="R203" s="103">
        <v>45633</v>
      </c>
      <c r="S203" t="s">
        <v>2281</v>
      </c>
      <c r="U203" t="s">
        <v>2744</v>
      </c>
      <c r="X203" t="s">
        <v>2862</v>
      </c>
      <c r="Y203" t="s">
        <v>2088</v>
      </c>
      <c r="AD203">
        <v>460</v>
      </c>
    </row>
    <row r="204" spans="1:30" hidden="1">
      <c r="A204">
        <v>201900</v>
      </c>
      <c r="B204">
        <v>600</v>
      </c>
      <c r="C204" t="s">
        <v>3105</v>
      </c>
      <c r="E204" s="103">
        <v>45638</v>
      </c>
      <c r="F204">
        <v>1</v>
      </c>
      <c r="G204" s="1210">
        <v>45559</v>
      </c>
      <c r="I204" t="s">
        <v>327</v>
      </c>
      <c r="J204" t="s">
        <v>2012</v>
      </c>
      <c r="K204">
        <v>4500008164</v>
      </c>
      <c r="L204" t="s">
        <v>3152</v>
      </c>
      <c r="M204" t="s">
        <v>3153</v>
      </c>
      <c r="N204" t="s">
        <v>3113</v>
      </c>
      <c r="O204" t="s">
        <v>2743</v>
      </c>
      <c r="P204" s="103">
        <v>45628</v>
      </c>
      <c r="Q204" t="s">
        <v>2231</v>
      </c>
      <c r="R204" s="103">
        <v>45633</v>
      </c>
      <c r="S204" t="s">
        <v>2281</v>
      </c>
      <c r="U204" t="s">
        <v>2744</v>
      </c>
      <c r="X204" t="s">
        <v>2862</v>
      </c>
      <c r="Y204" t="s">
        <v>2088</v>
      </c>
      <c r="AD204">
        <v>2318</v>
      </c>
    </row>
    <row r="205" spans="1:30" hidden="1">
      <c r="A205">
        <v>201898</v>
      </c>
      <c r="B205">
        <v>350</v>
      </c>
      <c r="C205" t="s">
        <v>3102</v>
      </c>
      <c r="E205" s="103">
        <v>45638</v>
      </c>
      <c r="F205">
        <v>1</v>
      </c>
      <c r="G205" s="1210">
        <v>45565</v>
      </c>
      <c r="I205" t="s">
        <v>317</v>
      </c>
      <c r="J205" t="s">
        <v>2012</v>
      </c>
      <c r="K205">
        <v>4500008244</v>
      </c>
      <c r="L205" t="s">
        <v>3154</v>
      </c>
      <c r="M205" t="s">
        <v>3118</v>
      </c>
      <c r="N205" t="s">
        <v>3113</v>
      </c>
      <c r="O205" t="s">
        <v>2743</v>
      </c>
      <c r="P205" s="103">
        <v>45628</v>
      </c>
      <c r="Q205" t="s">
        <v>2231</v>
      </c>
      <c r="R205" s="103">
        <v>45633</v>
      </c>
      <c r="S205" t="s">
        <v>2281</v>
      </c>
      <c r="U205" t="s">
        <v>2744</v>
      </c>
      <c r="X205" t="s">
        <v>2862</v>
      </c>
      <c r="Y205" t="s">
        <v>2088</v>
      </c>
      <c r="AD205">
        <v>2208</v>
      </c>
    </row>
    <row r="206" spans="1:30" hidden="1">
      <c r="A206">
        <v>201900</v>
      </c>
      <c r="B206">
        <v>480</v>
      </c>
      <c r="C206" t="s">
        <v>3105</v>
      </c>
      <c r="E206" s="103">
        <v>45638</v>
      </c>
      <c r="F206">
        <v>1</v>
      </c>
      <c r="G206" s="1210">
        <v>45565</v>
      </c>
      <c r="I206" t="s">
        <v>327</v>
      </c>
      <c r="J206" t="s">
        <v>2012</v>
      </c>
      <c r="K206">
        <v>4500008245</v>
      </c>
      <c r="L206" t="s">
        <v>3155</v>
      </c>
      <c r="M206" t="s">
        <v>3153</v>
      </c>
      <c r="N206" t="s">
        <v>3113</v>
      </c>
      <c r="O206" t="s">
        <v>2743</v>
      </c>
      <c r="P206" s="103">
        <v>45628</v>
      </c>
      <c r="Q206" t="s">
        <v>2231</v>
      </c>
      <c r="R206" s="103">
        <v>45633</v>
      </c>
      <c r="S206" t="s">
        <v>2281</v>
      </c>
      <c r="U206" t="s">
        <v>2744</v>
      </c>
      <c r="X206" t="s">
        <v>2862</v>
      </c>
      <c r="Y206" t="s">
        <v>2088</v>
      </c>
      <c r="AD206">
        <v>2798</v>
      </c>
    </row>
    <row r="207" spans="1:30" hidden="1">
      <c r="A207">
        <v>199019</v>
      </c>
      <c r="B207">
        <v>260</v>
      </c>
      <c r="C207" t="s">
        <v>3023</v>
      </c>
      <c r="E207" s="103">
        <v>45638</v>
      </c>
      <c r="F207">
        <v>1</v>
      </c>
      <c r="G207" s="1210">
        <v>45573</v>
      </c>
      <c r="I207" t="s">
        <v>2869</v>
      </c>
      <c r="J207" t="s">
        <v>2012</v>
      </c>
      <c r="K207">
        <v>4500008289</v>
      </c>
      <c r="L207" t="s">
        <v>3156</v>
      </c>
      <c r="M207" t="s">
        <v>3141</v>
      </c>
      <c r="N207" t="s">
        <v>3113</v>
      </c>
      <c r="O207" t="s">
        <v>2743</v>
      </c>
      <c r="P207" s="103">
        <v>45628</v>
      </c>
      <c r="Q207" t="s">
        <v>2231</v>
      </c>
      <c r="R207" s="103">
        <v>45633</v>
      </c>
      <c r="S207" t="s">
        <v>2281</v>
      </c>
      <c r="U207" t="s">
        <v>2744</v>
      </c>
      <c r="W207" t="s">
        <v>3157</v>
      </c>
      <c r="X207" t="s">
        <v>2862</v>
      </c>
      <c r="Y207" t="s">
        <v>2088</v>
      </c>
      <c r="AD207">
        <v>690</v>
      </c>
    </row>
    <row r="208" spans="1:30" hidden="1">
      <c r="A208">
        <v>199019</v>
      </c>
      <c r="B208">
        <v>110</v>
      </c>
      <c r="C208" t="s">
        <v>3023</v>
      </c>
      <c r="E208" s="103">
        <v>45638</v>
      </c>
      <c r="F208">
        <v>1</v>
      </c>
      <c r="G208" s="1210">
        <v>45573</v>
      </c>
      <c r="I208" t="s">
        <v>2869</v>
      </c>
      <c r="J208" t="s">
        <v>2012</v>
      </c>
      <c r="K208">
        <v>4500008290</v>
      </c>
      <c r="L208" t="s">
        <v>3158</v>
      </c>
      <c r="M208" t="s">
        <v>3141</v>
      </c>
      <c r="N208" t="s">
        <v>3113</v>
      </c>
      <c r="O208" t="s">
        <v>2743</v>
      </c>
      <c r="P208" s="103">
        <v>45628</v>
      </c>
      <c r="Q208" t="s">
        <v>2231</v>
      </c>
      <c r="R208" s="103">
        <v>45633</v>
      </c>
      <c r="S208" t="s">
        <v>2281</v>
      </c>
      <c r="U208" t="s">
        <v>2744</v>
      </c>
      <c r="W208" t="s">
        <v>3157</v>
      </c>
      <c r="X208" t="s">
        <v>2862</v>
      </c>
      <c r="Y208" t="s">
        <v>2088</v>
      </c>
      <c r="AD208">
        <v>800</v>
      </c>
    </row>
    <row r="209" spans="1:30" hidden="1">
      <c r="A209">
        <v>199021</v>
      </c>
      <c r="B209">
        <v>150</v>
      </c>
      <c r="C209" t="s">
        <v>3053</v>
      </c>
      <c r="E209" s="103">
        <v>45638</v>
      </c>
      <c r="F209">
        <v>1</v>
      </c>
      <c r="G209" s="1210">
        <v>45573</v>
      </c>
      <c r="I209" t="s">
        <v>456</v>
      </c>
      <c r="J209" t="s">
        <v>2012</v>
      </c>
      <c r="K209">
        <v>4500008295</v>
      </c>
      <c r="L209" t="s">
        <v>3159</v>
      </c>
      <c r="M209" t="s">
        <v>3141</v>
      </c>
      <c r="N209" t="s">
        <v>3113</v>
      </c>
      <c r="O209" t="s">
        <v>2743</v>
      </c>
      <c r="P209" s="103">
        <v>45628</v>
      </c>
      <c r="Q209" t="s">
        <v>2231</v>
      </c>
      <c r="R209" s="103">
        <v>45633</v>
      </c>
      <c r="S209" t="s">
        <v>2281</v>
      </c>
      <c r="U209" t="s">
        <v>2744</v>
      </c>
      <c r="X209" t="s">
        <v>3160</v>
      </c>
      <c r="Y209" t="s">
        <v>2088</v>
      </c>
      <c r="AD209">
        <v>2070</v>
      </c>
    </row>
    <row r="210" spans="1:30" hidden="1">
      <c r="A210">
        <v>199023</v>
      </c>
      <c r="B210">
        <v>230</v>
      </c>
      <c r="C210" t="s">
        <v>3062</v>
      </c>
      <c r="E210" s="103">
        <v>45638</v>
      </c>
      <c r="F210">
        <v>1</v>
      </c>
      <c r="G210" s="1210">
        <v>45573</v>
      </c>
      <c r="I210" t="s">
        <v>465</v>
      </c>
      <c r="J210" t="s">
        <v>2012</v>
      </c>
      <c r="K210">
        <v>4500008298</v>
      </c>
      <c r="L210" t="s">
        <v>3161</v>
      </c>
      <c r="M210" t="s">
        <v>3112</v>
      </c>
      <c r="N210" t="s">
        <v>3162</v>
      </c>
      <c r="O210" t="s">
        <v>2743</v>
      </c>
      <c r="P210" s="103">
        <v>45627</v>
      </c>
      <c r="Q210" t="s">
        <v>2231</v>
      </c>
      <c r="R210" s="103">
        <v>45632</v>
      </c>
      <c r="S210" t="s">
        <v>2281</v>
      </c>
      <c r="U210" t="s">
        <v>2744</v>
      </c>
      <c r="X210" t="s">
        <v>3160</v>
      </c>
      <c r="Y210" t="s">
        <v>2088</v>
      </c>
      <c r="AD210">
        <v>1380</v>
      </c>
    </row>
    <row r="211" spans="1:30" hidden="1">
      <c r="A211">
        <v>199023</v>
      </c>
      <c r="B211">
        <v>250</v>
      </c>
      <c r="C211" t="s">
        <v>3062</v>
      </c>
      <c r="E211" s="103">
        <v>45638</v>
      </c>
      <c r="F211">
        <v>1</v>
      </c>
      <c r="G211" s="1210">
        <v>45573</v>
      </c>
      <c r="I211" t="s">
        <v>465</v>
      </c>
      <c r="J211" t="s">
        <v>2012</v>
      </c>
      <c r="K211">
        <v>4500008299</v>
      </c>
      <c r="L211" t="s">
        <v>3163</v>
      </c>
      <c r="M211" t="s">
        <v>3112</v>
      </c>
      <c r="N211" t="s">
        <v>3113</v>
      </c>
      <c r="O211" t="s">
        <v>2743</v>
      </c>
      <c r="P211" s="103">
        <v>45628</v>
      </c>
      <c r="Q211" t="s">
        <v>2231</v>
      </c>
      <c r="R211" s="103">
        <v>45633</v>
      </c>
      <c r="S211" t="s">
        <v>2281</v>
      </c>
      <c r="U211" t="s">
        <v>2744</v>
      </c>
      <c r="X211" t="s">
        <v>3160</v>
      </c>
      <c r="Y211" t="s">
        <v>2088</v>
      </c>
      <c r="AD211">
        <v>1630</v>
      </c>
    </row>
    <row r="212" spans="1:30" hidden="1">
      <c r="A212">
        <v>207873</v>
      </c>
      <c r="B212">
        <v>2</v>
      </c>
      <c r="C212" t="s">
        <v>3164</v>
      </c>
      <c r="E212" s="103">
        <v>45638</v>
      </c>
      <c r="F212">
        <v>3</v>
      </c>
      <c r="G212" s="1210">
        <v>45603</v>
      </c>
      <c r="I212" t="s">
        <v>3165</v>
      </c>
      <c r="J212" t="s">
        <v>2074</v>
      </c>
      <c r="K212">
        <v>4500008677</v>
      </c>
      <c r="L212" t="s">
        <v>3166</v>
      </c>
      <c r="N212" t="s">
        <v>3167</v>
      </c>
      <c r="O212" t="s">
        <v>2094</v>
      </c>
      <c r="Q212" t="s">
        <v>3051</v>
      </c>
      <c r="S212" t="s">
        <v>2806</v>
      </c>
      <c r="U212" t="s">
        <v>2744</v>
      </c>
      <c r="X212" t="s">
        <v>3168</v>
      </c>
      <c r="Y212" t="s">
        <v>2088</v>
      </c>
      <c r="AD212">
        <v>0</v>
      </c>
    </row>
    <row r="213" spans="1:30" hidden="1">
      <c r="A213">
        <v>207874</v>
      </c>
      <c r="B213">
        <v>2</v>
      </c>
      <c r="C213" t="s">
        <v>3169</v>
      </c>
      <c r="E213" s="103">
        <v>45638</v>
      </c>
      <c r="F213">
        <v>3</v>
      </c>
      <c r="G213" s="1210">
        <v>45603</v>
      </c>
      <c r="I213" t="s">
        <v>3170</v>
      </c>
      <c r="J213" t="s">
        <v>2074</v>
      </c>
      <c r="K213">
        <v>4500008682</v>
      </c>
      <c r="L213" t="s">
        <v>3171</v>
      </c>
      <c r="N213" t="s">
        <v>3167</v>
      </c>
      <c r="O213" t="s">
        <v>2094</v>
      </c>
      <c r="Q213" t="s">
        <v>3051</v>
      </c>
      <c r="S213" t="s">
        <v>2806</v>
      </c>
      <c r="U213" t="s">
        <v>2744</v>
      </c>
      <c r="X213" t="s">
        <v>3168</v>
      </c>
      <c r="Y213" t="s">
        <v>2088</v>
      </c>
      <c r="AD213">
        <v>0</v>
      </c>
    </row>
    <row r="214" spans="1:30" hidden="1">
      <c r="A214">
        <v>199026</v>
      </c>
      <c r="B214">
        <v>650</v>
      </c>
      <c r="C214" t="s">
        <v>3053</v>
      </c>
      <c r="E214" s="103">
        <v>45639</v>
      </c>
      <c r="F214">
        <v>1</v>
      </c>
      <c r="G214" s="1210">
        <v>45555</v>
      </c>
      <c r="I214" t="s">
        <v>1037</v>
      </c>
      <c r="J214" t="s">
        <v>2012</v>
      </c>
      <c r="K214">
        <v>4500008081</v>
      </c>
      <c r="L214" t="s">
        <v>3172</v>
      </c>
      <c r="M214" t="s">
        <v>3153</v>
      </c>
      <c r="N214" t="s">
        <v>3113</v>
      </c>
      <c r="O214" t="s">
        <v>2743</v>
      </c>
      <c r="P214" s="103">
        <v>45628</v>
      </c>
      <c r="Q214" t="s">
        <v>2231</v>
      </c>
      <c r="R214" s="103">
        <v>45633</v>
      </c>
      <c r="S214" t="s">
        <v>2281</v>
      </c>
      <c r="U214" t="s">
        <v>2744</v>
      </c>
      <c r="X214" t="s">
        <v>2862</v>
      </c>
      <c r="Y214" t="s">
        <v>2088</v>
      </c>
      <c r="AD214">
        <v>1360</v>
      </c>
    </row>
    <row r="215" spans="1:30" hidden="1">
      <c r="A215">
        <v>199024</v>
      </c>
      <c r="B215">
        <v>900</v>
      </c>
      <c r="C215" t="s">
        <v>3107</v>
      </c>
      <c r="E215" s="103">
        <v>45639</v>
      </c>
      <c r="F215">
        <v>1</v>
      </c>
      <c r="G215" s="1210">
        <v>45565</v>
      </c>
      <c r="I215" t="s">
        <v>338</v>
      </c>
      <c r="J215" t="s">
        <v>2012</v>
      </c>
      <c r="K215">
        <v>4500008246</v>
      </c>
      <c r="L215" t="s">
        <v>3173</v>
      </c>
      <c r="M215" t="s">
        <v>3118</v>
      </c>
      <c r="N215" t="s">
        <v>3113</v>
      </c>
      <c r="O215" t="s">
        <v>2743</v>
      </c>
      <c r="P215" s="103">
        <v>45628</v>
      </c>
      <c r="Q215" t="s">
        <v>2231</v>
      </c>
      <c r="R215" s="103">
        <v>45633</v>
      </c>
      <c r="S215" t="s">
        <v>2281</v>
      </c>
      <c r="U215" t="s">
        <v>2744</v>
      </c>
      <c r="X215" t="s">
        <v>2862</v>
      </c>
      <c r="Y215" t="s">
        <v>2088</v>
      </c>
      <c r="AD215">
        <v>5540</v>
      </c>
    </row>
    <row r="216" spans="1:30" hidden="1">
      <c r="A216">
        <v>199017</v>
      </c>
      <c r="B216">
        <v>30</v>
      </c>
      <c r="C216" t="s">
        <v>3036</v>
      </c>
      <c r="E216" s="103">
        <v>45642</v>
      </c>
      <c r="F216">
        <v>1</v>
      </c>
      <c r="G216" s="1210">
        <v>45573</v>
      </c>
      <c r="I216" t="s">
        <v>2586</v>
      </c>
      <c r="J216" t="s">
        <v>2012</v>
      </c>
      <c r="K216">
        <v>4500008288</v>
      </c>
      <c r="L216" t="s">
        <v>3037</v>
      </c>
      <c r="M216" t="s">
        <v>3141</v>
      </c>
      <c r="N216" t="s">
        <v>3174</v>
      </c>
      <c r="O216" t="s">
        <v>2026</v>
      </c>
      <c r="P216" s="103">
        <v>45632</v>
      </c>
      <c r="Q216" t="s">
        <v>2231</v>
      </c>
      <c r="R216" s="103">
        <v>45639</v>
      </c>
      <c r="S216" t="s">
        <v>2281</v>
      </c>
      <c r="U216" t="s">
        <v>2744</v>
      </c>
      <c r="X216" t="s">
        <v>2862</v>
      </c>
      <c r="Y216" t="s">
        <v>2088</v>
      </c>
      <c r="AD216">
        <v>190</v>
      </c>
    </row>
    <row r="217" spans="1:30" hidden="1">
      <c r="A217">
        <v>199019</v>
      </c>
      <c r="B217">
        <v>50</v>
      </c>
      <c r="C217" t="s">
        <v>3023</v>
      </c>
      <c r="E217" s="103">
        <v>45642</v>
      </c>
      <c r="F217">
        <v>1</v>
      </c>
      <c r="G217" s="1210">
        <v>45580</v>
      </c>
      <c r="I217" t="s">
        <v>2869</v>
      </c>
      <c r="J217" t="s">
        <v>2012</v>
      </c>
      <c r="K217">
        <v>4500008388</v>
      </c>
      <c r="L217" t="s">
        <v>3124</v>
      </c>
      <c r="M217" t="s">
        <v>3141</v>
      </c>
      <c r="N217" t="s">
        <v>3174</v>
      </c>
      <c r="O217" t="s">
        <v>2026</v>
      </c>
      <c r="P217" s="103">
        <v>45632</v>
      </c>
      <c r="Q217" t="s">
        <v>2231</v>
      </c>
      <c r="R217" s="103">
        <v>45639</v>
      </c>
      <c r="S217" t="s">
        <v>2281</v>
      </c>
      <c r="U217" t="s">
        <v>2744</v>
      </c>
      <c r="X217" t="s">
        <v>2862</v>
      </c>
      <c r="Y217" t="s">
        <v>2088</v>
      </c>
      <c r="AD217">
        <v>850</v>
      </c>
    </row>
    <row r="218" spans="1:30" hidden="1">
      <c r="A218">
        <v>199023</v>
      </c>
      <c r="B218">
        <v>100</v>
      </c>
      <c r="C218" t="s">
        <v>3062</v>
      </c>
      <c r="E218" s="103">
        <v>45642</v>
      </c>
      <c r="F218">
        <v>1</v>
      </c>
      <c r="G218" s="1210">
        <v>45580</v>
      </c>
      <c r="I218" t="s">
        <v>465</v>
      </c>
      <c r="J218" t="s">
        <v>2012</v>
      </c>
      <c r="K218">
        <v>4500008389</v>
      </c>
      <c r="L218" t="s">
        <v>3175</v>
      </c>
      <c r="M218" t="s">
        <v>3112</v>
      </c>
      <c r="N218" t="s">
        <v>3174</v>
      </c>
      <c r="O218" t="s">
        <v>2026</v>
      </c>
      <c r="P218" s="103">
        <v>45632</v>
      </c>
      <c r="Q218" t="s">
        <v>2231</v>
      </c>
      <c r="R218" s="103">
        <v>45639</v>
      </c>
      <c r="S218" t="s">
        <v>2281</v>
      </c>
      <c r="U218" t="s">
        <v>2744</v>
      </c>
      <c r="X218" t="s">
        <v>3160</v>
      </c>
      <c r="Y218" t="s">
        <v>2088</v>
      </c>
      <c r="AD218">
        <v>1730</v>
      </c>
    </row>
    <row r="219" spans="1:30" hidden="1">
      <c r="A219">
        <v>203724</v>
      </c>
      <c r="B219">
        <v>14</v>
      </c>
      <c r="C219" t="s">
        <v>3131</v>
      </c>
      <c r="E219" s="103">
        <v>45644</v>
      </c>
      <c r="F219">
        <v>1</v>
      </c>
      <c r="G219" s="1210">
        <v>45530</v>
      </c>
      <c r="I219" t="s">
        <v>985</v>
      </c>
      <c r="J219" t="s">
        <v>1833</v>
      </c>
      <c r="K219">
        <v>4500007888</v>
      </c>
      <c r="L219" t="s">
        <v>3176</v>
      </c>
      <c r="M219" t="s">
        <v>3133</v>
      </c>
      <c r="N219" t="s">
        <v>3134</v>
      </c>
      <c r="O219" t="s">
        <v>2026</v>
      </c>
      <c r="P219" s="103">
        <v>45635</v>
      </c>
      <c r="Q219" t="s">
        <v>2231</v>
      </c>
      <c r="R219" s="103">
        <v>45638</v>
      </c>
      <c r="S219" t="s">
        <v>2281</v>
      </c>
      <c r="U219" t="s">
        <v>2744</v>
      </c>
      <c r="V219" t="s">
        <v>2933</v>
      </c>
      <c r="X219" t="s">
        <v>3135</v>
      </c>
      <c r="Y219" t="s">
        <v>2088</v>
      </c>
      <c r="AD219">
        <v>20</v>
      </c>
    </row>
    <row r="220" spans="1:30" hidden="1">
      <c r="A220">
        <v>203726</v>
      </c>
      <c r="B220">
        <v>74</v>
      </c>
      <c r="C220" t="s">
        <v>3136</v>
      </c>
      <c r="E220" s="103">
        <v>45644</v>
      </c>
      <c r="F220">
        <v>1</v>
      </c>
      <c r="G220" s="1210">
        <v>45530</v>
      </c>
      <c r="I220" t="s">
        <v>988</v>
      </c>
      <c r="J220" t="s">
        <v>1833</v>
      </c>
      <c r="K220">
        <v>4500007890</v>
      </c>
      <c r="L220" t="s">
        <v>3177</v>
      </c>
      <c r="M220" t="s">
        <v>3133</v>
      </c>
      <c r="N220" t="s">
        <v>3134</v>
      </c>
      <c r="O220" t="s">
        <v>2026</v>
      </c>
      <c r="P220" s="103">
        <v>45635</v>
      </c>
      <c r="Q220" t="s">
        <v>2231</v>
      </c>
      <c r="R220" s="103">
        <v>45638</v>
      </c>
      <c r="S220" t="s">
        <v>2281</v>
      </c>
      <c r="U220" t="s">
        <v>2744</v>
      </c>
      <c r="V220" t="s">
        <v>2933</v>
      </c>
      <c r="X220" t="s">
        <v>3135</v>
      </c>
      <c r="Y220" t="s">
        <v>2088</v>
      </c>
      <c r="AD220">
        <v>80</v>
      </c>
    </row>
    <row r="221" spans="1:30" hidden="1">
      <c r="A221">
        <v>210190</v>
      </c>
      <c r="B221">
        <v>10</v>
      </c>
      <c r="C221" t="s">
        <v>3178</v>
      </c>
      <c r="E221" s="103">
        <v>45644</v>
      </c>
      <c r="F221">
        <v>1</v>
      </c>
      <c r="G221" s="1210">
        <v>45604</v>
      </c>
      <c r="I221" t="s">
        <v>3179</v>
      </c>
      <c r="J221" t="s">
        <v>1833</v>
      </c>
      <c r="K221">
        <v>1512195</v>
      </c>
      <c r="L221" t="s">
        <v>3180</v>
      </c>
      <c r="N221" t="s">
        <v>3181</v>
      </c>
      <c r="O221" t="s">
        <v>2026</v>
      </c>
      <c r="P221" s="103">
        <v>45636</v>
      </c>
      <c r="Q221" t="s">
        <v>2231</v>
      </c>
      <c r="R221" s="103">
        <v>45640</v>
      </c>
      <c r="S221" t="s">
        <v>2281</v>
      </c>
      <c r="U221" t="s">
        <v>2744</v>
      </c>
      <c r="X221" t="s">
        <v>490</v>
      </c>
      <c r="Y221" t="s">
        <v>2088</v>
      </c>
      <c r="AD221">
        <v>10</v>
      </c>
    </row>
    <row r="222" spans="1:30" hidden="1">
      <c r="A222">
        <v>210191</v>
      </c>
      <c r="B222">
        <v>10</v>
      </c>
      <c r="C222" t="s">
        <v>3182</v>
      </c>
      <c r="E222" s="103">
        <v>45644</v>
      </c>
      <c r="F222">
        <v>1</v>
      </c>
      <c r="G222" s="1210">
        <v>45604</v>
      </c>
      <c r="I222" t="s">
        <v>3183</v>
      </c>
      <c r="J222" t="s">
        <v>1833</v>
      </c>
      <c r="K222">
        <v>1512195</v>
      </c>
      <c r="L222" t="s">
        <v>2773</v>
      </c>
      <c r="N222" t="s">
        <v>3181</v>
      </c>
      <c r="O222" t="s">
        <v>2026</v>
      </c>
      <c r="P222" s="103">
        <v>45636</v>
      </c>
      <c r="Q222" t="s">
        <v>2231</v>
      </c>
      <c r="R222" s="103">
        <v>45640</v>
      </c>
      <c r="S222" t="s">
        <v>2281</v>
      </c>
      <c r="U222" t="s">
        <v>2744</v>
      </c>
      <c r="X222" t="s">
        <v>490</v>
      </c>
      <c r="Y222" t="s">
        <v>2088</v>
      </c>
      <c r="AD222">
        <v>10</v>
      </c>
    </row>
    <row r="223" spans="1:30" hidden="1">
      <c r="A223">
        <v>199872</v>
      </c>
      <c r="B223">
        <v>1</v>
      </c>
      <c r="C223" t="s">
        <v>3184</v>
      </c>
      <c r="E223" s="103">
        <v>45646</v>
      </c>
      <c r="F223">
        <v>1</v>
      </c>
      <c r="G223" s="1210">
        <v>45573</v>
      </c>
      <c r="I223" t="s">
        <v>670</v>
      </c>
      <c r="J223" t="s">
        <v>2074</v>
      </c>
      <c r="K223">
        <v>4500008303</v>
      </c>
      <c r="L223" t="s">
        <v>3184</v>
      </c>
      <c r="N223" t="s">
        <v>3185</v>
      </c>
      <c r="O223" t="s">
        <v>2743</v>
      </c>
      <c r="P223" s="103">
        <v>45776</v>
      </c>
      <c r="Q223" t="s">
        <v>3051</v>
      </c>
      <c r="R223" s="103">
        <v>45783</v>
      </c>
      <c r="S223" t="s">
        <v>2281</v>
      </c>
      <c r="U223" t="s">
        <v>2744</v>
      </c>
      <c r="V223" t="s">
        <v>3186</v>
      </c>
      <c r="X223" t="s">
        <v>3187</v>
      </c>
      <c r="Y223" t="s">
        <v>2088</v>
      </c>
      <c r="AD223">
        <v>1</v>
      </c>
    </row>
    <row r="224" spans="1:30" hidden="1">
      <c r="A224">
        <v>199872</v>
      </c>
      <c r="B224">
        <v>2</v>
      </c>
      <c r="C224" t="s">
        <v>3184</v>
      </c>
      <c r="E224" s="103">
        <v>45646</v>
      </c>
      <c r="F224">
        <v>1</v>
      </c>
      <c r="G224" s="1210">
        <v>45573</v>
      </c>
      <c r="I224" t="s">
        <v>670</v>
      </c>
      <c r="J224" t="s">
        <v>2074</v>
      </c>
      <c r="K224">
        <v>4500008303</v>
      </c>
      <c r="L224" t="s">
        <v>3188</v>
      </c>
      <c r="N224" t="s">
        <v>3185</v>
      </c>
      <c r="O224" t="s">
        <v>2743</v>
      </c>
      <c r="P224" s="103">
        <v>45776</v>
      </c>
      <c r="Q224" t="s">
        <v>3051</v>
      </c>
      <c r="R224" s="103">
        <v>45783</v>
      </c>
      <c r="S224" t="s">
        <v>2281</v>
      </c>
      <c r="U224" t="s">
        <v>2744</v>
      </c>
      <c r="V224" t="s">
        <v>3186</v>
      </c>
      <c r="X224" t="s">
        <v>3187</v>
      </c>
      <c r="Y224" t="s">
        <v>2088</v>
      </c>
      <c r="AD224">
        <v>3</v>
      </c>
    </row>
    <row r="225" spans="1:30" hidden="1">
      <c r="A225">
        <v>199872</v>
      </c>
      <c r="B225">
        <v>2</v>
      </c>
      <c r="C225" t="s">
        <v>3184</v>
      </c>
      <c r="E225" s="103">
        <v>45646</v>
      </c>
      <c r="F225">
        <v>1</v>
      </c>
      <c r="G225" s="1210">
        <v>45573</v>
      </c>
      <c r="I225" t="s">
        <v>670</v>
      </c>
      <c r="J225" t="s">
        <v>2074</v>
      </c>
      <c r="K225">
        <v>4500008303</v>
      </c>
      <c r="L225" t="s">
        <v>3188</v>
      </c>
      <c r="N225" t="s">
        <v>3185</v>
      </c>
      <c r="O225" t="s">
        <v>2743</v>
      </c>
      <c r="P225" s="103">
        <v>45776</v>
      </c>
      <c r="Q225" t="s">
        <v>3051</v>
      </c>
      <c r="R225" s="103">
        <v>45783</v>
      </c>
      <c r="S225" t="s">
        <v>2281</v>
      </c>
      <c r="U225" t="s">
        <v>2744</v>
      </c>
      <c r="V225" t="s">
        <v>3186</v>
      </c>
      <c r="X225" t="s">
        <v>3187</v>
      </c>
      <c r="Y225" t="s">
        <v>2088</v>
      </c>
      <c r="AD225">
        <v>5</v>
      </c>
    </row>
    <row r="226" spans="1:30" hidden="1">
      <c r="A226">
        <v>208300</v>
      </c>
      <c r="B226">
        <v>1</v>
      </c>
      <c r="C226" t="s">
        <v>3189</v>
      </c>
      <c r="E226" s="103">
        <v>45649</v>
      </c>
      <c r="F226">
        <v>1</v>
      </c>
      <c r="G226" s="1210">
        <v>45587</v>
      </c>
      <c r="I226" t="s">
        <v>3190</v>
      </c>
      <c r="J226" t="s">
        <v>2082</v>
      </c>
      <c r="K226">
        <v>4500008462</v>
      </c>
      <c r="L226" t="s">
        <v>3189</v>
      </c>
      <c r="N226" t="s">
        <v>3191</v>
      </c>
      <c r="O226" t="s">
        <v>2094</v>
      </c>
      <c r="Q226" t="s">
        <v>2231</v>
      </c>
      <c r="S226" t="s">
        <v>2806</v>
      </c>
      <c r="U226" t="s">
        <v>2744</v>
      </c>
      <c r="W226" t="s">
        <v>3192</v>
      </c>
      <c r="X226" t="s">
        <v>490</v>
      </c>
      <c r="Y226" t="s">
        <v>2088</v>
      </c>
      <c r="AD226">
        <v>1</v>
      </c>
    </row>
    <row r="227" spans="1:30" hidden="1">
      <c r="A227">
        <v>208300</v>
      </c>
      <c r="B227">
        <v>1</v>
      </c>
      <c r="C227" t="s">
        <v>3189</v>
      </c>
      <c r="E227" s="103">
        <v>45650</v>
      </c>
      <c r="F227">
        <v>4</v>
      </c>
      <c r="G227" s="1210">
        <v>45587</v>
      </c>
      <c r="I227" t="s">
        <v>3190</v>
      </c>
      <c r="J227" t="s">
        <v>2082</v>
      </c>
      <c r="K227">
        <v>4500008462</v>
      </c>
      <c r="L227" t="s">
        <v>3189</v>
      </c>
      <c r="N227" t="s">
        <v>3191</v>
      </c>
      <c r="O227" t="s">
        <v>2094</v>
      </c>
      <c r="Q227" t="s">
        <v>2231</v>
      </c>
      <c r="S227" t="s">
        <v>2806</v>
      </c>
      <c r="U227" t="s">
        <v>2282</v>
      </c>
      <c r="X227" t="s">
        <v>490</v>
      </c>
      <c r="Y227" t="s">
        <v>2088</v>
      </c>
      <c r="AD227">
        <v>1</v>
      </c>
    </row>
    <row r="228" spans="1:30" hidden="1">
      <c r="A228">
        <v>198664</v>
      </c>
      <c r="B228">
        <v>10</v>
      </c>
      <c r="C228" t="s">
        <v>2778</v>
      </c>
      <c r="E228" s="103">
        <v>45651</v>
      </c>
      <c r="F228">
        <v>1</v>
      </c>
      <c r="G228" s="1210">
        <v>45618</v>
      </c>
      <c r="I228" t="s">
        <v>2783</v>
      </c>
      <c r="J228" t="s">
        <v>2082</v>
      </c>
      <c r="K228">
        <v>1512429</v>
      </c>
      <c r="L228" t="s">
        <v>2784</v>
      </c>
      <c r="M228" t="s">
        <v>3193</v>
      </c>
      <c r="N228" t="s">
        <v>3181</v>
      </c>
      <c r="O228" t="s">
        <v>2026</v>
      </c>
      <c r="P228" s="103">
        <v>45636</v>
      </c>
      <c r="Q228" t="s">
        <v>2231</v>
      </c>
      <c r="R228" s="103">
        <v>45641</v>
      </c>
      <c r="S228" t="s">
        <v>2281</v>
      </c>
      <c r="U228" t="s">
        <v>2744</v>
      </c>
      <c r="X228" t="s">
        <v>490</v>
      </c>
      <c r="Y228" t="s">
        <v>2088</v>
      </c>
      <c r="AD228">
        <v>30</v>
      </c>
    </row>
    <row r="229" spans="1:30" hidden="1">
      <c r="A229">
        <v>198663</v>
      </c>
      <c r="B229">
        <v>10</v>
      </c>
      <c r="C229" t="s">
        <v>2776</v>
      </c>
      <c r="E229" s="103">
        <v>45651</v>
      </c>
      <c r="F229">
        <v>1</v>
      </c>
      <c r="G229" s="1210">
        <v>45618</v>
      </c>
      <c r="I229" t="s">
        <v>2785</v>
      </c>
      <c r="J229" t="s">
        <v>2082</v>
      </c>
      <c r="K229">
        <v>1512429</v>
      </c>
      <c r="L229" t="s">
        <v>2778</v>
      </c>
      <c r="M229" t="s">
        <v>3193</v>
      </c>
      <c r="N229" t="s">
        <v>3181</v>
      </c>
      <c r="O229" t="s">
        <v>2026</v>
      </c>
      <c r="P229" s="103">
        <v>45636</v>
      </c>
      <c r="Q229" t="s">
        <v>2231</v>
      </c>
      <c r="R229" s="103">
        <v>45641</v>
      </c>
      <c r="S229" t="s">
        <v>2281</v>
      </c>
      <c r="U229" t="s">
        <v>2744</v>
      </c>
      <c r="X229" t="s">
        <v>490</v>
      </c>
      <c r="Y229" t="s">
        <v>2088</v>
      </c>
      <c r="AD229">
        <v>30</v>
      </c>
    </row>
    <row r="230" spans="1:30" hidden="1">
      <c r="A230">
        <v>198665</v>
      </c>
      <c r="B230">
        <v>10</v>
      </c>
      <c r="C230" t="s">
        <v>2778</v>
      </c>
      <c r="E230" s="103">
        <v>45651</v>
      </c>
      <c r="F230">
        <v>1</v>
      </c>
      <c r="G230" s="1210">
        <v>45618</v>
      </c>
      <c r="I230" t="s">
        <v>2900</v>
      </c>
      <c r="J230" t="s">
        <v>2082</v>
      </c>
      <c r="K230">
        <v>1512429</v>
      </c>
      <c r="L230" t="s">
        <v>2784</v>
      </c>
      <c r="M230" t="s">
        <v>3193</v>
      </c>
      <c r="N230" t="s">
        <v>3181</v>
      </c>
      <c r="O230" t="s">
        <v>2026</v>
      </c>
      <c r="P230" s="103">
        <v>45636</v>
      </c>
      <c r="Q230" t="s">
        <v>2231</v>
      </c>
      <c r="R230" s="103">
        <v>45641</v>
      </c>
      <c r="S230" t="s">
        <v>2281</v>
      </c>
      <c r="U230" t="s">
        <v>2744</v>
      </c>
      <c r="X230" t="s">
        <v>490</v>
      </c>
      <c r="Y230" t="s">
        <v>2088</v>
      </c>
      <c r="AD230">
        <v>20</v>
      </c>
    </row>
    <row r="231" spans="1:30" hidden="1">
      <c r="A231">
        <v>188009</v>
      </c>
      <c r="B231">
        <v>10</v>
      </c>
      <c r="C231" t="s">
        <v>2786</v>
      </c>
      <c r="E231" s="103">
        <v>45651</v>
      </c>
      <c r="F231">
        <v>1</v>
      </c>
      <c r="G231" s="1210">
        <v>45618</v>
      </c>
      <c r="I231" t="s">
        <v>2787</v>
      </c>
      <c r="J231" t="s">
        <v>2082</v>
      </c>
      <c r="K231">
        <v>1512429</v>
      </c>
      <c r="L231" t="s">
        <v>2898</v>
      </c>
      <c r="M231" t="s">
        <v>3193</v>
      </c>
      <c r="N231" t="s">
        <v>3181</v>
      </c>
      <c r="O231" t="s">
        <v>2026</v>
      </c>
      <c r="P231" s="103">
        <v>45636</v>
      </c>
      <c r="Q231" t="s">
        <v>2231</v>
      </c>
      <c r="R231" s="103">
        <v>45641</v>
      </c>
      <c r="S231" t="s">
        <v>2281</v>
      </c>
      <c r="U231" t="s">
        <v>2744</v>
      </c>
      <c r="X231" t="s">
        <v>490</v>
      </c>
      <c r="Y231" t="s">
        <v>2088</v>
      </c>
      <c r="AD231">
        <v>90</v>
      </c>
    </row>
    <row r="232" spans="1:30" hidden="1">
      <c r="A232">
        <v>188010</v>
      </c>
      <c r="B232">
        <v>20</v>
      </c>
      <c r="C232" t="s">
        <v>2776</v>
      </c>
      <c r="E232" s="103">
        <v>45651</v>
      </c>
      <c r="F232">
        <v>1</v>
      </c>
      <c r="G232" s="1210">
        <v>45618</v>
      </c>
      <c r="I232" t="s">
        <v>2789</v>
      </c>
      <c r="J232" t="s">
        <v>2082</v>
      </c>
      <c r="K232">
        <v>1512429</v>
      </c>
      <c r="L232" t="s">
        <v>2899</v>
      </c>
      <c r="M232" t="s">
        <v>3193</v>
      </c>
      <c r="N232" t="s">
        <v>3181</v>
      </c>
      <c r="O232" t="s">
        <v>2026</v>
      </c>
      <c r="P232" s="103">
        <v>45636</v>
      </c>
      <c r="Q232" t="s">
        <v>2231</v>
      </c>
      <c r="R232" s="103">
        <v>45641</v>
      </c>
      <c r="S232" t="s">
        <v>2281</v>
      </c>
      <c r="U232" t="s">
        <v>2744</v>
      </c>
      <c r="X232" t="s">
        <v>490</v>
      </c>
      <c r="Y232" t="s">
        <v>2088</v>
      </c>
      <c r="AD232">
        <v>110</v>
      </c>
    </row>
    <row r="233" spans="1:30" hidden="1">
      <c r="A233">
        <v>199330</v>
      </c>
      <c r="B233">
        <v>200</v>
      </c>
      <c r="C233" t="s">
        <v>3145</v>
      </c>
      <c r="E233" s="103">
        <v>45652</v>
      </c>
      <c r="F233">
        <v>4</v>
      </c>
      <c r="G233" s="1210">
        <v>45548</v>
      </c>
      <c r="I233" t="s">
        <v>992</v>
      </c>
      <c r="J233" t="s">
        <v>2082</v>
      </c>
      <c r="K233">
        <v>4500008098</v>
      </c>
      <c r="L233" t="s">
        <v>3194</v>
      </c>
      <c r="M233" t="s">
        <v>3193</v>
      </c>
      <c r="N233" t="s">
        <v>3195</v>
      </c>
      <c r="O233" t="s">
        <v>2743</v>
      </c>
      <c r="P233" s="103">
        <v>45642</v>
      </c>
      <c r="Q233" t="s">
        <v>2231</v>
      </c>
      <c r="R233" s="103">
        <v>45646</v>
      </c>
      <c r="S233" t="s">
        <v>2281</v>
      </c>
      <c r="U233" t="s">
        <v>2282</v>
      </c>
      <c r="W233" t="s">
        <v>3196</v>
      </c>
      <c r="X233" t="s">
        <v>3000</v>
      </c>
      <c r="Y233" t="s">
        <v>2088</v>
      </c>
      <c r="AD233">
        <v>390</v>
      </c>
    </row>
    <row r="234" spans="1:30" hidden="1">
      <c r="A234">
        <v>209065</v>
      </c>
      <c r="B234">
        <v>200</v>
      </c>
      <c r="C234" t="s">
        <v>3145</v>
      </c>
      <c r="E234" s="103">
        <v>45652</v>
      </c>
      <c r="F234">
        <v>1</v>
      </c>
      <c r="G234" s="1210">
        <v>45548</v>
      </c>
      <c r="I234" t="s">
        <v>992</v>
      </c>
      <c r="J234" t="s">
        <v>2082</v>
      </c>
      <c r="K234">
        <v>4500009281</v>
      </c>
      <c r="L234" t="s">
        <v>3194</v>
      </c>
      <c r="M234" t="s">
        <v>3193</v>
      </c>
      <c r="N234" t="s">
        <v>3195</v>
      </c>
      <c r="O234" t="s">
        <v>2743</v>
      </c>
      <c r="P234" s="103">
        <v>45642</v>
      </c>
      <c r="Q234" t="s">
        <v>2231</v>
      </c>
      <c r="R234" s="103">
        <v>45646</v>
      </c>
      <c r="S234" t="s">
        <v>2281</v>
      </c>
      <c r="U234" t="s">
        <v>2744</v>
      </c>
      <c r="V234" t="s">
        <v>2799</v>
      </c>
      <c r="W234" t="s">
        <v>3196</v>
      </c>
      <c r="X234" t="s">
        <v>3000</v>
      </c>
      <c r="Y234" t="s">
        <v>2088</v>
      </c>
      <c r="AD234">
        <v>590</v>
      </c>
    </row>
    <row r="235" spans="1:30" hidden="1">
      <c r="A235">
        <v>199324</v>
      </c>
      <c r="B235">
        <v>400</v>
      </c>
      <c r="C235" t="s">
        <v>2258</v>
      </c>
      <c r="E235" s="103">
        <v>45652</v>
      </c>
      <c r="F235">
        <v>1</v>
      </c>
      <c r="G235" s="1210">
        <v>45548</v>
      </c>
      <c r="I235" t="s">
        <v>714</v>
      </c>
      <c r="J235" t="s">
        <v>2082</v>
      </c>
      <c r="K235">
        <v>4500008084</v>
      </c>
      <c r="L235" t="s">
        <v>3197</v>
      </c>
      <c r="M235" t="s">
        <v>3138</v>
      </c>
      <c r="N235" t="s">
        <v>3181</v>
      </c>
      <c r="O235" t="s">
        <v>2026</v>
      </c>
      <c r="P235" s="103">
        <v>45642</v>
      </c>
      <c r="Q235" t="s">
        <v>2231</v>
      </c>
      <c r="R235" s="103">
        <v>45646</v>
      </c>
      <c r="S235" t="s">
        <v>2281</v>
      </c>
      <c r="U235" t="s">
        <v>2744</v>
      </c>
      <c r="W235" t="s">
        <v>3198</v>
      </c>
      <c r="X235" t="s">
        <v>3000</v>
      </c>
      <c r="Y235" t="s">
        <v>2088</v>
      </c>
      <c r="AD235">
        <v>1120</v>
      </c>
    </row>
    <row r="236" spans="1:30" hidden="1">
      <c r="A236">
        <v>206310</v>
      </c>
      <c r="B236">
        <v>394</v>
      </c>
      <c r="C236" t="s">
        <v>3017</v>
      </c>
      <c r="E236" s="103">
        <v>45652</v>
      </c>
      <c r="F236">
        <v>1</v>
      </c>
      <c r="G236" s="1210">
        <v>45548</v>
      </c>
      <c r="I236" t="s">
        <v>693</v>
      </c>
      <c r="J236" t="s">
        <v>2082</v>
      </c>
      <c r="K236">
        <v>4500008092</v>
      </c>
      <c r="L236" t="s">
        <v>3199</v>
      </c>
      <c r="M236" t="s">
        <v>3193</v>
      </c>
      <c r="N236" t="s">
        <v>3181</v>
      </c>
      <c r="O236" t="s">
        <v>2026</v>
      </c>
      <c r="P236" s="103">
        <v>45642</v>
      </c>
      <c r="Q236" t="s">
        <v>2231</v>
      </c>
      <c r="R236" s="103">
        <v>45646</v>
      </c>
      <c r="S236" t="s">
        <v>2281</v>
      </c>
      <c r="U236" t="s">
        <v>2744</v>
      </c>
      <c r="V236" t="s">
        <v>2933</v>
      </c>
      <c r="X236" t="s">
        <v>3000</v>
      </c>
      <c r="Y236" t="s">
        <v>2088</v>
      </c>
      <c r="AD236">
        <v>400</v>
      </c>
    </row>
    <row r="237" spans="1:30" hidden="1">
      <c r="A237">
        <v>180234</v>
      </c>
      <c r="B237">
        <v>12</v>
      </c>
      <c r="C237" t="s">
        <v>3125</v>
      </c>
      <c r="E237" s="103">
        <v>45653</v>
      </c>
      <c r="F237">
        <v>1</v>
      </c>
      <c r="G237" s="1210">
        <v>45541</v>
      </c>
      <c r="I237" t="s">
        <v>583</v>
      </c>
      <c r="J237" t="s">
        <v>2070</v>
      </c>
      <c r="K237">
        <v>4500008011</v>
      </c>
      <c r="L237" t="s">
        <v>3200</v>
      </c>
      <c r="M237" t="s">
        <v>3193</v>
      </c>
      <c r="N237" t="s">
        <v>3181</v>
      </c>
      <c r="O237" t="s">
        <v>2026</v>
      </c>
      <c r="P237" s="103">
        <v>45641</v>
      </c>
      <c r="Q237" t="s">
        <v>2231</v>
      </c>
      <c r="R237" s="103">
        <v>45645</v>
      </c>
      <c r="S237" t="s">
        <v>2281</v>
      </c>
      <c r="U237" t="s">
        <v>2744</v>
      </c>
      <c r="X237" t="s">
        <v>490</v>
      </c>
      <c r="Y237" t="s">
        <v>2088</v>
      </c>
      <c r="AD237">
        <v>2110</v>
      </c>
    </row>
    <row r="238" spans="1:30" hidden="1">
      <c r="A238">
        <v>180235</v>
      </c>
      <c r="B238">
        <v>150</v>
      </c>
      <c r="C238" t="s">
        <v>3127</v>
      </c>
      <c r="E238" s="103">
        <v>45653</v>
      </c>
      <c r="F238">
        <v>1</v>
      </c>
      <c r="G238" s="1210">
        <v>45541</v>
      </c>
      <c r="I238" t="s">
        <v>646</v>
      </c>
      <c r="J238" t="s">
        <v>2070</v>
      </c>
      <c r="K238">
        <v>4500008012</v>
      </c>
      <c r="L238" t="s">
        <v>3201</v>
      </c>
      <c r="M238" t="s">
        <v>3193</v>
      </c>
      <c r="N238" t="s">
        <v>3181</v>
      </c>
      <c r="O238" t="s">
        <v>2026</v>
      </c>
      <c r="P238" s="103">
        <v>45641</v>
      </c>
      <c r="Q238" t="s">
        <v>2231</v>
      </c>
      <c r="R238" s="103">
        <v>45645</v>
      </c>
      <c r="S238" t="s">
        <v>2281</v>
      </c>
      <c r="U238" t="s">
        <v>2744</v>
      </c>
      <c r="X238" t="s">
        <v>490</v>
      </c>
      <c r="Y238" t="s">
        <v>2088</v>
      </c>
      <c r="AD238">
        <v>2220</v>
      </c>
    </row>
    <row r="239" spans="1:30" hidden="1">
      <c r="A239">
        <v>201898</v>
      </c>
      <c r="B239">
        <v>160</v>
      </c>
      <c r="C239" t="s">
        <v>3102</v>
      </c>
      <c r="E239" s="103">
        <v>45653</v>
      </c>
      <c r="F239">
        <v>1</v>
      </c>
      <c r="G239" s="1210">
        <v>45573</v>
      </c>
      <c r="I239" t="s">
        <v>317</v>
      </c>
      <c r="J239" t="s">
        <v>2012</v>
      </c>
      <c r="K239">
        <v>4500008291</v>
      </c>
      <c r="L239" t="s">
        <v>3202</v>
      </c>
      <c r="M239" t="s">
        <v>3203</v>
      </c>
      <c r="N239" t="s">
        <v>3204</v>
      </c>
      <c r="O239" t="s">
        <v>2743</v>
      </c>
      <c r="P239" s="103">
        <v>45639</v>
      </c>
      <c r="Q239" t="s">
        <v>2231</v>
      </c>
      <c r="R239" s="103">
        <v>45643</v>
      </c>
      <c r="S239" t="s">
        <v>2281</v>
      </c>
      <c r="U239" t="s">
        <v>2744</v>
      </c>
      <c r="X239" t="s">
        <v>3160</v>
      </c>
      <c r="Y239" t="s">
        <v>2088</v>
      </c>
      <c r="AD239">
        <v>2368</v>
      </c>
    </row>
    <row r="240" spans="1:30" hidden="1">
      <c r="A240">
        <v>201900</v>
      </c>
      <c r="B240">
        <v>50</v>
      </c>
      <c r="C240" t="s">
        <v>3105</v>
      </c>
      <c r="E240" s="103">
        <v>45653</v>
      </c>
      <c r="F240">
        <v>1</v>
      </c>
      <c r="G240" s="1210">
        <v>45573</v>
      </c>
      <c r="I240" t="s">
        <v>327</v>
      </c>
      <c r="J240" t="s">
        <v>2012</v>
      </c>
      <c r="K240">
        <v>4500008292</v>
      </c>
      <c r="L240" t="s">
        <v>3205</v>
      </c>
      <c r="M240" t="s">
        <v>3203</v>
      </c>
      <c r="N240" t="s">
        <v>3204</v>
      </c>
      <c r="O240" t="s">
        <v>2743</v>
      </c>
      <c r="P240" s="103">
        <v>45639</v>
      </c>
      <c r="Q240" t="s">
        <v>2231</v>
      </c>
      <c r="R240" s="103">
        <v>45643</v>
      </c>
      <c r="S240" t="s">
        <v>2281</v>
      </c>
      <c r="U240" t="s">
        <v>2744</v>
      </c>
      <c r="X240" t="s">
        <v>3160</v>
      </c>
      <c r="Y240" t="s">
        <v>2088</v>
      </c>
      <c r="AD240">
        <v>2848</v>
      </c>
    </row>
    <row r="241" spans="1:30" hidden="1">
      <c r="A241">
        <v>199025</v>
      </c>
      <c r="B241">
        <v>120</v>
      </c>
      <c r="C241" t="s">
        <v>2854</v>
      </c>
      <c r="E241" s="103">
        <v>45653</v>
      </c>
      <c r="F241">
        <v>1</v>
      </c>
      <c r="G241" s="1210">
        <v>45573</v>
      </c>
      <c r="I241" t="s">
        <v>344</v>
      </c>
      <c r="J241" t="s">
        <v>2012</v>
      </c>
      <c r="K241">
        <v>4500008293</v>
      </c>
      <c r="L241" t="s">
        <v>3206</v>
      </c>
      <c r="M241" t="s">
        <v>3181</v>
      </c>
      <c r="N241" t="s">
        <v>3204</v>
      </c>
      <c r="O241" t="s">
        <v>2743</v>
      </c>
      <c r="P241" s="103">
        <v>45639</v>
      </c>
      <c r="Q241" t="s">
        <v>2231</v>
      </c>
      <c r="R241" s="103">
        <v>45643</v>
      </c>
      <c r="S241" t="s">
        <v>2281</v>
      </c>
      <c r="U241" t="s">
        <v>2744</v>
      </c>
      <c r="X241" t="s">
        <v>3160</v>
      </c>
      <c r="Y241" t="s">
        <v>2088</v>
      </c>
      <c r="AD241">
        <v>580</v>
      </c>
    </row>
    <row r="242" spans="1:30" hidden="1">
      <c r="A242">
        <v>199018</v>
      </c>
      <c r="B242">
        <v>10</v>
      </c>
      <c r="C242" t="s">
        <v>2756</v>
      </c>
      <c r="E242" s="103">
        <v>45653</v>
      </c>
      <c r="F242">
        <v>1</v>
      </c>
      <c r="G242" s="1210">
        <v>45573</v>
      </c>
      <c r="I242" t="s">
        <v>2591</v>
      </c>
      <c r="J242" t="s">
        <v>2012</v>
      </c>
      <c r="K242">
        <v>4500008294</v>
      </c>
      <c r="L242" t="s">
        <v>2757</v>
      </c>
      <c r="M242" t="s">
        <v>3181</v>
      </c>
      <c r="N242" t="s">
        <v>3204</v>
      </c>
      <c r="O242" t="s">
        <v>2743</v>
      </c>
      <c r="P242" s="103">
        <v>45639</v>
      </c>
      <c r="Q242" t="s">
        <v>2231</v>
      </c>
      <c r="R242" s="103">
        <v>45643</v>
      </c>
      <c r="S242" t="s">
        <v>2281</v>
      </c>
      <c r="U242" t="s">
        <v>2744</v>
      </c>
      <c r="X242" t="s">
        <v>2862</v>
      </c>
      <c r="Y242" t="s">
        <v>2088</v>
      </c>
      <c r="AD242">
        <v>130</v>
      </c>
    </row>
    <row r="243" spans="1:30" hidden="1">
      <c r="A243">
        <v>199021</v>
      </c>
      <c r="B243">
        <v>300</v>
      </c>
      <c r="C243" t="s">
        <v>3053</v>
      </c>
      <c r="E243" s="103">
        <v>45653</v>
      </c>
      <c r="F243">
        <v>1</v>
      </c>
      <c r="G243" s="1210">
        <v>45573</v>
      </c>
      <c r="I243" t="s">
        <v>456</v>
      </c>
      <c r="J243" t="s">
        <v>2012</v>
      </c>
      <c r="K243">
        <v>4500008296</v>
      </c>
      <c r="L243" t="s">
        <v>3207</v>
      </c>
      <c r="M243" t="s">
        <v>3134</v>
      </c>
      <c r="N243" t="s">
        <v>3204</v>
      </c>
      <c r="O243" t="s">
        <v>2743</v>
      </c>
      <c r="P243" s="103">
        <v>45639</v>
      </c>
      <c r="Q243" t="s">
        <v>2231</v>
      </c>
      <c r="R243" s="103">
        <v>45643</v>
      </c>
      <c r="S243" t="s">
        <v>2281</v>
      </c>
      <c r="U243" t="s">
        <v>2744</v>
      </c>
      <c r="X243" t="s">
        <v>3160</v>
      </c>
      <c r="Y243" t="s">
        <v>2088</v>
      </c>
      <c r="AD243">
        <v>2370</v>
      </c>
    </row>
    <row r="244" spans="1:30" hidden="1">
      <c r="A244">
        <v>180234</v>
      </c>
      <c r="B244">
        <v>293</v>
      </c>
      <c r="C244" t="s">
        <v>3208</v>
      </c>
      <c r="E244" s="103">
        <v>45653</v>
      </c>
      <c r="F244">
        <v>1</v>
      </c>
      <c r="G244" s="1210">
        <v>45573</v>
      </c>
      <c r="I244" t="s">
        <v>583</v>
      </c>
      <c r="J244" t="s">
        <v>2070</v>
      </c>
      <c r="K244">
        <v>4500008301</v>
      </c>
      <c r="L244" t="s">
        <v>3209</v>
      </c>
      <c r="M244" t="s">
        <v>3181</v>
      </c>
      <c r="N244" t="s">
        <v>3181</v>
      </c>
      <c r="O244" t="s">
        <v>2026</v>
      </c>
      <c r="P244" s="103">
        <v>45641</v>
      </c>
      <c r="Q244" t="s">
        <v>2231</v>
      </c>
      <c r="R244" s="103">
        <v>45645</v>
      </c>
      <c r="S244" t="s">
        <v>2281</v>
      </c>
      <c r="U244" t="s">
        <v>2744</v>
      </c>
      <c r="X244" t="s">
        <v>490</v>
      </c>
      <c r="Y244" t="s">
        <v>2088</v>
      </c>
      <c r="AD244">
        <v>2403</v>
      </c>
    </row>
    <row r="245" spans="1:30" hidden="1">
      <c r="A245">
        <v>180235</v>
      </c>
      <c r="B245">
        <v>800</v>
      </c>
      <c r="C245" t="s">
        <v>3210</v>
      </c>
      <c r="E245" s="103">
        <v>45653</v>
      </c>
      <c r="F245">
        <v>1</v>
      </c>
      <c r="G245" s="1210">
        <v>45573</v>
      </c>
      <c r="I245" t="s">
        <v>646</v>
      </c>
      <c r="J245" t="s">
        <v>2070</v>
      </c>
      <c r="K245">
        <v>4500008302</v>
      </c>
      <c r="L245" t="s">
        <v>3211</v>
      </c>
      <c r="M245" t="s">
        <v>3181</v>
      </c>
      <c r="N245" t="s">
        <v>3181</v>
      </c>
      <c r="O245" t="s">
        <v>2026</v>
      </c>
      <c r="P245" s="103">
        <v>45641</v>
      </c>
      <c r="Q245" t="s">
        <v>2231</v>
      </c>
      <c r="R245" s="103">
        <v>45645</v>
      </c>
      <c r="S245" t="s">
        <v>2281</v>
      </c>
      <c r="U245" t="s">
        <v>2744</v>
      </c>
      <c r="X245" t="s">
        <v>490</v>
      </c>
      <c r="Y245" t="s">
        <v>2088</v>
      </c>
      <c r="AD245">
        <v>3020</v>
      </c>
    </row>
    <row r="246" spans="1:30" hidden="1">
      <c r="A246">
        <v>180235</v>
      </c>
      <c r="B246">
        <v>770</v>
      </c>
      <c r="C246" t="s">
        <v>3210</v>
      </c>
      <c r="E246" s="103">
        <v>45653</v>
      </c>
      <c r="F246">
        <v>1</v>
      </c>
      <c r="G246" s="1210">
        <v>45580</v>
      </c>
      <c r="I246" t="s">
        <v>646</v>
      </c>
      <c r="J246" t="s">
        <v>2070</v>
      </c>
      <c r="K246">
        <v>4500008390</v>
      </c>
      <c r="L246" t="s">
        <v>3212</v>
      </c>
      <c r="M246" t="s">
        <v>3181</v>
      </c>
      <c r="N246" t="s">
        <v>3181</v>
      </c>
      <c r="O246" t="s">
        <v>2026</v>
      </c>
      <c r="P246" s="103">
        <v>45641</v>
      </c>
      <c r="Q246" t="s">
        <v>2231</v>
      </c>
      <c r="R246" s="103">
        <v>45645</v>
      </c>
      <c r="S246" t="s">
        <v>2281</v>
      </c>
      <c r="U246" t="s">
        <v>2744</v>
      </c>
      <c r="X246" t="s">
        <v>490</v>
      </c>
      <c r="Y246" t="s">
        <v>2088</v>
      </c>
      <c r="AD246">
        <v>3790</v>
      </c>
    </row>
    <row r="247" spans="1:30" hidden="1">
      <c r="A247">
        <v>199688</v>
      </c>
      <c r="B247">
        <v>32</v>
      </c>
      <c r="C247" t="s">
        <v>2977</v>
      </c>
      <c r="E247" s="103">
        <v>45663</v>
      </c>
      <c r="F247">
        <v>1</v>
      </c>
      <c r="G247" s="1210">
        <v>45622</v>
      </c>
      <c r="I247" t="s">
        <v>2978</v>
      </c>
      <c r="J247" t="s">
        <v>2751</v>
      </c>
      <c r="K247">
        <v>1512478</v>
      </c>
      <c r="L247" t="s">
        <v>3213</v>
      </c>
      <c r="M247" t="s">
        <v>3181</v>
      </c>
      <c r="N247" t="s">
        <v>3181</v>
      </c>
      <c r="O247" t="s">
        <v>2743</v>
      </c>
      <c r="P247" s="103">
        <v>45636</v>
      </c>
      <c r="Q247" t="s">
        <v>2231</v>
      </c>
      <c r="R247" s="103">
        <v>45641</v>
      </c>
      <c r="S247" t="s">
        <v>2281</v>
      </c>
      <c r="U247" t="s">
        <v>2744</v>
      </c>
      <c r="X247" t="s">
        <v>490</v>
      </c>
      <c r="Y247" t="s">
        <v>2088</v>
      </c>
      <c r="AD247">
        <v>128</v>
      </c>
    </row>
    <row r="248" spans="1:30" hidden="1">
      <c r="A248">
        <v>199687</v>
      </c>
      <c r="B248">
        <v>19</v>
      </c>
      <c r="C248" t="s">
        <v>3093</v>
      </c>
      <c r="E248" s="103">
        <v>45663</v>
      </c>
      <c r="F248">
        <v>1</v>
      </c>
      <c r="G248" s="1210">
        <v>45622</v>
      </c>
      <c r="I248" t="s">
        <v>3094</v>
      </c>
      <c r="J248" t="s">
        <v>2751</v>
      </c>
      <c r="K248">
        <v>1512478</v>
      </c>
      <c r="L248" t="s">
        <v>3214</v>
      </c>
      <c r="M248" t="s">
        <v>3181</v>
      </c>
      <c r="N248" t="s">
        <v>3181</v>
      </c>
      <c r="O248" t="s">
        <v>2743</v>
      </c>
      <c r="P248" s="103">
        <v>45636</v>
      </c>
      <c r="Q248" t="s">
        <v>2231</v>
      </c>
      <c r="R248" s="103">
        <v>45641</v>
      </c>
      <c r="S248" t="s">
        <v>2281</v>
      </c>
      <c r="U248" t="s">
        <v>2744</v>
      </c>
      <c r="X248" t="s">
        <v>490</v>
      </c>
      <c r="Y248" t="s">
        <v>2088</v>
      </c>
      <c r="AD248">
        <v>78</v>
      </c>
    </row>
    <row r="249" spans="1:30" hidden="1">
      <c r="A249">
        <v>190247</v>
      </c>
      <c r="B249">
        <v>10</v>
      </c>
      <c r="C249" t="s">
        <v>3215</v>
      </c>
      <c r="E249" s="103">
        <v>45663</v>
      </c>
      <c r="F249">
        <v>1</v>
      </c>
      <c r="G249" s="1210">
        <v>45622</v>
      </c>
      <c r="I249" t="s">
        <v>3216</v>
      </c>
      <c r="J249" t="s">
        <v>2751</v>
      </c>
      <c r="K249">
        <v>1512478</v>
      </c>
      <c r="L249" t="s">
        <v>3217</v>
      </c>
      <c r="M249" t="s">
        <v>3181</v>
      </c>
      <c r="N249" t="s">
        <v>3181</v>
      </c>
      <c r="O249" t="s">
        <v>2743</v>
      </c>
      <c r="P249" s="103">
        <v>45636</v>
      </c>
      <c r="Q249" t="s">
        <v>2231</v>
      </c>
      <c r="R249" s="103">
        <v>45641</v>
      </c>
      <c r="S249" t="s">
        <v>2281</v>
      </c>
      <c r="U249" t="s">
        <v>2744</v>
      </c>
      <c r="X249" t="s">
        <v>490</v>
      </c>
      <c r="Y249" t="s">
        <v>2088</v>
      </c>
      <c r="AD249">
        <v>10</v>
      </c>
    </row>
    <row r="250" spans="1:30" hidden="1">
      <c r="A250">
        <v>171358</v>
      </c>
      <c r="B250">
        <v>32</v>
      </c>
      <c r="C250" t="s">
        <v>2980</v>
      </c>
      <c r="E250" s="103">
        <v>45663</v>
      </c>
      <c r="F250">
        <v>1</v>
      </c>
      <c r="G250" s="1210">
        <v>45622</v>
      </c>
      <c r="I250" t="s">
        <v>2981</v>
      </c>
      <c r="J250" t="s">
        <v>2751</v>
      </c>
      <c r="K250">
        <v>1512478</v>
      </c>
      <c r="L250" t="s">
        <v>3218</v>
      </c>
      <c r="M250" t="s">
        <v>3181</v>
      </c>
      <c r="N250" t="s">
        <v>3181</v>
      </c>
      <c r="O250" t="s">
        <v>2743</v>
      </c>
      <c r="P250" s="103">
        <v>45636</v>
      </c>
      <c r="Q250" t="s">
        <v>2231</v>
      </c>
      <c r="R250" s="103">
        <v>45641</v>
      </c>
      <c r="S250" t="s">
        <v>2281</v>
      </c>
      <c r="U250" t="s">
        <v>2744</v>
      </c>
      <c r="X250" t="s">
        <v>490</v>
      </c>
      <c r="Y250" t="s">
        <v>2088</v>
      </c>
      <c r="AD250">
        <v>138</v>
      </c>
    </row>
    <row r="251" spans="1:30" hidden="1">
      <c r="A251">
        <v>171480</v>
      </c>
      <c r="B251">
        <v>29</v>
      </c>
      <c r="C251" t="s">
        <v>2980</v>
      </c>
      <c r="E251" s="103">
        <v>45663</v>
      </c>
      <c r="F251">
        <v>1</v>
      </c>
      <c r="G251" s="1210">
        <v>45622</v>
      </c>
      <c r="I251" t="s">
        <v>2990</v>
      </c>
      <c r="J251" t="s">
        <v>2751</v>
      </c>
      <c r="K251">
        <v>1512478</v>
      </c>
      <c r="L251" t="s">
        <v>3219</v>
      </c>
      <c r="M251" t="s">
        <v>3181</v>
      </c>
      <c r="N251" t="s">
        <v>3181</v>
      </c>
      <c r="O251" t="s">
        <v>2743</v>
      </c>
      <c r="P251" s="103">
        <v>45636</v>
      </c>
      <c r="Q251" t="s">
        <v>2231</v>
      </c>
      <c r="R251" s="103">
        <v>45641</v>
      </c>
      <c r="S251" t="s">
        <v>2281</v>
      </c>
      <c r="U251" t="s">
        <v>2744</v>
      </c>
      <c r="X251" t="s">
        <v>490</v>
      </c>
      <c r="Y251" t="s">
        <v>2088</v>
      </c>
      <c r="AD251">
        <v>123</v>
      </c>
    </row>
    <row r="252" spans="1:30" hidden="1">
      <c r="A252">
        <v>198664</v>
      </c>
      <c r="B252">
        <v>16</v>
      </c>
      <c r="C252" t="s">
        <v>2778</v>
      </c>
      <c r="E252" s="103">
        <v>45664</v>
      </c>
      <c r="F252">
        <v>1</v>
      </c>
      <c r="G252" s="1210">
        <v>45574</v>
      </c>
      <c r="I252" t="s">
        <v>2783</v>
      </c>
      <c r="J252" t="s">
        <v>2082</v>
      </c>
      <c r="K252">
        <v>1511629</v>
      </c>
      <c r="L252" t="s">
        <v>3099</v>
      </c>
      <c r="M252" t="s">
        <v>3193</v>
      </c>
      <c r="N252" t="s">
        <v>3220</v>
      </c>
      <c r="O252" t="s">
        <v>2743</v>
      </c>
      <c r="P252" s="103">
        <v>45643</v>
      </c>
      <c r="Q252" t="s">
        <v>3051</v>
      </c>
      <c r="R252" s="103">
        <v>45647</v>
      </c>
      <c r="S252" t="s">
        <v>2281</v>
      </c>
      <c r="U252" t="s">
        <v>2744</v>
      </c>
      <c r="X252" t="s">
        <v>490</v>
      </c>
      <c r="Y252" t="s">
        <v>2088</v>
      </c>
      <c r="AD252">
        <v>46</v>
      </c>
    </row>
    <row r="253" spans="1:30" hidden="1">
      <c r="A253">
        <v>198663</v>
      </c>
      <c r="B253">
        <v>16</v>
      </c>
      <c r="C253" t="s">
        <v>2776</v>
      </c>
      <c r="E253" s="103">
        <v>45664</v>
      </c>
      <c r="F253">
        <v>1</v>
      </c>
      <c r="G253" s="1210">
        <v>45574</v>
      </c>
      <c r="I253" t="s">
        <v>2785</v>
      </c>
      <c r="J253" t="s">
        <v>2082</v>
      </c>
      <c r="K253">
        <v>1511629</v>
      </c>
      <c r="L253" t="s">
        <v>3097</v>
      </c>
      <c r="M253" t="s">
        <v>3193</v>
      </c>
      <c r="N253" t="s">
        <v>3220</v>
      </c>
      <c r="O253" t="s">
        <v>2743</v>
      </c>
      <c r="P253" s="103">
        <v>45643</v>
      </c>
      <c r="Q253" t="s">
        <v>3051</v>
      </c>
      <c r="R253" s="103">
        <v>45647</v>
      </c>
      <c r="S253" t="s">
        <v>2281</v>
      </c>
      <c r="U253" t="s">
        <v>2744</v>
      </c>
      <c r="X253" t="s">
        <v>490</v>
      </c>
      <c r="Y253" t="s">
        <v>2088</v>
      </c>
      <c r="AD253">
        <v>46</v>
      </c>
    </row>
    <row r="254" spans="1:30" hidden="1">
      <c r="A254">
        <v>188009</v>
      </c>
      <c r="B254">
        <v>10</v>
      </c>
      <c r="C254" t="s">
        <v>2786</v>
      </c>
      <c r="E254" s="103">
        <v>45664</v>
      </c>
      <c r="F254">
        <v>1</v>
      </c>
      <c r="G254" s="1210">
        <v>45574</v>
      </c>
      <c r="I254" t="s">
        <v>2787</v>
      </c>
      <c r="J254" t="s">
        <v>2082</v>
      </c>
      <c r="K254">
        <v>1511629</v>
      </c>
      <c r="L254" t="s">
        <v>2898</v>
      </c>
      <c r="M254" t="s">
        <v>3193</v>
      </c>
      <c r="N254" t="s">
        <v>3220</v>
      </c>
      <c r="O254" t="s">
        <v>2743</v>
      </c>
      <c r="P254" s="103">
        <v>45643</v>
      </c>
      <c r="Q254" t="s">
        <v>2231</v>
      </c>
      <c r="R254" s="103">
        <v>45647</v>
      </c>
      <c r="S254" t="s">
        <v>2281</v>
      </c>
      <c r="U254" t="s">
        <v>2744</v>
      </c>
      <c r="X254" t="s">
        <v>490</v>
      </c>
      <c r="Y254" t="s">
        <v>2088</v>
      </c>
      <c r="AD254">
        <v>100</v>
      </c>
    </row>
    <row r="255" spans="1:30" hidden="1">
      <c r="A255">
        <v>188010</v>
      </c>
      <c r="B255">
        <v>20</v>
      </c>
      <c r="C255" t="s">
        <v>2776</v>
      </c>
      <c r="E255" s="103">
        <v>45664</v>
      </c>
      <c r="F255">
        <v>1</v>
      </c>
      <c r="G255" s="1210">
        <v>45574</v>
      </c>
      <c r="I255" t="s">
        <v>2789</v>
      </c>
      <c r="J255" t="s">
        <v>2082</v>
      </c>
      <c r="K255">
        <v>1511629</v>
      </c>
      <c r="L255" t="s">
        <v>2899</v>
      </c>
      <c r="M255" t="s">
        <v>3193</v>
      </c>
      <c r="N255" t="s">
        <v>3220</v>
      </c>
      <c r="O255" t="s">
        <v>2743</v>
      </c>
      <c r="P255" s="103">
        <v>45643</v>
      </c>
      <c r="Q255" t="s">
        <v>2231</v>
      </c>
      <c r="R255" s="103">
        <v>45647</v>
      </c>
      <c r="S255" t="s">
        <v>2281</v>
      </c>
      <c r="U255" t="s">
        <v>2744</v>
      </c>
      <c r="X255" t="s">
        <v>490</v>
      </c>
      <c r="Y255" t="s">
        <v>2088</v>
      </c>
      <c r="AD255">
        <v>130</v>
      </c>
    </row>
    <row r="256" spans="1:30" hidden="1">
      <c r="A256">
        <v>188034</v>
      </c>
      <c r="B256">
        <v>40</v>
      </c>
      <c r="C256" t="s">
        <v>2901</v>
      </c>
      <c r="E256" s="103">
        <v>45664</v>
      </c>
      <c r="F256">
        <v>1</v>
      </c>
      <c r="G256" s="1210">
        <v>45574</v>
      </c>
      <c r="I256" t="s">
        <v>2902</v>
      </c>
      <c r="J256" t="s">
        <v>2082</v>
      </c>
      <c r="K256">
        <v>1511629</v>
      </c>
      <c r="L256" t="s">
        <v>3221</v>
      </c>
      <c r="M256" t="s">
        <v>3193</v>
      </c>
      <c r="N256" t="s">
        <v>3220</v>
      </c>
      <c r="O256" t="s">
        <v>2743</v>
      </c>
      <c r="P256" s="103">
        <v>45643</v>
      </c>
      <c r="Q256" t="s">
        <v>2231</v>
      </c>
      <c r="R256" s="103">
        <v>45647</v>
      </c>
      <c r="S256" t="s">
        <v>2281</v>
      </c>
      <c r="U256" t="s">
        <v>2744</v>
      </c>
      <c r="X256" t="s">
        <v>490</v>
      </c>
      <c r="Y256" t="s">
        <v>2088</v>
      </c>
      <c r="AD256">
        <v>60</v>
      </c>
    </row>
    <row r="257" spans="1:30" hidden="1">
      <c r="A257">
        <v>188035</v>
      </c>
      <c r="B257">
        <v>40</v>
      </c>
      <c r="C257" t="s">
        <v>2776</v>
      </c>
      <c r="E257" s="103">
        <v>45664</v>
      </c>
      <c r="F257">
        <v>1</v>
      </c>
      <c r="G257" s="1210">
        <v>45574</v>
      </c>
      <c r="I257" t="s">
        <v>2904</v>
      </c>
      <c r="J257" t="s">
        <v>2082</v>
      </c>
      <c r="K257">
        <v>1511629</v>
      </c>
      <c r="L257" t="s">
        <v>2773</v>
      </c>
      <c r="M257" t="s">
        <v>3193</v>
      </c>
      <c r="N257" t="s">
        <v>3220</v>
      </c>
      <c r="O257" t="s">
        <v>2743</v>
      </c>
      <c r="P257" s="103">
        <v>45643</v>
      </c>
      <c r="Q257" t="s">
        <v>2231</v>
      </c>
      <c r="R257" s="103">
        <v>45647</v>
      </c>
      <c r="S257" t="s">
        <v>2281</v>
      </c>
      <c r="U257" t="s">
        <v>2744</v>
      </c>
      <c r="X257" t="s">
        <v>490</v>
      </c>
      <c r="Y257" t="s">
        <v>2088</v>
      </c>
      <c r="AD257">
        <v>60</v>
      </c>
    </row>
    <row r="258" spans="1:30" hidden="1">
      <c r="A258">
        <v>198665</v>
      </c>
      <c r="B258">
        <v>10</v>
      </c>
      <c r="C258" t="s">
        <v>2778</v>
      </c>
      <c r="E258" s="103">
        <v>45664</v>
      </c>
      <c r="F258">
        <v>1</v>
      </c>
      <c r="G258" s="1210">
        <v>45574</v>
      </c>
      <c r="I258" t="s">
        <v>2900</v>
      </c>
      <c r="J258" t="s">
        <v>2082</v>
      </c>
      <c r="K258">
        <v>1511629</v>
      </c>
      <c r="L258" t="s">
        <v>2784</v>
      </c>
      <c r="M258" t="s">
        <v>3193</v>
      </c>
      <c r="N258" t="s">
        <v>3220</v>
      </c>
      <c r="O258" t="s">
        <v>2743</v>
      </c>
      <c r="P258" s="103">
        <v>45643</v>
      </c>
      <c r="Q258" t="s">
        <v>2231</v>
      </c>
      <c r="R258" s="103">
        <v>45647</v>
      </c>
      <c r="S258" t="s">
        <v>2281</v>
      </c>
      <c r="U258" t="s">
        <v>2744</v>
      </c>
      <c r="X258" t="s">
        <v>490</v>
      </c>
      <c r="Y258" t="s">
        <v>2088</v>
      </c>
      <c r="AD258">
        <v>30</v>
      </c>
    </row>
    <row r="259" spans="1:30" hidden="1">
      <c r="A259">
        <v>203728</v>
      </c>
      <c r="B259">
        <v>100</v>
      </c>
      <c r="C259" t="s">
        <v>3222</v>
      </c>
      <c r="E259" s="103">
        <v>45664</v>
      </c>
      <c r="F259">
        <v>1</v>
      </c>
      <c r="G259" s="1210">
        <v>45580</v>
      </c>
      <c r="I259" t="s">
        <v>553</v>
      </c>
      <c r="J259" t="s">
        <v>2082</v>
      </c>
      <c r="K259">
        <v>4500008391</v>
      </c>
      <c r="L259" t="s">
        <v>3223</v>
      </c>
      <c r="M259" t="s">
        <v>3220</v>
      </c>
      <c r="N259" t="s">
        <v>3220</v>
      </c>
      <c r="O259" t="s">
        <v>2026</v>
      </c>
      <c r="P259" s="103">
        <v>45643</v>
      </c>
      <c r="Q259" t="s">
        <v>2231</v>
      </c>
      <c r="R259" s="103">
        <v>45647</v>
      </c>
      <c r="S259" t="s">
        <v>2281</v>
      </c>
      <c r="U259" t="s">
        <v>2744</v>
      </c>
      <c r="W259" t="s">
        <v>3224</v>
      </c>
      <c r="X259" t="s">
        <v>3225</v>
      </c>
      <c r="Y259" t="s">
        <v>2088</v>
      </c>
      <c r="AD259">
        <v>325</v>
      </c>
    </row>
    <row r="260" spans="1:30" hidden="1">
      <c r="A260">
        <v>203746</v>
      </c>
      <c r="B260">
        <v>100</v>
      </c>
      <c r="C260" t="s">
        <v>3226</v>
      </c>
      <c r="E260" s="103">
        <v>45664</v>
      </c>
      <c r="F260">
        <v>1</v>
      </c>
      <c r="G260" s="1210">
        <v>45580</v>
      </c>
      <c r="I260" t="s">
        <v>726</v>
      </c>
      <c r="J260" t="s">
        <v>2082</v>
      </c>
      <c r="K260">
        <v>4500008392</v>
      </c>
      <c r="L260" t="s">
        <v>3227</v>
      </c>
      <c r="M260" t="s">
        <v>3167</v>
      </c>
      <c r="N260" t="s">
        <v>3220</v>
      </c>
      <c r="O260" t="s">
        <v>2026</v>
      </c>
      <c r="P260" s="103">
        <v>45643</v>
      </c>
      <c r="Q260" t="s">
        <v>2231</v>
      </c>
      <c r="R260" s="103">
        <v>45647</v>
      </c>
      <c r="S260" t="s">
        <v>2281</v>
      </c>
      <c r="U260" t="s">
        <v>2744</v>
      </c>
      <c r="W260" t="s">
        <v>3224</v>
      </c>
      <c r="X260" t="s">
        <v>3225</v>
      </c>
      <c r="Y260" t="s">
        <v>2088</v>
      </c>
      <c r="AD260">
        <v>425</v>
      </c>
    </row>
    <row r="261" spans="1:30" hidden="1">
      <c r="A261">
        <v>203750</v>
      </c>
      <c r="B261">
        <v>200</v>
      </c>
      <c r="C261" t="s">
        <v>3228</v>
      </c>
      <c r="E261" s="103">
        <v>45664</v>
      </c>
      <c r="F261">
        <v>1</v>
      </c>
      <c r="G261" s="1210">
        <v>45580</v>
      </c>
      <c r="I261" t="s">
        <v>783</v>
      </c>
      <c r="J261" t="s">
        <v>2082</v>
      </c>
      <c r="K261">
        <v>4500008393</v>
      </c>
      <c r="L261" t="s">
        <v>3229</v>
      </c>
      <c r="M261" t="s">
        <v>3167</v>
      </c>
      <c r="N261" t="s">
        <v>3220</v>
      </c>
      <c r="O261" t="s">
        <v>2026</v>
      </c>
      <c r="P261" s="103">
        <v>45643</v>
      </c>
      <c r="Q261" t="s">
        <v>2231</v>
      </c>
      <c r="R261" s="103">
        <v>45647</v>
      </c>
      <c r="S261" t="s">
        <v>2281</v>
      </c>
      <c r="U261" t="s">
        <v>2744</v>
      </c>
      <c r="W261" t="s">
        <v>3224</v>
      </c>
      <c r="X261" t="s">
        <v>3225</v>
      </c>
      <c r="Y261" t="s">
        <v>2088</v>
      </c>
      <c r="AD261">
        <v>700</v>
      </c>
    </row>
    <row r="262" spans="1:30" hidden="1">
      <c r="A262">
        <v>193188</v>
      </c>
      <c r="B262">
        <v>80</v>
      </c>
      <c r="C262" t="s">
        <v>3230</v>
      </c>
      <c r="E262" s="103">
        <v>45667</v>
      </c>
      <c r="F262">
        <v>1</v>
      </c>
      <c r="G262" s="1210">
        <v>45530</v>
      </c>
      <c r="I262" t="s">
        <v>2593</v>
      </c>
      <c r="J262" t="s">
        <v>2082</v>
      </c>
      <c r="K262">
        <v>4500007909</v>
      </c>
      <c r="L262" t="s">
        <v>3231</v>
      </c>
      <c r="M262" t="s">
        <v>3220</v>
      </c>
      <c r="N262" t="s">
        <v>3232</v>
      </c>
      <c r="O262" t="s">
        <v>2026</v>
      </c>
      <c r="P262" s="103">
        <v>45657</v>
      </c>
      <c r="Q262" t="s">
        <v>2231</v>
      </c>
      <c r="R262" s="103">
        <v>45664</v>
      </c>
      <c r="S262" t="s">
        <v>2281</v>
      </c>
      <c r="U262" t="s">
        <v>2744</v>
      </c>
      <c r="X262" t="s">
        <v>3233</v>
      </c>
      <c r="Y262" t="s">
        <v>2088</v>
      </c>
      <c r="AD262">
        <v>80</v>
      </c>
    </row>
    <row r="263" spans="1:30" hidden="1">
      <c r="A263">
        <v>205923</v>
      </c>
      <c r="B263">
        <v>480</v>
      </c>
      <c r="C263" t="s">
        <v>2997</v>
      </c>
      <c r="E263" s="103">
        <v>45667</v>
      </c>
      <c r="F263">
        <v>1</v>
      </c>
      <c r="G263" s="1210">
        <v>45534</v>
      </c>
      <c r="I263" t="s">
        <v>748</v>
      </c>
      <c r="J263" t="s">
        <v>2082</v>
      </c>
      <c r="K263">
        <v>4500007935</v>
      </c>
      <c r="L263" t="s">
        <v>3234</v>
      </c>
      <c r="M263" t="s">
        <v>3235</v>
      </c>
      <c r="N263" t="s">
        <v>3232</v>
      </c>
      <c r="O263" t="s">
        <v>2026</v>
      </c>
      <c r="P263" s="103">
        <v>45657</v>
      </c>
      <c r="Q263" t="s">
        <v>2231</v>
      </c>
      <c r="R263" s="103">
        <v>45664</v>
      </c>
      <c r="S263" t="s">
        <v>2281</v>
      </c>
      <c r="U263" t="s">
        <v>2744</v>
      </c>
      <c r="X263" t="s">
        <v>3000</v>
      </c>
      <c r="Y263" t="s">
        <v>2088</v>
      </c>
      <c r="AD263">
        <v>1779</v>
      </c>
    </row>
    <row r="264" spans="1:30" hidden="1">
      <c r="A264">
        <v>210646</v>
      </c>
      <c r="B264">
        <v>1220</v>
      </c>
      <c r="C264" t="s">
        <v>2997</v>
      </c>
      <c r="E264" s="103">
        <v>45667</v>
      </c>
      <c r="F264">
        <v>1</v>
      </c>
      <c r="G264" s="1210">
        <v>45534</v>
      </c>
      <c r="I264" t="s">
        <v>748</v>
      </c>
      <c r="J264" t="s">
        <v>2082</v>
      </c>
      <c r="K264">
        <v>4500008821</v>
      </c>
      <c r="L264" t="s">
        <v>3236</v>
      </c>
      <c r="M264" t="s">
        <v>3220</v>
      </c>
      <c r="N264" t="s">
        <v>3232</v>
      </c>
      <c r="O264" t="s">
        <v>2026</v>
      </c>
      <c r="P264" s="103">
        <v>45657</v>
      </c>
      <c r="Q264" t="s">
        <v>2231</v>
      </c>
      <c r="R264" s="103">
        <v>45664</v>
      </c>
      <c r="S264" t="s">
        <v>2281</v>
      </c>
      <c r="U264" t="s">
        <v>2744</v>
      </c>
      <c r="V264" t="s">
        <v>3237</v>
      </c>
      <c r="X264" t="s">
        <v>3000</v>
      </c>
      <c r="Y264" t="s">
        <v>2088</v>
      </c>
      <c r="AD264">
        <v>2999</v>
      </c>
    </row>
    <row r="265" spans="1:30" hidden="1">
      <c r="A265">
        <v>205917</v>
      </c>
      <c r="B265">
        <v>190</v>
      </c>
      <c r="C265" t="s">
        <v>3238</v>
      </c>
      <c r="E265" s="103">
        <v>45667</v>
      </c>
      <c r="F265">
        <v>1</v>
      </c>
      <c r="G265" s="1210">
        <v>45539</v>
      </c>
      <c r="I265" t="s">
        <v>630</v>
      </c>
      <c r="J265" t="s">
        <v>2082</v>
      </c>
      <c r="K265">
        <v>4500007926</v>
      </c>
      <c r="L265" t="s">
        <v>3239</v>
      </c>
      <c r="M265" t="s">
        <v>3220</v>
      </c>
      <c r="N265" t="s">
        <v>3232</v>
      </c>
      <c r="O265" t="s">
        <v>2026</v>
      </c>
      <c r="P265" s="103">
        <v>45657</v>
      </c>
      <c r="Q265" t="s">
        <v>2231</v>
      </c>
      <c r="R265" s="103">
        <v>45664</v>
      </c>
      <c r="S265" t="s">
        <v>2281</v>
      </c>
      <c r="U265" t="s">
        <v>2744</v>
      </c>
      <c r="W265" t="s">
        <v>3224</v>
      </c>
      <c r="X265" t="s">
        <v>3000</v>
      </c>
      <c r="Y265" t="s">
        <v>2088</v>
      </c>
      <c r="AD265">
        <v>298</v>
      </c>
    </row>
    <row r="266" spans="1:30" hidden="1">
      <c r="A266">
        <v>205919</v>
      </c>
      <c r="B266">
        <v>400</v>
      </c>
      <c r="C266" t="s">
        <v>3240</v>
      </c>
      <c r="E266" s="103">
        <v>45667</v>
      </c>
      <c r="F266">
        <v>1</v>
      </c>
      <c r="G266" s="1210">
        <v>45539</v>
      </c>
      <c r="I266" t="s">
        <v>779</v>
      </c>
      <c r="J266" t="s">
        <v>2082</v>
      </c>
      <c r="K266">
        <v>4500007931</v>
      </c>
      <c r="L266" t="s">
        <v>3241</v>
      </c>
      <c r="M266" t="s">
        <v>3220</v>
      </c>
      <c r="N266" t="s">
        <v>3232</v>
      </c>
      <c r="O266" t="s">
        <v>2026</v>
      </c>
      <c r="P266" s="103">
        <v>45657</v>
      </c>
      <c r="Q266" t="s">
        <v>2231</v>
      </c>
      <c r="R266" s="103">
        <v>45664</v>
      </c>
      <c r="S266" t="s">
        <v>2281</v>
      </c>
      <c r="U266" t="s">
        <v>2744</v>
      </c>
      <c r="W266" t="s">
        <v>3224</v>
      </c>
      <c r="X266" t="s">
        <v>3000</v>
      </c>
      <c r="Y266" t="s">
        <v>2088</v>
      </c>
      <c r="AD266">
        <v>698</v>
      </c>
    </row>
    <row r="267" spans="1:30" hidden="1">
      <c r="A267">
        <v>208299</v>
      </c>
      <c r="B267">
        <v>2</v>
      </c>
      <c r="C267" t="s">
        <v>3189</v>
      </c>
      <c r="E267" s="103">
        <v>45667</v>
      </c>
      <c r="F267">
        <v>1</v>
      </c>
      <c r="G267" s="1210">
        <v>45587</v>
      </c>
      <c r="I267" t="s">
        <v>488</v>
      </c>
      <c r="J267" t="s">
        <v>2082</v>
      </c>
      <c r="K267">
        <v>4500008464</v>
      </c>
      <c r="L267" t="s">
        <v>3242</v>
      </c>
      <c r="M267" t="s">
        <v>3243</v>
      </c>
      <c r="N267" t="s">
        <v>3244</v>
      </c>
      <c r="O267" t="s">
        <v>2094</v>
      </c>
      <c r="Q267" t="s">
        <v>2231</v>
      </c>
      <c r="S267" t="s">
        <v>2961</v>
      </c>
      <c r="U267" t="s">
        <v>2744</v>
      </c>
      <c r="V267" t="s">
        <v>2815</v>
      </c>
      <c r="X267" t="s">
        <v>3225</v>
      </c>
      <c r="Y267" t="s">
        <v>2088</v>
      </c>
      <c r="AD267">
        <v>2</v>
      </c>
    </row>
    <row r="268" spans="1:30" hidden="1">
      <c r="A268">
        <v>208299</v>
      </c>
      <c r="B268">
        <v>2</v>
      </c>
      <c r="C268" t="s">
        <v>3189</v>
      </c>
      <c r="E268" s="103">
        <v>45671</v>
      </c>
      <c r="F268">
        <v>1</v>
      </c>
      <c r="G268" s="1210">
        <v>45587</v>
      </c>
      <c r="I268" t="s">
        <v>488</v>
      </c>
      <c r="J268" t="s">
        <v>2082</v>
      </c>
      <c r="K268">
        <v>4500008464</v>
      </c>
      <c r="L268" t="s">
        <v>3242</v>
      </c>
      <c r="M268" t="s">
        <v>3243</v>
      </c>
      <c r="N268" t="s">
        <v>3244</v>
      </c>
      <c r="O268" t="s">
        <v>2094</v>
      </c>
      <c r="Q268" t="s">
        <v>2231</v>
      </c>
      <c r="S268" t="s">
        <v>2806</v>
      </c>
      <c r="U268" t="s">
        <v>2744</v>
      </c>
      <c r="V268" t="s">
        <v>2815</v>
      </c>
      <c r="X268" t="s">
        <v>3225</v>
      </c>
      <c r="Y268" t="s">
        <v>2088</v>
      </c>
      <c r="AD268">
        <v>4</v>
      </c>
    </row>
    <row r="269" spans="1:30" hidden="1">
      <c r="A269">
        <v>208299</v>
      </c>
      <c r="B269">
        <v>2</v>
      </c>
      <c r="C269" t="s">
        <v>3189</v>
      </c>
      <c r="E269" s="103">
        <v>45671</v>
      </c>
      <c r="F269">
        <v>1</v>
      </c>
      <c r="G269" s="1210">
        <v>45587</v>
      </c>
      <c r="I269" t="s">
        <v>488</v>
      </c>
      <c r="J269" t="s">
        <v>2082</v>
      </c>
      <c r="K269">
        <v>4500008464</v>
      </c>
      <c r="L269" t="s">
        <v>3242</v>
      </c>
      <c r="M269" t="s">
        <v>3243</v>
      </c>
      <c r="N269" t="s">
        <v>3244</v>
      </c>
      <c r="O269" t="s">
        <v>2094</v>
      </c>
      <c r="Q269" t="s">
        <v>2231</v>
      </c>
      <c r="S269" t="s">
        <v>3245</v>
      </c>
      <c r="U269" t="s">
        <v>2744</v>
      </c>
      <c r="V269" t="s">
        <v>2815</v>
      </c>
      <c r="X269" t="s">
        <v>3225</v>
      </c>
      <c r="Y269" t="s">
        <v>2088</v>
      </c>
      <c r="AD269">
        <v>6</v>
      </c>
    </row>
    <row r="270" spans="1:30" hidden="1">
      <c r="A270">
        <v>199872</v>
      </c>
      <c r="B270">
        <v>865</v>
      </c>
      <c r="C270" t="s">
        <v>3184</v>
      </c>
      <c r="E270" s="103">
        <v>45672</v>
      </c>
      <c r="F270">
        <v>1</v>
      </c>
      <c r="G270" s="1210">
        <v>45573</v>
      </c>
      <c r="I270" t="s">
        <v>670</v>
      </c>
      <c r="J270" t="s">
        <v>2074</v>
      </c>
      <c r="K270">
        <v>4500008303</v>
      </c>
      <c r="L270" t="s">
        <v>3246</v>
      </c>
      <c r="M270" t="s">
        <v>3247</v>
      </c>
      <c r="N270" t="s">
        <v>3248</v>
      </c>
      <c r="O270" t="s">
        <v>2743</v>
      </c>
      <c r="P270" s="103">
        <v>45659</v>
      </c>
      <c r="Q270" t="s">
        <v>3051</v>
      </c>
      <c r="R270" s="103">
        <v>45665</v>
      </c>
      <c r="S270" t="s">
        <v>2281</v>
      </c>
      <c r="U270" t="s">
        <v>2744</v>
      </c>
      <c r="V270" t="s">
        <v>3186</v>
      </c>
      <c r="W270" t="s">
        <v>3027</v>
      </c>
      <c r="X270" t="s">
        <v>3187</v>
      </c>
      <c r="Y270" t="s">
        <v>2088</v>
      </c>
      <c r="AD270">
        <v>870</v>
      </c>
    </row>
    <row r="271" spans="1:30" hidden="1">
      <c r="A271">
        <v>191673</v>
      </c>
      <c r="B271">
        <v>10</v>
      </c>
      <c r="C271" t="s">
        <v>3249</v>
      </c>
      <c r="E271" s="103">
        <v>45672</v>
      </c>
      <c r="F271">
        <v>1</v>
      </c>
      <c r="G271" s="1210">
        <v>45574</v>
      </c>
      <c r="I271" t="s">
        <v>3250</v>
      </c>
      <c r="J271" t="s">
        <v>2074</v>
      </c>
      <c r="K271">
        <v>1511711</v>
      </c>
      <c r="L271" t="s">
        <v>3251</v>
      </c>
      <c r="M271" t="s">
        <v>3181</v>
      </c>
      <c r="N271" t="s">
        <v>3181</v>
      </c>
      <c r="O271" t="s">
        <v>2743</v>
      </c>
      <c r="P271" s="103">
        <v>45639</v>
      </c>
      <c r="Q271" t="s">
        <v>3051</v>
      </c>
      <c r="R271" s="103">
        <v>45643</v>
      </c>
      <c r="S271" t="s">
        <v>2281</v>
      </c>
      <c r="U271" t="s">
        <v>2744</v>
      </c>
      <c r="X271" t="s">
        <v>490</v>
      </c>
      <c r="Y271" t="s">
        <v>2088</v>
      </c>
      <c r="AD271">
        <v>10</v>
      </c>
    </row>
    <row r="272" spans="1:30" hidden="1">
      <c r="A272">
        <v>199026</v>
      </c>
      <c r="B272">
        <v>500</v>
      </c>
      <c r="C272" t="s">
        <v>3053</v>
      </c>
      <c r="E272" s="103">
        <v>45678</v>
      </c>
      <c r="F272">
        <v>1</v>
      </c>
      <c r="G272" s="1210">
        <v>45559</v>
      </c>
      <c r="I272" t="s">
        <v>1037</v>
      </c>
      <c r="J272" t="s">
        <v>2012</v>
      </c>
      <c r="K272">
        <v>4500008175</v>
      </c>
      <c r="L272" t="s">
        <v>3252</v>
      </c>
      <c r="M272" t="s">
        <v>3253</v>
      </c>
      <c r="N272" t="s">
        <v>3254</v>
      </c>
      <c r="O272" t="s">
        <v>2743</v>
      </c>
      <c r="P272" s="103">
        <v>45668</v>
      </c>
      <c r="Q272" t="s">
        <v>2231</v>
      </c>
      <c r="R272" s="103">
        <v>45673</v>
      </c>
      <c r="S272" t="s">
        <v>2281</v>
      </c>
      <c r="U272" t="s">
        <v>2744</v>
      </c>
      <c r="W272" t="s">
        <v>3255</v>
      </c>
      <c r="X272" t="s">
        <v>2862</v>
      </c>
      <c r="Y272" t="s">
        <v>2088</v>
      </c>
      <c r="AD272">
        <v>1860</v>
      </c>
    </row>
    <row r="273" spans="1:30" hidden="1">
      <c r="A273">
        <v>199017</v>
      </c>
      <c r="B273">
        <v>20</v>
      </c>
      <c r="C273" t="s">
        <v>3036</v>
      </c>
      <c r="E273" s="103">
        <v>45678</v>
      </c>
      <c r="F273">
        <v>1</v>
      </c>
      <c r="G273" s="1210">
        <v>45587</v>
      </c>
      <c r="I273" t="s">
        <v>2586</v>
      </c>
      <c r="J273" t="s">
        <v>2012</v>
      </c>
      <c r="K273">
        <v>4500008460</v>
      </c>
      <c r="L273" t="s">
        <v>3123</v>
      </c>
      <c r="M273" t="s">
        <v>3181</v>
      </c>
      <c r="N273" t="s">
        <v>3254</v>
      </c>
      <c r="O273" t="s">
        <v>2743</v>
      </c>
      <c r="P273" s="103">
        <v>45668</v>
      </c>
      <c r="Q273" t="s">
        <v>2231</v>
      </c>
      <c r="R273" s="103">
        <v>45673</v>
      </c>
      <c r="S273" t="s">
        <v>2281</v>
      </c>
      <c r="U273" t="s">
        <v>2744</v>
      </c>
      <c r="X273" t="s">
        <v>2862</v>
      </c>
      <c r="Y273" t="s">
        <v>2088</v>
      </c>
      <c r="AD273">
        <v>210</v>
      </c>
    </row>
    <row r="274" spans="1:30" hidden="1">
      <c r="A274">
        <v>199019</v>
      </c>
      <c r="B274">
        <v>30</v>
      </c>
      <c r="C274" t="s">
        <v>3023</v>
      </c>
      <c r="E274" s="103">
        <v>45678</v>
      </c>
      <c r="F274">
        <v>1</v>
      </c>
      <c r="G274" s="1210">
        <v>45587</v>
      </c>
      <c r="I274" t="s">
        <v>2869</v>
      </c>
      <c r="J274" t="s">
        <v>2012</v>
      </c>
      <c r="K274">
        <v>4500008461</v>
      </c>
      <c r="L274" t="s">
        <v>3080</v>
      </c>
      <c r="M274" t="s">
        <v>3181</v>
      </c>
      <c r="N274" t="s">
        <v>3254</v>
      </c>
      <c r="O274" t="s">
        <v>2743</v>
      </c>
      <c r="P274" s="103">
        <v>45668</v>
      </c>
      <c r="Q274" t="s">
        <v>2231</v>
      </c>
      <c r="R274" s="103">
        <v>45673</v>
      </c>
      <c r="S274" t="s">
        <v>2281</v>
      </c>
      <c r="U274" t="s">
        <v>2744</v>
      </c>
      <c r="X274" t="s">
        <v>2862</v>
      </c>
      <c r="Y274" t="s">
        <v>2088</v>
      </c>
      <c r="AD274">
        <v>880</v>
      </c>
    </row>
    <row r="275" spans="1:30" hidden="1">
      <c r="A275">
        <v>208299</v>
      </c>
      <c r="B275">
        <v>306</v>
      </c>
      <c r="C275" t="s">
        <v>3189</v>
      </c>
      <c r="E275" s="103">
        <v>45685</v>
      </c>
      <c r="F275">
        <v>1</v>
      </c>
      <c r="G275" s="1210">
        <v>45587</v>
      </c>
      <c r="I275" t="s">
        <v>488</v>
      </c>
      <c r="J275" t="s">
        <v>2082</v>
      </c>
      <c r="K275">
        <v>4500008463</v>
      </c>
      <c r="L275" t="s">
        <v>3256</v>
      </c>
      <c r="M275" t="s">
        <v>3243</v>
      </c>
      <c r="N275" t="s">
        <v>3257</v>
      </c>
      <c r="O275" t="s">
        <v>2026</v>
      </c>
      <c r="P275" s="103">
        <v>45677</v>
      </c>
      <c r="Q275" t="s">
        <v>2231</v>
      </c>
      <c r="R275" s="103">
        <v>45681</v>
      </c>
      <c r="S275" t="s">
        <v>2281</v>
      </c>
      <c r="U275" t="s">
        <v>2744</v>
      </c>
      <c r="V275" t="s">
        <v>2933</v>
      </c>
      <c r="W275" t="s">
        <v>3258</v>
      </c>
      <c r="X275" t="s">
        <v>3225</v>
      </c>
      <c r="Y275" t="s">
        <v>2088</v>
      </c>
      <c r="AD275">
        <v>312</v>
      </c>
    </row>
    <row r="276" spans="1:30" hidden="1">
      <c r="A276">
        <v>212348</v>
      </c>
      <c r="B276">
        <v>1</v>
      </c>
      <c r="C276" t="s">
        <v>3259</v>
      </c>
      <c r="E276" s="103">
        <v>45685</v>
      </c>
      <c r="F276">
        <v>3</v>
      </c>
      <c r="G276" s="1210">
        <v>45671</v>
      </c>
      <c r="I276" t="s">
        <v>3260</v>
      </c>
      <c r="J276" t="s">
        <v>2082</v>
      </c>
      <c r="K276">
        <v>4500009389</v>
      </c>
      <c r="L276" t="s">
        <v>3259</v>
      </c>
      <c r="N276" t="s">
        <v>3261</v>
      </c>
      <c r="O276" t="s">
        <v>2094</v>
      </c>
      <c r="Q276" t="s">
        <v>2231</v>
      </c>
      <c r="S276" t="s">
        <v>2806</v>
      </c>
      <c r="U276" t="s">
        <v>2744</v>
      </c>
      <c r="X276" t="s">
        <v>490</v>
      </c>
      <c r="Y276" t="s">
        <v>2088</v>
      </c>
      <c r="AD276">
        <v>0</v>
      </c>
    </row>
    <row r="277" spans="1:30" hidden="1">
      <c r="A277">
        <v>201900</v>
      </c>
      <c r="B277">
        <v>130</v>
      </c>
      <c r="C277" t="s">
        <v>3105</v>
      </c>
      <c r="E277" s="103">
        <v>45688</v>
      </c>
      <c r="F277">
        <v>4</v>
      </c>
      <c r="G277" s="1210">
        <v>45608</v>
      </c>
      <c r="I277" t="s">
        <v>327</v>
      </c>
      <c r="J277" t="s">
        <v>2012</v>
      </c>
      <c r="K277">
        <v>4500008710</v>
      </c>
      <c r="L277" t="s">
        <v>3262</v>
      </c>
      <c r="M277" t="s">
        <v>3263</v>
      </c>
      <c r="N277" t="s">
        <v>3264</v>
      </c>
      <c r="O277" t="s">
        <v>2743</v>
      </c>
      <c r="P277" s="103">
        <v>45678</v>
      </c>
      <c r="Q277" t="s">
        <v>2231</v>
      </c>
      <c r="R277" s="103">
        <v>45682</v>
      </c>
      <c r="S277" t="s">
        <v>2281</v>
      </c>
      <c r="U277" t="s">
        <v>2282</v>
      </c>
      <c r="X277" t="s">
        <v>3160</v>
      </c>
      <c r="Y277" t="s">
        <v>2088</v>
      </c>
      <c r="AD277">
        <v>2848</v>
      </c>
    </row>
    <row r="278" spans="1:30" hidden="1">
      <c r="A278">
        <v>199022</v>
      </c>
      <c r="B278">
        <v>40</v>
      </c>
      <c r="C278" t="s">
        <v>3057</v>
      </c>
      <c r="E278" s="103">
        <v>45691</v>
      </c>
      <c r="F278">
        <v>1</v>
      </c>
      <c r="G278" s="1210">
        <v>45608</v>
      </c>
      <c r="I278" t="s">
        <v>460</v>
      </c>
      <c r="J278" t="s">
        <v>2012</v>
      </c>
      <c r="K278">
        <v>4500008711</v>
      </c>
      <c r="L278" t="s">
        <v>3265</v>
      </c>
      <c r="M278" t="s">
        <v>3266</v>
      </c>
      <c r="N278" t="s">
        <v>3267</v>
      </c>
      <c r="O278" t="s">
        <v>2743</v>
      </c>
      <c r="P278" s="103">
        <v>45676</v>
      </c>
      <c r="Q278" t="s">
        <v>2231</v>
      </c>
      <c r="R278" s="103">
        <v>45680</v>
      </c>
      <c r="S278" t="s">
        <v>2281</v>
      </c>
      <c r="U278" t="s">
        <v>2744</v>
      </c>
      <c r="X278" t="s">
        <v>3160</v>
      </c>
      <c r="Y278" t="s">
        <v>2088</v>
      </c>
      <c r="AD278">
        <v>1120</v>
      </c>
    </row>
    <row r="279" spans="1:30" hidden="1">
      <c r="A279">
        <v>199022</v>
      </c>
      <c r="B279">
        <v>150</v>
      </c>
      <c r="C279" t="s">
        <v>3057</v>
      </c>
      <c r="E279" s="103">
        <v>45691</v>
      </c>
      <c r="F279">
        <v>1</v>
      </c>
      <c r="G279" s="1210">
        <v>45616</v>
      </c>
      <c r="I279" t="s">
        <v>460</v>
      </c>
      <c r="J279" t="s">
        <v>2012</v>
      </c>
      <c r="K279">
        <v>4500008838</v>
      </c>
      <c r="L279" t="s">
        <v>3268</v>
      </c>
      <c r="M279" t="s">
        <v>3266</v>
      </c>
      <c r="N279" t="s">
        <v>3267</v>
      </c>
      <c r="O279" t="s">
        <v>2743</v>
      </c>
      <c r="P279" s="103">
        <v>45678</v>
      </c>
      <c r="Q279" t="s">
        <v>2231</v>
      </c>
      <c r="R279" s="103">
        <v>45683</v>
      </c>
      <c r="S279" t="s">
        <v>2281</v>
      </c>
      <c r="U279" t="s">
        <v>2744</v>
      </c>
      <c r="X279" t="s">
        <v>3160</v>
      </c>
      <c r="Y279" t="s">
        <v>2088</v>
      </c>
      <c r="AD279">
        <v>1270</v>
      </c>
    </row>
    <row r="280" spans="1:30" hidden="1">
      <c r="A280">
        <v>199022</v>
      </c>
      <c r="B280">
        <v>400</v>
      </c>
      <c r="C280" t="s">
        <v>3057</v>
      </c>
      <c r="E280" s="103">
        <v>45691</v>
      </c>
      <c r="F280">
        <v>1</v>
      </c>
      <c r="G280" s="1210">
        <v>45625</v>
      </c>
      <c r="I280" t="s">
        <v>460</v>
      </c>
      <c r="J280" t="s">
        <v>2012</v>
      </c>
      <c r="K280">
        <v>4500009017</v>
      </c>
      <c r="L280" t="s">
        <v>3269</v>
      </c>
      <c r="M280" t="s">
        <v>3266</v>
      </c>
      <c r="N280" t="s">
        <v>3267</v>
      </c>
      <c r="O280" t="s">
        <v>2743</v>
      </c>
      <c r="P280" s="103">
        <v>45676</v>
      </c>
      <c r="Q280" t="s">
        <v>2231</v>
      </c>
      <c r="R280" s="103">
        <v>45680</v>
      </c>
      <c r="S280" t="s">
        <v>2281</v>
      </c>
      <c r="U280" t="s">
        <v>2744</v>
      </c>
      <c r="X280" t="s">
        <v>3270</v>
      </c>
      <c r="Y280" t="s">
        <v>2088</v>
      </c>
      <c r="AD280">
        <v>1670</v>
      </c>
    </row>
    <row r="281" spans="1:30" hidden="1">
      <c r="A281">
        <v>199022</v>
      </c>
      <c r="B281">
        <v>400</v>
      </c>
      <c r="C281" t="s">
        <v>3057</v>
      </c>
      <c r="E281" s="103">
        <v>45691</v>
      </c>
      <c r="F281">
        <v>1</v>
      </c>
      <c r="G281" s="1210">
        <v>45642</v>
      </c>
      <c r="I281" t="s">
        <v>460</v>
      </c>
      <c r="J281" t="s">
        <v>2012</v>
      </c>
      <c r="K281">
        <v>4500009165</v>
      </c>
      <c r="L281" t="s">
        <v>3269</v>
      </c>
      <c r="M281" t="s">
        <v>3266</v>
      </c>
      <c r="N281" t="s">
        <v>3267</v>
      </c>
      <c r="O281" t="s">
        <v>2743</v>
      </c>
      <c r="P281" s="103">
        <v>45676</v>
      </c>
      <c r="Q281" t="s">
        <v>2231</v>
      </c>
      <c r="R281" s="103">
        <v>45680</v>
      </c>
      <c r="S281" t="s">
        <v>2281</v>
      </c>
      <c r="U281" t="s">
        <v>2744</v>
      </c>
      <c r="X281" t="s">
        <v>3270</v>
      </c>
      <c r="Y281" t="s">
        <v>2088</v>
      </c>
      <c r="AD281">
        <v>2070</v>
      </c>
    </row>
    <row r="282" spans="1:30" hidden="1">
      <c r="A282">
        <v>199023</v>
      </c>
      <c r="B282">
        <v>100</v>
      </c>
      <c r="C282" t="s">
        <v>3062</v>
      </c>
      <c r="E282" s="103">
        <v>45692</v>
      </c>
      <c r="F282">
        <v>1</v>
      </c>
      <c r="G282" s="1210">
        <v>45593</v>
      </c>
      <c r="I282" t="s">
        <v>465</v>
      </c>
      <c r="J282" t="s">
        <v>2012</v>
      </c>
      <c r="K282">
        <v>4500008530</v>
      </c>
      <c r="L282" t="s">
        <v>3175</v>
      </c>
      <c r="M282" t="s">
        <v>3271</v>
      </c>
      <c r="N282" t="s">
        <v>3264</v>
      </c>
      <c r="O282" t="s">
        <v>2743</v>
      </c>
      <c r="P282" s="103">
        <v>45678</v>
      </c>
      <c r="Q282" t="s">
        <v>3051</v>
      </c>
      <c r="R282" s="103">
        <v>45683</v>
      </c>
      <c r="S282" t="s">
        <v>2281</v>
      </c>
      <c r="U282" t="s">
        <v>2744</v>
      </c>
      <c r="X282" t="s">
        <v>3160</v>
      </c>
      <c r="Y282" t="s">
        <v>2088</v>
      </c>
      <c r="AD282">
        <v>1830</v>
      </c>
    </row>
    <row r="283" spans="1:30" hidden="1">
      <c r="A283">
        <v>199021</v>
      </c>
      <c r="B283">
        <v>150</v>
      </c>
      <c r="C283" t="s">
        <v>3053</v>
      </c>
      <c r="E283" s="103">
        <v>45692</v>
      </c>
      <c r="F283">
        <v>1</v>
      </c>
      <c r="G283" s="1210">
        <v>45601</v>
      </c>
      <c r="I283" t="s">
        <v>456</v>
      </c>
      <c r="J283" t="s">
        <v>2012</v>
      </c>
      <c r="K283">
        <v>4500008596</v>
      </c>
      <c r="L283" t="s">
        <v>3159</v>
      </c>
      <c r="M283" t="s">
        <v>3272</v>
      </c>
      <c r="N283" t="s">
        <v>3264</v>
      </c>
      <c r="O283" t="s">
        <v>2743</v>
      </c>
      <c r="P283" s="103">
        <v>45682</v>
      </c>
      <c r="Q283" t="s">
        <v>3051</v>
      </c>
      <c r="R283" s="103">
        <v>45687</v>
      </c>
      <c r="S283" t="s">
        <v>2281</v>
      </c>
      <c r="U283" t="s">
        <v>2744</v>
      </c>
      <c r="X283" t="s">
        <v>3160</v>
      </c>
      <c r="Y283" t="s">
        <v>2088</v>
      </c>
      <c r="AD283">
        <v>2520</v>
      </c>
    </row>
    <row r="284" spans="1:30" hidden="1">
      <c r="A284">
        <v>199017</v>
      </c>
      <c r="B284">
        <v>10</v>
      </c>
      <c r="C284" t="s">
        <v>3036</v>
      </c>
      <c r="E284" s="103">
        <v>45692</v>
      </c>
      <c r="F284">
        <v>1</v>
      </c>
      <c r="G284" s="1210">
        <v>45616</v>
      </c>
      <c r="I284" t="s">
        <v>2586</v>
      </c>
      <c r="J284" t="s">
        <v>2012</v>
      </c>
      <c r="K284">
        <v>4500008833</v>
      </c>
      <c r="L284" t="s">
        <v>3273</v>
      </c>
      <c r="M284" t="s">
        <v>3274</v>
      </c>
      <c r="N284" t="s">
        <v>3264</v>
      </c>
      <c r="O284" t="s">
        <v>2743</v>
      </c>
      <c r="P284" s="103">
        <v>45682</v>
      </c>
      <c r="Q284" t="s">
        <v>2231</v>
      </c>
      <c r="R284" s="103">
        <v>45687</v>
      </c>
      <c r="S284" t="s">
        <v>2281</v>
      </c>
      <c r="U284" t="s">
        <v>2744</v>
      </c>
      <c r="X284" t="s">
        <v>2862</v>
      </c>
      <c r="Y284" t="s">
        <v>2088</v>
      </c>
      <c r="AD284">
        <v>220</v>
      </c>
    </row>
    <row r="285" spans="1:30" hidden="1">
      <c r="A285">
        <v>199021</v>
      </c>
      <c r="B285">
        <v>120</v>
      </c>
      <c r="C285" t="s">
        <v>3053</v>
      </c>
      <c r="E285" s="103">
        <v>45692</v>
      </c>
      <c r="F285">
        <v>1</v>
      </c>
      <c r="G285" s="1210">
        <v>45616</v>
      </c>
      <c r="I285" t="s">
        <v>456</v>
      </c>
      <c r="J285" t="s">
        <v>2012</v>
      </c>
      <c r="K285">
        <v>4500008837</v>
      </c>
      <c r="L285" t="s">
        <v>3275</v>
      </c>
      <c r="M285" t="s">
        <v>3272</v>
      </c>
      <c r="N285" t="s">
        <v>3264</v>
      </c>
      <c r="O285" t="s">
        <v>2743</v>
      </c>
      <c r="P285" s="103">
        <v>45682</v>
      </c>
      <c r="Q285" t="s">
        <v>2231</v>
      </c>
      <c r="R285" s="103">
        <v>45687</v>
      </c>
      <c r="S285" t="s">
        <v>2281</v>
      </c>
      <c r="U285" t="s">
        <v>2744</v>
      </c>
      <c r="X285" t="s">
        <v>3160</v>
      </c>
      <c r="Y285" t="s">
        <v>2088</v>
      </c>
      <c r="AD285">
        <v>2640</v>
      </c>
    </row>
    <row r="286" spans="1:30" hidden="1">
      <c r="A286">
        <v>199023</v>
      </c>
      <c r="B286">
        <v>100</v>
      </c>
      <c r="C286" t="s">
        <v>3062</v>
      </c>
      <c r="E286" s="103">
        <v>45692</v>
      </c>
      <c r="F286">
        <v>1</v>
      </c>
      <c r="G286" s="1210">
        <v>45616</v>
      </c>
      <c r="I286" t="s">
        <v>465</v>
      </c>
      <c r="J286" t="s">
        <v>2012</v>
      </c>
      <c r="K286">
        <v>4500008839</v>
      </c>
      <c r="L286" t="s">
        <v>3175</v>
      </c>
      <c r="M286" t="s">
        <v>3271</v>
      </c>
      <c r="N286" t="s">
        <v>3264</v>
      </c>
      <c r="O286" t="s">
        <v>2743</v>
      </c>
      <c r="P286" s="103">
        <v>45682</v>
      </c>
      <c r="Q286" t="s">
        <v>2231</v>
      </c>
      <c r="R286" s="103">
        <v>45687</v>
      </c>
      <c r="S286" t="s">
        <v>2281</v>
      </c>
      <c r="U286" t="s">
        <v>2744</v>
      </c>
      <c r="X286" t="s">
        <v>3160</v>
      </c>
      <c r="Y286" t="s">
        <v>2088</v>
      </c>
      <c r="AD286">
        <v>1930</v>
      </c>
    </row>
    <row r="287" spans="1:30" hidden="1">
      <c r="A287">
        <v>199025</v>
      </c>
      <c r="B287">
        <v>100</v>
      </c>
      <c r="C287" t="s">
        <v>2854</v>
      </c>
      <c r="E287" s="103">
        <v>45692</v>
      </c>
      <c r="F287">
        <v>1</v>
      </c>
      <c r="G287" s="1210">
        <v>45622</v>
      </c>
      <c r="I287" t="s">
        <v>344</v>
      </c>
      <c r="J287" t="s">
        <v>2012</v>
      </c>
      <c r="K287">
        <v>4500008923</v>
      </c>
      <c r="L287" t="s">
        <v>3276</v>
      </c>
      <c r="M287" t="s">
        <v>3271</v>
      </c>
      <c r="N287" t="s">
        <v>3264</v>
      </c>
      <c r="O287" t="s">
        <v>2743</v>
      </c>
      <c r="P287" s="103">
        <v>45682</v>
      </c>
      <c r="Q287" t="s">
        <v>2231</v>
      </c>
      <c r="R287" s="103">
        <v>45686</v>
      </c>
      <c r="S287" t="s">
        <v>2281</v>
      </c>
      <c r="U287" t="s">
        <v>2744</v>
      </c>
      <c r="V287" t="s">
        <v>3277</v>
      </c>
      <c r="X287" t="s">
        <v>3160</v>
      </c>
      <c r="Y287" t="s">
        <v>2088</v>
      </c>
      <c r="AD287">
        <v>680</v>
      </c>
    </row>
    <row r="288" spans="1:30" hidden="1">
      <c r="A288">
        <v>199018</v>
      </c>
      <c r="B288">
        <v>20</v>
      </c>
      <c r="C288" t="s">
        <v>2756</v>
      </c>
      <c r="E288" s="103">
        <v>45692</v>
      </c>
      <c r="F288">
        <v>1</v>
      </c>
      <c r="G288" s="1210">
        <v>45625</v>
      </c>
      <c r="I288" t="s">
        <v>2591</v>
      </c>
      <c r="J288" t="s">
        <v>2012</v>
      </c>
      <c r="K288">
        <v>4500009014</v>
      </c>
      <c r="L288" t="s">
        <v>2860</v>
      </c>
      <c r="M288" t="s">
        <v>3274</v>
      </c>
      <c r="N288" t="s">
        <v>3264</v>
      </c>
      <c r="O288" t="s">
        <v>2743</v>
      </c>
      <c r="P288" s="103">
        <v>45682</v>
      </c>
      <c r="Q288" t="s">
        <v>2231</v>
      </c>
      <c r="R288" s="103">
        <v>45686</v>
      </c>
      <c r="S288" t="s">
        <v>2281</v>
      </c>
      <c r="U288" t="s">
        <v>2744</v>
      </c>
      <c r="X288" t="s">
        <v>2862</v>
      </c>
      <c r="Y288" t="s">
        <v>2088</v>
      </c>
      <c r="AD288">
        <v>150</v>
      </c>
    </row>
    <row r="289" spans="1:30" hidden="1">
      <c r="A289">
        <v>199021</v>
      </c>
      <c r="B289">
        <v>150</v>
      </c>
      <c r="C289" t="s">
        <v>3053</v>
      </c>
      <c r="E289" s="103">
        <v>45692</v>
      </c>
      <c r="F289">
        <v>1</v>
      </c>
      <c r="G289" s="1210">
        <v>45625</v>
      </c>
      <c r="I289" t="s">
        <v>456</v>
      </c>
      <c r="J289" t="s">
        <v>2012</v>
      </c>
      <c r="K289">
        <v>4500009016</v>
      </c>
      <c r="L289" t="s">
        <v>3159</v>
      </c>
      <c r="M289" t="s">
        <v>3272</v>
      </c>
      <c r="N289" t="s">
        <v>3264</v>
      </c>
      <c r="O289" t="s">
        <v>2743</v>
      </c>
      <c r="P289" s="103">
        <v>45682</v>
      </c>
      <c r="Q289" t="s">
        <v>2231</v>
      </c>
      <c r="R289" s="103">
        <v>45686</v>
      </c>
      <c r="S289" t="s">
        <v>2281</v>
      </c>
      <c r="U289" t="s">
        <v>2744</v>
      </c>
      <c r="X289" t="s">
        <v>3270</v>
      </c>
      <c r="Y289" t="s">
        <v>2088</v>
      </c>
      <c r="AD289">
        <v>2790</v>
      </c>
    </row>
    <row r="290" spans="1:30" hidden="1">
      <c r="A290">
        <v>180235</v>
      </c>
      <c r="B290">
        <v>1</v>
      </c>
      <c r="C290" t="s">
        <v>3210</v>
      </c>
      <c r="E290" s="103">
        <v>45695</v>
      </c>
      <c r="F290">
        <v>4</v>
      </c>
      <c r="G290" s="1210">
        <v>45601</v>
      </c>
      <c r="I290" t="s">
        <v>646</v>
      </c>
      <c r="J290" t="s">
        <v>2070</v>
      </c>
      <c r="K290">
        <v>4500008390</v>
      </c>
      <c r="L290" t="s">
        <v>3210</v>
      </c>
      <c r="M290" t="s">
        <v>3267</v>
      </c>
      <c r="N290" t="s">
        <v>3264</v>
      </c>
      <c r="O290" t="s">
        <v>2026</v>
      </c>
      <c r="P290" s="103">
        <v>45681</v>
      </c>
      <c r="Q290" t="s">
        <v>2231</v>
      </c>
      <c r="R290" s="103">
        <v>45685</v>
      </c>
      <c r="S290" t="s">
        <v>2281</v>
      </c>
      <c r="U290" t="s">
        <v>2282</v>
      </c>
      <c r="W290" t="s">
        <v>3278</v>
      </c>
      <c r="X290" t="s">
        <v>490</v>
      </c>
      <c r="Y290" t="s">
        <v>2088</v>
      </c>
      <c r="AD290">
        <v>3790</v>
      </c>
    </row>
    <row r="291" spans="1:30" hidden="1">
      <c r="A291">
        <v>201900</v>
      </c>
      <c r="B291">
        <v>370</v>
      </c>
      <c r="C291" t="s">
        <v>3105</v>
      </c>
      <c r="E291" s="103">
        <v>45695</v>
      </c>
      <c r="F291">
        <v>4</v>
      </c>
      <c r="G291" s="1210">
        <v>45616</v>
      </c>
      <c r="I291" t="s">
        <v>327</v>
      </c>
      <c r="J291" t="s">
        <v>2012</v>
      </c>
      <c r="K291">
        <v>4500008835</v>
      </c>
      <c r="L291" t="s">
        <v>3279</v>
      </c>
      <c r="N291" t="s">
        <v>3280</v>
      </c>
      <c r="O291" t="s">
        <v>2743</v>
      </c>
      <c r="P291" s="103">
        <v>45685</v>
      </c>
      <c r="Q291" t="s">
        <v>2231</v>
      </c>
      <c r="R291" s="103">
        <v>45690</v>
      </c>
      <c r="S291" t="s">
        <v>2281</v>
      </c>
      <c r="U291" t="s">
        <v>2282</v>
      </c>
      <c r="X291" t="s">
        <v>3160</v>
      </c>
      <c r="Y291" t="s">
        <v>2088</v>
      </c>
      <c r="AD291">
        <v>2848</v>
      </c>
    </row>
    <row r="292" spans="1:30" hidden="1">
      <c r="A292">
        <v>199024</v>
      </c>
      <c r="B292">
        <v>900</v>
      </c>
      <c r="C292" t="s">
        <v>3107</v>
      </c>
      <c r="E292" s="103">
        <v>45695</v>
      </c>
      <c r="F292">
        <v>4</v>
      </c>
      <c r="G292" s="1210">
        <v>45616</v>
      </c>
      <c r="I292" t="s">
        <v>338</v>
      </c>
      <c r="J292" t="s">
        <v>2012</v>
      </c>
      <c r="K292">
        <v>4500008836</v>
      </c>
      <c r="L292" t="s">
        <v>3173</v>
      </c>
      <c r="N292" t="s">
        <v>3280</v>
      </c>
      <c r="O292" t="s">
        <v>2743</v>
      </c>
      <c r="P292" s="103">
        <v>45685</v>
      </c>
      <c r="Q292" t="s">
        <v>2231</v>
      </c>
      <c r="R292" s="103">
        <v>45690</v>
      </c>
      <c r="S292" t="s">
        <v>2281</v>
      </c>
      <c r="U292" t="s">
        <v>2282</v>
      </c>
      <c r="X292" t="s">
        <v>3160</v>
      </c>
      <c r="Y292" t="s">
        <v>2088</v>
      </c>
      <c r="AD292">
        <v>5540</v>
      </c>
    </row>
    <row r="293" spans="1:30" hidden="1">
      <c r="A293">
        <v>203726</v>
      </c>
      <c r="B293">
        <v>75</v>
      </c>
      <c r="C293" t="s">
        <v>3281</v>
      </c>
      <c r="E293" s="103">
        <v>45698</v>
      </c>
      <c r="F293">
        <v>1</v>
      </c>
      <c r="G293" s="1210">
        <v>45559</v>
      </c>
      <c r="I293" t="s">
        <v>988</v>
      </c>
      <c r="J293" t="s">
        <v>1833</v>
      </c>
      <c r="K293">
        <v>4500008153</v>
      </c>
      <c r="L293" t="s">
        <v>3282</v>
      </c>
      <c r="M293" t="s">
        <v>3264</v>
      </c>
      <c r="N293" t="s">
        <v>3283</v>
      </c>
      <c r="O293" t="s">
        <v>2026</v>
      </c>
      <c r="P293" s="103">
        <v>45686</v>
      </c>
      <c r="Q293" t="s">
        <v>2231</v>
      </c>
      <c r="R293" s="103">
        <v>45693</v>
      </c>
      <c r="S293" t="s">
        <v>2281</v>
      </c>
      <c r="U293" t="s">
        <v>2744</v>
      </c>
      <c r="X293" t="s">
        <v>3135</v>
      </c>
      <c r="Y293" t="s">
        <v>2088</v>
      </c>
      <c r="AD293">
        <v>155</v>
      </c>
    </row>
    <row r="294" spans="1:30" hidden="1">
      <c r="A294">
        <v>199319</v>
      </c>
      <c r="B294">
        <v>150</v>
      </c>
      <c r="C294" t="s">
        <v>2240</v>
      </c>
      <c r="E294" s="103">
        <v>45698</v>
      </c>
      <c r="F294">
        <v>1</v>
      </c>
      <c r="G294" s="1210">
        <v>45616</v>
      </c>
      <c r="I294" t="s">
        <v>358</v>
      </c>
      <c r="J294" t="s">
        <v>2082</v>
      </c>
      <c r="K294">
        <v>4500008832</v>
      </c>
      <c r="L294" t="s">
        <v>3284</v>
      </c>
      <c r="M294" t="s">
        <v>3267</v>
      </c>
      <c r="N294" t="s">
        <v>3283</v>
      </c>
      <c r="O294" t="s">
        <v>2026</v>
      </c>
      <c r="P294" s="103">
        <v>45687</v>
      </c>
      <c r="Q294" t="s">
        <v>2231</v>
      </c>
      <c r="R294" s="103">
        <v>45690</v>
      </c>
      <c r="S294" t="s">
        <v>2281</v>
      </c>
      <c r="U294" t="s">
        <v>2744</v>
      </c>
      <c r="V294" t="s">
        <v>3277</v>
      </c>
      <c r="X294" t="s">
        <v>3225</v>
      </c>
      <c r="Y294" t="s">
        <v>2088</v>
      </c>
      <c r="AD294">
        <v>950</v>
      </c>
    </row>
    <row r="295" spans="1:30" hidden="1">
      <c r="A295">
        <v>203728</v>
      </c>
      <c r="B295">
        <v>70</v>
      </c>
      <c r="C295" t="s">
        <v>3222</v>
      </c>
      <c r="E295" s="103">
        <v>45698</v>
      </c>
      <c r="F295">
        <v>1</v>
      </c>
      <c r="G295" s="1210">
        <v>45618</v>
      </c>
      <c r="I295" t="s">
        <v>553</v>
      </c>
      <c r="J295" t="s">
        <v>2082</v>
      </c>
      <c r="K295">
        <v>4500008912</v>
      </c>
      <c r="L295" t="s">
        <v>3285</v>
      </c>
      <c r="M295" t="s">
        <v>3286</v>
      </c>
      <c r="N295" t="s">
        <v>3283</v>
      </c>
      <c r="O295" t="s">
        <v>2026</v>
      </c>
      <c r="P295" s="103">
        <v>45687</v>
      </c>
      <c r="Q295" t="s">
        <v>2231</v>
      </c>
      <c r="R295" s="103">
        <v>45690</v>
      </c>
      <c r="S295" t="s">
        <v>2281</v>
      </c>
      <c r="U295" t="s">
        <v>2744</v>
      </c>
      <c r="X295" t="s">
        <v>3225</v>
      </c>
      <c r="Y295" t="s">
        <v>2088</v>
      </c>
      <c r="AD295">
        <v>395</v>
      </c>
    </row>
    <row r="296" spans="1:30" hidden="1">
      <c r="A296">
        <v>203746</v>
      </c>
      <c r="B296">
        <v>100</v>
      </c>
      <c r="C296" t="s">
        <v>3226</v>
      </c>
      <c r="E296" s="103">
        <v>45698</v>
      </c>
      <c r="F296">
        <v>1</v>
      </c>
      <c r="G296" s="1210">
        <v>45618</v>
      </c>
      <c r="I296" t="s">
        <v>726</v>
      </c>
      <c r="J296" t="s">
        <v>2082</v>
      </c>
      <c r="K296">
        <v>4500008913</v>
      </c>
      <c r="L296" t="s">
        <v>3227</v>
      </c>
      <c r="M296" t="s">
        <v>3243</v>
      </c>
      <c r="N296" t="s">
        <v>3283</v>
      </c>
      <c r="O296" t="s">
        <v>2026</v>
      </c>
      <c r="P296" s="103">
        <v>45687</v>
      </c>
      <c r="Q296" t="s">
        <v>2231</v>
      </c>
      <c r="R296" s="103">
        <v>45690</v>
      </c>
      <c r="S296" t="s">
        <v>2281</v>
      </c>
      <c r="U296" t="s">
        <v>2744</v>
      </c>
      <c r="X296" t="s">
        <v>3225</v>
      </c>
      <c r="Y296" t="s">
        <v>2088</v>
      </c>
      <c r="AD296">
        <v>525</v>
      </c>
    </row>
    <row r="297" spans="1:30" hidden="1">
      <c r="A297">
        <v>199330</v>
      </c>
      <c r="B297">
        <v>150</v>
      </c>
      <c r="C297" t="s">
        <v>3145</v>
      </c>
      <c r="E297" s="103">
        <v>45701</v>
      </c>
      <c r="F297">
        <v>4</v>
      </c>
      <c r="G297" s="1210">
        <v>45548</v>
      </c>
      <c r="I297" t="s">
        <v>992</v>
      </c>
      <c r="J297" t="s">
        <v>2082</v>
      </c>
      <c r="K297">
        <v>4500008099</v>
      </c>
      <c r="L297" t="s">
        <v>3146</v>
      </c>
      <c r="M297" t="s">
        <v>3267</v>
      </c>
      <c r="N297" t="s">
        <v>3283</v>
      </c>
      <c r="O297" t="s">
        <v>2026</v>
      </c>
      <c r="P297" s="103">
        <v>45687</v>
      </c>
      <c r="Q297" t="s">
        <v>2231</v>
      </c>
      <c r="R297" s="103">
        <v>45690</v>
      </c>
      <c r="S297" t="s">
        <v>2281</v>
      </c>
      <c r="U297" t="s">
        <v>2282</v>
      </c>
      <c r="V297" t="s">
        <v>2799</v>
      </c>
      <c r="W297" t="s">
        <v>3147</v>
      </c>
      <c r="X297" t="s">
        <v>3000</v>
      </c>
      <c r="Y297" t="s">
        <v>2088</v>
      </c>
      <c r="AD297">
        <v>590</v>
      </c>
    </row>
    <row r="298" spans="1:30" hidden="1">
      <c r="A298">
        <v>209065</v>
      </c>
      <c r="B298">
        <v>150</v>
      </c>
      <c r="C298" t="s">
        <v>3145</v>
      </c>
      <c r="E298" s="103">
        <v>45701</v>
      </c>
      <c r="F298">
        <v>1</v>
      </c>
      <c r="G298" s="1210">
        <v>45548</v>
      </c>
      <c r="I298" t="s">
        <v>992</v>
      </c>
      <c r="J298" t="s">
        <v>2082</v>
      </c>
      <c r="K298">
        <v>4500009688</v>
      </c>
      <c r="L298" t="s">
        <v>3146</v>
      </c>
      <c r="M298" t="s">
        <v>3267</v>
      </c>
      <c r="N298" t="s">
        <v>3283</v>
      </c>
      <c r="O298" t="s">
        <v>2026</v>
      </c>
      <c r="P298" s="103">
        <v>45687</v>
      </c>
      <c r="Q298" t="s">
        <v>2231</v>
      </c>
      <c r="R298" s="103">
        <v>45690</v>
      </c>
      <c r="S298" t="s">
        <v>2281</v>
      </c>
      <c r="U298" t="s">
        <v>2744</v>
      </c>
      <c r="V298" t="s">
        <v>2799</v>
      </c>
      <c r="W298" t="s">
        <v>3287</v>
      </c>
      <c r="X298" t="s">
        <v>3000</v>
      </c>
      <c r="Y298" t="s">
        <v>2088</v>
      </c>
      <c r="AD298">
        <v>740</v>
      </c>
    </row>
    <row r="299" spans="1:30" hidden="1">
      <c r="A299">
        <v>201898</v>
      </c>
      <c r="B299">
        <v>540</v>
      </c>
      <c r="C299" t="s">
        <v>3102</v>
      </c>
      <c r="E299" s="103">
        <v>45701</v>
      </c>
      <c r="F299">
        <v>1</v>
      </c>
      <c r="G299" s="1210">
        <v>45616</v>
      </c>
      <c r="I299" t="s">
        <v>317</v>
      </c>
      <c r="J299" t="s">
        <v>2012</v>
      </c>
      <c r="K299">
        <v>4500008834</v>
      </c>
      <c r="L299" t="s">
        <v>3288</v>
      </c>
      <c r="M299" t="s">
        <v>3283</v>
      </c>
      <c r="N299" t="s">
        <v>3280</v>
      </c>
      <c r="O299" t="s">
        <v>2743</v>
      </c>
      <c r="P299" s="103">
        <v>45692</v>
      </c>
      <c r="Q299" t="s">
        <v>2231</v>
      </c>
      <c r="R299" s="103">
        <v>45697</v>
      </c>
      <c r="S299" t="s">
        <v>2281</v>
      </c>
      <c r="U299" t="s">
        <v>2744</v>
      </c>
      <c r="X299" t="s">
        <v>3160</v>
      </c>
      <c r="Y299" t="s">
        <v>2088</v>
      </c>
      <c r="AD299">
        <v>2908</v>
      </c>
    </row>
    <row r="300" spans="1:30" hidden="1">
      <c r="A300">
        <v>199017</v>
      </c>
      <c r="B300">
        <v>10</v>
      </c>
      <c r="C300" t="s">
        <v>3036</v>
      </c>
      <c r="E300" s="103">
        <v>45701</v>
      </c>
      <c r="F300">
        <v>1</v>
      </c>
      <c r="G300" s="1210">
        <v>45625</v>
      </c>
      <c r="I300" t="s">
        <v>2586</v>
      </c>
      <c r="J300" t="s">
        <v>2012</v>
      </c>
      <c r="K300">
        <v>4500009012</v>
      </c>
      <c r="L300" t="s">
        <v>3273</v>
      </c>
      <c r="M300" t="s">
        <v>3289</v>
      </c>
      <c r="N300" t="s">
        <v>3280</v>
      </c>
      <c r="O300" t="s">
        <v>2743</v>
      </c>
      <c r="P300" s="103">
        <v>45692</v>
      </c>
      <c r="Q300" t="s">
        <v>2231</v>
      </c>
      <c r="R300" s="103">
        <v>45697</v>
      </c>
      <c r="S300" t="s">
        <v>2281</v>
      </c>
      <c r="U300" t="s">
        <v>2744</v>
      </c>
      <c r="X300" t="s">
        <v>2862</v>
      </c>
      <c r="Y300" t="s">
        <v>2088</v>
      </c>
      <c r="AD300">
        <v>230</v>
      </c>
    </row>
    <row r="301" spans="1:30" hidden="1">
      <c r="A301">
        <v>199017</v>
      </c>
      <c r="B301">
        <v>5</v>
      </c>
      <c r="C301" t="s">
        <v>3036</v>
      </c>
      <c r="E301" s="103">
        <v>45701</v>
      </c>
      <c r="F301">
        <v>1</v>
      </c>
      <c r="G301" s="1210">
        <v>45642</v>
      </c>
      <c r="I301" t="s">
        <v>2586</v>
      </c>
      <c r="J301" t="s">
        <v>2012</v>
      </c>
      <c r="K301">
        <v>4500009166</v>
      </c>
      <c r="L301" t="s">
        <v>3290</v>
      </c>
      <c r="M301" t="s">
        <v>3289</v>
      </c>
      <c r="N301" t="s">
        <v>3280</v>
      </c>
      <c r="O301" t="s">
        <v>2743</v>
      </c>
      <c r="P301" s="103">
        <v>45692</v>
      </c>
      <c r="Q301" t="s">
        <v>2231</v>
      </c>
      <c r="R301" s="103">
        <v>45696</v>
      </c>
      <c r="S301" t="s">
        <v>2281</v>
      </c>
      <c r="U301" t="s">
        <v>2744</v>
      </c>
      <c r="V301" t="s">
        <v>3277</v>
      </c>
      <c r="W301" t="s">
        <v>3291</v>
      </c>
      <c r="X301" t="s">
        <v>2862</v>
      </c>
      <c r="Y301" t="s">
        <v>2088</v>
      </c>
      <c r="AD301">
        <v>235</v>
      </c>
    </row>
    <row r="302" spans="1:30" hidden="1">
      <c r="A302">
        <v>199027</v>
      </c>
      <c r="B302">
        <v>300</v>
      </c>
      <c r="C302" t="s">
        <v>3062</v>
      </c>
      <c r="E302" s="103">
        <v>45701</v>
      </c>
      <c r="F302">
        <v>1</v>
      </c>
      <c r="G302" s="1210">
        <v>45642</v>
      </c>
      <c r="I302" t="s">
        <v>1046</v>
      </c>
      <c r="J302" t="s">
        <v>2012</v>
      </c>
      <c r="K302">
        <v>4500009167</v>
      </c>
      <c r="L302" t="s">
        <v>3292</v>
      </c>
      <c r="M302" t="s">
        <v>3289</v>
      </c>
      <c r="N302" t="s">
        <v>3280</v>
      </c>
      <c r="O302" t="s">
        <v>2743</v>
      </c>
      <c r="P302" s="103">
        <v>45692</v>
      </c>
      <c r="Q302" t="s">
        <v>2231</v>
      </c>
      <c r="R302" s="103">
        <v>45696</v>
      </c>
      <c r="S302" t="s">
        <v>2281</v>
      </c>
      <c r="U302" t="s">
        <v>2744</v>
      </c>
      <c r="X302" t="s">
        <v>3270</v>
      </c>
      <c r="Y302" t="s">
        <v>2088</v>
      </c>
      <c r="AD302">
        <v>1520</v>
      </c>
    </row>
    <row r="303" spans="1:30" hidden="1">
      <c r="A303">
        <v>180234</v>
      </c>
      <c r="B303">
        <v>7</v>
      </c>
      <c r="C303" t="s">
        <v>3208</v>
      </c>
      <c r="E303" s="103">
        <v>45705</v>
      </c>
      <c r="F303">
        <v>1</v>
      </c>
      <c r="G303" s="1210">
        <v>45573</v>
      </c>
      <c r="I303" t="s">
        <v>583</v>
      </c>
      <c r="J303" t="s">
        <v>2070</v>
      </c>
      <c r="K303">
        <v>4500008301</v>
      </c>
      <c r="L303" t="s">
        <v>3293</v>
      </c>
      <c r="M303" t="s">
        <v>3267</v>
      </c>
      <c r="N303" t="s">
        <v>3264</v>
      </c>
      <c r="O303" t="s">
        <v>2026</v>
      </c>
      <c r="P303" s="103">
        <v>45687</v>
      </c>
      <c r="Q303" t="s">
        <v>2231</v>
      </c>
      <c r="R303" s="103">
        <v>45691</v>
      </c>
      <c r="S303" t="s">
        <v>2281</v>
      </c>
      <c r="U303" t="s">
        <v>2744</v>
      </c>
      <c r="X303" t="s">
        <v>490</v>
      </c>
      <c r="Y303" t="s">
        <v>2088</v>
      </c>
      <c r="AD303">
        <v>2410</v>
      </c>
    </row>
    <row r="304" spans="1:30" hidden="1">
      <c r="A304">
        <v>180235</v>
      </c>
      <c r="B304">
        <v>29</v>
      </c>
      <c r="C304" t="s">
        <v>3210</v>
      </c>
      <c r="E304" s="103">
        <v>45705</v>
      </c>
      <c r="F304">
        <v>1</v>
      </c>
      <c r="G304" s="1210">
        <v>45580</v>
      </c>
      <c r="I304" t="s">
        <v>646</v>
      </c>
      <c r="J304" t="s">
        <v>2070</v>
      </c>
      <c r="K304">
        <v>4500008390</v>
      </c>
      <c r="L304" t="s">
        <v>3294</v>
      </c>
      <c r="M304" t="s">
        <v>3267</v>
      </c>
      <c r="N304" t="s">
        <v>3264</v>
      </c>
      <c r="O304" t="s">
        <v>2026</v>
      </c>
      <c r="P304" s="103">
        <v>45687</v>
      </c>
      <c r="Q304" t="s">
        <v>2231</v>
      </c>
      <c r="R304" s="103">
        <v>45691</v>
      </c>
      <c r="S304" t="s">
        <v>2281</v>
      </c>
      <c r="U304" t="s">
        <v>2744</v>
      </c>
      <c r="X304" t="s">
        <v>490</v>
      </c>
      <c r="Y304" t="s">
        <v>2088</v>
      </c>
      <c r="AD304">
        <v>3819</v>
      </c>
    </row>
    <row r="305" spans="1:30" hidden="1">
      <c r="A305">
        <v>180234</v>
      </c>
      <c r="B305">
        <v>200</v>
      </c>
      <c r="C305" t="s">
        <v>3208</v>
      </c>
      <c r="E305" s="103">
        <v>45705</v>
      </c>
      <c r="F305">
        <v>1</v>
      </c>
      <c r="G305" s="1210">
        <v>45601</v>
      </c>
      <c r="I305" t="s">
        <v>583</v>
      </c>
      <c r="J305" t="s">
        <v>2070</v>
      </c>
      <c r="K305">
        <v>4500008598</v>
      </c>
      <c r="L305" t="s">
        <v>3295</v>
      </c>
      <c r="M305" t="s">
        <v>3267</v>
      </c>
      <c r="N305" t="s">
        <v>3264</v>
      </c>
      <c r="O305" t="s">
        <v>2026</v>
      </c>
      <c r="P305" s="103">
        <v>45687</v>
      </c>
      <c r="Q305" t="s">
        <v>2231</v>
      </c>
      <c r="R305" s="103">
        <v>45691</v>
      </c>
      <c r="S305" t="s">
        <v>2281</v>
      </c>
      <c r="U305" t="s">
        <v>2744</v>
      </c>
      <c r="W305" t="s">
        <v>3296</v>
      </c>
      <c r="X305" t="s">
        <v>490</v>
      </c>
      <c r="Y305" t="s">
        <v>2088</v>
      </c>
      <c r="AD305">
        <v>2610</v>
      </c>
    </row>
    <row r="306" spans="1:30" hidden="1">
      <c r="A306">
        <v>180235</v>
      </c>
      <c r="B306">
        <v>400</v>
      </c>
      <c r="C306" t="s">
        <v>3297</v>
      </c>
      <c r="E306" s="103">
        <v>45705</v>
      </c>
      <c r="F306">
        <v>1</v>
      </c>
      <c r="G306" s="1210">
        <v>45601</v>
      </c>
      <c r="I306" t="s">
        <v>646</v>
      </c>
      <c r="J306" t="s">
        <v>2070</v>
      </c>
      <c r="K306">
        <v>4500008600</v>
      </c>
      <c r="L306" t="s">
        <v>3298</v>
      </c>
      <c r="M306" t="s">
        <v>3267</v>
      </c>
      <c r="N306" t="s">
        <v>3264</v>
      </c>
      <c r="O306" t="s">
        <v>2026</v>
      </c>
      <c r="P306" s="103">
        <v>45687</v>
      </c>
      <c r="Q306" t="s">
        <v>2231</v>
      </c>
      <c r="R306" s="103">
        <v>45691</v>
      </c>
      <c r="S306" t="s">
        <v>2281</v>
      </c>
      <c r="U306" t="s">
        <v>2744</v>
      </c>
      <c r="W306" t="s">
        <v>3299</v>
      </c>
      <c r="X306" t="s">
        <v>490</v>
      </c>
      <c r="Y306" t="s">
        <v>2088</v>
      </c>
      <c r="AD306">
        <v>4219</v>
      </c>
    </row>
    <row r="307" spans="1:30" hidden="1">
      <c r="A307">
        <v>208299</v>
      </c>
      <c r="B307">
        <v>188</v>
      </c>
      <c r="C307" t="s">
        <v>3189</v>
      </c>
      <c r="E307" s="103">
        <v>45715</v>
      </c>
      <c r="F307">
        <v>1</v>
      </c>
      <c r="G307" s="1210">
        <v>45587</v>
      </c>
      <c r="I307" t="s">
        <v>488</v>
      </c>
      <c r="J307" t="s">
        <v>2082</v>
      </c>
      <c r="K307">
        <v>4500008463</v>
      </c>
      <c r="L307" t="s">
        <v>3300</v>
      </c>
      <c r="M307" t="s">
        <v>3301</v>
      </c>
      <c r="N307" t="s">
        <v>3302</v>
      </c>
      <c r="O307" t="s">
        <v>2026</v>
      </c>
      <c r="P307" s="103">
        <v>45706</v>
      </c>
      <c r="Q307" t="s">
        <v>2231</v>
      </c>
      <c r="R307" s="103">
        <v>45710</v>
      </c>
      <c r="S307" t="s">
        <v>2281</v>
      </c>
      <c r="U307" t="s">
        <v>2744</v>
      </c>
      <c r="W307" t="s">
        <v>3303</v>
      </c>
      <c r="X307" t="s">
        <v>3225</v>
      </c>
      <c r="Y307" t="s">
        <v>2088</v>
      </c>
      <c r="AD307">
        <v>500</v>
      </c>
    </row>
    <row r="308" spans="1:30" hidden="1">
      <c r="A308">
        <v>210646</v>
      </c>
      <c r="B308">
        <v>1200</v>
      </c>
      <c r="C308" t="s">
        <v>2997</v>
      </c>
      <c r="E308" s="103">
        <v>45715</v>
      </c>
      <c r="F308">
        <v>1</v>
      </c>
      <c r="G308" s="1210">
        <v>45643</v>
      </c>
      <c r="I308" t="s">
        <v>748</v>
      </c>
      <c r="J308" t="s">
        <v>2082</v>
      </c>
      <c r="K308">
        <v>4500009160</v>
      </c>
      <c r="L308" t="s">
        <v>3304</v>
      </c>
      <c r="M308" t="s">
        <v>3305</v>
      </c>
      <c r="N308" t="s">
        <v>3302</v>
      </c>
      <c r="O308" t="s">
        <v>2026</v>
      </c>
      <c r="P308" s="103">
        <v>45706</v>
      </c>
      <c r="Q308" t="s">
        <v>2231</v>
      </c>
      <c r="R308" s="103">
        <v>45710</v>
      </c>
      <c r="S308" t="s">
        <v>2281</v>
      </c>
      <c r="U308" t="s">
        <v>2744</v>
      </c>
      <c r="V308" t="s">
        <v>3306</v>
      </c>
      <c r="W308" t="s">
        <v>3307</v>
      </c>
      <c r="X308" t="s">
        <v>3308</v>
      </c>
      <c r="Y308" t="s">
        <v>2088</v>
      </c>
      <c r="AD308">
        <v>4199</v>
      </c>
    </row>
    <row r="309" spans="1:30" hidden="1">
      <c r="A309">
        <v>199019</v>
      </c>
      <c r="B309">
        <v>80</v>
      </c>
      <c r="C309" t="s">
        <v>3023</v>
      </c>
      <c r="E309" s="103">
        <v>45715</v>
      </c>
      <c r="F309">
        <v>1</v>
      </c>
      <c r="G309" s="1210">
        <v>45646</v>
      </c>
      <c r="I309" t="s">
        <v>2869</v>
      </c>
      <c r="J309" t="s">
        <v>2012</v>
      </c>
      <c r="K309">
        <v>4500009224</v>
      </c>
      <c r="L309" t="s">
        <v>3309</v>
      </c>
      <c r="M309" t="s">
        <v>3310</v>
      </c>
      <c r="N309" t="s">
        <v>3311</v>
      </c>
      <c r="O309" t="s">
        <v>2946</v>
      </c>
      <c r="Q309" t="s">
        <v>2231</v>
      </c>
      <c r="S309" t="s">
        <v>2911</v>
      </c>
      <c r="U309" t="s">
        <v>2744</v>
      </c>
      <c r="V309" t="s">
        <v>3277</v>
      </c>
      <c r="W309" t="s">
        <v>3291</v>
      </c>
      <c r="X309" t="s">
        <v>3270</v>
      </c>
      <c r="Y309" t="s">
        <v>2088</v>
      </c>
      <c r="AD309">
        <v>960</v>
      </c>
    </row>
    <row r="310" spans="1:30" hidden="1">
      <c r="A310">
        <v>207871</v>
      </c>
      <c r="B310">
        <v>6</v>
      </c>
      <c r="C310" t="s">
        <v>3164</v>
      </c>
      <c r="E310" s="103">
        <v>45716</v>
      </c>
      <c r="F310">
        <v>1</v>
      </c>
      <c r="G310" s="1210">
        <v>45603</v>
      </c>
      <c r="I310" t="s">
        <v>570</v>
      </c>
      <c r="J310" t="s">
        <v>2074</v>
      </c>
      <c r="K310">
        <v>4500008674</v>
      </c>
      <c r="L310" t="s">
        <v>3312</v>
      </c>
      <c r="M310" t="s">
        <v>3313</v>
      </c>
      <c r="N310" t="s">
        <v>3314</v>
      </c>
      <c r="O310" t="s">
        <v>2094</v>
      </c>
      <c r="Q310" t="s">
        <v>3051</v>
      </c>
      <c r="S310" t="s">
        <v>2814</v>
      </c>
      <c r="U310" t="s">
        <v>2744</v>
      </c>
      <c r="V310" t="s">
        <v>2815</v>
      </c>
      <c r="X310" t="s">
        <v>3168</v>
      </c>
      <c r="Y310" t="s">
        <v>2088</v>
      </c>
      <c r="AD310">
        <v>6</v>
      </c>
    </row>
    <row r="311" spans="1:30" hidden="1">
      <c r="A311">
        <v>207872</v>
      </c>
      <c r="B311">
        <v>6</v>
      </c>
      <c r="C311" t="s">
        <v>3169</v>
      </c>
      <c r="E311" s="103">
        <v>45716</v>
      </c>
      <c r="F311">
        <v>1</v>
      </c>
      <c r="G311" s="1210">
        <v>45603</v>
      </c>
      <c r="I311" t="s">
        <v>640</v>
      </c>
      <c r="J311" t="s">
        <v>2074</v>
      </c>
      <c r="K311">
        <v>4500008679</v>
      </c>
      <c r="L311" t="s">
        <v>3315</v>
      </c>
      <c r="M311" t="s">
        <v>3313</v>
      </c>
      <c r="N311" t="s">
        <v>3314</v>
      </c>
      <c r="O311" t="s">
        <v>2094</v>
      </c>
      <c r="Q311" t="s">
        <v>3051</v>
      </c>
      <c r="S311" t="s">
        <v>2814</v>
      </c>
      <c r="U311" t="s">
        <v>2744</v>
      </c>
      <c r="V311" t="s">
        <v>2815</v>
      </c>
      <c r="X311" t="s">
        <v>3168</v>
      </c>
      <c r="Y311" t="s">
        <v>2088</v>
      </c>
      <c r="AD311">
        <v>6</v>
      </c>
    </row>
    <row r="312" spans="1:30" hidden="1">
      <c r="A312">
        <v>206310</v>
      </c>
      <c r="B312">
        <v>2</v>
      </c>
      <c r="C312" t="s">
        <v>3017</v>
      </c>
      <c r="E312" s="103">
        <v>45719</v>
      </c>
      <c r="F312">
        <v>1</v>
      </c>
      <c r="G312" s="1210">
        <v>45548</v>
      </c>
      <c r="I312" t="s">
        <v>693</v>
      </c>
      <c r="J312" t="s">
        <v>2082</v>
      </c>
      <c r="K312">
        <v>4500008095</v>
      </c>
      <c r="L312" t="s">
        <v>3019</v>
      </c>
      <c r="M312" t="s">
        <v>3316</v>
      </c>
      <c r="N312" t="s">
        <v>3317</v>
      </c>
      <c r="O312" t="s">
        <v>2094</v>
      </c>
      <c r="Q312" t="s">
        <v>2231</v>
      </c>
      <c r="S312" t="s">
        <v>2961</v>
      </c>
      <c r="U312" t="s">
        <v>2744</v>
      </c>
      <c r="V312" t="s">
        <v>3237</v>
      </c>
      <c r="W312" t="s">
        <v>3318</v>
      </c>
      <c r="X312" t="s">
        <v>3000</v>
      </c>
      <c r="Y312" t="s">
        <v>2088</v>
      </c>
      <c r="AD312">
        <v>402</v>
      </c>
    </row>
    <row r="313" spans="1:30" hidden="1">
      <c r="A313">
        <v>210491</v>
      </c>
      <c r="B313">
        <v>2</v>
      </c>
      <c r="C313" t="s">
        <v>3208</v>
      </c>
      <c r="E313" s="103">
        <v>45719</v>
      </c>
      <c r="F313">
        <v>1</v>
      </c>
      <c r="G313" s="1210">
        <v>45622</v>
      </c>
      <c r="I313" t="s">
        <v>583</v>
      </c>
      <c r="J313" t="s">
        <v>2070</v>
      </c>
      <c r="K313">
        <v>4500008917</v>
      </c>
      <c r="L313" t="s">
        <v>3319</v>
      </c>
      <c r="M313" t="s">
        <v>3320</v>
      </c>
      <c r="N313" t="s">
        <v>3317</v>
      </c>
      <c r="O313" t="s">
        <v>2094</v>
      </c>
      <c r="Q313" t="s">
        <v>2231</v>
      </c>
      <c r="S313" t="s">
        <v>2961</v>
      </c>
      <c r="U313" t="s">
        <v>2744</v>
      </c>
      <c r="V313" t="s">
        <v>3321</v>
      </c>
      <c r="X313" t="s">
        <v>490</v>
      </c>
      <c r="Y313" t="s">
        <v>2088</v>
      </c>
      <c r="AD313">
        <v>2612</v>
      </c>
    </row>
    <row r="314" spans="1:30" hidden="1">
      <c r="A314">
        <v>210492</v>
      </c>
      <c r="B314">
        <v>2</v>
      </c>
      <c r="C314" t="s">
        <v>3210</v>
      </c>
      <c r="E314" s="103">
        <v>45719</v>
      </c>
      <c r="F314">
        <v>1</v>
      </c>
      <c r="G314" s="1210">
        <v>45622</v>
      </c>
      <c r="I314" t="s">
        <v>646</v>
      </c>
      <c r="J314" t="s">
        <v>2070</v>
      </c>
      <c r="K314">
        <v>4500008921</v>
      </c>
      <c r="L314" t="s">
        <v>3322</v>
      </c>
      <c r="M314" t="s">
        <v>3320</v>
      </c>
      <c r="N314" t="s">
        <v>3317</v>
      </c>
      <c r="O314" t="s">
        <v>2094</v>
      </c>
      <c r="Q314" t="s">
        <v>2231</v>
      </c>
      <c r="S314" t="s">
        <v>2961</v>
      </c>
      <c r="U314" t="s">
        <v>2744</v>
      </c>
      <c r="V314" t="s">
        <v>3321</v>
      </c>
      <c r="X314" t="s">
        <v>490</v>
      </c>
      <c r="Y314" t="s">
        <v>2088</v>
      </c>
      <c r="AD314">
        <v>4221</v>
      </c>
    </row>
    <row r="315" spans="1:30" hidden="1">
      <c r="A315">
        <v>201900</v>
      </c>
      <c r="B315">
        <v>830</v>
      </c>
      <c r="C315" t="s">
        <v>3105</v>
      </c>
      <c r="E315" s="103">
        <v>45721</v>
      </c>
      <c r="F315">
        <v>1</v>
      </c>
      <c r="G315" s="1210">
        <v>45616</v>
      </c>
      <c r="I315" t="s">
        <v>327</v>
      </c>
      <c r="J315" t="s">
        <v>2012</v>
      </c>
      <c r="K315">
        <v>4500008835</v>
      </c>
      <c r="L315" t="s">
        <v>3323</v>
      </c>
      <c r="M315" t="s">
        <v>3324</v>
      </c>
      <c r="N315" t="s">
        <v>3311</v>
      </c>
      <c r="O315" t="s">
        <v>2743</v>
      </c>
      <c r="P315" s="103">
        <v>45713</v>
      </c>
      <c r="Q315" t="s">
        <v>2231</v>
      </c>
      <c r="R315" s="103">
        <v>45718</v>
      </c>
      <c r="S315" t="s">
        <v>2281</v>
      </c>
      <c r="U315" t="s">
        <v>2744</v>
      </c>
      <c r="X315" t="s">
        <v>3160</v>
      </c>
      <c r="Y315" t="s">
        <v>2088</v>
      </c>
      <c r="AD315">
        <v>3678</v>
      </c>
    </row>
    <row r="316" spans="1:30" hidden="1">
      <c r="A316">
        <v>199021</v>
      </c>
      <c r="B316">
        <v>300</v>
      </c>
      <c r="C316" t="s">
        <v>3053</v>
      </c>
      <c r="E316" s="103">
        <v>45721</v>
      </c>
      <c r="F316">
        <v>1</v>
      </c>
      <c r="G316" s="1210">
        <v>45646</v>
      </c>
      <c r="I316" t="s">
        <v>456</v>
      </c>
      <c r="J316" t="s">
        <v>2012</v>
      </c>
      <c r="K316">
        <v>4500009225</v>
      </c>
      <c r="L316" t="s">
        <v>3207</v>
      </c>
      <c r="M316" t="s">
        <v>3324</v>
      </c>
      <c r="N316" t="s">
        <v>3311</v>
      </c>
      <c r="O316" t="s">
        <v>2743</v>
      </c>
      <c r="P316" s="103">
        <v>45713</v>
      </c>
      <c r="Q316" t="s">
        <v>2231</v>
      </c>
      <c r="R316" s="103">
        <v>45717</v>
      </c>
      <c r="S316" t="s">
        <v>2281</v>
      </c>
      <c r="U316" t="s">
        <v>2744</v>
      </c>
      <c r="V316" t="s">
        <v>3277</v>
      </c>
      <c r="W316" t="s">
        <v>3291</v>
      </c>
      <c r="X316" t="s">
        <v>3270</v>
      </c>
      <c r="Y316" t="s">
        <v>2088</v>
      </c>
      <c r="AD316">
        <v>3090</v>
      </c>
    </row>
    <row r="317" spans="1:30" hidden="1">
      <c r="A317">
        <v>199027</v>
      </c>
      <c r="B317">
        <v>160</v>
      </c>
      <c r="C317" t="s">
        <v>3062</v>
      </c>
      <c r="E317" s="103">
        <v>45721</v>
      </c>
      <c r="F317">
        <v>1</v>
      </c>
      <c r="G317" s="1210">
        <v>45646</v>
      </c>
      <c r="I317" t="s">
        <v>1046</v>
      </c>
      <c r="J317" t="s">
        <v>2012</v>
      </c>
      <c r="K317">
        <v>4500009227</v>
      </c>
      <c r="L317" t="s">
        <v>3325</v>
      </c>
      <c r="M317" t="s">
        <v>3310</v>
      </c>
      <c r="N317" t="s">
        <v>3311</v>
      </c>
      <c r="O317" t="s">
        <v>2743</v>
      </c>
      <c r="P317" s="103">
        <v>45713</v>
      </c>
      <c r="Q317" t="s">
        <v>2231</v>
      </c>
      <c r="R317" s="103">
        <v>45717</v>
      </c>
      <c r="S317" t="s">
        <v>2281</v>
      </c>
      <c r="U317" t="s">
        <v>2744</v>
      </c>
      <c r="X317" t="s">
        <v>3270</v>
      </c>
      <c r="Y317" t="s">
        <v>2088</v>
      </c>
      <c r="AD317">
        <v>1680</v>
      </c>
    </row>
    <row r="318" spans="1:30" hidden="1">
      <c r="A318">
        <v>199023</v>
      </c>
      <c r="B318">
        <v>600</v>
      </c>
      <c r="C318" t="s">
        <v>3062</v>
      </c>
      <c r="E318" s="103">
        <v>45721</v>
      </c>
      <c r="F318">
        <v>1</v>
      </c>
      <c r="G318" s="1210">
        <v>45665</v>
      </c>
      <c r="I318" t="s">
        <v>465</v>
      </c>
      <c r="J318" t="s">
        <v>2012</v>
      </c>
      <c r="K318">
        <v>4500009327</v>
      </c>
      <c r="L318" t="s">
        <v>3326</v>
      </c>
      <c r="M318" t="s">
        <v>3327</v>
      </c>
      <c r="N318" t="s">
        <v>3311</v>
      </c>
      <c r="O318" t="s">
        <v>2743</v>
      </c>
      <c r="P318" s="103">
        <v>45713</v>
      </c>
      <c r="Q318" t="s">
        <v>2231</v>
      </c>
      <c r="R318" s="103">
        <v>45717</v>
      </c>
      <c r="S318" t="s">
        <v>2281</v>
      </c>
      <c r="U318" t="s">
        <v>2744</v>
      </c>
      <c r="X318" t="s">
        <v>3270</v>
      </c>
      <c r="Y318" t="s">
        <v>2088</v>
      </c>
      <c r="AD318">
        <v>2530</v>
      </c>
    </row>
    <row r="319" spans="1:30" hidden="1">
      <c r="A319">
        <v>201898</v>
      </c>
      <c r="B319">
        <v>100</v>
      </c>
      <c r="C319" t="s">
        <v>3102</v>
      </c>
      <c r="E319" s="103">
        <v>45722</v>
      </c>
      <c r="F319">
        <v>1</v>
      </c>
      <c r="G319" s="1210">
        <v>45608</v>
      </c>
      <c r="I319" t="s">
        <v>317</v>
      </c>
      <c r="J319" t="s">
        <v>2012</v>
      </c>
      <c r="K319">
        <v>4500008709</v>
      </c>
      <c r="L319" t="s">
        <v>3328</v>
      </c>
      <c r="M319" t="s">
        <v>3329</v>
      </c>
      <c r="N319" t="s">
        <v>3330</v>
      </c>
      <c r="O319" t="s">
        <v>2743</v>
      </c>
      <c r="P319" s="103">
        <v>45714</v>
      </c>
      <c r="Q319" t="s">
        <v>2231</v>
      </c>
      <c r="R319" s="103">
        <v>45717</v>
      </c>
      <c r="S319" t="s">
        <v>2281</v>
      </c>
      <c r="U319" t="s">
        <v>2744</v>
      </c>
      <c r="X319" t="s">
        <v>3160</v>
      </c>
      <c r="Y319" t="s">
        <v>2088</v>
      </c>
      <c r="AD319">
        <v>3008</v>
      </c>
    </row>
    <row r="320" spans="1:30" hidden="1">
      <c r="A320">
        <v>199019</v>
      </c>
      <c r="B320">
        <v>30</v>
      </c>
      <c r="C320" t="s">
        <v>3023</v>
      </c>
      <c r="E320" s="103">
        <v>45722</v>
      </c>
      <c r="F320">
        <v>1</v>
      </c>
      <c r="G320" s="1210">
        <v>45625</v>
      </c>
      <c r="I320" t="s">
        <v>2869</v>
      </c>
      <c r="J320" t="s">
        <v>2012</v>
      </c>
      <c r="K320">
        <v>4500009013</v>
      </c>
      <c r="L320" t="s">
        <v>3080</v>
      </c>
      <c r="M320" t="s">
        <v>3331</v>
      </c>
      <c r="N320" t="s">
        <v>3330</v>
      </c>
      <c r="O320" t="s">
        <v>2743</v>
      </c>
      <c r="P320" s="103">
        <v>45714</v>
      </c>
      <c r="Q320" t="s">
        <v>2231</v>
      </c>
      <c r="R320" s="103">
        <v>45717</v>
      </c>
      <c r="S320" t="s">
        <v>2281</v>
      </c>
      <c r="U320" t="s">
        <v>2744</v>
      </c>
      <c r="X320" t="s">
        <v>2738</v>
      </c>
      <c r="Y320" t="s">
        <v>2088</v>
      </c>
      <c r="AD320">
        <v>990</v>
      </c>
    </row>
    <row r="321" spans="1:30" hidden="1">
      <c r="A321">
        <v>199018</v>
      </c>
      <c r="B321">
        <v>15</v>
      </c>
      <c r="C321" t="s">
        <v>2756</v>
      </c>
      <c r="E321" s="103">
        <v>45722</v>
      </c>
      <c r="F321">
        <v>1</v>
      </c>
      <c r="G321" s="1210">
        <v>45625</v>
      </c>
      <c r="I321" t="s">
        <v>2591</v>
      </c>
      <c r="J321" t="s">
        <v>2012</v>
      </c>
      <c r="K321">
        <v>4500009015</v>
      </c>
      <c r="L321" t="s">
        <v>3332</v>
      </c>
      <c r="M321" t="s">
        <v>3331</v>
      </c>
      <c r="N321" t="s">
        <v>3330</v>
      </c>
      <c r="O321" t="s">
        <v>2743</v>
      </c>
      <c r="P321" s="103">
        <v>45714</v>
      </c>
      <c r="Q321" t="s">
        <v>2231</v>
      </c>
      <c r="R321" s="103">
        <v>45717</v>
      </c>
      <c r="S321" t="s">
        <v>2281</v>
      </c>
      <c r="U321" t="s">
        <v>2744</v>
      </c>
      <c r="X321" t="s">
        <v>2862</v>
      </c>
      <c r="Y321" t="s">
        <v>2088</v>
      </c>
      <c r="AD321">
        <v>165</v>
      </c>
    </row>
    <row r="322" spans="1:30" hidden="1">
      <c r="A322">
        <v>212347</v>
      </c>
      <c r="B322">
        <v>22</v>
      </c>
      <c r="C322" t="s">
        <v>3259</v>
      </c>
      <c r="E322" s="103">
        <v>45726</v>
      </c>
      <c r="F322">
        <v>1</v>
      </c>
      <c r="G322" s="1210">
        <v>45671</v>
      </c>
      <c r="I322" t="s">
        <v>152</v>
      </c>
      <c r="J322" t="s">
        <v>2082</v>
      </c>
      <c r="K322">
        <v>4500009387</v>
      </c>
      <c r="L322" t="s">
        <v>3333</v>
      </c>
      <c r="M322" t="s">
        <v>3334</v>
      </c>
      <c r="N322" t="s">
        <v>3335</v>
      </c>
      <c r="O322" t="s">
        <v>2094</v>
      </c>
      <c r="Q322" t="s">
        <v>2231</v>
      </c>
      <c r="S322" t="s">
        <v>2281</v>
      </c>
      <c r="U322" t="s">
        <v>2744</v>
      </c>
      <c r="V322" t="s">
        <v>2933</v>
      </c>
      <c r="W322" t="s">
        <v>3336</v>
      </c>
      <c r="X322" t="s">
        <v>3337</v>
      </c>
      <c r="Y322" t="s">
        <v>2088</v>
      </c>
      <c r="AD322">
        <v>22</v>
      </c>
    </row>
    <row r="323" spans="1:30" hidden="1">
      <c r="A323">
        <v>212347</v>
      </c>
      <c r="B323">
        <v>6</v>
      </c>
      <c r="C323" t="s">
        <v>3259</v>
      </c>
      <c r="E323" s="103">
        <v>45726</v>
      </c>
      <c r="F323">
        <v>1</v>
      </c>
      <c r="G323" s="1210">
        <v>45671</v>
      </c>
      <c r="I323" t="s">
        <v>152</v>
      </c>
      <c r="J323" t="s">
        <v>2082</v>
      </c>
      <c r="K323">
        <v>4500009388</v>
      </c>
      <c r="L323" t="s">
        <v>3338</v>
      </c>
      <c r="N323" t="s">
        <v>3339</v>
      </c>
      <c r="O323" t="s">
        <v>2094</v>
      </c>
      <c r="Q323" t="s">
        <v>2231</v>
      </c>
      <c r="S323" t="s">
        <v>2814</v>
      </c>
      <c r="U323" t="s">
        <v>2744</v>
      </c>
      <c r="V323" t="s">
        <v>2815</v>
      </c>
      <c r="W323" t="s">
        <v>3336</v>
      </c>
      <c r="X323" t="s">
        <v>3337</v>
      </c>
      <c r="Y323" t="s">
        <v>2088</v>
      </c>
      <c r="AD323">
        <v>28</v>
      </c>
    </row>
    <row r="324" spans="1:30" hidden="1">
      <c r="A324">
        <v>206310</v>
      </c>
      <c r="B324">
        <v>198</v>
      </c>
      <c r="C324" t="s">
        <v>3017</v>
      </c>
      <c r="E324" s="103">
        <v>45733</v>
      </c>
      <c r="F324">
        <v>1</v>
      </c>
      <c r="G324" s="1210">
        <v>45548</v>
      </c>
      <c r="I324" t="s">
        <v>693</v>
      </c>
      <c r="J324" t="s">
        <v>2082</v>
      </c>
      <c r="K324">
        <v>4500008095</v>
      </c>
      <c r="L324" t="s">
        <v>3340</v>
      </c>
      <c r="M324" t="s">
        <v>3316</v>
      </c>
      <c r="N324" t="s">
        <v>3317</v>
      </c>
      <c r="O324" t="s">
        <v>2026</v>
      </c>
      <c r="P324" s="103">
        <v>45721</v>
      </c>
      <c r="Q324" t="s">
        <v>2231</v>
      </c>
      <c r="R324" s="103">
        <v>45724</v>
      </c>
      <c r="S324" t="s">
        <v>2281</v>
      </c>
      <c r="U324" t="s">
        <v>2744</v>
      </c>
      <c r="V324" t="s">
        <v>3237</v>
      </c>
      <c r="X324" t="s">
        <v>3000</v>
      </c>
      <c r="Y324" t="s">
        <v>2088</v>
      </c>
      <c r="AD324">
        <v>600</v>
      </c>
    </row>
    <row r="325" spans="1:30" hidden="1">
      <c r="A325">
        <v>199319</v>
      </c>
      <c r="B325">
        <v>150</v>
      </c>
      <c r="C325" t="s">
        <v>2240</v>
      </c>
      <c r="E325" s="103">
        <v>45733</v>
      </c>
      <c r="F325">
        <v>1</v>
      </c>
      <c r="G325" s="1210">
        <v>45616</v>
      </c>
      <c r="I325" t="s">
        <v>358</v>
      </c>
      <c r="J325" t="s">
        <v>2082</v>
      </c>
      <c r="K325">
        <v>4500008883</v>
      </c>
      <c r="L325" t="s">
        <v>3284</v>
      </c>
      <c r="M325" t="s">
        <v>3329</v>
      </c>
      <c r="N325" t="s">
        <v>3317</v>
      </c>
      <c r="O325" t="s">
        <v>2026</v>
      </c>
      <c r="P325" s="103">
        <v>45720</v>
      </c>
      <c r="Q325" t="s">
        <v>2231</v>
      </c>
      <c r="R325" s="103">
        <v>45724</v>
      </c>
      <c r="S325" t="s">
        <v>2281</v>
      </c>
      <c r="U325" t="s">
        <v>2744</v>
      </c>
      <c r="V325" t="s">
        <v>3277</v>
      </c>
      <c r="X325" t="s">
        <v>3225</v>
      </c>
      <c r="Y325" t="s">
        <v>2088</v>
      </c>
      <c r="AD325">
        <v>1100</v>
      </c>
    </row>
    <row r="326" spans="1:30" hidden="1">
      <c r="A326">
        <v>203746</v>
      </c>
      <c r="B326">
        <v>80</v>
      </c>
      <c r="C326" t="s">
        <v>3226</v>
      </c>
      <c r="E326" s="103">
        <v>45733</v>
      </c>
      <c r="F326">
        <v>1</v>
      </c>
      <c r="G326" s="1210">
        <v>45618</v>
      </c>
      <c r="I326" t="s">
        <v>726</v>
      </c>
      <c r="J326" t="s">
        <v>2082</v>
      </c>
      <c r="K326">
        <v>4500008914</v>
      </c>
      <c r="L326" t="s">
        <v>3341</v>
      </c>
      <c r="M326" t="s">
        <v>3305</v>
      </c>
      <c r="N326" t="s">
        <v>3317</v>
      </c>
      <c r="O326" t="s">
        <v>2026</v>
      </c>
      <c r="P326" s="103">
        <v>45720</v>
      </c>
      <c r="Q326" t="s">
        <v>2231</v>
      </c>
      <c r="R326" s="103">
        <v>45724</v>
      </c>
      <c r="S326" t="s">
        <v>2281</v>
      </c>
      <c r="U326" t="s">
        <v>2744</v>
      </c>
      <c r="X326" t="s">
        <v>3225</v>
      </c>
      <c r="Y326" t="s">
        <v>2088</v>
      </c>
      <c r="AD326">
        <v>605</v>
      </c>
    </row>
    <row r="327" spans="1:30" hidden="1">
      <c r="A327">
        <v>210491</v>
      </c>
      <c r="B327">
        <v>298</v>
      </c>
      <c r="C327" t="s">
        <v>3208</v>
      </c>
      <c r="E327" s="103">
        <v>45733</v>
      </c>
      <c r="F327">
        <v>1</v>
      </c>
      <c r="G327" s="1210">
        <v>45622</v>
      </c>
      <c r="I327" t="s">
        <v>583</v>
      </c>
      <c r="J327" t="s">
        <v>2070</v>
      </c>
      <c r="K327">
        <v>4500008917</v>
      </c>
      <c r="L327" t="s">
        <v>3342</v>
      </c>
      <c r="M327" t="s">
        <v>3320</v>
      </c>
      <c r="N327" t="s">
        <v>3317</v>
      </c>
      <c r="O327" t="s">
        <v>2026</v>
      </c>
      <c r="P327" s="103">
        <v>45724</v>
      </c>
      <c r="Q327" t="s">
        <v>2231</v>
      </c>
      <c r="R327" s="103">
        <v>45728</v>
      </c>
      <c r="S327" t="s">
        <v>2281</v>
      </c>
      <c r="U327" t="s">
        <v>2744</v>
      </c>
      <c r="V327" t="s">
        <v>3321</v>
      </c>
      <c r="X327" t="s">
        <v>490</v>
      </c>
      <c r="Y327" t="s">
        <v>2088</v>
      </c>
      <c r="AD327">
        <v>2910</v>
      </c>
    </row>
    <row r="328" spans="1:30" hidden="1">
      <c r="A328">
        <v>210492</v>
      </c>
      <c r="B328">
        <v>498</v>
      </c>
      <c r="C328" t="s">
        <v>3210</v>
      </c>
      <c r="E328" s="103">
        <v>45733</v>
      </c>
      <c r="F328">
        <v>1</v>
      </c>
      <c r="G328" s="1210">
        <v>45622</v>
      </c>
      <c r="I328" t="s">
        <v>646</v>
      </c>
      <c r="J328" t="s">
        <v>2070</v>
      </c>
      <c r="K328">
        <v>4500008921</v>
      </c>
      <c r="L328" t="s">
        <v>3343</v>
      </c>
      <c r="M328" t="s">
        <v>3320</v>
      </c>
      <c r="N328" t="s">
        <v>3317</v>
      </c>
      <c r="O328" t="s">
        <v>2026</v>
      </c>
      <c r="P328" s="103">
        <v>45724</v>
      </c>
      <c r="Q328" t="s">
        <v>2231</v>
      </c>
      <c r="R328" s="103">
        <v>45728</v>
      </c>
      <c r="S328" t="s">
        <v>2281</v>
      </c>
      <c r="U328" t="s">
        <v>2744</v>
      </c>
      <c r="V328" t="s">
        <v>3321</v>
      </c>
      <c r="X328" t="s">
        <v>490</v>
      </c>
      <c r="Y328" t="s">
        <v>2088</v>
      </c>
      <c r="AD328">
        <v>4719</v>
      </c>
    </row>
    <row r="329" spans="1:30" hidden="1">
      <c r="A329">
        <v>210491</v>
      </c>
      <c r="B329">
        <v>99</v>
      </c>
      <c r="C329" t="s">
        <v>3208</v>
      </c>
      <c r="E329" s="103">
        <v>45733</v>
      </c>
      <c r="F329">
        <v>1</v>
      </c>
      <c r="G329" s="1210">
        <v>45646</v>
      </c>
      <c r="I329" t="s">
        <v>583</v>
      </c>
      <c r="J329" t="s">
        <v>2070</v>
      </c>
      <c r="K329">
        <v>4500009228</v>
      </c>
      <c r="L329" t="s">
        <v>3344</v>
      </c>
      <c r="M329" t="s">
        <v>3320</v>
      </c>
      <c r="N329" t="s">
        <v>3317</v>
      </c>
      <c r="O329" t="s">
        <v>2026</v>
      </c>
      <c r="P329" s="103">
        <v>45724</v>
      </c>
      <c r="Q329" t="s">
        <v>2231</v>
      </c>
      <c r="R329" s="103">
        <v>45728</v>
      </c>
      <c r="S329" t="s">
        <v>2281</v>
      </c>
      <c r="U329" t="s">
        <v>2744</v>
      </c>
      <c r="X329" t="s">
        <v>490</v>
      </c>
      <c r="Y329" t="s">
        <v>2088</v>
      </c>
      <c r="AD329">
        <v>3009</v>
      </c>
    </row>
    <row r="330" spans="1:30" hidden="1">
      <c r="A330">
        <v>210492</v>
      </c>
      <c r="B330">
        <v>159</v>
      </c>
      <c r="C330" t="s">
        <v>3210</v>
      </c>
      <c r="E330" s="103">
        <v>45733</v>
      </c>
      <c r="F330">
        <v>1</v>
      </c>
      <c r="G330" s="1210">
        <v>45646</v>
      </c>
      <c r="I330" t="s">
        <v>646</v>
      </c>
      <c r="J330" t="s">
        <v>2070</v>
      </c>
      <c r="K330">
        <v>4500009229</v>
      </c>
      <c r="L330" t="s">
        <v>3345</v>
      </c>
      <c r="M330" t="s">
        <v>3320</v>
      </c>
      <c r="N330" t="s">
        <v>3317</v>
      </c>
      <c r="O330" t="s">
        <v>2026</v>
      </c>
      <c r="P330" s="103">
        <v>45724</v>
      </c>
      <c r="Q330" t="s">
        <v>2231</v>
      </c>
      <c r="R330" s="103">
        <v>45728</v>
      </c>
      <c r="S330" t="s">
        <v>2281</v>
      </c>
      <c r="U330" t="s">
        <v>2744</v>
      </c>
      <c r="X330" t="s">
        <v>490</v>
      </c>
      <c r="Y330" t="s">
        <v>2088</v>
      </c>
      <c r="AD330">
        <v>4878</v>
      </c>
    </row>
    <row r="331" spans="1:30" hidden="1">
      <c r="A331">
        <v>199017</v>
      </c>
      <c r="B331">
        <v>30</v>
      </c>
      <c r="C331" t="s">
        <v>3036</v>
      </c>
      <c r="E331" s="103">
        <v>45734</v>
      </c>
      <c r="F331">
        <v>1</v>
      </c>
      <c r="G331" s="1210">
        <v>45671</v>
      </c>
      <c r="I331" t="s">
        <v>2586</v>
      </c>
      <c r="J331" t="s">
        <v>2012</v>
      </c>
      <c r="K331">
        <v>4500009378</v>
      </c>
      <c r="L331" t="s">
        <v>3037</v>
      </c>
      <c r="M331" t="s">
        <v>3346</v>
      </c>
      <c r="N331" t="s">
        <v>3347</v>
      </c>
      <c r="O331" t="s">
        <v>2946</v>
      </c>
      <c r="Q331" t="s">
        <v>2231</v>
      </c>
      <c r="S331" t="s">
        <v>2911</v>
      </c>
      <c r="U331" t="s">
        <v>2744</v>
      </c>
      <c r="W331" t="s">
        <v>3348</v>
      </c>
      <c r="X331" t="s">
        <v>2862</v>
      </c>
      <c r="Y331" t="s">
        <v>2088</v>
      </c>
      <c r="AD331">
        <v>265</v>
      </c>
    </row>
    <row r="332" spans="1:30" hidden="1">
      <c r="A332">
        <v>201898</v>
      </c>
      <c r="B332">
        <v>520</v>
      </c>
      <c r="C332" t="s">
        <v>3102</v>
      </c>
      <c r="E332" s="103">
        <v>45734</v>
      </c>
      <c r="F332">
        <v>1</v>
      </c>
      <c r="G332" s="1210">
        <v>45671</v>
      </c>
      <c r="I332" t="s">
        <v>317</v>
      </c>
      <c r="J332" t="s">
        <v>2012</v>
      </c>
      <c r="K332">
        <v>4500009379</v>
      </c>
      <c r="L332" t="s">
        <v>3349</v>
      </c>
      <c r="M332" t="s">
        <v>3346</v>
      </c>
      <c r="N332" t="s">
        <v>3347</v>
      </c>
      <c r="O332" t="s">
        <v>2946</v>
      </c>
      <c r="P332" s="103">
        <v>45734</v>
      </c>
      <c r="Q332" t="s">
        <v>2231</v>
      </c>
      <c r="R332" s="103">
        <v>45738</v>
      </c>
      <c r="S332" t="s">
        <v>2281</v>
      </c>
      <c r="U332" t="s">
        <v>2744</v>
      </c>
      <c r="W332" t="s">
        <v>3291</v>
      </c>
      <c r="X332" t="s">
        <v>3270</v>
      </c>
      <c r="Y332" t="s">
        <v>2088</v>
      </c>
      <c r="AD332">
        <v>3528</v>
      </c>
    </row>
    <row r="333" spans="1:30" hidden="1">
      <c r="A333">
        <v>216446</v>
      </c>
      <c r="B333">
        <v>150</v>
      </c>
      <c r="C333" t="s">
        <v>3350</v>
      </c>
      <c r="E333" s="103">
        <v>45734</v>
      </c>
      <c r="F333">
        <v>1</v>
      </c>
      <c r="G333" s="1210">
        <v>45716</v>
      </c>
      <c r="I333" t="s">
        <v>3351</v>
      </c>
      <c r="J333" t="s">
        <v>2082</v>
      </c>
      <c r="K333">
        <v>4500010041</v>
      </c>
      <c r="L333" t="s">
        <v>2903</v>
      </c>
      <c r="N333" t="s">
        <v>3347</v>
      </c>
      <c r="O333" t="s">
        <v>2094</v>
      </c>
      <c r="Q333" t="s">
        <v>2231</v>
      </c>
      <c r="S333" t="s">
        <v>2281</v>
      </c>
      <c r="U333" t="s">
        <v>2744</v>
      </c>
      <c r="W333" t="s">
        <v>3352</v>
      </c>
      <c r="X333" t="s">
        <v>490</v>
      </c>
      <c r="Y333" t="s">
        <v>2088</v>
      </c>
      <c r="AD333">
        <v>150</v>
      </c>
    </row>
    <row r="334" spans="1:30" hidden="1">
      <c r="A334">
        <v>216447</v>
      </c>
      <c r="B334">
        <v>20</v>
      </c>
      <c r="C334" t="s">
        <v>3350</v>
      </c>
      <c r="E334" s="103">
        <v>45734</v>
      </c>
      <c r="F334">
        <v>1</v>
      </c>
      <c r="G334" s="1210">
        <v>45716</v>
      </c>
      <c r="I334" t="s">
        <v>3353</v>
      </c>
      <c r="J334" t="s">
        <v>2082</v>
      </c>
      <c r="K334">
        <v>4500010041</v>
      </c>
      <c r="L334" t="s">
        <v>2905</v>
      </c>
      <c r="N334" t="s">
        <v>3347</v>
      </c>
      <c r="O334" t="s">
        <v>2094</v>
      </c>
      <c r="Q334" t="s">
        <v>2231</v>
      </c>
      <c r="S334" t="s">
        <v>2281</v>
      </c>
      <c r="U334" t="s">
        <v>2744</v>
      </c>
      <c r="W334" t="s">
        <v>3352</v>
      </c>
      <c r="X334" t="s">
        <v>490</v>
      </c>
      <c r="Y334" t="s">
        <v>2088</v>
      </c>
      <c r="AD334">
        <v>20</v>
      </c>
    </row>
    <row r="335" spans="1:30" hidden="1">
      <c r="A335">
        <v>199017</v>
      </c>
      <c r="B335">
        <v>40</v>
      </c>
      <c r="C335" t="s">
        <v>3036</v>
      </c>
      <c r="E335" s="103">
        <v>45734</v>
      </c>
      <c r="F335">
        <v>1</v>
      </c>
      <c r="G335" s="1210">
        <v>45716</v>
      </c>
      <c r="I335" t="s">
        <v>2586</v>
      </c>
      <c r="J335" t="s">
        <v>2012</v>
      </c>
      <c r="K335">
        <v>4500010047</v>
      </c>
      <c r="L335" t="s">
        <v>3085</v>
      </c>
      <c r="M335" t="s">
        <v>3346</v>
      </c>
      <c r="N335" t="s">
        <v>3347</v>
      </c>
      <c r="O335" t="s">
        <v>2946</v>
      </c>
      <c r="Q335" t="s">
        <v>2231</v>
      </c>
      <c r="S335" t="s">
        <v>2911</v>
      </c>
      <c r="U335" t="s">
        <v>2744</v>
      </c>
      <c r="V335" t="s">
        <v>3277</v>
      </c>
      <c r="W335" t="s">
        <v>3354</v>
      </c>
      <c r="Y335" t="s">
        <v>2088</v>
      </c>
      <c r="AD335">
        <v>305</v>
      </c>
    </row>
    <row r="336" spans="1:30" hidden="1">
      <c r="A336">
        <v>207871</v>
      </c>
      <c r="B336">
        <v>560</v>
      </c>
      <c r="C336" t="s">
        <v>3164</v>
      </c>
      <c r="E336" s="103">
        <v>45737</v>
      </c>
      <c r="F336">
        <v>1</v>
      </c>
      <c r="G336" s="1210">
        <v>45603</v>
      </c>
      <c r="I336" t="s">
        <v>570</v>
      </c>
      <c r="J336" t="s">
        <v>2074</v>
      </c>
      <c r="K336">
        <v>4500008673</v>
      </c>
      <c r="L336" t="s">
        <v>3355</v>
      </c>
      <c r="M336" t="s">
        <v>3313</v>
      </c>
      <c r="N336" t="s">
        <v>3356</v>
      </c>
      <c r="O336" t="s">
        <v>2743</v>
      </c>
      <c r="P336" s="103">
        <v>45724</v>
      </c>
      <c r="Q336" t="s">
        <v>3051</v>
      </c>
      <c r="R336" s="103">
        <v>45731</v>
      </c>
      <c r="S336" t="s">
        <v>2281</v>
      </c>
      <c r="U336" t="s">
        <v>2744</v>
      </c>
      <c r="V336" t="s">
        <v>2933</v>
      </c>
      <c r="X336" t="s">
        <v>3168</v>
      </c>
      <c r="Y336" t="s">
        <v>2088</v>
      </c>
      <c r="AD336">
        <v>566</v>
      </c>
    </row>
    <row r="337" spans="1:30" hidden="1">
      <c r="A337">
        <v>207872</v>
      </c>
      <c r="B337">
        <v>1040</v>
      </c>
      <c r="C337" t="s">
        <v>3169</v>
      </c>
      <c r="D337" t="s">
        <v>3357</v>
      </c>
      <c r="E337" s="103">
        <v>45737</v>
      </c>
      <c r="F337">
        <v>1</v>
      </c>
      <c r="G337" s="1210">
        <v>45603</v>
      </c>
      <c r="I337" t="s">
        <v>640</v>
      </c>
      <c r="J337" t="s">
        <v>2074</v>
      </c>
      <c r="K337">
        <v>4500008678</v>
      </c>
      <c r="L337" t="s">
        <v>3358</v>
      </c>
      <c r="M337" t="s">
        <v>3313</v>
      </c>
      <c r="N337" t="s">
        <v>3356</v>
      </c>
      <c r="O337" t="s">
        <v>2743</v>
      </c>
      <c r="P337" s="103">
        <v>45724</v>
      </c>
      <c r="Q337" t="s">
        <v>3051</v>
      </c>
      <c r="R337" s="103">
        <v>45731</v>
      </c>
      <c r="S337" t="s">
        <v>2281</v>
      </c>
      <c r="U337" t="s">
        <v>2744</v>
      </c>
      <c r="V337" t="s">
        <v>2933</v>
      </c>
      <c r="X337" t="s">
        <v>3168</v>
      </c>
      <c r="Y337" t="s">
        <v>2088</v>
      </c>
      <c r="AD337">
        <v>1046</v>
      </c>
    </row>
    <row r="338" spans="1:30">
      <c r="A338">
        <v>212477</v>
      </c>
      <c r="B338">
        <v>2</v>
      </c>
      <c r="C338" t="s">
        <v>3359</v>
      </c>
      <c r="E338" s="103">
        <v>45740</v>
      </c>
      <c r="F338">
        <v>3</v>
      </c>
      <c r="G338" s="1210">
        <v>45649</v>
      </c>
      <c r="I338" t="s">
        <v>3360</v>
      </c>
      <c r="J338" t="s">
        <v>2012</v>
      </c>
      <c r="K338">
        <v>4500009318</v>
      </c>
      <c r="L338" t="s">
        <v>3361</v>
      </c>
      <c r="M338" t="s">
        <v>3362</v>
      </c>
      <c r="N338" t="s">
        <v>3363</v>
      </c>
      <c r="O338" t="s">
        <v>2094</v>
      </c>
      <c r="Q338" t="s">
        <v>2231</v>
      </c>
      <c r="S338" t="s">
        <v>2806</v>
      </c>
      <c r="U338" t="s">
        <v>2744</v>
      </c>
      <c r="X338" t="s">
        <v>490</v>
      </c>
      <c r="Y338" t="s">
        <v>2088</v>
      </c>
      <c r="AD338">
        <v>0</v>
      </c>
    </row>
    <row r="339" spans="1:30" hidden="1">
      <c r="A339">
        <v>199027</v>
      </c>
      <c r="B339">
        <v>130</v>
      </c>
      <c r="C339" t="s">
        <v>3062</v>
      </c>
      <c r="E339" s="103">
        <v>45742</v>
      </c>
      <c r="F339">
        <v>1</v>
      </c>
      <c r="G339" s="1210">
        <v>45616</v>
      </c>
      <c r="I339" t="s">
        <v>1046</v>
      </c>
      <c r="J339" t="s">
        <v>2012</v>
      </c>
      <c r="K339">
        <v>4500008840</v>
      </c>
      <c r="L339" t="s">
        <v>3364</v>
      </c>
      <c r="M339" t="s">
        <v>3365</v>
      </c>
      <c r="N339" t="s">
        <v>3339</v>
      </c>
      <c r="O339" t="s">
        <v>2743</v>
      </c>
      <c r="P339" s="103">
        <v>45727</v>
      </c>
      <c r="Q339" t="s">
        <v>2231</v>
      </c>
      <c r="R339" s="103">
        <v>45732</v>
      </c>
      <c r="S339" t="s">
        <v>2281</v>
      </c>
      <c r="U339" t="s">
        <v>2744</v>
      </c>
      <c r="X339" t="s">
        <v>3160</v>
      </c>
      <c r="Y339" t="s">
        <v>2088</v>
      </c>
      <c r="AD339">
        <v>1810</v>
      </c>
    </row>
    <row r="340" spans="1:30" hidden="1">
      <c r="A340">
        <v>199023</v>
      </c>
      <c r="B340">
        <v>150</v>
      </c>
      <c r="C340" t="s">
        <v>3062</v>
      </c>
      <c r="E340" s="103">
        <v>45742</v>
      </c>
      <c r="F340">
        <v>1</v>
      </c>
      <c r="G340" s="1210">
        <v>45646</v>
      </c>
      <c r="I340" t="s">
        <v>465</v>
      </c>
      <c r="J340" t="s">
        <v>2012</v>
      </c>
      <c r="K340">
        <v>4500009226</v>
      </c>
      <c r="L340" t="s">
        <v>3366</v>
      </c>
      <c r="M340" t="s">
        <v>3365</v>
      </c>
      <c r="N340" t="s">
        <v>3339</v>
      </c>
      <c r="O340" t="s">
        <v>2743</v>
      </c>
      <c r="P340" s="103">
        <v>45727</v>
      </c>
      <c r="Q340" t="s">
        <v>2231</v>
      </c>
      <c r="R340" s="103">
        <v>45734</v>
      </c>
      <c r="S340" t="s">
        <v>2281</v>
      </c>
      <c r="U340" t="s">
        <v>2744</v>
      </c>
      <c r="X340" t="s">
        <v>3270</v>
      </c>
      <c r="Y340" t="s">
        <v>2088</v>
      </c>
      <c r="AD340">
        <v>2680</v>
      </c>
    </row>
    <row r="341" spans="1:30" hidden="1">
      <c r="A341">
        <v>199021</v>
      </c>
      <c r="B341">
        <v>300</v>
      </c>
      <c r="C341" t="s">
        <v>3053</v>
      </c>
      <c r="E341" s="103">
        <v>45742</v>
      </c>
      <c r="F341">
        <v>1</v>
      </c>
      <c r="G341" s="1210">
        <v>45671</v>
      </c>
      <c r="I341" t="s">
        <v>456</v>
      </c>
      <c r="J341" t="s">
        <v>2012</v>
      </c>
      <c r="K341">
        <v>4500009380</v>
      </c>
      <c r="L341" t="s">
        <v>3207</v>
      </c>
      <c r="M341" t="s">
        <v>3367</v>
      </c>
      <c r="N341" t="s">
        <v>3339</v>
      </c>
      <c r="O341" t="s">
        <v>2743</v>
      </c>
      <c r="P341" s="103">
        <v>45727</v>
      </c>
      <c r="Q341" t="s">
        <v>2231</v>
      </c>
      <c r="R341" s="103">
        <v>45734</v>
      </c>
      <c r="S341" t="s">
        <v>2281</v>
      </c>
      <c r="U341" t="s">
        <v>2744</v>
      </c>
      <c r="X341" t="s">
        <v>3270</v>
      </c>
      <c r="Y341" t="s">
        <v>2088</v>
      </c>
      <c r="AD341">
        <v>3390</v>
      </c>
    </row>
    <row r="342" spans="1:30" hidden="1">
      <c r="A342">
        <v>199872</v>
      </c>
      <c r="B342">
        <v>109</v>
      </c>
      <c r="C342" t="s">
        <v>3184</v>
      </c>
      <c r="E342" s="103">
        <v>45744</v>
      </c>
      <c r="F342">
        <v>1</v>
      </c>
      <c r="G342" s="1210">
        <v>45573</v>
      </c>
      <c r="I342" t="s">
        <v>670</v>
      </c>
      <c r="J342" t="s">
        <v>2074</v>
      </c>
      <c r="K342">
        <v>4500008303</v>
      </c>
      <c r="L342" t="s">
        <v>3368</v>
      </c>
      <c r="N342" t="s">
        <v>3339</v>
      </c>
      <c r="O342" t="s">
        <v>2743</v>
      </c>
      <c r="P342" s="103">
        <v>45730</v>
      </c>
      <c r="Q342" t="s">
        <v>3051</v>
      </c>
      <c r="R342" s="103">
        <v>45735</v>
      </c>
      <c r="S342" t="s">
        <v>2281</v>
      </c>
      <c r="U342" t="s">
        <v>2744</v>
      </c>
      <c r="X342" t="s">
        <v>3187</v>
      </c>
      <c r="Y342" t="s">
        <v>2088</v>
      </c>
      <c r="AD342">
        <v>979</v>
      </c>
    </row>
    <row r="343" spans="1:30" hidden="1">
      <c r="A343">
        <v>191673</v>
      </c>
      <c r="B343">
        <v>30</v>
      </c>
      <c r="C343" t="s">
        <v>3249</v>
      </c>
      <c r="E343" s="103">
        <v>45744</v>
      </c>
      <c r="F343">
        <v>1</v>
      </c>
      <c r="G343" s="1210">
        <v>45603</v>
      </c>
      <c r="I343" t="s">
        <v>3250</v>
      </c>
      <c r="J343" t="s">
        <v>2074</v>
      </c>
      <c r="K343">
        <v>1512151</v>
      </c>
      <c r="L343" t="s">
        <v>3369</v>
      </c>
      <c r="N343" t="s">
        <v>3339</v>
      </c>
      <c r="O343" t="s">
        <v>2743</v>
      </c>
      <c r="P343" s="103">
        <v>45730</v>
      </c>
      <c r="Q343" t="s">
        <v>3051</v>
      </c>
      <c r="R343" s="103">
        <v>45735</v>
      </c>
      <c r="S343" t="s">
        <v>2281</v>
      </c>
      <c r="U343" t="s">
        <v>2744</v>
      </c>
      <c r="X343" t="s">
        <v>490</v>
      </c>
      <c r="Y343" t="s">
        <v>2088</v>
      </c>
      <c r="AD343">
        <v>40</v>
      </c>
    </row>
    <row r="344" spans="1:30" hidden="1">
      <c r="A344">
        <v>207871</v>
      </c>
      <c r="B344">
        <v>143</v>
      </c>
      <c r="C344" t="s">
        <v>3164</v>
      </c>
      <c r="E344" s="103">
        <v>45744</v>
      </c>
      <c r="F344">
        <v>1</v>
      </c>
      <c r="G344" s="1210">
        <v>45603</v>
      </c>
      <c r="I344" t="s">
        <v>570</v>
      </c>
      <c r="J344" t="s">
        <v>2074</v>
      </c>
      <c r="K344">
        <v>4500008673</v>
      </c>
      <c r="L344" t="s">
        <v>3370</v>
      </c>
      <c r="M344" t="s">
        <v>3313</v>
      </c>
      <c r="N344" t="s">
        <v>3339</v>
      </c>
      <c r="O344" t="s">
        <v>2743</v>
      </c>
      <c r="P344" s="103">
        <v>45730</v>
      </c>
      <c r="Q344" t="s">
        <v>3051</v>
      </c>
      <c r="R344" s="103">
        <v>45735</v>
      </c>
      <c r="S344" t="s">
        <v>2281</v>
      </c>
      <c r="U344" t="s">
        <v>2744</v>
      </c>
      <c r="X344" t="s">
        <v>3168</v>
      </c>
      <c r="Y344" t="s">
        <v>2088</v>
      </c>
      <c r="AD344">
        <v>709</v>
      </c>
    </row>
    <row r="345" spans="1:30" hidden="1">
      <c r="A345">
        <v>207872</v>
      </c>
      <c r="B345">
        <v>130</v>
      </c>
      <c r="C345" t="s">
        <v>3169</v>
      </c>
      <c r="D345" t="s">
        <v>3371</v>
      </c>
      <c r="E345" s="103">
        <v>45744</v>
      </c>
      <c r="F345">
        <v>1</v>
      </c>
      <c r="G345" s="1210">
        <v>45603</v>
      </c>
      <c r="I345" t="s">
        <v>640</v>
      </c>
      <c r="J345" t="s">
        <v>2074</v>
      </c>
      <c r="K345">
        <v>4500008678</v>
      </c>
      <c r="L345" t="s">
        <v>3372</v>
      </c>
      <c r="M345" t="s">
        <v>3313</v>
      </c>
      <c r="N345" t="s">
        <v>3339</v>
      </c>
      <c r="O345" t="s">
        <v>2743</v>
      </c>
      <c r="P345" s="103">
        <v>45730</v>
      </c>
      <c r="Q345" t="s">
        <v>3051</v>
      </c>
      <c r="R345" s="103">
        <v>45735</v>
      </c>
      <c r="S345" t="s">
        <v>2281</v>
      </c>
      <c r="U345" t="s">
        <v>2744</v>
      </c>
      <c r="X345" t="s">
        <v>3168</v>
      </c>
      <c r="Y345" t="s">
        <v>2088</v>
      </c>
      <c r="AD345">
        <v>1176</v>
      </c>
    </row>
    <row r="346" spans="1:30" hidden="1">
      <c r="A346">
        <v>215699</v>
      </c>
      <c r="B346">
        <v>2</v>
      </c>
      <c r="C346" t="s">
        <v>3222</v>
      </c>
      <c r="E346" s="103">
        <v>45747</v>
      </c>
      <c r="F346">
        <v>1</v>
      </c>
      <c r="G346" s="1210">
        <v>45726</v>
      </c>
      <c r="I346" t="s">
        <v>553</v>
      </c>
      <c r="J346" t="s">
        <v>2082</v>
      </c>
      <c r="K346">
        <v>4500010122</v>
      </c>
      <c r="L346" t="s">
        <v>3373</v>
      </c>
      <c r="M346" t="s">
        <v>3374</v>
      </c>
      <c r="N346" t="s">
        <v>3375</v>
      </c>
      <c r="O346" t="s">
        <v>2094</v>
      </c>
      <c r="P346" s="103">
        <v>45748</v>
      </c>
      <c r="Q346" t="s">
        <v>2231</v>
      </c>
      <c r="R346" s="103">
        <v>45751</v>
      </c>
      <c r="S346" t="s">
        <v>2961</v>
      </c>
      <c r="U346" t="s">
        <v>2744</v>
      </c>
      <c r="W346" t="s">
        <v>3376</v>
      </c>
      <c r="Y346" t="s">
        <v>2088</v>
      </c>
      <c r="AD346">
        <v>397</v>
      </c>
    </row>
    <row r="347" spans="1:30" hidden="1">
      <c r="A347">
        <v>212470</v>
      </c>
      <c r="B347">
        <v>1</v>
      </c>
      <c r="C347" t="s">
        <v>3377</v>
      </c>
      <c r="E347" s="103">
        <v>45747</v>
      </c>
      <c r="F347">
        <v>3</v>
      </c>
      <c r="G347" s="1210">
        <v>45733</v>
      </c>
      <c r="I347" t="s">
        <v>3378</v>
      </c>
      <c r="J347" t="s">
        <v>2082</v>
      </c>
      <c r="K347">
        <v>4500010196</v>
      </c>
      <c r="L347" t="s">
        <v>3377</v>
      </c>
      <c r="N347" t="s">
        <v>3379</v>
      </c>
      <c r="O347" t="s">
        <v>2094</v>
      </c>
      <c r="Q347" t="s">
        <v>2231</v>
      </c>
      <c r="S347" t="s">
        <v>2806</v>
      </c>
      <c r="U347" t="s">
        <v>2744</v>
      </c>
      <c r="X347" t="s">
        <v>490</v>
      </c>
      <c r="Y347" t="s">
        <v>2088</v>
      </c>
      <c r="AD347">
        <v>0</v>
      </c>
    </row>
    <row r="348" spans="1:30" hidden="1">
      <c r="A348">
        <v>210646</v>
      </c>
      <c r="B348">
        <v>200</v>
      </c>
      <c r="C348" t="s">
        <v>2997</v>
      </c>
      <c r="E348" s="103">
        <v>45749</v>
      </c>
      <c r="F348">
        <v>1</v>
      </c>
      <c r="G348" s="1210">
        <v>45671</v>
      </c>
      <c r="I348" t="s">
        <v>748</v>
      </c>
      <c r="J348" t="s">
        <v>2082</v>
      </c>
      <c r="K348">
        <v>4500009386</v>
      </c>
      <c r="L348" t="s">
        <v>3380</v>
      </c>
      <c r="M348" t="s">
        <v>3334</v>
      </c>
      <c r="N348" t="s">
        <v>3381</v>
      </c>
      <c r="O348" t="s">
        <v>2026</v>
      </c>
      <c r="P348" s="103">
        <v>45737</v>
      </c>
      <c r="Q348" t="s">
        <v>2231</v>
      </c>
      <c r="R348" s="103">
        <v>45741</v>
      </c>
      <c r="S348" t="s">
        <v>2281</v>
      </c>
      <c r="U348" t="s">
        <v>2744</v>
      </c>
      <c r="X348" t="s">
        <v>3308</v>
      </c>
      <c r="Y348" t="s">
        <v>2088</v>
      </c>
      <c r="AD348">
        <v>4399</v>
      </c>
    </row>
    <row r="349" spans="1:30" hidden="1">
      <c r="A349">
        <v>215434</v>
      </c>
      <c r="B349">
        <v>10</v>
      </c>
      <c r="C349" t="s">
        <v>2773</v>
      </c>
      <c r="D349" t="s">
        <v>3382</v>
      </c>
      <c r="E349" s="103">
        <v>45749</v>
      </c>
      <c r="F349">
        <v>1</v>
      </c>
      <c r="G349" s="1210">
        <v>45707</v>
      </c>
      <c r="I349" t="s">
        <v>2774</v>
      </c>
      <c r="J349" t="s">
        <v>2082</v>
      </c>
      <c r="K349">
        <v>1514052</v>
      </c>
      <c r="L349" t="s">
        <v>2775</v>
      </c>
      <c r="M349" t="s">
        <v>3334</v>
      </c>
      <c r="N349" t="s">
        <v>3347</v>
      </c>
      <c r="O349" t="s">
        <v>2026</v>
      </c>
      <c r="P349" s="103">
        <v>45737</v>
      </c>
      <c r="Q349" t="s">
        <v>2231</v>
      </c>
      <c r="R349" s="103">
        <v>45741</v>
      </c>
      <c r="S349" t="s">
        <v>2281</v>
      </c>
      <c r="U349" t="s">
        <v>2744</v>
      </c>
      <c r="W349" t="s">
        <v>3383</v>
      </c>
      <c r="X349" t="s">
        <v>490</v>
      </c>
      <c r="Y349" t="s">
        <v>2088</v>
      </c>
      <c r="AD349">
        <v>20</v>
      </c>
    </row>
    <row r="350" spans="1:30" hidden="1">
      <c r="A350">
        <v>215435</v>
      </c>
      <c r="B350">
        <v>10</v>
      </c>
      <c r="C350" t="s">
        <v>2776</v>
      </c>
      <c r="D350" t="s">
        <v>3382</v>
      </c>
      <c r="E350" s="103">
        <v>45749</v>
      </c>
      <c r="F350">
        <v>1</v>
      </c>
      <c r="G350" s="1210">
        <v>45707</v>
      </c>
      <c r="I350" t="s">
        <v>2777</v>
      </c>
      <c r="J350" t="s">
        <v>2082</v>
      </c>
      <c r="K350">
        <v>1514052</v>
      </c>
      <c r="L350" t="s">
        <v>2778</v>
      </c>
      <c r="M350" t="s">
        <v>3334</v>
      </c>
      <c r="N350" t="s">
        <v>3347</v>
      </c>
      <c r="O350" t="s">
        <v>2026</v>
      </c>
      <c r="P350" s="103">
        <v>45737</v>
      </c>
      <c r="Q350" t="s">
        <v>2231</v>
      </c>
      <c r="R350" s="103">
        <v>45741</v>
      </c>
      <c r="S350" t="s">
        <v>2281</v>
      </c>
      <c r="U350" t="s">
        <v>2744</v>
      </c>
      <c r="W350" t="s">
        <v>3383</v>
      </c>
      <c r="X350" t="s">
        <v>490</v>
      </c>
      <c r="Y350" t="s">
        <v>2088</v>
      </c>
      <c r="AD350">
        <v>20</v>
      </c>
    </row>
    <row r="351" spans="1:30" hidden="1">
      <c r="A351">
        <v>188034</v>
      </c>
      <c r="B351">
        <v>10</v>
      </c>
      <c r="C351" t="s">
        <v>2901</v>
      </c>
      <c r="D351" t="s">
        <v>3382</v>
      </c>
      <c r="E351" s="103">
        <v>45749</v>
      </c>
      <c r="F351">
        <v>1</v>
      </c>
      <c r="G351" s="1210">
        <v>45707</v>
      </c>
      <c r="I351" t="s">
        <v>2902</v>
      </c>
      <c r="J351" t="s">
        <v>2082</v>
      </c>
      <c r="K351">
        <v>1514052</v>
      </c>
      <c r="L351" t="s">
        <v>2903</v>
      </c>
      <c r="M351" t="s">
        <v>3334</v>
      </c>
      <c r="N351" t="s">
        <v>3347</v>
      </c>
      <c r="O351" t="s">
        <v>2026</v>
      </c>
      <c r="P351" s="103">
        <v>45737</v>
      </c>
      <c r="Q351" t="s">
        <v>2231</v>
      </c>
      <c r="R351" s="103">
        <v>45741</v>
      </c>
      <c r="S351" t="s">
        <v>2281</v>
      </c>
      <c r="U351" t="s">
        <v>2744</v>
      </c>
      <c r="X351" t="s">
        <v>490</v>
      </c>
      <c r="Y351" t="s">
        <v>2088</v>
      </c>
      <c r="AD351">
        <v>70</v>
      </c>
    </row>
    <row r="352" spans="1:30" hidden="1">
      <c r="A352">
        <v>188035</v>
      </c>
      <c r="B352">
        <v>10</v>
      </c>
      <c r="C352" t="s">
        <v>2776</v>
      </c>
      <c r="D352" t="s">
        <v>3382</v>
      </c>
      <c r="E352" s="103">
        <v>45749</v>
      </c>
      <c r="F352">
        <v>1</v>
      </c>
      <c r="G352" s="1210">
        <v>45707</v>
      </c>
      <c r="I352" t="s">
        <v>2904</v>
      </c>
      <c r="J352" t="s">
        <v>2082</v>
      </c>
      <c r="K352">
        <v>1514052</v>
      </c>
      <c r="L352" t="s">
        <v>2778</v>
      </c>
      <c r="M352" t="s">
        <v>3334</v>
      </c>
      <c r="N352" t="s">
        <v>3347</v>
      </c>
      <c r="O352" t="s">
        <v>2026</v>
      </c>
      <c r="P352" s="103">
        <v>45737</v>
      </c>
      <c r="Q352" t="s">
        <v>2231</v>
      </c>
      <c r="R352" s="103">
        <v>45741</v>
      </c>
      <c r="S352" t="s">
        <v>2281</v>
      </c>
      <c r="U352" t="s">
        <v>2744</v>
      </c>
      <c r="X352" t="s">
        <v>490</v>
      </c>
      <c r="Y352" t="s">
        <v>2088</v>
      </c>
      <c r="AD352">
        <v>70</v>
      </c>
    </row>
    <row r="353" spans="1:30" hidden="1">
      <c r="A353">
        <v>199319</v>
      </c>
      <c r="B353">
        <v>150</v>
      </c>
      <c r="C353" t="s">
        <v>2240</v>
      </c>
      <c r="E353" s="103">
        <v>45755</v>
      </c>
      <c r="F353">
        <v>1</v>
      </c>
      <c r="G353" s="1210">
        <v>45616</v>
      </c>
      <c r="I353" t="s">
        <v>358</v>
      </c>
      <c r="J353" t="s">
        <v>2082</v>
      </c>
      <c r="K353">
        <v>4500008884</v>
      </c>
      <c r="L353" t="s">
        <v>3284</v>
      </c>
      <c r="M353" t="s">
        <v>3384</v>
      </c>
      <c r="N353" t="s">
        <v>3363</v>
      </c>
      <c r="O353" t="s">
        <v>2026</v>
      </c>
      <c r="P353" s="103">
        <v>45748</v>
      </c>
      <c r="Q353" t="s">
        <v>2231</v>
      </c>
      <c r="R353" s="103">
        <v>45751</v>
      </c>
      <c r="S353" t="s">
        <v>2281</v>
      </c>
      <c r="U353" t="s">
        <v>2744</v>
      </c>
      <c r="V353" t="s">
        <v>3277</v>
      </c>
      <c r="X353" t="s">
        <v>3225</v>
      </c>
      <c r="Y353" t="s">
        <v>2088</v>
      </c>
      <c r="AD353">
        <v>1250</v>
      </c>
    </row>
    <row r="354" spans="1:30" hidden="1">
      <c r="A354">
        <v>199021</v>
      </c>
      <c r="B354">
        <v>130</v>
      </c>
      <c r="C354" t="s">
        <v>3053</v>
      </c>
      <c r="E354" s="103">
        <v>45755</v>
      </c>
      <c r="F354">
        <v>1</v>
      </c>
      <c r="G354" s="1210">
        <v>45671</v>
      </c>
      <c r="I354" t="s">
        <v>456</v>
      </c>
      <c r="J354" t="s">
        <v>2012</v>
      </c>
      <c r="K354">
        <v>4500009381</v>
      </c>
      <c r="L354" t="s">
        <v>3385</v>
      </c>
      <c r="M354" t="s">
        <v>3386</v>
      </c>
      <c r="N354" t="s">
        <v>3363</v>
      </c>
      <c r="O354" t="s">
        <v>2743</v>
      </c>
      <c r="P354" s="103">
        <v>45746</v>
      </c>
      <c r="Q354" t="s">
        <v>2231</v>
      </c>
      <c r="R354" s="103">
        <v>45749</v>
      </c>
      <c r="S354" t="s">
        <v>2281</v>
      </c>
      <c r="U354" t="s">
        <v>2744</v>
      </c>
      <c r="X354" t="s">
        <v>3270</v>
      </c>
      <c r="Y354" t="s">
        <v>2088</v>
      </c>
      <c r="AD354">
        <v>3520</v>
      </c>
    </row>
    <row r="355" spans="1:30" hidden="1">
      <c r="A355">
        <v>199023</v>
      </c>
      <c r="B355">
        <v>250</v>
      </c>
      <c r="C355" t="s">
        <v>3062</v>
      </c>
      <c r="E355" s="103">
        <v>45755</v>
      </c>
      <c r="F355">
        <v>1</v>
      </c>
      <c r="G355" s="1210">
        <v>45671</v>
      </c>
      <c r="I355" t="s">
        <v>465</v>
      </c>
      <c r="J355" t="s">
        <v>2012</v>
      </c>
      <c r="K355">
        <v>4500009382</v>
      </c>
      <c r="L355" t="s">
        <v>3163</v>
      </c>
      <c r="M355" t="s">
        <v>3346</v>
      </c>
      <c r="N355" t="s">
        <v>3363</v>
      </c>
      <c r="O355" t="s">
        <v>2743</v>
      </c>
      <c r="P355" s="103">
        <v>45746</v>
      </c>
      <c r="Q355" t="s">
        <v>2231</v>
      </c>
      <c r="R355" s="103">
        <v>45749</v>
      </c>
      <c r="S355" t="s">
        <v>2281</v>
      </c>
      <c r="U355" t="s">
        <v>2744</v>
      </c>
      <c r="X355" t="s">
        <v>3270</v>
      </c>
      <c r="Y355" t="s">
        <v>2088</v>
      </c>
      <c r="AD355">
        <v>2930</v>
      </c>
    </row>
    <row r="356" spans="1:30" hidden="1">
      <c r="A356">
        <v>210646</v>
      </c>
      <c r="B356">
        <v>300</v>
      </c>
      <c r="C356" t="s">
        <v>2997</v>
      </c>
      <c r="E356" s="103">
        <v>45755</v>
      </c>
      <c r="F356">
        <v>1</v>
      </c>
      <c r="G356" s="1210">
        <v>45671</v>
      </c>
      <c r="I356" t="s">
        <v>748</v>
      </c>
      <c r="J356" t="s">
        <v>2082</v>
      </c>
      <c r="K356">
        <v>4500009386</v>
      </c>
      <c r="L356" t="s">
        <v>3387</v>
      </c>
      <c r="M356" t="s">
        <v>3384</v>
      </c>
      <c r="N356" t="s">
        <v>3363</v>
      </c>
      <c r="O356" t="s">
        <v>2026</v>
      </c>
      <c r="P356" s="103">
        <v>45748</v>
      </c>
      <c r="Q356" t="s">
        <v>2231</v>
      </c>
      <c r="R356" s="103">
        <v>45751</v>
      </c>
      <c r="S356" t="s">
        <v>2281</v>
      </c>
      <c r="U356" t="s">
        <v>2744</v>
      </c>
      <c r="X356" t="s">
        <v>3308</v>
      </c>
      <c r="Y356" t="s">
        <v>2088</v>
      </c>
      <c r="AD356">
        <v>4699</v>
      </c>
    </row>
    <row r="357" spans="1:30" hidden="1">
      <c r="A357">
        <v>212347</v>
      </c>
      <c r="B357">
        <v>98</v>
      </c>
      <c r="C357" t="s">
        <v>3259</v>
      </c>
      <c r="E357" s="103">
        <v>45755</v>
      </c>
      <c r="F357">
        <v>1</v>
      </c>
      <c r="G357" s="1210">
        <v>45671</v>
      </c>
      <c r="I357" t="s">
        <v>152</v>
      </c>
      <c r="J357" t="s">
        <v>2082</v>
      </c>
      <c r="K357">
        <v>4500009387</v>
      </c>
      <c r="L357" t="s">
        <v>3388</v>
      </c>
      <c r="M357" t="s">
        <v>3389</v>
      </c>
      <c r="N357" t="s">
        <v>3363</v>
      </c>
      <c r="O357" t="s">
        <v>2026</v>
      </c>
      <c r="P357" s="103">
        <v>45748</v>
      </c>
      <c r="Q357" t="s">
        <v>2231</v>
      </c>
      <c r="R357" s="103">
        <v>45751</v>
      </c>
      <c r="S357" t="s">
        <v>2281</v>
      </c>
      <c r="U357" t="s">
        <v>2744</v>
      </c>
      <c r="V357" t="s">
        <v>2933</v>
      </c>
      <c r="W357" t="s">
        <v>3336</v>
      </c>
      <c r="X357" t="s">
        <v>3337</v>
      </c>
      <c r="Y357" t="s">
        <v>2088</v>
      </c>
      <c r="AD357">
        <v>126</v>
      </c>
    </row>
    <row r="358" spans="1:30" hidden="1">
      <c r="A358">
        <v>199021</v>
      </c>
      <c r="B358">
        <v>170</v>
      </c>
      <c r="C358" t="s">
        <v>3053</v>
      </c>
      <c r="E358" s="103">
        <v>45755</v>
      </c>
      <c r="F358">
        <v>1</v>
      </c>
      <c r="G358" s="1210">
        <v>45678</v>
      </c>
      <c r="I358" t="s">
        <v>456</v>
      </c>
      <c r="J358" t="s">
        <v>2012</v>
      </c>
      <c r="K358">
        <v>4500009439</v>
      </c>
      <c r="L358" t="s">
        <v>3390</v>
      </c>
      <c r="M358" t="s">
        <v>3386</v>
      </c>
      <c r="N358" t="s">
        <v>3363</v>
      </c>
      <c r="O358" t="s">
        <v>2743</v>
      </c>
      <c r="P358" s="103">
        <v>45746</v>
      </c>
      <c r="Q358" t="s">
        <v>2231</v>
      </c>
      <c r="R358" s="103">
        <v>45749</v>
      </c>
      <c r="S358" t="s">
        <v>2281</v>
      </c>
      <c r="U358" t="s">
        <v>2744</v>
      </c>
      <c r="X358" t="s">
        <v>3270</v>
      </c>
      <c r="Y358" t="s">
        <v>2088</v>
      </c>
      <c r="AD358">
        <v>3690</v>
      </c>
    </row>
    <row r="359" spans="1:30" hidden="1">
      <c r="A359">
        <v>188034</v>
      </c>
      <c r="B359">
        <v>10</v>
      </c>
      <c r="C359" t="s">
        <v>2901</v>
      </c>
      <c r="E359" s="103">
        <v>45755</v>
      </c>
      <c r="F359">
        <v>1</v>
      </c>
      <c r="G359" s="1210">
        <v>45680</v>
      </c>
      <c r="I359" t="s">
        <v>2902</v>
      </c>
      <c r="J359" t="s">
        <v>2082</v>
      </c>
      <c r="K359">
        <v>1513523</v>
      </c>
      <c r="L359" t="s">
        <v>2903</v>
      </c>
      <c r="M359" t="s">
        <v>3384</v>
      </c>
      <c r="N359" t="s">
        <v>3363</v>
      </c>
      <c r="O359" t="s">
        <v>2026</v>
      </c>
      <c r="P359" s="103">
        <v>45741</v>
      </c>
      <c r="Q359" t="s">
        <v>2231</v>
      </c>
      <c r="R359" s="103">
        <v>45745</v>
      </c>
      <c r="S359" t="s">
        <v>2281</v>
      </c>
      <c r="U359" t="s">
        <v>2744</v>
      </c>
      <c r="X359" t="s">
        <v>490</v>
      </c>
      <c r="Y359" t="s">
        <v>2088</v>
      </c>
      <c r="AD359">
        <v>80</v>
      </c>
    </row>
    <row r="360" spans="1:30" hidden="1">
      <c r="A360">
        <v>188035</v>
      </c>
      <c r="B360">
        <v>10</v>
      </c>
      <c r="C360" t="s">
        <v>2776</v>
      </c>
      <c r="E360" s="103">
        <v>45755</v>
      </c>
      <c r="F360">
        <v>1</v>
      </c>
      <c r="G360" s="1210">
        <v>45680</v>
      </c>
      <c r="I360" t="s">
        <v>2904</v>
      </c>
      <c r="J360" t="s">
        <v>2082</v>
      </c>
      <c r="K360">
        <v>1513523</v>
      </c>
      <c r="L360" t="s">
        <v>2778</v>
      </c>
      <c r="M360" t="s">
        <v>3384</v>
      </c>
      <c r="N360" t="s">
        <v>3363</v>
      </c>
      <c r="O360" t="s">
        <v>2026</v>
      </c>
      <c r="P360" s="103">
        <v>45741</v>
      </c>
      <c r="Q360" t="s">
        <v>2231</v>
      </c>
      <c r="R360" s="103">
        <v>45745</v>
      </c>
      <c r="S360" t="s">
        <v>2281</v>
      </c>
      <c r="U360" t="s">
        <v>2744</v>
      </c>
      <c r="X360" t="s">
        <v>490</v>
      </c>
      <c r="Y360" t="s">
        <v>2088</v>
      </c>
      <c r="AD360">
        <v>80</v>
      </c>
    </row>
    <row r="361" spans="1:30" hidden="1">
      <c r="A361">
        <v>199688</v>
      </c>
      <c r="B361">
        <v>26</v>
      </c>
      <c r="C361" t="s">
        <v>2977</v>
      </c>
      <c r="E361" s="103">
        <v>45755</v>
      </c>
      <c r="F361">
        <v>1</v>
      </c>
      <c r="G361" s="1210">
        <v>45681</v>
      </c>
      <c r="I361" t="s">
        <v>2978</v>
      </c>
      <c r="J361" t="s">
        <v>2751</v>
      </c>
      <c r="K361">
        <v>1513541</v>
      </c>
      <c r="L361" t="s">
        <v>3391</v>
      </c>
      <c r="M361" t="s">
        <v>3331</v>
      </c>
      <c r="N361" t="s">
        <v>3347</v>
      </c>
      <c r="O361" t="s">
        <v>2743</v>
      </c>
      <c r="P361" s="103">
        <v>45734</v>
      </c>
      <c r="Q361" t="s">
        <v>2231</v>
      </c>
      <c r="R361" s="103">
        <v>45738</v>
      </c>
      <c r="S361" t="s">
        <v>2281</v>
      </c>
      <c r="U361" t="s">
        <v>2744</v>
      </c>
      <c r="X361" t="s">
        <v>490</v>
      </c>
      <c r="Y361" t="s">
        <v>2088</v>
      </c>
      <c r="AD361">
        <v>154</v>
      </c>
    </row>
    <row r="362" spans="1:30" hidden="1">
      <c r="A362">
        <v>199687</v>
      </c>
      <c r="B362">
        <v>15</v>
      </c>
      <c r="C362" t="s">
        <v>3093</v>
      </c>
      <c r="E362" s="103">
        <v>45755</v>
      </c>
      <c r="F362">
        <v>1</v>
      </c>
      <c r="G362" s="1210">
        <v>45681</v>
      </c>
      <c r="I362" t="s">
        <v>3094</v>
      </c>
      <c r="J362" t="s">
        <v>2751</v>
      </c>
      <c r="K362">
        <v>1513541</v>
      </c>
      <c r="L362" t="s">
        <v>3392</v>
      </c>
      <c r="M362" t="s">
        <v>3331</v>
      </c>
      <c r="N362" t="s">
        <v>3347</v>
      </c>
      <c r="O362" t="s">
        <v>2743</v>
      </c>
      <c r="P362" s="103">
        <v>45734</v>
      </c>
      <c r="Q362" t="s">
        <v>2231</v>
      </c>
      <c r="R362" s="103">
        <v>45738</v>
      </c>
      <c r="S362" t="s">
        <v>2281</v>
      </c>
      <c r="U362" t="s">
        <v>2744</v>
      </c>
      <c r="X362" t="s">
        <v>490</v>
      </c>
      <c r="Y362" t="s">
        <v>2088</v>
      </c>
      <c r="AD362">
        <v>93</v>
      </c>
    </row>
    <row r="363" spans="1:30" hidden="1">
      <c r="A363">
        <v>199685</v>
      </c>
      <c r="B363">
        <v>10</v>
      </c>
      <c r="C363" t="s">
        <v>2982</v>
      </c>
      <c r="E363" s="103">
        <v>45755</v>
      </c>
      <c r="F363">
        <v>1</v>
      </c>
      <c r="G363" s="1210">
        <v>45681</v>
      </c>
      <c r="I363" t="s">
        <v>3089</v>
      </c>
      <c r="J363" t="s">
        <v>2751</v>
      </c>
      <c r="K363">
        <v>1513541</v>
      </c>
      <c r="L363" t="s">
        <v>2989</v>
      </c>
      <c r="M363" t="s">
        <v>3331</v>
      </c>
      <c r="N363" t="s">
        <v>3347</v>
      </c>
      <c r="O363" t="s">
        <v>2743</v>
      </c>
      <c r="P363" s="103">
        <v>45734</v>
      </c>
      <c r="Q363" t="s">
        <v>2231</v>
      </c>
      <c r="R363" s="103">
        <v>45738</v>
      </c>
      <c r="S363" t="s">
        <v>2281</v>
      </c>
      <c r="U363" t="s">
        <v>2744</v>
      </c>
      <c r="X363" t="s">
        <v>490</v>
      </c>
      <c r="Y363" t="s">
        <v>2088</v>
      </c>
      <c r="AD363">
        <v>20</v>
      </c>
    </row>
    <row r="364" spans="1:30" hidden="1">
      <c r="A364">
        <v>171358</v>
      </c>
      <c r="B364">
        <v>26</v>
      </c>
      <c r="C364" t="s">
        <v>2980</v>
      </c>
      <c r="E364" s="103">
        <v>45755</v>
      </c>
      <c r="F364">
        <v>1</v>
      </c>
      <c r="G364" s="1210">
        <v>45681</v>
      </c>
      <c r="I364" t="s">
        <v>2981</v>
      </c>
      <c r="J364" t="s">
        <v>2751</v>
      </c>
      <c r="K364">
        <v>1513541</v>
      </c>
      <c r="L364" t="s">
        <v>3393</v>
      </c>
      <c r="M364" t="s">
        <v>3331</v>
      </c>
      <c r="N364" t="s">
        <v>3347</v>
      </c>
      <c r="O364" t="s">
        <v>2743</v>
      </c>
      <c r="P364" s="103">
        <v>45734</v>
      </c>
      <c r="Q364" t="s">
        <v>2231</v>
      </c>
      <c r="R364" s="103">
        <v>45738</v>
      </c>
      <c r="S364" t="s">
        <v>2281</v>
      </c>
      <c r="U364" t="s">
        <v>2744</v>
      </c>
      <c r="X364" t="s">
        <v>490</v>
      </c>
      <c r="Y364" t="s">
        <v>2088</v>
      </c>
      <c r="AD364">
        <v>164</v>
      </c>
    </row>
    <row r="365" spans="1:30" hidden="1">
      <c r="A365">
        <v>171480</v>
      </c>
      <c r="B365">
        <v>25</v>
      </c>
      <c r="C365" t="s">
        <v>2980</v>
      </c>
      <c r="E365" s="103">
        <v>45755</v>
      </c>
      <c r="F365">
        <v>1</v>
      </c>
      <c r="G365" s="1210">
        <v>45681</v>
      </c>
      <c r="I365" t="s">
        <v>2990</v>
      </c>
      <c r="J365" t="s">
        <v>2751</v>
      </c>
      <c r="K365">
        <v>1513541</v>
      </c>
      <c r="L365" t="s">
        <v>3394</v>
      </c>
      <c r="M365" t="s">
        <v>3331</v>
      </c>
      <c r="N365" t="s">
        <v>3347</v>
      </c>
      <c r="O365" t="s">
        <v>2743</v>
      </c>
      <c r="P365" s="103">
        <v>45734</v>
      </c>
      <c r="Q365" t="s">
        <v>2231</v>
      </c>
      <c r="R365" s="103">
        <v>45738</v>
      </c>
      <c r="S365" t="s">
        <v>2281</v>
      </c>
      <c r="U365" t="s">
        <v>2744</v>
      </c>
      <c r="X365" t="s">
        <v>490</v>
      </c>
      <c r="Y365" t="s">
        <v>2088</v>
      </c>
      <c r="AD365">
        <v>148</v>
      </c>
    </row>
    <row r="366" spans="1:30" hidden="1">
      <c r="A366">
        <v>201898</v>
      </c>
      <c r="B366">
        <v>400</v>
      </c>
      <c r="C366" t="s">
        <v>3395</v>
      </c>
      <c r="E366" s="103">
        <v>45755</v>
      </c>
      <c r="F366">
        <v>1</v>
      </c>
      <c r="G366" s="1210">
        <v>45720</v>
      </c>
      <c r="I366" t="s">
        <v>317</v>
      </c>
      <c r="J366" t="s">
        <v>2012</v>
      </c>
      <c r="K366">
        <v>4500010050</v>
      </c>
      <c r="L366" t="s">
        <v>3396</v>
      </c>
      <c r="M366" t="s">
        <v>3397</v>
      </c>
      <c r="N366" t="s">
        <v>3398</v>
      </c>
      <c r="O366" t="s">
        <v>2946</v>
      </c>
      <c r="Q366" t="s">
        <v>2231</v>
      </c>
      <c r="S366" t="s">
        <v>2911</v>
      </c>
      <c r="U366" t="s">
        <v>2744</v>
      </c>
      <c r="AD366">
        <v>3928</v>
      </c>
    </row>
    <row r="367" spans="1:30" hidden="1">
      <c r="A367">
        <v>212470</v>
      </c>
      <c r="B367">
        <v>1</v>
      </c>
      <c r="C367" t="s">
        <v>3377</v>
      </c>
      <c r="E367" s="103">
        <v>45755</v>
      </c>
      <c r="F367">
        <v>4</v>
      </c>
      <c r="G367" s="1210">
        <v>45733</v>
      </c>
      <c r="I367" t="s">
        <v>3378</v>
      </c>
      <c r="J367" t="s">
        <v>2082</v>
      </c>
      <c r="K367">
        <v>4500010196</v>
      </c>
      <c r="L367" t="s">
        <v>3377</v>
      </c>
      <c r="M367" t="s">
        <v>3399</v>
      </c>
      <c r="N367" t="s">
        <v>3379</v>
      </c>
      <c r="O367" t="s">
        <v>2094</v>
      </c>
      <c r="Q367" t="s">
        <v>2231</v>
      </c>
      <c r="S367" t="s">
        <v>2806</v>
      </c>
      <c r="U367" t="s">
        <v>2282</v>
      </c>
      <c r="X367" t="s">
        <v>490</v>
      </c>
      <c r="Y367" t="s">
        <v>2088</v>
      </c>
      <c r="AD367">
        <v>0</v>
      </c>
    </row>
    <row r="368" spans="1:30" hidden="1">
      <c r="A368">
        <v>212347</v>
      </c>
      <c r="B368">
        <v>50</v>
      </c>
      <c r="C368" t="s">
        <v>3259</v>
      </c>
      <c r="E368" s="103">
        <v>45761</v>
      </c>
      <c r="F368">
        <v>1</v>
      </c>
      <c r="G368" s="1210">
        <v>45681</v>
      </c>
      <c r="I368" t="s">
        <v>152</v>
      </c>
      <c r="J368" t="s">
        <v>2082</v>
      </c>
      <c r="K368">
        <v>4500009518</v>
      </c>
      <c r="L368" t="s">
        <v>3400</v>
      </c>
      <c r="M368" t="s">
        <v>3401</v>
      </c>
      <c r="N368" t="s">
        <v>3375</v>
      </c>
      <c r="O368" t="s">
        <v>2026</v>
      </c>
      <c r="P368" s="103">
        <v>45748</v>
      </c>
      <c r="Q368" t="s">
        <v>2231</v>
      </c>
      <c r="R368" s="103">
        <v>45751</v>
      </c>
      <c r="S368" t="s">
        <v>2281</v>
      </c>
      <c r="U368" t="s">
        <v>2744</v>
      </c>
      <c r="X368" t="s">
        <v>3337</v>
      </c>
      <c r="Y368" t="s">
        <v>2088</v>
      </c>
      <c r="AD368">
        <v>176</v>
      </c>
    </row>
    <row r="369" spans="1:30" hidden="1">
      <c r="A369">
        <v>212347</v>
      </c>
      <c r="B369">
        <v>40</v>
      </c>
      <c r="C369" t="s">
        <v>3259</v>
      </c>
      <c r="E369" s="103">
        <v>45761</v>
      </c>
      <c r="F369">
        <v>1</v>
      </c>
      <c r="G369" s="1210">
        <v>45681</v>
      </c>
      <c r="I369" t="s">
        <v>152</v>
      </c>
      <c r="J369" t="s">
        <v>2082</v>
      </c>
      <c r="K369">
        <v>4500009519</v>
      </c>
      <c r="L369" t="s">
        <v>3402</v>
      </c>
      <c r="M369" t="s">
        <v>3401</v>
      </c>
      <c r="N369" t="s">
        <v>3375</v>
      </c>
      <c r="O369" t="s">
        <v>2026</v>
      </c>
      <c r="P369" s="103">
        <v>45748</v>
      </c>
      <c r="Q369" t="s">
        <v>2231</v>
      </c>
      <c r="R369" s="103">
        <v>45751</v>
      </c>
      <c r="S369" t="s">
        <v>2281</v>
      </c>
      <c r="U369" t="s">
        <v>2744</v>
      </c>
      <c r="X369" t="s">
        <v>3337</v>
      </c>
      <c r="Y369" t="s">
        <v>2088</v>
      </c>
      <c r="AD369">
        <v>216</v>
      </c>
    </row>
    <row r="370" spans="1:30" hidden="1">
      <c r="A370">
        <v>210646</v>
      </c>
      <c r="B370">
        <v>900</v>
      </c>
      <c r="C370" t="s">
        <v>2997</v>
      </c>
      <c r="E370" s="103">
        <v>45761</v>
      </c>
      <c r="F370">
        <v>1</v>
      </c>
      <c r="G370" s="1210">
        <v>45681</v>
      </c>
      <c r="I370" t="s">
        <v>748</v>
      </c>
      <c r="J370" t="s">
        <v>2082</v>
      </c>
      <c r="K370">
        <v>4500009520</v>
      </c>
      <c r="L370" t="s">
        <v>3403</v>
      </c>
      <c r="M370" t="s">
        <v>3384</v>
      </c>
      <c r="N370" t="s">
        <v>3375</v>
      </c>
      <c r="O370" t="s">
        <v>2026</v>
      </c>
      <c r="P370" s="103">
        <v>45748</v>
      </c>
      <c r="Q370" t="s">
        <v>2231</v>
      </c>
      <c r="R370" s="103">
        <v>45751</v>
      </c>
      <c r="S370" t="s">
        <v>2281</v>
      </c>
      <c r="U370" t="s">
        <v>2744</v>
      </c>
      <c r="X370" t="s">
        <v>3337</v>
      </c>
      <c r="Y370" t="s">
        <v>2088</v>
      </c>
      <c r="AD370">
        <v>5599</v>
      </c>
    </row>
    <row r="371" spans="1:30" hidden="1">
      <c r="A371">
        <v>203750</v>
      </c>
      <c r="B371">
        <v>400</v>
      </c>
      <c r="C371" t="s">
        <v>3404</v>
      </c>
      <c r="E371" s="103">
        <v>45761</v>
      </c>
      <c r="F371">
        <v>1</v>
      </c>
      <c r="G371" s="1210">
        <v>45716</v>
      </c>
      <c r="I371" t="s">
        <v>783</v>
      </c>
      <c r="J371" t="s">
        <v>2082</v>
      </c>
      <c r="K371">
        <v>4500010045</v>
      </c>
      <c r="L371" t="s">
        <v>3405</v>
      </c>
      <c r="M371" t="s">
        <v>3401</v>
      </c>
      <c r="N371" t="s">
        <v>3375</v>
      </c>
      <c r="O371" t="s">
        <v>2026</v>
      </c>
      <c r="P371" s="103">
        <v>45748</v>
      </c>
      <c r="Q371" t="s">
        <v>2231</v>
      </c>
      <c r="R371" s="103">
        <v>45751</v>
      </c>
      <c r="S371" t="s">
        <v>2281</v>
      </c>
      <c r="U371" t="s">
        <v>2744</v>
      </c>
      <c r="Y371" t="s">
        <v>2088</v>
      </c>
      <c r="AD371">
        <v>1100</v>
      </c>
    </row>
    <row r="372" spans="1:30" hidden="1">
      <c r="A372">
        <v>215699</v>
      </c>
      <c r="B372">
        <v>148</v>
      </c>
      <c r="C372" t="s">
        <v>3222</v>
      </c>
      <c r="E372" s="103">
        <v>45761</v>
      </c>
      <c r="F372">
        <v>1</v>
      </c>
      <c r="G372" s="1210">
        <v>45726</v>
      </c>
      <c r="I372" t="s">
        <v>553</v>
      </c>
      <c r="J372" t="s">
        <v>2082</v>
      </c>
      <c r="K372">
        <v>4500010122</v>
      </c>
      <c r="L372" t="s">
        <v>3406</v>
      </c>
      <c r="M372" t="s">
        <v>3374</v>
      </c>
      <c r="N372" t="s">
        <v>3375</v>
      </c>
      <c r="O372" t="s">
        <v>2026</v>
      </c>
      <c r="P372" s="103">
        <v>45748</v>
      </c>
      <c r="Q372" t="s">
        <v>2231</v>
      </c>
      <c r="R372" s="103">
        <v>45751</v>
      </c>
      <c r="S372" t="s">
        <v>2281</v>
      </c>
      <c r="U372" t="s">
        <v>2744</v>
      </c>
      <c r="Y372" t="s">
        <v>2088</v>
      </c>
      <c r="AD372">
        <v>545</v>
      </c>
    </row>
    <row r="373" spans="1:30" hidden="1">
      <c r="A373">
        <v>208299</v>
      </c>
      <c r="B373">
        <v>500</v>
      </c>
      <c r="C373" t="s">
        <v>3189</v>
      </c>
      <c r="E373" s="103">
        <v>45765</v>
      </c>
      <c r="F373">
        <v>4</v>
      </c>
      <c r="G373" s="1210">
        <v>45671</v>
      </c>
      <c r="I373" t="s">
        <v>488</v>
      </c>
      <c r="J373" t="s">
        <v>2082</v>
      </c>
      <c r="K373">
        <v>4500009390</v>
      </c>
      <c r="L373" t="s">
        <v>3407</v>
      </c>
      <c r="N373" t="s">
        <v>3379</v>
      </c>
      <c r="O373" t="s">
        <v>2026</v>
      </c>
      <c r="P373" s="103">
        <v>45755</v>
      </c>
      <c r="Q373" t="s">
        <v>2231</v>
      </c>
      <c r="R373" s="103">
        <v>45759</v>
      </c>
      <c r="S373" t="s">
        <v>2281</v>
      </c>
      <c r="U373" t="s">
        <v>2282</v>
      </c>
      <c r="V373" t="s">
        <v>3237</v>
      </c>
      <c r="W373" t="s">
        <v>3408</v>
      </c>
      <c r="X373" t="s">
        <v>3225</v>
      </c>
      <c r="Y373" t="s">
        <v>2088</v>
      </c>
      <c r="AD373">
        <v>500</v>
      </c>
    </row>
    <row r="374" spans="1:30" hidden="1">
      <c r="A374">
        <v>203750</v>
      </c>
      <c r="B374">
        <v>300</v>
      </c>
      <c r="C374" t="s">
        <v>3404</v>
      </c>
      <c r="E374" s="103">
        <v>45765</v>
      </c>
      <c r="F374">
        <v>1</v>
      </c>
      <c r="G374" s="1210">
        <v>45716</v>
      </c>
      <c r="I374" t="s">
        <v>783</v>
      </c>
      <c r="J374" t="s">
        <v>2082</v>
      </c>
      <c r="K374">
        <v>4500010046</v>
      </c>
      <c r="L374" t="s">
        <v>3409</v>
      </c>
      <c r="M374" t="s">
        <v>3401</v>
      </c>
      <c r="N374" t="s">
        <v>3410</v>
      </c>
      <c r="O374" t="s">
        <v>2026</v>
      </c>
      <c r="P374" s="103">
        <v>45748</v>
      </c>
      <c r="Q374" t="s">
        <v>2231</v>
      </c>
      <c r="R374" s="103">
        <v>45751</v>
      </c>
      <c r="S374" t="s">
        <v>2281</v>
      </c>
      <c r="U374" t="s">
        <v>2744</v>
      </c>
      <c r="Y374" t="s">
        <v>2088</v>
      </c>
      <c r="AD374">
        <v>1400</v>
      </c>
    </row>
    <row r="375" spans="1:30" hidden="1">
      <c r="A375">
        <v>203746</v>
      </c>
      <c r="B375">
        <v>450</v>
      </c>
      <c r="C375" t="s">
        <v>3226</v>
      </c>
      <c r="E375" s="103">
        <v>45765</v>
      </c>
      <c r="F375">
        <v>1</v>
      </c>
      <c r="G375" s="1210">
        <v>45726</v>
      </c>
      <c r="I375" t="s">
        <v>726</v>
      </c>
      <c r="J375" t="s">
        <v>2082</v>
      </c>
      <c r="K375">
        <v>4500010123</v>
      </c>
      <c r="L375" t="s">
        <v>3411</v>
      </c>
      <c r="M375" t="s">
        <v>3412</v>
      </c>
      <c r="N375" t="s">
        <v>3375</v>
      </c>
      <c r="O375" t="s">
        <v>2026</v>
      </c>
      <c r="P375" s="103">
        <v>45748</v>
      </c>
      <c r="Q375" t="s">
        <v>2231</v>
      </c>
      <c r="R375" s="103">
        <v>45751</v>
      </c>
      <c r="S375" t="s">
        <v>2281</v>
      </c>
      <c r="U375" t="s">
        <v>2744</v>
      </c>
      <c r="Y375" t="s">
        <v>2088</v>
      </c>
      <c r="AD375">
        <v>1055</v>
      </c>
    </row>
    <row r="376" spans="1:30" hidden="1">
      <c r="A376">
        <v>210492</v>
      </c>
      <c r="B376">
        <v>99</v>
      </c>
      <c r="C376" t="s">
        <v>3210</v>
      </c>
      <c r="E376" s="103">
        <v>45768</v>
      </c>
      <c r="F376">
        <v>1</v>
      </c>
      <c r="G376" s="1210">
        <v>45666</v>
      </c>
      <c r="I376" t="s">
        <v>646</v>
      </c>
      <c r="J376" t="s">
        <v>2070</v>
      </c>
      <c r="K376">
        <v>4500009163</v>
      </c>
      <c r="L376" t="s">
        <v>3413</v>
      </c>
      <c r="M376" t="s">
        <v>3375</v>
      </c>
      <c r="N376" t="s">
        <v>3398</v>
      </c>
      <c r="O376" t="s">
        <v>2026</v>
      </c>
      <c r="P376" s="103">
        <v>45758</v>
      </c>
      <c r="Q376" t="s">
        <v>2231</v>
      </c>
      <c r="R376" s="103">
        <v>45762</v>
      </c>
      <c r="S376" t="s">
        <v>2281</v>
      </c>
      <c r="U376" t="s">
        <v>2744</v>
      </c>
      <c r="X376" t="s">
        <v>490</v>
      </c>
      <c r="Y376" t="s">
        <v>2088</v>
      </c>
      <c r="AD376">
        <v>4977</v>
      </c>
    </row>
    <row r="377" spans="1:30" hidden="1">
      <c r="A377">
        <v>210491</v>
      </c>
      <c r="B377">
        <v>1</v>
      </c>
      <c r="C377" t="s">
        <v>3208</v>
      </c>
      <c r="E377" s="103">
        <v>45768</v>
      </c>
      <c r="F377">
        <v>1</v>
      </c>
      <c r="G377" s="1210">
        <v>45646</v>
      </c>
      <c r="I377" t="s">
        <v>583</v>
      </c>
      <c r="J377" t="s">
        <v>2070</v>
      </c>
      <c r="K377">
        <v>4500009228</v>
      </c>
      <c r="L377" t="s">
        <v>3208</v>
      </c>
      <c r="M377" t="s">
        <v>3375</v>
      </c>
      <c r="N377" t="s">
        <v>3398</v>
      </c>
      <c r="O377" t="s">
        <v>2026</v>
      </c>
      <c r="P377" s="103">
        <v>45758</v>
      </c>
      <c r="Q377" t="s">
        <v>2231</v>
      </c>
      <c r="R377" s="103">
        <v>45762</v>
      </c>
      <c r="S377" t="s">
        <v>2281</v>
      </c>
      <c r="U377" t="s">
        <v>2744</v>
      </c>
      <c r="X377" t="s">
        <v>490</v>
      </c>
      <c r="Y377" t="s">
        <v>2088</v>
      </c>
      <c r="AD377">
        <v>3010</v>
      </c>
    </row>
    <row r="378" spans="1:30" hidden="1">
      <c r="A378">
        <v>210492</v>
      </c>
      <c r="B378">
        <v>41</v>
      </c>
      <c r="C378" t="s">
        <v>3210</v>
      </c>
      <c r="E378" s="103">
        <v>45768</v>
      </c>
      <c r="F378">
        <v>1</v>
      </c>
      <c r="G378" s="1210">
        <v>45646</v>
      </c>
      <c r="I378" t="s">
        <v>646</v>
      </c>
      <c r="J378" t="s">
        <v>2070</v>
      </c>
      <c r="K378">
        <v>4500009229</v>
      </c>
      <c r="L378" t="s">
        <v>3414</v>
      </c>
      <c r="M378" t="s">
        <v>3375</v>
      </c>
      <c r="N378" t="s">
        <v>3398</v>
      </c>
      <c r="O378" t="s">
        <v>2026</v>
      </c>
      <c r="P378" s="103">
        <v>45758</v>
      </c>
      <c r="Q378" t="s">
        <v>2231</v>
      </c>
      <c r="R378" s="103">
        <v>45762</v>
      </c>
      <c r="S378" t="s">
        <v>2281</v>
      </c>
      <c r="U378" t="s">
        <v>2744</v>
      </c>
      <c r="X378" t="s">
        <v>490</v>
      </c>
      <c r="Y378" t="s">
        <v>2088</v>
      </c>
      <c r="AD378">
        <v>5018</v>
      </c>
    </row>
    <row r="379" spans="1:30" hidden="1">
      <c r="A379">
        <v>199024</v>
      </c>
      <c r="B379">
        <v>300</v>
      </c>
      <c r="C379" t="s">
        <v>3107</v>
      </c>
      <c r="E379" s="103">
        <v>45768</v>
      </c>
      <c r="F379">
        <v>1</v>
      </c>
      <c r="G379" s="1210">
        <v>45681</v>
      </c>
      <c r="I379" t="s">
        <v>338</v>
      </c>
      <c r="J379" t="s">
        <v>2012</v>
      </c>
      <c r="K379">
        <v>4500009516</v>
      </c>
      <c r="L379" t="s">
        <v>3415</v>
      </c>
      <c r="M379" t="s">
        <v>3397</v>
      </c>
      <c r="N379" t="s">
        <v>3398</v>
      </c>
      <c r="O379" t="s">
        <v>2743</v>
      </c>
      <c r="P379" s="103">
        <v>45755</v>
      </c>
      <c r="Q379" t="s">
        <v>2231</v>
      </c>
      <c r="R379" s="103">
        <v>45760</v>
      </c>
      <c r="S379" t="s">
        <v>2281</v>
      </c>
      <c r="U379" t="s">
        <v>2744</v>
      </c>
      <c r="Y379" t="s">
        <v>2088</v>
      </c>
      <c r="AD379">
        <v>5840</v>
      </c>
    </row>
    <row r="380" spans="1:30" hidden="1">
      <c r="A380">
        <v>199023</v>
      </c>
      <c r="B380">
        <v>100</v>
      </c>
      <c r="C380" t="s">
        <v>3062</v>
      </c>
      <c r="E380" s="103">
        <v>45768</v>
      </c>
      <c r="F380">
        <v>1</v>
      </c>
      <c r="G380" s="1210">
        <v>45681</v>
      </c>
      <c r="I380" t="s">
        <v>465</v>
      </c>
      <c r="J380" t="s">
        <v>2012</v>
      </c>
      <c r="K380">
        <v>4500009517</v>
      </c>
      <c r="L380" t="s">
        <v>3175</v>
      </c>
      <c r="M380" t="s">
        <v>3416</v>
      </c>
      <c r="N380" t="s">
        <v>3398</v>
      </c>
      <c r="O380" t="s">
        <v>2743</v>
      </c>
      <c r="P380" s="103">
        <v>45755</v>
      </c>
      <c r="Q380" t="s">
        <v>2231</v>
      </c>
      <c r="R380" s="103">
        <v>45760</v>
      </c>
      <c r="S380" t="s">
        <v>2281</v>
      </c>
      <c r="U380" t="s">
        <v>2744</v>
      </c>
      <c r="Y380" t="s">
        <v>2088</v>
      </c>
      <c r="AD380">
        <v>3030</v>
      </c>
    </row>
    <row r="381" spans="1:30" hidden="1">
      <c r="A381">
        <v>201898</v>
      </c>
      <c r="B381">
        <v>800</v>
      </c>
      <c r="C381" t="s">
        <v>3395</v>
      </c>
      <c r="E381" s="103">
        <v>45768</v>
      </c>
      <c r="F381">
        <v>1</v>
      </c>
      <c r="G381" s="1210">
        <v>45720</v>
      </c>
      <c r="I381" t="s">
        <v>317</v>
      </c>
      <c r="J381" t="s">
        <v>2012</v>
      </c>
      <c r="K381">
        <v>4500010051</v>
      </c>
      <c r="L381" t="s">
        <v>3417</v>
      </c>
      <c r="M381" t="s">
        <v>3397</v>
      </c>
      <c r="N381" t="s">
        <v>3398</v>
      </c>
      <c r="O381" t="s">
        <v>2743</v>
      </c>
      <c r="P381" s="103">
        <v>45755</v>
      </c>
      <c r="Q381" t="s">
        <v>2231</v>
      </c>
      <c r="R381" s="103">
        <v>45760</v>
      </c>
      <c r="S381" t="s">
        <v>2911</v>
      </c>
      <c r="U381" t="s">
        <v>2744</v>
      </c>
      <c r="Y381" t="s">
        <v>2088</v>
      </c>
      <c r="AD381">
        <v>4728</v>
      </c>
    </row>
    <row r="382" spans="1:30" hidden="1">
      <c r="A382">
        <v>210492</v>
      </c>
      <c r="B382">
        <v>1</v>
      </c>
      <c r="C382" t="s">
        <v>3210</v>
      </c>
      <c r="E382" s="103">
        <v>45771</v>
      </c>
      <c r="F382">
        <v>4</v>
      </c>
      <c r="G382" s="1210">
        <v>45666</v>
      </c>
      <c r="I382" t="s">
        <v>646</v>
      </c>
      <c r="J382" t="s">
        <v>2070</v>
      </c>
      <c r="K382">
        <v>4500009163</v>
      </c>
      <c r="L382" t="s">
        <v>3210</v>
      </c>
      <c r="M382" t="s">
        <v>3375</v>
      </c>
      <c r="N382" t="s">
        <v>3398</v>
      </c>
      <c r="O382" t="s">
        <v>2026</v>
      </c>
      <c r="P382" s="103">
        <v>45757</v>
      </c>
      <c r="Q382" t="s">
        <v>2231</v>
      </c>
      <c r="R382" s="103">
        <v>45761</v>
      </c>
      <c r="S382" t="s">
        <v>2281</v>
      </c>
      <c r="U382" t="s">
        <v>2282</v>
      </c>
      <c r="X382" t="s">
        <v>490</v>
      </c>
      <c r="Y382" t="s">
        <v>2088</v>
      </c>
      <c r="AD382">
        <v>5018</v>
      </c>
    </row>
    <row r="383" spans="1:30" hidden="1">
      <c r="A383">
        <v>210646</v>
      </c>
      <c r="B383">
        <v>100</v>
      </c>
      <c r="C383" t="s">
        <v>2997</v>
      </c>
      <c r="E383" s="103">
        <v>45772</v>
      </c>
      <c r="F383">
        <v>4</v>
      </c>
      <c r="G383" s="1210">
        <v>45681</v>
      </c>
      <c r="I383" t="s">
        <v>748</v>
      </c>
      <c r="J383" t="s">
        <v>2082</v>
      </c>
      <c r="K383">
        <v>4500009520</v>
      </c>
      <c r="L383" t="s">
        <v>3418</v>
      </c>
      <c r="N383" t="s">
        <v>3419</v>
      </c>
      <c r="O383" t="s">
        <v>2026</v>
      </c>
      <c r="P383" s="103">
        <v>45762</v>
      </c>
      <c r="Q383" t="s">
        <v>2231</v>
      </c>
      <c r="R383" s="103">
        <v>45766</v>
      </c>
      <c r="S383" t="s">
        <v>2281</v>
      </c>
      <c r="U383" t="s">
        <v>2282</v>
      </c>
      <c r="X383" t="s">
        <v>3337</v>
      </c>
      <c r="Y383" t="s">
        <v>2088</v>
      </c>
      <c r="AD383">
        <v>5599</v>
      </c>
    </row>
    <row r="384" spans="1:30" hidden="1">
      <c r="A384">
        <v>216517</v>
      </c>
      <c r="B384">
        <v>1</v>
      </c>
      <c r="C384" t="s">
        <v>3420</v>
      </c>
      <c r="E384" s="103">
        <v>45772</v>
      </c>
      <c r="F384">
        <v>3</v>
      </c>
      <c r="G384" s="1210">
        <v>45720</v>
      </c>
      <c r="I384" t="s">
        <v>3421</v>
      </c>
      <c r="J384" t="s">
        <v>2082</v>
      </c>
      <c r="K384">
        <v>4500010072</v>
      </c>
      <c r="L384" t="s">
        <v>3420</v>
      </c>
      <c r="M384" t="s">
        <v>3422</v>
      </c>
      <c r="N384" t="s">
        <v>3423</v>
      </c>
      <c r="O384" t="s">
        <v>2094</v>
      </c>
      <c r="Q384" t="s">
        <v>2231</v>
      </c>
      <c r="S384" t="s">
        <v>2806</v>
      </c>
      <c r="U384" t="s">
        <v>2744</v>
      </c>
      <c r="Y384" t="s">
        <v>2088</v>
      </c>
      <c r="AD384">
        <v>0</v>
      </c>
    </row>
    <row r="385" spans="1:30" hidden="1">
      <c r="A385">
        <v>217464</v>
      </c>
      <c r="B385">
        <v>2</v>
      </c>
      <c r="C385" t="s">
        <v>2997</v>
      </c>
      <c r="E385" s="103">
        <v>45775</v>
      </c>
      <c r="F385">
        <v>1</v>
      </c>
      <c r="G385" s="1210">
        <v>45747</v>
      </c>
      <c r="I385" t="s">
        <v>741</v>
      </c>
      <c r="J385" t="s">
        <v>2082</v>
      </c>
      <c r="K385">
        <v>4500010258</v>
      </c>
      <c r="L385" t="s">
        <v>3424</v>
      </c>
      <c r="M385" t="s">
        <v>3425</v>
      </c>
      <c r="N385" t="s">
        <v>3426</v>
      </c>
      <c r="O385" t="s">
        <v>2094</v>
      </c>
      <c r="Q385" t="s">
        <v>2231</v>
      </c>
      <c r="S385" t="s">
        <v>3245</v>
      </c>
      <c r="U385" t="s">
        <v>2744</v>
      </c>
      <c r="V385" t="s">
        <v>2815</v>
      </c>
      <c r="X385" t="s">
        <v>3337</v>
      </c>
      <c r="Y385" t="s">
        <v>2088</v>
      </c>
      <c r="AD385">
        <v>2</v>
      </c>
    </row>
    <row r="386" spans="1:30" hidden="1">
      <c r="A386">
        <v>217464</v>
      </c>
      <c r="B386">
        <v>2</v>
      </c>
      <c r="C386" t="s">
        <v>2997</v>
      </c>
      <c r="E386" s="103">
        <v>45775</v>
      </c>
      <c r="F386">
        <v>1</v>
      </c>
      <c r="G386" s="1210">
        <v>45747</v>
      </c>
      <c r="I386" t="s">
        <v>741</v>
      </c>
      <c r="J386" t="s">
        <v>2082</v>
      </c>
      <c r="K386">
        <v>4500010258</v>
      </c>
      <c r="L386" t="s">
        <v>3424</v>
      </c>
      <c r="M386" t="s">
        <v>3427</v>
      </c>
      <c r="N386" t="s">
        <v>3426</v>
      </c>
      <c r="O386" t="s">
        <v>2094</v>
      </c>
      <c r="Q386" t="s">
        <v>2231</v>
      </c>
      <c r="S386" t="s">
        <v>2961</v>
      </c>
      <c r="U386" t="s">
        <v>2744</v>
      </c>
      <c r="V386" t="s">
        <v>2815</v>
      </c>
      <c r="X386" t="s">
        <v>3337</v>
      </c>
      <c r="Y386" t="s">
        <v>2088</v>
      </c>
      <c r="AD386">
        <v>4</v>
      </c>
    </row>
    <row r="387" spans="1:30" hidden="1">
      <c r="A387">
        <v>212469</v>
      </c>
      <c r="B387">
        <v>2</v>
      </c>
      <c r="C387" t="s">
        <v>3377</v>
      </c>
      <c r="E387" s="103">
        <v>45775</v>
      </c>
      <c r="F387">
        <v>1</v>
      </c>
      <c r="G387" s="1210">
        <v>45733</v>
      </c>
      <c r="I387" t="s">
        <v>247</v>
      </c>
      <c r="J387" t="s">
        <v>2082</v>
      </c>
      <c r="K387">
        <v>4500010190</v>
      </c>
      <c r="L387" t="s">
        <v>3428</v>
      </c>
      <c r="M387" t="s">
        <v>3429</v>
      </c>
      <c r="N387" t="s">
        <v>3430</v>
      </c>
      <c r="O387" t="s">
        <v>2094</v>
      </c>
      <c r="P387" s="103">
        <v>45781</v>
      </c>
      <c r="Q387" t="s">
        <v>2231</v>
      </c>
      <c r="R387" s="103">
        <v>45785</v>
      </c>
      <c r="S387" t="s">
        <v>3245</v>
      </c>
      <c r="U387" t="s">
        <v>2744</v>
      </c>
      <c r="V387" t="s">
        <v>2933</v>
      </c>
      <c r="Y387" t="s">
        <v>2088</v>
      </c>
      <c r="AD387">
        <v>2</v>
      </c>
    </row>
    <row r="388" spans="1:30" hidden="1">
      <c r="A388">
        <v>212469</v>
      </c>
      <c r="B388">
        <v>30</v>
      </c>
      <c r="C388" t="s">
        <v>3377</v>
      </c>
      <c r="E388" s="103">
        <v>45775</v>
      </c>
      <c r="F388">
        <v>1</v>
      </c>
      <c r="G388" s="1210">
        <v>45733</v>
      </c>
      <c r="I388" t="s">
        <v>247</v>
      </c>
      <c r="J388" t="s">
        <v>2082</v>
      </c>
      <c r="K388">
        <v>4500010190</v>
      </c>
      <c r="L388" t="s">
        <v>3431</v>
      </c>
      <c r="N388" t="s">
        <v>3426</v>
      </c>
      <c r="O388" t="s">
        <v>2094</v>
      </c>
      <c r="P388" s="103">
        <v>45776</v>
      </c>
      <c r="Q388" t="s">
        <v>2231</v>
      </c>
      <c r="R388" s="103">
        <v>45780</v>
      </c>
      <c r="S388" t="s">
        <v>3245</v>
      </c>
      <c r="U388" t="s">
        <v>2744</v>
      </c>
      <c r="V388" t="s">
        <v>2933</v>
      </c>
      <c r="W388" t="s">
        <v>3432</v>
      </c>
      <c r="Y388" t="s">
        <v>2088</v>
      </c>
      <c r="AD388">
        <v>32</v>
      </c>
    </row>
    <row r="389" spans="1:30" hidden="1">
      <c r="A389">
        <v>212469</v>
      </c>
      <c r="B389">
        <v>2</v>
      </c>
      <c r="C389" t="s">
        <v>3377</v>
      </c>
      <c r="E389" s="103">
        <v>45775</v>
      </c>
      <c r="F389">
        <v>1</v>
      </c>
      <c r="G389" s="1210">
        <v>45733</v>
      </c>
      <c r="I389" t="s">
        <v>247</v>
      </c>
      <c r="J389" t="s">
        <v>2082</v>
      </c>
      <c r="K389">
        <v>4500010195</v>
      </c>
      <c r="L389" t="s">
        <v>3428</v>
      </c>
      <c r="N389" t="s">
        <v>3433</v>
      </c>
      <c r="O389" t="s">
        <v>2094</v>
      </c>
      <c r="Q389" t="s">
        <v>2231</v>
      </c>
      <c r="S389" t="s">
        <v>3245</v>
      </c>
      <c r="U389" t="s">
        <v>2744</v>
      </c>
      <c r="V389" t="s">
        <v>2815</v>
      </c>
      <c r="Y389" t="s">
        <v>2088</v>
      </c>
      <c r="AD389">
        <v>34</v>
      </c>
    </row>
    <row r="390" spans="1:30" hidden="1">
      <c r="A390">
        <v>212469</v>
      </c>
      <c r="B390">
        <v>2</v>
      </c>
      <c r="C390" t="s">
        <v>3377</v>
      </c>
      <c r="E390" s="103">
        <v>45775</v>
      </c>
      <c r="F390">
        <v>1</v>
      </c>
      <c r="G390" s="1210">
        <v>45733</v>
      </c>
      <c r="I390" t="s">
        <v>247</v>
      </c>
      <c r="J390" t="s">
        <v>2082</v>
      </c>
      <c r="K390">
        <v>4500010195</v>
      </c>
      <c r="L390" t="s">
        <v>3428</v>
      </c>
      <c r="N390" t="s">
        <v>3433</v>
      </c>
      <c r="O390" t="s">
        <v>2094</v>
      </c>
      <c r="Q390" t="s">
        <v>2231</v>
      </c>
      <c r="S390" t="s">
        <v>2961</v>
      </c>
      <c r="U390" t="s">
        <v>2744</v>
      </c>
      <c r="V390" t="s">
        <v>2815</v>
      </c>
      <c r="Y390" t="s">
        <v>2088</v>
      </c>
      <c r="AD390">
        <v>36</v>
      </c>
    </row>
    <row r="391" spans="1:30" hidden="1">
      <c r="A391">
        <v>199024</v>
      </c>
      <c r="B391">
        <v>500</v>
      </c>
      <c r="C391" t="s">
        <v>3107</v>
      </c>
      <c r="E391" s="103">
        <v>45777</v>
      </c>
      <c r="F391">
        <v>1</v>
      </c>
      <c r="G391" s="1210">
        <v>45698</v>
      </c>
      <c r="I391" t="s">
        <v>338</v>
      </c>
      <c r="J391" t="s">
        <v>2012</v>
      </c>
      <c r="K391">
        <v>4500009638</v>
      </c>
      <c r="L391" t="s">
        <v>3434</v>
      </c>
      <c r="M391" t="s">
        <v>3435</v>
      </c>
      <c r="N391" t="s">
        <v>3419</v>
      </c>
      <c r="O391" t="s">
        <v>2743</v>
      </c>
      <c r="P391" s="103">
        <v>45769</v>
      </c>
      <c r="Q391" t="s">
        <v>2231</v>
      </c>
      <c r="R391" s="103">
        <v>45772</v>
      </c>
      <c r="S391" t="s">
        <v>2281</v>
      </c>
      <c r="U391" t="s">
        <v>2744</v>
      </c>
      <c r="W391" t="s">
        <v>3436</v>
      </c>
      <c r="Y391" t="s">
        <v>2088</v>
      </c>
      <c r="AD391">
        <v>6340</v>
      </c>
    </row>
    <row r="392" spans="1:30" hidden="1">
      <c r="A392">
        <v>201898</v>
      </c>
      <c r="B392">
        <v>600</v>
      </c>
      <c r="C392" t="s">
        <v>3395</v>
      </c>
      <c r="E392" s="103">
        <v>45777</v>
      </c>
      <c r="F392">
        <v>1</v>
      </c>
      <c r="G392" s="1210">
        <v>45720</v>
      </c>
      <c r="I392" t="s">
        <v>317</v>
      </c>
      <c r="J392" t="s">
        <v>2012</v>
      </c>
      <c r="K392">
        <v>4500010051</v>
      </c>
      <c r="L392" t="s">
        <v>3437</v>
      </c>
      <c r="M392" t="s">
        <v>3435</v>
      </c>
      <c r="N392" t="s">
        <v>3419</v>
      </c>
      <c r="O392" t="s">
        <v>2743</v>
      </c>
      <c r="P392" s="103">
        <v>45769</v>
      </c>
      <c r="Q392" t="s">
        <v>2231</v>
      </c>
      <c r="R392" s="103">
        <v>45772</v>
      </c>
      <c r="S392" t="s">
        <v>2911</v>
      </c>
      <c r="U392" t="s">
        <v>2744</v>
      </c>
      <c r="W392" t="s">
        <v>3436</v>
      </c>
      <c r="Y392" t="s">
        <v>2088</v>
      </c>
      <c r="AD392">
        <v>5328</v>
      </c>
    </row>
    <row r="393" spans="1:30" hidden="1">
      <c r="A393">
        <v>217464</v>
      </c>
      <c r="B393">
        <v>2</v>
      </c>
      <c r="C393" t="s">
        <v>2997</v>
      </c>
      <c r="E393" s="103">
        <v>45777</v>
      </c>
      <c r="F393">
        <v>1</v>
      </c>
      <c r="G393" s="1210">
        <v>45747</v>
      </c>
      <c r="I393" t="s">
        <v>741</v>
      </c>
      <c r="J393" t="s">
        <v>2082</v>
      </c>
      <c r="K393">
        <v>4500010258</v>
      </c>
      <c r="L393" t="s">
        <v>3424</v>
      </c>
      <c r="M393" t="s">
        <v>3438</v>
      </c>
      <c r="N393" t="s">
        <v>3426</v>
      </c>
      <c r="O393" t="s">
        <v>2094</v>
      </c>
      <c r="Q393" t="s">
        <v>2231</v>
      </c>
      <c r="S393" t="s">
        <v>2806</v>
      </c>
      <c r="U393" t="s">
        <v>2744</v>
      </c>
      <c r="V393" t="s">
        <v>2815</v>
      </c>
      <c r="X393" t="s">
        <v>3337</v>
      </c>
      <c r="Y393" t="s">
        <v>2088</v>
      </c>
      <c r="AD393">
        <v>6</v>
      </c>
    </row>
    <row r="394" spans="1:30" hidden="1">
      <c r="A394">
        <v>212469</v>
      </c>
      <c r="B394">
        <v>2</v>
      </c>
      <c r="C394" t="s">
        <v>3377</v>
      </c>
      <c r="E394" s="103">
        <v>45777</v>
      </c>
      <c r="F394">
        <v>1</v>
      </c>
      <c r="G394" s="1210">
        <v>45733</v>
      </c>
      <c r="I394" t="s">
        <v>247</v>
      </c>
      <c r="J394" t="s">
        <v>2082</v>
      </c>
      <c r="K394">
        <v>4500010195</v>
      </c>
      <c r="L394" t="s">
        <v>3428</v>
      </c>
      <c r="N394" t="s">
        <v>3433</v>
      </c>
      <c r="O394" t="s">
        <v>2094</v>
      </c>
      <c r="Q394" t="s">
        <v>2231</v>
      </c>
      <c r="S394" t="s">
        <v>2806</v>
      </c>
      <c r="U394" t="s">
        <v>2744</v>
      </c>
      <c r="V394" t="s">
        <v>2815</v>
      </c>
      <c r="Y394" t="s">
        <v>2088</v>
      </c>
      <c r="AD394">
        <v>38</v>
      </c>
    </row>
    <row r="395" spans="1:30">
      <c r="A395">
        <v>212476</v>
      </c>
      <c r="B395">
        <v>2</v>
      </c>
      <c r="C395" t="s">
        <v>3359</v>
      </c>
      <c r="E395" s="103">
        <v>45778</v>
      </c>
      <c r="F395">
        <v>1</v>
      </c>
      <c r="G395" s="1210">
        <v>45649</v>
      </c>
      <c r="I395" t="s">
        <v>198</v>
      </c>
      <c r="J395" t="s">
        <v>2012</v>
      </c>
      <c r="K395">
        <v>4500009317</v>
      </c>
      <c r="L395" t="s">
        <v>3361</v>
      </c>
      <c r="N395" t="s">
        <v>3439</v>
      </c>
      <c r="O395" t="s">
        <v>2094</v>
      </c>
      <c r="Q395" t="s">
        <v>2231</v>
      </c>
      <c r="S395" t="s">
        <v>3245</v>
      </c>
      <c r="U395" t="s">
        <v>2744</v>
      </c>
      <c r="V395" t="s">
        <v>2815</v>
      </c>
      <c r="X395" t="s">
        <v>3270</v>
      </c>
      <c r="Y395" t="s">
        <v>2088</v>
      </c>
      <c r="AD395">
        <v>2</v>
      </c>
    </row>
    <row r="396" spans="1:30">
      <c r="A396">
        <v>212476</v>
      </c>
      <c r="B396">
        <v>50</v>
      </c>
      <c r="C396" t="s">
        <v>3359</v>
      </c>
      <c r="E396" s="103">
        <v>45779</v>
      </c>
      <c r="F396">
        <v>1</v>
      </c>
      <c r="G396" s="1210">
        <v>45649</v>
      </c>
      <c r="I396" t="s">
        <v>198</v>
      </c>
      <c r="J396" t="s">
        <v>2012</v>
      </c>
      <c r="K396">
        <v>4500009316</v>
      </c>
      <c r="L396" t="s">
        <v>3440</v>
      </c>
      <c r="M396" t="s">
        <v>3441</v>
      </c>
      <c r="N396" t="s">
        <v>3430</v>
      </c>
      <c r="O396" t="s">
        <v>2094</v>
      </c>
      <c r="Q396" t="s">
        <v>2231</v>
      </c>
      <c r="S396" t="s">
        <v>3245</v>
      </c>
      <c r="U396" t="s">
        <v>2744</v>
      </c>
      <c r="V396" t="s">
        <v>2933</v>
      </c>
      <c r="W396" t="s">
        <v>3442</v>
      </c>
      <c r="X396" t="s">
        <v>3270</v>
      </c>
      <c r="Y396" t="s">
        <v>2088</v>
      </c>
      <c r="AD396">
        <v>52</v>
      </c>
    </row>
    <row r="397" spans="1:30">
      <c r="A397">
        <v>212476</v>
      </c>
      <c r="B397">
        <v>2</v>
      </c>
      <c r="C397" t="s">
        <v>3359</v>
      </c>
      <c r="E397" s="103">
        <v>45779</v>
      </c>
      <c r="F397">
        <v>1</v>
      </c>
      <c r="G397" s="1210">
        <v>45649</v>
      </c>
      <c r="I397" t="s">
        <v>198</v>
      </c>
      <c r="J397" t="s">
        <v>2012</v>
      </c>
      <c r="K397">
        <v>4500009317</v>
      </c>
      <c r="L397" t="s">
        <v>3361</v>
      </c>
      <c r="M397" t="s">
        <v>3441</v>
      </c>
      <c r="N397" t="s">
        <v>3439</v>
      </c>
      <c r="O397" t="s">
        <v>2094</v>
      </c>
      <c r="Q397" t="s">
        <v>2231</v>
      </c>
      <c r="S397" t="s">
        <v>2806</v>
      </c>
      <c r="U397" t="s">
        <v>2744</v>
      </c>
      <c r="V397" t="s">
        <v>2815</v>
      </c>
      <c r="X397" t="s">
        <v>3270</v>
      </c>
      <c r="Y397" t="s">
        <v>2088</v>
      </c>
      <c r="AD397">
        <v>54</v>
      </c>
    </row>
    <row r="398" spans="1:30">
      <c r="A398">
        <v>212476</v>
      </c>
      <c r="B398">
        <v>2</v>
      </c>
      <c r="C398" t="s">
        <v>3359</v>
      </c>
      <c r="E398" s="103">
        <v>45779</v>
      </c>
      <c r="F398">
        <v>1</v>
      </c>
      <c r="G398" s="1210">
        <v>45649</v>
      </c>
      <c r="I398" t="s">
        <v>198</v>
      </c>
      <c r="J398" t="s">
        <v>2012</v>
      </c>
      <c r="K398">
        <v>4500009317</v>
      </c>
      <c r="L398" t="s">
        <v>3361</v>
      </c>
      <c r="M398" t="s">
        <v>3441</v>
      </c>
      <c r="N398" t="s">
        <v>3439</v>
      </c>
      <c r="O398" t="s">
        <v>2094</v>
      </c>
      <c r="Q398" t="s">
        <v>2231</v>
      </c>
      <c r="S398" t="s">
        <v>2961</v>
      </c>
      <c r="U398" t="s">
        <v>2744</v>
      </c>
      <c r="V398" t="s">
        <v>2815</v>
      </c>
      <c r="X398" t="s">
        <v>3270</v>
      </c>
      <c r="Y398" t="s">
        <v>2088</v>
      </c>
      <c r="AD398">
        <v>56</v>
      </c>
    </row>
    <row r="399" spans="1:30" hidden="1">
      <c r="A399">
        <v>216518</v>
      </c>
      <c r="B399">
        <v>2</v>
      </c>
      <c r="C399" t="s">
        <v>3443</v>
      </c>
      <c r="E399" s="103">
        <v>45779</v>
      </c>
      <c r="F399">
        <v>1</v>
      </c>
      <c r="G399" s="1210">
        <v>45733</v>
      </c>
      <c r="I399" t="s">
        <v>411</v>
      </c>
      <c r="J399" t="s">
        <v>2082</v>
      </c>
      <c r="K399">
        <v>4500010192</v>
      </c>
      <c r="L399" t="s">
        <v>3444</v>
      </c>
      <c r="M399" t="s">
        <v>3439</v>
      </c>
      <c r="N399" t="s">
        <v>3430</v>
      </c>
      <c r="O399" t="s">
        <v>2094</v>
      </c>
      <c r="P399" s="103">
        <v>45781</v>
      </c>
      <c r="Q399" t="s">
        <v>2231</v>
      </c>
      <c r="R399" s="103">
        <v>45785</v>
      </c>
      <c r="S399" t="s">
        <v>2806</v>
      </c>
      <c r="U399" t="s">
        <v>2744</v>
      </c>
      <c r="V399" t="s">
        <v>2933</v>
      </c>
      <c r="W399" t="s">
        <v>3445</v>
      </c>
      <c r="Y399" t="s">
        <v>2088</v>
      </c>
      <c r="AD399">
        <v>2</v>
      </c>
    </row>
    <row r="400" spans="1:30" hidden="1">
      <c r="A400">
        <v>216518</v>
      </c>
      <c r="B400">
        <v>2</v>
      </c>
      <c r="C400" t="s">
        <v>3443</v>
      </c>
      <c r="E400" s="103">
        <v>45784</v>
      </c>
      <c r="F400">
        <v>1</v>
      </c>
      <c r="G400" s="1210">
        <v>45733</v>
      </c>
      <c r="I400" t="s">
        <v>411</v>
      </c>
      <c r="J400" t="s">
        <v>2082</v>
      </c>
      <c r="K400">
        <v>4500010197</v>
      </c>
      <c r="L400" t="s">
        <v>3444</v>
      </c>
      <c r="M400" t="s">
        <v>3446</v>
      </c>
      <c r="N400" t="s">
        <v>3430</v>
      </c>
      <c r="O400" t="s">
        <v>2094</v>
      </c>
      <c r="Q400" t="s">
        <v>2231</v>
      </c>
      <c r="S400" t="s">
        <v>3245</v>
      </c>
      <c r="U400" t="s">
        <v>2744</v>
      </c>
      <c r="V400" t="s">
        <v>2815</v>
      </c>
      <c r="Y400" t="s">
        <v>2088</v>
      </c>
      <c r="AD400">
        <v>4</v>
      </c>
    </row>
    <row r="401" spans="1:30" hidden="1">
      <c r="A401">
        <v>216518</v>
      </c>
      <c r="B401">
        <v>2</v>
      </c>
      <c r="C401" t="s">
        <v>3443</v>
      </c>
      <c r="E401" s="103">
        <v>45784</v>
      </c>
      <c r="F401">
        <v>1</v>
      </c>
      <c r="G401" s="1210">
        <v>45733</v>
      </c>
      <c r="I401" t="s">
        <v>411</v>
      </c>
      <c r="J401" t="s">
        <v>2082</v>
      </c>
      <c r="K401">
        <v>4500010197</v>
      </c>
      <c r="L401" t="s">
        <v>3444</v>
      </c>
      <c r="M401" t="s">
        <v>3446</v>
      </c>
      <c r="N401" t="s">
        <v>3430</v>
      </c>
      <c r="O401" t="s">
        <v>2094</v>
      </c>
      <c r="Q401" t="s">
        <v>2231</v>
      </c>
      <c r="S401" t="s">
        <v>3245</v>
      </c>
      <c r="U401" t="s">
        <v>2744</v>
      </c>
      <c r="V401" t="s">
        <v>2815</v>
      </c>
      <c r="Y401" t="s">
        <v>2088</v>
      </c>
      <c r="AD401">
        <v>6</v>
      </c>
    </row>
    <row r="402" spans="1:30" hidden="1">
      <c r="A402">
        <v>216787</v>
      </c>
      <c r="B402">
        <v>500</v>
      </c>
      <c r="C402" t="s">
        <v>3189</v>
      </c>
      <c r="E402" s="103">
        <v>45786</v>
      </c>
      <c r="F402">
        <v>1</v>
      </c>
      <c r="G402" s="1210">
        <v>45671</v>
      </c>
      <c r="I402" t="s">
        <v>488</v>
      </c>
      <c r="J402" t="s">
        <v>2082</v>
      </c>
      <c r="K402">
        <v>4500009390</v>
      </c>
      <c r="L402" t="s">
        <v>3407</v>
      </c>
      <c r="M402" t="s">
        <v>3447</v>
      </c>
      <c r="N402" t="s">
        <v>3426</v>
      </c>
      <c r="O402" t="s">
        <v>2026</v>
      </c>
      <c r="P402" s="103">
        <v>45776</v>
      </c>
      <c r="Q402" t="s">
        <v>2231</v>
      </c>
      <c r="R402" s="103">
        <v>45780</v>
      </c>
      <c r="S402" t="s">
        <v>2281</v>
      </c>
      <c r="U402" t="s">
        <v>2744</v>
      </c>
      <c r="V402" t="s">
        <v>3237</v>
      </c>
      <c r="W402" t="s">
        <v>3408</v>
      </c>
      <c r="X402" t="s">
        <v>3225</v>
      </c>
      <c r="AD402">
        <v>1000</v>
      </c>
    </row>
    <row r="403" spans="1:30" hidden="1">
      <c r="A403">
        <v>217464</v>
      </c>
      <c r="B403">
        <v>94</v>
      </c>
      <c r="C403" t="s">
        <v>2997</v>
      </c>
      <c r="E403" s="103">
        <v>45786</v>
      </c>
      <c r="F403">
        <v>1</v>
      </c>
      <c r="G403" s="1210">
        <v>45747</v>
      </c>
      <c r="I403" t="s">
        <v>741</v>
      </c>
      <c r="J403" t="s">
        <v>2082</v>
      </c>
      <c r="K403">
        <v>4500010257</v>
      </c>
      <c r="L403" t="s">
        <v>3448</v>
      </c>
      <c r="M403" t="s">
        <v>3447</v>
      </c>
      <c r="N403" t="s">
        <v>3426</v>
      </c>
      <c r="O403" t="s">
        <v>2026</v>
      </c>
      <c r="P403" s="103">
        <v>45776</v>
      </c>
      <c r="Q403" t="s">
        <v>2231</v>
      </c>
      <c r="R403" s="103">
        <v>45780</v>
      </c>
      <c r="S403" t="s">
        <v>2281</v>
      </c>
      <c r="U403" t="s">
        <v>2744</v>
      </c>
      <c r="V403" t="s">
        <v>2933</v>
      </c>
      <c r="X403" t="s">
        <v>3337</v>
      </c>
      <c r="Y403" t="s">
        <v>2088</v>
      </c>
      <c r="AD403">
        <v>100</v>
      </c>
    </row>
    <row r="404" spans="1:30" hidden="1">
      <c r="A404">
        <v>212347</v>
      </c>
      <c r="B404">
        <v>50</v>
      </c>
      <c r="C404" t="s">
        <v>3259</v>
      </c>
      <c r="E404" s="103">
        <v>45786</v>
      </c>
      <c r="F404">
        <v>1</v>
      </c>
      <c r="G404" s="1210">
        <v>45698</v>
      </c>
      <c r="I404" t="s">
        <v>152</v>
      </c>
      <c r="J404" t="s">
        <v>2082</v>
      </c>
      <c r="K404">
        <v>4500009636</v>
      </c>
      <c r="L404" t="s">
        <v>3400</v>
      </c>
      <c r="M404" t="s">
        <v>3449</v>
      </c>
      <c r="N404" t="s">
        <v>3426</v>
      </c>
      <c r="O404" t="s">
        <v>2026</v>
      </c>
      <c r="P404" s="103">
        <v>45776</v>
      </c>
      <c r="Q404" t="s">
        <v>2231</v>
      </c>
      <c r="R404" s="103">
        <v>45780</v>
      </c>
      <c r="S404" t="s">
        <v>2281</v>
      </c>
      <c r="U404" t="s">
        <v>2744</v>
      </c>
      <c r="X404" t="s">
        <v>3337</v>
      </c>
      <c r="Y404" t="s">
        <v>2088</v>
      </c>
      <c r="AD404">
        <v>266</v>
      </c>
    </row>
    <row r="405" spans="1:30" hidden="1">
      <c r="A405">
        <v>199024</v>
      </c>
      <c r="B405">
        <v>240</v>
      </c>
      <c r="C405" t="s">
        <v>3107</v>
      </c>
      <c r="E405" s="103">
        <v>45786</v>
      </c>
      <c r="F405">
        <v>1</v>
      </c>
      <c r="G405" s="1210">
        <v>45705</v>
      </c>
      <c r="I405" t="s">
        <v>338</v>
      </c>
      <c r="J405" t="s">
        <v>2012</v>
      </c>
      <c r="K405">
        <v>4500009729</v>
      </c>
      <c r="L405" t="s">
        <v>3450</v>
      </c>
      <c r="M405" t="s">
        <v>3433</v>
      </c>
      <c r="N405" t="s">
        <v>3426</v>
      </c>
      <c r="O405" t="s">
        <v>2743</v>
      </c>
      <c r="P405" s="103">
        <v>45776</v>
      </c>
      <c r="Q405" t="s">
        <v>2231</v>
      </c>
      <c r="R405" s="103">
        <v>45779</v>
      </c>
      <c r="S405" t="s">
        <v>2281</v>
      </c>
      <c r="U405" t="s">
        <v>2744</v>
      </c>
      <c r="Y405" t="s">
        <v>2088</v>
      </c>
      <c r="AD405">
        <v>6580</v>
      </c>
    </row>
    <row r="406" spans="1:30" hidden="1">
      <c r="A406">
        <v>199024</v>
      </c>
      <c r="B406">
        <v>300</v>
      </c>
      <c r="C406" t="s">
        <v>3107</v>
      </c>
      <c r="E406" s="103">
        <v>45786</v>
      </c>
      <c r="F406">
        <v>1</v>
      </c>
      <c r="G406" s="1210">
        <v>45716</v>
      </c>
      <c r="I406" t="s">
        <v>338</v>
      </c>
      <c r="J406" t="s">
        <v>2012</v>
      </c>
      <c r="K406">
        <v>4500010049</v>
      </c>
      <c r="L406" t="s">
        <v>3415</v>
      </c>
      <c r="M406" t="s">
        <v>3433</v>
      </c>
      <c r="N406" t="s">
        <v>3426</v>
      </c>
      <c r="O406" t="s">
        <v>2743</v>
      </c>
      <c r="P406" s="103">
        <v>45776</v>
      </c>
      <c r="Q406" t="s">
        <v>2231</v>
      </c>
      <c r="R406" s="103">
        <v>45779</v>
      </c>
      <c r="S406" t="s">
        <v>2281</v>
      </c>
      <c r="U406" t="s">
        <v>2744</v>
      </c>
      <c r="Y406" t="s">
        <v>2088</v>
      </c>
      <c r="AD406">
        <v>6880</v>
      </c>
    </row>
    <row r="407" spans="1:30" hidden="1">
      <c r="A407">
        <v>216521</v>
      </c>
      <c r="B407">
        <v>2</v>
      </c>
      <c r="C407" t="s">
        <v>2615</v>
      </c>
      <c r="E407" s="103">
        <v>45786</v>
      </c>
      <c r="F407">
        <v>1</v>
      </c>
      <c r="G407" s="1210">
        <v>45720</v>
      </c>
      <c r="I407" t="s">
        <v>446</v>
      </c>
      <c r="J407" t="s">
        <v>2082</v>
      </c>
      <c r="K407">
        <v>4500010068</v>
      </c>
      <c r="L407" t="s">
        <v>3451</v>
      </c>
      <c r="M407" t="s">
        <v>3439</v>
      </c>
      <c r="N407" t="s">
        <v>3452</v>
      </c>
      <c r="O407" t="s">
        <v>2094</v>
      </c>
      <c r="Q407" t="s">
        <v>2231</v>
      </c>
      <c r="S407" t="s">
        <v>2806</v>
      </c>
      <c r="U407" t="s">
        <v>2744</v>
      </c>
      <c r="W407" t="s">
        <v>3445</v>
      </c>
      <c r="Y407" t="s">
        <v>2088</v>
      </c>
      <c r="AD407">
        <v>2</v>
      </c>
    </row>
    <row r="408" spans="1:30" hidden="1">
      <c r="A408">
        <v>216521</v>
      </c>
      <c r="B408">
        <v>2</v>
      </c>
      <c r="C408" t="s">
        <v>2615</v>
      </c>
      <c r="E408" s="103">
        <v>45786</v>
      </c>
      <c r="F408">
        <v>1</v>
      </c>
      <c r="G408" s="1210">
        <v>45720</v>
      </c>
      <c r="I408" t="s">
        <v>446</v>
      </c>
      <c r="J408" t="s">
        <v>2082</v>
      </c>
      <c r="K408">
        <v>4500010070</v>
      </c>
      <c r="L408" t="s">
        <v>3451</v>
      </c>
      <c r="M408" t="s">
        <v>3446</v>
      </c>
      <c r="N408" t="s">
        <v>3452</v>
      </c>
      <c r="O408" t="s">
        <v>2094</v>
      </c>
      <c r="Q408" t="s">
        <v>2231</v>
      </c>
      <c r="S408" t="s">
        <v>3245</v>
      </c>
      <c r="U408" t="s">
        <v>2744</v>
      </c>
      <c r="V408" t="s">
        <v>2815</v>
      </c>
      <c r="Y408" t="s">
        <v>2088</v>
      </c>
      <c r="AD408">
        <v>4</v>
      </c>
    </row>
    <row r="409" spans="1:30" hidden="1">
      <c r="A409">
        <v>216521</v>
      </c>
      <c r="B409">
        <v>2</v>
      </c>
      <c r="C409" t="s">
        <v>2615</v>
      </c>
      <c r="E409" s="103">
        <v>45786</v>
      </c>
      <c r="F409">
        <v>1</v>
      </c>
      <c r="G409" s="1210">
        <v>45720</v>
      </c>
      <c r="I409" t="s">
        <v>446</v>
      </c>
      <c r="J409" t="s">
        <v>2082</v>
      </c>
      <c r="K409">
        <v>4500010070</v>
      </c>
      <c r="L409" t="s">
        <v>3451</v>
      </c>
      <c r="M409" t="s">
        <v>3446</v>
      </c>
      <c r="N409" t="s">
        <v>3452</v>
      </c>
      <c r="O409" t="s">
        <v>2094</v>
      </c>
      <c r="Q409" t="s">
        <v>2231</v>
      </c>
      <c r="S409" t="s">
        <v>3245</v>
      </c>
      <c r="U409" t="s">
        <v>2744</v>
      </c>
      <c r="V409" t="s">
        <v>2815</v>
      </c>
      <c r="Y409" t="s">
        <v>2088</v>
      </c>
      <c r="AD409">
        <v>6</v>
      </c>
    </row>
    <row r="410" spans="1:30" hidden="1">
      <c r="A410">
        <v>216521</v>
      </c>
      <c r="B410">
        <v>2</v>
      </c>
      <c r="C410" t="s">
        <v>2615</v>
      </c>
      <c r="E410" s="103">
        <v>45786</v>
      </c>
      <c r="F410">
        <v>1</v>
      </c>
      <c r="G410" s="1210">
        <v>45720</v>
      </c>
      <c r="I410" t="s">
        <v>446</v>
      </c>
      <c r="J410" t="s">
        <v>2082</v>
      </c>
      <c r="K410">
        <v>4500010070</v>
      </c>
      <c r="L410" t="s">
        <v>3451</v>
      </c>
      <c r="M410" t="s">
        <v>3446</v>
      </c>
      <c r="N410" t="s">
        <v>3452</v>
      </c>
      <c r="O410" t="s">
        <v>2094</v>
      </c>
      <c r="Q410" t="s">
        <v>2231</v>
      </c>
      <c r="S410" t="s">
        <v>2961</v>
      </c>
      <c r="U410" t="s">
        <v>2744</v>
      </c>
      <c r="V410" t="s">
        <v>2815</v>
      </c>
      <c r="Y410" t="s">
        <v>2088</v>
      </c>
      <c r="AD410">
        <v>8</v>
      </c>
    </row>
    <row r="411" spans="1:30" hidden="1">
      <c r="A411">
        <v>216523</v>
      </c>
      <c r="B411">
        <v>2</v>
      </c>
      <c r="C411" t="s">
        <v>2615</v>
      </c>
      <c r="E411" s="103">
        <v>45786</v>
      </c>
      <c r="F411">
        <v>3</v>
      </c>
      <c r="G411" s="1210">
        <v>45720</v>
      </c>
      <c r="I411" t="s">
        <v>3453</v>
      </c>
      <c r="J411" t="s">
        <v>2082</v>
      </c>
      <c r="K411">
        <v>4500010073</v>
      </c>
      <c r="L411" t="s">
        <v>3451</v>
      </c>
      <c r="N411" t="s">
        <v>3452</v>
      </c>
      <c r="O411" t="s">
        <v>2094</v>
      </c>
      <c r="Q411" t="s">
        <v>2231</v>
      </c>
      <c r="S411" t="s">
        <v>2806</v>
      </c>
      <c r="U411" t="s">
        <v>2744</v>
      </c>
      <c r="Y411" t="s">
        <v>2088</v>
      </c>
      <c r="AD411">
        <v>0</v>
      </c>
    </row>
    <row r="412" spans="1:30" hidden="1">
      <c r="A412">
        <v>212469</v>
      </c>
      <c r="B412">
        <v>438</v>
      </c>
      <c r="C412" t="s">
        <v>3377</v>
      </c>
      <c r="E412" s="103">
        <v>45786</v>
      </c>
      <c r="F412">
        <v>1</v>
      </c>
      <c r="G412" s="1210">
        <v>45733</v>
      </c>
      <c r="I412" t="s">
        <v>247</v>
      </c>
      <c r="J412" t="s">
        <v>2082</v>
      </c>
      <c r="K412">
        <v>4500010190</v>
      </c>
      <c r="L412" t="s">
        <v>3454</v>
      </c>
      <c r="M412" t="s">
        <v>3429</v>
      </c>
      <c r="N412" t="s">
        <v>3426</v>
      </c>
      <c r="O412" t="s">
        <v>2026</v>
      </c>
      <c r="P412" s="103">
        <v>45776</v>
      </c>
      <c r="Q412" t="s">
        <v>2231</v>
      </c>
      <c r="R412" s="103">
        <v>45780</v>
      </c>
      <c r="S412" t="s">
        <v>2281</v>
      </c>
      <c r="U412" t="s">
        <v>2744</v>
      </c>
      <c r="V412" t="s">
        <v>2933</v>
      </c>
      <c r="Y412" t="s">
        <v>2088</v>
      </c>
      <c r="AD412">
        <v>476</v>
      </c>
    </row>
    <row r="413" spans="1:30" hidden="1">
      <c r="A413">
        <v>216518</v>
      </c>
      <c r="B413">
        <v>2</v>
      </c>
      <c r="C413" t="s">
        <v>3443</v>
      </c>
      <c r="E413" s="103">
        <v>45786</v>
      </c>
      <c r="F413">
        <v>1</v>
      </c>
      <c r="G413" s="1210">
        <v>45733</v>
      </c>
      <c r="I413" t="s">
        <v>411</v>
      </c>
      <c r="J413" t="s">
        <v>2082</v>
      </c>
      <c r="K413">
        <v>4500010197</v>
      </c>
      <c r="L413" t="s">
        <v>3444</v>
      </c>
      <c r="M413" t="s">
        <v>3446</v>
      </c>
      <c r="N413" t="s">
        <v>3430</v>
      </c>
      <c r="O413" t="s">
        <v>2094</v>
      </c>
      <c r="Q413" t="s">
        <v>2231</v>
      </c>
      <c r="S413" t="s">
        <v>2961</v>
      </c>
      <c r="U413" t="s">
        <v>2744</v>
      </c>
      <c r="V413" t="s">
        <v>2815</v>
      </c>
      <c r="Y413" t="s">
        <v>2088</v>
      </c>
      <c r="AD413">
        <v>8</v>
      </c>
    </row>
    <row r="414" spans="1:30" hidden="1">
      <c r="A414">
        <v>216520</v>
      </c>
      <c r="B414">
        <v>2</v>
      </c>
      <c r="C414" t="s">
        <v>3443</v>
      </c>
      <c r="E414" s="103">
        <v>45786</v>
      </c>
      <c r="F414">
        <v>3</v>
      </c>
      <c r="G414" s="1210">
        <v>45733</v>
      </c>
      <c r="I414" t="s">
        <v>3455</v>
      </c>
      <c r="J414" t="s">
        <v>2082</v>
      </c>
      <c r="K414">
        <v>4500010198</v>
      </c>
      <c r="L414" t="s">
        <v>3444</v>
      </c>
      <c r="N414" t="s">
        <v>3452</v>
      </c>
      <c r="O414" t="s">
        <v>2094</v>
      </c>
      <c r="Q414" t="s">
        <v>2231</v>
      </c>
      <c r="S414" t="s">
        <v>2806</v>
      </c>
      <c r="U414" t="s">
        <v>2744</v>
      </c>
      <c r="Y414" t="s">
        <v>2088</v>
      </c>
      <c r="AD414">
        <v>0</v>
      </c>
    </row>
    <row r="415" spans="1:30" hidden="1">
      <c r="A415">
        <v>201898</v>
      </c>
      <c r="B415">
        <v>600</v>
      </c>
      <c r="C415" t="s">
        <v>3395</v>
      </c>
      <c r="E415" s="103">
        <v>45786</v>
      </c>
      <c r="F415">
        <v>1</v>
      </c>
      <c r="G415" s="1210">
        <v>45733</v>
      </c>
      <c r="I415" t="s">
        <v>317</v>
      </c>
      <c r="J415" t="s">
        <v>2012</v>
      </c>
      <c r="K415">
        <v>4500010201</v>
      </c>
      <c r="L415" t="s">
        <v>3437</v>
      </c>
      <c r="M415" t="s">
        <v>3429</v>
      </c>
      <c r="N415" t="s">
        <v>3426</v>
      </c>
      <c r="O415" t="s">
        <v>2743</v>
      </c>
      <c r="P415" s="103">
        <v>45776</v>
      </c>
      <c r="Q415" t="s">
        <v>2231</v>
      </c>
      <c r="R415" s="103">
        <v>45779</v>
      </c>
      <c r="S415" t="s">
        <v>2281</v>
      </c>
      <c r="U415" t="s">
        <v>2744</v>
      </c>
      <c r="Y415" t="s">
        <v>2088</v>
      </c>
      <c r="AD415">
        <v>5928</v>
      </c>
    </row>
    <row r="416" spans="1:30" hidden="1">
      <c r="A416">
        <v>201898</v>
      </c>
      <c r="B416">
        <v>800</v>
      </c>
      <c r="C416" t="s">
        <v>3395</v>
      </c>
      <c r="E416" s="103">
        <v>45789</v>
      </c>
      <c r="F416">
        <v>1</v>
      </c>
      <c r="G416" s="1210">
        <v>45720</v>
      </c>
      <c r="I416" t="s">
        <v>317</v>
      </c>
      <c r="J416" t="s">
        <v>2012</v>
      </c>
      <c r="K416">
        <v>4500010052</v>
      </c>
      <c r="L416" t="s">
        <v>3417</v>
      </c>
      <c r="M416" t="s">
        <v>3429</v>
      </c>
      <c r="N416" t="s">
        <v>3426</v>
      </c>
      <c r="O416" t="s">
        <v>2743</v>
      </c>
      <c r="P416" s="103">
        <v>45776</v>
      </c>
      <c r="Q416" t="s">
        <v>2231</v>
      </c>
      <c r="R416" s="103">
        <v>45779</v>
      </c>
      <c r="S416" t="s">
        <v>2911</v>
      </c>
      <c r="U416" t="s">
        <v>2744</v>
      </c>
      <c r="Y416" t="s">
        <v>2088</v>
      </c>
      <c r="AD416">
        <v>6728</v>
      </c>
    </row>
    <row r="417" spans="1:30" hidden="1">
      <c r="A417">
        <v>216521</v>
      </c>
      <c r="B417">
        <v>248</v>
      </c>
      <c r="C417" t="s">
        <v>2615</v>
      </c>
      <c r="E417" s="103">
        <v>45791</v>
      </c>
      <c r="F417">
        <v>1</v>
      </c>
      <c r="G417" s="1210">
        <v>45720</v>
      </c>
      <c r="I417" t="s">
        <v>446</v>
      </c>
      <c r="J417" t="s">
        <v>2082</v>
      </c>
      <c r="K417">
        <v>4500010068</v>
      </c>
      <c r="L417" t="s">
        <v>3456</v>
      </c>
      <c r="M417" t="s">
        <v>3439</v>
      </c>
      <c r="N417" t="s">
        <v>3452</v>
      </c>
      <c r="O417" t="s">
        <v>2026</v>
      </c>
      <c r="P417" s="103">
        <v>45786</v>
      </c>
      <c r="Q417" t="s">
        <v>2231</v>
      </c>
      <c r="R417" s="103">
        <v>45789</v>
      </c>
      <c r="S417" t="s">
        <v>2281</v>
      </c>
      <c r="U417" t="s">
        <v>2744</v>
      </c>
      <c r="V417" t="s">
        <v>2933</v>
      </c>
      <c r="W417" t="s">
        <v>3445</v>
      </c>
      <c r="Y417" t="s">
        <v>2088</v>
      </c>
      <c r="AB417" t="s">
        <v>3457</v>
      </c>
      <c r="AD417">
        <v>256</v>
      </c>
    </row>
    <row r="418" spans="1:30" hidden="1">
      <c r="A418">
        <v>216518</v>
      </c>
      <c r="B418">
        <v>118</v>
      </c>
      <c r="C418" t="s">
        <v>3443</v>
      </c>
      <c r="E418" s="103">
        <v>45791</v>
      </c>
      <c r="F418">
        <v>1</v>
      </c>
      <c r="G418" s="1210">
        <v>45733</v>
      </c>
      <c r="I418" t="s">
        <v>411</v>
      </c>
      <c r="J418" t="s">
        <v>2082</v>
      </c>
      <c r="K418">
        <v>4500010192</v>
      </c>
      <c r="L418" t="s">
        <v>3458</v>
      </c>
      <c r="M418" t="s">
        <v>3439</v>
      </c>
      <c r="N418" t="s">
        <v>3452</v>
      </c>
      <c r="O418" t="s">
        <v>2026</v>
      </c>
      <c r="P418" s="103">
        <v>45786</v>
      </c>
      <c r="Q418" t="s">
        <v>2231</v>
      </c>
      <c r="R418" s="103">
        <v>45789</v>
      </c>
      <c r="S418" t="s">
        <v>2281</v>
      </c>
      <c r="U418" t="s">
        <v>2744</v>
      </c>
      <c r="V418" t="s">
        <v>2933</v>
      </c>
      <c r="W418" t="s">
        <v>3445</v>
      </c>
      <c r="Y418" t="s">
        <v>2088</v>
      </c>
      <c r="AB418" t="s">
        <v>3457</v>
      </c>
      <c r="AD418">
        <v>126</v>
      </c>
    </row>
    <row r="419" spans="1:30">
      <c r="A419">
        <v>212476</v>
      </c>
      <c r="B419">
        <v>120</v>
      </c>
      <c r="C419" t="s">
        <v>3359</v>
      </c>
      <c r="E419" s="103">
        <v>45792</v>
      </c>
      <c r="F419">
        <v>1</v>
      </c>
      <c r="G419" s="1210">
        <v>45649</v>
      </c>
      <c r="I419" t="s">
        <v>198</v>
      </c>
      <c r="J419" t="s">
        <v>2012</v>
      </c>
      <c r="K419">
        <v>4500009316</v>
      </c>
      <c r="L419" t="s">
        <v>3459</v>
      </c>
      <c r="M419" t="s">
        <v>3441</v>
      </c>
      <c r="N419" t="s">
        <v>3439</v>
      </c>
      <c r="O419" t="s">
        <v>2743</v>
      </c>
      <c r="P419" s="103">
        <v>45780</v>
      </c>
      <c r="Q419" t="s">
        <v>2231</v>
      </c>
      <c r="R419" s="103">
        <v>45784</v>
      </c>
      <c r="S419" t="s">
        <v>2281</v>
      </c>
      <c r="U419" t="s">
        <v>2744</v>
      </c>
      <c r="W419" t="s">
        <v>3442</v>
      </c>
      <c r="X419" t="s">
        <v>3270</v>
      </c>
      <c r="Y419" t="s">
        <v>2088</v>
      </c>
      <c r="AD419">
        <v>176</v>
      </c>
    </row>
    <row r="420" spans="1:30">
      <c r="A420">
        <v>212476</v>
      </c>
      <c r="B420">
        <v>20</v>
      </c>
      <c r="C420" t="s">
        <v>3359</v>
      </c>
      <c r="E420" s="103">
        <v>45792</v>
      </c>
      <c r="F420">
        <v>1</v>
      </c>
      <c r="G420" s="1210">
        <v>45698</v>
      </c>
      <c r="I420" t="s">
        <v>198</v>
      </c>
      <c r="J420" t="s">
        <v>2012</v>
      </c>
      <c r="K420">
        <v>4500009637</v>
      </c>
      <c r="L420" t="s">
        <v>3460</v>
      </c>
      <c r="M420" t="s">
        <v>3441</v>
      </c>
      <c r="N420" t="s">
        <v>3439</v>
      </c>
      <c r="O420" t="s">
        <v>2743</v>
      </c>
      <c r="P420" s="103">
        <v>45780</v>
      </c>
      <c r="Q420" t="s">
        <v>2231</v>
      </c>
      <c r="R420" s="103">
        <v>45784</v>
      </c>
      <c r="S420" t="s">
        <v>2281</v>
      </c>
      <c r="U420" t="s">
        <v>2744</v>
      </c>
      <c r="Y420" t="s">
        <v>2088</v>
      </c>
      <c r="AD420">
        <v>196</v>
      </c>
    </row>
    <row r="421" spans="1:30" hidden="1">
      <c r="A421">
        <v>201900</v>
      </c>
      <c r="B421">
        <v>200</v>
      </c>
      <c r="C421" t="s">
        <v>3105</v>
      </c>
      <c r="E421" s="103">
        <v>45792</v>
      </c>
      <c r="F421">
        <v>1</v>
      </c>
      <c r="G421" s="1210">
        <v>45705</v>
      </c>
      <c r="I421" t="s">
        <v>327</v>
      </c>
      <c r="J421" t="s">
        <v>2012</v>
      </c>
      <c r="K421">
        <v>4500009728</v>
      </c>
      <c r="L421" t="s">
        <v>3461</v>
      </c>
      <c r="M421" t="s">
        <v>3433</v>
      </c>
      <c r="N421" t="s">
        <v>3439</v>
      </c>
      <c r="O421" t="s">
        <v>2743</v>
      </c>
      <c r="P421" s="103">
        <v>45780</v>
      </c>
      <c r="Q421" t="s">
        <v>2231</v>
      </c>
      <c r="R421" s="103">
        <v>45784</v>
      </c>
      <c r="S421" t="s">
        <v>2281</v>
      </c>
      <c r="U421" t="s">
        <v>2744</v>
      </c>
      <c r="Y421" t="s">
        <v>2088</v>
      </c>
      <c r="AD421">
        <v>3878</v>
      </c>
    </row>
    <row r="422" spans="1:30" hidden="1">
      <c r="A422">
        <v>201900</v>
      </c>
      <c r="B422">
        <v>160</v>
      </c>
      <c r="C422" t="s">
        <v>3105</v>
      </c>
      <c r="E422" s="103">
        <v>45792</v>
      </c>
      <c r="F422">
        <v>1</v>
      </c>
      <c r="G422" s="1210">
        <v>45715</v>
      </c>
      <c r="I422" t="s">
        <v>327</v>
      </c>
      <c r="J422" t="s">
        <v>2012</v>
      </c>
      <c r="K422">
        <v>4500009821</v>
      </c>
      <c r="L422" t="s">
        <v>3462</v>
      </c>
      <c r="M422" t="s">
        <v>3433</v>
      </c>
      <c r="N422" t="s">
        <v>3439</v>
      </c>
      <c r="O422" t="s">
        <v>2743</v>
      </c>
      <c r="P422" s="103">
        <v>45780</v>
      </c>
      <c r="Q422" t="s">
        <v>2231</v>
      </c>
      <c r="R422" s="103">
        <v>45784</v>
      </c>
      <c r="S422" t="s">
        <v>2281</v>
      </c>
      <c r="U422" t="s">
        <v>2744</v>
      </c>
      <c r="Y422" t="s">
        <v>2088</v>
      </c>
      <c r="AD422">
        <v>4038</v>
      </c>
    </row>
    <row r="423" spans="1:30" hidden="1">
      <c r="A423">
        <v>199021</v>
      </c>
      <c r="B423">
        <v>200</v>
      </c>
      <c r="C423" t="s">
        <v>3463</v>
      </c>
      <c r="E423" s="103">
        <v>45792</v>
      </c>
      <c r="F423">
        <v>1</v>
      </c>
      <c r="G423" s="1210">
        <v>45720</v>
      </c>
      <c r="I423" t="s">
        <v>456</v>
      </c>
      <c r="J423" t="s">
        <v>2012</v>
      </c>
      <c r="K423">
        <v>4500010053</v>
      </c>
      <c r="L423" t="s">
        <v>3464</v>
      </c>
      <c r="M423" t="s">
        <v>3465</v>
      </c>
      <c r="N423" t="s">
        <v>3439</v>
      </c>
      <c r="O423" t="s">
        <v>2743</v>
      </c>
      <c r="P423" s="103">
        <v>45780</v>
      </c>
      <c r="Q423" t="s">
        <v>2231</v>
      </c>
      <c r="R423" s="103">
        <v>45784</v>
      </c>
      <c r="S423" t="s">
        <v>2911</v>
      </c>
      <c r="U423" t="s">
        <v>2744</v>
      </c>
      <c r="Y423" t="s">
        <v>2088</v>
      </c>
      <c r="AD423">
        <v>3890</v>
      </c>
    </row>
    <row r="424" spans="1:30" hidden="1">
      <c r="A424">
        <v>219082</v>
      </c>
      <c r="B424">
        <v>10</v>
      </c>
      <c r="C424" t="s">
        <v>3466</v>
      </c>
      <c r="E424" s="103">
        <v>45792</v>
      </c>
      <c r="F424">
        <v>1</v>
      </c>
      <c r="G424" s="1210">
        <v>45758</v>
      </c>
      <c r="I424" t="s">
        <v>3467</v>
      </c>
      <c r="J424" t="s">
        <v>2751</v>
      </c>
      <c r="K424">
        <v>4500010380</v>
      </c>
      <c r="L424" t="s">
        <v>3468</v>
      </c>
      <c r="N424" t="s">
        <v>3439</v>
      </c>
      <c r="O424" t="s">
        <v>2743</v>
      </c>
      <c r="P424" s="103">
        <v>45780</v>
      </c>
      <c r="Q424" t="s">
        <v>2231</v>
      </c>
      <c r="R424" s="103">
        <v>45784</v>
      </c>
      <c r="S424" t="s">
        <v>2281</v>
      </c>
      <c r="U424" t="s">
        <v>2744</v>
      </c>
      <c r="V424" t="s">
        <v>3469</v>
      </c>
      <c r="AD424">
        <v>10</v>
      </c>
    </row>
    <row r="425" spans="1:30" hidden="1">
      <c r="A425">
        <v>216517</v>
      </c>
      <c r="B425">
        <v>1</v>
      </c>
      <c r="C425" t="s">
        <v>3420</v>
      </c>
      <c r="E425" s="103">
        <v>45796</v>
      </c>
      <c r="F425">
        <v>3</v>
      </c>
      <c r="G425" s="1210">
        <v>45720</v>
      </c>
      <c r="I425" t="s">
        <v>3421</v>
      </c>
      <c r="J425" t="s">
        <v>2082</v>
      </c>
      <c r="K425">
        <v>4500010072</v>
      </c>
      <c r="L425" t="s">
        <v>3420</v>
      </c>
      <c r="N425" t="s">
        <v>3470</v>
      </c>
      <c r="O425" t="s">
        <v>2094</v>
      </c>
      <c r="Q425" t="s">
        <v>2231</v>
      </c>
      <c r="S425" t="s">
        <v>2806</v>
      </c>
      <c r="U425" t="s">
        <v>2744</v>
      </c>
      <c r="Y425" t="s">
        <v>2088</v>
      </c>
      <c r="AD425">
        <v>0</v>
      </c>
    </row>
    <row r="426" spans="1:30" hidden="1">
      <c r="A426">
        <v>216525</v>
      </c>
      <c r="B426">
        <v>2</v>
      </c>
      <c r="C426" t="s">
        <v>3471</v>
      </c>
      <c r="E426" s="103">
        <v>45796</v>
      </c>
      <c r="F426">
        <v>3</v>
      </c>
      <c r="G426" s="1210">
        <v>45720</v>
      </c>
      <c r="I426" t="s">
        <v>3472</v>
      </c>
      <c r="J426" t="s">
        <v>2082</v>
      </c>
      <c r="K426">
        <v>4500010074</v>
      </c>
      <c r="L426" t="s">
        <v>3473</v>
      </c>
      <c r="N426" t="s">
        <v>3470</v>
      </c>
      <c r="O426" t="s">
        <v>2094</v>
      </c>
      <c r="Q426" t="s">
        <v>2231</v>
      </c>
      <c r="S426" t="s">
        <v>2806</v>
      </c>
      <c r="U426" t="s">
        <v>2744</v>
      </c>
      <c r="Y426" t="s">
        <v>2088</v>
      </c>
      <c r="AD426">
        <v>0</v>
      </c>
    </row>
    <row r="427" spans="1:30" hidden="1">
      <c r="A427">
        <v>199872</v>
      </c>
      <c r="B427">
        <v>21</v>
      </c>
      <c r="C427" t="s">
        <v>3184</v>
      </c>
      <c r="E427" s="103">
        <v>45797</v>
      </c>
      <c r="F427">
        <v>1</v>
      </c>
      <c r="G427" s="1210">
        <v>45573</v>
      </c>
      <c r="I427" t="s">
        <v>670</v>
      </c>
      <c r="J427" t="s">
        <v>2074</v>
      </c>
      <c r="K427">
        <v>4500008303</v>
      </c>
      <c r="L427" t="s">
        <v>3474</v>
      </c>
      <c r="M427" t="s">
        <v>3475</v>
      </c>
      <c r="N427" t="s">
        <v>3426</v>
      </c>
      <c r="O427" t="s">
        <v>2743</v>
      </c>
      <c r="P427" s="103">
        <v>45776</v>
      </c>
      <c r="Q427" t="s">
        <v>3051</v>
      </c>
      <c r="R427" s="103">
        <v>45784</v>
      </c>
      <c r="S427" t="s">
        <v>2281</v>
      </c>
      <c r="T427" t="s">
        <v>3476</v>
      </c>
      <c r="U427" t="s">
        <v>2744</v>
      </c>
      <c r="X427" t="s">
        <v>3187</v>
      </c>
      <c r="Y427" t="s">
        <v>2088</v>
      </c>
      <c r="AD427">
        <v>1000</v>
      </c>
    </row>
    <row r="428" spans="1:30" hidden="1">
      <c r="A428">
        <v>207871</v>
      </c>
      <c r="B428">
        <v>71</v>
      </c>
      <c r="C428" t="s">
        <v>3164</v>
      </c>
      <c r="E428" s="103">
        <v>45797</v>
      </c>
      <c r="F428">
        <v>1</v>
      </c>
      <c r="G428" s="1210">
        <v>45603</v>
      </c>
      <c r="I428" t="s">
        <v>570</v>
      </c>
      <c r="J428" t="s">
        <v>2074</v>
      </c>
      <c r="K428">
        <v>4500008673</v>
      </c>
      <c r="L428" t="s">
        <v>3477</v>
      </c>
      <c r="M428" t="s">
        <v>3478</v>
      </c>
      <c r="N428" t="s">
        <v>3426</v>
      </c>
      <c r="O428" t="s">
        <v>2743</v>
      </c>
      <c r="P428" s="103">
        <v>45776</v>
      </c>
      <c r="Q428" t="s">
        <v>3051</v>
      </c>
      <c r="R428" s="103">
        <v>45784</v>
      </c>
      <c r="S428" t="s">
        <v>2281</v>
      </c>
      <c r="T428" t="s">
        <v>3476</v>
      </c>
      <c r="U428" t="s">
        <v>2744</v>
      </c>
      <c r="X428" t="s">
        <v>3168</v>
      </c>
      <c r="Y428" t="s">
        <v>2088</v>
      </c>
      <c r="AD428">
        <v>780</v>
      </c>
    </row>
    <row r="429" spans="1:30" hidden="1">
      <c r="A429">
        <v>207871</v>
      </c>
      <c r="B429">
        <v>150</v>
      </c>
      <c r="C429" t="s">
        <v>3164</v>
      </c>
      <c r="E429" s="103">
        <v>45797</v>
      </c>
      <c r="F429">
        <v>1</v>
      </c>
      <c r="G429" s="1210">
        <v>45603</v>
      </c>
      <c r="I429" t="s">
        <v>570</v>
      </c>
      <c r="J429" t="s">
        <v>2074</v>
      </c>
      <c r="K429">
        <v>4500008675</v>
      </c>
      <c r="L429" t="s">
        <v>3479</v>
      </c>
      <c r="M429" t="s">
        <v>3478</v>
      </c>
      <c r="N429" t="s">
        <v>3426</v>
      </c>
      <c r="O429" t="s">
        <v>2743</v>
      </c>
      <c r="P429" s="103">
        <v>45776</v>
      </c>
      <c r="Q429" t="s">
        <v>3051</v>
      </c>
      <c r="R429" s="103">
        <v>45784</v>
      </c>
      <c r="S429" t="s">
        <v>2281</v>
      </c>
      <c r="T429" t="s">
        <v>3476</v>
      </c>
      <c r="U429" t="s">
        <v>2744</v>
      </c>
      <c r="X429" t="s">
        <v>3168</v>
      </c>
      <c r="Y429" t="s">
        <v>2088</v>
      </c>
      <c r="AD429">
        <v>930</v>
      </c>
    </row>
    <row r="430" spans="1:30" hidden="1">
      <c r="A430">
        <v>207871</v>
      </c>
      <c r="B430">
        <v>210</v>
      </c>
      <c r="C430" t="s">
        <v>3164</v>
      </c>
      <c r="E430" s="103">
        <v>45797</v>
      </c>
      <c r="F430">
        <v>1</v>
      </c>
      <c r="G430" s="1210">
        <v>45603</v>
      </c>
      <c r="I430" t="s">
        <v>570</v>
      </c>
      <c r="J430" t="s">
        <v>2074</v>
      </c>
      <c r="K430">
        <v>4500008676</v>
      </c>
      <c r="L430" t="s">
        <v>3480</v>
      </c>
      <c r="M430" t="s">
        <v>3478</v>
      </c>
      <c r="N430" t="s">
        <v>3426</v>
      </c>
      <c r="O430" t="s">
        <v>2743</v>
      </c>
      <c r="P430" s="103">
        <v>45776</v>
      </c>
      <c r="Q430" t="s">
        <v>3051</v>
      </c>
      <c r="R430" s="103">
        <v>45784</v>
      </c>
      <c r="S430" t="s">
        <v>2281</v>
      </c>
      <c r="T430" t="s">
        <v>3476</v>
      </c>
      <c r="U430" t="s">
        <v>2744</v>
      </c>
      <c r="W430" t="s">
        <v>3481</v>
      </c>
      <c r="X430" t="s">
        <v>3168</v>
      </c>
      <c r="Y430" t="s">
        <v>2088</v>
      </c>
      <c r="AD430">
        <v>1140</v>
      </c>
    </row>
    <row r="431" spans="1:30" hidden="1">
      <c r="A431">
        <v>207872</v>
      </c>
      <c r="B431">
        <v>144</v>
      </c>
      <c r="C431" t="s">
        <v>3169</v>
      </c>
      <c r="E431" s="103">
        <v>45797</v>
      </c>
      <c r="F431">
        <v>1</v>
      </c>
      <c r="G431" s="1210">
        <v>45603</v>
      </c>
      <c r="I431" t="s">
        <v>640</v>
      </c>
      <c r="J431" t="s">
        <v>2074</v>
      </c>
      <c r="K431">
        <v>4500008678</v>
      </c>
      <c r="L431" t="s">
        <v>3482</v>
      </c>
      <c r="M431" t="s">
        <v>3478</v>
      </c>
      <c r="N431" t="s">
        <v>3426</v>
      </c>
      <c r="O431" t="s">
        <v>2743</v>
      </c>
      <c r="P431" s="103">
        <v>45776</v>
      </c>
      <c r="Q431" t="s">
        <v>3051</v>
      </c>
      <c r="R431" s="103">
        <v>45784</v>
      </c>
      <c r="S431" t="s">
        <v>2281</v>
      </c>
      <c r="T431" t="s">
        <v>3476</v>
      </c>
      <c r="U431" t="s">
        <v>2744</v>
      </c>
      <c r="X431" t="s">
        <v>3168</v>
      </c>
      <c r="Y431" t="s">
        <v>2088</v>
      </c>
      <c r="AD431">
        <v>1320</v>
      </c>
    </row>
    <row r="432" spans="1:30" hidden="1">
      <c r="A432">
        <v>207872</v>
      </c>
      <c r="B432">
        <v>240</v>
      </c>
      <c r="C432" t="s">
        <v>3169</v>
      </c>
      <c r="E432" s="103">
        <v>45797</v>
      </c>
      <c r="F432">
        <v>1</v>
      </c>
      <c r="G432" s="1210">
        <v>45603</v>
      </c>
      <c r="I432" t="s">
        <v>640</v>
      </c>
      <c r="J432" t="s">
        <v>2074</v>
      </c>
      <c r="K432">
        <v>4500008680</v>
      </c>
      <c r="L432" t="s">
        <v>3483</v>
      </c>
      <c r="M432" t="s">
        <v>3478</v>
      </c>
      <c r="N432" t="s">
        <v>3426</v>
      </c>
      <c r="O432" t="s">
        <v>2743</v>
      </c>
      <c r="P432" s="103">
        <v>45776</v>
      </c>
      <c r="Q432" t="s">
        <v>3051</v>
      </c>
      <c r="R432" s="103">
        <v>45784</v>
      </c>
      <c r="S432" t="s">
        <v>2281</v>
      </c>
      <c r="T432" t="s">
        <v>3476</v>
      </c>
      <c r="U432" t="s">
        <v>2744</v>
      </c>
      <c r="X432" t="s">
        <v>3168</v>
      </c>
      <c r="Y432" t="s">
        <v>2088</v>
      </c>
      <c r="AD432">
        <v>1560</v>
      </c>
    </row>
    <row r="433" spans="1:30" hidden="1">
      <c r="A433">
        <v>207872</v>
      </c>
      <c r="B433">
        <v>300</v>
      </c>
      <c r="C433" t="s">
        <v>3169</v>
      </c>
      <c r="E433" s="103">
        <v>45797</v>
      </c>
      <c r="F433">
        <v>1</v>
      </c>
      <c r="G433" s="1210">
        <v>45603</v>
      </c>
      <c r="I433" t="s">
        <v>640</v>
      </c>
      <c r="J433" t="s">
        <v>2074</v>
      </c>
      <c r="K433">
        <v>4500008681</v>
      </c>
      <c r="L433" t="s">
        <v>3484</v>
      </c>
      <c r="M433" t="s">
        <v>3478</v>
      </c>
      <c r="N433" t="s">
        <v>3426</v>
      </c>
      <c r="O433" t="s">
        <v>2743</v>
      </c>
      <c r="P433" s="103">
        <v>45776</v>
      </c>
      <c r="Q433" t="s">
        <v>3051</v>
      </c>
      <c r="R433" s="103">
        <v>45784</v>
      </c>
      <c r="S433" t="s">
        <v>2281</v>
      </c>
      <c r="T433" t="s">
        <v>3476</v>
      </c>
      <c r="U433" t="s">
        <v>2744</v>
      </c>
      <c r="W433" t="s">
        <v>3481</v>
      </c>
      <c r="X433" t="s">
        <v>3168</v>
      </c>
      <c r="Y433" t="s">
        <v>2088</v>
      </c>
      <c r="AD433">
        <v>1860</v>
      </c>
    </row>
    <row r="434" spans="1:30" hidden="1">
      <c r="A434">
        <v>199024</v>
      </c>
      <c r="B434">
        <v>300</v>
      </c>
      <c r="C434" t="s">
        <v>3107</v>
      </c>
      <c r="E434" s="103">
        <v>45800</v>
      </c>
      <c r="F434">
        <v>1</v>
      </c>
      <c r="G434" s="1210">
        <v>45733</v>
      </c>
      <c r="I434" t="s">
        <v>338</v>
      </c>
      <c r="J434" t="s">
        <v>2012</v>
      </c>
      <c r="K434">
        <v>4500010203</v>
      </c>
      <c r="L434" t="s">
        <v>3415</v>
      </c>
      <c r="M434" t="s">
        <v>3485</v>
      </c>
      <c r="N434" t="s">
        <v>3486</v>
      </c>
      <c r="O434" t="s">
        <v>2026</v>
      </c>
      <c r="P434" s="103">
        <v>45793</v>
      </c>
      <c r="Q434" t="s">
        <v>2231</v>
      </c>
      <c r="R434" s="103">
        <v>45797</v>
      </c>
      <c r="S434" t="s">
        <v>2281</v>
      </c>
      <c r="T434" t="s">
        <v>490</v>
      </c>
      <c r="U434" t="s">
        <v>2744</v>
      </c>
      <c r="Y434" t="s">
        <v>2088</v>
      </c>
      <c r="AA434" t="s">
        <v>3487</v>
      </c>
      <c r="AB434" t="s">
        <v>3488</v>
      </c>
      <c r="AC434" t="s">
        <v>3486</v>
      </c>
      <c r="AD434">
        <v>7180</v>
      </c>
    </row>
    <row r="435" spans="1:30" hidden="1">
      <c r="A435">
        <v>220802</v>
      </c>
      <c r="B435">
        <v>1</v>
      </c>
      <c r="C435" t="s">
        <v>3489</v>
      </c>
      <c r="E435" s="103">
        <v>45806</v>
      </c>
      <c r="F435">
        <v>3</v>
      </c>
      <c r="G435" s="1210">
        <v>45786</v>
      </c>
      <c r="I435" t="s">
        <v>3490</v>
      </c>
      <c r="J435" t="s">
        <v>2012</v>
      </c>
      <c r="K435">
        <v>4500010568</v>
      </c>
      <c r="L435" t="s">
        <v>3489</v>
      </c>
      <c r="N435" t="s">
        <v>3491</v>
      </c>
      <c r="O435" t="s">
        <v>2094</v>
      </c>
      <c r="Q435" t="s">
        <v>2231</v>
      </c>
      <c r="S435" t="s">
        <v>2806</v>
      </c>
      <c r="U435" t="s">
        <v>2744</v>
      </c>
      <c r="AD435">
        <v>0</v>
      </c>
    </row>
    <row r="436" spans="1:30" hidden="1">
      <c r="A436">
        <v>220804</v>
      </c>
      <c r="B436">
        <v>1</v>
      </c>
      <c r="C436" t="s">
        <v>2270</v>
      </c>
      <c r="E436" s="103">
        <v>45806</v>
      </c>
      <c r="F436">
        <v>3</v>
      </c>
      <c r="G436" s="1210">
        <v>45786</v>
      </c>
      <c r="I436" t="s">
        <v>3492</v>
      </c>
      <c r="J436" t="s">
        <v>2012</v>
      </c>
      <c r="K436">
        <v>4500010571</v>
      </c>
      <c r="L436" t="s">
        <v>2270</v>
      </c>
      <c r="N436" t="s">
        <v>3491</v>
      </c>
      <c r="O436" t="s">
        <v>2094</v>
      </c>
      <c r="P436" s="103">
        <v>45802</v>
      </c>
      <c r="Q436" t="s">
        <v>2231</v>
      </c>
      <c r="S436" t="s">
        <v>2806</v>
      </c>
      <c r="U436" t="s">
        <v>2744</v>
      </c>
      <c r="AB436" t="s">
        <v>3493</v>
      </c>
      <c r="AD436">
        <v>0</v>
      </c>
    </row>
    <row r="437" spans="1:30" hidden="1">
      <c r="A437">
        <v>216515</v>
      </c>
      <c r="B437">
        <v>2</v>
      </c>
      <c r="C437" t="s">
        <v>3420</v>
      </c>
      <c r="E437" s="103">
        <v>45810</v>
      </c>
      <c r="F437">
        <v>1</v>
      </c>
      <c r="G437" s="1210">
        <v>45720</v>
      </c>
      <c r="I437" t="s">
        <v>311</v>
      </c>
      <c r="J437" t="s">
        <v>2082</v>
      </c>
      <c r="K437">
        <v>4500010069</v>
      </c>
      <c r="L437" t="s">
        <v>3494</v>
      </c>
      <c r="N437" t="s">
        <v>3495</v>
      </c>
      <c r="O437" t="s">
        <v>2094</v>
      </c>
      <c r="Q437" t="s">
        <v>2231</v>
      </c>
      <c r="S437" t="s">
        <v>2806</v>
      </c>
      <c r="U437" t="s">
        <v>2744</v>
      </c>
      <c r="V437" t="s">
        <v>2815</v>
      </c>
      <c r="Y437" t="s">
        <v>2088</v>
      </c>
      <c r="AD437">
        <v>2</v>
      </c>
    </row>
    <row r="438" spans="1:30" hidden="1">
      <c r="A438">
        <v>216515</v>
      </c>
      <c r="B438">
        <v>2</v>
      </c>
      <c r="C438" t="s">
        <v>3420</v>
      </c>
      <c r="E438" s="103">
        <v>45810</v>
      </c>
      <c r="F438">
        <v>1</v>
      </c>
      <c r="G438" s="1210">
        <v>45720</v>
      </c>
      <c r="I438" t="s">
        <v>311</v>
      </c>
      <c r="J438" t="s">
        <v>2082</v>
      </c>
      <c r="K438">
        <v>4500010069</v>
      </c>
      <c r="L438" t="s">
        <v>3494</v>
      </c>
      <c r="N438" t="s">
        <v>3495</v>
      </c>
      <c r="O438" t="s">
        <v>2094</v>
      </c>
      <c r="Q438" t="s">
        <v>2231</v>
      </c>
      <c r="S438" t="s">
        <v>3245</v>
      </c>
      <c r="U438" t="s">
        <v>2744</v>
      </c>
      <c r="V438" t="s">
        <v>2815</v>
      </c>
      <c r="Y438" t="s">
        <v>2088</v>
      </c>
      <c r="AD438">
        <v>4</v>
      </c>
    </row>
    <row r="439" spans="1:30" hidden="1">
      <c r="A439">
        <v>216515</v>
      </c>
      <c r="B439">
        <v>2</v>
      </c>
      <c r="C439" t="s">
        <v>3420</v>
      </c>
      <c r="E439" s="103">
        <v>45810</v>
      </c>
      <c r="F439">
        <v>1</v>
      </c>
      <c r="G439" s="1210">
        <v>45720</v>
      </c>
      <c r="I439" t="s">
        <v>311</v>
      </c>
      <c r="J439" t="s">
        <v>2082</v>
      </c>
      <c r="K439">
        <v>4500010069</v>
      </c>
      <c r="L439" t="s">
        <v>3494</v>
      </c>
      <c r="N439" t="s">
        <v>3495</v>
      </c>
      <c r="O439" t="s">
        <v>2094</v>
      </c>
      <c r="Q439" t="s">
        <v>2231</v>
      </c>
      <c r="S439" t="s">
        <v>2961</v>
      </c>
      <c r="U439" t="s">
        <v>2744</v>
      </c>
      <c r="V439" t="s">
        <v>2815</v>
      </c>
      <c r="Y439" t="s">
        <v>2088</v>
      </c>
      <c r="AD439">
        <v>6</v>
      </c>
    </row>
    <row r="440" spans="1:30" hidden="1">
      <c r="A440">
        <v>216524</v>
      </c>
      <c r="B440">
        <v>2</v>
      </c>
      <c r="C440" t="s">
        <v>3471</v>
      </c>
      <c r="E440" s="103">
        <v>45810</v>
      </c>
      <c r="F440">
        <v>1</v>
      </c>
      <c r="G440" s="1210">
        <v>45720</v>
      </c>
      <c r="I440" t="s">
        <v>451</v>
      </c>
      <c r="J440" t="s">
        <v>2082</v>
      </c>
      <c r="K440">
        <v>4500010071</v>
      </c>
      <c r="L440" t="s">
        <v>3473</v>
      </c>
      <c r="N440" t="s">
        <v>3495</v>
      </c>
      <c r="O440" t="s">
        <v>2094</v>
      </c>
      <c r="Q440" t="s">
        <v>2231</v>
      </c>
      <c r="S440" t="s">
        <v>2806</v>
      </c>
      <c r="U440" t="s">
        <v>2744</v>
      </c>
      <c r="V440" t="s">
        <v>2815</v>
      </c>
      <c r="Y440" t="s">
        <v>2088</v>
      </c>
      <c r="AD440">
        <v>2</v>
      </c>
    </row>
    <row r="441" spans="1:30" hidden="1">
      <c r="A441">
        <v>216524</v>
      </c>
      <c r="B441">
        <v>2</v>
      </c>
      <c r="C441" t="s">
        <v>3471</v>
      </c>
      <c r="E441" s="103">
        <v>45810</v>
      </c>
      <c r="F441">
        <v>1</v>
      </c>
      <c r="G441" s="1210">
        <v>45720</v>
      </c>
      <c r="I441" t="s">
        <v>451</v>
      </c>
      <c r="J441" t="s">
        <v>2082</v>
      </c>
      <c r="K441">
        <v>4500010071</v>
      </c>
      <c r="L441" t="s">
        <v>3473</v>
      </c>
      <c r="N441" t="s">
        <v>3495</v>
      </c>
      <c r="O441" t="s">
        <v>2094</v>
      </c>
      <c r="Q441" t="s">
        <v>2231</v>
      </c>
      <c r="S441" t="s">
        <v>3245</v>
      </c>
      <c r="U441" t="s">
        <v>2744</v>
      </c>
      <c r="V441" t="s">
        <v>2815</v>
      </c>
      <c r="Y441" t="s">
        <v>2088</v>
      </c>
      <c r="AD441">
        <v>4</v>
      </c>
    </row>
    <row r="442" spans="1:30" hidden="1">
      <c r="A442">
        <v>216524</v>
      </c>
      <c r="B442">
        <v>2</v>
      </c>
      <c r="C442" t="s">
        <v>3471</v>
      </c>
      <c r="E442" s="103">
        <v>45810</v>
      </c>
      <c r="F442">
        <v>1</v>
      </c>
      <c r="G442" s="1210">
        <v>45720</v>
      </c>
      <c r="I442" t="s">
        <v>451</v>
      </c>
      <c r="J442" t="s">
        <v>2082</v>
      </c>
      <c r="K442">
        <v>4500010071</v>
      </c>
      <c r="L442" t="s">
        <v>3473</v>
      </c>
      <c r="N442" t="s">
        <v>3495</v>
      </c>
      <c r="O442" t="s">
        <v>2094</v>
      </c>
      <c r="Q442" t="s">
        <v>2231</v>
      </c>
      <c r="S442" t="s">
        <v>2961</v>
      </c>
      <c r="U442" t="s">
        <v>2744</v>
      </c>
      <c r="V442" t="s">
        <v>2815</v>
      </c>
      <c r="Y442" t="s">
        <v>2088</v>
      </c>
      <c r="AD442">
        <v>6</v>
      </c>
    </row>
    <row r="443" spans="1:30" hidden="1">
      <c r="A443">
        <v>220802</v>
      </c>
      <c r="B443">
        <v>1</v>
      </c>
      <c r="C443" t="s">
        <v>3489</v>
      </c>
      <c r="E443" s="103">
        <v>45810</v>
      </c>
      <c r="F443">
        <v>3</v>
      </c>
      <c r="G443" s="1210">
        <v>45786</v>
      </c>
      <c r="I443" t="s">
        <v>3490</v>
      </c>
      <c r="J443" t="s">
        <v>2012</v>
      </c>
      <c r="K443">
        <v>4500010568</v>
      </c>
      <c r="L443" t="s">
        <v>3489</v>
      </c>
      <c r="N443" t="s">
        <v>3496</v>
      </c>
      <c r="O443" t="s">
        <v>2094</v>
      </c>
      <c r="Q443" t="s">
        <v>2231</v>
      </c>
      <c r="S443" t="s">
        <v>2806</v>
      </c>
      <c r="U443" t="s">
        <v>2744</v>
      </c>
      <c r="AD443">
        <v>0</v>
      </c>
    </row>
    <row r="444" spans="1:30" hidden="1">
      <c r="A444">
        <v>220804</v>
      </c>
      <c r="B444">
        <v>1</v>
      </c>
      <c r="C444" t="s">
        <v>2270</v>
      </c>
      <c r="E444" s="103">
        <v>45810</v>
      </c>
      <c r="F444">
        <v>3</v>
      </c>
      <c r="G444" s="1210">
        <v>45786</v>
      </c>
      <c r="I444" t="s">
        <v>3492</v>
      </c>
      <c r="J444" t="s">
        <v>2012</v>
      </c>
      <c r="K444">
        <v>4500010571</v>
      </c>
      <c r="L444" t="s">
        <v>2270</v>
      </c>
      <c r="N444" t="s">
        <v>3496</v>
      </c>
      <c r="O444" t="s">
        <v>2094</v>
      </c>
      <c r="Q444" t="s">
        <v>2231</v>
      </c>
      <c r="S444" t="s">
        <v>2806</v>
      </c>
      <c r="U444" t="s">
        <v>2744</v>
      </c>
      <c r="AB444" t="s">
        <v>3493</v>
      </c>
      <c r="AD444">
        <v>0</v>
      </c>
    </row>
    <row r="445" spans="1:30">
      <c r="A445">
        <v>212476</v>
      </c>
      <c r="B445">
        <v>90</v>
      </c>
      <c r="C445" t="s">
        <v>3359</v>
      </c>
      <c r="E445" s="103">
        <v>45817</v>
      </c>
      <c r="F445">
        <v>1</v>
      </c>
      <c r="G445" s="1210">
        <v>45715</v>
      </c>
      <c r="I445" t="s">
        <v>198</v>
      </c>
      <c r="J445" t="s">
        <v>2012</v>
      </c>
      <c r="K445">
        <v>4500009820</v>
      </c>
      <c r="L445" t="s">
        <v>3497</v>
      </c>
      <c r="M445" t="s">
        <v>3430</v>
      </c>
      <c r="N445" t="s">
        <v>3498</v>
      </c>
      <c r="O445" t="s">
        <v>2026</v>
      </c>
      <c r="P445" s="103">
        <v>45799</v>
      </c>
      <c r="Q445" t="s">
        <v>2231</v>
      </c>
      <c r="R445" s="103">
        <v>45804</v>
      </c>
      <c r="S445" t="s">
        <v>2281</v>
      </c>
      <c r="T445" t="s">
        <v>3499</v>
      </c>
      <c r="U445" t="s">
        <v>2744</v>
      </c>
      <c r="Y445" t="s">
        <v>2088</v>
      </c>
      <c r="Z445" t="s">
        <v>3500</v>
      </c>
      <c r="AA445" t="s">
        <v>3487</v>
      </c>
      <c r="AB445" t="s">
        <v>3501</v>
      </c>
      <c r="AC445" t="s">
        <v>3502</v>
      </c>
      <c r="AD445">
        <v>286</v>
      </c>
    </row>
    <row r="446" spans="1:30" hidden="1">
      <c r="A446">
        <v>199024</v>
      </c>
      <c r="B446">
        <v>300</v>
      </c>
      <c r="C446" t="s">
        <v>3107</v>
      </c>
      <c r="E446" s="103">
        <v>45817</v>
      </c>
      <c r="F446">
        <v>1</v>
      </c>
      <c r="G446" s="1210">
        <v>45761</v>
      </c>
      <c r="I446" t="s">
        <v>338</v>
      </c>
      <c r="J446" t="s">
        <v>2012</v>
      </c>
      <c r="K446">
        <v>4500010416</v>
      </c>
      <c r="L446" t="s">
        <v>3415</v>
      </c>
      <c r="M446" t="s">
        <v>3486</v>
      </c>
      <c r="N446" t="s">
        <v>3498</v>
      </c>
      <c r="O446" t="s">
        <v>2026</v>
      </c>
      <c r="P446" s="103">
        <v>45799</v>
      </c>
      <c r="Q446" t="s">
        <v>2231</v>
      </c>
      <c r="R446" s="103">
        <v>45804</v>
      </c>
      <c r="S446" t="s">
        <v>2281</v>
      </c>
      <c r="T446" t="s">
        <v>3499</v>
      </c>
      <c r="U446" t="s">
        <v>2744</v>
      </c>
      <c r="Z446" t="s">
        <v>3500</v>
      </c>
      <c r="AA446" t="s">
        <v>3487</v>
      </c>
      <c r="AB446" t="s">
        <v>3501</v>
      </c>
      <c r="AC446" t="s">
        <v>3502</v>
      </c>
      <c r="AD446">
        <v>7480</v>
      </c>
    </row>
    <row r="447" spans="1:30" hidden="1">
      <c r="A447">
        <v>199024</v>
      </c>
      <c r="B447">
        <v>500</v>
      </c>
      <c r="C447" t="s">
        <v>3107</v>
      </c>
      <c r="E447" s="103">
        <v>45817</v>
      </c>
      <c r="F447">
        <v>1</v>
      </c>
      <c r="G447" s="1210">
        <v>45761</v>
      </c>
      <c r="I447" t="s">
        <v>338</v>
      </c>
      <c r="J447" t="s">
        <v>2012</v>
      </c>
      <c r="K447">
        <v>4500010411</v>
      </c>
      <c r="L447" t="s">
        <v>3434</v>
      </c>
      <c r="M447" t="s">
        <v>3486</v>
      </c>
      <c r="N447" t="s">
        <v>3498</v>
      </c>
      <c r="O447" t="s">
        <v>2026</v>
      </c>
      <c r="P447" s="103">
        <v>45799</v>
      </c>
      <c r="Q447" t="s">
        <v>2231</v>
      </c>
      <c r="R447" s="103">
        <v>45804</v>
      </c>
      <c r="S447" t="s">
        <v>2281</v>
      </c>
      <c r="T447" t="s">
        <v>3499</v>
      </c>
      <c r="U447" t="s">
        <v>2744</v>
      </c>
      <c r="Z447" t="s">
        <v>3500</v>
      </c>
      <c r="AA447" t="s">
        <v>3487</v>
      </c>
      <c r="AB447" t="s">
        <v>3501</v>
      </c>
      <c r="AC447" t="s">
        <v>3502</v>
      </c>
      <c r="AD447">
        <v>7980</v>
      </c>
    </row>
    <row r="448" spans="1:30" hidden="1">
      <c r="A448">
        <v>212292</v>
      </c>
      <c r="B448">
        <v>200</v>
      </c>
      <c r="C448" t="s">
        <v>3017</v>
      </c>
      <c r="E448" s="103">
        <v>45819</v>
      </c>
      <c r="F448">
        <v>1</v>
      </c>
      <c r="G448" s="1210">
        <v>45671</v>
      </c>
      <c r="I448" t="s">
        <v>693</v>
      </c>
      <c r="J448" t="s">
        <v>2082</v>
      </c>
      <c r="K448">
        <v>4500009383</v>
      </c>
      <c r="L448" t="s">
        <v>3503</v>
      </c>
      <c r="M448" t="s">
        <v>3504</v>
      </c>
      <c r="N448" t="s">
        <v>3496</v>
      </c>
      <c r="O448" t="s">
        <v>2026</v>
      </c>
      <c r="P448" s="103">
        <v>45811</v>
      </c>
      <c r="Q448" t="s">
        <v>2231</v>
      </c>
      <c r="R448" s="103">
        <v>45816</v>
      </c>
      <c r="S448" t="s">
        <v>2281</v>
      </c>
      <c r="U448" t="s">
        <v>2744</v>
      </c>
      <c r="W448" t="s">
        <v>3505</v>
      </c>
      <c r="X448" t="s">
        <v>3308</v>
      </c>
      <c r="Y448" t="s">
        <v>2088</v>
      </c>
      <c r="Z448" t="s">
        <v>3506</v>
      </c>
      <c r="AB448" t="s">
        <v>3507</v>
      </c>
      <c r="AC448" t="s">
        <v>3508</v>
      </c>
      <c r="AD448">
        <v>800</v>
      </c>
    </row>
    <row r="449" spans="1:30" hidden="1">
      <c r="A449">
        <v>212292</v>
      </c>
      <c r="B449">
        <v>200</v>
      </c>
      <c r="C449" t="s">
        <v>3017</v>
      </c>
      <c r="E449" s="103">
        <v>45819</v>
      </c>
      <c r="F449">
        <v>1</v>
      </c>
      <c r="G449" s="1210">
        <v>45671</v>
      </c>
      <c r="I449" t="s">
        <v>693</v>
      </c>
      <c r="J449" t="s">
        <v>2082</v>
      </c>
      <c r="K449">
        <v>4500009384</v>
      </c>
      <c r="L449" t="s">
        <v>3503</v>
      </c>
      <c r="M449" t="s">
        <v>3504</v>
      </c>
      <c r="N449" t="s">
        <v>3496</v>
      </c>
      <c r="O449" t="s">
        <v>2026</v>
      </c>
      <c r="P449" s="103">
        <v>45811</v>
      </c>
      <c r="Q449" t="s">
        <v>2231</v>
      </c>
      <c r="R449" s="103">
        <v>45816</v>
      </c>
      <c r="S449" t="s">
        <v>2281</v>
      </c>
      <c r="U449" t="s">
        <v>2744</v>
      </c>
      <c r="X449" t="s">
        <v>3308</v>
      </c>
      <c r="Y449" t="s">
        <v>2088</v>
      </c>
      <c r="Z449" t="s">
        <v>3506</v>
      </c>
      <c r="AB449" t="s">
        <v>3507</v>
      </c>
      <c r="AC449" t="s">
        <v>3508</v>
      </c>
      <c r="AD449">
        <v>1000</v>
      </c>
    </row>
    <row r="450" spans="1:30" hidden="1">
      <c r="A450">
        <v>212292</v>
      </c>
      <c r="B450">
        <v>200</v>
      </c>
      <c r="C450" t="s">
        <v>3017</v>
      </c>
      <c r="E450" s="103">
        <v>45819</v>
      </c>
      <c r="F450">
        <v>1</v>
      </c>
      <c r="G450" s="1210">
        <v>45671</v>
      </c>
      <c r="I450" t="s">
        <v>693</v>
      </c>
      <c r="J450" t="s">
        <v>2082</v>
      </c>
      <c r="K450">
        <v>4500009385</v>
      </c>
      <c r="L450" t="s">
        <v>3503</v>
      </c>
      <c r="M450" t="s">
        <v>3504</v>
      </c>
      <c r="N450" t="s">
        <v>3496</v>
      </c>
      <c r="O450" t="s">
        <v>2026</v>
      </c>
      <c r="P450" s="103">
        <v>45811</v>
      </c>
      <c r="Q450" t="s">
        <v>2231</v>
      </c>
      <c r="R450" s="103">
        <v>45816</v>
      </c>
      <c r="S450" t="s">
        <v>2281</v>
      </c>
      <c r="U450" t="s">
        <v>2744</v>
      </c>
      <c r="X450" t="s">
        <v>3308</v>
      </c>
      <c r="Y450" t="s">
        <v>2088</v>
      </c>
      <c r="Z450" t="s">
        <v>3506</v>
      </c>
      <c r="AB450" t="s">
        <v>3507</v>
      </c>
      <c r="AC450" t="s">
        <v>3508</v>
      </c>
      <c r="AD450">
        <v>1200</v>
      </c>
    </row>
    <row r="451" spans="1:30" hidden="1">
      <c r="A451">
        <v>216515</v>
      </c>
      <c r="B451">
        <v>700</v>
      </c>
      <c r="C451" t="s">
        <v>3420</v>
      </c>
      <c r="E451" s="103">
        <v>45819</v>
      </c>
      <c r="F451">
        <v>1</v>
      </c>
      <c r="G451" s="1210">
        <v>45720</v>
      </c>
      <c r="I451" t="s">
        <v>311</v>
      </c>
      <c r="J451" t="s">
        <v>2082</v>
      </c>
      <c r="K451">
        <v>4500010067</v>
      </c>
      <c r="L451" t="s">
        <v>3509</v>
      </c>
      <c r="M451" t="s">
        <v>3510</v>
      </c>
      <c r="N451" t="s">
        <v>3496</v>
      </c>
      <c r="O451" t="s">
        <v>2026</v>
      </c>
      <c r="P451" s="103">
        <v>45811</v>
      </c>
      <c r="Q451" t="s">
        <v>2231</v>
      </c>
      <c r="R451" s="103">
        <v>45816</v>
      </c>
      <c r="S451" t="s">
        <v>2281</v>
      </c>
      <c r="U451" t="s">
        <v>2744</v>
      </c>
      <c r="V451" t="s">
        <v>2933</v>
      </c>
      <c r="W451" t="s">
        <v>3511</v>
      </c>
      <c r="Y451" t="s">
        <v>2088</v>
      </c>
      <c r="Z451" t="s">
        <v>3506</v>
      </c>
      <c r="AB451" t="s">
        <v>3507</v>
      </c>
      <c r="AC451" t="s">
        <v>3508</v>
      </c>
      <c r="AD451">
        <v>706</v>
      </c>
    </row>
    <row r="452" spans="1:30" hidden="1">
      <c r="A452">
        <v>216524</v>
      </c>
      <c r="B452">
        <v>270</v>
      </c>
      <c r="C452" t="s">
        <v>3471</v>
      </c>
      <c r="E452" s="103">
        <v>45819</v>
      </c>
      <c r="F452">
        <v>1</v>
      </c>
      <c r="G452" s="1210">
        <v>45720</v>
      </c>
      <c r="I452" t="s">
        <v>451</v>
      </c>
      <c r="J452" t="s">
        <v>2082</v>
      </c>
      <c r="K452">
        <v>4500010066</v>
      </c>
      <c r="L452" t="s">
        <v>3512</v>
      </c>
      <c r="M452" t="s">
        <v>3504</v>
      </c>
      <c r="N452" t="s">
        <v>3496</v>
      </c>
      <c r="O452" t="s">
        <v>2026</v>
      </c>
      <c r="P452" s="103">
        <v>45811</v>
      </c>
      <c r="Q452" t="s">
        <v>2231</v>
      </c>
      <c r="R452" s="103">
        <v>45816</v>
      </c>
      <c r="S452" t="s">
        <v>2281</v>
      </c>
      <c r="U452" t="s">
        <v>2744</v>
      </c>
      <c r="V452" t="s">
        <v>2933</v>
      </c>
      <c r="W452" t="s">
        <v>3445</v>
      </c>
      <c r="Y452" t="s">
        <v>2088</v>
      </c>
      <c r="Z452" t="s">
        <v>3506</v>
      </c>
      <c r="AB452" t="s">
        <v>3507</v>
      </c>
      <c r="AC452" t="s">
        <v>3508</v>
      </c>
      <c r="AD452">
        <v>276</v>
      </c>
    </row>
    <row r="453" spans="1:30" hidden="1">
      <c r="A453">
        <v>212469</v>
      </c>
      <c r="B453">
        <v>30</v>
      </c>
      <c r="C453" t="s">
        <v>3377</v>
      </c>
      <c r="E453" s="103">
        <v>45819</v>
      </c>
      <c r="F453">
        <v>1</v>
      </c>
      <c r="G453" s="1210">
        <v>45733</v>
      </c>
      <c r="I453" t="s">
        <v>247</v>
      </c>
      <c r="J453" t="s">
        <v>2082</v>
      </c>
      <c r="K453">
        <v>4500010190</v>
      </c>
      <c r="L453" t="s">
        <v>3431</v>
      </c>
      <c r="M453" t="s">
        <v>3513</v>
      </c>
      <c r="N453" t="s">
        <v>3496</v>
      </c>
      <c r="O453" t="s">
        <v>2026</v>
      </c>
      <c r="P453" s="103">
        <v>45811</v>
      </c>
      <c r="Q453" t="s">
        <v>2231</v>
      </c>
      <c r="R453" s="103">
        <v>45816</v>
      </c>
      <c r="S453" t="s">
        <v>2281</v>
      </c>
      <c r="U453" t="s">
        <v>2744</v>
      </c>
      <c r="W453" t="s">
        <v>3514</v>
      </c>
      <c r="Y453" t="s">
        <v>2088</v>
      </c>
      <c r="Z453" t="s">
        <v>3506</v>
      </c>
      <c r="AB453" t="s">
        <v>3507</v>
      </c>
      <c r="AC453" t="s">
        <v>3508</v>
      </c>
      <c r="AD453">
        <v>506</v>
      </c>
    </row>
    <row r="454" spans="1:30" hidden="1">
      <c r="A454">
        <v>216521</v>
      </c>
      <c r="B454">
        <v>180</v>
      </c>
      <c r="C454" t="s">
        <v>2615</v>
      </c>
      <c r="E454" s="103">
        <v>45819</v>
      </c>
      <c r="F454">
        <v>1</v>
      </c>
      <c r="G454" s="1210">
        <v>45733</v>
      </c>
      <c r="I454" t="s">
        <v>446</v>
      </c>
      <c r="J454" t="s">
        <v>2082</v>
      </c>
      <c r="K454">
        <v>4500010199</v>
      </c>
      <c r="L454" t="s">
        <v>3515</v>
      </c>
      <c r="M454" t="s">
        <v>3491</v>
      </c>
      <c r="N454" t="s">
        <v>3496</v>
      </c>
      <c r="O454" t="s">
        <v>2026</v>
      </c>
      <c r="P454" s="103">
        <v>45811</v>
      </c>
      <c r="Q454" t="s">
        <v>2231</v>
      </c>
      <c r="R454" s="103">
        <v>45816</v>
      </c>
      <c r="S454" t="s">
        <v>2281</v>
      </c>
      <c r="U454" t="s">
        <v>2744</v>
      </c>
      <c r="Y454" t="s">
        <v>2088</v>
      </c>
      <c r="Z454" t="s">
        <v>3516</v>
      </c>
      <c r="AB454" t="s">
        <v>3507</v>
      </c>
      <c r="AC454" t="s">
        <v>3508</v>
      </c>
      <c r="AD454">
        <v>436</v>
      </c>
    </row>
    <row r="455" spans="1:30" hidden="1">
      <c r="A455">
        <v>216515</v>
      </c>
      <c r="B455">
        <v>300</v>
      </c>
      <c r="C455" t="s">
        <v>3420</v>
      </c>
      <c r="E455" s="103">
        <v>45827</v>
      </c>
      <c r="F455">
        <v>1</v>
      </c>
      <c r="G455" s="1210">
        <v>45720</v>
      </c>
      <c r="I455" t="s">
        <v>311</v>
      </c>
      <c r="J455" t="s">
        <v>2082</v>
      </c>
      <c r="K455">
        <v>4500010067</v>
      </c>
      <c r="L455" t="s">
        <v>3517</v>
      </c>
      <c r="M455" t="s">
        <v>3504</v>
      </c>
      <c r="N455" t="s">
        <v>3496</v>
      </c>
      <c r="O455" t="s">
        <v>2026</v>
      </c>
      <c r="P455" s="103">
        <v>45811</v>
      </c>
      <c r="Q455" t="s">
        <v>2231</v>
      </c>
      <c r="R455" s="103">
        <v>45815</v>
      </c>
      <c r="S455" t="s">
        <v>2281</v>
      </c>
      <c r="T455" t="s">
        <v>3518</v>
      </c>
      <c r="U455" t="s">
        <v>2744</v>
      </c>
      <c r="W455" t="s">
        <v>3511</v>
      </c>
      <c r="Y455" t="s">
        <v>2088</v>
      </c>
      <c r="Z455" t="s">
        <v>3500</v>
      </c>
      <c r="AB455" t="s">
        <v>3507</v>
      </c>
      <c r="AC455" t="s">
        <v>3508</v>
      </c>
      <c r="AD455">
        <v>1006</v>
      </c>
    </row>
    <row r="456" spans="1:30" hidden="1">
      <c r="A456">
        <v>216524</v>
      </c>
      <c r="B456">
        <v>250</v>
      </c>
      <c r="C456" t="s">
        <v>3471</v>
      </c>
      <c r="E456" s="103">
        <v>45827</v>
      </c>
      <c r="F456">
        <v>1</v>
      </c>
      <c r="G456" s="1210">
        <v>45733</v>
      </c>
      <c r="I456" t="s">
        <v>451</v>
      </c>
      <c r="J456" t="s">
        <v>2082</v>
      </c>
      <c r="K456">
        <v>4500010200</v>
      </c>
      <c r="L456" t="s">
        <v>3519</v>
      </c>
      <c r="M456" t="s">
        <v>3504</v>
      </c>
      <c r="N456" t="s">
        <v>3496</v>
      </c>
      <c r="O456" t="s">
        <v>2026</v>
      </c>
      <c r="P456" s="103">
        <v>45811</v>
      </c>
      <c r="Q456" t="s">
        <v>2231</v>
      </c>
      <c r="R456" s="103">
        <v>45815</v>
      </c>
      <c r="S456" t="s">
        <v>2281</v>
      </c>
      <c r="T456" t="s">
        <v>3518</v>
      </c>
      <c r="U456" t="s">
        <v>2744</v>
      </c>
      <c r="Y456" t="s">
        <v>2088</v>
      </c>
      <c r="Z456" t="s">
        <v>3500</v>
      </c>
      <c r="AB456" t="s">
        <v>3507</v>
      </c>
      <c r="AC456" t="s">
        <v>3508</v>
      </c>
      <c r="AD456">
        <v>526</v>
      </c>
    </row>
    <row r="457" spans="1:30" hidden="1">
      <c r="A457">
        <v>218712</v>
      </c>
      <c r="B457">
        <v>1</v>
      </c>
      <c r="C457" t="s">
        <v>3520</v>
      </c>
      <c r="E457" s="103">
        <v>45827</v>
      </c>
      <c r="F457">
        <v>3</v>
      </c>
      <c r="G457" s="1210">
        <v>45786</v>
      </c>
      <c r="I457" t="s">
        <v>3521</v>
      </c>
      <c r="J457" t="s">
        <v>2751</v>
      </c>
      <c r="K457">
        <v>4500010565</v>
      </c>
      <c r="L457" t="s">
        <v>3520</v>
      </c>
      <c r="N457" t="s">
        <v>3522</v>
      </c>
      <c r="O457" t="s">
        <v>2094</v>
      </c>
      <c r="Q457" t="s">
        <v>2231</v>
      </c>
      <c r="S457" t="s">
        <v>2806</v>
      </c>
      <c r="U457" t="s">
        <v>2744</v>
      </c>
      <c r="AD457">
        <v>0</v>
      </c>
    </row>
    <row r="458" spans="1:30" hidden="1">
      <c r="A458">
        <v>214074</v>
      </c>
      <c r="B458">
        <v>1</v>
      </c>
      <c r="C458" t="s">
        <v>3523</v>
      </c>
      <c r="E458" s="103">
        <v>45831</v>
      </c>
      <c r="F458">
        <v>3</v>
      </c>
      <c r="G458" s="1210">
        <v>45807</v>
      </c>
      <c r="I458" t="s">
        <v>3524</v>
      </c>
      <c r="J458" t="s">
        <v>2012</v>
      </c>
      <c r="K458">
        <v>4500010693</v>
      </c>
      <c r="L458" t="s">
        <v>3523</v>
      </c>
      <c r="N458" t="s">
        <v>3525</v>
      </c>
      <c r="O458" t="s">
        <v>2094</v>
      </c>
      <c r="Q458" t="s">
        <v>2231</v>
      </c>
      <c r="S458" t="s">
        <v>2806</v>
      </c>
      <c r="T458" t="s">
        <v>3526</v>
      </c>
      <c r="U458" t="s">
        <v>2744</v>
      </c>
      <c r="AD458">
        <v>0</v>
      </c>
    </row>
    <row r="459" spans="1:30" hidden="1">
      <c r="A459">
        <v>199023</v>
      </c>
      <c r="B459">
        <v>800</v>
      </c>
      <c r="C459" t="s">
        <v>3527</v>
      </c>
      <c r="D459" t="s">
        <v>3528</v>
      </c>
      <c r="E459" s="103">
        <v>45833</v>
      </c>
      <c r="F459">
        <v>1</v>
      </c>
      <c r="G459" s="1210">
        <v>45720</v>
      </c>
      <c r="I459" t="s">
        <v>465</v>
      </c>
      <c r="J459" t="s">
        <v>2012</v>
      </c>
      <c r="K459">
        <v>4500010065</v>
      </c>
      <c r="L459" t="s">
        <v>3529</v>
      </c>
      <c r="M459" t="s">
        <v>3530</v>
      </c>
      <c r="N459" t="s">
        <v>3531</v>
      </c>
      <c r="O459" t="s">
        <v>2026</v>
      </c>
      <c r="P459" s="103">
        <v>45825</v>
      </c>
      <c r="Q459" t="s">
        <v>2231</v>
      </c>
      <c r="R459" s="103">
        <v>45829</v>
      </c>
      <c r="S459" t="s">
        <v>2281</v>
      </c>
      <c r="U459" t="s">
        <v>2744</v>
      </c>
      <c r="W459" t="s">
        <v>3532</v>
      </c>
      <c r="Y459" t="s">
        <v>2088</v>
      </c>
      <c r="AA459" t="s">
        <v>3533</v>
      </c>
      <c r="AB459" t="s">
        <v>3534</v>
      </c>
      <c r="AC459" t="s">
        <v>3535</v>
      </c>
      <c r="AD459">
        <v>3830</v>
      </c>
    </row>
    <row r="460" spans="1:30" hidden="1">
      <c r="A460">
        <v>216518</v>
      </c>
      <c r="B460">
        <v>100</v>
      </c>
      <c r="C460" t="s">
        <v>3443</v>
      </c>
      <c r="E460" s="103">
        <v>45833</v>
      </c>
      <c r="F460">
        <v>1</v>
      </c>
      <c r="G460" s="1210">
        <v>45747</v>
      </c>
      <c r="I460" t="s">
        <v>411</v>
      </c>
      <c r="J460" t="s">
        <v>2082</v>
      </c>
      <c r="K460">
        <v>4500010315</v>
      </c>
      <c r="L460" t="s">
        <v>3536</v>
      </c>
      <c r="M460" t="s">
        <v>3531</v>
      </c>
      <c r="N460" t="s">
        <v>3535</v>
      </c>
      <c r="O460" t="s">
        <v>2026</v>
      </c>
      <c r="P460" s="103">
        <v>45825</v>
      </c>
      <c r="Q460" t="s">
        <v>2231</v>
      </c>
      <c r="R460" s="103">
        <v>45829</v>
      </c>
      <c r="S460" t="s">
        <v>2281</v>
      </c>
      <c r="U460" t="s">
        <v>2744</v>
      </c>
      <c r="Y460" t="s">
        <v>2088</v>
      </c>
      <c r="AB460" t="s">
        <v>3537</v>
      </c>
      <c r="AC460" t="s">
        <v>3538</v>
      </c>
      <c r="AD460">
        <v>226</v>
      </c>
    </row>
    <row r="461" spans="1:30" hidden="1">
      <c r="A461">
        <v>199024</v>
      </c>
      <c r="B461">
        <v>100</v>
      </c>
      <c r="C461" t="s">
        <v>3107</v>
      </c>
      <c r="E461" s="103">
        <v>45833</v>
      </c>
      <c r="F461">
        <v>1</v>
      </c>
      <c r="G461" s="1210">
        <v>45761</v>
      </c>
      <c r="I461" t="s">
        <v>338</v>
      </c>
      <c r="J461" t="s">
        <v>2012</v>
      </c>
      <c r="K461">
        <v>4500010411</v>
      </c>
      <c r="L461" t="s">
        <v>3539</v>
      </c>
      <c r="M461" t="s">
        <v>3540</v>
      </c>
      <c r="N461" t="s">
        <v>3531</v>
      </c>
      <c r="O461" t="s">
        <v>2026</v>
      </c>
      <c r="P461" s="103">
        <v>45825</v>
      </c>
      <c r="Q461" t="s">
        <v>2231</v>
      </c>
      <c r="R461" s="103">
        <v>45829</v>
      </c>
      <c r="S461" t="s">
        <v>2281</v>
      </c>
      <c r="U461" t="s">
        <v>2744</v>
      </c>
      <c r="Z461" t="s">
        <v>3541</v>
      </c>
      <c r="AA461" t="s">
        <v>3533</v>
      </c>
      <c r="AB461" t="s">
        <v>3534</v>
      </c>
      <c r="AC461" t="s">
        <v>3535</v>
      </c>
      <c r="AD461">
        <v>8080</v>
      </c>
    </row>
    <row r="462" spans="1:30" hidden="1">
      <c r="A462">
        <v>199024</v>
      </c>
      <c r="B462">
        <v>500</v>
      </c>
      <c r="C462" t="s">
        <v>3107</v>
      </c>
      <c r="E462" s="103">
        <v>45833</v>
      </c>
      <c r="F462">
        <v>1</v>
      </c>
      <c r="G462" s="1210">
        <v>45763</v>
      </c>
      <c r="I462" t="s">
        <v>338</v>
      </c>
      <c r="J462" t="s">
        <v>2012</v>
      </c>
      <c r="K462">
        <v>4500010500</v>
      </c>
      <c r="L462" t="s">
        <v>3434</v>
      </c>
      <c r="M462" t="s">
        <v>3540</v>
      </c>
      <c r="N462" t="s">
        <v>3531</v>
      </c>
      <c r="O462" t="s">
        <v>2026</v>
      </c>
      <c r="P462" s="103">
        <v>45825</v>
      </c>
      <c r="Q462" t="s">
        <v>2231</v>
      </c>
      <c r="R462" s="103">
        <v>45829</v>
      </c>
      <c r="S462" t="s">
        <v>2281</v>
      </c>
      <c r="U462" t="s">
        <v>2744</v>
      </c>
      <c r="Z462" t="s">
        <v>3541</v>
      </c>
      <c r="AA462" t="s">
        <v>3533</v>
      </c>
      <c r="AB462" t="s">
        <v>3534</v>
      </c>
      <c r="AC462" t="s">
        <v>3535</v>
      </c>
      <c r="AD462">
        <v>8580</v>
      </c>
    </row>
    <row r="463" spans="1:30" hidden="1">
      <c r="A463">
        <v>218712</v>
      </c>
      <c r="B463">
        <v>1</v>
      </c>
      <c r="C463" t="s">
        <v>3520</v>
      </c>
      <c r="E463" s="103">
        <v>45835</v>
      </c>
      <c r="F463">
        <v>3</v>
      </c>
      <c r="G463" s="1210">
        <v>45786</v>
      </c>
      <c r="I463" t="s">
        <v>3521</v>
      </c>
      <c r="J463" t="s">
        <v>2751</v>
      </c>
      <c r="K463">
        <v>4500010565</v>
      </c>
      <c r="L463" t="s">
        <v>3520</v>
      </c>
      <c r="N463" t="s">
        <v>3542</v>
      </c>
      <c r="O463" t="s">
        <v>2094</v>
      </c>
      <c r="P463" s="103">
        <v>45833</v>
      </c>
      <c r="Q463" t="s">
        <v>2231</v>
      </c>
      <c r="R463" s="103">
        <v>45837</v>
      </c>
      <c r="S463" t="s">
        <v>2806</v>
      </c>
      <c r="U463" t="s">
        <v>2744</v>
      </c>
      <c r="W463" t="s">
        <v>3543</v>
      </c>
      <c r="AD463">
        <v>0</v>
      </c>
    </row>
    <row r="464" spans="1:30" hidden="1">
      <c r="A464">
        <v>220801</v>
      </c>
      <c r="B464">
        <v>2</v>
      </c>
      <c r="C464" t="s">
        <v>3489</v>
      </c>
      <c r="E464" s="103">
        <v>45838</v>
      </c>
      <c r="F464">
        <v>1</v>
      </c>
      <c r="G464" s="1210">
        <v>45786</v>
      </c>
      <c r="I464" t="s">
        <v>211</v>
      </c>
      <c r="J464" t="s">
        <v>2012</v>
      </c>
      <c r="K464">
        <v>4500010567</v>
      </c>
      <c r="L464" t="s">
        <v>3544</v>
      </c>
      <c r="N464" t="s">
        <v>3545</v>
      </c>
      <c r="O464" t="s">
        <v>2094</v>
      </c>
      <c r="Q464" t="s">
        <v>2231</v>
      </c>
      <c r="S464" t="s">
        <v>2806</v>
      </c>
      <c r="T464" t="s">
        <v>3546</v>
      </c>
      <c r="U464" t="s">
        <v>2744</v>
      </c>
      <c r="V464" t="s">
        <v>2815</v>
      </c>
      <c r="AD464">
        <v>2</v>
      </c>
    </row>
    <row r="465" spans="1:30" hidden="1">
      <c r="A465">
        <v>220801</v>
      </c>
      <c r="B465">
        <v>2</v>
      </c>
      <c r="C465" t="s">
        <v>3489</v>
      </c>
      <c r="E465" s="103">
        <v>45838</v>
      </c>
      <c r="F465">
        <v>1</v>
      </c>
      <c r="G465" s="1210">
        <v>45786</v>
      </c>
      <c r="I465" t="s">
        <v>211</v>
      </c>
      <c r="J465" t="s">
        <v>2012</v>
      </c>
      <c r="K465">
        <v>4500010567</v>
      </c>
      <c r="L465" t="s">
        <v>3544</v>
      </c>
      <c r="N465" t="s">
        <v>3545</v>
      </c>
      <c r="O465" t="s">
        <v>2094</v>
      </c>
      <c r="Q465" t="s">
        <v>2231</v>
      </c>
      <c r="S465" t="s">
        <v>3245</v>
      </c>
      <c r="T465" t="s">
        <v>3547</v>
      </c>
      <c r="U465" t="s">
        <v>2744</v>
      </c>
      <c r="V465" t="s">
        <v>2815</v>
      </c>
      <c r="AD465">
        <v>4</v>
      </c>
    </row>
    <row r="466" spans="1:30" hidden="1">
      <c r="A466">
        <v>220801</v>
      </c>
      <c r="B466">
        <v>2</v>
      </c>
      <c r="C466" t="s">
        <v>3489</v>
      </c>
      <c r="E466" s="103">
        <v>45838</v>
      </c>
      <c r="F466">
        <v>1</v>
      </c>
      <c r="G466" s="1210">
        <v>45786</v>
      </c>
      <c r="I466" t="s">
        <v>211</v>
      </c>
      <c r="J466" t="s">
        <v>2012</v>
      </c>
      <c r="K466">
        <v>4500010567</v>
      </c>
      <c r="L466" t="s">
        <v>3544</v>
      </c>
      <c r="N466" t="s">
        <v>3545</v>
      </c>
      <c r="O466" t="s">
        <v>2094</v>
      </c>
      <c r="Q466" t="s">
        <v>2231</v>
      </c>
      <c r="S466" t="s">
        <v>2961</v>
      </c>
      <c r="U466" t="s">
        <v>2744</v>
      </c>
      <c r="V466" t="s">
        <v>2815</v>
      </c>
      <c r="AD466">
        <v>6</v>
      </c>
    </row>
    <row r="467" spans="1:30" hidden="1">
      <c r="A467">
        <v>214074</v>
      </c>
      <c r="B467">
        <v>1</v>
      </c>
      <c r="C467" t="s">
        <v>3523</v>
      </c>
      <c r="E467" s="103">
        <v>45838</v>
      </c>
      <c r="F467">
        <v>3</v>
      </c>
      <c r="G467" s="1210">
        <v>45807</v>
      </c>
      <c r="I467" t="s">
        <v>3524</v>
      </c>
      <c r="J467" t="s">
        <v>2012</v>
      </c>
      <c r="K467">
        <v>4500010693</v>
      </c>
      <c r="L467" t="s">
        <v>3523</v>
      </c>
      <c r="N467" t="s">
        <v>3548</v>
      </c>
      <c r="O467" t="s">
        <v>2094</v>
      </c>
      <c r="P467" s="103">
        <v>45835</v>
      </c>
      <c r="Q467" t="s">
        <v>2231</v>
      </c>
      <c r="S467" t="s">
        <v>2806</v>
      </c>
      <c r="T467" t="s">
        <v>3549</v>
      </c>
      <c r="U467" t="s">
        <v>2744</v>
      </c>
      <c r="AD467">
        <v>0</v>
      </c>
    </row>
    <row r="468" spans="1:30" hidden="1">
      <c r="A468">
        <v>212347</v>
      </c>
      <c r="B468">
        <v>40</v>
      </c>
      <c r="C468" t="s">
        <v>3259</v>
      </c>
      <c r="E468" s="103">
        <v>45842</v>
      </c>
      <c r="F468">
        <v>1</v>
      </c>
      <c r="G468" s="1210">
        <v>45715</v>
      </c>
      <c r="I468" t="s">
        <v>152</v>
      </c>
      <c r="J468" t="s">
        <v>2082</v>
      </c>
      <c r="K468">
        <v>4500009819</v>
      </c>
      <c r="L468" t="s">
        <v>3402</v>
      </c>
      <c r="M468" t="s">
        <v>3550</v>
      </c>
      <c r="N468" t="s">
        <v>3551</v>
      </c>
      <c r="O468" t="s">
        <v>2026</v>
      </c>
      <c r="P468" s="103">
        <v>45824</v>
      </c>
      <c r="Q468" t="s">
        <v>2231</v>
      </c>
      <c r="R468" s="103">
        <v>45829</v>
      </c>
      <c r="S468" t="s">
        <v>2281</v>
      </c>
      <c r="T468" t="s">
        <v>3552</v>
      </c>
      <c r="U468" t="s">
        <v>2744</v>
      </c>
      <c r="X468" t="s">
        <v>3337</v>
      </c>
      <c r="Y468" t="s">
        <v>2088</v>
      </c>
      <c r="Z468" t="s">
        <v>3553</v>
      </c>
      <c r="AB468" t="s">
        <v>3554</v>
      </c>
      <c r="AC468" t="s">
        <v>3555</v>
      </c>
      <c r="AD468">
        <v>306</v>
      </c>
    </row>
    <row r="469" spans="1:30" hidden="1">
      <c r="A469">
        <v>217464</v>
      </c>
      <c r="B469">
        <v>1000</v>
      </c>
      <c r="C469" t="s">
        <v>2997</v>
      </c>
      <c r="E469" s="103">
        <v>45842</v>
      </c>
      <c r="F469">
        <v>1</v>
      </c>
      <c r="G469" s="1210">
        <v>45747</v>
      </c>
      <c r="I469" t="s">
        <v>741</v>
      </c>
      <c r="J469" t="s">
        <v>2082</v>
      </c>
      <c r="K469">
        <v>4500010259</v>
      </c>
      <c r="L469" t="s">
        <v>3556</v>
      </c>
      <c r="M469" t="s">
        <v>3550</v>
      </c>
      <c r="N469" t="s">
        <v>3551</v>
      </c>
      <c r="O469" t="s">
        <v>2026</v>
      </c>
      <c r="P469" s="103">
        <v>45824</v>
      </c>
      <c r="Q469" t="s">
        <v>2231</v>
      </c>
      <c r="R469" s="103">
        <v>45829</v>
      </c>
      <c r="S469" t="s">
        <v>2281</v>
      </c>
      <c r="T469" t="s">
        <v>3552</v>
      </c>
      <c r="U469" t="s">
        <v>2744</v>
      </c>
      <c r="Y469" t="s">
        <v>2088</v>
      </c>
      <c r="Z469" t="s">
        <v>3553</v>
      </c>
      <c r="AB469" t="s">
        <v>3554</v>
      </c>
      <c r="AC469" t="s">
        <v>3555</v>
      </c>
      <c r="AD469">
        <v>1100</v>
      </c>
    </row>
    <row r="470" spans="1:30" hidden="1">
      <c r="A470">
        <v>201900</v>
      </c>
      <c r="B470">
        <v>480</v>
      </c>
      <c r="C470" t="s">
        <v>3557</v>
      </c>
      <c r="E470" s="103">
        <v>45842</v>
      </c>
      <c r="F470">
        <v>1</v>
      </c>
      <c r="G470" s="1210">
        <v>45772</v>
      </c>
      <c r="I470" t="s">
        <v>327</v>
      </c>
      <c r="J470" t="s">
        <v>2012</v>
      </c>
      <c r="K470">
        <v>4500010544</v>
      </c>
      <c r="L470" t="s">
        <v>3558</v>
      </c>
      <c r="M470" t="s">
        <v>3538</v>
      </c>
      <c r="N470" t="s">
        <v>3525</v>
      </c>
      <c r="O470" t="s">
        <v>2026</v>
      </c>
      <c r="P470" s="103">
        <v>45833</v>
      </c>
      <c r="Q470" t="s">
        <v>2231</v>
      </c>
      <c r="R470" s="103">
        <v>45835</v>
      </c>
      <c r="S470" t="s">
        <v>2281</v>
      </c>
      <c r="U470" t="s">
        <v>2744</v>
      </c>
      <c r="Z470" t="s">
        <v>3559</v>
      </c>
      <c r="AB470" t="s">
        <v>3560</v>
      </c>
      <c r="AC470" t="s">
        <v>3561</v>
      </c>
      <c r="AD470">
        <v>4518</v>
      </c>
    </row>
    <row r="471" spans="1:30">
      <c r="A471">
        <v>212476</v>
      </c>
      <c r="B471">
        <v>120</v>
      </c>
      <c r="C471" t="s">
        <v>3359</v>
      </c>
      <c r="E471" s="103">
        <v>45842</v>
      </c>
      <c r="F471">
        <v>1</v>
      </c>
      <c r="G471" s="1210">
        <v>45772</v>
      </c>
      <c r="I471" t="s">
        <v>198</v>
      </c>
      <c r="J471" t="s">
        <v>2012</v>
      </c>
      <c r="K471">
        <v>4500010545</v>
      </c>
      <c r="L471" t="s">
        <v>3459</v>
      </c>
      <c r="M471" t="s">
        <v>3522</v>
      </c>
      <c r="N471" t="s">
        <v>3525</v>
      </c>
      <c r="O471" t="s">
        <v>2026</v>
      </c>
      <c r="P471" s="103">
        <v>45833</v>
      </c>
      <c r="Q471" t="s">
        <v>2231</v>
      </c>
      <c r="R471" s="103">
        <v>45835</v>
      </c>
      <c r="S471" t="s">
        <v>2281</v>
      </c>
      <c r="U471" t="s">
        <v>2744</v>
      </c>
      <c r="Z471" t="s">
        <v>3562</v>
      </c>
      <c r="AB471" t="s">
        <v>3560</v>
      </c>
      <c r="AC471" t="s">
        <v>3561</v>
      </c>
      <c r="AD471">
        <v>406</v>
      </c>
    </row>
    <row r="472" spans="1:30" hidden="1">
      <c r="A472">
        <v>220801</v>
      </c>
      <c r="B472">
        <v>240</v>
      </c>
      <c r="C472" t="s">
        <v>3489</v>
      </c>
      <c r="E472" s="103">
        <v>45847</v>
      </c>
      <c r="F472">
        <v>1</v>
      </c>
      <c r="G472" s="1210">
        <v>45786</v>
      </c>
      <c r="I472" t="s">
        <v>211</v>
      </c>
      <c r="J472" t="s">
        <v>2012</v>
      </c>
      <c r="K472">
        <v>4500010566</v>
      </c>
      <c r="L472" t="s">
        <v>3563</v>
      </c>
      <c r="M472" t="s">
        <v>3545</v>
      </c>
      <c r="N472" t="s">
        <v>3548</v>
      </c>
      <c r="O472" t="s">
        <v>2026</v>
      </c>
      <c r="P472" s="103">
        <v>45841</v>
      </c>
      <c r="Q472" t="s">
        <v>2231</v>
      </c>
      <c r="R472" s="103">
        <v>45845</v>
      </c>
      <c r="S472" t="s">
        <v>2281</v>
      </c>
      <c r="U472" t="s">
        <v>2744</v>
      </c>
      <c r="V472" t="s">
        <v>2933</v>
      </c>
      <c r="Z472" t="s">
        <v>3027</v>
      </c>
      <c r="AB472" t="s">
        <v>3564</v>
      </c>
      <c r="AC472" t="s">
        <v>3565</v>
      </c>
      <c r="AD472">
        <v>246</v>
      </c>
    </row>
    <row r="473" spans="1:30" hidden="1">
      <c r="A473">
        <v>199024</v>
      </c>
      <c r="B473">
        <v>300</v>
      </c>
      <c r="C473" t="s">
        <v>3566</v>
      </c>
      <c r="E473" s="103">
        <v>45847</v>
      </c>
      <c r="F473">
        <v>1</v>
      </c>
      <c r="G473" s="1210">
        <v>45793</v>
      </c>
      <c r="I473" t="s">
        <v>338</v>
      </c>
      <c r="J473" t="s">
        <v>2012</v>
      </c>
      <c r="K473">
        <v>4500010625</v>
      </c>
      <c r="L473" t="s">
        <v>3567</v>
      </c>
      <c r="M473" t="s">
        <v>3545</v>
      </c>
      <c r="N473" t="s">
        <v>3548</v>
      </c>
      <c r="O473" t="s">
        <v>2026</v>
      </c>
      <c r="P473" s="103">
        <v>45841</v>
      </c>
      <c r="Q473" t="s">
        <v>2231</v>
      </c>
      <c r="R473" s="103">
        <v>45845</v>
      </c>
      <c r="S473" t="s">
        <v>2281</v>
      </c>
      <c r="U473" t="s">
        <v>2744</v>
      </c>
      <c r="Z473" t="s">
        <v>3027</v>
      </c>
      <c r="AB473" t="s">
        <v>3564</v>
      </c>
      <c r="AC473" t="s">
        <v>3565</v>
      </c>
      <c r="AD473">
        <v>8880</v>
      </c>
    </row>
    <row r="474" spans="1:30" hidden="1">
      <c r="A474">
        <v>199024</v>
      </c>
      <c r="B474">
        <v>720</v>
      </c>
      <c r="C474" t="s">
        <v>3566</v>
      </c>
      <c r="E474" s="103">
        <v>45847</v>
      </c>
      <c r="F474">
        <v>1</v>
      </c>
      <c r="G474" s="1210">
        <v>45793</v>
      </c>
      <c r="I474" t="s">
        <v>338</v>
      </c>
      <c r="J474" t="s">
        <v>2012</v>
      </c>
      <c r="K474">
        <v>4500010625</v>
      </c>
      <c r="L474" t="s">
        <v>3568</v>
      </c>
      <c r="M474" t="s">
        <v>3545</v>
      </c>
      <c r="N474" t="s">
        <v>3548</v>
      </c>
      <c r="O474" t="s">
        <v>2026</v>
      </c>
      <c r="P474" s="103">
        <v>45841</v>
      </c>
      <c r="Q474" t="s">
        <v>2231</v>
      </c>
      <c r="R474" s="103">
        <v>45845</v>
      </c>
      <c r="S474" t="s">
        <v>2281</v>
      </c>
      <c r="U474" t="s">
        <v>2744</v>
      </c>
      <c r="Z474" t="s">
        <v>3569</v>
      </c>
      <c r="AB474" t="s">
        <v>3564</v>
      </c>
      <c r="AC474" t="s">
        <v>3565</v>
      </c>
      <c r="AD474">
        <v>9600</v>
      </c>
    </row>
    <row r="475" spans="1:30" hidden="1">
      <c r="A475">
        <v>220803</v>
      </c>
      <c r="B475">
        <v>2</v>
      </c>
      <c r="C475" t="s">
        <v>3570</v>
      </c>
      <c r="E475" s="103">
        <v>45852</v>
      </c>
      <c r="F475">
        <v>1</v>
      </c>
      <c r="G475" s="1210">
        <v>45786</v>
      </c>
      <c r="I475" t="s">
        <v>217</v>
      </c>
      <c r="J475" t="s">
        <v>2012</v>
      </c>
      <c r="K475">
        <v>4500010570</v>
      </c>
      <c r="L475" t="s">
        <v>3571</v>
      </c>
      <c r="N475" t="s">
        <v>3572</v>
      </c>
      <c r="O475" t="s">
        <v>2094</v>
      </c>
      <c r="P475" s="103">
        <v>45848</v>
      </c>
      <c r="Q475" t="s">
        <v>2231</v>
      </c>
      <c r="S475" t="s">
        <v>2806</v>
      </c>
      <c r="U475" t="s">
        <v>2744</v>
      </c>
      <c r="V475" t="s">
        <v>2815</v>
      </c>
      <c r="W475" t="s">
        <v>3573</v>
      </c>
      <c r="Z475" t="s">
        <v>3574</v>
      </c>
      <c r="AD475">
        <v>2</v>
      </c>
    </row>
    <row r="476" spans="1:30" hidden="1">
      <c r="A476">
        <v>220803</v>
      </c>
      <c r="B476">
        <v>2</v>
      </c>
      <c r="C476" t="s">
        <v>3570</v>
      </c>
      <c r="E476" s="103">
        <v>45852</v>
      </c>
      <c r="F476">
        <v>1</v>
      </c>
      <c r="G476" s="1210">
        <v>45786</v>
      </c>
      <c r="I476" t="s">
        <v>217</v>
      </c>
      <c r="J476" t="s">
        <v>2012</v>
      </c>
      <c r="K476">
        <v>4500010570</v>
      </c>
      <c r="L476" t="s">
        <v>3571</v>
      </c>
      <c r="N476" t="s">
        <v>3572</v>
      </c>
      <c r="O476" t="s">
        <v>2094</v>
      </c>
      <c r="P476" s="103">
        <v>45848</v>
      </c>
      <c r="Q476" t="s">
        <v>2231</v>
      </c>
      <c r="S476" t="s">
        <v>3245</v>
      </c>
      <c r="U476" t="s">
        <v>2744</v>
      </c>
      <c r="V476" t="s">
        <v>2815</v>
      </c>
      <c r="W476" t="s">
        <v>3573</v>
      </c>
      <c r="Z476" t="s">
        <v>3575</v>
      </c>
      <c r="AD476">
        <v>4</v>
      </c>
    </row>
    <row r="477" spans="1:30" hidden="1">
      <c r="A477">
        <v>220803</v>
      </c>
      <c r="B477">
        <v>2</v>
      </c>
      <c r="C477" t="s">
        <v>3570</v>
      </c>
      <c r="E477" s="103">
        <v>45852</v>
      </c>
      <c r="F477">
        <v>1</v>
      </c>
      <c r="G477" s="1210">
        <v>45786</v>
      </c>
      <c r="I477" t="s">
        <v>217</v>
      </c>
      <c r="J477" t="s">
        <v>2012</v>
      </c>
      <c r="K477">
        <v>4500010570</v>
      </c>
      <c r="L477" t="s">
        <v>3571</v>
      </c>
      <c r="N477" t="s">
        <v>3572</v>
      </c>
      <c r="O477" t="s">
        <v>2094</v>
      </c>
      <c r="P477" s="103">
        <v>45848</v>
      </c>
      <c r="Q477" t="s">
        <v>2231</v>
      </c>
      <c r="S477" t="s">
        <v>2961</v>
      </c>
      <c r="U477" t="s">
        <v>2744</v>
      </c>
      <c r="V477" t="s">
        <v>2815</v>
      </c>
      <c r="W477" t="s">
        <v>3573</v>
      </c>
      <c r="Z477" t="s">
        <v>3576</v>
      </c>
      <c r="AD477">
        <v>6</v>
      </c>
    </row>
    <row r="478" spans="1:30" hidden="1">
      <c r="A478">
        <v>212347</v>
      </c>
      <c r="B478">
        <v>50</v>
      </c>
      <c r="C478" t="s">
        <v>3259</v>
      </c>
      <c r="E478" s="103">
        <v>45856</v>
      </c>
      <c r="F478">
        <v>1</v>
      </c>
      <c r="G478" s="1210">
        <v>45747</v>
      </c>
      <c r="I478" t="s">
        <v>152</v>
      </c>
      <c r="J478" t="s">
        <v>2082</v>
      </c>
      <c r="K478">
        <v>4500010314</v>
      </c>
      <c r="L478" t="s">
        <v>3400</v>
      </c>
      <c r="M478" t="s">
        <v>3531</v>
      </c>
      <c r="N478" t="s">
        <v>3548</v>
      </c>
      <c r="O478" t="s">
        <v>2026</v>
      </c>
      <c r="P478" s="103">
        <v>45842</v>
      </c>
      <c r="Q478" t="s">
        <v>2231</v>
      </c>
      <c r="R478" s="103">
        <v>45845</v>
      </c>
      <c r="S478" t="s">
        <v>2281</v>
      </c>
      <c r="T478" t="s">
        <v>3577</v>
      </c>
      <c r="U478" t="s">
        <v>2744</v>
      </c>
      <c r="Y478" t="s">
        <v>2088</v>
      </c>
      <c r="Z478" t="s">
        <v>3578</v>
      </c>
      <c r="AB478" t="s">
        <v>3579</v>
      </c>
      <c r="AC478" t="s">
        <v>3580</v>
      </c>
      <c r="AD478">
        <v>356</v>
      </c>
    </row>
    <row r="479" spans="1:30" hidden="1">
      <c r="A479">
        <v>216521</v>
      </c>
      <c r="B479">
        <v>100</v>
      </c>
      <c r="C479" t="s">
        <v>2615</v>
      </c>
      <c r="E479" s="103">
        <v>45856</v>
      </c>
      <c r="F479">
        <v>1</v>
      </c>
      <c r="G479" s="1210">
        <v>45747</v>
      </c>
      <c r="I479" t="s">
        <v>446</v>
      </c>
      <c r="J479" t="s">
        <v>2082</v>
      </c>
      <c r="K479">
        <v>4500010316</v>
      </c>
      <c r="L479" t="s">
        <v>3581</v>
      </c>
      <c r="M479" t="s">
        <v>3542</v>
      </c>
      <c r="N479" t="s">
        <v>3548</v>
      </c>
      <c r="O479" t="s">
        <v>2026</v>
      </c>
      <c r="P479" s="103">
        <v>45842</v>
      </c>
      <c r="Q479" t="s">
        <v>2231</v>
      </c>
      <c r="R479" s="103">
        <v>45845</v>
      </c>
      <c r="S479" t="s">
        <v>2281</v>
      </c>
      <c r="T479" t="s">
        <v>3577</v>
      </c>
      <c r="U479" t="s">
        <v>2744</v>
      </c>
      <c r="Y479" t="s">
        <v>2088</v>
      </c>
      <c r="Z479" t="s">
        <v>3578</v>
      </c>
      <c r="AB479" t="s">
        <v>3579</v>
      </c>
      <c r="AC479" t="s">
        <v>3580</v>
      </c>
      <c r="AD479">
        <v>536</v>
      </c>
    </row>
    <row r="480" spans="1:30" hidden="1">
      <c r="A480">
        <v>216515</v>
      </c>
      <c r="B480">
        <v>450</v>
      </c>
      <c r="C480" t="s">
        <v>3420</v>
      </c>
      <c r="E480" s="103">
        <v>45856</v>
      </c>
      <c r="F480">
        <v>1</v>
      </c>
      <c r="G480" s="1210">
        <v>45761</v>
      </c>
      <c r="I480" t="s">
        <v>311</v>
      </c>
      <c r="J480" t="s">
        <v>2082</v>
      </c>
      <c r="K480">
        <v>4500010412</v>
      </c>
      <c r="L480" t="s">
        <v>3582</v>
      </c>
      <c r="M480" t="s">
        <v>3545</v>
      </c>
      <c r="N480" t="s">
        <v>3548</v>
      </c>
      <c r="O480" t="s">
        <v>2026</v>
      </c>
      <c r="P480" s="103">
        <v>45842</v>
      </c>
      <c r="Q480" t="s">
        <v>2231</v>
      </c>
      <c r="R480" s="103">
        <v>45845</v>
      </c>
      <c r="S480" t="s">
        <v>2281</v>
      </c>
      <c r="T480" t="s">
        <v>3577</v>
      </c>
      <c r="U480" t="s">
        <v>2744</v>
      </c>
      <c r="Y480" t="s">
        <v>2088</v>
      </c>
      <c r="Z480" t="s">
        <v>3578</v>
      </c>
      <c r="AB480" t="s">
        <v>3579</v>
      </c>
      <c r="AC480" t="s">
        <v>3580</v>
      </c>
      <c r="AD480">
        <v>1456</v>
      </c>
    </row>
    <row r="481" spans="1:30" hidden="1">
      <c r="A481">
        <v>216518</v>
      </c>
      <c r="B481">
        <v>100</v>
      </c>
      <c r="C481" t="s">
        <v>3443</v>
      </c>
      <c r="E481" s="103">
        <v>45856</v>
      </c>
      <c r="F481">
        <v>1</v>
      </c>
      <c r="G481" s="1210">
        <v>45765</v>
      </c>
      <c r="I481" t="s">
        <v>411</v>
      </c>
      <c r="J481" t="s">
        <v>2082</v>
      </c>
      <c r="K481">
        <v>4500010451</v>
      </c>
      <c r="L481" t="s">
        <v>3536</v>
      </c>
      <c r="M481" t="s">
        <v>3531</v>
      </c>
      <c r="N481" t="s">
        <v>3548</v>
      </c>
      <c r="O481" t="s">
        <v>2026</v>
      </c>
      <c r="P481" s="103">
        <v>45842</v>
      </c>
      <c r="Q481" t="s">
        <v>2231</v>
      </c>
      <c r="R481" s="103">
        <v>45845</v>
      </c>
      <c r="S481" t="s">
        <v>2281</v>
      </c>
      <c r="T481" t="s">
        <v>3577</v>
      </c>
      <c r="U481" t="s">
        <v>2744</v>
      </c>
      <c r="Z481" t="s">
        <v>3578</v>
      </c>
      <c r="AB481" t="s">
        <v>3579</v>
      </c>
      <c r="AC481" t="s">
        <v>3580</v>
      </c>
      <c r="AD481">
        <v>326</v>
      </c>
    </row>
    <row r="482" spans="1:30" hidden="1">
      <c r="A482">
        <v>216524</v>
      </c>
      <c r="B482">
        <v>150</v>
      </c>
      <c r="C482" t="s">
        <v>3471</v>
      </c>
      <c r="E482" s="103">
        <v>45856</v>
      </c>
      <c r="F482">
        <v>1</v>
      </c>
      <c r="G482" s="1210">
        <v>45765</v>
      </c>
      <c r="I482" t="s">
        <v>451</v>
      </c>
      <c r="J482" t="s">
        <v>2082</v>
      </c>
      <c r="K482">
        <v>4500010452</v>
      </c>
      <c r="L482" t="s">
        <v>3583</v>
      </c>
      <c r="M482" t="s">
        <v>3542</v>
      </c>
      <c r="N482" t="s">
        <v>3548</v>
      </c>
      <c r="O482" t="s">
        <v>2026</v>
      </c>
      <c r="P482" s="103">
        <v>45842</v>
      </c>
      <c r="Q482" t="s">
        <v>2231</v>
      </c>
      <c r="R482" s="103">
        <v>45845</v>
      </c>
      <c r="S482" t="s">
        <v>2281</v>
      </c>
      <c r="T482" t="s">
        <v>3577</v>
      </c>
      <c r="U482" t="s">
        <v>2744</v>
      </c>
      <c r="Z482" t="s">
        <v>3578</v>
      </c>
      <c r="AB482" t="s">
        <v>3579</v>
      </c>
      <c r="AC482" t="s">
        <v>3580</v>
      </c>
      <c r="AD482">
        <v>676</v>
      </c>
    </row>
    <row r="483" spans="1:30" hidden="1">
      <c r="A483">
        <v>218585</v>
      </c>
      <c r="B483">
        <v>2</v>
      </c>
      <c r="C483" t="s">
        <v>3584</v>
      </c>
      <c r="E483" s="103">
        <v>45856</v>
      </c>
      <c r="F483">
        <v>1</v>
      </c>
      <c r="G483" s="1210">
        <v>45772</v>
      </c>
      <c r="I483" t="s">
        <v>850</v>
      </c>
      <c r="J483" t="s">
        <v>1833</v>
      </c>
      <c r="K483">
        <v>4500010497</v>
      </c>
      <c r="L483" t="s">
        <v>3585</v>
      </c>
      <c r="N483" t="s">
        <v>3586</v>
      </c>
      <c r="O483" t="s">
        <v>2094</v>
      </c>
      <c r="Q483" t="s">
        <v>2231</v>
      </c>
      <c r="S483" t="s">
        <v>2806</v>
      </c>
      <c r="U483" t="s">
        <v>2744</v>
      </c>
      <c r="V483" t="s">
        <v>2815</v>
      </c>
      <c r="Z483" t="s">
        <v>3587</v>
      </c>
      <c r="AD483">
        <v>2</v>
      </c>
    </row>
    <row r="484" spans="1:30" hidden="1">
      <c r="A484">
        <v>218585</v>
      </c>
      <c r="B484">
        <v>2</v>
      </c>
      <c r="C484" t="s">
        <v>3584</v>
      </c>
      <c r="E484" s="103">
        <v>45856</v>
      </c>
      <c r="F484">
        <v>1</v>
      </c>
      <c r="G484" s="1210">
        <v>45772</v>
      </c>
      <c r="I484" t="s">
        <v>850</v>
      </c>
      <c r="J484" t="s">
        <v>1833</v>
      </c>
      <c r="K484">
        <v>4500010497</v>
      </c>
      <c r="L484" t="s">
        <v>3585</v>
      </c>
      <c r="N484" t="s">
        <v>3586</v>
      </c>
      <c r="O484" t="s">
        <v>2094</v>
      </c>
      <c r="Q484" t="s">
        <v>2231</v>
      </c>
      <c r="S484" t="s">
        <v>3245</v>
      </c>
      <c r="U484" t="s">
        <v>2744</v>
      </c>
      <c r="V484" t="s">
        <v>2815</v>
      </c>
      <c r="Z484" t="s">
        <v>3588</v>
      </c>
      <c r="AD484">
        <v>4</v>
      </c>
    </row>
    <row r="485" spans="1:30" hidden="1">
      <c r="A485">
        <v>218585</v>
      </c>
      <c r="B485">
        <v>2</v>
      </c>
      <c r="C485" t="s">
        <v>3584</v>
      </c>
      <c r="E485" s="103">
        <v>45856</v>
      </c>
      <c r="F485">
        <v>1</v>
      </c>
      <c r="G485" s="1210">
        <v>45772</v>
      </c>
      <c r="I485" t="s">
        <v>850</v>
      </c>
      <c r="J485" t="s">
        <v>1833</v>
      </c>
      <c r="K485">
        <v>4500010497</v>
      </c>
      <c r="L485" t="s">
        <v>3585</v>
      </c>
      <c r="N485" t="s">
        <v>3586</v>
      </c>
      <c r="O485" t="s">
        <v>2094</v>
      </c>
      <c r="Q485" t="s">
        <v>2231</v>
      </c>
      <c r="S485" t="s">
        <v>2961</v>
      </c>
      <c r="U485" t="s">
        <v>2744</v>
      </c>
      <c r="V485" t="s">
        <v>2815</v>
      </c>
      <c r="Z485" t="s">
        <v>3589</v>
      </c>
      <c r="AD485">
        <v>6</v>
      </c>
    </row>
    <row r="486" spans="1:30" hidden="1">
      <c r="A486">
        <v>218586</v>
      </c>
      <c r="B486">
        <v>2</v>
      </c>
      <c r="C486" t="s">
        <v>3281</v>
      </c>
      <c r="E486" s="103">
        <v>45856</v>
      </c>
      <c r="F486">
        <v>1</v>
      </c>
      <c r="G486" s="1210">
        <v>45772</v>
      </c>
      <c r="I486" t="s">
        <v>857</v>
      </c>
      <c r="J486" t="s">
        <v>1833</v>
      </c>
      <c r="K486">
        <v>4500010498</v>
      </c>
      <c r="L486" t="s">
        <v>3590</v>
      </c>
      <c r="N486" t="s">
        <v>3586</v>
      </c>
      <c r="O486" t="s">
        <v>2094</v>
      </c>
      <c r="Q486" t="s">
        <v>2231</v>
      </c>
      <c r="S486" t="s">
        <v>2806</v>
      </c>
      <c r="U486" t="s">
        <v>2744</v>
      </c>
      <c r="V486" t="s">
        <v>2815</v>
      </c>
      <c r="Z486" t="s">
        <v>3587</v>
      </c>
      <c r="AD486">
        <v>2</v>
      </c>
    </row>
    <row r="487" spans="1:30" hidden="1">
      <c r="A487">
        <v>218586</v>
      </c>
      <c r="B487">
        <v>2</v>
      </c>
      <c r="C487" t="s">
        <v>3281</v>
      </c>
      <c r="E487" s="103">
        <v>45856</v>
      </c>
      <c r="F487">
        <v>1</v>
      </c>
      <c r="G487" s="1210">
        <v>45772</v>
      </c>
      <c r="I487" t="s">
        <v>857</v>
      </c>
      <c r="J487" t="s">
        <v>1833</v>
      </c>
      <c r="K487">
        <v>4500010498</v>
      </c>
      <c r="L487" t="s">
        <v>3590</v>
      </c>
      <c r="N487" t="s">
        <v>3586</v>
      </c>
      <c r="O487" t="s">
        <v>2094</v>
      </c>
      <c r="Q487" t="s">
        <v>2231</v>
      </c>
      <c r="S487" t="s">
        <v>3245</v>
      </c>
      <c r="U487" t="s">
        <v>2744</v>
      </c>
      <c r="V487" t="s">
        <v>2815</v>
      </c>
      <c r="Z487" t="s">
        <v>3588</v>
      </c>
      <c r="AD487">
        <v>4</v>
      </c>
    </row>
    <row r="488" spans="1:30" hidden="1">
      <c r="A488">
        <v>218586</v>
      </c>
      <c r="B488">
        <v>2</v>
      </c>
      <c r="C488" t="s">
        <v>3281</v>
      </c>
      <c r="E488" s="103">
        <v>45856</v>
      </c>
      <c r="F488">
        <v>1</v>
      </c>
      <c r="G488" s="1210">
        <v>45772</v>
      </c>
      <c r="I488" t="s">
        <v>857</v>
      </c>
      <c r="J488" t="s">
        <v>1833</v>
      </c>
      <c r="K488">
        <v>4500010498</v>
      </c>
      <c r="L488" t="s">
        <v>3590</v>
      </c>
      <c r="N488" t="s">
        <v>3586</v>
      </c>
      <c r="O488" t="s">
        <v>2094</v>
      </c>
      <c r="Q488" t="s">
        <v>2231</v>
      </c>
      <c r="S488" t="s">
        <v>2961</v>
      </c>
      <c r="U488" t="s">
        <v>2744</v>
      </c>
      <c r="V488" t="s">
        <v>2815</v>
      </c>
      <c r="Z488" t="s">
        <v>3589</v>
      </c>
      <c r="AD488">
        <v>6</v>
      </c>
    </row>
    <row r="489" spans="1:30" hidden="1">
      <c r="A489">
        <v>210646</v>
      </c>
      <c r="B489">
        <v>1100</v>
      </c>
      <c r="C489" t="s">
        <v>2997</v>
      </c>
      <c r="E489" s="103">
        <v>45856</v>
      </c>
      <c r="F489">
        <v>1</v>
      </c>
      <c r="G489" s="1210">
        <v>45772</v>
      </c>
      <c r="I489" t="s">
        <v>748</v>
      </c>
      <c r="J489" t="s">
        <v>2082</v>
      </c>
      <c r="K489">
        <v>4500010499</v>
      </c>
      <c r="L489" t="s">
        <v>3591</v>
      </c>
      <c r="M489" t="s">
        <v>3592</v>
      </c>
      <c r="N489" t="s">
        <v>3548</v>
      </c>
      <c r="O489" t="s">
        <v>2026</v>
      </c>
      <c r="P489" s="103">
        <v>45842</v>
      </c>
      <c r="Q489" t="s">
        <v>2231</v>
      </c>
      <c r="R489" s="103">
        <v>45845</v>
      </c>
      <c r="S489" t="s">
        <v>2281</v>
      </c>
      <c r="T489" t="s">
        <v>3577</v>
      </c>
      <c r="U489" t="s">
        <v>2744</v>
      </c>
      <c r="Z489" t="s">
        <v>3578</v>
      </c>
      <c r="AB489" t="s">
        <v>3579</v>
      </c>
      <c r="AC489" t="s">
        <v>3580</v>
      </c>
      <c r="AD489">
        <v>6699</v>
      </c>
    </row>
    <row r="490" spans="1:30" hidden="1">
      <c r="A490">
        <v>222579</v>
      </c>
      <c r="B490">
        <v>5</v>
      </c>
      <c r="C490" t="s">
        <v>3046</v>
      </c>
      <c r="E490" s="103">
        <v>45856</v>
      </c>
      <c r="F490">
        <v>3</v>
      </c>
      <c r="G490" s="1210">
        <v>45814</v>
      </c>
      <c r="I490" t="s">
        <v>3593</v>
      </c>
      <c r="J490" t="s">
        <v>1833</v>
      </c>
      <c r="K490">
        <v>4500010754</v>
      </c>
      <c r="L490" t="s">
        <v>2898</v>
      </c>
      <c r="N490" t="s">
        <v>3586</v>
      </c>
      <c r="O490" t="s">
        <v>2094</v>
      </c>
      <c r="P490" s="103">
        <v>45842</v>
      </c>
      <c r="Q490" t="s">
        <v>2231</v>
      </c>
      <c r="R490" s="103">
        <v>45846</v>
      </c>
      <c r="S490" t="s">
        <v>3594</v>
      </c>
      <c r="U490" t="s">
        <v>2744</v>
      </c>
      <c r="Z490" t="s">
        <v>3587</v>
      </c>
      <c r="AD490">
        <v>0</v>
      </c>
    </row>
    <row r="491" spans="1:30" hidden="1">
      <c r="A491">
        <v>214073</v>
      </c>
      <c r="B491">
        <v>2</v>
      </c>
      <c r="C491" t="s">
        <v>3523</v>
      </c>
      <c r="E491" s="103">
        <v>45860</v>
      </c>
      <c r="F491">
        <v>1</v>
      </c>
      <c r="G491" s="1210">
        <v>45807</v>
      </c>
      <c r="I491" t="s">
        <v>259</v>
      </c>
      <c r="J491" t="s">
        <v>2012</v>
      </c>
      <c r="K491">
        <v>4500010692</v>
      </c>
      <c r="L491" t="s">
        <v>3595</v>
      </c>
      <c r="M491" t="s">
        <v>490</v>
      </c>
      <c r="N491" t="s">
        <v>3596</v>
      </c>
      <c r="O491" t="s">
        <v>2094</v>
      </c>
      <c r="Q491" t="s">
        <v>2231</v>
      </c>
      <c r="S491" t="s">
        <v>2806</v>
      </c>
      <c r="U491" t="s">
        <v>2744</v>
      </c>
      <c r="V491" t="s">
        <v>2815</v>
      </c>
      <c r="Z491" t="s">
        <v>3597</v>
      </c>
      <c r="AD491">
        <v>2</v>
      </c>
    </row>
    <row r="492" spans="1:30" hidden="1">
      <c r="A492">
        <v>214073</v>
      </c>
      <c r="B492">
        <v>2</v>
      </c>
      <c r="C492" t="s">
        <v>3523</v>
      </c>
      <c r="E492" s="103">
        <v>45860</v>
      </c>
      <c r="F492">
        <v>1</v>
      </c>
      <c r="G492" s="1210">
        <v>45807</v>
      </c>
      <c r="I492" t="s">
        <v>259</v>
      </c>
      <c r="J492" t="s">
        <v>2012</v>
      </c>
      <c r="K492">
        <v>4500010692</v>
      </c>
      <c r="L492" t="s">
        <v>3595</v>
      </c>
      <c r="M492" t="s">
        <v>490</v>
      </c>
      <c r="N492" t="s">
        <v>3596</v>
      </c>
      <c r="O492" t="s">
        <v>2094</v>
      </c>
      <c r="Q492" t="s">
        <v>2231</v>
      </c>
      <c r="S492" t="s">
        <v>3245</v>
      </c>
      <c r="U492" t="s">
        <v>2744</v>
      </c>
      <c r="V492" t="s">
        <v>2815</v>
      </c>
      <c r="Z492" t="s">
        <v>3598</v>
      </c>
      <c r="AD492">
        <v>4</v>
      </c>
    </row>
    <row r="493" spans="1:30" hidden="1">
      <c r="A493">
        <v>214073</v>
      </c>
      <c r="B493">
        <v>2</v>
      </c>
      <c r="C493" t="s">
        <v>3523</v>
      </c>
      <c r="E493" s="103">
        <v>45860</v>
      </c>
      <c r="F493">
        <v>1</v>
      </c>
      <c r="G493" s="1210">
        <v>45807</v>
      </c>
      <c r="I493" t="s">
        <v>259</v>
      </c>
      <c r="J493" t="s">
        <v>2012</v>
      </c>
      <c r="K493">
        <v>4500010692</v>
      </c>
      <c r="L493" t="s">
        <v>3595</v>
      </c>
      <c r="M493" t="s">
        <v>490</v>
      </c>
      <c r="N493" t="s">
        <v>3596</v>
      </c>
      <c r="O493" t="s">
        <v>2094</v>
      </c>
      <c r="Q493" t="s">
        <v>2231</v>
      </c>
      <c r="S493" t="s">
        <v>2961</v>
      </c>
      <c r="U493" t="s">
        <v>2744</v>
      </c>
      <c r="V493" t="s">
        <v>2815</v>
      </c>
      <c r="Z493" t="s">
        <v>3599</v>
      </c>
      <c r="AD493">
        <v>6</v>
      </c>
    </row>
    <row r="494" spans="1:30" hidden="1">
      <c r="A494">
        <v>201900</v>
      </c>
      <c r="B494">
        <v>180</v>
      </c>
      <c r="C494" t="s">
        <v>3600</v>
      </c>
      <c r="E494" s="103">
        <v>45863</v>
      </c>
      <c r="F494">
        <v>1</v>
      </c>
      <c r="G494" s="1210">
        <v>45793</v>
      </c>
      <c r="I494" t="s">
        <v>327</v>
      </c>
      <c r="J494" t="s">
        <v>2012</v>
      </c>
      <c r="K494">
        <v>4500010624</v>
      </c>
      <c r="L494" t="s">
        <v>3601</v>
      </c>
      <c r="M494" t="s">
        <v>3602</v>
      </c>
      <c r="N494" t="s">
        <v>3572</v>
      </c>
      <c r="O494" t="s">
        <v>2026</v>
      </c>
      <c r="P494" s="103">
        <v>45856</v>
      </c>
      <c r="Q494" t="s">
        <v>2231</v>
      </c>
      <c r="R494" s="103">
        <v>45859</v>
      </c>
      <c r="S494" t="s">
        <v>2281</v>
      </c>
      <c r="T494" t="s">
        <v>3603</v>
      </c>
      <c r="U494" t="s">
        <v>2744</v>
      </c>
      <c r="W494" t="s">
        <v>3573</v>
      </c>
      <c r="Z494" t="s">
        <v>3604</v>
      </c>
      <c r="AB494" t="s">
        <v>3493</v>
      </c>
      <c r="AC494" t="s">
        <v>3605</v>
      </c>
      <c r="AD494">
        <v>4698</v>
      </c>
    </row>
    <row r="495" spans="1:30" hidden="1">
      <c r="A495">
        <v>199024</v>
      </c>
      <c r="B495">
        <v>840</v>
      </c>
      <c r="C495" t="s">
        <v>3606</v>
      </c>
      <c r="E495" s="103">
        <v>45863</v>
      </c>
      <c r="F495">
        <v>1</v>
      </c>
      <c r="G495" s="1210">
        <v>45799</v>
      </c>
      <c r="I495" t="s">
        <v>338</v>
      </c>
      <c r="J495" t="s">
        <v>2012</v>
      </c>
      <c r="K495">
        <v>4500010660</v>
      </c>
      <c r="L495" t="s">
        <v>3607</v>
      </c>
      <c r="M495" t="s">
        <v>3602</v>
      </c>
      <c r="N495" t="s">
        <v>3572</v>
      </c>
      <c r="O495" t="s">
        <v>2026</v>
      </c>
      <c r="P495" s="103">
        <v>45856</v>
      </c>
      <c r="Q495" t="s">
        <v>2231</v>
      </c>
      <c r="R495" s="103">
        <v>45859</v>
      </c>
      <c r="S495" t="s">
        <v>2281</v>
      </c>
      <c r="T495" t="s">
        <v>3603</v>
      </c>
      <c r="U495" t="s">
        <v>2744</v>
      </c>
      <c r="W495" t="s">
        <v>3573</v>
      </c>
      <c r="Z495" t="s">
        <v>3604</v>
      </c>
      <c r="AB495" t="s">
        <v>3493</v>
      </c>
      <c r="AC495" t="s">
        <v>3605</v>
      </c>
      <c r="AD495">
        <v>10440</v>
      </c>
    </row>
    <row r="496" spans="1:30" hidden="1">
      <c r="A496">
        <v>223067</v>
      </c>
      <c r="B496">
        <v>1000</v>
      </c>
      <c r="C496" t="s">
        <v>3608</v>
      </c>
      <c r="E496" s="103">
        <v>45867</v>
      </c>
      <c r="F496">
        <v>1</v>
      </c>
      <c r="G496" s="1210">
        <v>45793</v>
      </c>
      <c r="I496" t="s">
        <v>570</v>
      </c>
      <c r="J496" t="s">
        <v>2074</v>
      </c>
      <c r="K496">
        <v>4500010620</v>
      </c>
      <c r="L496" t="s">
        <v>3609</v>
      </c>
      <c r="M496" t="s">
        <v>3610</v>
      </c>
      <c r="N496" t="s">
        <v>3572</v>
      </c>
      <c r="O496" t="s">
        <v>2026</v>
      </c>
      <c r="P496" s="103">
        <v>45856</v>
      </c>
      <c r="Q496" t="s">
        <v>3611</v>
      </c>
      <c r="R496" s="103">
        <v>45863</v>
      </c>
      <c r="S496" t="s">
        <v>2281</v>
      </c>
      <c r="T496" t="s">
        <v>3027</v>
      </c>
      <c r="U496" t="s">
        <v>2744</v>
      </c>
      <c r="V496" t="s">
        <v>3612</v>
      </c>
      <c r="W496" t="s">
        <v>3613</v>
      </c>
      <c r="Z496" t="s">
        <v>3614</v>
      </c>
      <c r="AB496" t="s">
        <v>3615</v>
      </c>
      <c r="AC496" t="s">
        <v>3596</v>
      </c>
      <c r="AD496">
        <v>2140</v>
      </c>
    </row>
    <row r="497" spans="1:30">
      <c r="A497">
        <v>212476</v>
      </c>
      <c r="B497">
        <v>40</v>
      </c>
      <c r="C497" t="s">
        <v>3391</v>
      </c>
      <c r="E497" s="103">
        <v>45867</v>
      </c>
      <c r="F497">
        <v>1</v>
      </c>
      <c r="G497" s="1210">
        <v>45814</v>
      </c>
      <c r="I497" t="s">
        <v>198</v>
      </c>
      <c r="J497" t="s">
        <v>2012</v>
      </c>
      <c r="K497">
        <v>4500010742</v>
      </c>
      <c r="L497" t="s">
        <v>3616</v>
      </c>
      <c r="M497" t="s">
        <v>3617</v>
      </c>
      <c r="N497" t="s">
        <v>3618</v>
      </c>
      <c r="O497" t="s">
        <v>2946</v>
      </c>
      <c r="Q497" t="s">
        <v>2231</v>
      </c>
      <c r="S497" t="s">
        <v>3619</v>
      </c>
      <c r="U497" t="s">
        <v>2744</v>
      </c>
      <c r="W497" t="s">
        <v>3573</v>
      </c>
      <c r="AD497">
        <v>446</v>
      </c>
    </row>
    <row r="498" spans="1:30" hidden="1">
      <c r="A498">
        <v>220803</v>
      </c>
      <c r="B498">
        <v>300</v>
      </c>
      <c r="C498" t="s">
        <v>3620</v>
      </c>
      <c r="E498" s="103">
        <v>45870</v>
      </c>
      <c r="F498">
        <v>1</v>
      </c>
      <c r="G498" s="1210">
        <v>45786</v>
      </c>
      <c r="I498" t="s">
        <v>217</v>
      </c>
      <c r="J498" t="s">
        <v>2012</v>
      </c>
      <c r="K498">
        <v>4500010569</v>
      </c>
      <c r="L498" t="s">
        <v>3621</v>
      </c>
      <c r="M498" t="s">
        <v>3602</v>
      </c>
      <c r="N498" t="s">
        <v>3572</v>
      </c>
      <c r="O498" t="s">
        <v>2026</v>
      </c>
      <c r="P498" s="103">
        <v>45856</v>
      </c>
      <c r="Q498" t="s">
        <v>2231</v>
      </c>
      <c r="R498" s="103">
        <v>45858</v>
      </c>
      <c r="S498" t="s">
        <v>2281</v>
      </c>
      <c r="T498" t="s">
        <v>3622</v>
      </c>
      <c r="U498" t="s">
        <v>2744</v>
      </c>
      <c r="V498" t="s">
        <v>2933</v>
      </c>
      <c r="W498" t="s">
        <v>3573</v>
      </c>
      <c r="Z498" t="s">
        <v>3623</v>
      </c>
      <c r="AB498" t="s">
        <v>3493</v>
      </c>
      <c r="AC498" t="s">
        <v>3605</v>
      </c>
      <c r="AD498">
        <v>306</v>
      </c>
    </row>
    <row r="499" spans="1:30" hidden="1">
      <c r="A499">
        <v>201900</v>
      </c>
      <c r="B499">
        <v>180</v>
      </c>
      <c r="C499" t="s">
        <v>3600</v>
      </c>
      <c r="E499" s="103">
        <v>45870</v>
      </c>
      <c r="F499">
        <v>1</v>
      </c>
      <c r="G499" s="1210">
        <v>45793</v>
      </c>
      <c r="I499" t="s">
        <v>327</v>
      </c>
      <c r="J499" t="s">
        <v>2012</v>
      </c>
      <c r="K499">
        <v>4500010624</v>
      </c>
      <c r="L499" t="s">
        <v>3601</v>
      </c>
      <c r="M499" t="s">
        <v>3602</v>
      </c>
      <c r="N499" t="s">
        <v>3572</v>
      </c>
      <c r="O499" t="s">
        <v>2026</v>
      </c>
      <c r="P499" s="103">
        <v>45856</v>
      </c>
      <c r="Q499" t="s">
        <v>2231</v>
      </c>
      <c r="R499" s="103">
        <v>45859</v>
      </c>
      <c r="S499" t="s">
        <v>2281</v>
      </c>
      <c r="T499" t="s">
        <v>3603</v>
      </c>
      <c r="U499" t="s">
        <v>2744</v>
      </c>
      <c r="W499" t="s">
        <v>3573</v>
      </c>
      <c r="Z499" t="s">
        <v>3623</v>
      </c>
      <c r="AB499" t="s">
        <v>3493</v>
      </c>
      <c r="AC499" t="s">
        <v>3605</v>
      </c>
      <c r="AD499">
        <v>4878</v>
      </c>
    </row>
    <row r="500" spans="1:30" hidden="1">
      <c r="A500">
        <v>199024</v>
      </c>
      <c r="B500">
        <v>120</v>
      </c>
      <c r="C500" t="s">
        <v>3606</v>
      </c>
      <c r="E500" s="103">
        <v>45870</v>
      </c>
      <c r="F500">
        <v>1</v>
      </c>
      <c r="G500" s="1210">
        <v>45799</v>
      </c>
      <c r="I500" t="s">
        <v>338</v>
      </c>
      <c r="J500" t="s">
        <v>2012</v>
      </c>
      <c r="K500">
        <v>4500010660</v>
      </c>
      <c r="L500" t="s">
        <v>3624</v>
      </c>
      <c r="M500" t="s">
        <v>3602</v>
      </c>
      <c r="N500" t="s">
        <v>3572</v>
      </c>
      <c r="O500" t="s">
        <v>2026</v>
      </c>
      <c r="P500" s="103">
        <v>45856</v>
      </c>
      <c r="Q500" t="s">
        <v>2231</v>
      </c>
      <c r="R500" s="103">
        <v>45859</v>
      </c>
      <c r="S500" t="s">
        <v>2281</v>
      </c>
      <c r="T500" t="s">
        <v>3603</v>
      </c>
      <c r="U500" t="s">
        <v>2744</v>
      </c>
      <c r="W500" t="s">
        <v>3573</v>
      </c>
      <c r="Z500" t="s">
        <v>3623</v>
      </c>
      <c r="AB500" t="s">
        <v>3493</v>
      </c>
      <c r="AC500" t="s">
        <v>3605</v>
      </c>
      <c r="AD500">
        <v>10560</v>
      </c>
    </row>
    <row r="501" spans="1:30" hidden="1">
      <c r="A501">
        <v>222579</v>
      </c>
      <c r="B501">
        <v>5</v>
      </c>
      <c r="C501" t="s">
        <v>3046</v>
      </c>
      <c r="E501" s="103">
        <v>45870</v>
      </c>
      <c r="F501">
        <v>3</v>
      </c>
      <c r="G501" s="1210">
        <v>45814</v>
      </c>
      <c r="I501" t="s">
        <v>3593</v>
      </c>
      <c r="J501" t="s">
        <v>1833</v>
      </c>
      <c r="K501">
        <v>4500010754</v>
      </c>
      <c r="L501" t="s">
        <v>2898</v>
      </c>
      <c r="N501" t="s">
        <v>3625</v>
      </c>
      <c r="O501" t="s">
        <v>2094</v>
      </c>
      <c r="P501" s="103">
        <v>45842</v>
      </c>
      <c r="Q501" t="s">
        <v>2231</v>
      </c>
      <c r="R501" s="103">
        <v>45846</v>
      </c>
      <c r="S501" t="s">
        <v>3626</v>
      </c>
      <c r="T501" t="s">
        <v>3627</v>
      </c>
      <c r="U501" t="s">
        <v>2744</v>
      </c>
      <c r="AD501">
        <v>0</v>
      </c>
    </row>
    <row r="502" spans="1:30" hidden="1">
      <c r="A502">
        <v>218586</v>
      </c>
      <c r="B502">
        <v>30</v>
      </c>
      <c r="C502" t="s">
        <v>3281</v>
      </c>
      <c r="E502" s="103">
        <v>45873</v>
      </c>
      <c r="F502">
        <v>1</v>
      </c>
      <c r="G502" s="1210">
        <v>45772</v>
      </c>
      <c r="I502" t="s">
        <v>857</v>
      </c>
      <c r="J502" t="s">
        <v>1833</v>
      </c>
      <c r="K502">
        <v>4500010496</v>
      </c>
      <c r="L502" t="s">
        <v>3628</v>
      </c>
      <c r="M502" t="s">
        <v>3629</v>
      </c>
      <c r="N502" t="s">
        <v>3625</v>
      </c>
      <c r="O502" t="s">
        <v>2094</v>
      </c>
      <c r="P502" s="103">
        <v>45873</v>
      </c>
      <c r="Q502" t="s">
        <v>2231</v>
      </c>
      <c r="R502" s="103">
        <v>45877</v>
      </c>
      <c r="S502" t="s">
        <v>2281</v>
      </c>
      <c r="T502" t="s">
        <v>3630</v>
      </c>
      <c r="U502" t="s">
        <v>2744</v>
      </c>
      <c r="W502" t="s">
        <v>3631</v>
      </c>
      <c r="Z502" t="s">
        <v>3632</v>
      </c>
      <c r="AD502">
        <v>36</v>
      </c>
    </row>
    <row r="503" spans="1:30" hidden="1">
      <c r="A503">
        <v>199024</v>
      </c>
      <c r="B503">
        <v>480</v>
      </c>
      <c r="C503" t="s">
        <v>3606</v>
      </c>
      <c r="E503" s="103">
        <v>45874</v>
      </c>
      <c r="F503">
        <v>1</v>
      </c>
      <c r="G503" s="1210">
        <v>45814</v>
      </c>
      <c r="I503" t="s">
        <v>338</v>
      </c>
      <c r="J503" t="s">
        <v>2012</v>
      </c>
      <c r="K503">
        <v>4500010744</v>
      </c>
      <c r="L503" t="s">
        <v>3633</v>
      </c>
      <c r="M503" t="s">
        <v>3634</v>
      </c>
      <c r="N503" t="s">
        <v>3596</v>
      </c>
      <c r="O503" t="s">
        <v>2026</v>
      </c>
      <c r="P503" s="103">
        <v>45859</v>
      </c>
      <c r="Q503" t="s">
        <v>2231</v>
      </c>
      <c r="R503" s="103">
        <v>45862</v>
      </c>
      <c r="S503" t="s">
        <v>2281</v>
      </c>
      <c r="T503" t="s">
        <v>3635</v>
      </c>
      <c r="U503" t="s">
        <v>2744</v>
      </c>
      <c r="W503" t="s">
        <v>3573</v>
      </c>
      <c r="Z503" t="s">
        <v>2117</v>
      </c>
      <c r="AB503" t="s">
        <v>3636</v>
      </c>
      <c r="AC503" t="s">
        <v>3577</v>
      </c>
      <c r="AD503">
        <v>11040</v>
      </c>
    </row>
    <row r="504" spans="1:30" hidden="1">
      <c r="A504">
        <v>218585</v>
      </c>
      <c r="B504">
        <v>194</v>
      </c>
      <c r="C504" t="s">
        <v>3584</v>
      </c>
      <c r="E504" s="103">
        <v>45875</v>
      </c>
      <c r="F504">
        <v>1</v>
      </c>
      <c r="G504" s="1210">
        <v>45772</v>
      </c>
      <c r="I504" t="s">
        <v>850</v>
      </c>
      <c r="J504" t="s">
        <v>1833</v>
      </c>
      <c r="K504">
        <v>4500010495</v>
      </c>
      <c r="L504" t="s">
        <v>3637</v>
      </c>
      <c r="M504" t="s">
        <v>3634</v>
      </c>
      <c r="N504" t="s">
        <v>3596</v>
      </c>
      <c r="O504" t="s">
        <v>2026</v>
      </c>
      <c r="P504" s="103">
        <v>45868</v>
      </c>
      <c r="Q504" t="s">
        <v>2231</v>
      </c>
      <c r="R504" s="103">
        <v>45869</v>
      </c>
      <c r="S504" t="s">
        <v>2281</v>
      </c>
      <c r="T504" t="s">
        <v>2623</v>
      </c>
      <c r="U504" t="s">
        <v>2744</v>
      </c>
      <c r="V504" t="s">
        <v>2933</v>
      </c>
      <c r="W504" t="s">
        <v>3631</v>
      </c>
      <c r="AA504" t="s">
        <v>3638</v>
      </c>
      <c r="AB504" t="s">
        <v>3639</v>
      </c>
      <c r="AC504" t="s">
        <v>3618</v>
      </c>
      <c r="AD504">
        <v>200</v>
      </c>
    </row>
    <row r="505" spans="1:30" hidden="1">
      <c r="A505">
        <v>218586</v>
      </c>
      <c r="B505">
        <v>64</v>
      </c>
      <c r="C505" t="s">
        <v>3281</v>
      </c>
      <c r="E505" s="103">
        <v>45875</v>
      </c>
      <c r="F505">
        <v>1</v>
      </c>
      <c r="G505" s="1210">
        <v>45772</v>
      </c>
      <c r="I505" t="s">
        <v>857</v>
      </c>
      <c r="J505" t="s">
        <v>1833</v>
      </c>
      <c r="K505">
        <v>4500010496</v>
      </c>
      <c r="L505" t="s">
        <v>3640</v>
      </c>
      <c r="M505" t="s">
        <v>3634</v>
      </c>
      <c r="N505" t="s">
        <v>3596</v>
      </c>
      <c r="O505" t="s">
        <v>2026</v>
      </c>
      <c r="P505" s="103">
        <v>45868</v>
      </c>
      <c r="Q505" t="s">
        <v>2231</v>
      </c>
      <c r="R505" s="103">
        <v>45869</v>
      </c>
      <c r="S505" t="s">
        <v>2281</v>
      </c>
      <c r="T505" t="s">
        <v>2623</v>
      </c>
      <c r="U505" t="s">
        <v>2744</v>
      </c>
      <c r="V505" t="s">
        <v>2933</v>
      </c>
      <c r="W505" t="s">
        <v>3631</v>
      </c>
      <c r="AA505" t="s">
        <v>3638</v>
      </c>
      <c r="AB505" t="s">
        <v>3639</v>
      </c>
      <c r="AC505" t="s">
        <v>3618</v>
      </c>
      <c r="AD505">
        <v>100</v>
      </c>
    </row>
    <row r="506" spans="1:30" hidden="1">
      <c r="A506">
        <v>218711</v>
      </c>
      <c r="B506">
        <v>2</v>
      </c>
      <c r="C506" t="s">
        <v>3641</v>
      </c>
      <c r="E506" s="103">
        <v>45876</v>
      </c>
      <c r="F506">
        <v>1</v>
      </c>
      <c r="G506" s="1210">
        <v>45786</v>
      </c>
      <c r="I506" t="s">
        <v>349</v>
      </c>
      <c r="J506" t="s">
        <v>2751</v>
      </c>
      <c r="K506">
        <v>4500010564</v>
      </c>
      <c r="L506" t="s">
        <v>2942</v>
      </c>
      <c r="N506" t="s">
        <v>3642</v>
      </c>
      <c r="O506" t="s">
        <v>2094</v>
      </c>
      <c r="P506" s="103">
        <v>45872</v>
      </c>
      <c r="Q506" t="s">
        <v>2231</v>
      </c>
      <c r="S506" t="s">
        <v>3245</v>
      </c>
      <c r="T506" t="s">
        <v>3643</v>
      </c>
      <c r="U506" t="s">
        <v>2744</v>
      </c>
      <c r="V506" t="s">
        <v>2815</v>
      </c>
      <c r="W506" t="s">
        <v>3573</v>
      </c>
      <c r="AD506">
        <v>2</v>
      </c>
    </row>
    <row r="507" spans="1:30" hidden="1">
      <c r="A507">
        <v>218711</v>
      </c>
      <c r="B507">
        <v>2</v>
      </c>
      <c r="C507" t="s">
        <v>3641</v>
      </c>
      <c r="E507" s="103">
        <v>45876</v>
      </c>
      <c r="F507">
        <v>1</v>
      </c>
      <c r="G507" s="1210">
        <v>45786</v>
      </c>
      <c r="I507" t="s">
        <v>349</v>
      </c>
      <c r="J507" t="s">
        <v>2751</v>
      </c>
      <c r="K507">
        <v>4500010564</v>
      </c>
      <c r="L507" t="s">
        <v>2942</v>
      </c>
      <c r="N507" t="s">
        <v>3642</v>
      </c>
      <c r="O507" t="s">
        <v>2094</v>
      </c>
      <c r="P507" s="103">
        <v>45872</v>
      </c>
      <c r="Q507" t="s">
        <v>2231</v>
      </c>
      <c r="S507" t="s">
        <v>2961</v>
      </c>
      <c r="T507" t="s">
        <v>3644</v>
      </c>
      <c r="U507" t="s">
        <v>2744</v>
      </c>
      <c r="V507" t="s">
        <v>2815</v>
      </c>
      <c r="W507" t="s">
        <v>3573</v>
      </c>
      <c r="AD507">
        <v>4</v>
      </c>
    </row>
    <row r="508" spans="1:30" hidden="1">
      <c r="A508">
        <v>216515</v>
      </c>
      <c r="B508">
        <v>864</v>
      </c>
      <c r="C508" t="s">
        <v>3420</v>
      </c>
      <c r="E508" s="103">
        <v>45876</v>
      </c>
      <c r="F508">
        <v>1</v>
      </c>
      <c r="G508" s="1210">
        <v>45793</v>
      </c>
      <c r="I508" t="s">
        <v>311</v>
      </c>
      <c r="J508" t="s">
        <v>2082</v>
      </c>
      <c r="K508">
        <v>4500010621</v>
      </c>
      <c r="L508" t="s">
        <v>3645</v>
      </c>
      <c r="M508" t="s">
        <v>3586</v>
      </c>
      <c r="N508" t="s">
        <v>3596</v>
      </c>
      <c r="O508" t="s">
        <v>2026</v>
      </c>
      <c r="P508" s="103">
        <v>45859</v>
      </c>
      <c r="Q508" t="s">
        <v>2231</v>
      </c>
      <c r="R508" s="103">
        <v>45862</v>
      </c>
      <c r="S508" t="s">
        <v>2281</v>
      </c>
      <c r="T508" t="s">
        <v>3635</v>
      </c>
      <c r="U508" t="s">
        <v>2744</v>
      </c>
      <c r="V508" t="s">
        <v>3646</v>
      </c>
      <c r="Z508" t="s">
        <v>3647</v>
      </c>
      <c r="AB508" t="s">
        <v>3636</v>
      </c>
      <c r="AC508" t="s">
        <v>3577</v>
      </c>
      <c r="AD508">
        <v>2320</v>
      </c>
    </row>
    <row r="509" spans="1:30" hidden="1">
      <c r="A509">
        <v>216524</v>
      </c>
      <c r="B509">
        <v>144</v>
      </c>
      <c r="C509" t="s">
        <v>3471</v>
      </c>
      <c r="E509" s="103">
        <v>45876</v>
      </c>
      <c r="F509">
        <v>1</v>
      </c>
      <c r="G509" s="1210">
        <v>45793</v>
      </c>
      <c r="I509" t="s">
        <v>451</v>
      </c>
      <c r="J509" t="s">
        <v>2082</v>
      </c>
      <c r="K509">
        <v>4500010622</v>
      </c>
      <c r="L509" t="s">
        <v>3648</v>
      </c>
      <c r="M509" t="s">
        <v>3586</v>
      </c>
      <c r="N509" t="s">
        <v>3596</v>
      </c>
      <c r="O509" t="s">
        <v>2026</v>
      </c>
      <c r="P509" s="103">
        <v>45859</v>
      </c>
      <c r="Q509" t="s">
        <v>2231</v>
      </c>
      <c r="R509" s="103">
        <v>45862</v>
      </c>
      <c r="S509" t="s">
        <v>2281</v>
      </c>
      <c r="T509" t="s">
        <v>3635</v>
      </c>
      <c r="U509" t="s">
        <v>2744</v>
      </c>
      <c r="V509" t="s">
        <v>3646</v>
      </c>
      <c r="Z509" t="s">
        <v>3647</v>
      </c>
      <c r="AB509" t="s">
        <v>3636</v>
      </c>
      <c r="AC509" t="s">
        <v>3577</v>
      </c>
      <c r="AD509">
        <v>820</v>
      </c>
    </row>
    <row r="510" spans="1:30" hidden="1">
      <c r="A510">
        <v>214073</v>
      </c>
      <c r="B510">
        <v>420</v>
      </c>
      <c r="C510" t="s">
        <v>3649</v>
      </c>
      <c r="E510" s="103">
        <v>45876</v>
      </c>
      <c r="F510">
        <v>1</v>
      </c>
      <c r="G510" s="1210">
        <v>45807</v>
      </c>
      <c r="I510" t="s">
        <v>259</v>
      </c>
      <c r="J510" t="s">
        <v>2012</v>
      </c>
      <c r="K510">
        <v>4500010691</v>
      </c>
      <c r="L510" t="s">
        <v>3650</v>
      </c>
      <c r="M510" t="s">
        <v>3617</v>
      </c>
      <c r="N510" t="s">
        <v>3618</v>
      </c>
      <c r="O510" t="s">
        <v>2026</v>
      </c>
      <c r="P510" s="103">
        <v>45869</v>
      </c>
      <c r="Q510" t="s">
        <v>2231</v>
      </c>
      <c r="R510" s="103">
        <v>45872</v>
      </c>
      <c r="S510" t="s">
        <v>2281</v>
      </c>
      <c r="T510" t="s">
        <v>3651</v>
      </c>
      <c r="U510" t="s">
        <v>2744</v>
      </c>
      <c r="V510" t="s">
        <v>3652</v>
      </c>
      <c r="W510" t="s">
        <v>3573</v>
      </c>
      <c r="AA510" t="s">
        <v>3653</v>
      </c>
      <c r="AB510" t="s">
        <v>3654</v>
      </c>
      <c r="AC510" t="s">
        <v>3655</v>
      </c>
      <c r="AD510">
        <v>426</v>
      </c>
    </row>
    <row r="511" spans="1:30" hidden="1">
      <c r="A511">
        <v>203746</v>
      </c>
      <c r="B511">
        <v>300</v>
      </c>
      <c r="C511" t="s">
        <v>2775</v>
      </c>
      <c r="E511" s="103">
        <v>45876</v>
      </c>
      <c r="F511">
        <v>1</v>
      </c>
      <c r="G511" s="1210">
        <v>45807</v>
      </c>
      <c r="I511" t="s">
        <v>726</v>
      </c>
      <c r="J511" t="s">
        <v>2082</v>
      </c>
      <c r="K511">
        <v>4500010702</v>
      </c>
      <c r="L511" t="s">
        <v>3656</v>
      </c>
      <c r="M511" t="s">
        <v>3657</v>
      </c>
      <c r="N511" t="s">
        <v>3596</v>
      </c>
      <c r="O511" t="s">
        <v>2026</v>
      </c>
      <c r="P511" s="103">
        <v>45859</v>
      </c>
      <c r="Q511" t="s">
        <v>2231</v>
      </c>
      <c r="R511" s="103">
        <v>45862</v>
      </c>
      <c r="S511" t="s">
        <v>2281</v>
      </c>
      <c r="T511" t="s">
        <v>3635</v>
      </c>
      <c r="U511" t="s">
        <v>2744</v>
      </c>
      <c r="Z511" t="s">
        <v>3658</v>
      </c>
      <c r="AB511" t="s">
        <v>3636</v>
      </c>
      <c r="AC511" t="s">
        <v>3577</v>
      </c>
      <c r="AD511">
        <v>1355</v>
      </c>
    </row>
    <row r="512" spans="1:30">
      <c r="A512">
        <v>212476</v>
      </c>
      <c r="B512">
        <v>80</v>
      </c>
      <c r="C512" t="s">
        <v>3391</v>
      </c>
      <c r="E512" s="103">
        <v>45876</v>
      </c>
      <c r="F512">
        <v>1</v>
      </c>
      <c r="G512" s="1210">
        <v>45814</v>
      </c>
      <c r="I512" t="s">
        <v>198</v>
      </c>
      <c r="J512" t="s">
        <v>2012</v>
      </c>
      <c r="K512">
        <v>4500010742</v>
      </c>
      <c r="L512" t="s">
        <v>3659</v>
      </c>
      <c r="M512" t="s">
        <v>3617</v>
      </c>
      <c r="N512" t="s">
        <v>3618</v>
      </c>
      <c r="O512" t="s">
        <v>2026</v>
      </c>
      <c r="P512" s="103">
        <v>45869</v>
      </c>
      <c r="Q512" t="s">
        <v>2231</v>
      </c>
      <c r="R512" s="103">
        <v>45872</v>
      </c>
      <c r="S512" t="s">
        <v>2281</v>
      </c>
      <c r="T512" t="s">
        <v>3651</v>
      </c>
      <c r="U512" t="s">
        <v>2744</v>
      </c>
      <c r="V512" t="s">
        <v>3660</v>
      </c>
      <c r="W512" t="s">
        <v>3573</v>
      </c>
      <c r="AA512" t="s">
        <v>3653</v>
      </c>
      <c r="AB512" t="s">
        <v>3654</v>
      </c>
      <c r="AC512" t="s">
        <v>3655</v>
      </c>
      <c r="AD512">
        <v>526</v>
      </c>
    </row>
    <row r="513" spans="1:30" hidden="1">
      <c r="A513">
        <v>201900</v>
      </c>
      <c r="B513">
        <v>900</v>
      </c>
      <c r="C513" t="s">
        <v>3600</v>
      </c>
      <c r="E513" s="103">
        <v>45876</v>
      </c>
      <c r="F513">
        <v>1</v>
      </c>
      <c r="G513" s="1210">
        <v>45814</v>
      </c>
      <c r="I513" t="s">
        <v>327</v>
      </c>
      <c r="J513" t="s">
        <v>2012</v>
      </c>
      <c r="K513">
        <v>4500010743</v>
      </c>
      <c r="L513" t="s">
        <v>3661</v>
      </c>
      <c r="M513" t="s">
        <v>3617</v>
      </c>
      <c r="N513" t="s">
        <v>3618</v>
      </c>
      <c r="O513" t="s">
        <v>2026</v>
      </c>
      <c r="P513" s="103">
        <v>45867</v>
      </c>
      <c r="Q513" t="s">
        <v>2231</v>
      </c>
      <c r="R513" s="103">
        <v>45870</v>
      </c>
      <c r="S513" t="s">
        <v>2281</v>
      </c>
      <c r="T513" t="s">
        <v>3662</v>
      </c>
      <c r="U513" t="s">
        <v>2744</v>
      </c>
      <c r="W513" t="s">
        <v>3573</v>
      </c>
      <c r="Z513" t="s">
        <v>3663</v>
      </c>
      <c r="AB513" t="s">
        <v>3654</v>
      </c>
      <c r="AC513" t="s">
        <v>3655</v>
      </c>
      <c r="AD513">
        <v>5778</v>
      </c>
    </row>
    <row r="514" spans="1:30" hidden="1">
      <c r="A514">
        <v>199024</v>
      </c>
      <c r="B514">
        <v>1200</v>
      </c>
      <c r="C514" t="s">
        <v>3606</v>
      </c>
      <c r="E514" s="103">
        <v>45876</v>
      </c>
      <c r="F514">
        <v>1</v>
      </c>
      <c r="G514" s="1210">
        <v>45814</v>
      </c>
      <c r="I514" t="s">
        <v>338</v>
      </c>
      <c r="J514" t="s">
        <v>2012</v>
      </c>
      <c r="K514">
        <v>4500010744</v>
      </c>
      <c r="L514" t="s">
        <v>3664</v>
      </c>
      <c r="M514" t="s">
        <v>3634</v>
      </c>
      <c r="N514" t="s">
        <v>3596</v>
      </c>
      <c r="O514" t="s">
        <v>2026</v>
      </c>
      <c r="P514" s="103">
        <v>45859</v>
      </c>
      <c r="Q514" t="s">
        <v>2231</v>
      </c>
      <c r="R514" s="103">
        <v>45862</v>
      </c>
      <c r="S514" t="s">
        <v>2281</v>
      </c>
      <c r="T514" t="s">
        <v>3635</v>
      </c>
      <c r="U514" t="s">
        <v>2744</v>
      </c>
      <c r="W514" t="s">
        <v>3573</v>
      </c>
      <c r="Z514" t="s">
        <v>2101</v>
      </c>
      <c r="AB514" t="s">
        <v>3636</v>
      </c>
      <c r="AC514" t="s">
        <v>3577</v>
      </c>
      <c r="AD514">
        <v>12240</v>
      </c>
    </row>
    <row r="515" spans="1:30">
      <c r="A515">
        <v>212476</v>
      </c>
      <c r="B515">
        <v>240</v>
      </c>
      <c r="C515" t="s">
        <v>3391</v>
      </c>
      <c r="E515" s="103">
        <v>45876</v>
      </c>
      <c r="F515">
        <v>1</v>
      </c>
      <c r="G515" s="1210">
        <v>45828</v>
      </c>
      <c r="I515" t="s">
        <v>198</v>
      </c>
      <c r="J515" t="s">
        <v>2012</v>
      </c>
      <c r="K515">
        <v>4500010842</v>
      </c>
      <c r="L515" t="s">
        <v>3665</v>
      </c>
      <c r="M515" t="s">
        <v>3617</v>
      </c>
      <c r="N515" t="s">
        <v>3618</v>
      </c>
      <c r="O515" t="s">
        <v>2026</v>
      </c>
      <c r="P515" s="103">
        <v>45869</v>
      </c>
      <c r="Q515" t="s">
        <v>2231</v>
      </c>
      <c r="R515" s="103">
        <v>45872</v>
      </c>
      <c r="S515" t="s">
        <v>2281</v>
      </c>
      <c r="T515" t="s">
        <v>3651</v>
      </c>
      <c r="U515" t="s">
        <v>2744</v>
      </c>
      <c r="V515" t="s">
        <v>3660</v>
      </c>
      <c r="W515" t="s">
        <v>3573</v>
      </c>
      <c r="Z515" t="s">
        <v>3666</v>
      </c>
      <c r="AA515" t="s">
        <v>3653</v>
      </c>
      <c r="AB515" t="s">
        <v>3654</v>
      </c>
      <c r="AC515" t="s">
        <v>3655</v>
      </c>
      <c r="AD515">
        <v>766</v>
      </c>
    </row>
    <row r="516" spans="1:30" hidden="1">
      <c r="A516">
        <v>218711</v>
      </c>
      <c r="B516">
        <v>2</v>
      </c>
      <c r="C516" t="s">
        <v>3641</v>
      </c>
      <c r="E516" s="103">
        <v>45877</v>
      </c>
      <c r="F516">
        <v>1</v>
      </c>
      <c r="G516" s="1210">
        <v>45786</v>
      </c>
      <c r="I516" t="s">
        <v>349</v>
      </c>
      <c r="J516" t="s">
        <v>2751</v>
      </c>
      <c r="K516">
        <v>4500010564</v>
      </c>
      <c r="L516" t="s">
        <v>2942</v>
      </c>
      <c r="N516" t="s">
        <v>3642</v>
      </c>
      <c r="O516" t="s">
        <v>2094</v>
      </c>
      <c r="P516" s="103">
        <v>45873</v>
      </c>
      <c r="Q516" t="s">
        <v>2231</v>
      </c>
      <c r="S516" t="s">
        <v>2806</v>
      </c>
      <c r="T516" t="s">
        <v>3667</v>
      </c>
      <c r="U516" t="s">
        <v>2744</v>
      </c>
      <c r="V516" t="s">
        <v>2815</v>
      </c>
      <c r="W516" t="s">
        <v>3573</v>
      </c>
      <c r="AD516">
        <v>6</v>
      </c>
    </row>
    <row r="517" spans="1:30" hidden="1">
      <c r="A517">
        <v>220828</v>
      </c>
      <c r="B517">
        <v>2</v>
      </c>
      <c r="C517" t="s">
        <v>3668</v>
      </c>
      <c r="E517" s="103">
        <v>45880</v>
      </c>
      <c r="F517">
        <v>3</v>
      </c>
      <c r="G517" s="1210">
        <v>45814</v>
      </c>
      <c r="I517" t="s">
        <v>3669</v>
      </c>
      <c r="J517" t="s">
        <v>1833</v>
      </c>
      <c r="K517">
        <v>4500010748</v>
      </c>
      <c r="L517" t="s">
        <v>3670</v>
      </c>
      <c r="N517" t="s">
        <v>3671</v>
      </c>
      <c r="O517" t="s">
        <v>2094</v>
      </c>
      <c r="P517" s="103">
        <v>45856</v>
      </c>
      <c r="Q517" t="s">
        <v>2231</v>
      </c>
      <c r="R517" s="103">
        <v>45860</v>
      </c>
      <c r="S517" t="s">
        <v>2806</v>
      </c>
      <c r="T517" t="s">
        <v>3672</v>
      </c>
      <c r="U517" t="s">
        <v>2744</v>
      </c>
      <c r="AD517">
        <v>0</v>
      </c>
    </row>
    <row r="518" spans="1:30" hidden="1">
      <c r="A518">
        <v>222819</v>
      </c>
      <c r="B518">
        <v>2</v>
      </c>
      <c r="C518" t="s">
        <v>3673</v>
      </c>
      <c r="E518" s="103">
        <v>45881</v>
      </c>
      <c r="F518">
        <v>3</v>
      </c>
      <c r="G518" s="1210">
        <v>45821</v>
      </c>
      <c r="I518" t="s">
        <v>3674</v>
      </c>
      <c r="J518" t="s">
        <v>2082</v>
      </c>
      <c r="K518">
        <v>4500010812</v>
      </c>
      <c r="L518" t="s">
        <v>3675</v>
      </c>
      <c r="M518" t="s">
        <v>3676</v>
      </c>
      <c r="N518" t="s">
        <v>3671</v>
      </c>
      <c r="O518" t="s">
        <v>2094</v>
      </c>
      <c r="P518" s="103">
        <v>45877</v>
      </c>
      <c r="Q518" t="s">
        <v>2231</v>
      </c>
      <c r="R518" s="103">
        <v>45881</v>
      </c>
      <c r="S518" t="s">
        <v>2806</v>
      </c>
      <c r="T518" t="s">
        <v>3677</v>
      </c>
      <c r="U518" t="s">
        <v>2744</v>
      </c>
      <c r="AD518">
        <v>0</v>
      </c>
    </row>
    <row r="519" spans="1:30" hidden="1">
      <c r="A519">
        <v>222146</v>
      </c>
      <c r="B519">
        <v>2</v>
      </c>
      <c r="C519" t="s">
        <v>3678</v>
      </c>
      <c r="E519" s="103">
        <v>45887</v>
      </c>
      <c r="F519">
        <v>1</v>
      </c>
      <c r="G519" s="1210">
        <v>45807</v>
      </c>
      <c r="I519" t="s">
        <v>634</v>
      </c>
      <c r="J519" t="s">
        <v>2074</v>
      </c>
      <c r="K519">
        <v>4500010706</v>
      </c>
      <c r="L519" t="s">
        <v>3679</v>
      </c>
      <c r="M519" t="s">
        <v>3680</v>
      </c>
      <c r="N519" t="s">
        <v>3681</v>
      </c>
      <c r="O519" t="s">
        <v>2094</v>
      </c>
      <c r="Q519" t="s">
        <v>3611</v>
      </c>
      <c r="S519" t="s">
        <v>2806</v>
      </c>
      <c r="T519" t="s">
        <v>3682</v>
      </c>
      <c r="U519" t="s">
        <v>2744</v>
      </c>
      <c r="V519" t="s">
        <v>2815</v>
      </c>
      <c r="AD519">
        <v>2</v>
      </c>
    </row>
    <row r="520" spans="1:30" hidden="1">
      <c r="A520">
        <v>222146</v>
      </c>
      <c r="B520">
        <v>2</v>
      </c>
      <c r="C520" t="s">
        <v>3678</v>
      </c>
      <c r="E520" s="103">
        <v>45887</v>
      </c>
      <c r="F520">
        <v>1</v>
      </c>
      <c r="G520" s="1210">
        <v>45807</v>
      </c>
      <c r="I520" t="s">
        <v>634</v>
      </c>
      <c r="J520" t="s">
        <v>2074</v>
      </c>
      <c r="K520">
        <v>4500010706</v>
      </c>
      <c r="L520" t="s">
        <v>3679</v>
      </c>
      <c r="M520" t="s">
        <v>3680</v>
      </c>
      <c r="N520" t="s">
        <v>3681</v>
      </c>
      <c r="O520" t="s">
        <v>2094</v>
      </c>
      <c r="Q520" t="s">
        <v>3611</v>
      </c>
      <c r="S520" t="s">
        <v>3245</v>
      </c>
      <c r="T520" t="s">
        <v>3683</v>
      </c>
      <c r="U520" t="s">
        <v>2744</v>
      </c>
      <c r="V520" t="s">
        <v>2815</v>
      </c>
      <c r="AD520">
        <v>4</v>
      </c>
    </row>
    <row r="521" spans="1:30" hidden="1">
      <c r="A521">
        <v>222146</v>
      </c>
      <c r="B521">
        <v>2</v>
      </c>
      <c r="C521" t="s">
        <v>3678</v>
      </c>
      <c r="E521" s="103">
        <v>45887</v>
      </c>
      <c r="F521">
        <v>1</v>
      </c>
      <c r="G521" s="1210">
        <v>45807</v>
      </c>
      <c r="I521" t="s">
        <v>634</v>
      </c>
      <c r="J521" t="s">
        <v>2074</v>
      </c>
      <c r="K521">
        <v>4500010706</v>
      </c>
      <c r="L521" t="s">
        <v>3679</v>
      </c>
      <c r="M521" t="s">
        <v>3680</v>
      </c>
      <c r="N521" t="s">
        <v>3681</v>
      </c>
      <c r="O521" t="s">
        <v>2094</v>
      </c>
      <c r="Q521" t="s">
        <v>3611</v>
      </c>
      <c r="S521" t="s">
        <v>2961</v>
      </c>
      <c r="T521" t="s">
        <v>3684</v>
      </c>
      <c r="U521" t="s">
        <v>2744</v>
      </c>
      <c r="V521" t="s">
        <v>2815</v>
      </c>
      <c r="AD521">
        <v>6</v>
      </c>
    </row>
    <row r="522" spans="1:30" hidden="1">
      <c r="A522">
        <v>223058</v>
      </c>
      <c r="B522">
        <v>200</v>
      </c>
      <c r="C522" t="s">
        <v>3685</v>
      </c>
      <c r="E522" s="103">
        <v>45894</v>
      </c>
      <c r="F522">
        <v>1</v>
      </c>
      <c r="G522" s="1210">
        <v>45842</v>
      </c>
      <c r="I522" t="s">
        <v>726</v>
      </c>
      <c r="J522" t="s">
        <v>2082</v>
      </c>
      <c r="K522">
        <v>4500010941</v>
      </c>
      <c r="L522" t="s">
        <v>3686</v>
      </c>
      <c r="M522" t="s">
        <v>3687</v>
      </c>
      <c r="N522" t="s">
        <v>3688</v>
      </c>
      <c r="O522" t="s">
        <v>2946</v>
      </c>
      <c r="Q522" t="s">
        <v>2231</v>
      </c>
      <c r="R522" s="103">
        <v>45890</v>
      </c>
      <c r="S522" t="s">
        <v>3619</v>
      </c>
      <c r="U522" t="s">
        <v>2744</v>
      </c>
      <c r="V522" t="s">
        <v>3689</v>
      </c>
      <c r="Z522" t="s">
        <v>3690</v>
      </c>
      <c r="AD522">
        <v>1555</v>
      </c>
    </row>
    <row r="523" spans="1:30" hidden="1">
      <c r="A523">
        <v>223057</v>
      </c>
      <c r="B523">
        <v>500</v>
      </c>
      <c r="C523" t="s">
        <v>3691</v>
      </c>
      <c r="E523" s="103">
        <v>45894</v>
      </c>
      <c r="F523">
        <v>1</v>
      </c>
      <c r="G523" s="1210">
        <v>45842</v>
      </c>
      <c r="I523" t="s">
        <v>783</v>
      </c>
      <c r="J523" t="s">
        <v>2082</v>
      </c>
      <c r="K523">
        <v>4500010942</v>
      </c>
      <c r="L523" t="s">
        <v>3692</v>
      </c>
      <c r="M523" t="s">
        <v>3687</v>
      </c>
      <c r="N523" t="s">
        <v>3688</v>
      </c>
      <c r="O523" t="s">
        <v>2946</v>
      </c>
      <c r="Q523" t="s">
        <v>2231</v>
      </c>
      <c r="R523" s="103">
        <v>45890</v>
      </c>
      <c r="S523" t="s">
        <v>3619</v>
      </c>
      <c r="U523" t="s">
        <v>2744</v>
      </c>
      <c r="V523" t="s">
        <v>3693</v>
      </c>
      <c r="Z523" t="s">
        <v>3690</v>
      </c>
      <c r="AD523">
        <v>1900</v>
      </c>
    </row>
    <row r="524" spans="1:30" hidden="1">
      <c r="A524">
        <v>218711</v>
      </c>
      <c r="B524">
        <v>240</v>
      </c>
      <c r="C524" t="s">
        <v>3641</v>
      </c>
      <c r="E524" s="103">
        <v>45897</v>
      </c>
      <c r="F524">
        <v>1</v>
      </c>
      <c r="G524" s="1210">
        <v>45786</v>
      </c>
      <c r="I524" t="s">
        <v>349</v>
      </c>
      <c r="J524" t="s">
        <v>2751</v>
      </c>
      <c r="K524">
        <v>4500010562</v>
      </c>
      <c r="L524" t="s">
        <v>3694</v>
      </c>
      <c r="M524" t="s">
        <v>3642</v>
      </c>
      <c r="N524" t="s">
        <v>3695</v>
      </c>
      <c r="O524" t="s">
        <v>2026</v>
      </c>
      <c r="P524" s="103">
        <v>45889</v>
      </c>
      <c r="Q524" t="s">
        <v>2231</v>
      </c>
      <c r="R524" s="103">
        <v>45892</v>
      </c>
      <c r="S524" t="s">
        <v>2281</v>
      </c>
      <c r="T524" t="s">
        <v>2623</v>
      </c>
      <c r="U524" t="s">
        <v>2744</v>
      </c>
      <c r="V524" t="s">
        <v>2933</v>
      </c>
      <c r="W524" t="s">
        <v>3573</v>
      </c>
      <c r="Z524" t="s">
        <v>3696</v>
      </c>
      <c r="AA524" t="s">
        <v>3697</v>
      </c>
      <c r="AB524" t="s">
        <v>3698</v>
      </c>
      <c r="AC524" t="s">
        <v>3662</v>
      </c>
      <c r="AD524">
        <v>246</v>
      </c>
    </row>
    <row r="525" spans="1:30" hidden="1">
      <c r="A525">
        <v>210491</v>
      </c>
      <c r="B525">
        <v>710</v>
      </c>
      <c r="C525" t="s">
        <v>3699</v>
      </c>
      <c r="E525" s="103">
        <v>45898</v>
      </c>
      <c r="F525">
        <v>1</v>
      </c>
      <c r="G525" s="1210">
        <v>45793</v>
      </c>
      <c r="I525" t="s">
        <v>583</v>
      </c>
      <c r="J525" t="s">
        <v>2070</v>
      </c>
      <c r="K525">
        <v>4500010623</v>
      </c>
      <c r="L525" t="s">
        <v>3700</v>
      </c>
      <c r="M525" t="s">
        <v>3701</v>
      </c>
      <c r="N525" t="s">
        <v>3681</v>
      </c>
      <c r="O525" t="s">
        <v>2026</v>
      </c>
      <c r="P525" s="103">
        <v>45891</v>
      </c>
      <c r="Q525" t="s">
        <v>2231</v>
      </c>
      <c r="R525" s="103">
        <v>45894</v>
      </c>
      <c r="S525" t="s">
        <v>2281</v>
      </c>
      <c r="U525" t="s">
        <v>2744</v>
      </c>
      <c r="Z525" t="s">
        <v>3702</v>
      </c>
      <c r="AB525" t="s">
        <v>3703</v>
      </c>
      <c r="AC525" t="s">
        <v>3704</v>
      </c>
      <c r="AD525">
        <v>3720</v>
      </c>
    </row>
    <row r="526" spans="1:30">
      <c r="A526">
        <v>212476</v>
      </c>
      <c r="B526">
        <v>180</v>
      </c>
      <c r="C526" t="s">
        <v>3359</v>
      </c>
      <c r="E526" s="103">
        <v>45898</v>
      </c>
      <c r="F526">
        <v>1</v>
      </c>
      <c r="G526" s="1210">
        <v>45842</v>
      </c>
      <c r="I526" t="s">
        <v>198</v>
      </c>
      <c r="J526" t="s">
        <v>2012</v>
      </c>
      <c r="K526">
        <v>4500010932</v>
      </c>
      <c r="L526" t="s">
        <v>3705</v>
      </c>
      <c r="M526" t="s">
        <v>3680</v>
      </c>
      <c r="N526" t="s">
        <v>3681</v>
      </c>
      <c r="O526" t="s">
        <v>2026</v>
      </c>
      <c r="P526" s="103">
        <v>45891</v>
      </c>
      <c r="Q526" t="s">
        <v>2231</v>
      </c>
      <c r="R526" s="103">
        <v>45894</v>
      </c>
      <c r="S526" t="s">
        <v>2281</v>
      </c>
      <c r="U526" t="s">
        <v>2744</v>
      </c>
      <c r="Z526" t="s">
        <v>3706</v>
      </c>
      <c r="AC526" t="s">
        <v>3704</v>
      </c>
      <c r="AD526">
        <v>946</v>
      </c>
    </row>
    <row r="527" spans="1:30" hidden="1">
      <c r="A527">
        <v>222146</v>
      </c>
      <c r="B527">
        <v>945</v>
      </c>
      <c r="C527" t="s">
        <v>3678</v>
      </c>
      <c r="E527" s="103">
        <v>45903</v>
      </c>
      <c r="F527">
        <v>1</v>
      </c>
      <c r="G527" s="1210">
        <v>45807</v>
      </c>
      <c r="I527" t="s">
        <v>634</v>
      </c>
      <c r="J527" t="s">
        <v>2074</v>
      </c>
      <c r="K527">
        <v>4500010705</v>
      </c>
      <c r="L527" t="s">
        <v>3707</v>
      </c>
      <c r="M527" t="s">
        <v>3680</v>
      </c>
      <c r="N527" t="s">
        <v>3708</v>
      </c>
      <c r="O527" t="s">
        <v>2026</v>
      </c>
      <c r="P527" s="103">
        <v>45893</v>
      </c>
      <c r="Q527" t="s">
        <v>3611</v>
      </c>
      <c r="R527" s="103">
        <v>45900</v>
      </c>
      <c r="S527" t="s">
        <v>2281</v>
      </c>
      <c r="T527" t="s">
        <v>3651</v>
      </c>
      <c r="U527" t="s">
        <v>2744</v>
      </c>
      <c r="V527" t="s">
        <v>2933</v>
      </c>
      <c r="Z527" t="s">
        <v>3709</v>
      </c>
      <c r="AB527" t="s">
        <v>3710</v>
      </c>
      <c r="AC527" t="s">
        <v>3711</v>
      </c>
      <c r="AD527">
        <v>951</v>
      </c>
    </row>
    <row r="528" spans="1:30" hidden="1">
      <c r="A528">
        <v>216521</v>
      </c>
      <c r="B528">
        <v>144</v>
      </c>
      <c r="C528" t="s">
        <v>2615</v>
      </c>
      <c r="E528" s="103">
        <v>45904</v>
      </c>
      <c r="F528">
        <v>1</v>
      </c>
      <c r="G528" s="1210">
        <v>45786</v>
      </c>
      <c r="I528" t="s">
        <v>446</v>
      </c>
      <c r="J528" t="s">
        <v>2082</v>
      </c>
      <c r="K528">
        <v>4500010572</v>
      </c>
      <c r="L528" t="s">
        <v>3712</v>
      </c>
      <c r="M528" t="s">
        <v>3657</v>
      </c>
      <c r="N528" t="s">
        <v>3681</v>
      </c>
      <c r="O528" t="s">
        <v>2026</v>
      </c>
      <c r="P528" s="103">
        <v>45888</v>
      </c>
      <c r="Q528" t="s">
        <v>2231</v>
      </c>
      <c r="R528" s="103">
        <v>45891</v>
      </c>
      <c r="S528" t="s">
        <v>2281</v>
      </c>
      <c r="T528" t="s">
        <v>3713</v>
      </c>
      <c r="U528" t="s">
        <v>2744</v>
      </c>
      <c r="Z528" t="s">
        <v>3714</v>
      </c>
      <c r="AB528" t="s">
        <v>3715</v>
      </c>
      <c r="AC528" t="s">
        <v>3716</v>
      </c>
      <c r="AD528">
        <v>680</v>
      </c>
    </row>
    <row r="529" spans="1:30" hidden="1">
      <c r="A529">
        <v>216515</v>
      </c>
      <c r="B529">
        <v>576</v>
      </c>
      <c r="C529" t="s">
        <v>3717</v>
      </c>
      <c r="E529" s="103">
        <v>45904</v>
      </c>
      <c r="F529">
        <v>1</v>
      </c>
      <c r="G529" s="1210">
        <v>45814</v>
      </c>
      <c r="I529" t="s">
        <v>311</v>
      </c>
      <c r="J529" t="s">
        <v>2082</v>
      </c>
      <c r="K529">
        <v>4500010745</v>
      </c>
      <c r="L529" t="s">
        <v>3718</v>
      </c>
      <c r="M529" t="s">
        <v>3719</v>
      </c>
      <c r="N529" t="s">
        <v>3681</v>
      </c>
      <c r="O529" t="s">
        <v>2026</v>
      </c>
      <c r="P529" s="103">
        <v>45888</v>
      </c>
      <c r="Q529" t="s">
        <v>2231</v>
      </c>
      <c r="R529" s="103">
        <v>45891</v>
      </c>
      <c r="S529" t="s">
        <v>2281</v>
      </c>
      <c r="T529" t="s">
        <v>3713</v>
      </c>
      <c r="U529" t="s">
        <v>2744</v>
      </c>
      <c r="Z529" t="s">
        <v>3714</v>
      </c>
      <c r="AB529" t="s">
        <v>3715</v>
      </c>
      <c r="AC529" t="s">
        <v>3716</v>
      </c>
      <c r="AD529">
        <v>2896</v>
      </c>
    </row>
    <row r="530" spans="1:30" hidden="1">
      <c r="A530">
        <v>189730</v>
      </c>
      <c r="B530">
        <v>10</v>
      </c>
      <c r="C530" t="s">
        <v>2905</v>
      </c>
      <c r="E530" s="103">
        <v>45904</v>
      </c>
      <c r="F530">
        <v>3</v>
      </c>
      <c r="G530" s="1210">
        <v>45861</v>
      </c>
      <c r="I530" t="s">
        <v>2906</v>
      </c>
      <c r="J530" t="s">
        <v>2082</v>
      </c>
      <c r="K530">
        <v>4500011077</v>
      </c>
      <c r="L530" t="s">
        <v>2907</v>
      </c>
      <c r="N530" t="s">
        <v>3681</v>
      </c>
      <c r="O530" t="s">
        <v>2026</v>
      </c>
      <c r="P530" s="103">
        <v>45888</v>
      </c>
      <c r="Q530" t="s">
        <v>2231</v>
      </c>
      <c r="R530" s="103">
        <v>45891</v>
      </c>
      <c r="S530" t="s">
        <v>2281</v>
      </c>
      <c r="T530" t="s">
        <v>3713</v>
      </c>
      <c r="U530" t="s">
        <v>2744</v>
      </c>
      <c r="W530" t="s">
        <v>2908</v>
      </c>
      <c r="X530" t="s">
        <v>490</v>
      </c>
      <c r="Y530" t="s">
        <v>2088</v>
      </c>
      <c r="Z530" t="s">
        <v>3714</v>
      </c>
      <c r="AB530" t="s">
        <v>3715</v>
      </c>
      <c r="AC530" t="s">
        <v>3716</v>
      </c>
      <c r="AD530">
        <v>0</v>
      </c>
    </row>
    <row r="531" spans="1:30" hidden="1">
      <c r="A531">
        <v>201900</v>
      </c>
      <c r="B531">
        <v>800</v>
      </c>
      <c r="C531" t="s">
        <v>3720</v>
      </c>
      <c r="E531" s="103">
        <v>45905</v>
      </c>
      <c r="F531">
        <v>1</v>
      </c>
      <c r="G531" s="1210">
        <v>45856</v>
      </c>
      <c r="I531" t="s">
        <v>327</v>
      </c>
      <c r="J531" t="s">
        <v>2012</v>
      </c>
      <c r="K531">
        <v>4500011052</v>
      </c>
      <c r="L531" t="s">
        <v>3721</v>
      </c>
      <c r="M531" t="s">
        <v>3722</v>
      </c>
      <c r="N531" t="s">
        <v>3723</v>
      </c>
      <c r="O531" t="s">
        <v>2026</v>
      </c>
      <c r="P531" s="103">
        <v>45900</v>
      </c>
      <c r="Q531" t="s">
        <v>2231</v>
      </c>
      <c r="R531" s="103">
        <v>45903</v>
      </c>
      <c r="S531" t="s">
        <v>2281</v>
      </c>
      <c r="T531" t="s">
        <v>3651</v>
      </c>
      <c r="U531" t="s">
        <v>2744</v>
      </c>
      <c r="Z531" t="s">
        <v>3724</v>
      </c>
      <c r="AB531" t="s">
        <v>3725</v>
      </c>
      <c r="AC531" t="s">
        <v>3726</v>
      </c>
      <c r="AD531">
        <v>6578</v>
      </c>
    </row>
    <row r="532" spans="1:30" hidden="1">
      <c r="A532">
        <v>216518</v>
      </c>
      <c r="B532">
        <v>120</v>
      </c>
      <c r="C532" t="s">
        <v>3727</v>
      </c>
      <c r="E532" s="103">
        <v>45911</v>
      </c>
      <c r="F532">
        <v>1</v>
      </c>
      <c r="G532" s="1210">
        <v>45807</v>
      </c>
      <c r="I532" t="s">
        <v>411</v>
      </c>
      <c r="J532" t="s">
        <v>2082</v>
      </c>
      <c r="K532">
        <v>4500010694</v>
      </c>
      <c r="L532" t="s">
        <v>3728</v>
      </c>
      <c r="M532" t="s">
        <v>3657</v>
      </c>
      <c r="N532" t="s">
        <v>3708</v>
      </c>
      <c r="O532" t="s">
        <v>2026</v>
      </c>
      <c r="P532" s="103">
        <v>45897</v>
      </c>
      <c r="Q532" t="s">
        <v>2231</v>
      </c>
      <c r="R532" s="103">
        <v>45900</v>
      </c>
      <c r="S532" t="s">
        <v>2281</v>
      </c>
      <c r="T532" t="s">
        <v>3729</v>
      </c>
      <c r="U532" t="s">
        <v>2744</v>
      </c>
      <c r="Z532" t="s">
        <v>3730</v>
      </c>
      <c r="AB532" t="s">
        <v>3731</v>
      </c>
      <c r="AC532" t="s">
        <v>3732</v>
      </c>
      <c r="AD532">
        <v>446</v>
      </c>
    </row>
    <row r="533" spans="1:30" hidden="1">
      <c r="A533">
        <v>216521</v>
      </c>
      <c r="B533">
        <v>144</v>
      </c>
      <c r="C533" t="s">
        <v>3733</v>
      </c>
      <c r="E533" s="103">
        <v>45911</v>
      </c>
      <c r="F533">
        <v>1</v>
      </c>
      <c r="G533" s="1210">
        <v>45807</v>
      </c>
      <c r="I533" t="s">
        <v>446</v>
      </c>
      <c r="J533" t="s">
        <v>2082</v>
      </c>
      <c r="K533">
        <v>4500010697</v>
      </c>
      <c r="L533" t="s">
        <v>3734</v>
      </c>
      <c r="M533" t="s">
        <v>3657</v>
      </c>
      <c r="N533" t="s">
        <v>3708</v>
      </c>
      <c r="O533" t="s">
        <v>2026</v>
      </c>
      <c r="P533" s="103">
        <v>45897</v>
      </c>
      <c r="Q533" t="s">
        <v>2231</v>
      </c>
      <c r="R533" s="103">
        <v>45900</v>
      </c>
      <c r="S533" t="s">
        <v>2281</v>
      </c>
      <c r="T533" t="s">
        <v>3729</v>
      </c>
      <c r="U533" t="s">
        <v>2744</v>
      </c>
      <c r="Z533" t="s">
        <v>3730</v>
      </c>
      <c r="AB533" t="s">
        <v>3731</v>
      </c>
      <c r="AC533" t="s">
        <v>3732</v>
      </c>
      <c r="AD533">
        <v>824</v>
      </c>
    </row>
    <row r="534" spans="1:30" hidden="1">
      <c r="A534">
        <v>223063</v>
      </c>
      <c r="B534">
        <v>216</v>
      </c>
      <c r="C534" t="s">
        <v>3017</v>
      </c>
      <c r="E534" s="103">
        <v>45911</v>
      </c>
      <c r="F534">
        <v>1</v>
      </c>
      <c r="G534" s="1210">
        <v>45807</v>
      </c>
      <c r="I534" t="s">
        <v>693</v>
      </c>
      <c r="J534" t="s">
        <v>2082</v>
      </c>
      <c r="K534">
        <v>4500010699</v>
      </c>
      <c r="L534" t="s">
        <v>3735</v>
      </c>
      <c r="M534" t="s">
        <v>3688</v>
      </c>
      <c r="N534" t="s">
        <v>3708</v>
      </c>
      <c r="O534" t="s">
        <v>2026</v>
      </c>
      <c r="P534" s="103">
        <v>45897</v>
      </c>
      <c r="Q534" t="s">
        <v>2231</v>
      </c>
      <c r="R534" s="103">
        <v>45900</v>
      </c>
      <c r="S534" t="s">
        <v>2281</v>
      </c>
      <c r="T534" t="s">
        <v>3729</v>
      </c>
      <c r="U534" t="s">
        <v>2744</v>
      </c>
      <c r="V534" t="s">
        <v>3736</v>
      </c>
      <c r="W534" t="s">
        <v>2087</v>
      </c>
      <c r="Z534" t="s">
        <v>3730</v>
      </c>
      <c r="AB534" t="s">
        <v>3731</v>
      </c>
      <c r="AC534" t="s">
        <v>3732</v>
      </c>
      <c r="AD534">
        <v>1416</v>
      </c>
    </row>
    <row r="535" spans="1:30" hidden="1">
      <c r="A535">
        <v>214073</v>
      </c>
      <c r="B535">
        <v>120</v>
      </c>
      <c r="C535" t="s">
        <v>3649</v>
      </c>
      <c r="E535" s="103">
        <v>45911</v>
      </c>
      <c r="F535">
        <v>1</v>
      </c>
      <c r="G535" s="1210">
        <v>45814</v>
      </c>
      <c r="I535" t="s">
        <v>259</v>
      </c>
      <c r="J535" t="s">
        <v>2012</v>
      </c>
      <c r="K535">
        <v>4500010741</v>
      </c>
      <c r="L535" t="s">
        <v>3737</v>
      </c>
      <c r="M535" t="s">
        <v>3738</v>
      </c>
      <c r="N535" t="s">
        <v>3708</v>
      </c>
      <c r="O535" t="s">
        <v>2026</v>
      </c>
      <c r="P535" s="103">
        <v>45895</v>
      </c>
      <c r="Q535" t="s">
        <v>2231</v>
      </c>
      <c r="R535" s="103">
        <v>45901</v>
      </c>
      <c r="S535" t="s">
        <v>2281</v>
      </c>
      <c r="T535" t="s">
        <v>3729</v>
      </c>
      <c r="U535" t="s">
        <v>2744</v>
      </c>
      <c r="W535" t="s">
        <v>3573</v>
      </c>
      <c r="Z535" t="s">
        <v>3714</v>
      </c>
      <c r="AB535" t="s">
        <v>3739</v>
      </c>
      <c r="AC535" t="s">
        <v>3732</v>
      </c>
      <c r="AD535">
        <v>546</v>
      </c>
    </row>
    <row r="536" spans="1:30" hidden="1">
      <c r="A536">
        <v>216787</v>
      </c>
      <c r="B536">
        <v>288</v>
      </c>
      <c r="C536" t="s">
        <v>3740</v>
      </c>
      <c r="E536" s="103">
        <v>45911</v>
      </c>
      <c r="F536">
        <v>1</v>
      </c>
      <c r="G536" s="1210">
        <v>45814</v>
      </c>
      <c r="I536" t="s">
        <v>488</v>
      </c>
      <c r="J536" t="s">
        <v>2082</v>
      </c>
      <c r="K536">
        <v>4500010746</v>
      </c>
      <c r="L536" t="s">
        <v>3741</v>
      </c>
      <c r="M536" t="s">
        <v>3680</v>
      </c>
      <c r="N536" t="s">
        <v>3708</v>
      </c>
      <c r="O536" t="s">
        <v>2026</v>
      </c>
      <c r="P536" s="103">
        <v>45897</v>
      </c>
      <c r="Q536" t="s">
        <v>2231</v>
      </c>
      <c r="R536" s="103">
        <v>45900</v>
      </c>
      <c r="S536" t="s">
        <v>2281</v>
      </c>
      <c r="T536" t="s">
        <v>3729</v>
      </c>
      <c r="U536" t="s">
        <v>2744</v>
      </c>
      <c r="Z536" t="s">
        <v>3730</v>
      </c>
      <c r="AB536" t="s">
        <v>3731</v>
      </c>
      <c r="AC536" t="s">
        <v>3732</v>
      </c>
      <c r="AD536">
        <v>1288</v>
      </c>
    </row>
    <row r="537" spans="1:30" hidden="1">
      <c r="A537">
        <v>220801</v>
      </c>
      <c r="B537">
        <v>60</v>
      </c>
      <c r="C537" t="s">
        <v>3742</v>
      </c>
      <c r="E537" s="103">
        <v>45911</v>
      </c>
      <c r="F537">
        <v>1</v>
      </c>
      <c r="G537" s="1210">
        <v>45828</v>
      </c>
      <c r="I537" t="s">
        <v>211</v>
      </c>
      <c r="J537" t="s">
        <v>2012</v>
      </c>
      <c r="K537">
        <v>4500010840</v>
      </c>
      <c r="L537" t="s">
        <v>3743</v>
      </c>
      <c r="M537" t="s">
        <v>3738</v>
      </c>
      <c r="N537" t="s">
        <v>3708</v>
      </c>
      <c r="O537" t="s">
        <v>2026</v>
      </c>
      <c r="P537" s="103">
        <v>45895</v>
      </c>
      <c r="Q537" t="s">
        <v>2231</v>
      </c>
      <c r="R537" s="103">
        <v>45901</v>
      </c>
      <c r="S537" t="s">
        <v>2281</v>
      </c>
      <c r="T537" t="s">
        <v>3729</v>
      </c>
      <c r="U537" t="s">
        <v>2744</v>
      </c>
      <c r="W537" t="s">
        <v>3573</v>
      </c>
      <c r="Z537" t="s">
        <v>3714</v>
      </c>
      <c r="AB537" t="s">
        <v>3739</v>
      </c>
      <c r="AC537" t="s">
        <v>3732</v>
      </c>
      <c r="AD537">
        <v>306</v>
      </c>
    </row>
    <row r="538" spans="1:30" hidden="1">
      <c r="A538">
        <v>220803</v>
      </c>
      <c r="B538">
        <v>120</v>
      </c>
      <c r="C538" t="s">
        <v>3620</v>
      </c>
      <c r="E538" s="103">
        <v>45911</v>
      </c>
      <c r="F538">
        <v>1</v>
      </c>
      <c r="G538" s="1210">
        <v>45828</v>
      </c>
      <c r="I538" t="s">
        <v>217</v>
      </c>
      <c r="J538" t="s">
        <v>2012</v>
      </c>
      <c r="K538">
        <v>4500010841</v>
      </c>
      <c r="L538" t="s">
        <v>3744</v>
      </c>
      <c r="M538" t="s">
        <v>3738</v>
      </c>
      <c r="N538" t="s">
        <v>3708</v>
      </c>
      <c r="O538" t="s">
        <v>2026</v>
      </c>
      <c r="P538" s="103">
        <v>45895</v>
      </c>
      <c r="Q538" t="s">
        <v>2231</v>
      </c>
      <c r="R538" s="103">
        <v>45901</v>
      </c>
      <c r="S538" t="s">
        <v>2281</v>
      </c>
      <c r="T538" t="s">
        <v>3729</v>
      </c>
      <c r="U538" t="s">
        <v>2744</v>
      </c>
      <c r="W538" t="s">
        <v>3573</v>
      </c>
      <c r="Z538" t="s">
        <v>3714</v>
      </c>
      <c r="AB538" t="s">
        <v>3739</v>
      </c>
      <c r="AC538" t="s">
        <v>3732</v>
      </c>
      <c r="AD538">
        <v>426</v>
      </c>
    </row>
    <row r="539" spans="1:30" hidden="1">
      <c r="A539">
        <v>199024</v>
      </c>
      <c r="B539">
        <v>1000</v>
      </c>
      <c r="C539" t="s">
        <v>3566</v>
      </c>
      <c r="E539" s="103">
        <v>45912</v>
      </c>
      <c r="F539">
        <v>1</v>
      </c>
      <c r="G539" s="1210">
        <v>45856</v>
      </c>
      <c r="I539" t="s">
        <v>338</v>
      </c>
      <c r="J539" t="s">
        <v>2012</v>
      </c>
      <c r="K539">
        <v>4500011055</v>
      </c>
      <c r="L539" t="s">
        <v>3745</v>
      </c>
      <c r="M539" t="s">
        <v>3746</v>
      </c>
      <c r="N539" t="s">
        <v>3723</v>
      </c>
      <c r="O539" t="s">
        <v>2026</v>
      </c>
      <c r="P539" s="103">
        <v>45900</v>
      </c>
      <c r="Q539" t="s">
        <v>2231</v>
      </c>
      <c r="R539" s="103">
        <v>45903</v>
      </c>
      <c r="S539" t="s">
        <v>2281</v>
      </c>
      <c r="T539" t="s">
        <v>3747</v>
      </c>
      <c r="U539" t="s">
        <v>2744</v>
      </c>
      <c r="Z539" t="s">
        <v>3748</v>
      </c>
      <c r="AB539" t="s">
        <v>3725</v>
      </c>
      <c r="AC539" t="s">
        <v>3726</v>
      </c>
      <c r="AD539">
        <v>13240</v>
      </c>
    </row>
    <row r="540" spans="1:30" hidden="1">
      <c r="A540">
        <v>222647</v>
      </c>
      <c r="B540">
        <v>2</v>
      </c>
      <c r="C540" t="s">
        <v>3749</v>
      </c>
      <c r="E540" s="103">
        <v>45917</v>
      </c>
      <c r="F540">
        <v>3</v>
      </c>
      <c r="G540" s="1210">
        <v>45821</v>
      </c>
      <c r="I540" t="s">
        <v>3750</v>
      </c>
      <c r="J540" t="s">
        <v>2082</v>
      </c>
      <c r="K540">
        <v>4500010806</v>
      </c>
      <c r="L540" t="s">
        <v>3751</v>
      </c>
      <c r="N540" t="s">
        <v>3752</v>
      </c>
      <c r="O540" t="s">
        <v>2094</v>
      </c>
      <c r="Q540" t="s">
        <v>2231</v>
      </c>
      <c r="S540" t="s">
        <v>3753</v>
      </c>
      <c r="T540" t="s">
        <v>3754</v>
      </c>
      <c r="U540" t="s">
        <v>2744</v>
      </c>
      <c r="AD540">
        <v>0</v>
      </c>
    </row>
    <row r="541" spans="1:30" hidden="1">
      <c r="A541">
        <v>222646</v>
      </c>
      <c r="B541">
        <v>1</v>
      </c>
      <c r="C541" t="s">
        <v>3755</v>
      </c>
      <c r="E541" s="103">
        <v>45918</v>
      </c>
      <c r="F541">
        <v>3</v>
      </c>
      <c r="G541" s="1210">
        <v>45821</v>
      </c>
      <c r="I541" t="s">
        <v>3756</v>
      </c>
      <c r="J541" t="s">
        <v>2082</v>
      </c>
      <c r="K541">
        <v>4500010802</v>
      </c>
      <c r="L541" t="s">
        <v>3755</v>
      </c>
      <c r="N541" t="s">
        <v>3752</v>
      </c>
      <c r="O541" t="s">
        <v>2094</v>
      </c>
      <c r="Q541" t="s">
        <v>2231</v>
      </c>
      <c r="S541" t="s">
        <v>2806</v>
      </c>
      <c r="U541" t="s">
        <v>2744</v>
      </c>
      <c r="AD541">
        <v>0</v>
      </c>
    </row>
    <row r="542" spans="1:30" hidden="1">
      <c r="A542">
        <v>220827</v>
      </c>
      <c r="B542">
        <v>2</v>
      </c>
      <c r="C542" t="s">
        <v>3668</v>
      </c>
      <c r="E542" s="103">
        <v>45919</v>
      </c>
      <c r="F542">
        <v>1</v>
      </c>
      <c r="G542" s="1210">
        <v>45814</v>
      </c>
      <c r="I542" t="s">
        <v>423</v>
      </c>
      <c r="J542" t="s">
        <v>1833</v>
      </c>
      <c r="K542">
        <v>4500010749</v>
      </c>
      <c r="L542" t="s">
        <v>3670</v>
      </c>
      <c r="N542" t="s">
        <v>3757</v>
      </c>
      <c r="O542" t="s">
        <v>2094</v>
      </c>
      <c r="Q542" t="s">
        <v>2231</v>
      </c>
      <c r="S542" t="s">
        <v>2806</v>
      </c>
      <c r="T542" t="s">
        <v>3758</v>
      </c>
      <c r="U542" t="s">
        <v>2744</v>
      </c>
      <c r="V542" t="s">
        <v>2815</v>
      </c>
      <c r="AD542">
        <v>2</v>
      </c>
    </row>
    <row r="543" spans="1:30" hidden="1">
      <c r="A543">
        <v>220827</v>
      </c>
      <c r="B543">
        <v>2</v>
      </c>
      <c r="C543" t="s">
        <v>3668</v>
      </c>
      <c r="E543" s="103">
        <v>45919</v>
      </c>
      <c r="F543">
        <v>1</v>
      </c>
      <c r="G543" s="1210">
        <v>45814</v>
      </c>
      <c r="I543" t="s">
        <v>423</v>
      </c>
      <c r="J543" t="s">
        <v>1833</v>
      </c>
      <c r="K543">
        <v>4500010749</v>
      </c>
      <c r="L543" t="s">
        <v>3670</v>
      </c>
      <c r="N543" t="s">
        <v>3757</v>
      </c>
      <c r="O543" t="s">
        <v>2094</v>
      </c>
      <c r="Q543" t="s">
        <v>2231</v>
      </c>
      <c r="S543" t="s">
        <v>3245</v>
      </c>
      <c r="T543" t="s">
        <v>3759</v>
      </c>
      <c r="U543" t="s">
        <v>2744</v>
      </c>
      <c r="V543" t="s">
        <v>2815</v>
      </c>
      <c r="AD543">
        <v>4</v>
      </c>
    </row>
    <row r="544" spans="1:30" hidden="1">
      <c r="A544">
        <v>220827</v>
      </c>
      <c r="B544">
        <v>2</v>
      </c>
      <c r="C544" t="s">
        <v>3668</v>
      </c>
      <c r="E544" s="103">
        <v>45919</v>
      </c>
      <c r="F544">
        <v>1</v>
      </c>
      <c r="G544" s="1210">
        <v>45814</v>
      </c>
      <c r="I544" t="s">
        <v>423</v>
      </c>
      <c r="J544" t="s">
        <v>1833</v>
      </c>
      <c r="K544">
        <v>4500010749</v>
      </c>
      <c r="L544" t="s">
        <v>3670</v>
      </c>
      <c r="N544" t="s">
        <v>3757</v>
      </c>
      <c r="O544" t="s">
        <v>2094</v>
      </c>
      <c r="Q544" t="s">
        <v>2231</v>
      </c>
      <c r="S544" t="s">
        <v>2961</v>
      </c>
      <c r="T544" t="s">
        <v>3760</v>
      </c>
      <c r="U544" t="s">
        <v>2744</v>
      </c>
      <c r="V544" t="s">
        <v>2815</v>
      </c>
      <c r="AD544">
        <v>6</v>
      </c>
    </row>
    <row r="545" spans="1:30" hidden="1">
      <c r="A545">
        <v>222646</v>
      </c>
      <c r="B545">
        <v>1</v>
      </c>
      <c r="C545" t="s">
        <v>3755</v>
      </c>
      <c r="E545" s="103">
        <v>45919</v>
      </c>
      <c r="F545">
        <v>3</v>
      </c>
      <c r="G545" s="1210">
        <v>45821</v>
      </c>
      <c r="I545" t="s">
        <v>3756</v>
      </c>
      <c r="J545" t="s">
        <v>2082</v>
      </c>
      <c r="K545">
        <v>4500010802</v>
      </c>
      <c r="L545" t="s">
        <v>3755</v>
      </c>
      <c r="N545" t="s">
        <v>3752</v>
      </c>
      <c r="O545" t="s">
        <v>2094</v>
      </c>
      <c r="Q545" t="s">
        <v>2231</v>
      </c>
      <c r="S545" t="s">
        <v>3753</v>
      </c>
      <c r="U545" t="s">
        <v>2744</v>
      </c>
      <c r="AD545">
        <v>0</v>
      </c>
    </row>
    <row r="546" spans="1:30" hidden="1">
      <c r="A546">
        <v>220827</v>
      </c>
      <c r="B546">
        <v>30</v>
      </c>
      <c r="C546" t="s">
        <v>3668</v>
      </c>
      <c r="E546" s="103">
        <v>45924</v>
      </c>
      <c r="F546">
        <v>1</v>
      </c>
      <c r="G546" s="1210">
        <v>45814</v>
      </c>
      <c r="I546" t="s">
        <v>423</v>
      </c>
      <c r="J546" t="s">
        <v>1833</v>
      </c>
      <c r="K546">
        <v>4500010750</v>
      </c>
      <c r="L546" t="s">
        <v>3761</v>
      </c>
      <c r="M546" t="s">
        <v>3762</v>
      </c>
      <c r="N546" t="s">
        <v>3763</v>
      </c>
      <c r="O546" t="s">
        <v>2094</v>
      </c>
      <c r="Q546" t="s">
        <v>2231</v>
      </c>
      <c r="S546" t="s">
        <v>2281</v>
      </c>
      <c r="T546" t="s">
        <v>3764</v>
      </c>
      <c r="U546" t="s">
        <v>2744</v>
      </c>
      <c r="V546" t="s">
        <v>2933</v>
      </c>
      <c r="AD546">
        <v>36</v>
      </c>
    </row>
    <row r="547" spans="1:30" hidden="1">
      <c r="A547">
        <v>222651</v>
      </c>
      <c r="B547">
        <v>1</v>
      </c>
      <c r="C547" t="s">
        <v>3765</v>
      </c>
      <c r="E547" s="103">
        <v>45924</v>
      </c>
      <c r="F547">
        <v>3</v>
      </c>
      <c r="G547" s="1210">
        <v>45842</v>
      </c>
      <c r="I547" t="s">
        <v>3766</v>
      </c>
      <c r="J547" t="s">
        <v>2082</v>
      </c>
      <c r="K547">
        <v>4500010933</v>
      </c>
      <c r="L547" t="s">
        <v>3765</v>
      </c>
      <c r="N547" t="s">
        <v>3763</v>
      </c>
      <c r="O547" t="s">
        <v>2094</v>
      </c>
      <c r="Q547" t="s">
        <v>2231</v>
      </c>
      <c r="S547" t="s">
        <v>2806</v>
      </c>
      <c r="T547" t="s">
        <v>3767</v>
      </c>
      <c r="U547" t="s">
        <v>2744</v>
      </c>
      <c r="AD547">
        <v>0</v>
      </c>
    </row>
    <row r="548" spans="1:30" hidden="1">
      <c r="A548">
        <v>222651</v>
      </c>
      <c r="B548">
        <v>1</v>
      </c>
      <c r="C548" t="s">
        <v>3765</v>
      </c>
      <c r="E548" s="103">
        <v>45924</v>
      </c>
      <c r="F548">
        <v>3</v>
      </c>
      <c r="G548" s="1210">
        <v>45842</v>
      </c>
      <c r="I548" t="s">
        <v>3766</v>
      </c>
      <c r="J548" t="s">
        <v>2082</v>
      </c>
      <c r="K548">
        <v>4500010933</v>
      </c>
      <c r="L548" t="s">
        <v>3765</v>
      </c>
      <c r="N548" t="s">
        <v>3763</v>
      </c>
      <c r="O548" t="s">
        <v>2094</v>
      </c>
      <c r="Q548" t="s">
        <v>2231</v>
      </c>
      <c r="S548" t="s">
        <v>3753</v>
      </c>
      <c r="T548" t="s">
        <v>3768</v>
      </c>
      <c r="U548" t="s">
        <v>2744</v>
      </c>
      <c r="AD548">
        <v>0</v>
      </c>
    </row>
    <row r="549" spans="1:30" hidden="1">
      <c r="A549">
        <v>222652</v>
      </c>
      <c r="B549">
        <v>1</v>
      </c>
      <c r="C549" t="s">
        <v>3769</v>
      </c>
      <c r="E549" s="103">
        <v>45924</v>
      </c>
      <c r="F549">
        <v>3</v>
      </c>
      <c r="G549" s="1210">
        <v>45842</v>
      </c>
      <c r="I549" t="s">
        <v>3770</v>
      </c>
      <c r="J549" t="s">
        <v>2082</v>
      </c>
      <c r="K549">
        <v>4500010937</v>
      </c>
      <c r="L549" t="s">
        <v>3769</v>
      </c>
      <c r="N549" t="s">
        <v>3763</v>
      </c>
      <c r="O549" t="s">
        <v>2094</v>
      </c>
      <c r="Q549" t="s">
        <v>2231</v>
      </c>
      <c r="S549" t="s">
        <v>2806</v>
      </c>
      <c r="T549" t="s">
        <v>3767</v>
      </c>
      <c r="U549" t="s">
        <v>2744</v>
      </c>
      <c r="AD549">
        <v>0</v>
      </c>
    </row>
    <row r="550" spans="1:30" hidden="1">
      <c r="A550">
        <v>222652</v>
      </c>
      <c r="B550">
        <v>1</v>
      </c>
      <c r="C550" t="s">
        <v>3769</v>
      </c>
      <c r="E550" s="103">
        <v>45924</v>
      </c>
      <c r="F550">
        <v>3</v>
      </c>
      <c r="G550" s="1210">
        <v>45842</v>
      </c>
      <c r="I550" t="s">
        <v>3770</v>
      </c>
      <c r="J550" t="s">
        <v>2082</v>
      </c>
      <c r="K550">
        <v>4500010937</v>
      </c>
      <c r="L550" t="s">
        <v>3769</v>
      </c>
      <c r="N550" t="s">
        <v>3763</v>
      </c>
      <c r="O550" t="s">
        <v>2094</v>
      </c>
      <c r="Q550" t="s">
        <v>2231</v>
      </c>
      <c r="S550" t="s">
        <v>3753</v>
      </c>
      <c r="T550" t="s">
        <v>3768</v>
      </c>
      <c r="U550" t="s">
        <v>2744</v>
      </c>
      <c r="AD550">
        <v>0</v>
      </c>
    </row>
    <row r="551" spans="1:30" hidden="1">
      <c r="A551">
        <v>222818</v>
      </c>
      <c r="B551">
        <v>2</v>
      </c>
      <c r="C551" t="s">
        <v>3673</v>
      </c>
      <c r="E551" s="103">
        <v>45925</v>
      </c>
      <c r="F551">
        <v>1</v>
      </c>
      <c r="G551" s="1210">
        <v>45821</v>
      </c>
      <c r="I551" t="s">
        <v>301</v>
      </c>
      <c r="J551" t="s">
        <v>2082</v>
      </c>
      <c r="K551">
        <v>4500010813</v>
      </c>
      <c r="L551" t="s">
        <v>3675</v>
      </c>
      <c r="M551" t="s">
        <v>3762</v>
      </c>
      <c r="N551" t="s">
        <v>3771</v>
      </c>
      <c r="O551" t="s">
        <v>2094</v>
      </c>
      <c r="Q551" t="s">
        <v>2231</v>
      </c>
      <c r="S551" t="s">
        <v>2806</v>
      </c>
      <c r="T551" t="s">
        <v>3772</v>
      </c>
      <c r="U551" t="s">
        <v>2744</v>
      </c>
      <c r="V551" t="s">
        <v>2815</v>
      </c>
      <c r="AD551">
        <v>2</v>
      </c>
    </row>
    <row r="552" spans="1:30" hidden="1">
      <c r="A552">
        <v>222818</v>
      </c>
      <c r="B552">
        <v>2</v>
      </c>
      <c r="C552" t="s">
        <v>3673</v>
      </c>
      <c r="E552" s="103">
        <v>45925</v>
      </c>
      <c r="F552">
        <v>1</v>
      </c>
      <c r="G552" s="1210">
        <v>45821</v>
      </c>
      <c r="I552" t="s">
        <v>301</v>
      </c>
      <c r="J552" t="s">
        <v>2082</v>
      </c>
      <c r="K552">
        <v>4500010813</v>
      </c>
      <c r="L552" t="s">
        <v>3675</v>
      </c>
      <c r="M552" t="s">
        <v>3762</v>
      </c>
      <c r="N552" t="s">
        <v>3771</v>
      </c>
      <c r="O552" t="s">
        <v>2094</v>
      </c>
      <c r="Q552" t="s">
        <v>2231</v>
      </c>
      <c r="S552" t="s">
        <v>3245</v>
      </c>
      <c r="T552" t="s">
        <v>3773</v>
      </c>
      <c r="U552" t="s">
        <v>2744</v>
      </c>
      <c r="V552" t="s">
        <v>2815</v>
      </c>
      <c r="AD552">
        <v>4</v>
      </c>
    </row>
    <row r="553" spans="1:30" hidden="1">
      <c r="A553">
        <v>222818</v>
      </c>
      <c r="B553">
        <v>2</v>
      </c>
      <c r="C553" t="s">
        <v>3673</v>
      </c>
      <c r="E553" s="103">
        <v>45925</v>
      </c>
      <c r="F553">
        <v>1</v>
      </c>
      <c r="G553" s="1210">
        <v>45821</v>
      </c>
      <c r="I553" t="s">
        <v>301</v>
      </c>
      <c r="J553" t="s">
        <v>2082</v>
      </c>
      <c r="K553">
        <v>4500010813</v>
      </c>
      <c r="L553" t="s">
        <v>3675</v>
      </c>
      <c r="M553" t="s">
        <v>3762</v>
      </c>
      <c r="N553" t="s">
        <v>3771</v>
      </c>
      <c r="O553" t="s">
        <v>2094</v>
      </c>
      <c r="Q553" t="s">
        <v>2231</v>
      </c>
      <c r="S553" t="s">
        <v>2961</v>
      </c>
      <c r="T553" t="s">
        <v>3774</v>
      </c>
      <c r="U553" t="s">
        <v>2744</v>
      </c>
      <c r="V553" t="s">
        <v>2815</v>
      </c>
      <c r="AD553">
        <v>6</v>
      </c>
    </row>
    <row r="554" spans="1:30" hidden="1">
      <c r="A554">
        <v>218711</v>
      </c>
      <c r="B554">
        <v>260</v>
      </c>
      <c r="C554" t="s">
        <v>3641</v>
      </c>
      <c r="E554" s="103">
        <v>45926</v>
      </c>
      <c r="F554">
        <v>1</v>
      </c>
      <c r="G554" s="1210">
        <v>45786</v>
      </c>
      <c r="I554" t="s">
        <v>349</v>
      </c>
      <c r="J554" t="s">
        <v>2751</v>
      </c>
      <c r="K554">
        <v>4500010563</v>
      </c>
      <c r="L554" t="s">
        <v>3775</v>
      </c>
      <c r="M554" t="s">
        <v>3776</v>
      </c>
      <c r="N554" t="s">
        <v>3777</v>
      </c>
      <c r="O554" t="s">
        <v>2026</v>
      </c>
      <c r="P554" s="103">
        <v>45916</v>
      </c>
      <c r="Q554" t="s">
        <v>2231</v>
      </c>
      <c r="R554" s="103">
        <v>45919</v>
      </c>
      <c r="S554" t="s">
        <v>2281</v>
      </c>
      <c r="T554" t="s">
        <v>3778</v>
      </c>
      <c r="U554" t="s">
        <v>2744</v>
      </c>
      <c r="W554" t="s">
        <v>3573</v>
      </c>
      <c r="Z554" t="s">
        <v>3779</v>
      </c>
      <c r="AB554" t="s">
        <v>3780</v>
      </c>
      <c r="AC554" t="s">
        <v>3781</v>
      </c>
      <c r="AD554">
        <v>506</v>
      </c>
    </row>
    <row r="555" spans="1:30" hidden="1">
      <c r="A555">
        <v>223063</v>
      </c>
      <c r="B555">
        <v>216</v>
      </c>
      <c r="C555" t="s">
        <v>3017</v>
      </c>
      <c r="E555" s="103">
        <v>45926</v>
      </c>
      <c r="F555">
        <v>1</v>
      </c>
      <c r="G555" s="1210">
        <v>45807</v>
      </c>
      <c r="I555" t="s">
        <v>693</v>
      </c>
      <c r="J555" t="s">
        <v>2082</v>
      </c>
      <c r="K555">
        <v>4500010700</v>
      </c>
      <c r="L555" t="s">
        <v>3735</v>
      </c>
      <c r="M555" t="s">
        <v>3782</v>
      </c>
      <c r="N555" t="s">
        <v>3777</v>
      </c>
      <c r="O555" t="s">
        <v>2026</v>
      </c>
      <c r="P555" s="103">
        <v>45916</v>
      </c>
      <c r="Q555" t="s">
        <v>2231</v>
      </c>
      <c r="R555" s="103">
        <v>45920</v>
      </c>
      <c r="S555" t="s">
        <v>2281</v>
      </c>
      <c r="T555" t="s">
        <v>3651</v>
      </c>
      <c r="U555" t="s">
        <v>2744</v>
      </c>
      <c r="V555" t="s">
        <v>3736</v>
      </c>
      <c r="W555" t="s">
        <v>2087</v>
      </c>
      <c r="Z555" t="s">
        <v>3783</v>
      </c>
      <c r="AD555">
        <v>1632</v>
      </c>
    </row>
    <row r="556" spans="1:30" hidden="1">
      <c r="A556">
        <v>199023</v>
      </c>
      <c r="B556">
        <v>700</v>
      </c>
      <c r="C556" t="s">
        <v>3784</v>
      </c>
      <c r="E556" s="103">
        <v>45926</v>
      </c>
      <c r="F556">
        <v>1</v>
      </c>
      <c r="G556" s="1210">
        <v>45835</v>
      </c>
      <c r="I556" t="s">
        <v>465</v>
      </c>
      <c r="J556" t="s">
        <v>2012</v>
      </c>
      <c r="K556">
        <v>4500010904</v>
      </c>
      <c r="L556" t="s">
        <v>3785</v>
      </c>
      <c r="M556" t="s">
        <v>3786</v>
      </c>
      <c r="N556" t="s">
        <v>3777</v>
      </c>
      <c r="O556" t="s">
        <v>2026</v>
      </c>
      <c r="P556" s="103">
        <v>45916</v>
      </c>
      <c r="Q556" t="s">
        <v>2231</v>
      </c>
      <c r="R556" s="103">
        <v>45919</v>
      </c>
      <c r="S556" t="s">
        <v>2281</v>
      </c>
      <c r="T556" t="s">
        <v>3778</v>
      </c>
      <c r="U556" t="s">
        <v>2744</v>
      </c>
      <c r="W556" t="s">
        <v>3787</v>
      </c>
      <c r="Z556" t="s">
        <v>3788</v>
      </c>
      <c r="AB556" t="s">
        <v>3780</v>
      </c>
      <c r="AC556" t="s">
        <v>3781</v>
      </c>
      <c r="AD556">
        <v>4530</v>
      </c>
    </row>
    <row r="557" spans="1:30" hidden="1">
      <c r="A557">
        <v>251110</v>
      </c>
      <c r="B557">
        <v>128</v>
      </c>
      <c r="C557" t="s">
        <v>3789</v>
      </c>
      <c r="E557" s="103">
        <v>45926</v>
      </c>
      <c r="F557">
        <v>1</v>
      </c>
      <c r="G557" s="1210">
        <v>45842</v>
      </c>
      <c r="I557" t="s">
        <v>247</v>
      </c>
      <c r="J557" t="s">
        <v>2082</v>
      </c>
      <c r="K557">
        <v>4500010943</v>
      </c>
      <c r="L557" t="s">
        <v>3790</v>
      </c>
      <c r="M557" t="s">
        <v>3782</v>
      </c>
      <c r="N557" t="s">
        <v>3777</v>
      </c>
      <c r="O557" t="s">
        <v>2026</v>
      </c>
      <c r="P557" s="103">
        <v>45916</v>
      </c>
      <c r="Q557" t="s">
        <v>2231</v>
      </c>
      <c r="R557" s="103">
        <v>45920</v>
      </c>
      <c r="S557" t="s">
        <v>2281</v>
      </c>
      <c r="T557" t="s">
        <v>3651</v>
      </c>
      <c r="U557" t="s">
        <v>2744</v>
      </c>
      <c r="V557" t="s">
        <v>3791</v>
      </c>
      <c r="Z557" t="s">
        <v>3783</v>
      </c>
      <c r="AD557">
        <v>634</v>
      </c>
    </row>
    <row r="558" spans="1:30" hidden="1">
      <c r="A558">
        <v>199024</v>
      </c>
      <c r="B558">
        <v>180</v>
      </c>
      <c r="C558" t="s">
        <v>3566</v>
      </c>
      <c r="E558" s="103">
        <v>45926</v>
      </c>
      <c r="F558">
        <v>1</v>
      </c>
      <c r="G558" s="1210">
        <v>45870</v>
      </c>
      <c r="I558" t="s">
        <v>338</v>
      </c>
      <c r="J558" t="s">
        <v>2012</v>
      </c>
      <c r="K558">
        <v>4500011155</v>
      </c>
      <c r="L558" t="s">
        <v>3792</v>
      </c>
      <c r="M558" t="s">
        <v>3793</v>
      </c>
      <c r="N558" t="s">
        <v>3777</v>
      </c>
      <c r="O558" t="s">
        <v>2026</v>
      </c>
      <c r="P558" s="103">
        <v>45916</v>
      </c>
      <c r="Q558" t="s">
        <v>2231</v>
      </c>
      <c r="R558" s="103">
        <v>45919</v>
      </c>
      <c r="S558" t="s">
        <v>2281</v>
      </c>
      <c r="T558" t="s">
        <v>3778</v>
      </c>
      <c r="U558" t="s">
        <v>2744</v>
      </c>
      <c r="Z558" t="s">
        <v>3779</v>
      </c>
      <c r="AB558" t="s">
        <v>3780</v>
      </c>
      <c r="AC558" t="s">
        <v>3781</v>
      </c>
      <c r="AD558">
        <v>13420</v>
      </c>
    </row>
    <row r="559" spans="1:30" hidden="1">
      <c r="A559">
        <v>272001</v>
      </c>
      <c r="B559">
        <v>80</v>
      </c>
      <c r="C559" t="s">
        <v>3794</v>
      </c>
      <c r="E559" s="103">
        <v>45926</v>
      </c>
      <c r="F559">
        <v>1</v>
      </c>
      <c r="G559" s="1210">
        <v>45895</v>
      </c>
      <c r="I559" t="s">
        <v>3795</v>
      </c>
      <c r="J559" t="s">
        <v>2082</v>
      </c>
      <c r="K559">
        <v>4500011291</v>
      </c>
      <c r="L559" t="s">
        <v>3796</v>
      </c>
      <c r="M559" t="s">
        <v>3786</v>
      </c>
      <c r="N559" t="s">
        <v>3777</v>
      </c>
      <c r="O559" t="s">
        <v>2026</v>
      </c>
      <c r="P559" s="103">
        <v>45916</v>
      </c>
      <c r="Q559" t="s">
        <v>2231</v>
      </c>
      <c r="R559" s="103">
        <v>45920</v>
      </c>
      <c r="S559" t="s">
        <v>2281</v>
      </c>
      <c r="T559" t="s">
        <v>3651</v>
      </c>
      <c r="U559" t="s">
        <v>2744</v>
      </c>
      <c r="Z559" t="s">
        <v>3783</v>
      </c>
      <c r="AD559">
        <v>80</v>
      </c>
    </row>
    <row r="560" spans="1:30" hidden="1">
      <c r="A560">
        <v>222818</v>
      </c>
      <c r="B560">
        <v>199</v>
      </c>
      <c r="C560" t="s">
        <v>3673</v>
      </c>
      <c r="E560" s="103">
        <v>45929</v>
      </c>
      <c r="F560">
        <v>1</v>
      </c>
      <c r="G560" s="1210">
        <v>45821</v>
      </c>
      <c r="I560" t="s">
        <v>301</v>
      </c>
      <c r="J560" t="s">
        <v>2082</v>
      </c>
      <c r="K560">
        <v>4500010814</v>
      </c>
      <c r="L560" t="s">
        <v>3797</v>
      </c>
      <c r="M560" t="s">
        <v>3762</v>
      </c>
      <c r="N560" t="s">
        <v>3771</v>
      </c>
      <c r="O560" t="s">
        <v>3798</v>
      </c>
      <c r="P560" s="103">
        <v>45927</v>
      </c>
      <c r="Q560" t="s">
        <v>2231</v>
      </c>
      <c r="R560" s="103">
        <v>45931</v>
      </c>
      <c r="S560" t="s">
        <v>2281</v>
      </c>
      <c r="U560" t="s">
        <v>2744</v>
      </c>
      <c r="V560" t="s">
        <v>2933</v>
      </c>
      <c r="Z560" t="s">
        <v>3799</v>
      </c>
      <c r="AD560">
        <v>205</v>
      </c>
    </row>
    <row r="561" spans="1:30" hidden="1">
      <c r="A561">
        <v>222146</v>
      </c>
      <c r="B561">
        <v>2</v>
      </c>
      <c r="C561" t="s">
        <v>3800</v>
      </c>
      <c r="E561" s="103">
        <v>45929</v>
      </c>
      <c r="F561">
        <v>1</v>
      </c>
      <c r="G561" s="1210">
        <v>45835</v>
      </c>
      <c r="I561" t="s">
        <v>634</v>
      </c>
      <c r="J561" t="s">
        <v>2074</v>
      </c>
      <c r="K561">
        <v>4500010906</v>
      </c>
      <c r="L561" t="s">
        <v>3801</v>
      </c>
      <c r="M561" t="s">
        <v>3802</v>
      </c>
      <c r="N561" t="s">
        <v>3803</v>
      </c>
      <c r="O561" t="s">
        <v>3804</v>
      </c>
      <c r="Q561" t="s">
        <v>3611</v>
      </c>
      <c r="S561" t="s">
        <v>2281</v>
      </c>
      <c r="T561" t="s">
        <v>3805</v>
      </c>
      <c r="U561" t="s">
        <v>2744</v>
      </c>
      <c r="W561" t="s">
        <v>3806</v>
      </c>
      <c r="Z561" t="s">
        <v>3807</v>
      </c>
      <c r="AA561" t="s">
        <v>3808</v>
      </c>
      <c r="AB561" t="s">
        <v>3809</v>
      </c>
      <c r="AC561" t="s">
        <v>3810</v>
      </c>
      <c r="AD561">
        <v>953</v>
      </c>
    </row>
    <row r="562" spans="1:30" hidden="1">
      <c r="A562">
        <v>222146</v>
      </c>
      <c r="B562">
        <v>100</v>
      </c>
      <c r="C562" t="s">
        <v>3800</v>
      </c>
      <c r="E562" s="103">
        <v>45930</v>
      </c>
      <c r="F562">
        <v>1</v>
      </c>
      <c r="G562" s="1210">
        <v>45835</v>
      </c>
      <c r="I562" t="s">
        <v>634</v>
      </c>
      <c r="J562" t="s">
        <v>2074</v>
      </c>
      <c r="K562">
        <v>4500010906</v>
      </c>
      <c r="L562" t="s">
        <v>3811</v>
      </c>
      <c r="M562" t="s">
        <v>3802</v>
      </c>
      <c r="N562" t="s">
        <v>3803</v>
      </c>
      <c r="O562" t="s">
        <v>2094</v>
      </c>
      <c r="Q562" t="s">
        <v>3611</v>
      </c>
      <c r="S562" t="s">
        <v>2281</v>
      </c>
      <c r="T562" t="s">
        <v>3812</v>
      </c>
      <c r="U562" t="s">
        <v>2744</v>
      </c>
      <c r="W562" t="s">
        <v>3806</v>
      </c>
      <c r="AA562" t="s">
        <v>3808</v>
      </c>
      <c r="AB562" t="s">
        <v>3809</v>
      </c>
      <c r="AC562" t="s">
        <v>3810</v>
      </c>
      <c r="AD562">
        <v>1053</v>
      </c>
    </row>
    <row r="563" spans="1:30" hidden="1">
      <c r="A563">
        <v>220827</v>
      </c>
      <c r="B563">
        <v>444</v>
      </c>
      <c r="C563" t="s">
        <v>3668</v>
      </c>
      <c r="E563" s="103">
        <v>45936</v>
      </c>
      <c r="F563">
        <v>1</v>
      </c>
      <c r="G563" s="1210">
        <v>45814</v>
      </c>
      <c r="I563" t="s">
        <v>423</v>
      </c>
      <c r="J563" t="s">
        <v>1833</v>
      </c>
      <c r="K563">
        <v>4500010750</v>
      </c>
      <c r="L563" t="s">
        <v>3813</v>
      </c>
      <c r="M563" t="s">
        <v>3762</v>
      </c>
      <c r="N563" t="s">
        <v>3771</v>
      </c>
      <c r="O563" t="s">
        <v>2026</v>
      </c>
      <c r="P563" s="103">
        <v>45928</v>
      </c>
      <c r="Q563" t="s">
        <v>2231</v>
      </c>
      <c r="R563" s="103">
        <v>45931</v>
      </c>
      <c r="S563" t="s">
        <v>2281</v>
      </c>
      <c r="T563" t="s">
        <v>2623</v>
      </c>
      <c r="U563" t="s">
        <v>2744</v>
      </c>
      <c r="V563" t="s">
        <v>2933</v>
      </c>
      <c r="AA563" t="s">
        <v>2228</v>
      </c>
      <c r="AB563" t="s">
        <v>3814</v>
      </c>
      <c r="AC563" t="s">
        <v>3815</v>
      </c>
      <c r="AD563">
        <v>480</v>
      </c>
    </row>
    <row r="564" spans="1:30" hidden="1">
      <c r="A564">
        <v>199024</v>
      </c>
      <c r="B564">
        <v>840</v>
      </c>
      <c r="C564" t="s">
        <v>3566</v>
      </c>
      <c r="E564" s="103">
        <v>45936</v>
      </c>
      <c r="F564">
        <v>1</v>
      </c>
      <c r="G564" s="1210">
        <v>45870</v>
      </c>
      <c r="I564" t="s">
        <v>338</v>
      </c>
      <c r="J564" t="s">
        <v>2012</v>
      </c>
      <c r="K564">
        <v>4500011155</v>
      </c>
      <c r="L564" t="s">
        <v>3816</v>
      </c>
      <c r="M564" t="s">
        <v>3782</v>
      </c>
      <c r="N564" t="s">
        <v>3777</v>
      </c>
      <c r="O564" t="s">
        <v>2026</v>
      </c>
      <c r="P564" s="103">
        <v>45929</v>
      </c>
      <c r="Q564" t="s">
        <v>2231</v>
      </c>
      <c r="R564" s="103">
        <v>45933</v>
      </c>
      <c r="S564" t="s">
        <v>2281</v>
      </c>
      <c r="U564" t="s">
        <v>2744</v>
      </c>
      <c r="Z564" t="s">
        <v>3817</v>
      </c>
      <c r="AB564" t="s">
        <v>3818</v>
      </c>
      <c r="AC564" t="s">
        <v>3781</v>
      </c>
      <c r="AD564">
        <v>14260</v>
      </c>
    </row>
    <row r="565" spans="1:30">
      <c r="A565">
        <v>212476</v>
      </c>
      <c r="B565">
        <v>240</v>
      </c>
      <c r="C565" t="s">
        <v>3359</v>
      </c>
      <c r="E565" s="103">
        <v>45936</v>
      </c>
      <c r="F565">
        <v>1</v>
      </c>
      <c r="G565" s="1210">
        <v>45870</v>
      </c>
      <c r="I565" t="s">
        <v>198</v>
      </c>
      <c r="J565" t="s">
        <v>2012</v>
      </c>
      <c r="K565">
        <v>4500011156</v>
      </c>
      <c r="L565" t="s">
        <v>3819</v>
      </c>
      <c r="M565" t="s">
        <v>3782</v>
      </c>
      <c r="N565" t="s">
        <v>3777</v>
      </c>
      <c r="O565" t="s">
        <v>2026</v>
      </c>
      <c r="P565" s="103">
        <v>45929</v>
      </c>
      <c r="Q565" t="s">
        <v>2231</v>
      </c>
      <c r="R565" s="103">
        <v>45933</v>
      </c>
      <c r="S565" t="s">
        <v>2281</v>
      </c>
      <c r="U565" t="s">
        <v>2744</v>
      </c>
      <c r="Z565" t="s">
        <v>3820</v>
      </c>
      <c r="AB565" t="s">
        <v>3818</v>
      </c>
      <c r="AC565" t="s">
        <v>3781</v>
      </c>
      <c r="AD565">
        <v>1186</v>
      </c>
    </row>
    <row r="566" spans="1:30" hidden="1">
      <c r="A566">
        <v>220801</v>
      </c>
      <c r="B566">
        <v>120</v>
      </c>
      <c r="C566" t="s">
        <v>3489</v>
      </c>
      <c r="E566" s="103">
        <v>45936</v>
      </c>
      <c r="F566">
        <v>1</v>
      </c>
      <c r="G566" s="1210">
        <v>45870</v>
      </c>
      <c r="I566" t="s">
        <v>211</v>
      </c>
      <c r="J566" t="s">
        <v>2012</v>
      </c>
      <c r="K566">
        <v>4500011157</v>
      </c>
      <c r="L566" t="s">
        <v>3821</v>
      </c>
      <c r="M566" t="s">
        <v>3822</v>
      </c>
      <c r="N566" t="s">
        <v>3777</v>
      </c>
      <c r="O566" t="s">
        <v>2026</v>
      </c>
      <c r="P566" s="103">
        <v>45929</v>
      </c>
      <c r="Q566" t="s">
        <v>2231</v>
      </c>
      <c r="R566" s="103">
        <v>45933</v>
      </c>
      <c r="S566" t="s">
        <v>2281</v>
      </c>
      <c r="U566" t="s">
        <v>2744</v>
      </c>
      <c r="Z566" t="s">
        <v>3820</v>
      </c>
      <c r="AB566" t="s">
        <v>3818</v>
      </c>
      <c r="AC566" t="s">
        <v>3781</v>
      </c>
      <c r="AD566">
        <v>426</v>
      </c>
    </row>
    <row r="567" spans="1:30" hidden="1">
      <c r="A567">
        <v>220803</v>
      </c>
      <c r="B567">
        <v>180</v>
      </c>
      <c r="C567" t="s">
        <v>2270</v>
      </c>
      <c r="E567" s="103">
        <v>45936</v>
      </c>
      <c r="F567">
        <v>1</v>
      </c>
      <c r="G567" s="1210">
        <v>45870</v>
      </c>
      <c r="I567" t="s">
        <v>217</v>
      </c>
      <c r="J567" t="s">
        <v>2012</v>
      </c>
      <c r="K567">
        <v>4500011158</v>
      </c>
      <c r="L567" t="s">
        <v>3823</v>
      </c>
      <c r="M567" t="s">
        <v>3822</v>
      </c>
      <c r="N567" t="s">
        <v>3777</v>
      </c>
      <c r="O567" t="s">
        <v>2026</v>
      </c>
      <c r="P567" s="103">
        <v>45929</v>
      </c>
      <c r="Q567" t="s">
        <v>2231</v>
      </c>
      <c r="R567" s="103">
        <v>45933</v>
      </c>
      <c r="S567" t="s">
        <v>2281</v>
      </c>
      <c r="U567" t="s">
        <v>2744</v>
      </c>
      <c r="Z567" t="s">
        <v>3820</v>
      </c>
      <c r="AB567" t="s">
        <v>3818</v>
      </c>
      <c r="AC567" t="s">
        <v>3781</v>
      </c>
      <c r="AD567">
        <v>606</v>
      </c>
    </row>
    <row r="568" spans="1:30" hidden="1">
      <c r="A568">
        <v>223074</v>
      </c>
      <c r="B568">
        <v>1000</v>
      </c>
      <c r="C568" t="s">
        <v>3824</v>
      </c>
      <c r="E568" s="103">
        <v>45938</v>
      </c>
      <c r="F568">
        <v>1</v>
      </c>
      <c r="G568" s="1210">
        <v>45835</v>
      </c>
      <c r="I568" t="s">
        <v>570</v>
      </c>
      <c r="J568" t="s">
        <v>2074</v>
      </c>
      <c r="K568">
        <v>4500010905</v>
      </c>
      <c r="L568" t="s">
        <v>3825</v>
      </c>
      <c r="N568" t="s">
        <v>3786</v>
      </c>
      <c r="O568" t="s">
        <v>2026</v>
      </c>
      <c r="P568" s="103">
        <v>45912</v>
      </c>
      <c r="Q568" t="s">
        <v>3611</v>
      </c>
      <c r="R568" s="103">
        <v>45917</v>
      </c>
      <c r="S568" t="s">
        <v>2281</v>
      </c>
      <c r="T568" t="s">
        <v>3826</v>
      </c>
      <c r="U568" t="s">
        <v>2744</v>
      </c>
      <c r="V568" t="s">
        <v>3827</v>
      </c>
      <c r="W568" t="s">
        <v>3806</v>
      </c>
      <c r="X568" t="s">
        <v>3828</v>
      </c>
      <c r="Z568" t="s">
        <v>3730</v>
      </c>
      <c r="AB568" t="s">
        <v>3829</v>
      </c>
      <c r="AC568" t="s">
        <v>3830</v>
      </c>
      <c r="AD568">
        <v>3140</v>
      </c>
    </row>
    <row r="569" spans="1:30" hidden="1">
      <c r="A569">
        <v>199024</v>
      </c>
      <c r="B569">
        <v>500</v>
      </c>
      <c r="C569" t="s">
        <v>3566</v>
      </c>
      <c r="E569" s="103">
        <v>45940</v>
      </c>
      <c r="F569">
        <v>1</v>
      </c>
      <c r="G569" s="1210">
        <v>45856</v>
      </c>
      <c r="I569" t="s">
        <v>338</v>
      </c>
      <c r="J569" t="s">
        <v>2012</v>
      </c>
      <c r="K569">
        <v>4500011056</v>
      </c>
      <c r="L569" t="s">
        <v>3831</v>
      </c>
      <c r="M569" t="s">
        <v>3752</v>
      </c>
      <c r="N569" t="s">
        <v>3763</v>
      </c>
      <c r="O569" t="s">
        <v>2026</v>
      </c>
      <c r="P569" s="103">
        <v>45925</v>
      </c>
      <c r="Q569" t="s">
        <v>2231</v>
      </c>
      <c r="R569" s="103">
        <v>45928</v>
      </c>
      <c r="S569" t="s">
        <v>2281</v>
      </c>
      <c r="T569" t="s">
        <v>3832</v>
      </c>
      <c r="U569" t="s">
        <v>2744</v>
      </c>
      <c r="AA569" t="s">
        <v>3833</v>
      </c>
      <c r="AB569" t="s">
        <v>3834</v>
      </c>
      <c r="AC569" t="s">
        <v>3835</v>
      </c>
      <c r="AD569">
        <v>14760</v>
      </c>
    </row>
    <row r="570" spans="1:30" hidden="1">
      <c r="A570">
        <v>199022</v>
      </c>
      <c r="B570">
        <v>100</v>
      </c>
      <c r="C570" t="s">
        <v>3836</v>
      </c>
      <c r="E570" s="103">
        <v>45944</v>
      </c>
      <c r="F570">
        <v>1</v>
      </c>
      <c r="G570" s="1210">
        <v>45835</v>
      </c>
      <c r="I570" t="s">
        <v>460</v>
      </c>
      <c r="J570" t="s">
        <v>2012</v>
      </c>
      <c r="K570">
        <v>4500010903</v>
      </c>
      <c r="L570" t="s">
        <v>3837</v>
      </c>
      <c r="M570" t="s">
        <v>3757</v>
      </c>
      <c r="N570" t="s">
        <v>3763</v>
      </c>
      <c r="O570" t="s">
        <v>2026</v>
      </c>
      <c r="P570" s="103">
        <v>45925</v>
      </c>
      <c r="Q570" t="s">
        <v>2231</v>
      </c>
      <c r="R570" s="103">
        <v>45928</v>
      </c>
      <c r="S570" t="s">
        <v>2281</v>
      </c>
      <c r="T570" t="s">
        <v>3832</v>
      </c>
      <c r="U570" t="s">
        <v>2744</v>
      </c>
      <c r="W570" t="s">
        <v>3838</v>
      </c>
      <c r="AA570" t="s">
        <v>3833</v>
      </c>
      <c r="AB570" t="s">
        <v>3834</v>
      </c>
      <c r="AC570" t="s">
        <v>3835</v>
      </c>
      <c r="AD570">
        <v>2170</v>
      </c>
    </row>
    <row r="571" spans="1:30" hidden="1">
      <c r="A571">
        <v>201900</v>
      </c>
      <c r="B571">
        <v>500</v>
      </c>
      <c r="C571" t="s">
        <v>3720</v>
      </c>
      <c r="E571" s="103">
        <v>45944</v>
      </c>
      <c r="F571">
        <v>1</v>
      </c>
      <c r="G571" s="1210">
        <v>45856</v>
      </c>
      <c r="I571" t="s">
        <v>327</v>
      </c>
      <c r="J571" t="s">
        <v>2012</v>
      </c>
      <c r="K571">
        <v>4500011053</v>
      </c>
      <c r="L571" t="s">
        <v>3839</v>
      </c>
      <c r="M571" t="s">
        <v>3840</v>
      </c>
      <c r="N571" t="s">
        <v>3763</v>
      </c>
      <c r="O571" t="s">
        <v>2026</v>
      </c>
      <c r="P571" s="103">
        <v>45925</v>
      </c>
      <c r="Q571" t="s">
        <v>2231</v>
      </c>
      <c r="R571" s="103">
        <v>45928</v>
      </c>
      <c r="S571" t="s">
        <v>2281</v>
      </c>
      <c r="T571" t="s">
        <v>3832</v>
      </c>
      <c r="U571" t="s">
        <v>2744</v>
      </c>
      <c r="AA571" t="s">
        <v>3833</v>
      </c>
      <c r="AB571" t="s">
        <v>3834</v>
      </c>
      <c r="AC571" t="s">
        <v>3835</v>
      </c>
      <c r="AD571">
        <v>7078</v>
      </c>
    </row>
    <row r="572" spans="1:30" hidden="1">
      <c r="A572">
        <v>214073</v>
      </c>
      <c r="B572">
        <v>240</v>
      </c>
      <c r="C572" t="s">
        <v>3523</v>
      </c>
      <c r="D572" t="s">
        <v>3841</v>
      </c>
      <c r="E572" s="103">
        <v>45944</v>
      </c>
      <c r="F572">
        <v>1</v>
      </c>
      <c r="G572" s="1210">
        <v>45870</v>
      </c>
      <c r="I572" t="s">
        <v>259</v>
      </c>
      <c r="J572" t="s">
        <v>2012</v>
      </c>
      <c r="K572">
        <v>4500011154</v>
      </c>
      <c r="L572" t="s">
        <v>3842</v>
      </c>
      <c r="M572" t="s">
        <v>3840</v>
      </c>
      <c r="N572" t="s">
        <v>3763</v>
      </c>
      <c r="O572" t="s">
        <v>2026</v>
      </c>
      <c r="P572" s="103">
        <v>45925</v>
      </c>
      <c r="Q572" t="s">
        <v>2231</v>
      </c>
      <c r="R572" s="103">
        <v>45928</v>
      </c>
      <c r="S572" t="s">
        <v>2281</v>
      </c>
      <c r="T572" t="s">
        <v>3832</v>
      </c>
      <c r="U572" t="s">
        <v>2744</v>
      </c>
      <c r="AA572" t="s">
        <v>3833</v>
      </c>
      <c r="AB572" t="s">
        <v>3834</v>
      </c>
      <c r="AC572" t="s">
        <v>3835</v>
      </c>
      <c r="AD572">
        <v>786</v>
      </c>
    </row>
    <row r="573" spans="1:30" hidden="1">
      <c r="A573">
        <v>222818</v>
      </c>
      <c r="B573">
        <v>450</v>
      </c>
      <c r="C573" t="s">
        <v>3673</v>
      </c>
      <c r="E573" s="103">
        <v>45945</v>
      </c>
      <c r="F573">
        <v>1</v>
      </c>
      <c r="G573" s="1210">
        <v>45821</v>
      </c>
      <c r="I573" t="s">
        <v>301</v>
      </c>
      <c r="J573" t="s">
        <v>2082</v>
      </c>
      <c r="K573">
        <v>4500010814</v>
      </c>
      <c r="L573" t="s">
        <v>3843</v>
      </c>
      <c r="M573" t="s">
        <v>3844</v>
      </c>
      <c r="N573" t="s">
        <v>3845</v>
      </c>
      <c r="O573" t="s">
        <v>3798</v>
      </c>
      <c r="Q573" t="s">
        <v>2231</v>
      </c>
      <c r="S573" t="s">
        <v>2281</v>
      </c>
      <c r="U573" t="s">
        <v>2744</v>
      </c>
      <c r="V573" t="s">
        <v>2933</v>
      </c>
      <c r="Z573" t="s">
        <v>3799</v>
      </c>
      <c r="AD573">
        <v>655</v>
      </c>
    </row>
    <row r="574" spans="1:30" hidden="1">
      <c r="A574">
        <v>222818</v>
      </c>
      <c r="B574">
        <v>351</v>
      </c>
      <c r="C574" t="s">
        <v>3673</v>
      </c>
      <c r="E574" s="103">
        <v>45950</v>
      </c>
      <c r="F574">
        <v>1</v>
      </c>
      <c r="G574" s="1210">
        <v>45821</v>
      </c>
      <c r="I574" t="s">
        <v>301</v>
      </c>
      <c r="J574" t="s">
        <v>2082</v>
      </c>
      <c r="K574">
        <v>4500010814</v>
      </c>
      <c r="L574" t="s">
        <v>3846</v>
      </c>
      <c r="M574" t="s">
        <v>3844</v>
      </c>
      <c r="N574" t="s">
        <v>3847</v>
      </c>
      <c r="O574" t="s">
        <v>3798</v>
      </c>
      <c r="Q574" t="s">
        <v>2231</v>
      </c>
      <c r="R574" s="103">
        <v>45947</v>
      </c>
      <c r="S574" t="s">
        <v>3619</v>
      </c>
      <c r="U574" t="s">
        <v>2744</v>
      </c>
      <c r="V574" t="s">
        <v>2933</v>
      </c>
      <c r="Z574" t="s">
        <v>3848</v>
      </c>
      <c r="AD574">
        <v>1006</v>
      </c>
    </row>
    <row r="575" spans="1:30" hidden="1">
      <c r="A575">
        <v>216521</v>
      </c>
      <c r="B575">
        <v>135</v>
      </c>
      <c r="C575" t="s">
        <v>3849</v>
      </c>
      <c r="E575" s="103">
        <v>45950</v>
      </c>
      <c r="F575">
        <v>1</v>
      </c>
      <c r="G575" s="1210">
        <v>45887</v>
      </c>
      <c r="I575" t="s">
        <v>446</v>
      </c>
      <c r="J575" t="s">
        <v>2082</v>
      </c>
      <c r="K575">
        <v>4500011233</v>
      </c>
      <c r="L575" t="s">
        <v>3850</v>
      </c>
      <c r="N575" t="s">
        <v>3847</v>
      </c>
      <c r="O575" t="s">
        <v>3798</v>
      </c>
      <c r="Q575" t="s">
        <v>2231</v>
      </c>
      <c r="R575" s="103">
        <v>45947</v>
      </c>
      <c r="S575" t="s">
        <v>3619</v>
      </c>
      <c r="U575" t="s">
        <v>2744</v>
      </c>
      <c r="V575" t="s">
        <v>3851</v>
      </c>
      <c r="Z575" t="s">
        <v>3848</v>
      </c>
      <c r="AD575">
        <v>959</v>
      </c>
    </row>
    <row r="576" spans="1:30" hidden="1">
      <c r="A576">
        <v>199024</v>
      </c>
      <c r="B576">
        <v>1</v>
      </c>
      <c r="C576" t="s">
        <v>3566</v>
      </c>
      <c r="E576" s="103">
        <v>45950</v>
      </c>
      <c r="F576">
        <v>1</v>
      </c>
      <c r="G576" s="1210">
        <v>45887</v>
      </c>
      <c r="I576" t="s">
        <v>338</v>
      </c>
      <c r="J576" t="s">
        <v>2012</v>
      </c>
      <c r="K576">
        <v>4500011235</v>
      </c>
      <c r="L576" t="s">
        <v>3566</v>
      </c>
      <c r="M576" t="s">
        <v>3847</v>
      </c>
      <c r="N576" t="s">
        <v>3852</v>
      </c>
      <c r="O576" t="s">
        <v>2094</v>
      </c>
      <c r="Q576" t="s">
        <v>2231</v>
      </c>
      <c r="S576" t="s">
        <v>3853</v>
      </c>
      <c r="T576" t="s">
        <v>3854</v>
      </c>
      <c r="U576" t="s">
        <v>2744</v>
      </c>
      <c r="AD576">
        <v>14761</v>
      </c>
    </row>
    <row r="577" spans="1:30" hidden="1">
      <c r="A577">
        <v>222146</v>
      </c>
      <c r="B577">
        <v>55</v>
      </c>
      <c r="C577" t="s">
        <v>3678</v>
      </c>
      <c r="E577" s="103">
        <v>45951</v>
      </c>
      <c r="F577">
        <v>1</v>
      </c>
      <c r="G577" s="1210">
        <v>45807</v>
      </c>
      <c r="I577" t="s">
        <v>634</v>
      </c>
      <c r="J577" t="s">
        <v>2074</v>
      </c>
      <c r="K577">
        <v>4500010705</v>
      </c>
      <c r="L577" t="s">
        <v>3855</v>
      </c>
      <c r="M577" t="s">
        <v>3856</v>
      </c>
      <c r="N577" t="s">
        <v>3857</v>
      </c>
      <c r="O577" t="s">
        <v>2026</v>
      </c>
      <c r="P577" s="103">
        <v>45939</v>
      </c>
      <c r="Q577" t="s">
        <v>3611</v>
      </c>
      <c r="R577" s="103">
        <v>45946</v>
      </c>
      <c r="S577" t="s">
        <v>2281</v>
      </c>
      <c r="U577" t="s">
        <v>2744</v>
      </c>
      <c r="Z577" t="s">
        <v>3858</v>
      </c>
      <c r="AA577" t="s">
        <v>3859</v>
      </c>
      <c r="AB577" t="s">
        <v>3809</v>
      </c>
      <c r="AC577" t="s">
        <v>3810</v>
      </c>
      <c r="AD577">
        <v>1108</v>
      </c>
    </row>
    <row r="578" spans="1:30" hidden="1">
      <c r="A578">
        <v>222146</v>
      </c>
      <c r="B578">
        <v>870</v>
      </c>
      <c r="C578" t="s">
        <v>3800</v>
      </c>
      <c r="E578" s="103">
        <v>45951</v>
      </c>
      <c r="F578">
        <v>1</v>
      </c>
      <c r="G578" s="1210">
        <v>45835</v>
      </c>
      <c r="I578" t="s">
        <v>634</v>
      </c>
      <c r="J578" t="s">
        <v>2074</v>
      </c>
      <c r="K578">
        <v>4500010906</v>
      </c>
      <c r="L578" t="s">
        <v>3860</v>
      </c>
      <c r="M578" t="s">
        <v>3856</v>
      </c>
      <c r="N578" t="s">
        <v>3857</v>
      </c>
      <c r="O578" t="s">
        <v>2026</v>
      </c>
      <c r="P578" s="103">
        <v>45939</v>
      </c>
      <c r="Q578" t="s">
        <v>3611</v>
      </c>
      <c r="R578" s="103">
        <v>45946</v>
      </c>
      <c r="S578" t="s">
        <v>2281</v>
      </c>
      <c r="U578" t="s">
        <v>2744</v>
      </c>
      <c r="W578" t="s">
        <v>3806</v>
      </c>
      <c r="Z578" t="s">
        <v>3858</v>
      </c>
      <c r="AA578" t="s">
        <v>3859</v>
      </c>
      <c r="AB578" t="s">
        <v>3809</v>
      </c>
      <c r="AC578" t="s">
        <v>3810</v>
      </c>
      <c r="AD578">
        <v>1978</v>
      </c>
    </row>
    <row r="579" spans="1:30" hidden="1">
      <c r="A579">
        <v>223065</v>
      </c>
      <c r="B579">
        <v>640</v>
      </c>
      <c r="C579" t="s">
        <v>3861</v>
      </c>
      <c r="E579" s="103">
        <v>45951</v>
      </c>
      <c r="F579">
        <v>1</v>
      </c>
      <c r="G579" s="1210">
        <v>45870</v>
      </c>
      <c r="I579" t="s">
        <v>670</v>
      </c>
      <c r="J579" t="s">
        <v>2074</v>
      </c>
      <c r="K579">
        <v>4500011161</v>
      </c>
      <c r="L579" t="s">
        <v>3862</v>
      </c>
      <c r="M579" t="s">
        <v>3856</v>
      </c>
      <c r="N579" t="s">
        <v>3857</v>
      </c>
      <c r="O579" t="s">
        <v>2026</v>
      </c>
      <c r="P579" s="103">
        <v>45939</v>
      </c>
      <c r="Q579" t="s">
        <v>3611</v>
      </c>
      <c r="R579" s="103">
        <v>45946</v>
      </c>
      <c r="S579" t="s">
        <v>2281</v>
      </c>
      <c r="U579" t="s">
        <v>2744</v>
      </c>
      <c r="V579" t="s">
        <v>2079</v>
      </c>
      <c r="Z579" t="s">
        <v>3858</v>
      </c>
      <c r="AA579" t="s">
        <v>3859</v>
      </c>
      <c r="AB579" t="s">
        <v>3809</v>
      </c>
      <c r="AC579" t="s">
        <v>3810</v>
      </c>
      <c r="AD579">
        <v>1640</v>
      </c>
    </row>
    <row r="580" spans="1:30" hidden="1">
      <c r="A580">
        <v>216521</v>
      </c>
      <c r="B580">
        <v>153</v>
      </c>
      <c r="C580" t="s">
        <v>3849</v>
      </c>
      <c r="E580" s="103">
        <v>45951</v>
      </c>
      <c r="F580">
        <v>1</v>
      </c>
      <c r="G580" s="1210">
        <v>45887</v>
      </c>
      <c r="I580" t="s">
        <v>446</v>
      </c>
      <c r="J580" t="s">
        <v>2082</v>
      </c>
      <c r="K580">
        <v>4500011233</v>
      </c>
      <c r="L580" t="s">
        <v>3863</v>
      </c>
      <c r="M580" t="s">
        <v>3864</v>
      </c>
      <c r="N580" t="s">
        <v>3852</v>
      </c>
      <c r="O580" t="s">
        <v>2946</v>
      </c>
      <c r="Q580" t="s">
        <v>2231</v>
      </c>
      <c r="R580" s="103">
        <v>45949</v>
      </c>
      <c r="S580" t="s">
        <v>3619</v>
      </c>
      <c r="U580" t="s">
        <v>2744</v>
      </c>
      <c r="AD580">
        <v>1112</v>
      </c>
    </row>
    <row r="581" spans="1:30" hidden="1">
      <c r="A581">
        <v>222146</v>
      </c>
      <c r="B581">
        <v>400</v>
      </c>
      <c r="C581" t="s">
        <v>3800</v>
      </c>
      <c r="E581" s="103">
        <v>45953</v>
      </c>
      <c r="F581">
        <v>1</v>
      </c>
      <c r="G581" s="1210">
        <v>45870</v>
      </c>
      <c r="I581" t="s">
        <v>634</v>
      </c>
      <c r="J581" t="s">
        <v>2074</v>
      </c>
      <c r="K581">
        <v>4500011162</v>
      </c>
      <c r="L581" t="s">
        <v>3865</v>
      </c>
      <c r="M581" t="s">
        <v>3866</v>
      </c>
      <c r="N581" t="s">
        <v>2727</v>
      </c>
      <c r="O581" t="s">
        <v>3804</v>
      </c>
      <c r="P581" s="103">
        <v>45953</v>
      </c>
      <c r="Q581" t="s">
        <v>3611</v>
      </c>
      <c r="R581" s="103">
        <v>45954</v>
      </c>
      <c r="S581" t="s">
        <v>3619</v>
      </c>
      <c r="T581" t="s">
        <v>3867</v>
      </c>
      <c r="U581" t="s">
        <v>2744</v>
      </c>
      <c r="Z581" t="s">
        <v>3848</v>
      </c>
      <c r="AB581" t="s">
        <v>2078</v>
      </c>
      <c r="AC581" t="s">
        <v>3868</v>
      </c>
      <c r="AD581">
        <v>2378</v>
      </c>
    </row>
    <row r="582" spans="1:30" hidden="1">
      <c r="A582">
        <v>222644</v>
      </c>
      <c r="B582">
        <v>2</v>
      </c>
      <c r="C582" t="s">
        <v>3755</v>
      </c>
      <c r="E582" s="103">
        <v>45957</v>
      </c>
      <c r="F582">
        <v>1</v>
      </c>
      <c r="G582" s="1210">
        <v>45821</v>
      </c>
      <c r="I582" t="s">
        <v>841</v>
      </c>
      <c r="J582" t="s">
        <v>2082</v>
      </c>
      <c r="K582">
        <v>4500010804</v>
      </c>
      <c r="L582" t="s">
        <v>3869</v>
      </c>
      <c r="N582" t="s">
        <v>3870</v>
      </c>
      <c r="O582" t="s">
        <v>2094</v>
      </c>
      <c r="P582" s="103">
        <v>45952</v>
      </c>
      <c r="Q582" t="s">
        <v>2231</v>
      </c>
      <c r="R582" s="103">
        <v>45956</v>
      </c>
      <c r="S582" t="s">
        <v>2806</v>
      </c>
      <c r="T582" t="s">
        <v>3871</v>
      </c>
      <c r="U582" t="s">
        <v>2744</v>
      </c>
      <c r="V582" t="s">
        <v>2815</v>
      </c>
      <c r="AD582">
        <v>2</v>
      </c>
    </row>
    <row r="583" spans="1:30" hidden="1">
      <c r="A583">
        <v>222644</v>
      </c>
      <c r="B583">
        <v>2</v>
      </c>
      <c r="C583" t="s">
        <v>3755</v>
      </c>
      <c r="E583" s="103">
        <v>45957</v>
      </c>
      <c r="F583">
        <v>1</v>
      </c>
      <c r="G583" s="1210">
        <v>45821</v>
      </c>
      <c r="I583" t="s">
        <v>841</v>
      </c>
      <c r="J583" t="s">
        <v>2082</v>
      </c>
      <c r="K583">
        <v>4500010804</v>
      </c>
      <c r="L583" t="s">
        <v>3869</v>
      </c>
      <c r="N583" t="s">
        <v>3870</v>
      </c>
      <c r="O583" t="s">
        <v>2094</v>
      </c>
      <c r="P583" s="103">
        <v>45952</v>
      </c>
      <c r="Q583" t="s">
        <v>2231</v>
      </c>
      <c r="R583" s="103">
        <v>45956</v>
      </c>
      <c r="S583" t="s">
        <v>3245</v>
      </c>
      <c r="T583" t="s">
        <v>3872</v>
      </c>
      <c r="U583" t="s">
        <v>2744</v>
      </c>
      <c r="V583" t="s">
        <v>2815</v>
      </c>
      <c r="AD583">
        <v>4</v>
      </c>
    </row>
    <row r="584" spans="1:30" hidden="1">
      <c r="A584">
        <v>222644</v>
      </c>
      <c r="B584">
        <v>2</v>
      </c>
      <c r="C584" t="s">
        <v>3755</v>
      </c>
      <c r="E584" s="103">
        <v>45957</v>
      </c>
      <c r="F584">
        <v>1</v>
      </c>
      <c r="G584" s="1210">
        <v>45821</v>
      </c>
      <c r="I584" t="s">
        <v>841</v>
      </c>
      <c r="J584" t="s">
        <v>2082</v>
      </c>
      <c r="K584">
        <v>4500010804</v>
      </c>
      <c r="L584" t="s">
        <v>3869</v>
      </c>
      <c r="N584" t="s">
        <v>3870</v>
      </c>
      <c r="O584" t="s">
        <v>2094</v>
      </c>
      <c r="P584" s="103">
        <v>45952</v>
      </c>
      <c r="Q584" t="s">
        <v>2231</v>
      </c>
      <c r="R584" s="103">
        <v>45956</v>
      </c>
      <c r="S584" t="s">
        <v>2961</v>
      </c>
      <c r="T584" t="s">
        <v>3873</v>
      </c>
      <c r="U584" t="s">
        <v>2744</v>
      </c>
      <c r="V584" t="s">
        <v>2815</v>
      </c>
      <c r="AD584">
        <v>6</v>
      </c>
    </row>
    <row r="585" spans="1:30" hidden="1">
      <c r="A585">
        <v>222645</v>
      </c>
      <c r="B585">
        <v>2</v>
      </c>
      <c r="C585" t="s">
        <v>3749</v>
      </c>
      <c r="E585" s="103">
        <v>45957</v>
      </c>
      <c r="F585">
        <v>1</v>
      </c>
      <c r="G585" s="1210">
        <v>45821</v>
      </c>
      <c r="I585" t="s">
        <v>625</v>
      </c>
      <c r="J585" t="s">
        <v>2082</v>
      </c>
      <c r="K585">
        <v>4500010807</v>
      </c>
      <c r="L585" t="s">
        <v>3751</v>
      </c>
      <c r="N585" t="s">
        <v>3870</v>
      </c>
      <c r="O585" t="s">
        <v>2094</v>
      </c>
      <c r="P585" s="103">
        <v>45952</v>
      </c>
      <c r="Q585" t="s">
        <v>2231</v>
      </c>
      <c r="R585" s="103">
        <v>45956</v>
      </c>
      <c r="S585" t="s">
        <v>2806</v>
      </c>
      <c r="T585" t="s">
        <v>3871</v>
      </c>
      <c r="U585" t="s">
        <v>2744</v>
      </c>
      <c r="V585" t="s">
        <v>2815</v>
      </c>
      <c r="AD585">
        <v>2</v>
      </c>
    </row>
    <row r="586" spans="1:30" hidden="1">
      <c r="A586">
        <v>222645</v>
      </c>
      <c r="B586">
        <v>2</v>
      </c>
      <c r="C586" t="s">
        <v>3749</v>
      </c>
      <c r="E586" s="103">
        <v>45957</v>
      </c>
      <c r="F586">
        <v>1</v>
      </c>
      <c r="G586" s="1210">
        <v>45821</v>
      </c>
      <c r="I586" t="s">
        <v>625</v>
      </c>
      <c r="J586" t="s">
        <v>2082</v>
      </c>
      <c r="K586">
        <v>4500010807</v>
      </c>
      <c r="L586" t="s">
        <v>3751</v>
      </c>
      <c r="N586" t="s">
        <v>3870</v>
      </c>
      <c r="O586" t="s">
        <v>2094</v>
      </c>
      <c r="P586" s="103">
        <v>45952</v>
      </c>
      <c r="Q586" t="s">
        <v>2231</v>
      </c>
      <c r="R586" s="103">
        <v>45956</v>
      </c>
      <c r="S586" t="s">
        <v>3245</v>
      </c>
      <c r="T586" t="s">
        <v>3872</v>
      </c>
      <c r="U586" t="s">
        <v>2744</v>
      </c>
      <c r="V586" t="s">
        <v>2815</v>
      </c>
      <c r="AD586">
        <v>4</v>
      </c>
    </row>
    <row r="587" spans="1:30" hidden="1">
      <c r="A587">
        <v>222645</v>
      </c>
      <c r="B587">
        <v>2</v>
      </c>
      <c r="C587" t="s">
        <v>3749</v>
      </c>
      <c r="E587" s="103">
        <v>45957</v>
      </c>
      <c r="F587">
        <v>1</v>
      </c>
      <c r="G587" s="1210">
        <v>45821</v>
      </c>
      <c r="I587" t="s">
        <v>625</v>
      </c>
      <c r="J587" t="s">
        <v>2082</v>
      </c>
      <c r="K587">
        <v>4500010807</v>
      </c>
      <c r="L587" t="s">
        <v>3751</v>
      </c>
      <c r="N587" t="s">
        <v>3870</v>
      </c>
      <c r="O587" t="s">
        <v>2094</v>
      </c>
      <c r="P587" s="103">
        <v>45952</v>
      </c>
      <c r="Q587" t="s">
        <v>2231</v>
      </c>
      <c r="R587" s="103">
        <v>45956</v>
      </c>
      <c r="S587" t="s">
        <v>2961</v>
      </c>
      <c r="T587" t="s">
        <v>3873</v>
      </c>
      <c r="U587" t="s">
        <v>2744</v>
      </c>
      <c r="V587" t="s">
        <v>2815</v>
      </c>
      <c r="AD587">
        <v>6</v>
      </c>
    </row>
    <row r="588" spans="1:30" hidden="1">
      <c r="A588">
        <v>216518</v>
      </c>
      <c r="B588">
        <v>90</v>
      </c>
      <c r="C588" t="s">
        <v>3874</v>
      </c>
      <c r="E588" s="103">
        <v>45959</v>
      </c>
      <c r="F588">
        <v>1</v>
      </c>
      <c r="G588" s="1210">
        <v>45807</v>
      </c>
      <c r="I588" t="s">
        <v>411</v>
      </c>
      <c r="J588" t="s">
        <v>2082</v>
      </c>
      <c r="K588">
        <v>4500010695</v>
      </c>
      <c r="L588" t="s">
        <v>3146</v>
      </c>
      <c r="M588" t="s">
        <v>3864</v>
      </c>
      <c r="N588" t="s">
        <v>3852</v>
      </c>
      <c r="O588" t="s">
        <v>2026</v>
      </c>
      <c r="P588" s="103">
        <v>45950</v>
      </c>
      <c r="Q588" t="s">
        <v>2231</v>
      </c>
      <c r="R588" s="103">
        <v>45954</v>
      </c>
      <c r="S588" t="s">
        <v>2281</v>
      </c>
      <c r="U588" t="s">
        <v>2744</v>
      </c>
      <c r="AB588" t="s">
        <v>3875</v>
      </c>
      <c r="AC588" t="s">
        <v>3866</v>
      </c>
      <c r="AD588">
        <v>536</v>
      </c>
    </row>
    <row r="589" spans="1:30" hidden="1">
      <c r="A589">
        <v>216524</v>
      </c>
      <c r="B589">
        <v>216</v>
      </c>
      <c r="C589" t="s">
        <v>3876</v>
      </c>
      <c r="E589" s="103">
        <v>45959</v>
      </c>
      <c r="F589">
        <v>1</v>
      </c>
      <c r="G589" s="1210">
        <v>45807</v>
      </c>
      <c r="I589" t="s">
        <v>451</v>
      </c>
      <c r="J589" t="s">
        <v>2082</v>
      </c>
      <c r="K589">
        <v>4500010698</v>
      </c>
      <c r="L589" t="s">
        <v>3877</v>
      </c>
      <c r="M589" t="s">
        <v>3864</v>
      </c>
      <c r="N589" t="s">
        <v>3852</v>
      </c>
      <c r="O589" t="s">
        <v>2026</v>
      </c>
      <c r="P589" s="103">
        <v>45950</v>
      </c>
      <c r="Q589" t="s">
        <v>2231</v>
      </c>
      <c r="R589" s="103">
        <v>45954</v>
      </c>
      <c r="S589" t="s">
        <v>2281</v>
      </c>
      <c r="U589" t="s">
        <v>2744</v>
      </c>
      <c r="V589" t="s">
        <v>3851</v>
      </c>
      <c r="AB589" t="s">
        <v>3875</v>
      </c>
      <c r="AC589" t="s">
        <v>3866</v>
      </c>
      <c r="AD589">
        <v>1036</v>
      </c>
    </row>
    <row r="590" spans="1:30" hidden="1">
      <c r="A590">
        <v>216787</v>
      </c>
      <c r="B590">
        <v>216</v>
      </c>
      <c r="C590" t="s">
        <v>3740</v>
      </c>
      <c r="E590" s="103">
        <v>45959</v>
      </c>
      <c r="F590">
        <v>1</v>
      </c>
      <c r="G590" s="1210">
        <v>45814</v>
      </c>
      <c r="I590" t="s">
        <v>488</v>
      </c>
      <c r="J590" t="s">
        <v>2082</v>
      </c>
      <c r="K590">
        <v>4500010747</v>
      </c>
      <c r="L590" t="s">
        <v>3878</v>
      </c>
      <c r="M590" t="s">
        <v>3879</v>
      </c>
      <c r="N590" t="s">
        <v>3852</v>
      </c>
      <c r="O590" t="s">
        <v>2026</v>
      </c>
      <c r="P590" s="103">
        <v>45950</v>
      </c>
      <c r="Q590" t="s">
        <v>2231</v>
      </c>
      <c r="R590" s="103">
        <v>45954</v>
      </c>
      <c r="S590" t="s">
        <v>2281</v>
      </c>
      <c r="U590" t="s">
        <v>2744</v>
      </c>
      <c r="AB590" t="s">
        <v>3875</v>
      </c>
      <c r="AC590" t="s">
        <v>3866</v>
      </c>
      <c r="AD590">
        <v>1504</v>
      </c>
    </row>
    <row r="591" spans="1:30" hidden="1">
      <c r="A591">
        <v>223058</v>
      </c>
      <c r="B591">
        <v>100</v>
      </c>
      <c r="C591" t="s">
        <v>3685</v>
      </c>
      <c r="E591" s="103">
        <v>45959</v>
      </c>
      <c r="F591">
        <v>1</v>
      </c>
      <c r="G591" s="1210">
        <v>45887</v>
      </c>
      <c r="I591" t="s">
        <v>726</v>
      </c>
      <c r="J591" t="s">
        <v>2082</v>
      </c>
      <c r="K591">
        <v>4500011231</v>
      </c>
      <c r="L591" t="s">
        <v>3880</v>
      </c>
      <c r="M591" t="s">
        <v>3847</v>
      </c>
      <c r="N591" t="s">
        <v>3852</v>
      </c>
      <c r="O591" t="s">
        <v>2026</v>
      </c>
      <c r="P591" s="103">
        <v>45950</v>
      </c>
      <c r="Q591" t="s">
        <v>2231</v>
      </c>
      <c r="R591" s="103">
        <v>45954</v>
      </c>
      <c r="S591" t="s">
        <v>2281</v>
      </c>
      <c r="U591" t="s">
        <v>2744</v>
      </c>
      <c r="AB591" t="s">
        <v>3875</v>
      </c>
      <c r="AC591" t="s">
        <v>3866</v>
      </c>
      <c r="AD591">
        <v>1655</v>
      </c>
    </row>
    <row r="592" spans="1:30" hidden="1">
      <c r="A592">
        <v>199024</v>
      </c>
      <c r="B592">
        <v>419</v>
      </c>
      <c r="C592" t="s">
        <v>3566</v>
      </c>
      <c r="D592" t="s">
        <v>2101</v>
      </c>
      <c r="E592" s="103">
        <v>45961</v>
      </c>
      <c r="F592">
        <v>1</v>
      </c>
      <c r="G592" s="1210">
        <v>45887</v>
      </c>
      <c r="I592" t="s">
        <v>338</v>
      </c>
      <c r="J592" t="s">
        <v>2012</v>
      </c>
      <c r="K592">
        <v>4500011235</v>
      </c>
      <c r="L592" t="s">
        <v>3881</v>
      </c>
      <c r="M592" t="s">
        <v>3847</v>
      </c>
      <c r="N592" t="s">
        <v>3852</v>
      </c>
      <c r="O592" t="s">
        <v>2026</v>
      </c>
      <c r="P592" s="103">
        <v>45954</v>
      </c>
      <c r="Q592" t="s">
        <v>2231</v>
      </c>
      <c r="R592" s="103">
        <v>45958</v>
      </c>
      <c r="S592" t="s">
        <v>2281</v>
      </c>
      <c r="U592" t="s">
        <v>2744</v>
      </c>
      <c r="AD592">
        <v>15180</v>
      </c>
    </row>
    <row r="593" spans="1:30" hidden="1">
      <c r="A593">
        <v>199023</v>
      </c>
      <c r="B593">
        <v>700</v>
      </c>
      <c r="C593" t="s">
        <v>3784</v>
      </c>
      <c r="D593" t="s">
        <v>2101</v>
      </c>
      <c r="E593" s="103">
        <v>45961</v>
      </c>
      <c r="F593">
        <v>1</v>
      </c>
      <c r="G593" s="1210">
        <v>45887</v>
      </c>
      <c r="I593" t="s">
        <v>465</v>
      </c>
      <c r="J593" t="s">
        <v>2012</v>
      </c>
      <c r="K593">
        <v>4500011237</v>
      </c>
      <c r="L593" t="s">
        <v>3785</v>
      </c>
      <c r="M593" t="s">
        <v>3847</v>
      </c>
      <c r="N593" t="s">
        <v>3852</v>
      </c>
      <c r="O593" t="s">
        <v>2026</v>
      </c>
      <c r="P593" s="103">
        <v>45954</v>
      </c>
      <c r="Q593" t="s">
        <v>2231</v>
      </c>
      <c r="R593" s="103">
        <v>45958</v>
      </c>
      <c r="S593" t="s">
        <v>2281</v>
      </c>
      <c r="U593" t="s">
        <v>2744</v>
      </c>
      <c r="AD593">
        <v>5230</v>
      </c>
    </row>
    <row r="594" spans="1:30" hidden="1">
      <c r="A594">
        <v>222649</v>
      </c>
      <c r="B594">
        <v>2</v>
      </c>
      <c r="C594" t="s">
        <v>3765</v>
      </c>
      <c r="E594" s="103">
        <v>45965</v>
      </c>
      <c r="F594">
        <v>1</v>
      </c>
      <c r="G594" s="1210">
        <v>45842</v>
      </c>
      <c r="I594" t="s">
        <v>709</v>
      </c>
      <c r="J594" t="s">
        <v>2082</v>
      </c>
      <c r="K594">
        <v>4500010934</v>
      </c>
      <c r="L594" t="s">
        <v>3882</v>
      </c>
      <c r="N594" t="s">
        <v>3883</v>
      </c>
      <c r="O594" t="s">
        <v>2094</v>
      </c>
      <c r="P594" s="103">
        <v>45959</v>
      </c>
      <c r="Q594" t="s">
        <v>2231</v>
      </c>
      <c r="R594" s="103">
        <v>45963</v>
      </c>
      <c r="S594" t="s">
        <v>2806</v>
      </c>
      <c r="T594" t="s">
        <v>3884</v>
      </c>
      <c r="U594" t="s">
        <v>2744</v>
      </c>
      <c r="V594" t="s">
        <v>2815</v>
      </c>
      <c r="AD594">
        <v>2</v>
      </c>
    </row>
    <row r="595" spans="1:30" hidden="1">
      <c r="A595">
        <v>222649</v>
      </c>
      <c r="B595">
        <v>2</v>
      </c>
      <c r="C595" t="s">
        <v>3765</v>
      </c>
      <c r="E595" s="103">
        <v>45965</v>
      </c>
      <c r="F595">
        <v>1</v>
      </c>
      <c r="G595" s="1210">
        <v>45842</v>
      </c>
      <c r="I595" t="s">
        <v>709</v>
      </c>
      <c r="J595" t="s">
        <v>2082</v>
      </c>
      <c r="K595">
        <v>4500010934</v>
      </c>
      <c r="L595" t="s">
        <v>3882</v>
      </c>
      <c r="N595" t="s">
        <v>3883</v>
      </c>
      <c r="O595" t="s">
        <v>2094</v>
      </c>
      <c r="P595" s="103">
        <v>45959</v>
      </c>
      <c r="Q595" t="s">
        <v>2231</v>
      </c>
      <c r="R595" s="103">
        <v>45963</v>
      </c>
      <c r="S595" t="s">
        <v>3245</v>
      </c>
      <c r="T595" t="s">
        <v>3885</v>
      </c>
      <c r="U595" t="s">
        <v>2744</v>
      </c>
      <c r="V595" t="s">
        <v>2815</v>
      </c>
      <c r="AD595">
        <v>4</v>
      </c>
    </row>
    <row r="596" spans="1:30" hidden="1">
      <c r="A596">
        <v>222650</v>
      </c>
      <c r="B596">
        <v>2</v>
      </c>
      <c r="C596" t="s">
        <v>3769</v>
      </c>
      <c r="E596" s="103">
        <v>45965</v>
      </c>
      <c r="F596">
        <v>1</v>
      </c>
      <c r="G596" s="1210">
        <v>45842</v>
      </c>
      <c r="I596" t="s">
        <v>765</v>
      </c>
      <c r="J596" t="s">
        <v>2082</v>
      </c>
      <c r="K596">
        <v>4500010938</v>
      </c>
      <c r="L596" t="s">
        <v>3886</v>
      </c>
      <c r="N596" t="s">
        <v>3883</v>
      </c>
      <c r="O596" t="s">
        <v>2094</v>
      </c>
      <c r="P596" s="103">
        <v>45959</v>
      </c>
      <c r="Q596" t="s">
        <v>2231</v>
      </c>
      <c r="R596" s="103">
        <v>45963</v>
      </c>
      <c r="S596" t="s">
        <v>2806</v>
      </c>
      <c r="T596" t="s">
        <v>3884</v>
      </c>
      <c r="U596" t="s">
        <v>2744</v>
      </c>
      <c r="V596" t="s">
        <v>2815</v>
      </c>
      <c r="AD596">
        <v>2</v>
      </c>
    </row>
    <row r="597" spans="1:30" hidden="1">
      <c r="A597">
        <v>222650</v>
      </c>
      <c r="B597">
        <v>2</v>
      </c>
      <c r="C597" t="s">
        <v>3769</v>
      </c>
      <c r="E597" s="103">
        <v>45965</v>
      </c>
      <c r="F597">
        <v>1</v>
      </c>
      <c r="G597" s="1210">
        <v>45842</v>
      </c>
      <c r="I597" t="s">
        <v>765</v>
      </c>
      <c r="J597" t="s">
        <v>2082</v>
      </c>
      <c r="K597">
        <v>4500010938</v>
      </c>
      <c r="L597" t="s">
        <v>3886</v>
      </c>
      <c r="N597" t="s">
        <v>3883</v>
      </c>
      <c r="O597" t="s">
        <v>2094</v>
      </c>
      <c r="P597" s="103">
        <v>45959</v>
      </c>
      <c r="Q597" t="s">
        <v>2231</v>
      </c>
      <c r="R597" s="103">
        <v>45963</v>
      </c>
      <c r="S597" t="s">
        <v>3245</v>
      </c>
      <c r="T597" t="s">
        <v>3885</v>
      </c>
      <c r="U597" t="s">
        <v>2744</v>
      </c>
      <c r="V597" t="s">
        <v>2815</v>
      </c>
      <c r="AD597">
        <v>4</v>
      </c>
    </row>
    <row r="598" spans="1:30" hidden="1">
      <c r="A598">
        <v>201900</v>
      </c>
      <c r="B598">
        <v>300</v>
      </c>
      <c r="C598" t="s">
        <v>3720</v>
      </c>
      <c r="E598" s="103">
        <v>45966</v>
      </c>
      <c r="F598">
        <v>1</v>
      </c>
      <c r="G598" s="1210">
        <v>45887</v>
      </c>
      <c r="I598" t="s">
        <v>327</v>
      </c>
      <c r="J598" t="s">
        <v>2012</v>
      </c>
      <c r="K598">
        <v>4500011234</v>
      </c>
      <c r="L598" t="s">
        <v>3887</v>
      </c>
      <c r="M598" t="s">
        <v>3883</v>
      </c>
      <c r="N598" t="s">
        <v>3888</v>
      </c>
      <c r="O598" t="s">
        <v>3798</v>
      </c>
      <c r="Q598" t="s">
        <v>2231</v>
      </c>
      <c r="S598" t="s">
        <v>3619</v>
      </c>
      <c r="U598" t="s">
        <v>2744</v>
      </c>
      <c r="AD598">
        <v>7378</v>
      </c>
    </row>
    <row r="599" spans="1:30" hidden="1">
      <c r="A599">
        <v>199022</v>
      </c>
      <c r="B599">
        <v>100</v>
      </c>
      <c r="C599" t="s">
        <v>3836</v>
      </c>
      <c r="E599" s="103">
        <v>45966</v>
      </c>
      <c r="F599">
        <v>1</v>
      </c>
      <c r="G599" s="1210">
        <v>45887</v>
      </c>
      <c r="I599" t="s">
        <v>460</v>
      </c>
      <c r="J599" t="s">
        <v>2012</v>
      </c>
      <c r="K599">
        <v>4500011236</v>
      </c>
      <c r="L599" t="s">
        <v>3837</v>
      </c>
      <c r="M599" t="s">
        <v>3883</v>
      </c>
      <c r="N599" t="s">
        <v>3888</v>
      </c>
      <c r="O599" t="s">
        <v>3798</v>
      </c>
      <c r="Q599" t="s">
        <v>2231</v>
      </c>
      <c r="S599" t="s">
        <v>3619</v>
      </c>
      <c r="U599" t="s">
        <v>2744</v>
      </c>
      <c r="AD599">
        <v>2270</v>
      </c>
    </row>
    <row r="600" spans="1:30" hidden="1">
      <c r="A600">
        <v>222644</v>
      </c>
      <c r="B600">
        <v>470</v>
      </c>
      <c r="C600" t="s">
        <v>3755</v>
      </c>
      <c r="E600" s="103">
        <v>45967</v>
      </c>
      <c r="F600">
        <v>1</v>
      </c>
      <c r="G600" s="1210">
        <v>45821</v>
      </c>
      <c r="I600" t="s">
        <v>841</v>
      </c>
      <c r="J600" t="s">
        <v>2082</v>
      </c>
      <c r="K600">
        <v>4500010805</v>
      </c>
      <c r="L600" t="s">
        <v>3889</v>
      </c>
      <c r="M600" t="s">
        <v>3890</v>
      </c>
      <c r="N600" t="s">
        <v>3891</v>
      </c>
      <c r="O600" t="s">
        <v>2026</v>
      </c>
      <c r="P600" s="103">
        <v>45958</v>
      </c>
      <c r="Q600" t="s">
        <v>2231</v>
      </c>
      <c r="R600" s="103">
        <v>45963</v>
      </c>
      <c r="S600" t="s">
        <v>2281</v>
      </c>
      <c r="U600" t="s">
        <v>2744</v>
      </c>
      <c r="V600" t="s">
        <v>2933</v>
      </c>
      <c r="AB600" t="s">
        <v>3892</v>
      </c>
      <c r="AC600" t="s">
        <v>3893</v>
      </c>
      <c r="AD600">
        <v>476</v>
      </c>
    </row>
    <row r="601" spans="1:30" hidden="1">
      <c r="A601">
        <v>222644</v>
      </c>
      <c r="B601">
        <v>6</v>
      </c>
      <c r="C601" t="s">
        <v>3755</v>
      </c>
      <c r="E601" s="103">
        <v>45967</v>
      </c>
      <c r="F601">
        <v>1</v>
      </c>
      <c r="G601" s="1210">
        <v>45821</v>
      </c>
      <c r="I601" t="s">
        <v>841</v>
      </c>
      <c r="J601" t="s">
        <v>2082</v>
      </c>
      <c r="K601">
        <v>4500010805</v>
      </c>
      <c r="L601" t="s">
        <v>3894</v>
      </c>
      <c r="M601" t="s">
        <v>3890</v>
      </c>
      <c r="N601" t="s">
        <v>3895</v>
      </c>
      <c r="O601" t="s">
        <v>2094</v>
      </c>
      <c r="Q601" t="s">
        <v>2231</v>
      </c>
      <c r="S601" t="s">
        <v>2806</v>
      </c>
      <c r="T601" t="s">
        <v>3896</v>
      </c>
      <c r="U601" t="s">
        <v>2744</v>
      </c>
      <c r="V601" t="s">
        <v>2088</v>
      </c>
      <c r="W601" t="s">
        <v>2089</v>
      </c>
      <c r="AD601">
        <v>482</v>
      </c>
    </row>
    <row r="602" spans="1:30" hidden="1">
      <c r="A602">
        <v>222645</v>
      </c>
      <c r="B602">
        <v>300</v>
      </c>
      <c r="C602" t="s">
        <v>3749</v>
      </c>
      <c r="E602" s="103">
        <v>45967</v>
      </c>
      <c r="F602">
        <v>1</v>
      </c>
      <c r="G602" s="1210">
        <v>45821</v>
      </c>
      <c r="I602" t="s">
        <v>625</v>
      </c>
      <c r="J602" t="s">
        <v>2082</v>
      </c>
      <c r="K602">
        <v>4500010808</v>
      </c>
      <c r="L602" t="s">
        <v>3897</v>
      </c>
      <c r="M602" t="s">
        <v>2727</v>
      </c>
      <c r="N602" t="s">
        <v>3891</v>
      </c>
      <c r="O602" t="s">
        <v>2026</v>
      </c>
      <c r="P602" s="103">
        <v>45958</v>
      </c>
      <c r="Q602" t="s">
        <v>2231</v>
      </c>
      <c r="R602" s="103">
        <v>45963</v>
      </c>
      <c r="S602" t="s">
        <v>2281</v>
      </c>
      <c r="U602" t="s">
        <v>2744</v>
      </c>
      <c r="V602" t="s">
        <v>2933</v>
      </c>
      <c r="AB602" t="s">
        <v>3892</v>
      </c>
      <c r="AC602" t="s">
        <v>3893</v>
      </c>
      <c r="AD602">
        <v>306</v>
      </c>
    </row>
    <row r="603" spans="1:30" hidden="1">
      <c r="A603">
        <v>222649</v>
      </c>
      <c r="B603">
        <v>2</v>
      </c>
      <c r="C603" t="s">
        <v>3765</v>
      </c>
      <c r="E603" s="103">
        <v>45967</v>
      </c>
      <c r="F603">
        <v>1</v>
      </c>
      <c r="G603" s="1210">
        <v>45842</v>
      </c>
      <c r="I603" t="s">
        <v>709</v>
      </c>
      <c r="J603" t="s">
        <v>2082</v>
      </c>
      <c r="K603">
        <v>4500010934</v>
      </c>
      <c r="L603" t="s">
        <v>3882</v>
      </c>
      <c r="N603" t="s">
        <v>3883</v>
      </c>
      <c r="O603" t="s">
        <v>2094</v>
      </c>
      <c r="P603" s="103">
        <v>45959</v>
      </c>
      <c r="Q603" t="s">
        <v>2231</v>
      </c>
      <c r="R603" s="103">
        <v>45963</v>
      </c>
      <c r="S603" t="s">
        <v>2961</v>
      </c>
      <c r="T603" t="s">
        <v>3898</v>
      </c>
      <c r="U603" t="s">
        <v>2744</v>
      </c>
      <c r="V603" t="s">
        <v>2815</v>
      </c>
      <c r="AD603">
        <v>6</v>
      </c>
    </row>
    <row r="604" spans="1:30" hidden="1">
      <c r="A604">
        <v>222650</v>
      </c>
      <c r="B604">
        <v>2</v>
      </c>
      <c r="C604" t="s">
        <v>3769</v>
      </c>
      <c r="E604" s="103">
        <v>45967</v>
      </c>
      <c r="F604">
        <v>1</v>
      </c>
      <c r="G604" s="1210">
        <v>45842</v>
      </c>
      <c r="I604" t="s">
        <v>765</v>
      </c>
      <c r="J604" t="s">
        <v>2082</v>
      </c>
      <c r="K604">
        <v>4500010938</v>
      </c>
      <c r="L604" t="s">
        <v>3886</v>
      </c>
      <c r="N604" t="s">
        <v>3883</v>
      </c>
      <c r="O604" t="s">
        <v>2094</v>
      </c>
      <c r="P604" s="103">
        <v>45959</v>
      </c>
      <c r="Q604" t="s">
        <v>2231</v>
      </c>
      <c r="R604" s="103">
        <v>45963</v>
      </c>
      <c r="S604" t="s">
        <v>2961</v>
      </c>
      <c r="T604" t="s">
        <v>3898</v>
      </c>
      <c r="U604" t="s">
        <v>2744</v>
      </c>
      <c r="V604" t="s">
        <v>2815</v>
      </c>
      <c r="AD604">
        <v>6</v>
      </c>
    </row>
    <row r="605" spans="1:30" hidden="1">
      <c r="A605">
        <v>222818</v>
      </c>
      <c r="B605">
        <v>1000</v>
      </c>
      <c r="C605" t="s">
        <v>3673</v>
      </c>
      <c r="E605" s="103">
        <v>45971</v>
      </c>
      <c r="F605">
        <v>1</v>
      </c>
      <c r="G605" s="1210">
        <v>45821</v>
      </c>
      <c r="I605" t="s">
        <v>301</v>
      </c>
      <c r="J605" t="s">
        <v>2082</v>
      </c>
      <c r="K605">
        <v>4500010815</v>
      </c>
      <c r="L605" t="s">
        <v>3899</v>
      </c>
      <c r="M605" t="s">
        <v>3900</v>
      </c>
      <c r="N605" t="s">
        <v>3891</v>
      </c>
      <c r="O605" t="s">
        <v>2026</v>
      </c>
      <c r="P605" s="103">
        <v>45959</v>
      </c>
      <c r="Q605" t="s">
        <v>2231</v>
      </c>
      <c r="R605" s="103">
        <v>45963</v>
      </c>
      <c r="S605" t="s">
        <v>2281</v>
      </c>
      <c r="U605" t="s">
        <v>2744</v>
      </c>
      <c r="V605" t="s">
        <v>3851</v>
      </c>
      <c r="Z605" t="s">
        <v>3901</v>
      </c>
      <c r="AB605" t="s">
        <v>3892</v>
      </c>
      <c r="AC605" t="s">
        <v>3893</v>
      </c>
      <c r="AD605">
        <v>2006</v>
      </c>
    </row>
    <row r="606" spans="1:30" hidden="1">
      <c r="A606">
        <v>199024</v>
      </c>
      <c r="B606">
        <v>600</v>
      </c>
      <c r="C606" t="s">
        <v>3566</v>
      </c>
      <c r="E606" s="103">
        <v>45971</v>
      </c>
      <c r="F606">
        <v>1</v>
      </c>
      <c r="G606" s="1210">
        <v>45887</v>
      </c>
      <c r="I606" t="s">
        <v>338</v>
      </c>
      <c r="J606" t="s">
        <v>2012</v>
      </c>
      <c r="K606">
        <v>4500011235</v>
      </c>
      <c r="L606" t="s">
        <v>3902</v>
      </c>
      <c r="M606" t="s">
        <v>3847</v>
      </c>
      <c r="N606" t="s">
        <v>3852</v>
      </c>
      <c r="O606" t="s">
        <v>2026</v>
      </c>
      <c r="P606" s="103">
        <v>45964</v>
      </c>
      <c r="Q606" t="s">
        <v>2231</v>
      </c>
      <c r="R606" s="103">
        <v>45968</v>
      </c>
      <c r="S606" t="s">
        <v>2281</v>
      </c>
      <c r="U606" t="s">
        <v>2744</v>
      </c>
      <c r="AD606">
        <v>15780</v>
      </c>
    </row>
    <row r="607" spans="1:30" hidden="1">
      <c r="A607">
        <v>223062</v>
      </c>
      <c r="B607">
        <v>100</v>
      </c>
      <c r="C607" t="s">
        <v>2997</v>
      </c>
      <c r="E607" s="103">
        <v>45972</v>
      </c>
      <c r="F607">
        <v>1</v>
      </c>
      <c r="G607" s="1210">
        <v>45807</v>
      </c>
      <c r="I607" t="s">
        <v>748</v>
      </c>
      <c r="J607" t="s">
        <v>2082</v>
      </c>
      <c r="K607">
        <v>4500010701</v>
      </c>
      <c r="L607" t="s">
        <v>3418</v>
      </c>
      <c r="M607" t="s">
        <v>3903</v>
      </c>
      <c r="N607" t="s">
        <v>3904</v>
      </c>
      <c r="O607" t="s">
        <v>2094</v>
      </c>
      <c r="P607" s="103">
        <v>45965</v>
      </c>
      <c r="Q607" t="s">
        <v>2231</v>
      </c>
      <c r="R607" s="103">
        <v>45969</v>
      </c>
      <c r="S607" t="s">
        <v>2281</v>
      </c>
      <c r="T607" t="s">
        <v>3905</v>
      </c>
      <c r="U607" t="s">
        <v>2744</v>
      </c>
      <c r="V607" t="s">
        <v>2086</v>
      </c>
      <c r="W607" t="s">
        <v>2087</v>
      </c>
      <c r="Z607" t="s">
        <v>3906</v>
      </c>
      <c r="AD607">
        <v>6799</v>
      </c>
    </row>
    <row r="608" spans="1:30" hidden="1">
      <c r="A608">
        <v>281820</v>
      </c>
      <c r="B608">
        <v>1</v>
      </c>
      <c r="C608" t="s">
        <v>2775</v>
      </c>
      <c r="E608" s="103">
        <v>45974</v>
      </c>
      <c r="F608">
        <v>3</v>
      </c>
      <c r="G608" s="1210">
        <v>45926</v>
      </c>
      <c r="I608" t="s">
        <v>3907</v>
      </c>
      <c r="J608" t="s">
        <v>2012</v>
      </c>
      <c r="K608">
        <v>4500011511</v>
      </c>
      <c r="L608" t="s">
        <v>2775</v>
      </c>
      <c r="N608" t="s">
        <v>3908</v>
      </c>
      <c r="O608" t="s">
        <v>2094</v>
      </c>
      <c r="Q608" t="s">
        <v>2231</v>
      </c>
      <c r="S608" t="s">
        <v>3909</v>
      </c>
      <c r="T608" t="s">
        <v>3910</v>
      </c>
      <c r="U608" t="s">
        <v>2744</v>
      </c>
      <c r="AD608">
        <v>0</v>
      </c>
    </row>
    <row r="609" spans="1:30" hidden="1">
      <c r="A609">
        <v>201900</v>
      </c>
      <c r="B609">
        <v>700</v>
      </c>
      <c r="C609" t="s">
        <v>3720</v>
      </c>
      <c r="E609" s="103">
        <v>45975</v>
      </c>
      <c r="F609">
        <v>1</v>
      </c>
      <c r="G609" s="1210">
        <v>45887</v>
      </c>
      <c r="I609" t="s">
        <v>327</v>
      </c>
      <c r="J609" t="s">
        <v>2012</v>
      </c>
      <c r="K609">
        <v>4500011234</v>
      </c>
      <c r="L609" t="s">
        <v>3911</v>
      </c>
      <c r="M609" t="s">
        <v>3883</v>
      </c>
      <c r="N609" t="s">
        <v>3888</v>
      </c>
      <c r="O609" t="s">
        <v>2026</v>
      </c>
      <c r="P609" s="103">
        <v>45968</v>
      </c>
      <c r="Q609" t="s">
        <v>2231</v>
      </c>
      <c r="R609" s="103">
        <v>45972</v>
      </c>
      <c r="S609" t="s">
        <v>2281</v>
      </c>
      <c r="U609" t="s">
        <v>2744</v>
      </c>
      <c r="AD609">
        <v>8078</v>
      </c>
    </row>
    <row r="610" spans="1:30" hidden="1">
      <c r="A610">
        <v>199022</v>
      </c>
      <c r="B610">
        <v>200</v>
      </c>
      <c r="C610" t="s">
        <v>3836</v>
      </c>
      <c r="E610" s="103">
        <v>45975</v>
      </c>
      <c r="F610">
        <v>1</v>
      </c>
      <c r="G610" s="1210">
        <v>45887</v>
      </c>
      <c r="I610" t="s">
        <v>460</v>
      </c>
      <c r="J610" t="s">
        <v>2012</v>
      </c>
      <c r="K610">
        <v>4500011236</v>
      </c>
      <c r="L610" t="s">
        <v>3912</v>
      </c>
      <c r="M610" t="s">
        <v>3883</v>
      </c>
      <c r="N610" t="s">
        <v>3888</v>
      </c>
      <c r="O610" t="s">
        <v>2026</v>
      </c>
      <c r="P610" s="103">
        <v>45968</v>
      </c>
      <c r="Q610" t="s">
        <v>2231</v>
      </c>
      <c r="R610" s="103">
        <v>45972</v>
      </c>
      <c r="S610" t="s">
        <v>2281</v>
      </c>
      <c r="U610" t="s">
        <v>2744</v>
      </c>
      <c r="AD610">
        <v>2470</v>
      </c>
    </row>
    <row r="611" spans="1:30" hidden="1">
      <c r="A611">
        <v>199022</v>
      </c>
      <c r="B611">
        <v>200</v>
      </c>
      <c r="C611" t="s">
        <v>3836</v>
      </c>
      <c r="E611" s="103">
        <v>45975</v>
      </c>
      <c r="F611">
        <v>1</v>
      </c>
      <c r="G611" s="1210">
        <v>45887</v>
      </c>
      <c r="I611" t="s">
        <v>460</v>
      </c>
      <c r="J611" t="s">
        <v>2012</v>
      </c>
      <c r="K611">
        <v>4500011238</v>
      </c>
      <c r="L611" t="s">
        <v>3912</v>
      </c>
      <c r="M611" t="s">
        <v>3883</v>
      </c>
      <c r="N611" t="s">
        <v>3888</v>
      </c>
      <c r="O611" t="s">
        <v>2026</v>
      </c>
      <c r="P611" s="103">
        <v>45968</v>
      </c>
      <c r="Q611" t="s">
        <v>2231</v>
      </c>
      <c r="R611" s="103">
        <v>45972</v>
      </c>
      <c r="S611" t="s">
        <v>2281</v>
      </c>
      <c r="U611" t="s">
        <v>2744</v>
      </c>
      <c r="AD611">
        <v>2670</v>
      </c>
    </row>
    <row r="612" spans="1:30" hidden="1">
      <c r="A612">
        <v>201900</v>
      </c>
      <c r="B612">
        <v>800</v>
      </c>
      <c r="C612" t="s">
        <v>3720</v>
      </c>
      <c r="E612" s="103">
        <v>45975</v>
      </c>
      <c r="F612">
        <v>1</v>
      </c>
      <c r="G612" s="1210">
        <v>45891</v>
      </c>
      <c r="I612" t="s">
        <v>327</v>
      </c>
      <c r="J612" t="s">
        <v>2012</v>
      </c>
      <c r="K612">
        <v>4500011271</v>
      </c>
      <c r="L612" t="s">
        <v>3721</v>
      </c>
      <c r="M612" t="s">
        <v>3883</v>
      </c>
      <c r="N612" t="s">
        <v>3888</v>
      </c>
      <c r="O612" t="s">
        <v>2026</v>
      </c>
      <c r="P612" s="103">
        <v>45968</v>
      </c>
      <c r="Q612" t="s">
        <v>2231</v>
      </c>
      <c r="R612" s="103">
        <v>45972</v>
      </c>
      <c r="S612" t="s">
        <v>2281</v>
      </c>
      <c r="U612" t="s">
        <v>2744</v>
      </c>
      <c r="AD612">
        <v>8878</v>
      </c>
    </row>
    <row r="613" spans="1:30" hidden="1">
      <c r="A613">
        <v>210491</v>
      </c>
      <c r="B613">
        <v>130</v>
      </c>
      <c r="C613" t="s">
        <v>3699</v>
      </c>
      <c r="E613" s="103">
        <v>45978</v>
      </c>
      <c r="F613">
        <v>1</v>
      </c>
      <c r="G613" s="1210">
        <v>45793</v>
      </c>
      <c r="I613" t="s">
        <v>583</v>
      </c>
      <c r="J613" t="s">
        <v>2070</v>
      </c>
      <c r="K613">
        <v>4500010623</v>
      </c>
      <c r="L613" t="s">
        <v>3913</v>
      </c>
      <c r="M613" t="s">
        <v>3893</v>
      </c>
      <c r="N613" t="s">
        <v>3888</v>
      </c>
      <c r="O613" t="s">
        <v>2026</v>
      </c>
      <c r="P613" s="103">
        <v>45968</v>
      </c>
      <c r="Q613" t="s">
        <v>2231</v>
      </c>
      <c r="R613" s="103">
        <v>45971</v>
      </c>
      <c r="S613" t="s">
        <v>2281</v>
      </c>
      <c r="U613" t="s">
        <v>2744</v>
      </c>
      <c r="AB613" t="s">
        <v>2071</v>
      </c>
      <c r="AC613" t="s">
        <v>3914</v>
      </c>
      <c r="AD613">
        <v>3850</v>
      </c>
    </row>
    <row r="614" spans="1:30" hidden="1">
      <c r="A614">
        <v>210492</v>
      </c>
      <c r="B614">
        <v>500</v>
      </c>
      <c r="C614" t="s">
        <v>3915</v>
      </c>
      <c r="E614" s="103">
        <v>45978</v>
      </c>
      <c r="F614">
        <v>1</v>
      </c>
      <c r="G614" s="1210">
        <v>45870</v>
      </c>
      <c r="I614" t="s">
        <v>646</v>
      </c>
      <c r="J614" t="s">
        <v>2070</v>
      </c>
      <c r="K614">
        <v>4500011159</v>
      </c>
      <c r="L614" t="s">
        <v>3916</v>
      </c>
      <c r="M614" t="s">
        <v>3893</v>
      </c>
      <c r="N614" t="s">
        <v>3888</v>
      </c>
      <c r="O614" t="s">
        <v>2026</v>
      </c>
      <c r="P614" s="103">
        <v>45968</v>
      </c>
      <c r="Q614" t="s">
        <v>2231</v>
      </c>
      <c r="R614" s="103">
        <v>45971</v>
      </c>
      <c r="S614" t="s">
        <v>2281</v>
      </c>
      <c r="U614" t="s">
        <v>2744</v>
      </c>
      <c r="V614" t="s">
        <v>3917</v>
      </c>
      <c r="AB614" t="s">
        <v>2071</v>
      </c>
      <c r="AC614" t="s">
        <v>3914</v>
      </c>
      <c r="AD614">
        <v>5518</v>
      </c>
    </row>
    <row r="615" spans="1:30" hidden="1">
      <c r="A615">
        <v>295093</v>
      </c>
      <c r="B615">
        <v>5</v>
      </c>
      <c r="C615" t="s">
        <v>3918</v>
      </c>
      <c r="E615" s="103">
        <v>45978</v>
      </c>
      <c r="F615">
        <v>3</v>
      </c>
      <c r="G615" s="1210">
        <v>45975</v>
      </c>
      <c r="I615" t="s">
        <v>3919</v>
      </c>
      <c r="J615" t="s">
        <v>3920</v>
      </c>
      <c r="K615">
        <v>4500011890</v>
      </c>
      <c r="L615" t="s">
        <v>3921</v>
      </c>
      <c r="N615" t="s">
        <v>3922</v>
      </c>
      <c r="O615" t="s">
        <v>2094</v>
      </c>
      <c r="P615" s="103">
        <v>46012</v>
      </c>
      <c r="Q615" t="s">
        <v>2231</v>
      </c>
      <c r="R615" s="103">
        <v>46012</v>
      </c>
      <c r="S615" t="s">
        <v>3923</v>
      </c>
      <c r="T615" t="s">
        <v>3924</v>
      </c>
      <c r="U615" t="s">
        <v>2744</v>
      </c>
      <c r="AD615">
        <v>0</v>
      </c>
    </row>
    <row r="616" spans="1:30" hidden="1">
      <c r="A616">
        <v>222146</v>
      </c>
      <c r="B616">
        <v>28</v>
      </c>
      <c r="C616" t="s">
        <v>3800</v>
      </c>
      <c r="E616" s="103">
        <v>45980</v>
      </c>
      <c r="F616">
        <v>1</v>
      </c>
      <c r="G616" s="1210">
        <v>45835</v>
      </c>
      <c r="I616" t="s">
        <v>634</v>
      </c>
      <c r="J616" t="s">
        <v>2074</v>
      </c>
      <c r="K616">
        <v>4500010906</v>
      </c>
      <c r="L616" t="s">
        <v>3925</v>
      </c>
      <c r="M616" t="s">
        <v>3856</v>
      </c>
      <c r="N616" t="s">
        <v>3893</v>
      </c>
      <c r="O616" t="s">
        <v>2026</v>
      </c>
      <c r="P616" s="103">
        <v>45967</v>
      </c>
      <c r="Q616" t="s">
        <v>3611</v>
      </c>
      <c r="R616" s="103">
        <v>45974</v>
      </c>
      <c r="S616" t="s">
        <v>2281</v>
      </c>
      <c r="T616" t="s">
        <v>3926</v>
      </c>
      <c r="U616" t="s">
        <v>2744</v>
      </c>
      <c r="W616" t="s">
        <v>3806</v>
      </c>
      <c r="AB616" t="s">
        <v>2078</v>
      </c>
      <c r="AC616" t="s">
        <v>3868</v>
      </c>
      <c r="AD616">
        <v>2406</v>
      </c>
    </row>
    <row r="617" spans="1:30" hidden="1">
      <c r="A617">
        <v>223065</v>
      </c>
      <c r="B617">
        <v>360</v>
      </c>
      <c r="C617" t="s">
        <v>3861</v>
      </c>
      <c r="E617" s="103">
        <v>45980</v>
      </c>
      <c r="F617">
        <v>1</v>
      </c>
      <c r="G617" s="1210">
        <v>45870</v>
      </c>
      <c r="I617" t="s">
        <v>670</v>
      </c>
      <c r="J617" t="s">
        <v>2074</v>
      </c>
      <c r="K617">
        <v>4500011161</v>
      </c>
      <c r="L617" t="s">
        <v>3927</v>
      </c>
      <c r="M617" t="s">
        <v>3928</v>
      </c>
      <c r="N617" t="s">
        <v>3893</v>
      </c>
      <c r="O617" t="s">
        <v>2026</v>
      </c>
      <c r="P617" s="103">
        <v>45967</v>
      </c>
      <c r="Q617" t="s">
        <v>3611</v>
      </c>
      <c r="R617" s="103">
        <v>45974</v>
      </c>
      <c r="S617" t="s">
        <v>2281</v>
      </c>
      <c r="T617" t="s">
        <v>3926</v>
      </c>
      <c r="U617" t="s">
        <v>2744</v>
      </c>
      <c r="V617" t="s">
        <v>2079</v>
      </c>
      <c r="AB617" t="s">
        <v>2078</v>
      </c>
      <c r="AC617" t="s">
        <v>3868</v>
      </c>
      <c r="AD617">
        <v>2000</v>
      </c>
    </row>
    <row r="618" spans="1:30" hidden="1">
      <c r="A618">
        <v>222146</v>
      </c>
      <c r="B618">
        <v>574</v>
      </c>
      <c r="C618" t="s">
        <v>3800</v>
      </c>
      <c r="E618" s="103">
        <v>45980</v>
      </c>
      <c r="F618">
        <v>1</v>
      </c>
      <c r="G618" s="1210">
        <v>45870</v>
      </c>
      <c r="I618" t="s">
        <v>634</v>
      </c>
      <c r="J618" t="s">
        <v>2074</v>
      </c>
      <c r="K618">
        <v>4500011162</v>
      </c>
      <c r="L618" t="s">
        <v>3929</v>
      </c>
      <c r="M618" t="s">
        <v>3928</v>
      </c>
      <c r="N618" t="s">
        <v>3893</v>
      </c>
      <c r="O618" t="s">
        <v>2026</v>
      </c>
      <c r="P618" s="103">
        <v>45967</v>
      </c>
      <c r="Q618" t="s">
        <v>3611</v>
      </c>
      <c r="R618" s="103">
        <v>45974</v>
      </c>
      <c r="S618" t="s">
        <v>2281</v>
      </c>
      <c r="T618" t="s">
        <v>3926</v>
      </c>
      <c r="U618" t="s">
        <v>2744</v>
      </c>
      <c r="AB618" t="s">
        <v>2078</v>
      </c>
      <c r="AC618" t="s">
        <v>3868</v>
      </c>
      <c r="AD618">
        <v>2980</v>
      </c>
    </row>
    <row r="619" spans="1:30" hidden="1">
      <c r="A619">
        <v>272002</v>
      </c>
      <c r="B619">
        <v>80</v>
      </c>
      <c r="C619" t="s">
        <v>3930</v>
      </c>
      <c r="E619" s="103">
        <v>45980</v>
      </c>
      <c r="F619">
        <v>1</v>
      </c>
      <c r="G619" s="1210">
        <v>45895</v>
      </c>
      <c r="I619" t="s">
        <v>2080</v>
      </c>
      <c r="J619" t="s">
        <v>2074</v>
      </c>
      <c r="K619">
        <v>4500011292</v>
      </c>
      <c r="L619" t="s">
        <v>3473</v>
      </c>
      <c r="N619" t="s">
        <v>3893</v>
      </c>
      <c r="O619" t="s">
        <v>2026</v>
      </c>
      <c r="P619" s="103">
        <v>45967</v>
      </c>
      <c r="Q619" t="s">
        <v>3611</v>
      </c>
      <c r="R619" s="103">
        <v>45974</v>
      </c>
      <c r="S619" t="s">
        <v>2281</v>
      </c>
      <c r="T619" t="s">
        <v>3926</v>
      </c>
      <c r="U619" t="s">
        <v>2744</v>
      </c>
      <c r="AB619" t="s">
        <v>2078</v>
      </c>
      <c r="AC619" t="s">
        <v>3868</v>
      </c>
      <c r="AD619">
        <v>80</v>
      </c>
    </row>
    <row r="620" spans="1:30" hidden="1">
      <c r="A620">
        <v>281820</v>
      </c>
      <c r="B620">
        <v>1</v>
      </c>
      <c r="C620" t="s">
        <v>2775</v>
      </c>
      <c r="E620" s="103">
        <v>45980</v>
      </c>
      <c r="F620">
        <v>3</v>
      </c>
      <c r="G620" s="1210">
        <v>45926</v>
      </c>
      <c r="I620" t="s">
        <v>3907</v>
      </c>
      <c r="J620" t="s">
        <v>2012</v>
      </c>
      <c r="K620">
        <v>4500011511</v>
      </c>
      <c r="L620" t="s">
        <v>2775</v>
      </c>
      <c r="N620" t="s">
        <v>3931</v>
      </c>
      <c r="O620" t="s">
        <v>2094</v>
      </c>
      <c r="Q620" t="s">
        <v>2231</v>
      </c>
      <c r="S620" t="s">
        <v>2961</v>
      </c>
      <c r="T620" t="s">
        <v>3932</v>
      </c>
      <c r="U620" t="s">
        <v>2744</v>
      </c>
      <c r="AD620">
        <v>0</v>
      </c>
    </row>
    <row r="621" spans="1:30" hidden="1">
      <c r="A621">
        <v>216518</v>
      </c>
      <c r="B621">
        <v>90</v>
      </c>
      <c r="C621" t="s">
        <v>3874</v>
      </c>
      <c r="E621" s="103">
        <v>45986</v>
      </c>
      <c r="F621">
        <v>1</v>
      </c>
      <c r="G621" s="1210">
        <v>45807</v>
      </c>
      <c r="I621" t="s">
        <v>411</v>
      </c>
      <c r="J621" t="s">
        <v>2082</v>
      </c>
      <c r="K621">
        <v>4500010696</v>
      </c>
      <c r="L621" t="s">
        <v>3146</v>
      </c>
      <c r="M621" t="s">
        <v>3903</v>
      </c>
      <c r="N621" t="s">
        <v>3904</v>
      </c>
      <c r="O621" t="s">
        <v>2026</v>
      </c>
      <c r="P621" s="103">
        <v>45972</v>
      </c>
      <c r="Q621" t="s">
        <v>2231</v>
      </c>
      <c r="R621" s="103">
        <v>45975</v>
      </c>
      <c r="S621" t="s">
        <v>2281</v>
      </c>
      <c r="U621" t="s">
        <v>2744</v>
      </c>
      <c r="AB621" t="s">
        <v>2083</v>
      </c>
      <c r="AC621" t="s">
        <v>3908</v>
      </c>
      <c r="AD621">
        <v>626</v>
      </c>
    </row>
    <row r="622" spans="1:30" hidden="1">
      <c r="A622">
        <v>216787</v>
      </c>
      <c r="B622">
        <v>144</v>
      </c>
      <c r="C622" t="s">
        <v>3740</v>
      </c>
      <c r="E622" s="103">
        <v>45986</v>
      </c>
      <c r="F622">
        <v>1</v>
      </c>
      <c r="G622" s="1210">
        <v>45905</v>
      </c>
      <c r="I622" t="s">
        <v>488</v>
      </c>
      <c r="J622" t="s">
        <v>2082</v>
      </c>
      <c r="K622">
        <v>4500011363</v>
      </c>
      <c r="L622" t="s">
        <v>3933</v>
      </c>
      <c r="M622" t="s">
        <v>3903</v>
      </c>
      <c r="N622" t="s">
        <v>3904</v>
      </c>
      <c r="O622" t="s">
        <v>2026</v>
      </c>
      <c r="P622" s="103">
        <v>45972</v>
      </c>
      <c r="Q622" t="s">
        <v>2231</v>
      </c>
      <c r="R622" s="103">
        <v>45975</v>
      </c>
      <c r="S622" t="s">
        <v>2281</v>
      </c>
      <c r="U622" t="s">
        <v>2744</v>
      </c>
      <c r="AB622" t="s">
        <v>2083</v>
      </c>
      <c r="AC622" t="s">
        <v>3908</v>
      </c>
      <c r="AD622">
        <v>1648</v>
      </c>
    </row>
    <row r="623" spans="1:30" hidden="1">
      <c r="A623">
        <v>216518</v>
      </c>
      <c r="B623">
        <v>150</v>
      </c>
      <c r="C623" t="s">
        <v>3874</v>
      </c>
      <c r="E623" s="103">
        <v>45986</v>
      </c>
      <c r="F623">
        <v>1</v>
      </c>
      <c r="G623" s="1210">
        <v>45926</v>
      </c>
      <c r="I623" t="s">
        <v>411</v>
      </c>
      <c r="J623" t="s">
        <v>2082</v>
      </c>
      <c r="K623">
        <v>4500011456</v>
      </c>
      <c r="L623" t="s">
        <v>3934</v>
      </c>
      <c r="M623" t="s">
        <v>3903</v>
      </c>
      <c r="N623" t="s">
        <v>3904</v>
      </c>
      <c r="O623" t="s">
        <v>2026</v>
      </c>
      <c r="P623" s="103">
        <v>45972</v>
      </c>
      <c r="Q623" t="s">
        <v>2231</v>
      </c>
      <c r="R623" s="103">
        <v>45975</v>
      </c>
      <c r="S623" t="s">
        <v>2281</v>
      </c>
      <c r="U623" t="s">
        <v>2744</v>
      </c>
      <c r="AB623" t="s">
        <v>2083</v>
      </c>
      <c r="AC623" t="s">
        <v>3908</v>
      </c>
      <c r="AD623">
        <v>776</v>
      </c>
    </row>
    <row r="624" spans="1:30" hidden="1">
      <c r="A624">
        <v>216787</v>
      </c>
      <c r="B624">
        <v>216</v>
      </c>
      <c r="C624" t="s">
        <v>3740</v>
      </c>
      <c r="E624" s="103">
        <v>45986</v>
      </c>
      <c r="F624">
        <v>1</v>
      </c>
      <c r="G624" s="1210">
        <v>45926</v>
      </c>
      <c r="I624" t="s">
        <v>488</v>
      </c>
      <c r="J624" t="s">
        <v>2082</v>
      </c>
      <c r="K624">
        <v>4500011457</v>
      </c>
      <c r="L624" t="s">
        <v>3878</v>
      </c>
      <c r="M624" t="s">
        <v>3903</v>
      </c>
      <c r="N624" t="s">
        <v>3904</v>
      </c>
      <c r="O624" t="s">
        <v>2026</v>
      </c>
      <c r="P624" s="103">
        <v>45972</v>
      </c>
      <c r="Q624" t="s">
        <v>2231</v>
      </c>
      <c r="R624" s="103">
        <v>45975</v>
      </c>
      <c r="S624" t="s">
        <v>2281</v>
      </c>
      <c r="U624" t="s">
        <v>2744</v>
      </c>
      <c r="AB624" t="s">
        <v>2083</v>
      </c>
      <c r="AC624" t="s">
        <v>3908</v>
      </c>
      <c r="AD624">
        <v>1864</v>
      </c>
    </row>
    <row r="625" spans="1:30" hidden="1">
      <c r="A625">
        <v>223062</v>
      </c>
      <c r="B625">
        <v>620</v>
      </c>
      <c r="C625" t="s">
        <v>2997</v>
      </c>
      <c r="E625" s="103">
        <v>45989</v>
      </c>
      <c r="F625">
        <v>1</v>
      </c>
      <c r="G625" s="1210">
        <v>45807</v>
      </c>
      <c r="I625" t="s">
        <v>748</v>
      </c>
      <c r="J625" t="s">
        <v>2082</v>
      </c>
      <c r="K625">
        <v>4500010701</v>
      </c>
      <c r="L625" t="s">
        <v>3935</v>
      </c>
      <c r="M625" t="s">
        <v>3903</v>
      </c>
      <c r="N625" t="s">
        <v>3936</v>
      </c>
      <c r="O625" t="s">
        <v>2026</v>
      </c>
      <c r="P625" s="103">
        <v>45982</v>
      </c>
      <c r="Q625" t="s">
        <v>2231</v>
      </c>
      <c r="R625" s="103">
        <v>45986</v>
      </c>
      <c r="S625" t="s">
        <v>2281</v>
      </c>
      <c r="U625" t="s">
        <v>2744</v>
      </c>
      <c r="V625" t="s">
        <v>2086</v>
      </c>
      <c r="W625" t="s">
        <v>2087</v>
      </c>
      <c r="AD625">
        <v>7419</v>
      </c>
    </row>
    <row r="626" spans="1:30" hidden="1">
      <c r="A626">
        <v>222644</v>
      </c>
      <c r="B626">
        <v>24</v>
      </c>
      <c r="C626" t="s">
        <v>3755</v>
      </c>
      <c r="E626" s="103">
        <v>45989</v>
      </c>
      <c r="F626">
        <v>1</v>
      </c>
      <c r="G626" s="1210">
        <v>45821</v>
      </c>
      <c r="I626" t="s">
        <v>841</v>
      </c>
      <c r="J626" t="s">
        <v>2082</v>
      </c>
      <c r="K626">
        <v>4500010805</v>
      </c>
      <c r="L626" t="s">
        <v>3937</v>
      </c>
      <c r="M626" t="s">
        <v>3890</v>
      </c>
      <c r="N626" t="s">
        <v>3936</v>
      </c>
      <c r="O626" t="s">
        <v>2026</v>
      </c>
      <c r="P626" s="103">
        <v>45979</v>
      </c>
      <c r="Q626" t="s">
        <v>2231</v>
      </c>
      <c r="R626" s="103">
        <v>45983</v>
      </c>
      <c r="S626" t="s">
        <v>2281</v>
      </c>
      <c r="U626" t="s">
        <v>2744</v>
      </c>
      <c r="V626" t="s">
        <v>2088</v>
      </c>
      <c r="W626" t="s">
        <v>2089</v>
      </c>
      <c r="AD626">
        <v>506</v>
      </c>
    </row>
    <row r="627" spans="1:30" hidden="1">
      <c r="A627">
        <v>222649</v>
      </c>
      <c r="B627">
        <v>150</v>
      </c>
      <c r="C627" t="s">
        <v>3765</v>
      </c>
      <c r="E627" s="103">
        <v>45989</v>
      </c>
      <c r="F627">
        <v>1</v>
      </c>
      <c r="G627" s="1210">
        <v>45842</v>
      </c>
      <c r="I627" t="s">
        <v>709</v>
      </c>
      <c r="J627" t="s">
        <v>2082</v>
      </c>
      <c r="K627">
        <v>4500010935</v>
      </c>
      <c r="L627" t="s">
        <v>3938</v>
      </c>
      <c r="M627" t="s">
        <v>3903</v>
      </c>
      <c r="N627" t="s">
        <v>3936</v>
      </c>
      <c r="O627" t="s">
        <v>2026</v>
      </c>
      <c r="P627" s="103">
        <v>45979</v>
      </c>
      <c r="Q627" t="s">
        <v>2231</v>
      </c>
      <c r="R627" s="103">
        <v>45983</v>
      </c>
      <c r="S627" t="s">
        <v>2281</v>
      </c>
      <c r="U627" t="s">
        <v>2744</v>
      </c>
      <c r="V627" t="s">
        <v>2933</v>
      </c>
      <c r="AD627">
        <v>156</v>
      </c>
    </row>
    <row r="628" spans="1:30" hidden="1">
      <c r="A628">
        <v>222650</v>
      </c>
      <c r="B628">
        <v>350</v>
      </c>
      <c r="C628" t="s">
        <v>3769</v>
      </c>
      <c r="E628" s="103">
        <v>45989</v>
      </c>
      <c r="F628">
        <v>1</v>
      </c>
      <c r="G628" s="1210">
        <v>45842</v>
      </c>
      <c r="I628" t="s">
        <v>765</v>
      </c>
      <c r="J628" t="s">
        <v>2082</v>
      </c>
      <c r="K628">
        <v>4500010939</v>
      </c>
      <c r="L628" t="s">
        <v>3939</v>
      </c>
      <c r="M628" t="s">
        <v>3903</v>
      </c>
      <c r="N628" t="s">
        <v>3936</v>
      </c>
      <c r="O628" t="s">
        <v>2026</v>
      </c>
      <c r="P628" s="103">
        <v>45979</v>
      </c>
      <c r="Q628" t="s">
        <v>2231</v>
      </c>
      <c r="R628" s="103">
        <v>45983</v>
      </c>
      <c r="S628" t="s">
        <v>2281</v>
      </c>
      <c r="U628" t="s">
        <v>2744</v>
      </c>
      <c r="V628" t="s">
        <v>2933</v>
      </c>
      <c r="AD628">
        <v>356</v>
      </c>
    </row>
    <row r="629" spans="1:30" hidden="1">
      <c r="A629">
        <v>216521</v>
      </c>
      <c r="B629">
        <v>360</v>
      </c>
      <c r="C629" t="s">
        <v>3849</v>
      </c>
      <c r="E629" s="103">
        <v>45989</v>
      </c>
      <c r="F629">
        <v>1</v>
      </c>
      <c r="G629" s="1210">
        <v>45898</v>
      </c>
      <c r="I629" t="s">
        <v>446</v>
      </c>
      <c r="J629" t="s">
        <v>2082</v>
      </c>
      <c r="K629">
        <v>4500011316</v>
      </c>
      <c r="L629" t="s">
        <v>3940</v>
      </c>
      <c r="M629" t="s">
        <v>3941</v>
      </c>
      <c r="N629" t="s">
        <v>3936</v>
      </c>
      <c r="O629" t="s">
        <v>2026</v>
      </c>
      <c r="P629" s="103">
        <v>45982</v>
      </c>
      <c r="Q629" t="s">
        <v>2231</v>
      </c>
      <c r="R629" s="103">
        <v>45986</v>
      </c>
      <c r="S629" t="s">
        <v>2281</v>
      </c>
      <c r="T629" t="s">
        <v>3942</v>
      </c>
      <c r="U629" t="s">
        <v>2744</v>
      </c>
      <c r="AD629">
        <v>1472</v>
      </c>
    </row>
    <row r="630" spans="1:30" hidden="1">
      <c r="A630">
        <v>223058</v>
      </c>
      <c r="B630">
        <v>100</v>
      </c>
      <c r="C630" t="s">
        <v>3685</v>
      </c>
      <c r="E630" s="103">
        <v>45989</v>
      </c>
      <c r="F630">
        <v>1</v>
      </c>
      <c r="G630" s="1210">
        <v>45905</v>
      </c>
      <c r="I630" t="s">
        <v>726</v>
      </c>
      <c r="J630" t="s">
        <v>2082</v>
      </c>
      <c r="K630">
        <v>4500011364</v>
      </c>
      <c r="L630" t="s">
        <v>3880</v>
      </c>
      <c r="M630" t="s">
        <v>3908</v>
      </c>
      <c r="N630" t="s">
        <v>3936</v>
      </c>
      <c r="O630" t="s">
        <v>2026</v>
      </c>
      <c r="P630" s="103">
        <v>45982</v>
      </c>
      <c r="Q630" t="s">
        <v>2231</v>
      </c>
      <c r="R630" s="103">
        <v>45986</v>
      </c>
      <c r="S630" t="s">
        <v>2281</v>
      </c>
      <c r="T630" t="s">
        <v>3943</v>
      </c>
      <c r="U630" t="s">
        <v>2744</v>
      </c>
      <c r="AD630">
        <v>1755</v>
      </c>
    </row>
    <row r="631" spans="1:30" hidden="1">
      <c r="A631">
        <v>284153</v>
      </c>
      <c r="B631">
        <v>2</v>
      </c>
      <c r="C631" t="s">
        <v>3944</v>
      </c>
      <c r="D631" t="s">
        <v>2104</v>
      </c>
      <c r="E631" s="103">
        <v>45993</v>
      </c>
      <c r="F631">
        <v>3</v>
      </c>
      <c r="G631" s="1210">
        <v>45932</v>
      </c>
      <c r="I631" t="s">
        <v>2105</v>
      </c>
      <c r="J631" t="s">
        <v>2082</v>
      </c>
      <c r="K631">
        <v>4500011592</v>
      </c>
      <c r="L631" t="s">
        <v>3600</v>
      </c>
      <c r="N631" t="s">
        <v>3945</v>
      </c>
      <c r="O631" t="s">
        <v>2094</v>
      </c>
      <c r="Q631" t="s">
        <v>2231</v>
      </c>
      <c r="S631" t="s">
        <v>3946</v>
      </c>
      <c r="T631" t="s">
        <v>3947</v>
      </c>
      <c r="U631" t="s">
        <v>2744</v>
      </c>
      <c r="AD631">
        <v>0</v>
      </c>
    </row>
    <row r="632" spans="1:30" hidden="1">
      <c r="A632">
        <v>284188</v>
      </c>
      <c r="B632">
        <v>2</v>
      </c>
      <c r="C632" t="s">
        <v>2278</v>
      </c>
      <c r="D632" t="s">
        <v>2104</v>
      </c>
      <c r="E632" s="103">
        <v>45993</v>
      </c>
      <c r="F632">
        <v>3</v>
      </c>
      <c r="G632" s="1210">
        <v>45932</v>
      </c>
      <c r="I632" t="s">
        <v>2107</v>
      </c>
      <c r="J632" t="s">
        <v>2082</v>
      </c>
      <c r="K632">
        <v>4500011593</v>
      </c>
      <c r="L632" t="s">
        <v>3948</v>
      </c>
      <c r="N632" t="s">
        <v>3945</v>
      </c>
      <c r="O632" t="s">
        <v>2094</v>
      </c>
      <c r="Q632" t="s">
        <v>2231</v>
      </c>
      <c r="S632" t="s">
        <v>3946</v>
      </c>
      <c r="T632" t="s">
        <v>3947</v>
      </c>
      <c r="U632" t="s">
        <v>2744</v>
      </c>
      <c r="AD632">
        <v>0</v>
      </c>
    </row>
    <row r="633" spans="1:30" hidden="1">
      <c r="A633">
        <v>286428</v>
      </c>
      <c r="B633">
        <v>1</v>
      </c>
      <c r="C633" t="s">
        <v>3765</v>
      </c>
      <c r="E633" s="103">
        <v>45993</v>
      </c>
      <c r="F633">
        <v>3</v>
      </c>
      <c r="G633" s="1210">
        <v>45946</v>
      </c>
      <c r="I633" t="s">
        <v>2093</v>
      </c>
      <c r="J633" t="s">
        <v>2082</v>
      </c>
      <c r="K633">
        <v>4500011648</v>
      </c>
      <c r="L633" t="s">
        <v>3765</v>
      </c>
      <c r="N633" t="s">
        <v>3945</v>
      </c>
      <c r="O633" t="s">
        <v>2094</v>
      </c>
      <c r="Q633" t="s">
        <v>2231</v>
      </c>
      <c r="S633" t="s">
        <v>2961</v>
      </c>
      <c r="T633" t="s">
        <v>3947</v>
      </c>
      <c r="U633" t="s">
        <v>2744</v>
      </c>
      <c r="AD633">
        <v>0</v>
      </c>
    </row>
    <row r="634" spans="1:30" hidden="1">
      <c r="A634">
        <v>286428</v>
      </c>
      <c r="B634">
        <v>1</v>
      </c>
      <c r="C634" t="s">
        <v>3949</v>
      </c>
      <c r="D634" t="s">
        <v>3950</v>
      </c>
      <c r="E634" s="103">
        <v>45993</v>
      </c>
      <c r="F634">
        <v>3</v>
      </c>
      <c r="G634" s="1210">
        <v>45946</v>
      </c>
      <c r="I634" t="s">
        <v>2093</v>
      </c>
      <c r="J634" t="s">
        <v>2082</v>
      </c>
      <c r="K634">
        <v>4500011648</v>
      </c>
      <c r="L634" t="s">
        <v>3949</v>
      </c>
      <c r="N634" t="s">
        <v>3945</v>
      </c>
      <c r="O634" t="s">
        <v>2094</v>
      </c>
      <c r="Q634" t="s">
        <v>2231</v>
      </c>
      <c r="S634" t="s">
        <v>2961</v>
      </c>
      <c r="T634" t="s">
        <v>3947</v>
      </c>
      <c r="U634" t="s">
        <v>2744</v>
      </c>
      <c r="AD634">
        <v>0</v>
      </c>
    </row>
    <row r="635" spans="1:30" hidden="1">
      <c r="A635">
        <v>286430</v>
      </c>
      <c r="B635">
        <v>2</v>
      </c>
      <c r="C635" t="s">
        <v>3769</v>
      </c>
      <c r="E635" s="103">
        <v>45993</v>
      </c>
      <c r="F635">
        <v>3</v>
      </c>
      <c r="G635" s="1210">
        <v>45946</v>
      </c>
      <c r="I635" t="s">
        <v>2096</v>
      </c>
      <c r="J635" t="s">
        <v>2082</v>
      </c>
      <c r="K635">
        <v>4500011648</v>
      </c>
      <c r="L635" t="s">
        <v>3886</v>
      </c>
      <c r="N635" t="s">
        <v>3945</v>
      </c>
      <c r="O635" t="s">
        <v>2094</v>
      </c>
      <c r="Q635" t="s">
        <v>2231</v>
      </c>
      <c r="S635" t="s">
        <v>3951</v>
      </c>
      <c r="T635" t="s">
        <v>3947</v>
      </c>
      <c r="U635" t="s">
        <v>2744</v>
      </c>
      <c r="AD635">
        <v>0</v>
      </c>
    </row>
    <row r="636" spans="1:30" hidden="1">
      <c r="A636">
        <v>286432</v>
      </c>
      <c r="B636">
        <v>2</v>
      </c>
      <c r="C636" t="s">
        <v>2997</v>
      </c>
      <c r="E636" s="103">
        <v>45993</v>
      </c>
      <c r="F636">
        <v>3</v>
      </c>
      <c r="G636" s="1210">
        <v>45946</v>
      </c>
      <c r="I636" t="s">
        <v>2098</v>
      </c>
      <c r="J636" t="s">
        <v>2082</v>
      </c>
      <c r="K636">
        <v>4500011648</v>
      </c>
      <c r="L636" t="s">
        <v>3424</v>
      </c>
      <c r="N636" t="s">
        <v>3945</v>
      </c>
      <c r="O636" t="s">
        <v>2094</v>
      </c>
      <c r="Q636" t="s">
        <v>2231</v>
      </c>
      <c r="S636" t="s">
        <v>3951</v>
      </c>
      <c r="T636" t="s">
        <v>3947</v>
      </c>
      <c r="U636" t="s">
        <v>2744</v>
      </c>
      <c r="AD636">
        <v>0</v>
      </c>
    </row>
    <row r="637" spans="1:30" hidden="1">
      <c r="A637">
        <v>286434</v>
      </c>
      <c r="B637">
        <v>2</v>
      </c>
      <c r="C637" t="s">
        <v>3017</v>
      </c>
      <c r="E637" s="103">
        <v>45993</v>
      </c>
      <c r="F637">
        <v>3</v>
      </c>
      <c r="G637" s="1210">
        <v>45946</v>
      </c>
      <c r="I637" t="s">
        <v>2099</v>
      </c>
      <c r="J637" t="s">
        <v>2082</v>
      </c>
      <c r="K637">
        <v>4500011648</v>
      </c>
      <c r="L637" t="s">
        <v>3019</v>
      </c>
      <c r="N637" t="s">
        <v>3945</v>
      </c>
      <c r="O637" t="s">
        <v>2094</v>
      </c>
      <c r="Q637" t="s">
        <v>2231</v>
      </c>
      <c r="S637" t="s">
        <v>3951</v>
      </c>
      <c r="T637" t="s">
        <v>3947</v>
      </c>
      <c r="U637" t="s">
        <v>2744</v>
      </c>
      <c r="AD637">
        <v>0</v>
      </c>
    </row>
    <row r="638" spans="1:30" hidden="1">
      <c r="A638">
        <v>251110</v>
      </c>
      <c r="B638">
        <v>128</v>
      </c>
      <c r="C638" t="s">
        <v>3952</v>
      </c>
      <c r="E638" s="103">
        <v>45999</v>
      </c>
      <c r="F638">
        <v>1</v>
      </c>
      <c r="G638" s="1210">
        <v>45842</v>
      </c>
      <c r="I638" t="s">
        <v>247</v>
      </c>
      <c r="J638" t="s">
        <v>2082</v>
      </c>
      <c r="K638">
        <v>4500010944</v>
      </c>
      <c r="L638" t="s">
        <v>3953</v>
      </c>
      <c r="M638" t="s">
        <v>3870</v>
      </c>
      <c r="N638" t="s">
        <v>3954</v>
      </c>
      <c r="O638" t="s">
        <v>2026</v>
      </c>
      <c r="P638" s="103">
        <v>45992</v>
      </c>
      <c r="Q638" t="s">
        <v>2231</v>
      </c>
      <c r="R638" s="103">
        <v>45996</v>
      </c>
      <c r="S638" t="s">
        <v>2281</v>
      </c>
      <c r="U638" t="s">
        <v>2744</v>
      </c>
      <c r="AD638">
        <v>762</v>
      </c>
    </row>
    <row r="639" spans="1:30" hidden="1">
      <c r="A639">
        <v>223057</v>
      </c>
      <c r="B639">
        <v>200</v>
      </c>
      <c r="C639" t="s">
        <v>3691</v>
      </c>
      <c r="E639" s="103">
        <v>45999</v>
      </c>
      <c r="F639">
        <v>1</v>
      </c>
      <c r="G639" s="1210">
        <v>45887</v>
      </c>
      <c r="I639" t="s">
        <v>783</v>
      </c>
      <c r="J639" t="s">
        <v>2082</v>
      </c>
      <c r="K639">
        <v>4500011232</v>
      </c>
      <c r="L639" t="s">
        <v>3955</v>
      </c>
      <c r="M639" t="s">
        <v>3870</v>
      </c>
      <c r="N639" t="s">
        <v>3954</v>
      </c>
      <c r="O639" t="s">
        <v>2026</v>
      </c>
      <c r="P639" s="103">
        <v>45992</v>
      </c>
      <c r="Q639" t="s">
        <v>2231</v>
      </c>
      <c r="R639" s="103">
        <v>45996</v>
      </c>
      <c r="S639" t="s">
        <v>2281</v>
      </c>
      <c r="U639" t="s">
        <v>2744</v>
      </c>
      <c r="AD639">
        <v>2100</v>
      </c>
    </row>
    <row r="640" spans="1:30" hidden="1">
      <c r="A640">
        <v>199024</v>
      </c>
      <c r="B640">
        <v>1020</v>
      </c>
      <c r="C640" t="s">
        <v>3566</v>
      </c>
      <c r="E640" s="103">
        <v>45999</v>
      </c>
      <c r="F640">
        <v>1</v>
      </c>
      <c r="G640" s="1210">
        <v>45898</v>
      </c>
      <c r="I640" t="s">
        <v>338</v>
      </c>
      <c r="J640" t="s">
        <v>2012</v>
      </c>
      <c r="K640">
        <v>4500011315</v>
      </c>
      <c r="L640" t="s">
        <v>3956</v>
      </c>
      <c r="M640" t="s">
        <v>3957</v>
      </c>
      <c r="N640" t="s">
        <v>3958</v>
      </c>
      <c r="O640" t="s">
        <v>2026</v>
      </c>
      <c r="P640" s="103">
        <v>45988</v>
      </c>
      <c r="Q640" t="s">
        <v>2231</v>
      </c>
      <c r="R640" s="103">
        <v>45991</v>
      </c>
      <c r="S640" t="s">
        <v>2281</v>
      </c>
      <c r="U640" t="s">
        <v>2744</v>
      </c>
      <c r="AB640" t="s">
        <v>3959</v>
      </c>
      <c r="AC640" t="s">
        <v>3960</v>
      </c>
      <c r="AD640">
        <v>16800</v>
      </c>
    </row>
    <row r="641" spans="1:30" hidden="1">
      <c r="A641">
        <v>216521</v>
      </c>
      <c r="B641">
        <v>72</v>
      </c>
      <c r="C641" t="s">
        <v>3849</v>
      </c>
      <c r="E641" s="103">
        <v>45999</v>
      </c>
      <c r="F641">
        <v>1</v>
      </c>
      <c r="G641" s="1210">
        <v>45898</v>
      </c>
      <c r="I641" t="s">
        <v>446</v>
      </c>
      <c r="J641" t="s">
        <v>2082</v>
      </c>
      <c r="K641">
        <v>4500011316</v>
      </c>
      <c r="L641" t="s">
        <v>3961</v>
      </c>
      <c r="M641" t="s">
        <v>3941</v>
      </c>
      <c r="N641" t="s">
        <v>3954</v>
      </c>
      <c r="O641" t="s">
        <v>2026</v>
      </c>
      <c r="P641" s="103">
        <v>45992</v>
      </c>
      <c r="Q641" t="s">
        <v>2231</v>
      </c>
      <c r="R641" s="103">
        <v>45996</v>
      </c>
      <c r="S641" t="s">
        <v>2281</v>
      </c>
      <c r="U641" t="s">
        <v>2744</v>
      </c>
      <c r="AD641">
        <v>1544</v>
      </c>
    </row>
    <row r="642" spans="1:30" hidden="1">
      <c r="A642">
        <v>220801</v>
      </c>
      <c r="B642">
        <v>150</v>
      </c>
      <c r="C642" t="s">
        <v>3962</v>
      </c>
      <c r="E642" s="103">
        <v>45999</v>
      </c>
      <c r="F642">
        <v>1</v>
      </c>
      <c r="G642" s="1210">
        <v>45912</v>
      </c>
      <c r="I642" t="s">
        <v>211</v>
      </c>
      <c r="J642" t="s">
        <v>2012</v>
      </c>
      <c r="K642">
        <v>4500011420</v>
      </c>
      <c r="L642" t="s">
        <v>3963</v>
      </c>
      <c r="M642" t="s">
        <v>3931</v>
      </c>
      <c r="N642" t="s">
        <v>3958</v>
      </c>
      <c r="O642" t="s">
        <v>2026</v>
      </c>
      <c r="P642" s="103">
        <v>45987</v>
      </c>
      <c r="Q642" t="s">
        <v>2231</v>
      </c>
      <c r="R642" s="103">
        <v>45991</v>
      </c>
      <c r="S642" t="s">
        <v>2281</v>
      </c>
      <c r="U642" t="s">
        <v>2744</v>
      </c>
      <c r="AB642" t="s">
        <v>3959</v>
      </c>
      <c r="AC642" t="s">
        <v>3960</v>
      </c>
      <c r="AD642">
        <v>576</v>
      </c>
    </row>
    <row r="643" spans="1:30" hidden="1">
      <c r="A643">
        <v>216521</v>
      </c>
      <c r="B643">
        <v>360</v>
      </c>
      <c r="C643" t="s">
        <v>3849</v>
      </c>
      <c r="E643" s="103">
        <v>45999</v>
      </c>
      <c r="F643">
        <v>1</v>
      </c>
      <c r="G643" s="1210">
        <v>45912</v>
      </c>
      <c r="I643" t="s">
        <v>446</v>
      </c>
      <c r="J643" t="s">
        <v>2082</v>
      </c>
      <c r="K643">
        <v>4500011421</v>
      </c>
      <c r="L643" t="s">
        <v>3940</v>
      </c>
      <c r="M643" t="s">
        <v>3941</v>
      </c>
      <c r="N643" t="s">
        <v>3954</v>
      </c>
      <c r="O643" t="s">
        <v>2026</v>
      </c>
      <c r="P643" s="103">
        <v>45992</v>
      </c>
      <c r="Q643" t="s">
        <v>2231</v>
      </c>
      <c r="R643" s="103">
        <v>45996</v>
      </c>
      <c r="S643" t="s">
        <v>2281</v>
      </c>
      <c r="U643" t="s">
        <v>2744</v>
      </c>
      <c r="AD643">
        <v>1904</v>
      </c>
    </row>
    <row r="644" spans="1:30" hidden="1">
      <c r="A644">
        <v>222818</v>
      </c>
      <c r="B644">
        <v>720</v>
      </c>
      <c r="C644" t="s">
        <v>3673</v>
      </c>
      <c r="E644" s="103">
        <v>45999</v>
      </c>
      <c r="F644">
        <v>1</v>
      </c>
      <c r="G644" s="1210">
        <v>45926</v>
      </c>
      <c r="I644" t="s">
        <v>301</v>
      </c>
      <c r="J644" t="s">
        <v>2082</v>
      </c>
      <c r="K644">
        <v>4500011455</v>
      </c>
      <c r="L644" t="s">
        <v>3964</v>
      </c>
      <c r="M644" t="s">
        <v>3931</v>
      </c>
      <c r="N644" t="s">
        <v>3954</v>
      </c>
      <c r="O644" t="s">
        <v>2026</v>
      </c>
      <c r="P644" s="103">
        <v>45992</v>
      </c>
      <c r="Q644" t="s">
        <v>2231</v>
      </c>
      <c r="R644" s="103">
        <v>45996</v>
      </c>
      <c r="S644" t="s">
        <v>2281</v>
      </c>
      <c r="U644" t="s">
        <v>2744</v>
      </c>
      <c r="AD644">
        <v>2726</v>
      </c>
    </row>
    <row r="645" spans="1:30" hidden="1">
      <c r="A645">
        <v>222644</v>
      </c>
      <c r="B645">
        <v>100</v>
      </c>
      <c r="C645" t="s">
        <v>3755</v>
      </c>
      <c r="E645" s="103">
        <v>45999</v>
      </c>
      <c r="F645">
        <v>1</v>
      </c>
      <c r="G645" s="1210">
        <v>45926</v>
      </c>
      <c r="I645" t="s">
        <v>841</v>
      </c>
      <c r="J645" t="s">
        <v>2082</v>
      </c>
      <c r="K645">
        <v>4500011510</v>
      </c>
      <c r="L645" t="s">
        <v>3965</v>
      </c>
      <c r="M645" t="s">
        <v>3966</v>
      </c>
      <c r="N645" t="s">
        <v>3954</v>
      </c>
      <c r="O645" t="s">
        <v>2026</v>
      </c>
      <c r="P645" s="103">
        <v>45992</v>
      </c>
      <c r="Q645" t="s">
        <v>2231</v>
      </c>
      <c r="R645" s="103">
        <v>45996</v>
      </c>
      <c r="S645" t="s">
        <v>2281</v>
      </c>
      <c r="U645" t="s">
        <v>2744</v>
      </c>
      <c r="AD645">
        <v>606</v>
      </c>
    </row>
    <row r="646" spans="1:30" hidden="1">
      <c r="A646">
        <v>222644</v>
      </c>
      <c r="B646">
        <v>281</v>
      </c>
      <c r="C646" t="s">
        <v>3755</v>
      </c>
      <c r="E646" s="103">
        <v>45999</v>
      </c>
      <c r="F646">
        <v>1</v>
      </c>
      <c r="G646" s="1210">
        <v>45821</v>
      </c>
      <c r="I646" t="s">
        <v>841</v>
      </c>
      <c r="J646" t="s">
        <v>2082</v>
      </c>
      <c r="K646">
        <v>4500010805</v>
      </c>
      <c r="L646" t="s">
        <v>3967</v>
      </c>
      <c r="N646" t="s">
        <v>3960</v>
      </c>
      <c r="O646" t="s">
        <v>3804</v>
      </c>
      <c r="Q646" t="s">
        <v>2231</v>
      </c>
      <c r="S646" t="s">
        <v>3245</v>
      </c>
      <c r="T646" t="s">
        <v>3968</v>
      </c>
      <c r="U646" t="s">
        <v>2744</v>
      </c>
      <c r="V646" t="s">
        <v>3969</v>
      </c>
      <c r="AD646">
        <v>887</v>
      </c>
    </row>
    <row r="647" spans="1:30" hidden="1">
      <c r="A647">
        <v>296184</v>
      </c>
      <c r="B647">
        <v>1</v>
      </c>
      <c r="C647" t="s">
        <v>3970</v>
      </c>
      <c r="E647" s="103">
        <v>45999</v>
      </c>
      <c r="F647">
        <v>3</v>
      </c>
      <c r="G647" s="1210">
        <v>45989</v>
      </c>
      <c r="I647" t="s">
        <v>3971</v>
      </c>
      <c r="J647" t="s">
        <v>2082</v>
      </c>
      <c r="K647">
        <v>4500012007</v>
      </c>
      <c r="L647" t="s">
        <v>3970</v>
      </c>
      <c r="N647" t="s">
        <v>3972</v>
      </c>
      <c r="O647" t="s">
        <v>2094</v>
      </c>
      <c r="Q647" t="s">
        <v>2231</v>
      </c>
      <c r="S647" t="s">
        <v>2806</v>
      </c>
      <c r="T647" t="s">
        <v>3973</v>
      </c>
      <c r="U647" t="s">
        <v>2744</v>
      </c>
      <c r="AD647">
        <v>0</v>
      </c>
    </row>
    <row r="648" spans="1:30" hidden="1">
      <c r="A648">
        <v>296185</v>
      </c>
      <c r="B648">
        <v>1</v>
      </c>
      <c r="C648" t="s">
        <v>3974</v>
      </c>
      <c r="E648" s="103">
        <v>45999</v>
      </c>
      <c r="F648">
        <v>3</v>
      </c>
      <c r="G648" s="1210">
        <v>45989</v>
      </c>
      <c r="I648" t="s">
        <v>3975</v>
      </c>
      <c r="J648" t="s">
        <v>2082</v>
      </c>
      <c r="K648">
        <v>4500012007</v>
      </c>
      <c r="L648" t="s">
        <v>3974</v>
      </c>
      <c r="N648" t="s">
        <v>3972</v>
      </c>
      <c r="O648" t="s">
        <v>2094</v>
      </c>
      <c r="Q648" t="s">
        <v>2231</v>
      </c>
      <c r="S648" t="s">
        <v>2806</v>
      </c>
      <c r="T648" t="s">
        <v>3973</v>
      </c>
      <c r="U648" t="s">
        <v>2744</v>
      </c>
      <c r="AD648">
        <v>0</v>
      </c>
    </row>
    <row r="649" spans="1:30" hidden="1">
      <c r="A649">
        <v>210491</v>
      </c>
      <c r="B649">
        <v>160</v>
      </c>
      <c r="C649" t="s">
        <v>3699</v>
      </c>
      <c r="E649" s="103">
        <v>46003</v>
      </c>
      <c r="F649">
        <v>1</v>
      </c>
      <c r="G649" s="1210">
        <v>45793</v>
      </c>
      <c r="I649" t="s">
        <v>583</v>
      </c>
      <c r="J649" t="s">
        <v>2070</v>
      </c>
      <c r="K649">
        <v>4500010623</v>
      </c>
      <c r="L649" t="s">
        <v>3976</v>
      </c>
      <c r="M649" t="s">
        <v>3977</v>
      </c>
      <c r="N649" t="s">
        <v>3945</v>
      </c>
      <c r="O649" t="s">
        <v>2026</v>
      </c>
      <c r="P649" s="103">
        <v>45995</v>
      </c>
      <c r="Q649" t="s">
        <v>2231</v>
      </c>
      <c r="R649" s="103">
        <v>45999</v>
      </c>
      <c r="S649" t="s">
        <v>2281</v>
      </c>
      <c r="U649" t="s">
        <v>2744</v>
      </c>
      <c r="AB649" t="s">
        <v>3978</v>
      </c>
      <c r="AD649">
        <v>4010</v>
      </c>
    </row>
    <row r="650" spans="1:30" hidden="1">
      <c r="A650">
        <v>210492</v>
      </c>
      <c r="B650">
        <v>442</v>
      </c>
      <c r="C650" t="s">
        <v>3915</v>
      </c>
      <c r="E650" s="103">
        <v>46003</v>
      </c>
      <c r="F650">
        <v>1</v>
      </c>
      <c r="G650" s="1210">
        <v>45870</v>
      </c>
      <c r="I650" t="s">
        <v>646</v>
      </c>
      <c r="J650" t="s">
        <v>2070</v>
      </c>
      <c r="K650">
        <v>4500011160</v>
      </c>
      <c r="L650" t="s">
        <v>3979</v>
      </c>
      <c r="M650" t="s">
        <v>3977</v>
      </c>
      <c r="N650" t="s">
        <v>3945</v>
      </c>
      <c r="O650" t="s">
        <v>2026</v>
      </c>
      <c r="P650" s="103">
        <v>45995</v>
      </c>
      <c r="Q650" t="s">
        <v>2231</v>
      </c>
      <c r="R650" s="103">
        <v>45999</v>
      </c>
      <c r="S650" t="s">
        <v>2281</v>
      </c>
      <c r="U650" t="s">
        <v>2744</v>
      </c>
      <c r="V650" t="s">
        <v>3917</v>
      </c>
      <c r="AB650" t="s">
        <v>3978</v>
      </c>
      <c r="AD650">
        <v>5960</v>
      </c>
    </row>
    <row r="651" spans="1:30" hidden="1">
      <c r="A651">
        <v>201900</v>
      </c>
      <c r="B651">
        <v>200</v>
      </c>
      <c r="C651" t="s">
        <v>3720</v>
      </c>
      <c r="E651" s="103">
        <v>46003</v>
      </c>
      <c r="F651">
        <v>1</v>
      </c>
      <c r="G651" s="1210">
        <v>45891</v>
      </c>
      <c r="I651" t="s">
        <v>327</v>
      </c>
      <c r="J651" t="s">
        <v>2012</v>
      </c>
      <c r="K651">
        <v>4500011271</v>
      </c>
      <c r="L651" t="s">
        <v>3980</v>
      </c>
      <c r="M651" t="s">
        <v>3981</v>
      </c>
      <c r="N651" t="s">
        <v>3960</v>
      </c>
      <c r="O651" t="s">
        <v>2026</v>
      </c>
      <c r="P651" s="103">
        <v>45996</v>
      </c>
      <c r="Q651" t="s">
        <v>2231</v>
      </c>
      <c r="R651" s="103">
        <v>45999</v>
      </c>
      <c r="S651" t="s">
        <v>2281</v>
      </c>
      <c r="T651" t="s">
        <v>2623</v>
      </c>
      <c r="U651" t="s">
        <v>2744</v>
      </c>
      <c r="AD651">
        <v>9078</v>
      </c>
    </row>
    <row r="652" spans="1:30" hidden="1">
      <c r="A652">
        <v>295635</v>
      </c>
      <c r="B652">
        <v>1</v>
      </c>
      <c r="C652" t="s">
        <v>3019</v>
      </c>
      <c r="E652" s="103">
        <v>46006</v>
      </c>
      <c r="F652">
        <v>3</v>
      </c>
      <c r="G652" s="1210">
        <v>45989</v>
      </c>
      <c r="I652" t="s">
        <v>3982</v>
      </c>
      <c r="J652" t="s">
        <v>2082</v>
      </c>
      <c r="K652">
        <v>4500011976</v>
      </c>
      <c r="L652" t="s">
        <v>3019</v>
      </c>
      <c r="N652" t="s">
        <v>3983</v>
      </c>
      <c r="O652" t="s">
        <v>2094</v>
      </c>
      <c r="P652" s="103">
        <v>46002</v>
      </c>
      <c r="Q652" t="s">
        <v>2231</v>
      </c>
      <c r="R652" s="103">
        <v>46006</v>
      </c>
      <c r="S652" t="s">
        <v>2961</v>
      </c>
      <c r="T652" t="s">
        <v>2623</v>
      </c>
      <c r="U652" t="s">
        <v>2744</v>
      </c>
      <c r="V652" t="s">
        <v>3984</v>
      </c>
      <c r="AD652">
        <v>0</v>
      </c>
    </row>
    <row r="653" spans="1:30" hidden="1">
      <c r="A653">
        <v>295637</v>
      </c>
      <c r="B653">
        <v>1</v>
      </c>
      <c r="C653" t="s">
        <v>2942</v>
      </c>
      <c r="E653" s="103">
        <v>46006</v>
      </c>
      <c r="F653">
        <v>3</v>
      </c>
      <c r="G653" s="1210">
        <v>45989</v>
      </c>
      <c r="I653" t="s">
        <v>3985</v>
      </c>
      <c r="J653" t="s">
        <v>2082</v>
      </c>
      <c r="K653">
        <v>4500011983</v>
      </c>
      <c r="L653" t="s">
        <v>2942</v>
      </c>
      <c r="N653" t="s">
        <v>3983</v>
      </c>
      <c r="O653" t="s">
        <v>2094</v>
      </c>
      <c r="P653" s="103">
        <v>46002</v>
      </c>
      <c r="Q653" t="s">
        <v>2231</v>
      </c>
      <c r="R653" s="103">
        <v>46006</v>
      </c>
      <c r="S653" t="s">
        <v>2961</v>
      </c>
      <c r="T653" t="s">
        <v>3986</v>
      </c>
      <c r="U653" t="s">
        <v>2744</v>
      </c>
      <c r="V653" t="s">
        <v>3984</v>
      </c>
      <c r="AD653">
        <v>0</v>
      </c>
    </row>
    <row r="654" spans="1:30" hidden="1">
      <c r="A654">
        <v>295639</v>
      </c>
      <c r="B654">
        <v>2</v>
      </c>
      <c r="C654" t="s">
        <v>2781</v>
      </c>
      <c r="E654" s="103">
        <v>46006</v>
      </c>
      <c r="F654">
        <v>3</v>
      </c>
      <c r="G654" s="1210">
        <v>45989</v>
      </c>
      <c r="I654" t="s">
        <v>3987</v>
      </c>
      <c r="J654" t="s">
        <v>2082</v>
      </c>
      <c r="K654">
        <v>4500011991</v>
      </c>
      <c r="L654" t="s">
        <v>3988</v>
      </c>
      <c r="N654" t="s">
        <v>3983</v>
      </c>
      <c r="O654" t="s">
        <v>2094</v>
      </c>
      <c r="P654" s="103">
        <v>46002</v>
      </c>
      <c r="Q654" t="s">
        <v>2231</v>
      </c>
      <c r="R654" s="103">
        <v>46006</v>
      </c>
      <c r="S654" t="s">
        <v>2961</v>
      </c>
      <c r="T654" t="s">
        <v>3986</v>
      </c>
      <c r="U654" t="s">
        <v>2744</v>
      </c>
      <c r="V654" t="s">
        <v>3984</v>
      </c>
      <c r="AD654">
        <v>0</v>
      </c>
    </row>
    <row r="655" spans="1:30" hidden="1">
      <c r="A655">
        <v>284152</v>
      </c>
      <c r="B655">
        <v>3</v>
      </c>
      <c r="C655" t="s">
        <v>3989</v>
      </c>
      <c r="D655" t="s">
        <v>2114</v>
      </c>
      <c r="E655" s="103">
        <v>46008</v>
      </c>
      <c r="F655">
        <v>3</v>
      </c>
      <c r="G655" s="1210">
        <v>45932</v>
      </c>
      <c r="I655" t="s">
        <v>2115</v>
      </c>
      <c r="J655" t="s">
        <v>2082</v>
      </c>
      <c r="K655">
        <v>4500011591</v>
      </c>
      <c r="L655" t="s">
        <v>3990</v>
      </c>
      <c r="N655" t="s">
        <v>3991</v>
      </c>
      <c r="O655" t="s">
        <v>2094</v>
      </c>
      <c r="P655" s="103">
        <v>46007</v>
      </c>
      <c r="Q655" t="s">
        <v>2231</v>
      </c>
      <c r="S655" t="s">
        <v>3992</v>
      </c>
      <c r="T655" t="s">
        <v>3993</v>
      </c>
      <c r="U655" t="s">
        <v>2744</v>
      </c>
      <c r="AD655">
        <v>0</v>
      </c>
    </row>
    <row r="656" spans="1:30" hidden="1">
      <c r="A656">
        <v>284153</v>
      </c>
      <c r="B656">
        <v>1</v>
      </c>
      <c r="C656" t="s">
        <v>3944</v>
      </c>
      <c r="D656" t="s">
        <v>2114</v>
      </c>
      <c r="E656" s="103">
        <v>46008</v>
      </c>
      <c r="F656">
        <v>3</v>
      </c>
      <c r="G656" s="1210">
        <v>45932</v>
      </c>
      <c r="I656" t="s">
        <v>2105</v>
      </c>
      <c r="J656" t="s">
        <v>2082</v>
      </c>
      <c r="K656">
        <v>4500011591</v>
      </c>
      <c r="L656" t="s">
        <v>3944</v>
      </c>
      <c r="N656" t="s">
        <v>3991</v>
      </c>
      <c r="O656" t="s">
        <v>2094</v>
      </c>
      <c r="P656" s="103">
        <v>46007</v>
      </c>
      <c r="Q656" t="s">
        <v>2231</v>
      </c>
      <c r="S656" t="s">
        <v>3994</v>
      </c>
      <c r="T656" t="s">
        <v>3993</v>
      </c>
      <c r="U656" t="s">
        <v>2744</v>
      </c>
      <c r="AD656">
        <v>0</v>
      </c>
    </row>
    <row r="657" spans="1:30" hidden="1">
      <c r="A657">
        <v>284188</v>
      </c>
      <c r="B657">
        <v>1</v>
      </c>
      <c r="C657" t="s">
        <v>2278</v>
      </c>
      <c r="D657" t="s">
        <v>2114</v>
      </c>
      <c r="E657" s="103">
        <v>46008</v>
      </c>
      <c r="F657">
        <v>3</v>
      </c>
      <c r="G657" s="1210">
        <v>45932</v>
      </c>
      <c r="I657" t="s">
        <v>2107</v>
      </c>
      <c r="J657" t="s">
        <v>2082</v>
      </c>
      <c r="K657">
        <v>4500011591</v>
      </c>
      <c r="L657" t="s">
        <v>2278</v>
      </c>
      <c r="N657" t="s">
        <v>3991</v>
      </c>
      <c r="O657" t="s">
        <v>2094</v>
      </c>
      <c r="P657" s="103">
        <v>46007</v>
      </c>
      <c r="Q657" t="s">
        <v>2231</v>
      </c>
      <c r="S657" t="s">
        <v>3995</v>
      </c>
      <c r="T657" t="s">
        <v>3993</v>
      </c>
      <c r="U657" t="s">
        <v>2744</v>
      </c>
      <c r="AD657">
        <v>0</v>
      </c>
    </row>
    <row r="658" spans="1:30" hidden="1">
      <c r="A658">
        <v>210492</v>
      </c>
      <c r="B658">
        <v>58</v>
      </c>
      <c r="C658" t="s">
        <v>3915</v>
      </c>
      <c r="E658" s="103">
        <v>46010</v>
      </c>
      <c r="F658">
        <v>4</v>
      </c>
      <c r="G658" s="1210">
        <v>45870</v>
      </c>
      <c r="I658" t="s">
        <v>646</v>
      </c>
      <c r="J658" t="s">
        <v>2070</v>
      </c>
      <c r="K658">
        <v>4500011160</v>
      </c>
      <c r="L658" t="s">
        <v>3996</v>
      </c>
      <c r="M658" t="s">
        <v>3997</v>
      </c>
      <c r="N658" t="s">
        <v>3945</v>
      </c>
      <c r="O658" t="s">
        <v>2026</v>
      </c>
      <c r="P658" s="103">
        <v>46003</v>
      </c>
      <c r="Q658" t="s">
        <v>2231</v>
      </c>
      <c r="R658" s="103">
        <v>46007</v>
      </c>
      <c r="S658" t="s">
        <v>2281</v>
      </c>
      <c r="U658" t="s">
        <v>2282</v>
      </c>
      <c r="V658" t="s">
        <v>3917</v>
      </c>
      <c r="W658" t="s">
        <v>2643</v>
      </c>
      <c r="AD658">
        <v>5960</v>
      </c>
    </row>
    <row r="659" spans="1:30" hidden="1">
      <c r="A659">
        <v>212347</v>
      </c>
      <c r="B659">
        <v>80</v>
      </c>
      <c r="C659" t="s">
        <v>3998</v>
      </c>
      <c r="D659" t="s">
        <v>3999</v>
      </c>
      <c r="E659" s="103">
        <v>46010</v>
      </c>
      <c r="F659">
        <v>1</v>
      </c>
      <c r="G659" s="1210">
        <v>45932</v>
      </c>
      <c r="I659" t="s">
        <v>152</v>
      </c>
      <c r="J659" t="s">
        <v>2082</v>
      </c>
      <c r="K659">
        <v>4500011560</v>
      </c>
      <c r="L659" t="s">
        <v>4000</v>
      </c>
      <c r="M659" t="s">
        <v>4001</v>
      </c>
      <c r="N659" t="s">
        <v>3991</v>
      </c>
      <c r="O659" t="s">
        <v>3798</v>
      </c>
      <c r="P659" s="103">
        <v>46003</v>
      </c>
      <c r="Q659" t="s">
        <v>2231</v>
      </c>
      <c r="R659" s="103">
        <v>46007</v>
      </c>
      <c r="S659" t="s">
        <v>2281</v>
      </c>
      <c r="U659" t="s">
        <v>2744</v>
      </c>
      <c r="V659" t="s">
        <v>3999</v>
      </c>
      <c r="AD659">
        <v>436</v>
      </c>
    </row>
    <row r="660" spans="1:30" hidden="1">
      <c r="A660">
        <v>216787</v>
      </c>
      <c r="B660">
        <v>360</v>
      </c>
      <c r="C660" t="s">
        <v>3740</v>
      </c>
      <c r="D660" t="s">
        <v>3999</v>
      </c>
      <c r="E660" s="103">
        <v>46010</v>
      </c>
      <c r="F660">
        <v>1</v>
      </c>
      <c r="G660" s="1210">
        <v>45947</v>
      </c>
      <c r="I660" t="s">
        <v>488</v>
      </c>
      <c r="J660" t="s">
        <v>2082</v>
      </c>
      <c r="K660">
        <v>4500011671</v>
      </c>
      <c r="L660" t="s">
        <v>4002</v>
      </c>
      <c r="M660" t="s">
        <v>4003</v>
      </c>
      <c r="N660" t="s">
        <v>3991</v>
      </c>
      <c r="O660" t="s">
        <v>3798</v>
      </c>
      <c r="P660" s="103">
        <v>46003</v>
      </c>
      <c r="Q660" t="s">
        <v>2231</v>
      </c>
      <c r="R660" s="103">
        <v>46007</v>
      </c>
      <c r="S660" t="s">
        <v>2281</v>
      </c>
      <c r="U660" t="s">
        <v>2744</v>
      </c>
      <c r="V660" t="s">
        <v>3999</v>
      </c>
      <c r="AD660">
        <v>2224</v>
      </c>
    </row>
    <row r="661" spans="1:30" hidden="1">
      <c r="A661">
        <v>222649</v>
      </c>
      <c r="B661">
        <v>150</v>
      </c>
      <c r="C661" t="s">
        <v>3765</v>
      </c>
      <c r="E661" s="103">
        <v>46014</v>
      </c>
      <c r="F661">
        <v>1</v>
      </c>
      <c r="G661" s="1210">
        <v>45842</v>
      </c>
      <c r="I661" t="s">
        <v>709</v>
      </c>
      <c r="J661" t="s">
        <v>2082</v>
      </c>
      <c r="K661">
        <v>4500010936</v>
      </c>
      <c r="L661" t="s">
        <v>3938</v>
      </c>
      <c r="M661" t="s">
        <v>4004</v>
      </c>
      <c r="N661" t="s">
        <v>4001</v>
      </c>
      <c r="O661" t="s">
        <v>2026</v>
      </c>
      <c r="P661" s="103">
        <v>46003</v>
      </c>
      <c r="Q661" t="s">
        <v>2231</v>
      </c>
      <c r="R661" s="103">
        <v>46009</v>
      </c>
      <c r="S661" t="s">
        <v>2281</v>
      </c>
      <c r="U661" t="s">
        <v>2744</v>
      </c>
      <c r="AB661" t="s">
        <v>4005</v>
      </c>
      <c r="AC661" t="s">
        <v>4006</v>
      </c>
      <c r="AD661">
        <v>306</v>
      </c>
    </row>
    <row r="662" spans="1:30" hidden="1">
      <c r="A662">
        <v>222650</v>
      </c>
      <c r="B662">
        <v>350</v>
      </c>
      <c r="C662" t="s">
        <v>3769</v>
      </c>
      <c r="E662" s="103">
        <v>46014</v>
      </c>
      <c r="F662">
        <v>1</v>
      </c>
      <c r="G662" s="1210">
        <v>45842</v>
      </c>
      <c r="I662" t="s">
        <v>765</v>
      </c>
      <c r="J662" t="s">
        <v>2082</v>
      </c>
      <c r="K662">
        <v>4500010940</v>
      </c>
      <c r="L662" t="s">
        <v>3939</v>
      </c>
      <c r="M662" t="s">
        <v>4004</v>
      </c>
      <c r="N662" t="s">
        <v>4001</v>
      </c>
      <c r="O662" t="s">
        <v>2026</v>
      </c>
      <c r="P662" s="103">
        <v>46003</v>
      </c>
      <c r="Q662" t="s">
        <v>2231</v>
      </c>
      <c r="R662" s="103">
        <v>46009</v>
      </c>
      <c r="S662" t="s">
        <v>2281</v>
      </c>
      <c r="U662" t="s">
        <v>2744</v>
      </c>
      <c r="AB662" t="s">
        <v>4005</v>
      </c>
      <c r="AC662" t="s">
        <v>4006</v>
      </c>
      <c r="AD662">
        <v>706</v>
      </c>
    </row>
    <row r="663" spans="1:30" hidden="1">
      <c r="A663">
        <v>223058</v>
      </c>
      <c r="B663">
        <v>150</v>
      </c>
      <c r="C663" t="s">
        <v>3685</v>
      </c>
      <c r="E663" s="103">
        <v>46014</v>
      </c>
      <c r="F663">
        <v>1</v>
      </c>
      <c r="G663" s="1210">
        <v>45940</v>
      </c>
      <c r="I663" t="s">
        <v>726</v>
      </c>
      <c r="J663" t="s">
        <v>2082</v>
      </c>
      <c r="K663">
        <v>4500011638</v>
      </c>
      <c r="L663" t="s">
        <v>4007</v>
      </c>
      <c r="M663" t="s">
        <v>4008</v>
      </c>
      <c r="N663" t="s">
        <v>4001</v>
      </c>
      <c r="O663" t="s">
        <v>2026</v>
      </c>
      <c r="P663" s="103">
        <v>46003</v>
      </c>
      <c r="Q663" t="s">
        <v>2231</v>
      </c>
      <c r="R663" s="103">
        <v>46009</v>
      </c>
      <c r="S663" t="s">
        <v>2281</v>
      </c>
      <c r="U663" t="s">
        <v>2744</v>
      </c>
      <c r="AB663" t="s">
        <v>4005</v>
      </c>
      <c r="AC663" t="s">
        <v>4006</v>
      </c>
      <c r="AD663">
        <v>1905</v>
      </c>
    </row>
    <row r="664" spans="1:30" hidden="1">
      <c r="A664">
        <v>216524</v>
      </c>
      <c r="B664">
        <v>144</v>
      </c>
      <c r="C664" t="s">
        <v>3876</v>
      </c>
      <c r="E664" s="103">
        <v>46014</v>
      </c>
      <c r="F664">
        <v>1</v>
      </c>
      <c r="G664" s="1210">
        <v>45947</v>
      </c>
      <c r="I664" t="s">
        <v>451</v>
      </c>
      <c r="J664" t="s">
        <v>2082</v>
      </c>
      <c r="K664">
        <v>4500011670</v>
      </c>
      <c r="L664" t="s">
        <v>4009</v>
      </c>
      <c r="M664" t="s">
        <v>4008</v>
      </c>
      <c r="N664" t="s">
        <v>4001</v>
      </c>
      <c r="O664" t="s">
        <v>2026</v>
      </c>
      <c r="P664" s="103">
        <v>46003</v>
      </c>
      <c r="Q664" t="s">
        <v>2231</v>
      </c>
      <c r="R664" s="103">
        <v>46009</v>
      </c>
      <c r="S664" t="s">
        <v>2281</v>
      </c>
      <c r="U664" t="s">
        <v>2744</v>
      </c>
      <c r="AB664" t="s">
        <v>4005</v>
      </c>
      <c r="AC664" t="s">
        <v>4006</v>
      </c>
      <c r="AD664">
        <v>1180</v>
      </c>
    </row>
    <row r="665" spans="1:30" hidden="1">
      <c r="A665">
        <v>281821</v>
      </c>
      <c r="B665">
        <v>1</v>
      </c>
      <c r="C665" t="s">
        <v>2775</v>
      </c>
      <c r="D665" t="s">
        <v>4010</v>
      </c>
      <c r="E665" s="103">
        <v>46016</v>
      </c>
      <c r="F665">
        <v>1</v>
      </c>
      <c r="G665" s="1210">
        <v>45926</v>
      </c>
      <c r="I665" t="s">
        <v>588</v>
      </c>
      <c r="J665" t="s">
        <v>2012</v>
      </c>
      <c r="K665">
        <v>4500011512</v>
      </c>
      <c r="L665" t="s">
        <v>2775</v>
      </c>
      <c r="N665" t="s">
        <v>4011</v>
      </c>
      <c r="O665" t="s">
        <v>2094</v>
      </c>
      <c r="Q665" t="s">
        <v>2231</v>
      </c>
      <c r="S665" t="s">
        <v>3909</v>
      </c>
      <c r="U665" t="s">
        <v>2744</v>
      </c>
      <c r="V665" t="s">
        <v>4012</v>
      </c>
      <c r="AD665">
        <v>1</v>
      </c>
    </row>
    <row r="666" spans="1:30" hidden="1">
      <c r="A666">
        <v>281821</v>
      </c>
      <c r="B666">
        <v>2</v>
      </c>
      <c r="C666" t="s">
        <v>2775</v>
      </c>
      <c r="D666" t="s">
        <v>4010</v>
      </c>
      <c r="E666" s="103">
        <v>46016</v>
      </c>
      <c r="F666">
        <v>1</v>
      </c>
      <c r="G666" s="1210">
        <v>45926</v>
      </c>
      <c r="I666" t="s">
        <v>588</v>
      </c>
      <c r="J666" t="s">
        <v>2012</v>
      </c>
      <c r="K666">
        <v>4500011512</v>
      </c>
      <c r="L666" t="s">
        <v>4013</v>
      </c>
      <c r="N666" t="s">
        <v>4011</v>
      </c>
      <c r="O666" t="s">
        <v>2094</v>
      </c>
      <c r="Q666" t="s">
        <v>2231</v>
      </c>
      <c r="S666" t="s">
        <v>3245</v>
      </c>
      <c r="U666" t="s">
        <v>2744</v>
      </c>
      <c r="V666" t="s">
        <v>4014</v>
      </c>
      <c r="AD666">
        <v>3</v>
      </c>
    </row>
    <row r="667" spans="1:30" hidden="1">
      <c r="A667">
        <v>281821</v>
      </c>
      <c r="B667">
        <v>2</v>
      </c>
      <c r="C667" t="s">
        <v>2775</v>
      </c>
      <c r="D667" t="s">
        <v>4010</v>
      </c>
      <c r="E667" s="103">
        <v>46016</v>
      </c>
      <c r="F667">
        <v>1</v>
      </c>
      <c r="G667" s="1210">
        <v>45926</v>
      </c>
      <c r="I667" t="s">
        <v>588</v>
      </c>
      <c r="J667" t="s">
        <v>2012</v>
      </c>
      <c r="K667">
        <v>4500011512</v>
      </c>
      <c r="L667" t="s">
        <v>4013</v>
      </c>
      <c r="N667" t="s">
        <v>4011</v>
      </c>
      <c r="O667" t="s">
        <v>2094</v>
      </c>
      <c r="Q667" t="s">
        <v>2231</v>
      </c>
      <c r="S667" t="s">
        <v>2961</v>
      </c>
      <c r="U667" t="s">
        <v>2744</v>
      </c>
      <c r="V667" t="s">
        <v>4015</v>
      </c>
      <c r="AD667">
        <v>5</v>
      </c>
    </row>
    <row r="668" spans="1:30" hidden="1">
      <c r="A668">
        <v>295631</v>
      </c>
      <c r="B668">
        <v>1</v>
      </c>
      <c r="C668" t="s">
        <v>2775</v>
      </c>
      <c r="E668" s="103">
        <v>46016</v>
      </c>
      <c r="F668">
        <v>3</v>
      </c>
      <c r="G668" s="1210">
        <v>45989</v>
      </c>
      <c r="I668" t="s">
        <v>4016</v>
      </c>
      <c r="J668" t="s">
        <v>2082</v>
      </c>
      <c r="K668">
        <v>4500011966</v>
      </c>
      <c r="L668" t="s">
        <v>2775</v>
      </c>
      <c r="N668" t="s">
        <v>3922</v>
      </c>
      <c r="O668" t="s">
        <v>2094</v>
      </c>
      <c r="Q668" t="s">
        <v>2231</v>
      </c>
      <c r="S668" t="s">
        <v>4017</v>
      </c>
      <c r="U668" t="s">
        <v>2744</v>
      </c>
      <c r="V668" t="s">
        <v>4018</v>
      </c>
      <c r="AD668">
        <v>0</v>
      </c>
    </row>
    <row r="669" spans="1:30" hidden="1">
      <c r="A669">
        <v>295631</v>
      </c>
      <c r="B669">
        <v>1</v>
      </c>
      <c r="C669" t="s">
        <v>2775</v>
      </c>
      <c r="E669" s="103">
        <v>46016</v>
      </c>
      <c r="F669">
        <v>3</v>
      </c>
      <c r="G669" s="1210">
        <v>45989</v>
      </c>
      <c r="I669" t="s">
        <v>4016</v>
      </c>
      <c r="J669" t="s">
        <v>2082</v>
      </c>
      <c r="K669">
        <v>4500011966</v>
      </c>
      <c r="L669" t="s">
        <v>2775</v>
      </c>
      <c r="N669" t="s">
        <v>3922</v>
      </c>
      <c r="O669" t="s">
        <v>2094</v>
      </c>
      <c r="Q669" t="s">
        <v>2231</v>
      </c>
      <c r="S669" t="s">
        <v>4019</v>
      </c>
      <c r="U669" t="s">
        <v>2744</v>
      </c>
      <c r="V669" t="s">
        <v>4020</v>
      </c>
      <c r="AD669">
        <v>0</v>
      </c>
    </row>
    <row r="670" spans="1:30" hidden="1">
      <c r="A670">
        <v>295633</v>
      </c>
      <c r="B670">
        <v>1</v>
      </c>
      <c r="C670" t="s">
        <v>4021</v>
      </c>
      <c r="E670" s="103">
        <v>46016</v>
      </c>
      <c r="F670">
        <v>3</v>
      </c>
      <c r="G670" s="1210">
        <v>45989</v>
      </c>
      <c r="I670" t="s">
        <v>4022</v>
      </c>
      <c r="J670" t="s">
        <v>2082</v>
      </c>
      <c r="K670">
        <v>4500011967</v>
      </c>
      <c r="L670" t="s">
        <v>4021</v>
      </c>
      <c r="N670" t="s">
        <v>3922</v>
      </c>
      <c r="O670" t="s">
        <v>2094</v>
      </c>
      <c r="Q670" t="s">
        <v>2231</v>
      </c>
      <c r="S670" t="s">
        <v>4017</v>
      </c>
      <c r="T670" t="s">
        <v>2623</v>
      </c>
      <c r="U670" t="s">
        <v>2744</v>
      </c>
      <c r="V670" t="s">
        <v>4018</v>
      </c>
      <c r="AD670">
        <v>0</v>
      </c>
    </row>
    <row r="671" spans="1:30" hidden="1">
      <c r="A671">
        <v>295633</v>
      </c>
      <c r="B671">
        <v>1</v>
      </c>
      <c r="C671" t="s">
        <v>4021</v>
      </c>
      <c r="E671" s="103">
        <v>46016</v>
      </c>
      <c r="F671">
        <v>3</v>
      </c>
      <c r="G671" s="1210">
        <v>45989</v>
      </c>
      <c r="I671" t="s">
        <v>4022</v>
      </c>
      <c r="J671" t="s">
        <v>2082</v>
      </c>
      <c r="K671">
        <v>4500011967</v>
      </c>
      <c r="L671" t="s">
        <v>4021</v>
      </c>
      <c r="N671" t="s">
        <v>3922</v>
      </c>
      <c r="O671" t="s">
        <v>2094</v>
      </c>
      <c r="Q671" t="s">
        <v>2231</v>
      </c>
      <c r="S671" t="s">
        <v>4019</v>
      </c>
      <c r="U671" t="s">
        <v>2744</v>
      </c>
      <c r="V671" t="s">
        <v>4020</v>
      </c>
      <c r="AD671">
        <v>0</v>
      </c>
    </row>
    <row r="672" spans="1:30" hidden="1">
      <c r="A672">
        <v>286431</v>
      </c>
      <c r="B672">
        <v>2</v>
      </c>
      <c r="C672" t="s">
        <v>3769</v>
      </c>
      <c r="D672" t="s">
        <v>4023</v>
      </c>
      <c r="E672" s="103">
        <v>46017</v>
      </c>
      <c r="F672">
        <v>1</v>
      </c>
      <c r="G672" s="1210">
        <v>46014</v>
      </c>
      <c r="I672" t="s">
        <v>758</v>
      </c>
      <c r="J672" t="s">
        <v>2082</v>
      </c>
      <c r="K672">
        <v>4500011677</v>
      </c>
      <c r="L672" t="s">
        <v>3886</v>
      </c>
      <c r="M672" t="s">
        <v>4024</v>
      </c>
      <c r="N672" t="s">
        <v>4025</v>
      </c>
      <c r="O672" t="s">
        <v>2094</v>
      </c>
      <c r="Q672" t="s">
        <v>2231</v>
      </c>
      <c r="S672" t="s">
        <v>4026</v>
      </c>
      <c r="T672" t="s">
        <v>4027</v>
      </c>
      <c r="U672" t="s">
        <v>2744</v>
      </c>
      <c r="V672" t="s">
        <v>2744</v>
      </c>
      <c r="AD672">
        <v>2</v>
      </c>
    </row>
    <row r="673" spans="1:30" hidden="1">
      <c r="A673">
        <v>302879</v>
      </c>
      <c r="B673">
        <v>10</v>
      </c>
      <c r="C673" t="s">
        <v>4028</v>
      </c>
      <c r="E673" s="103">
        <v>46020</v>
      </c>
      <c r="F673">
        <v>3</v>
      </c>
      <c r="G673" s="1210">
        <v>46008</v>
      </c>
      <c r="I673" t="s">
        <v>4029</v>
      </c>
      <c r="J673" t="s">
        <v>2070</v>
      </c>
      <c r="K673">
        <v>4500012180</v>
      </c>
      <c r="L673" t="s">
        <v>4030</v>
      </c>
      <c r="N673" t="s">
        <v>4031</v>
      </c>
      <c r="O673" t="s">
        <v>2094</v>
      </c>
      <c r="P673" s="103">
        <v>46024</v>
      </c>
      <c r="Q673" t="s">
        <v>2289</v>
      </c>
      <c r="R673" s="103">
        <v>46028</v>
      </c>
      <c r="S673" t="s">
        <v>2236</v>
      </c>
      <c r="U673" t="s">
        <v>2744</v>
      </c>
      <c r="V673" t="s">
        <v>4032</v>
      </c>
      <c r="AD673">
        <v>0</v>
      </c>
    </row>
    <row r="674" spans="1:30" hidden="1">
      <c r="A674">
        <v>295638</v>
      </c>
      <c r="B674">
        <v>2</v>
      </c>
      <c r="C674" t="s">
        <v>4033</v>
      </c>
      <c r="D674" t="s">
        <v>4034</v>
      </c>
      <c r="E674" s="103">
        <v>46027</v>
      </c>
      <c r="F674">
        <v>1</v>
      </c>
      <c r="G674" s="1210">
        <v>45989</v>
      </c>
      <c r="I674" t="s">
        <v>721</v>
      </c>
      <c r="J674" t="s">
        <v>2082</v>
      </c>
      <c r="K674">
        <v>4500011988</v>
      </c>
      <c r="L674" t="s">
        <v>4035</v>
      </c>
      <c r="M674" t="s">
        <v>4036</v>
      </c>
      <c r="N674" t="s">
        <v>4037</v>
      </c>
      <c r="O674" t="s">
        <v>2094</v>
      </c>
      <c r="P674" s="103">
        <v>46080</v>
      </c>
      <c r="Q674" t="s">
        <v>2231</v>
      </c>
      <c r="R674" s="103">
        <v>46082</v>
      </c>
      <c r="S674" t="s">
        <v>4038</v>
      </c>
      <c r="T674" t="s">
        <v>4039</v>
      </c>
      <c r="U674" t="s">
        <v>2744</v>
      </c>
      <c r="AD674">
        <v>2</v>
      </c>
    </row>
    <row r="675" spans="1:30" hidden="1">
      <c r="A675">
        <v>284150</v>
      </c>
      <c r="B675">
        <v>2</v>
      </c>
      <c r="C675" t="s">
        <v>3944</v>
      </c>
      <c r="E675" s="103">
        <v>46029</v>
      </c>
      <c r="F675">
        <v>1</v>
      </c>
      <c r="G675" s="1210">
        <v>45932</v>
      </c>
      <c r="I675" t="s">
        <v>658</v>
      </c>
      <c r="J675" t="s">
        <v>2082</v>
      </c>
      <c r="K675">
        <v>4500011595</v>
      </c>
      <c r="L675" t="s">
        <v>3600</v>
      </c>
      <c r="N675" t="s">
        <v>4040</v>
      </c>
      <c r="O675" t="s">
        <v>2094</v>
      </c>
      <c r="Q675" t="s">
        <v>2231</v>
      </c>
      <c r="S675" t="s">
        <v>4041</v>
      </c>
      <c r="T675" t="s">
        <v>4042</v>
      </c>
      <c r="U675" t="s">
        <v>2744</v>
      </c>
      <c r="V675" t="s">
        <v>2815</v>
      </c>
      <c r="AD675">
        <v>2</v>
      </c>
    </row>
    <row r="676" spans="1:30" hidden="1">
      <c r="A676">
        <v>284150</v>
      </c>
      <c r="B676">
        <v>1</v>
      </c>
      <c r="C676" t="s">
        <v>3944</v>
      </c>
      <c r="E676" s="103">
        <v>46029</v>
      </c>
      <c r="F676">
        <v>1</v>
      </c>
      <c r="G676" s="1210">
        <v>45932</v>
      </c>
      <c r="I676" t="s">
        <v>658</v>
      </c>
      <c r="J676" t="s">
        <v>2082</v>
      </c>
      <c r="K676">
        <v>4500011595</v>
      </c>
      <c r="L676" t="s">
        <v>3944</v>
      </c>
      <c r="N676" t="s">
        <v>4040</v>
      </c>
      <c r="O676" t="s">
        <v>2094</v>
      </c>
      <c r="Q676" t="s">
        <v>2231</v>
      </c>
      <c r="S676" t="s">
        <v>4043</v>
      </c>
      <c r="T676" t="s">
        <v>4044</v>
      </c>
      <c r="U676" t="s">
        <v>2744</v>
      </c>
      <c r="V676" t="s">
        <v>2815</v>
      </c>
      <c r="AD676">
        <v>3</v>
      </c>
    </row>
    <row r="677" spans="1:30" hidden="1">
      <c r="A677">
        <v>284151</v>
      </c>
      <c r="B677">
        <v>2</v>
      </c>
      <c r="C677" t="s">
        <v>2278</v>
      </c>
      <c r="E677" s="103">
        <v>46029</v>
      </c>
      <c r="F677">
        <v>1</v>
      </c>
      <c r="G677" s="1210">
        <v>45932</v>
      </c>
      <c r="I677" t="s">
        <v>683</v>
      </c>
      <c r="J677" t="s">
        <v>2082</v>
      </c>
      <c r="K677">
        <v>4500011596</v>
      </c>
      <c r="L677" t="s">
        <v>3948</v>
      </c>
      <c r="N677" t="s">
        <v>4040</v>
      </c>
      <c r="O677" t="s">
        <v>2094</v>
      </c>
      <c r="P677" s="103">
        <v>46028</v>
      </c>
      <c r="Q677" t="s">
        <v>2231</v>
      </c>
      <c r="S677" t="s">
        <v>4041</v>
      </c>
      <c r="T677" t="s">
        <v>4042</v>
      </c>
      <c r="U677" t="s">
        <v>2744</v>
      </c>
      <c r="V677" t="s">
        <v>2815</v>
      </c>
      <c r="AD677">
        <v>2</v>
      </c>
    </row>
    <row r="678" spans="1:30" hidden="1">
      <c r="A678">
        <v>284151</v>
      </c>
      <c r="B678">
        <v>1</v>
      </c>
      <c r="C678" t="s">
        <v>2278</v>
      </c>
      <c r="E678" s="103">
        <v>46029</v>
      </c>
      <c r="F678">
        <v>1</v>
      </c>
      <c r="G678" s="1210">
        <v>45932</v>
      </c>
      <c r="I678" t="s">
        <v>683</v>
      </c>
      <c r="J678" t="s">
        <v>2082</v>
      </c>
      <c r="K678">
        <v>4500011596</v>
      </c>
      <c r="L678" t="s">
        <v>2278</v>
      </c>
      <c r="N678" t="s">
        <v>4040</v>
      </c>
      <c r="O678" t="s">
        <v>2094</v>
      </c>
      <c r="P678" s="103">
        <v>46028</v>
      </c>
      <c r="Q678" t="s">
        <v>2231</v>
      </c>
      <c r="S678" t="s">
        <v>4043</v>
      </c>
      <c r="T678" t="s">
        <v>4044</v>
      </c>
      <c r="U678" t="s">
        <v>2744</v>
      </c>
      <c r="V678" t="s">
        <v>2815</v>
      </c>
      <c r="AD678">
        <v>3</v>
      </c>
    </row>
    <row r="679" spans="1:30" hidden="1">
      <c r="A679">
        <v>189730</v>
      </c>
      <c r="B679">
        <v>10</v>
      </c>
      <c r="C679" t="s">
        <v>2905</v>
      </c>
      <c r="E679" s="103">
        <v>46029</v>
      </c>
      <c r="F679">
        <v>3</v>
      </c>
      <c r="G679" s="1210">
        <v>46014</v>
      </c>
      <c r="I679" t="s">
        <v>2906</v>
      </c>
      <c r="J679" t="s">
        <v>2082</v>
      </c>
      <c r="K679">
        <v>4500012382</v>
      </c>
      <c r="L679" t="s">
        <v>2907</v>
      </c>
      <c r="N679" t="s">
        <v>4045</v>
      </c>
      <c r="O679" t="s">
        <v>2094</v>
      </c>
      <c r="P679" s="103">
        <v>46022</v>
      </c>
      <c r="Q679" t="s">
        <v>2231</v>
      </c>
      <c r="R679" s="103">
        <v>46026</v>
      </c>
      <c r="S679" t="s">
        <v>4046</v>
      </c>
      <c r="U679" t="s">
        <v>2744</v>
      </c>
      <c r="AD679">
        <v>0</v>
      </c>
    </row>
    <row r="680" spans="1:30" hidden="1">
      <c r="A680">
        <v>284150</v>
      </c>
      <c r="B680">
        <v>2</v>
      </c>
      <c r="C680" t="s">
        <v>3944</v>
      </c>
      <c r="E680" s="103">
        <v>46030</v>
      </c>
      <c r="F680">
        <v>1</v>
      </c>
      <c r="G680" s="1210">
        <v>45932</v>
      </c>
      <c r="I680" t="s">
        <v>658</v>
      </c>
      <c r="J680" t="s">
        <v>2082</v>
      </c>
      <c r="K680">
        <v>4500011595</v>
      </c>
      <c r="L680" t="s">
        <v>3600</v>
      </c>
      <c r="N680" t="s">
        <v>4040</v>
      </c>
      <c r="O680" t="s">
        <v>2094</v>
      </c>
      <c r="Q680" t="s">
        <v>2231</v>
      </c>
      <c r="S680" t="s">
        <v>4038</v>
      </c>
      <c r="T680" t="s">
        <v>4047</v>
      </c>
      <c r="U680" t="s">
        <v>2744</v>
      </c>
      <c r="V680" t="s">
        <v>2815</v>
      </c>
      <c r="AD680">
        <v>5</v>
      </c>
    </row>
    <row r="681" spans="1:30" hidden="1">
      <c r="A681">
        <v>284151</v>
      </c>
      <c r="B681">
        <v>2</v>
      </c>
      <c r="C681" t="s">
        <v>2278</v>
      </c>
      <c r="E681" s="103">
        <v>46030</v>
      </c>
      <c r="F681">
        <v>1</v>
      </c>
      <c r="G681" s="1210">
        <v>45932</v>
      </c>
      <c r="I681" t="s">
        <v>683</v>
      </c>
      <c r="J681" t="s">
        <v>2082</v>
      </c>
      <c r="K681">
        <v>4500011596</v>
      </c>
      <c r="L681" t="s">
        <v>3948</v>
      </c>
      <c r="N681" t="s">
        <v>4040</v>
      </c>
      <c r="O681" t="s">
        <v>2094</v>
      </c>
      <c r="P681" s="103">
        <v>46028</v>
      </c>
      <c r="Q681" t="s">
        <v>2231</v>
      </c>
      <c r="S681" t="s">
        <v>4038</v>
      </c>
      <c r="T681" t="s">
        <v>4047</v>
      </c>
      <c r="U681" t="s">
        <v>2744</v>
      </c>
      <c r="V681" t="s">
        <v>2815</v>
      </c>
      <c r="AD681">
        <v>5</v>
      </c>
    </row>
    <row r="682" spans="1:30" hidden="1">
      <c r="A682">
        <v>286436</v>
      </c>
      <c r="B682">
        <v>2</v>
      </c>
      <c r="C682" t="s">
        <v>3017</v>
      </c>
      <c r="D682" t="s">
        <v>4023</v>
      </c>
      <c r="E682" s="103">
        <v>46030</v>
      </c>
      <c r="F682">
        <v>1</v>
      </c>
      <c r="G682" s="1210">
        <v>45954</v>
      </c>
      <c r="I682" t="s">
        <v>688</v>
      </c>
      <c r="J682" t="s">
        <v>2082</v>
      </c>
      <c r="K682">
        <v>4500011727</v>
      </c>
      <c r="L682" t="s">
        <v>3019</v>
      </c>
      <c r="N682" t="s">
        <v>4040</v>
      </c>
      <c r="O682" t="s">
        <v>2094</v>
      </c>
      <c r="Q682" t="s">
        <v>2231</v>
      </c>
      <c r="S682" t="s">
        <v>4038</v>
      </c>
      <c r="T682" t="s">
        <v>4047</v>
      </c>
      <c r="U682" t="s">
        <v>2744</v>
      </c>
      <c r="V682" t="s">
        <v>4048</v>
      </c>
      <c r="AD682">
        <v>2</v>
      </c>
    </row>
    <row r="683" spans="1:30" hidden="1">
      <c r="A683">
        <v>286429</v>
      </c>
      <c r="B683">
        <v>2</v>
      </c>
      <c r="C683" t="s">
        <v>3765</v>
      </c>
      <c r="D683" t="s">
        <v>4023</v>
      </c>
      <c r="E683" s="103">
        <v>46030</v>
      </c>
      <c r="F683">
        <v>1</v>
      </c>
      <c r="G683" s="1210">
        <v>45954</v>
      </c>
      <c r="I683" t="s">
        <v>702</v>
      </c>
      <c r="J683" t="s">
        <v>2082</v>
      </c>
      <c r="K683">
        <v>4500011729</v>
      </c>
      <c r="L683" t="s">
        <v>3882</v>
      </c>
      <c r="N683" t="s">
        <v>4040</v>
      </c>
      <c r="O683" t="s">
        <v>2094</v>
      </c>
      <c r="Q683" t="s">
        <v>2231</v>
      </c>
      <c r="S683" t="s">
        <v>4038</v>
      </c>
      <c r="T683" t="s">
        <v>4047</v>
      </c>
      <c r="U683" t="s">
        <v>2744</v>
      </c>
      <c r="V683" t="s">
        <v>2125</v>
      </c>
      <c r="AD683">
        <v>2</v>
      </c>
    </row>
    <row r="684" spans="1:30" hidden="1">
      <c r="A684">
        <v>286433</v>
      </c>
      <c r="B684">
        <v>2</v>
      </c>
      <c r="C684" t="s">
        <v>2997</v>
      </c>
      <c r="D684" t="s">
        <v>4023</v>
      </c>
      <c r="E684" s="103">
        <v>46030</v>
      </c>
      <c r="F684">
        <v>1</v>
      </c>
      <c r="G684" s="1210">
        <v>45975</v>
      </c>
      <c r="I684" t="s">
        <v>735</v>
      </c>
      <c r="J684" t="s">
        <v>2082</v>
      </c>
      <c r="K684">
        <v>4500011897</v>
      </c>
      <c r="L684" t="s">
        <v>3424</v>
      </c>
      <c r="N684" t="s">
        <v>4040</v>
      </c>
      <c r="O684" t="s">
        <v>2094</v>
      </c>
      <c r="Q684" t="s">
        <v>2231</v>
      </c>
      <c r="S684" t="s">
        <v>4038</v>
      </c>
      <c r="T684" t="s">
        <v>4047</v>
      </c>
      <c r="U684" t="s">
        <v>2744</v>
      </c>
      <c r="V684" t="s">
        <v>2024</v>
      </c>
      <c r="W684" t="s">
        <v>4049</v>
      </c>
      <c r="AD684">
        <v>2</v>
      </c>
    </row>
    <row r="685" spans="1:30" hidden="1">
      <c r="A685">
        <v>302866</v>
      </c>
      <c r="B685">
        <v>50</v>
      </c>
      <c r="C685" t="s">
        <v>2778</v>
      </c>
      <c r="E685" s="103">
        <v>46030</v>
      </c>
      <c r="F685">
        <v>3</v>
      </c>
      <c r="G685" s="1210">
        <v>46008</v>
      </c>
      <c r="I685" t="s">
        <v>2011</v>
      </c>
      <c r="J685" t="s">
        <v>2012</v>
      </c>
      <c r="K685">
        <v>4500012181</v>
      </c>
      <c r="L685" t="s">
        <v>4050</v>
      </c>
      <c r="N685" t="s">
        <v>4040</v>
      </c>
      <c r="O685" t="s">
        <v>2094</v>
      </c>
      <c r="P685" s="103">
        <v>46028</v>
      </c>
      <c r="Q685" t="s">
        <v>2231</v>
      </c>
      <c r="R685" s="103">
        <v>46032</v>
      </c>
      <c r="S685" t="s">
        <v>2236</v>
      </c>
      <c r="U685" t="s">
        <v>2744</v>
      </c>
      <c r="AD685">
        <v>0</v>
      </c>
    </row>
    <row r="686" spans="1:30" hidden="1">
      <c r="A686">
        <v>302867</v>
      </c>
      <c r="B686">
        <v>50</v>
      </c>
      <c r="C686" t="s">
        <v>3215</v>
      </c>
      <c r="E686" s="103">
        <v>46030</v>
      </c>
      <c r="F686">
        <v>3</v>
      </c>
      <c r="G686" s="1210">
        <v>46008</v>
      </c>
      <c r="I686" t="s">
        <v>2014</v>
      </c>
      <c r="J686" t="s">
        <v>2012</v>
      </c>
      <c r="K686">
        <v>4500012181</v>
      </c>
      <c r="L686" t="s">
        <v>4051</v>
      </c>
      <c r="N686" t="s">
        <v>4040</v>
      </c>
      <c r="O686" t="s">
        <v>2094</v>
      </c>
      <c r="P686" s="103">
        <v>46028</v>
      </c>
      <c r="Q686" t="s">
        <v>2231</v>
      </c>
      <c r="R686" s="103">
        <v>46032</v>
      </c>
      <c r="S686" t="s">
        <v>2236</v>
      </c>
      <c r="U686" t="s">
        <v>2744</v>
      </c>
      <c r="AD686">
        <v>0</v>
      </c>
    </row>
    <row r="687" spans="1:30" hidden="1">
      <c r="A687">
        <v>302868</v>
      </c>
      <c r="B687">
        <v>50</v>
      </c>
      <c r="C687" t="s">
        <v>3215</v>
      </c>
      <c r="E687" s="103">
        <v>46030</v>
      </c>
      <c r="F687">
        <v>3</v>
      </c>
      <c r="G687" s="1210">
        <v>46008</v>
      </c>
      <c r="I687" t="s">
        <v>2015</v>
      </c>
      <c r="J687" t="s">
        <v>2012</v>
      </c>
      <c r="K687">
        <v>4500012181</v>
      </c>
      <c r="L687" t="s">
        <v>4051</v>
      </c>
      <c r="N687" t="s">
        <v>4040</v>
      </c>
      <c r="O687" t="s">
        <v>2094</v>
      </c>
      <c r="P687" s="103">
        <v>46028</v>
      </c>
      <c r="Q687" t="s">
        <v>2231</v>
      </c>
      <c r="R687" s="103">
        <v>46032</v>
      </c>
      <c r="S687" t="s">
        <v>2236</v>
      </c>
      <c r="U687" t="s">
        <v>2744</v>
      </c>
      <c r="AD687">
        <v>0</v>
      </c>
    </row>
    <row r="688" spans="1:30" hidden="1">
      <c r="A688">
        <v>302869</v>
      </c>
      <c r="B688">
        <v>50</v>
      </c>
      <c r="C688" t="s">
        <v>3215</v>
      </c>
      <c r="E688" s="103">
        <v>46030</v>
      </c>
      <c r="F688">
        <v>3</v>
      </c>
      <c r="G688" s="1210">
        <v>46008</v>
      </c>
      <c r="I688" t="s">
        <v>2016</v>
      </c>
      <c r="J688" t="s">
        <v>2012</v>
      </c>
      <c r="K688">
        <v>4500012181</v>
      </c>
      <c r="L688" t="s">
        <v>4051</v>
      </c>
      <c r="N688" t="s">
        <v>4040</v>
      </c>
      <c r="O688" t="s">
        <v>2094</v>
      </c>
      <c r="P688" s="103">
        <v>46028</v>
      </c>
      <c r="Q688" t="s">
        <v>2231</v>
      </c>
      <c r="R688" s="103">
        <v>46032</v>
      </c>
      <c r="S688" t="s">
        <v>2236</v>
      </c>
      <c r="U688" t="s">
        <v>2744</v>
      </c>
      <c r="AD688">
        <v>0</v>
      </c>
    </row>
    <row r="689" spans="1:30" hidden="1">
      <c r="A689">
        <v>302870</v>
      </c>
      <c r="B689">
        <v>50</v>
      </c>
      <c r="C689" t="s">
        <v>4052</v>
      </c>
      <c r="E689" s="103">
        <v>46030</v>
      </c>
      <c r="F689">
        <v>3</v>
      </c>
      <c r="G689" s="1210">
        <v>46008</v>
      </c>
      <c r="I689" t="s">
        <v>2017</v>
      </c>
      <c r="J689" t="s">
        <v>2012</v>
      </c>
      <c r="K689">
        <v>4500012181</v>
      </c>
      <c r="L689" t="s">
        <v>2788</v>
      </c>
      <c r="N689" t="s">
        <v>4040</v>
      </c>
      <c r="O689" t="s">
        <v>2094</v>
      </c>
      <c r="P689" s="103">
        <v>46028</v>
      </c>
      <c r="Q689" t="s">
        <v>2231</v>
      </c>
      <c r="R689" s="103">
        <v>46032</v>
      </c>
      <c r="S689" t="s">
        <v>2236</v>
      </c>
      <c r="U689" t="s">
        <v>2744</v>
      </c>
      <c r="AD689">
        <v>0</v>
      </c>
    </row>
    <row r="690" spans="1:30" hidden="1">
      <c r="A690">
        <v>251110</v>
      </c>
      <c r="B690">
        <v>128</v>
      </c>
      <c r="C690" t="s">
        <v>3952</v>
      </c>
      <c r="D690" t="s">
        <v>2101</v>
      </c>
      <c r="E690" s="103">
        <v>46031</v>
      </c>
      <c r="F690">
        <v>1</v>
      </c>
      <c r="G690" s="1210">
        <v>45842</v>
      </c>
      <c r="I690" t="s">
        <v>247</v>
      </c>
      <c r="J690" t="s">
        <v>2082</v>
      </c>
      <c r="K690">
        <v>4500010945</v>
      </c>
      <c r="L690" t="s">
        <v>3953</v>
      </c>
      <c r="M690" t="s">
        <v>4053</v>
      </c>
      <c r="N690" t="s">
        <v>4011</v>
      </c>
      <c r="O690" t="s">
        <v>2026</v>
      </c>
      <c r="P690" s="103">
        <v>46018</v>
      </c>
      <c r="Q690" t="s">
        <v>2231</v>
      </c>
      <c r="R690" s="103">
        <v>46022</v>
      </c>
      <c r="S690" t="s">
        <v>2281</v>
      </c>
      <c r="U690" t="s">
        <v>2744</v>
      </c>
      <c r="AB690" t="s">
        <v>4054</v>
      </c>
      <c r="AC690" t="s">
        <v>4045</v>
      </c>
      <c r="AD690">
        <v>890</v>
      </c>
    </row>
    <row r="691" spans="1:30" hidden="1">
      <c r="A691">
        <v>222146</v>
      </c>
      <c r="B691">
        <v>26</v>
      </c>
      <c r="C691" t="s">
        <v>3800</v>
      </c>
      <c r="E691" s="103">
        <v>46031</v>
      </c>
      <c r="F691">
        <v>1</v>
      </c>
      <c r="G691" s="1210">
        <v>45870</v>
      </c>
      <c r="I691" t="s">
        <v>634</v>
      </c>
      <c r="J691" t="s">
        <v>2074</v>
      </c>
      <c r="K691">
        <v>4500011162</v>
      </c>
      <c r="L691" t="s">
        <v>4055</v>
      </c>
      <c r="N691" t="s">
        <v>4056</v>
      </c>
      <c r="O691" t="s">
        <v>2026</v>
      </c>
      <c r="P691" s="103">
        <v>46016</v>
      </c>
      <c r="Q691" t="s">
        <v>3611</v>
      </c>
      <c r="R691" s="103">
        <v>46021</v>
      </c>
      <c r="S691" t="s">
        <v>2281</v>
      </c>
      <c r="U691" t="s">
        <v>2744</v>
      </c>
      <c r="AB691" t="s">
        <v>4057</v>
      </c>
      <c r="AC691" t="s">
        <v>4058</v>
      </c>
      <c r="AD691">
        <v>3006</v>
      </c>
    </row>
    <row r="692" spans="1:30" hidden="1">
      <c r="A692">
        <v>220801</v>
      </c>
      <c r="B692">
        <v>120</v>
      </c>
      <c r="C692" t="s">
        <v>3962</v>
      </c>
      <c r="D692" t="s">
        <v>3702</v>
      </c>
      <c r="E692" s="103">
        <v>46031</v>
      </c>
      <c r="F692">
        <v>1</v>
      </c>
      <c r="G692" s="1210">
        <v>45926</v>
      </c>
      <c r="I692" t="s">
        <v>211</v>
      </c>
      <c r="J692" t="s">
        <v>2012</v>
      </c>
      <c r="K692">
        <v>4500011458</v>
      </c>
      <c r="L692" t="s">
        <v>4059</v>
      </c>
      <c r="M692" t="s">
        <v>4060</v>
      </c>
      <c r="N692" t="s">
        <v>4025</v>
      </c>
      <c r="O692" t="s">
        <v>2026</v>
      </c>
      <c r="P692" s="103">
        <v>46013</v>
      </c>
      <c r="Q692" t="s">
        <v>2231</v>
      </c>
      <c r="R692" s="103">
        <v>46016</v>
      </c>
      <c r="S692" t="s">
        <v>2281</v>
      </c>
      <c r="U692" t="s">
        <v>2744</v>
      </c>
      <c r="AB692" t="s">
        <v>4061</v>
      </c>
      <c r="AC692" t="s">
        <v>4056</v>
      </c>
      <c r="AD692">
        <v>696</v>
      </c>
    </row>
    <row r="693" spans="1:30" hidden="1">
      <c r="A693">
        <v>222644</v>
      </c>
      <c r="B693">
        <v>100</v>
      </c>
      <c r="C693" t="s">
        <v>3755</v>
      </c>
      <c r="E693" s="103">
        <v>46031</v>
      </c>
      <c r="F693">
        <v>1</v>
      </c>
      <c r="G693" s="1210">
        <v>45932</v>
      </c>
      <c r="I693" t="s">
        <v>841</v>
      </c>
      <c r="J693" t="s">
        <v>2082</v>
      </c>
      <c r="K693">
        <v>4500011561</v>
      </c>
      <c r="L693" t="s">
        <v>3965</v>
      </c>
      <c r="M693" t="s">
        <v>4004</v>
      </c>
      <c r="N693" t="s">
        <v>4006</v>
      </c>
      <c r="O693" t="s">
        <v>2026</v>
      </c>
      <c r="P693" s="103">
        <v>46007</v>
      </c>
      <c r="Q693" t="s">
        <v>2231</v>
      </c>
      <c r="R693" s="103">
        <v>46016</v>
      </c>
      <c r="S693" t="s">
        <v>2281</v>
      </c>
      <c r="T693" t="s">
        <v>2623</v>
      </c>
      <c r="U693" t="s">
        <v>2744</v>
      </c>
      <c r="AD693">
        <v>987</v>
      </c>
    </row>
    <row r="694" spans="1:30" hidden="1">
      <c r="A694">
        <v>199024</v>
      </c>
      <c r="B694">
        <v>300</v>
      </c>
      <c r="C694" t="s">
        <v>3566</v>
      </c>
      <c r="D694" t="s">
        <v>3702</v>
      </c>
      <c r="E694" s="103">
        <v>46031</v>
      </c>
      <c r="F694">
        <v>1</v>
      </c>
      <c r="G694" s="1210">
        <v>45940</v>
      </c>
      <c r="I694" t="s">
        <v>338</v>
      </c>
      <c r="J694" t="s">
        <v>2012</v>
      </c>
      <c r="K694">
        <v>4500011640</v>
      </c>
      <c r="L694" t="s">
        <v>3567</v>
      </c>
      <c r="M694" t="s">
        <v>4060</v>
      </c>
      <c r="N694" t="s">
        <v>4062</v>
      </c>
      <c r="O694" t="s">
        <v>2026</v>
      </c>
      <c r="P694" s="103">
        <v>46013</v>
      </c>
      <c r="Q694" t="s">
        <v>2231</v>
      </c>
      <c r="R694" s="103">
        <v>46016</v>
      </c>
      <c r="S694" t="s">
        <v>2281</v>
      </c>
      <c r="U694" t="s">
        <v>2744</v>
      </c>
      <c r="AB694" t="s">
        <v>4061</v>
      </c>
      <c r="AC694" t="s">
        <v>4056</v>
      </c>
      <c r="AD694">
        <v>17100</v>
      </c>
    </row>
    <row r="695" spans="1:30" hidden="1">
      <c r="A695">
        <v>222146</v>
      </c>
      <c r="B695">
        <v>1200</v>
      </c>
      <c r="C695" t="s">
        <v>3800</v>
      </c>
      <c r="E695" s="103">
        <v>46031</v>
      </c>
      <c r="F695">
        <v>1</v>
      </c>
      <c r="G695" s="1210">
        <v>45947</v>
      </c>
      <c r="I695" t="s">
        <v>634</v>
      </c>
      <c r="J695" t="s">
        <v>2074</v>
      </c>
      <c r="K695">
        <v>4500011666</v>
      </c>
      <c r="L695" t="s">
        <v>4063</v>
      </c>
      <c r="N695" t="s">
        <v>4056</v>
      </c>
      <c r="O695" t="s">
        <v>2026</v>
      </c>
      <c r="P695" s="103">
        <v>46016</v>
      </c>
      <c r="Q695" t="s">
        <v>3611</v>
      </c>
      <c r="R695" s="103">
        <v>46021</v>
      </c>
      <c r="S695" t="s">
        <v>2281</v>
      </c>
      <c r="U695" t="s">
        <v>2744</v>
      </c>
      <c r="AB695" t="s">
        <v>4057</v>
      </c>
      <c r="AC695" t="s">
        <v>4058</v>
      </c>
      <c r="AD695">
        <v>4206</v>
      </c>
    </row>
    <row r="696" spans="1:30" hidden="1">
      <c r="A696">
        <v>216518</v>
      </c>
      <c r="B696">
        <v>150</v>
      </c>
      <c r="C696" t="s">
        <v>3874</v>
      </c>
      <c r="D696" t="s">
        <v>2101</v>
      </c>
      <c r="E696" s="103">
        <v>46031</v>
      </c>
      <c r="F696">
        <v>1</v>
      </c>
      <c r="G696" s="1210">
        <v>45947</v>
      </c>
      <c r="I696" t="s">
        <v>411</v>
      </c>
      <c r="J696" t="s">
        <v>2082</v>
      </c>
      <c r="K696">
        <v>4500011668</v>
      </c>
      <c r="L696" t="s">
        <v>3934</v>
      </c>
      <c r="M696" t="s">
        <v>4064</v>
      </c>
      <c r="N696" t="s">
        <v>4011</v>
      </c>
      <c r="O696" t="s">
        <v>2026</v>
      </c>
      <c r="P696" s="103">
        <v>46018</v>
      </c>
      <c r="Q696" t="s">
        <v>2231</v>
      </c>
      <c r="R696" s="103">
        <v>46022</v>
      </c>
      <c r="S696" t="s">
        <v>2281</v>
      </c>
      <c r="U696" t="s">
        <v>2744</v>
      </c>
      <c r="AB696" t="s">
        <v>4054</v>
      </c>
      <c r="AC696" t="s">
        <v>4045</v>
      </c>
      <c r="AD696">
        <v>926</v>
      </c>
    </row>
    <row r="697" spans="1:30" hidden="1">
      <c r="A697">
        <v>216521</v>
      </c>
      <c r="B697">
        <v>288</v>
      </c>
      <c r="C697" t="s">
        <v>3849</v>
      </c>
      <c r="D697" t="s">
        <v>2101</v>
      </c>
      <c r="E697" s="103">
        <v>46031</v>
      </c>
      <c r="F697">
        <v>1</v>
      </c>
      <c r="G697" s="1210">
        <v>45947</v>
      </c>
      <c r="I697" t="s">
        <v>446</v>
      </c>
      <c r="J697" t="s">
        <v>2082</v>
      </c>
      <c r="K697">
        <v>4500011669</v>
      </c>
      <c r="L697" t="s">
        <v>4065</v>
      </c>
      <c r="M697" t="s">
        <v>4064</v>
      </c>
      <c r="N697" t="s">
        <v>4011</v>
      </c>
      <c r="O697" t="s">
        <v>2026</v>
      </c>
      <c r="P697" s="103">
        <v>46018</v>
      </c>
      <c r="Q697" t="s">
        <v>2231</v>
      </c>
      <c r="R697" s="103">
        <v>46022</v>
      </c>
      <c r="S697" t="s">
        <v>2281</v>
      </c>
      <c r="U697" t="s">
        <v>2744</v>
      </c>
      <c r="AB697" t="s">
        <v>4054</v>
      </c>
      <c r="AC697" t="s">
        <v>4045</v>
      </c>
      <c r="AD697">
        <v>2192</v>
      </c>
    </row>
    <row r="698" spans="1:30" hidden="1">
      <c r="A698">
        <v>223058</v>
      </c>
      <c r="B698">
        <v>200</v>
      </c>
      <c r="C698" t="s">
        <v>3685</v>
      </c>
      <c r="D698" t="s">
        <v>2123</v>
      </c>
      <c r="E698" s="103">
        <v>46031</v>
      </c>
      <c r="F698">
        <v>1</v>
      </c>
      <c r="G698" s="1210">
        <v>45947</v>
      </c>
      <c r="I698" t="s">
        <v>726</v>
      </c>
      <c r="J698" t="s">
        <v>2082</v>
      </c>
      <c r="K698">
        <v>4500011672</v>
      </c>
      <c r="L698" t="s">
        <v>3686</v>
      </c>
      <c r="M698" t="s">
        <v>4056</v>
      </c>
      <c r="N698" t="s">
        <v>4011</v>
      </c>
      <c r="O698" t="s">
        <v>2026</v>
      </c>
      <c r="P698" s="103">
        <v>46018</v>
      </c>
      <c r="Q698" t="s">
        <v>2231</v>
      </c>
      <c r="R698" s="103">
        <v>46022</v>
      </c>
      <c r="S698" t="s">
        <v>2281</v>
      </c>
      <c r="U698" t="s">
        <v>2744</v>
      </c>
      <c r="AB698" t="s">
        <v>4054</v>
      </c>
      <c r="AC698" t="s">
        <v>4045</v>
      </c>
      <c r="AD698">
        <v>2105</v>
      </c>
    </row>
    <row r="699" spans="1:30" hidden="1">
      <c r="A699">
        <v>286431</v>
      </c>
      <c r="B699">
        <v>598</v>
      </c>
      <c r="C699" t="s">
        <v>3769</v>
      </c>
      <c r="D699" t="s">
        <v>2124</v>
      </c>
      <c r="E699" s="103">
        <v>46031</v>
      </c>
      <c r="F699">
        <v>1</v>
      </c>
      <c r="G699" s="1210">
        <v>45947</v>
      </c>
      <c r="I699" t="s">
        <v>758</v>
      </c>
      <c r="J699" t="s">
        <v>2082</v>
      </c>
      <c r="K699">
        <v>4500011677</v>
      </c>
      <c r="L699" t="s">
        <v>4066</v>
      </c>
      <c r="M699" t="s">
        <v>4067</v>
      </c>
      <c r="N699" t="s">
        <v>4011</v>
      </c>
      <c r="O699" t="s">
        <v>2026</v>
      </c>
      <c r="P699" s="103">
        <v>46018</v>
      </c>
      <c r="Q699" t="s">
        <v>2231</v>
      </c>
      <c r="R699" s="103">
        <v>46022</v>
      </c>
      <c r="S699" t="s">
        <v>2281</v>
      </c>
      <c r="U699" t="s">
        <v>2744</v>
      </c>
      <c r="V699" t="s">
        <v>2125</v>
      </c>
      <c r="AB699" t="s">
        <v>4054</v>
      </c>
      <c r="AC699" t="s">
        <v>4045</v>
      </c>
      <c r="AD699">
        <v>600</v>
      </c>
    </row>
    <row r="700" spans="1:30" hidden="1">
      <c r="A700">
        <v>286429</v>
      </c>
      <c r="B700">
        <v>200</v>
      </c>
      <c r="C700" t="s">
        <v>3765</v>
      </c>
      <c r="D700" t="s">
        <v>20</v>
      </c>
      <c r="E700" s="103">
        <v>46034</v>
      </c>
      <c r="F700">
        <v>1</v>
      </c>
      <c r="G700" s="1210">
        <v>45954</v>
      </c>
      <c r="I700" t="s">
        <v>702</v>
      </c>
      <c r="J700" t="s">
        <v>2082</v>
      </c>
      <c r="K700">
        <v>4500011730</v>
      </c>
      <c r="L700" t="s">
        <v>4068</v>
      </c>
      <c r="M700" t="s">
        <v>4040</v>
      </c>
      <c r="N700" t="s">
        <v>4069</v>
      </c>
      <c r="O700" t="s">
        <v>2026</v>
      </c>
      <c r="P700" s="103">
        <v>46027</v>
      </c>
      <c r="Q700" t="s">
        <v>2231</v>
      </c>
      <c r="R700" s="103">
        <v>46031</v>
      </c>
      <c r="S700" t="s">
        <v>2281</v>
      </c>
      <c r="U700" t="s">
        <v>2744</v>
      </c>
      <c r="V700" t="s">
        <v>2125</v>
      </c>
      <c r="AD700">
        <v>202</v>
      </c>
    </row>
    <row r="701" spans="1:30" hidden="1">
      <c r="A701">
        <v>286433</v>
      </c>
      <c r="B701">
        <v>430</v>
      </c>
      <c r="C701" t="s">
        <v>2997</v>
      </c>
      <c r="D701" t="s">
        <v>20</v>
      </c>
      <c r="E701" s="103">
        <v>46034</v>
      </c>
      <c r="F701">
        <v>1</v>
      </c>
      <c r="G701" s="1210">
        <v>45975</v>
      </c>
      <c r="I701" t="s">
        <v>735</v>
      </c>
      <c r="J701" t="s">
        <v>2082</v>
      </c>
      <c r="K701">
        <v>4500011896</v>
      </c>
      <c r="L701" t="s">
        <v>4070</v>
      </c>
      <c r="M701" t="s">
        <v>4040</v>
      </c>
      <c r="N701" t="s">
        <v>4069</v>
      </c>
      <c r="O701" t="s">
        <v>2026</v>
      </c>
      <c r="P701" s="103">
        <v>46027</v>
      </c>
      <c r="Q701" t="s">
        <v>2231</v>
      </c>
      <c r="R701" s="103">
        <v>46031</v>
      </c>
      <c r="S701" t="s">
        <v>2281</v>
      </c>
      <c r="U701" t="s">
        <v>2744</v>
      </c>
      <c r="V701" t="s">
        <v>2024</v>
      </c>
      <c r="AD701">
        <v>432</v>
      </c>
    </row>
    <row r="702" spans="1:30" hidden="1">
      <c r="A702">
        <v>281821</v>
      </c>
      <c r="B702">
        <v>700</v>
      </c>
      <c r="C702" t="s">
        <v>2775</v>
      </c>
      <c r="D702" t="s">
        <v>4071</v>
      </c>
      <c r="E702" s="103">
        <v>46035</v>
      </c>
      <c r="F702">
        <v>1</v>
      </c>
      <c r="G702" s="1210">
        <v>45926</v>
      </c>
      <c r="I702" t="s">
        <v>588</v>
      </c>
      <c r="J702" t="s">
        <v>2012</v>
      </c>
      <c r="K702">
        <v>4500011513</v>
      </c>
      <c r="L702" t="s">
        <v>4072</v>
      </c>
      <c r="M702" t="s">
        <v>4011</v>
      </c>
      <c r="N702" t="s">
        <v>3247</v>
      </c>
      <c r="O702" t="s">
        <v>2026</v>
      </c>
      <c r="P702" s="103">
        <v>46021</v>
      </c>
      <c r="Q702" t="s">
        <v>2231</v>
      </c>
      <c r="R702" s="103">
        <v>46026</v>
      </c>
      <c r="S702" t="s">
        <v>2281</v>
      </c>
      <c r="U702" t="s">
        <v>2744</v>
      </c>
      <c r="V702" t="s">
        <v>4073</v>
      </c>
      <c r="AB702" t="s">
        <v>4074</v>
      </c>
      <c r="AC702" t="s">
        <v>4075</v>
      </c>
      <c r="AD702">
        <v>705</v>
      </c>
    </row>
    <row r="703" spans="1:30" hidden="1">
      <c r="A703">
        <v>304067</v>
      </c>
      <c r="B703">
        <v>2</v>
      </c>
      <c r="C703" t="s">
        <v>4076</v>
      </c>
      <c r="D703" t="s">
        <v>4077</v>
      </c>
      <c r="E703" s="103">
        <v>46035</v>
      </c>
      <c r="F703">
        <v>1</v>
      </c>
      <c r="G703" s="1210">
        <v>45932</v>
      </c>
      <c r="I703" t="s">
        <v>358</v>
      </c>
      <c r="J703" t="s">
        <v>2082</v>
      </c>
      <c r="K703">
        <v>4500011562</v>
      </c>
      <c r="L703" t="s">
        <v>4078</v>
      </c>
      <c r="M703" t="s">
        <v>4079</v>
      </c>
      <c r="N703" t="s">
        <v>4069</v>
      </c>
      <c r="O703" t="s">
        <v>3804</v>
      </c>
      <c r="Q703" t="s">
        <v>2231</v>
      </c>
      <c r="S703" t="s">
        <v>4038</v>
      </c>
      <c r="T703" t="s">
        <v>4080</v>
      </c>
      <c r="U703" t="s">
        <v>2744</v>
      </c>
      <c r="V703" t="s">
        <v>4081</v>
      </c>
      <c r="AD703">
        <v>1252</v>
      </c>
    </row>
    <row r="704" spans="1:30" hidden="1">
      <c r="A704">
        <v>295632</v>
      </c>
      <c r="B704">
        <v>1</v>
      </c>
      <c r="C704" t="s">
        <v>2775</v>
      </c>
      <c r="E704" s="103">
        <v>46035</v>
      </c>
      <c r="F704">
        <v>1</v>
      </c>
      <c r="G704" s="1210">
        <v>45989</v>
      </c>
      <c r="I704" t="s">
        <v>437</v>
      </c>
      <c r="J704" t="s">
        <v>2082</v>
      </c>
      <c r="K704">
        <v>4500011968</v>
      </c>
      <c r="L704" t="s">
        <v>2775</v>
      </c>
      <c r="N704" t="s">
        <v>4082</v>
      </c>
      <c r="O704" t="s">
        <v>2094</v>
      </c>
      <c r="Q704" t="s">
        <v>2231</v>
      </c>
      <c r="S704" t="s">
        <v>4043</v>
      </c>
      <c r="T704" t="s">
        <v>4083</v>
      </c>
      <c r="U704" t="s">
        <v>2744</v>
      </c>
      <c r="V704" t="s">
        <v>2815</v>
      </c>
      <c r="AD704">
        <v>1</v>
      </c>
    </row>
    <row r="705" spans="1:30" hidden="1">
      <c r="A705">
        <v>295632</v>
      </c>
      <c r="B705">
        <v>2</v>
      </c>
      <c r="C705" t="s">
        <v>2775</v>
      </c>
      <c r="E705" s="103">
        <v>46035</v>
      </c>
      <c r="F705">
        <v>1</v>
      </c>
      <c r="G705" s="1210">
        <v>45989</v>
      </c>
      <c r="I705" t="s">
        <v>437</v>
      </c>
      <c r="J705" t="s">
        <v>2082</v>
      </c>
      <c r="K705">
        <v>4500011968</v>
      </c>
      <c r="L705" t="s">
        <v>4013</v>
      </c>
      <c r="N705" t="s">
        <v>4082</v>
      </c>
      <c r="O705" t="s">
        <v>2094</v>
      </c>
      <c r="Q705" t="s">
        <v>2231</v>
      </c>
      <c r="S705" t="s">
        <v>4041</v>
      </c>
      <c r="U705" t="s">
        <v>2744</v>
      </c>
      <c r="V705" t="s">
        <v>4084</v>
      </c>
      <c r="AD705">
        <v>3</v>
      </c>
    </row>
    <row r="706" spans="1:30" hidden="1">
      <c r="A706">
        <v>295632</v>
      </c>
      <c r="B706">
        <v>2</v>
      </c>
      <c r="C706" t="s">
        <v>2775</v>
      </c>
      <c r="E706" s="103">
        <v>46035</v>
      </c>
      <c r="F706">
        <v>1</v>
      </c>
      <c r="G706" s="1210">
        <v>45989</v>
      </c>
      <c r="I706" t="s">
        <v>437</v>
      </c>
      <c r="J706" t="s">
        <v>2082</v>
      </c>
      <c r="K706">
        <v>4500011968</v>
      </c>
      <c r="L706" t="s">
        <v>4013</v>
      </c>
      <c r="N706" t="s">
        <v>4082</v>
      </c>
      <c r="O706" t="s">
        <v>2094</v>
      </c>
      <c r="Q706" t="s">
        <v>2231</v>
      </c>
      <c r="S706" t="s">
        <v>4038</v>
      </c>
      <c r="T706" t="s">
        <v>4085</v>
      </c>
      <c r="U706" t="s">
        <v>2744</v>
      </c>
      <c r="V706" t="s">
        <v>2815</v>
      </c>
      <c r="AD706">
        <v>5</v>
      </c>
    </row>
    <row r="707" spans="1:30" hidden="1">
      <c r="A707">
        <v>295634</v>
      </c>
      <c r="B707">
        <v>1</v>
      </c>
      <c r="C707" t="s">
        <v>4021</v>
      </c>
      <c r="E707" s="103">
        <v>46035</v>
      </c>
      <c r="F707">
        <v>1</v>
      </c>
      <c r="G707" s="1210">
        <v>45989</v>
      </c>
      <c r="I707" t="s">
        <v>429</v>
      </c>
      <c r="J707" t="s">
        <v>2082</v>
      </c>
      <c r="K707">
        <v>4500011972</v>
      </c>
      <c r="L707" t="s">
        <v>4021</v>
      </c>
      <c r="N707" t="s">
        <v>4082</v>
      </c>
      <c r="O707" t="s">
        <v>2094</v>
      </c>
      <c r="Q707" t="s">
        <v>2231</v>
      </c>
      <c r="S707" t="s">
        <v>4043</v>
      </c>
      <c r="T707" t="s">
        <v>4083</v>
      </c>
      <c r="U707" t="s">
        <v>2744</v>
      </c>
      <c r="V707" t="s">
        <v>2815</v>
      </c>
      <c r="AD707">
        <v>1</v>
      </c>
    </row>
    <row r="708" spans="1:30" hidden="1">
      <c r="A708">
        <v>295634</v>
      </c>
      <c r="B708">
        <v>2</v>
      </c>
      <c r="C708" t="s">
        <v>4021</v>
      </c>
      <c r="E708" s="103">
        <v>46035</v>
      </c>
      <c r="F708">
        <v>1</v>
      </c>
      <c r="G708" s="1210">
        <v>45989</v>
      </c>
      <c r="I708" t="s">
        <v>429</v>
      </c>
      <c r="J708" t="s">
        <v>2082</v>
      </c>
      <c r="K708">
        <v>4500011972</v>
      </c>
      <c r="L708" t="s">
        <v>4086</v>
      </c>
      <c r="N708" t="s">
        <v>4082</v>
      </c>
      <c r="O708" t="s">
        <v>2094</v>
      </c>
      <c r="Q708" t="s">
        <v>2231</v>
      </c>
      <c r="S708" t="s">
        <v>4041</v>
      </c>
      <c r="U708" t="s">
        <v>2744</v>
      </c>
      <c r="V708" t="s">
        <v>4084</v>
      </c>
      <c r="AD708">
        <v>3</v>
      </c>
    </row>
    <row r="709" spans="1:30" hidden="1">
      <c r="A709">
        <v>295634</v>
      </c>
      <c r="B709">
        <v>2</v>
      </c>
      <c r="C709" t="s">
        <v>4021</v>
      </c>
      <c r="E709" s="103">
        <v>46035</v>
      </c>
      <c r="F709">
        <v>1</v>
      </c>
      <c r="G709" s="1210">
        <v>45989</v>
      </c>
      <c r="I709" t="s">
        <v>429</v>
      </c>
      <c r="J709" t="s">
        <v>2082</v>
      </c>
      <c r="K709">
        <v>4500011972</v>
      </c>
      <c r="L709" t="s">
        <v>4086</v>
      </c>
      <c r="N709" t="s">
        <v>4082</v>
      </c>
      <c r="O709" t="s">
        <v>2094</v>
      </c>
      <c r="Q709" t="s">
        <v>2231</v>
      </c>
      <c r="S709" t="s">
        <v>4038</v>
      </c>
      <c r="T709" t="s">
        <v>4085</v>
      </c>
      <c r="U709" t="s">
        <v>2744</v>
      </c>
      <c r="V709" t="s">
        <v>2815</v>
      </c>
      <c r="AD709">
        <v>5</v>
      </c>
    </row>
    <row r="710" spans="1:30" hidden="1">
      <c r="A710">
        <v>304067</v>
      </c>
      <c r="B710">
        <v>2</v>
      </c>
      <c r="C710" t="s">
        <v>4076</v>
      </c>
      <c r="D710" t="s">
        <v>4077</v>
      </c>
      <c r="E710" s="103">
        <v>46036</v>
      </c>
      <c r="F710">
        <v>1</v>
      </c>
      <c r="G710" s="1210">
        <v>45932</v>
      </c>
      <c r="I710" t="s">
        <v>358</v>
      </c>
      <c r="J710" t="s">
        <v>2082</v>
      </c>
      <c r="K710">
        <v>4500011562</v>
      </c>
      <c r="L710" t="s">
        <v>4078</v>
      </c>
      <c r="M710" t="s">
        <v>4079</v>
      </c>
      <c r="N710" t="s">
        <v>4069</v>
      </c>
      <c r="O710" t="s">
        <v>3804</v>
      </c>
      <c r="Q710" t="s">
        <v>2231</v>
      </c>
      <c r="S710" t="s">
        <v>4041</v>
      </c>
      <c r="T710" t="s">
        <v>4087</v>
      </c>
      <c r="U710" t="s">
        <v>2744</v>
      </c>
      <c r="V710" t="s">
        <v>4081</v>
      </c>
      <c r="AD710">
        <v>1254</v>
      </c>
    </row>
    <row r="711" spans="1:30" hidden="1">
      <c r="A711">
        <v>303248</v>
      </c>
      <c r="B711">
        <v>30</v>
      </c>
      <c r="C711" t="s">
        <v>3097</v>
      </c>
      <c r="E711" s="103">
        <v>46037</v>
      </c>
      <c r="F711">
        <v>3</v>
      </c>
      <c r="G711" s="1210">
        <v>46008</v>
      </c>
      <c r="I711" t="s">
        <v>4088</v>
      </c>
      <c r="J711" t="s">
        <v>2082</v>
      </c>
      <c r="K711">
        <v>4500012194</v>
      </c>
      <c r="L711" t="s">
        <v>3952</v>
      </c>
      <c r="N711" t="s">
        <v>4082</v>
      </c>
      <c r="O711" t="s">
        <v>2094</v>
      </c>
      <c r="Q711" t="s">
        <v>2231</v>
      </c>
      <c r="S711" t="s">
        <v>2236</v>
      </c>
      <c r="U711" t="s">
        <v>2744</v>
      </c>
      <c r="AD711">
        <v>0</v>
      </c>
    </row>
    <row r="712" spans="1:30" hidden="1">
      <c r="A712">
        <v>303249</v>
      </c>
      <c r="B712">
        <v>20</v>
      </c>
      <c r="C712" t="s">
        <v>4089</v>
      </c>
      <c r="E712" s="103">
        <v>46037</v>
      </c>
      <c r="F712">
        <v>3</v>
      </c>
      <c r="G712" s="1210">
        <v>46008</v>
      </c>
      <c r="I712" t="s">
        <v>4090</v>
      </c>
      <c r="J712" t="s">
        <v>2082</v>
      </c>
      <c r="K712">
        <v>4500012194</v>
      </c>
      <c r="L712" t="s">
        <v>4091</v>
      </c>
      <c r="N712" t="s">
        <v>4082</v>
      </c>
      <c r="O712" t="s">
        <v>2094</v>
      </c>
      <c r="Q712" t="s">
        <v>2231</v>
      </c>
      <c r="S712" t="s">
        <v>2236</v>
      </c>
      <c r="U712" t="s">
        <v>2744</v>
      </c>
      <c r="AD712">
        <v>0</v>
      </c>
    </row>
    <row r="713" spans="1:30" hidden="1">
      <c r="A713">
        <v>303250</v>
      </c>
      <c r="B713">
        <v>20</v>
      </c>
      <c r="C713" t="s">
        <v>2905</v>
      </c>
      <c r="E713" s="103">
        <v>46037</v>
      </c>
      <c r="F713">
        <v>3</v>
      </c>
      <c r="G713" s="1210">
        <v>46008</v>
      </c>
      <c r="I713" t="s">
        <v>4092</v>
      </c>
      <c r="J713" t="s">
        <v>2082</v>
      </c>
      <c r="K713">
        <v>4500012194</v>
      </c>
      <c r="L713" t="s">
        <v>3099</v>
      </c>
      <c r="N713" t="s">
        <v>4082</v>
      </c>
      <c r="O713" t="s">
        <v>2094</v>
      </c>
      <c r="Q713" t="s">
        <v>2231</v>
      </c>
      <c r="S713" t="s">
        <v>2236</v>
      </c>
      <c r="U713" t="s">
        <v>2744</v>
      </c>
      <c r="AD713">
        <v>0</v>
      </c>
    </row>
    <row r="714" spans="1:30" hidden="1">
      <c r="A714">
        <v>303251</v>
      </c>
      <c r="B714">
        <v>30</v>
      </c>
      <c r="C714" t="s">
        <v>2786</v>
      </c>
      <c r="E714" s="103">
        <v>46037</v>
      </c>
      <c r="F714">
        <v>3</v>
      </c>
      <c r="G714" s="1210">
        <v>46008</v>
      </c>
      <c r="I714" t="s">
        <v>4093</v>
      </c>
      <c r="J714" t="s">
        <v>2082</v>
      </c>
      <c r="K714">
        <v>4500012194</v>
      </c>
      <c r="L714" t="s">
        <v>4094</v>
      </c>
      <c r="N714" t="s">
        <v>4082</v>
      </c>
      <c r="O714" t="s">
        <v>2094</v>
      </c>
      <c r="Q714" t="s">
        <v>2231</v>
      </c>
      <c r="S714" t="s">
        <v>2236</v>
      </c>
      <c r="U714" t="s">
        <v>2744</v>
      </c>
      <c r="AD714">
        <v>0</v>
      </c>
    </row>
    <row r="715" spans="1:30" hidden="1">
      <c r="A715">
        <v>201900</v>
      </c>
      <c r="B715">
        <v>500</v>
      </c>
      <c r="C715" t="s">
        <v>3720</v>
      </c>
      <c r="D715" t="s">
        <v>4095</v>
      </c>
      <c r="E715" s="103">
        <v>46038</v>
      </c>
      <c r="F715">
        <v>1</v>
      </c>
      <c r="G715" s="1210">
        <v>45940</v>
      </c>
      <c r="I715" t="s">
        <v>327</v>
      </c>
      <c r="J715" t="s">
        <v>2012</v>
      </c>
      <c r="K715">
        <v>4500011639</v>
      </c>
      <c r="L715" t="s">
        <v>3839</v>
      </c>
      <c r="M715" t="s">
        <v>4096</v>
      </c>
      <c r="N715" t="s">
        <v>3247</v>
      </c>
      <c r="O715" t="s">
        <v>2026</v>
      </c>
      <c r="P715" s="103">
        <v>46021</v>
      </c>
      <c r="Q715" t="s">
        <v>2231</v>
      </c>
      <c r="R715" s="103">
        <v>46026</v>
      </c>
      <c r="S715" t="s">
        <v>2281</v>
      </c>
      <c r="U715" t="s">
        <v>2744</v>
      </c>
      <c r="AB715" t="s">
        <v>4074</v>
      </c>
      <c r="AC715" t="s">
        <v>4075</v>
      </c>
      <c r="AD715">
        <v>9578</v>
      </c>
    </row>
    <row r="716" spans="1:30" hidden="1">
      <c r="A716">
        <v>199024</v>
      </c>
      <c r="B716">
        <v>720</v>
      </c>
      <c r="C716" t="s">
        <v>3566</v>
      </c>
      <c r="D716" t="s">
        <v>4097</v>
      </c>
      <c r="E716" s="103">
        <v>46038</v>
      </c>
      <c r="F716">
        <v>1</v>
      </c>
      <c r="G716" s="1210">
        <v>45940</v>
      </c>
      <c r="I716" t="s">
        <v>338</v>
      </c>
      <c r="J716" t="s">
        <v>2012</v>
      </c>
      <c r="K716">
        <v>4500011640</v>
      </c>
      <c r="L716" t="s">
        <v>3568</v>
      </c>
      <c r="M716" t="s">
        <v>4096</v>
      </c>
      <c r="N716" t="s">
        <v>3247</v>
      </c>
      <c r="O716" t="s">
        <v>2026</v>
      </c>
      <c r="P716" s="103">
        <v>46021</v>
      </c>
      <c r="Q716" t="s">
        <v>2231</v>
      </c>
      <c r="R716" s="103">
        <v>46026</v>
      </c>
      <c r="S716" t="s">
        <v>2281</v>
      </c>
      <c r="U716" t="s">
        <v>2744</v>
      </c>
      <c r="AB716" t="s">
        <v>4074</v>
      </c>
      <c r="AC716" t="s">
        <v>4075</v>
      </c>
      <c r="AD716">
        <v>17820</v>
      </c>
    </row>
    <row r="717" spans="1:30" hidden="1">
      <c r="A717">
        <v>199024</v>
      </c>
      <c r="B717">
        <v>300</v>
      </c>
      <c r="C717" t="s">
        <v>3566</v>
      </c>
      <c r="D717" t="s">
        <v>4097</v>
      </c>
      <c r="E717" s="103">
        <v>46038</v>
      </c>
      <c r="F717">
        <v>1</v>
      </c>
      <c r="G717" s="1210">
        <v>45947</v>
      </c>
      <c r="I717" t="s">
        <v>338</v>
      </c>
      <c r="J717" t="s">
        <v>2012</v>
      </c>
      <c r="K717">
        <v>4500011667</v>
      </c>
      <c r="L717" t="s">
        <v>3567</v>
      </c>
      <c r="M717" t="s">
        <v>2000</v>
      </c>
      <c r="N717" t="s">
        <v>3247</v>
      </c>
      <c r="O717" t="s">
        <v>2026</v>
      </c>
      <c r="P717" s="103">
        <v>46021</v>
      </c>
      <c r="Q717" t="s">
        <v>2231</v>
      </c>
      <c r="R717" s="103">
        <v>46026</v>
      </c>
      <c r="S717" t="s">
        <v>2281</v>
      </c>
      <c r="U717" t="s">
        <v>2744</v>
      </c>
      <c r="AB717" t="s">
        <v>4074</v>
      </c>
      <c r="AC717" t="s">
        <v>4075</v>
      </c>
      <c r="AD717">
        <v>18120</v>
      </c>
    </row>
    <row r="718" spans="1:30" hidden="1">
      <c r="A718">
        <v>199024</v>
      </c>
      <c r="B718">
        <v>1200</v>
      </c>
      <c r="C718" t="s">
        <v>3566</v>
      </c>
      <c r="D718" t="s">
        <v>4098</v>
      </c>
      <c r="E718" s="103">
        <v>46038</v>
      </c>
      <c r="F718">
        <v>1</v>
      </c>
      <c r="G718" s="1210">
        <v>45947</v>
      </c>
      <c r="I718" t="s">
        <v>338</v>
      </c>
      <c r="J718" t="s">
        <v>2012</v>
      </c>
      <c r="K718">
        <v>4500011667</v>
      </c>
      <c r="L718" t="s">
        <v>4099</v>
      </c>
      <c r="M718" t="s">
        <v>4096</v>
      </c>
      <c r="N718" t="s">
        <v>3247</v>
      </c>
      <c r="O718" t="s">
        <v>2026</v>
      </c>
      <c r="P718" s="103">
        <v>46021</v>
      </c>
      <c r="Q718" t="s">
        <v>2231</v>
      </c>
      <c r="R718" s="103">
        <v>46026</v>
      </c>
      <c r="S718" t="s">
        <v>2281</v>
      </c>
      <c r="U718" t="s">
        <v>2744</v>
      </c>
      <c r="AB718" t="s">
        <v>4074</v>
      </c>
      <c r="AC718" t="s">
        <v>4075</v>
      </c>
      <c r="AD718">
        <v>19320</v>
      </c>
    </row>
    <row r="719" spans="1:30" hidden="1">
      <c r="A719">
        <v>201900</v>
      </c>
      <c r="B719">
        <v>190</v>
      </c>
      <c r="C719" t="s">
        <v>3720</v>
      </c>
      <c r="D719" t="s">
        <v>4095</v>
      </c>
      <c r="E719" s="103">
        <v>46038</v>
      </c>
      <c r="F719">
        <v>1</v>
      </c>
      <c r="G719" s="1210">
        <v>45961</v>
      </c>
      <c r="I719" t="s">
        <v>327</v>
      </c>
      <c r="J719" t="s">
        <v>2012</v>
      </c>
      <c r="K719">
        <v>4500011791</v>
      </c>
      <c r="L719" t="s">
        <v>4100</v>
      </c>
      <c r="M719" t="s">
        <v>4082</v>
      </c>
      <c r="N719" t="s">
        <v>3247</v>
      </c>
      <c r="O719" t="s">
        <v>2026</v>
      </c>
      <c r="P719" s="103">
        <v>46021</v>
      </c>
      <c r="Q719" t="s">
        <v>2231</v>
      </c>
      <c r="R719" s="103">
        <v>46026</v>
      </c>
      <c r="S719" t="s">
        <v>2281</v>
      </c>
      <c r="U719" t="s">
        <v>2744</v>
      </c>
      <c r="AB719" t="s">
        <v>4074</v>
      </c>
      <c r="AC719" t="s">
        <v>4075</v>
      </c>
      <c r="AD719">
        <v>9768</v>
      </c>
    </row>
    <row r="720" spans="1:30" hidden="1">
      <c r="A720">
        <v>295636</v>
      </c>
      <c r="B720">
        <v>1</v>
      </c>
      <c r="C720" t="s">
        <v>4101</v>
      </c>
      <c r="D720" t="s">
        <v>4034</v>
      </c>
      <c r="E720" s="103">
        <v>46038</v>
      </c>
      <c r="F720">
        <v>1</v>
      </c>
      <c r="G720" s="1210">
        <v>45989</v>
      </c>
      <c r="I720" t="s">
        <v>561</v>
      </c>
      <c r="J720" t="s">
        <v>2082</v>
      </c>
      <c r="K720">
        <v>4500011978</v>
      </c>
      <c r="L720" t="s">
        <v>4101</v>
      </c>
      <c r="N720" t="s">
        <v>4102</v>
      </c>
      <c r="O720" t="s">
        <v>2094</v>
      </c>
      <c r="Q720" t="s">
        <v>2231</v>
      </c>
      <c r="S720" t="s">
        <v>4043</v>
      </c>
      <c r="U720" t="s">
        <v>2744</v>
      </c>
      <c r="V720" t="s">
        <v>2815</v>
      </c>
      <c r="AD720">
        <v>1</v>
      </c>
    </row>
    <row r="721" spans="1:30" hidden="1">
      <c r="A721">
        <v>295636</v>
      </c>
      <c r="B721">
        <v>2</v>
      </c>
      <c r="C721" t="s">
        <v>4101</v>
      </c>
      <c r="D721" t="s">
        <v>4034</v>
      </c>
      <c r="E721" s="103">
        <v>46038</v>
      </c>
      <c r="F721">
        <v>1</v>
      </c>
      <c r="G721" s="1210">
        <v>45989</v>
      </c>
      <c r="I721" t="s">
        <v>561</v>
      </c>
      <c r="J721" t="s">
        <v>2082</v>
      </c>
      <c r="K721">
        <v>4500011978</v>
      </c>
      <c r="L721" t="s">
        <v>4103</v>
      </c>
      <c r="N721" t="s">
        <v>4102</v>
      </c>
      <c r="O721" t="s">
        <v>2094</v>
      </c>
      <c r="Q721" t="s">
        <v>2231</v>
      </c>
      <c r="S721" t="s">
        <v>4038</v>
      </c>
      <c r="U721" t="s">
        <v>2744</v>
      </c>
      <c r="V721" t="s">
        <v>2815</v>
      </c>
      <c r="AD721">
        <v>3</v>
      </c>
    </row>
    <row r="722" spans="1:30" hidden="1">
      <c r="A722">
        <v>295636</v>
      </c>
      <c r="B722">
        <v>2</v>
      </c>
      <c r="C722" t="s">
        <v>4101</v>
      </c>
      <c r="D722" t="s">
        <v>4034</v>
      </c>
      <c r="E722" s="103">
        <v>46038</v>
      </c>
      <c r="F722">
        <v>1</v>
      </c>
      <c r="G722" s="1210">
        <v>45989</v>
      </c>
      <c r="I722" t="s">
        <v>561</v>
      </c>
      <c r="J722" t="s">
        <v>2082</v>
      </c>
      <c r="K722">
        <v>4500011978</v>
      </c>
      <c r="L722" t="s">
        <v>4103</v>
      </c>
      <c r="N722" t="s">
        <v>4102</v>
      </c>
      <c r="O722" t="s">
        <v>2094</v>
      </c>
      <c r="Q722" t="s">
        <v>2231</v>
      </c>
      <c r="S722" t="s">
        <v>4041</v>
      </c>
      <c r="U722" t="s">
        <v>2744</v>
      </c>
      <c r="V722" t="s">
        <v>2815</v>
      </c>
      <c r="AD722">
        <v>5</v>
      </c>
    </row>
    <row r="723" spans="1:30" hidden="1">
      <c r="A723">
        <v>295638</v>
      </c>
      <c r="B723">
        <v>1</v>
      </c>
      <c r="C723" t="s">
        <v>4033</v>
      </c>
      <c r="D723" t="s">
        <v>4034</v>
      </c>
      <c r="E723" s="103">
        <v>46038</v>
      </c>
      <c r="F723">
        <v>1</v>
      </c>
      <c r="G723" s="1210">
        <v>45989</v>
      </c>
      <c r="I723" t="s">
        <v>721</v>
      </c>
      <c r="J723" t="s">
        <v>2082</v>
      </c>
      <c r="K723">
        <v>4500011985</v>
      </c>
      <c r="L723" t="s">
        <v>4033</v>
      </c>
      <c r="N723" t="s">
        <v>4102</v>
      </c>
      <c r="O723" t="s">
        <v>2094</v>
      </c>
      <c r="Q723" t="s">
        <v>2231</v>
      </c>
      <c r="S723" t="s">
        <v>4104</v>
      </c>
      <c r="T723" t="s">
        <v>4105</v>
      </c>
      <c r="U723" t="s">
        <v>2744</v>
      </c>
      <c r="V723" t="s">
        <v>2815</v>
      </c>
      <c r="AD723">
        <v>3</v>
      </c>
    </row>
    <row r="724" spans="1:30" hidden="1">
      <c r="A724">
        <v>295638</v>
      </c>
      <c r="B724">
        <v>2</v>
      </c>
      <c r="C724" t="s">
        <v>4033</v>
      </c>
      <c r="D724" t="s">
        <v>4034</v>
      </c>
      <c r="E724" s="103">
        <v>46038</v>
      </c>
      <c r="F724">
        <v>1</v>
      </c>
      <c r="G724" s="1210">
        <v>45989</v>
      </c>
      <c r="I724" t="s">
        <v>721</v>
      </c>
      <c r="J724" t="s">
        <v>2082</v>
      </c>
      <c r="K724">
        <v>4500011985</v>
      </c>
      <c r="L724" t="s">
        <v>4035</v>
      </c>
      <c r="N724" t="s">
        <v>4102</v>
      </c>
      <c r="O724" t="s">
        <v>2094</v>
      </c>
      <c r="Q724" t="s">
        <v>2231</v>
      </c>
      <c r="S724" t="s">
        <v>4038</v>
      </c>
      <c r="U724" t="s">
        <v>2744</v>
      </c>
      <c r="V724" t="s">
        <v>2815</v>
      </c>
      <c r="AD724">
        <v>5</v>
      </c>
    </row>
    <row r="725" spans="1:30" hidden="1">
      <c r="A725">
        <v>295640</v>
      </c>
      <c r="B725">
        <v>1</v>
      </c>
      <c r="C725" t="s">
        <v>2993</v>
      </c>
      <c r="D725" t="s">
        <v>4034</v>
      </c>
      <c r="E725" s="103">
        <v>46038</v>
      </c>
      <c r="F725">
        <v>1</v>
      </c>
      <c r="G725" s="1210">
        <v>45989</v>
      </c>
      <c r="I725" t="s">
        <v>773</v>
      </c>
      <c r="J725" t="s">
        <v>2082</v>
      </c>
      <c r="K725">
        <v>4500011992</v>
      </c>
      <c r="L725" t="s">
        <v>2993</v>
      </c>
      <c r="N725" t="s">
        <v>4102</v>
      </c>
      <c r="O725" t="s">
        <v>2094</v>
      </c>
      <c r="Q725" t="s">
        <v>2231</v>
      </c>
      <c r="S725" t="s">
        <v>4043</v>
      </c>
      <c r="U725" t="s">
        <v>2744</v>
      </c>
      <c r="V725" t="s">
        <v>2815</v>
      </c>
      <c r="AD725">
        <v>1</v>
      </c>
    </row>
    <row r="726" spans="1:30" hidden="1">
      <c r="A726">
        <v>295640</v>
      </c>
      <c r="B726">
        <v>2</v>
      </c>
      <c r="C726" t="s">
        <v>2993</v>
      </c>
      <c r="D726" t="s">
        <v>4034</v>
      </c>
      <c r="E726" s="103">
        <v>46038</v>
      </c>
      <c r="F726">
        <v>1</v>
      </c>
      <c r="G726" s="1210">
        <v>45989</v>
      </c>
      <c r="I726" t="s">
        <v>773</v>
      </c>
      <c r="J726" t="s">
        <v>2082</v>
      </c>
      <c r="K726">
        <v>4500011992</v>
      </c>
      <c r="L726" t="s">
        <v>4106</v>
      </c>
      <c r="N726" t="s">
        <v>4102</v>
      </c>
      <c r="O726" t="s">
        <v>2094</v>
      </c>
      <c r="Q726" t="s">
        <v>2231</v>
      </c>
      <c r="S726" t="s">
        <v>4041</v>
      </c>
      <c r="U726" t="s">
        <v>2744</v>
      </c>
      <c r="V726" t="s">
        <v>2815</v>
      </c>
      <c r="AD726">
        <v>3</v>
      </c>
    </row>
    <row r="727" spans="1:30" hidden="1">
      <c r="A727">
        <v>295640</v>
      </c>
      <c r="B727">
        <v>2</v>
      </c>
      <c r="C727" t="s">
        <v>2993</v>
      </c>
      <c r="D727" t="s">
        <v>4034</v>
      </c>
      <c r="E727" s="103">
        <v>46038</v>
      </c>
      <c r="F727">
        <v>1</v>
      </c>
      <c r="G727" s="1210">
        <v>45989</v>
      </c>
      <c r="I727" t="s">
        <v>773</v>
      </c>
      <c r="J727" t="s">
        <v>2082</v>
      </c>
      <c r="K727">
        <v>4500011992</v>
      </c>
      <c r="L727" t="s">
        <v>4106</v>
      </c>
      <c r="N727" t="s">
        <v>4102</v>
      </c>
      <c r="O727" t="s">
        <v>2094</v>
      </c>
      <c r="Q727" t="s">
        <v>2231</v>
      </c>
      <c r="S727" t="s">
        <v>4038</v>
      </c>
      <c r="U727" t="s">
        <v>2744</v>
      </c>
      <c r="V727" t="s">
        <v>2815</v>
      </c>
      <c r="AD727">
        <v>5</v>
      </c>
    </row>
    <row r="728" spans="1:30" hidden="1">
      <c r="A728">
        <v>304067</v>
      </c>
      <c r="B728">
        <v>196</v>
      </c>
      <c r="C728" t="s">
        <v>4076</v>
      </c>
      <c r="D728" t="s">
        <v>4077</v>
      </c>
      <c r="E728" s="103">
        <v>46041</v>
      </c>
      <c r="F728">
        <v>1</v>
      </c>
      <c r="G728" s="1210">
        <v>45932</v>
      </c>
      <c r="I728" t="s">
        <v>358</v>
      </c>
      <c r="J728" t="s">
        <v>2082</v>
      </c>
      <c r="K728">
        <v>4500011562</v>
      </c>
      <c r="L728" t="s">
        <v>4107</v>
      </c>
      <c r="M728" t="s">
        <v>4079</v>
      </c>
      <c r="N728" t="s">
        <v>4069</v>
      </c>
      <c r="O728" t="s">
        <v>3804</v>
      </c>
      <c r="Q728" t="s">
        <v>2231</v>
      </c>
      <c r="S728" t="s">
        <v>2236</v>
      </c>
      <c r="T728" t="s">
        <v>4108</v>
      </c>
      <c r="U728" t="s">
        <v>2744</v>
      </c>
      <c r="V728" t="s">
        <v>4081</v>
      </c>
      <c r="AD728">
        <v>1450</v>
      </c>
    </row>
    <row r="729" spans="1:30" hidden="1">
      <c r="A729">
        <v>295632</v>
      </c>
      <c r="B729">
        <v>143</v>
      </c>
      <c r="C729" t="s">
        <v>2775</v>
      </c>
      <c r="E729" s="103">
        <v>46043</v>
      </c>
      <c r="F729">
        <v>1</v>
      </c>
      <c r="G729" s="1210">
        <v>45989</v>
      </c>
      <c r="I729" t="s">
        <v>437</v>
      </c>
      <c r="J729" t="s">
        <v>2082</v>
      </c>
      <c r="K729">
        <v>4500011969</v>
      </c>
      <c r="L729" t="s">
        <v>4109</v>
      </c>
      <c r="M729" t="s">
        <v>4110</v>
      </c>
      <c r="N729" t="s">
        <v>4111</v>
      </c>
      <c r="O729" t="s">
        <v>4112</v>
      </c>
      <c r="Q729" t="s">
        <v>2231</v>
      </c>
      <c r="S729" t="s">
        <v>4113</v>
      </c>
      <c r="T729" t="s">
        <v>3442</v>
      </c>
      <c r="U729" t="s">
        <v>2744</v>
      </c>
      <c r="V729" t="s">
        <v>4073</v>
      </c>
      <c r="AD729">
        <v>148</v>
      </c>
    </row>
    <row r="730" spans="1:30" hidden="1">
      <c r="A730">
        <v>295632</v>
      </c>
      <c r="B730">
        <v>2</v>
      </c>
      <c r="C730" t="s">
        <v>2775</v>
      </c>
      <c r="E730" s="103">
        <v>46043</v>
      </c>
      <c r="F730">
        <v>1</v>
      </c>
      <c r="G730" s="1210">
        <v>45989</v>
      </c>
      <c r="I730" t="s">
        <v>437</v>
      </c>
      <c r="J730" t="s">
        <v>2082</v>
      </c>
      <c r="K730">
        <v>4500011970</v>
      </c>
      <c r="L730" t="s">
        <v>4013</v>
      </c>
      <c r="N730" t="s">
        <v>4114</v>
      </c>
      <c r="O730" t="s">
        <v>2094</v>
      </c>
      <c r="Q730" t="s">
        <v>2231</v>
      </c>
      <c r="S730" t="s">
        <v>4115</v>
      </c>
      <c r="T730" t="s">
        <v>4116</v>
      </c>
      <c r="U730" t="s">
        <v>2744</v>
      </c>
      <c r="V730" t="s">
        <v>4073</v>
      </c>
      <c r="AD730">
        <v>150</v>
      </c>
    </row>
    <row r="731" spans="1:30" hidden="1">
      <c r="A731">
        <v>295634</v>
      </c>
      <c r="B731">
        <v>93</v>
      </c>
      <c r="C731" t="s">
        <v>4021</v>
      </c>
      <c r="E731" s="103">
        <v>46043</v>
      </c>
      <c r="F731">
        <v>1</v>
      </c>
      <c r="G731" s="1210">
        <v>45989</v>
      </c>
      <c r="I731" t="s">
        <v>429</v>
      </c>
      <c r="J731" t="s">
        <v>2082</v>
      </c>
      <c r="K731">
        <v>4500011973</v>
      </c>
      <c r="L731" t="s">
        <v>4117</v>
      </c>
      <c r="M731" t="s">
        <v>4110</v>
      </c>
      <c r="N731" t="s">
        <v>4111</v>
      </c>
      <c r="O731" t="s">
        <v>4112</v>
      </c>
      <c r="Q731" t="s">
        <v>2231</v>
      </c>
      <c r="S731" t="s">
        <v>4113</v>
      </c>
      <c r="T731" t="s">
        <v>3442</v>
      </c>
      <c r="U731" t="s">
        <v>2744</v>
      </c>
      <c r="V731" t="s">
        <v>4073</v>
      </c>
      <c r="AD731">
        <v>98</v>
      </c>
    </row>
    <row r="732" spans="1:30" hidden="1">
      <c r="A732">
        <v>295634</v>
      </c>
      <c r="B732">
        <v>2</v>
      </c>
      <c r="C732" t="s">
        <v>4021</v>
      </c>
      <c r="E732" s="103">
        <v>46043</v>
      </c>
      <c r="F732">
        <v>1</v>
      </c>
      <c r="G732" s="1210">
        <v>45989</v>
      </c>
      <c r="I732" t="s">
        <v>429</v>
      </c>
      <c r="J732" t="s">
        <v>2082</v>
      </c>
      <c r="K732">
        <v>4500011974</v>
      </c>
      <c r="L732" t="s">
        <v>4086</v>
      </c>
      <c r="N732" t="s">
        <v>4114</v>
      </c>
      <c r="O732" t="s">
        <v>2094</v>
      </c>
      <c r="Q732" t="s">
        <v>2231</v>
      </c>
      <c r="S732" t="s">
        <v>4115</v>
      </c>
      <c r="T732" t="s">
        <v>4116</v>
      </c>
      <c r="U732" t="s">
        <v>2744</v>
      </c>
      <c r="V732" t="s">
        <v>4073</v>
      </c>
      <c r="AD732">
        <v>100</v>
      </c>
    </row>
    <row r="733" spans="1:30" hidden="1">
      <c r="A733">
        <v>295636</v>
      </c>
      <c r="B733">
        <v>2</v>
      </c>
      <c r="C733" t="s">
        <v>4101</v>
      </c>
      <c r="D733" t="s">
        <v>4034</v>
      </c>
      <c r="E733" s="103">
        <v>46043</v>
      </c>
      <c r="F733">
        <v>1</v>
      </c>
      <c r="G733" s="1210">
        <v>45989</v>
      </c>
      <c r="I733" t="s">
        <v>561</v>
      </c>
      <c r="J733" t="s">
        <v>2082</v>
      </c>
      <c r="K733">
        <v>4500011981</v>
      </c>
      <c r="L733" t="s">
        <v>4103</v>
      </c>
      <c r="M733" t="s">
        <v>4102</v>
      </c>
      <c r="N733" t="s">
        <v>4114</v>
      </c>
      <c r="O733" t="s">
        <v>2094</v>
      </c>
      <c r="Q733" t="s">
        <v>2231</v>
      </c>
      <c r="S733" t="s">
        <v>4115</v>
      </c>
      <c r="T733" t="s">
        <v>4116</v>
      </c>
      <c r="U733" t="s">
        <v>2744</v>
      </c>
      <c r="V733" t="s">
        <v>4073</v>
      </c>
      <c r="AD733">
        <v>7</v>
      </c>
    </row>
    <row r="734" spans="1:30" hidden="1">
      <c r="A734">
        <v>295640</v>
      </c>
      <c r="B734">
        <v>2</v>
      </c>
      <c r="C734" t="s">
        <v>2993</v>
      </c>
      <c r="D734" t="s">
        <v>4034</v>
      </c>
      <c r="E734" s="103">
        <v>46043</v>
      </c>
      <c r="F734">
        <v>1</v>
      </c>
      <c r="G734" s="1210">
        <v>45989</v>
      </c>
      <c r="I734" t="s">
        <v>773</v>
      </c>
      <c r="J734" t="s">
        <v>2082</v>
      </c>
      <c r="K734">
        <v>4500011994</v>
      </c>
      <c r="L734" t="s">
        <v>4106</v>
      </c>
      <c r="N734" t="s">
        <v>4114</v>
      </c>
      <c r="O734" t="s">
        <v>2094</v>
      </c>
      <c r="Q734" t="s">
        <v>2231</v>
      </c>
      <c r="S734" t="s">
        <v>4115</v>
      </c>
      <c r="T734" t="s">
        <v>4116</v>
      </c>
      <c r="U734" t="s">
        <v>2744</v>
      </c>
      <c r="V734" t="s">
        <v>4073</v>
      </c>
      <c r="AD734">
        <v>7</v>
      </c>
    </row>
    <row r="735" spans="1:30" hidden="1">
      <c r="A735">
        <v>284150</v>
      </c>
      <c r="B735">
        <v>1300</v>
      </c>
      <c r="C735" t="s">
        <v>3944</v>
      </c>
      <c r="E735" s="103">
        <v>46045</v>
      </c>
      <c r="F735">
        <v>1</v>
      </c>
      <c r="G735" s="1210">
        <v>45932</v>
      </c>
      <c r="I735" t="s">
        <v>658</v>
      </c>
      <c r="J735" t="s">
        <v>2082</v>
      </c>
      <c r="K735">
        <v>4500011598</v>
      </c>
      <c r="L735" t="s">
        <v>4118</v>
      </c>
      <c r="M735" t="s">
        <v>4082</v>
      </c>
      <c r="N735" t="s">
        <v>4069</v>
      </c>
      <c r="O735" t="s">
        <v>2026</v>
      </c>
      <c r="P735" s="103">
        <v>46035</v>
      </c>
      <c r="Q735" t="s">
        <v>2231</v>
      </c>
      <c r="R735" s="103">
        <v>46042</v>
      </c>
      <c r="S735" t="s">
        <v>2281</v>
      </c>
      <c r="U735" t="s">
        <v>2744</v>
      </c>
      <c r="V735" t="s">
        <v>4119</v>
      </c>
      <c r="AD735">
        <v>1305</v>
      </c>
    </row>
    <row r="736" spans="1:30" hidden="1">
      <c r="A736">
        <v>286431</v>
      </c>
      <c r="B736">
        <v>900</v>
      </c>
      <c r="C736" t="s">
        <v>3769</v>
      </c>
      <c r="E736" s="103">
        <v>46045</v>
      </c>
      <c r="F736">
        <v>1</v>
      </c>
      <c r="G736" s="1210">
        <v>45954</v>
      </c>
      <c r="I736" t="s">
        <v>758</v>
      </c>
      <c r="J736" t="s">
        <v>2082</v>
      </c>
      <c r="K736">
        <v>4500011731</v>
      </c>
      <c r="L736" t="s">
        <v>4120</v>
      </c>
      <c r="M736" t="s">
        <v>4121</v>
      </c>
      <c r="N736" t="s">
        <v>4069</v>
      </c>
      <c r="O736" t="s">
        <v>2026</v>
      </c>
      <c r="P736" s="103">
        <v>46038</v>
      </c>
      <c r="Q736" t="s">
        <v>2231</v>
      </c>
      <c r="R736" s="103">
        <v>46042</v>
      </c>
      <c r="S736" t="s">
        <v>2281</v>
      </c>
      <c r="U736" t="s">
        <v>2744</v>
      </c>
      <c r="AD736">
        <v>1500</v>
      </c>
    </row>
    <row r="737" spans="1:30" hidden="1">
      <c r="A737">
        <v>222644</v>
      </c>
      <c r="B737">
        <v>216</v>
      </c>
      <c r="C737" t="s">
        <v>3755</v>
      </c>
      <c r="E737" s="103">
        <v>46045</v>
      </c>
      <c r="F737">
        <v>1</v>
      </c>
      <c r="G737" s="1210">
        <v>45982</v>
      </c>
      <c r="I737" t="s">
        <v>841</v>
      </c>
      <c r="J737" t="s">
        <v>2082</v>
      </c>
      <c r="K737">
        <v>4500011926</v>
      </c>
      <c r="L737" t="s">
        <v>4122</v>
      </c>
      <c r="M737" t="s">
        <v>4121</v>
      </c>
      <c r="N737" t="s">
        <v>4069</v>
      </c>
      <c r="O737" t="s">
        <v>2026</v>
      </c>
      <c r="P737" s="103">
        <v>46035</v>
      </c>
      <c r="Q737" t="s">
        <v>2231</v>
      </c>
      <c r="R737" s="103">
        <v>46039</v>
      </c>
      <c r="S737" t="s">
        <v>2281</v>
      </c>
      <c r="U737" t="s">
        <v>2744</v>
      </c>
      <c r="AD737">
        <v>1203</v>
      </c>
    </row>
    <row r="738" spans="1:30" hidden="1">
      <c r="A738">
        <v>295636</v>
      </c>
      <c r="B738">
        <v>3</v>
      </c>
      <c r="C738" t="s">
        <v>4101</v>
      </c>
      <c r="D738" t="s">
        <v>4034</v>
      </c>
      <c r="E738" s="103">
        <v>46045</v>
      </c>
      <c r="F738">
        <v>1</v>
      </c>
      <c r="G738" s="1210">
        <v>45989</v>
      </c>
      <c r="I738" t="s">
        <v>561</v>
      </c>
      <c r="J738" t="s">
        <v>2082</v>
      </c>
      <c r="K738">
        <v>4500011979</v>
      </c>
      <c r="L738" t="s">
        <v>4123</v>
      </c>
      <c r="M738" t="s">
        <v>4102</v>
      </c>
      <c r="N738" t="s">
        <v>4124</v>
      </c>
      <c r="O738" t="s">
        <v>2094</v>
      </c>
      <c r="Q738" t="s">
        <v>2231</v>
      </c>
      <c r="S738" t="s">
        <v>4125</v>
      </c>
      <c r="T738" t="s">
        <v>3442</v>
      </c>
      <c r="U738" t="s">
        <v>2744</v>
      </c>
      <c r="V738" t="s">
        <v>4073</v>
      </c>
      <c r="AD738">
        <v>10</v>
      </c>
    </row>
    <row r="739" spans="1:30" hidden="1">
      <c r="A739">
        <v>295640</v>
      </c>
      <c r="B739">
        <v>28</v>
      </c>
      <c r="C739" t="s">
        <v>2993</v>
      </c>
      <c r="D739" t="s">
        <v>4034</v>
      </c>
      <c r="E739" s="103">
        <v>46045</v>
      </c>
      <c r="F739">
        <v>1</v>
      </c>
      <c r="G739" s="1210">
        <v>45989</v>
      </c>
      <c r="I739" t="s">
        <v>773</v>
      </c>
      <c r="J739" t="s">
        <v>2082</v>
      </c>
      <c r="K739">
        <v>4500011993</v>
      </c>
      <c r="L739" t="s">
        <v>4126</v>
      </c>
      <c r="N739" t="s">
        <v>4124</v>
      </c>
      <c r="O739" t="s">
        <v>2094</v>
      </c>
      <c r="Q739" t="s">
        <v>2231</v>
      </c>
      <c r="S739" t="s">
        <v>4125</v>
      </c>
      <c r="T739" t="s">
        <v>3442</v>
      </c>
      <c r="U739" t="s">
        <v>2744</v>
      </c>
      <c r="V739" t="s">
        <v>4073</v>
      </c>
      <c r="AD739">
        <v>35</v>
      </c>
    </row>
    <row r="740" spans="1:30" hidden="1">
      <c r="A740">
        <v>284149</v>
      </c>
      <c r="B740">
        <v>1</v>
      </c>
      <c r="C740" t="s">
        <v>3989</v>
      </c>
      <c r="E740" s="103">
        <v>46048</v>
      </c>
      <c r="F740">
        <v>1</v>
      </c>
      <c r="G740" s="1210">
        <v>45932</v>
      </c>
      <c r="I740" t="s">
        <v>598</v>
      </c>
      <c r="J740" t="s">
        <v>2082</v>
      </c>
      <c r="K740">
        <v>4500011594</v>
      </c>
      <c r="L740" t="s">
        <v>3989</v>
      </c>
      <c r="N740" t="s">
        <v>4127</v>
      </c>
      <c r="O740" t="s">
        <v>2094</v>
      </c>
      <c r="Q740" t="s">
        <v>2231</v>
      </c>
      <c r="S740" t="s">
        <v>4043</v>
      </c>
      <c r="T740" t="s">
        <v>4128</v>
      </c>
      <c r="U740" t="s">
        <v>2744</v>
      </c>
      <c r="V740" t="s">
        <v>2815</v>
      </c>
      <c r="AD740">
        <v>1</v>
      </c>
    </row>
    <row r="741" spans="1:30" hidden="1">
      <c r="A741">
        <v>284149</v>
      </c>
      <c r="B741">
        <v>2</v>
      </c>
      <c r="C741" t="s">
        <v>3989</v>
      </c>
      <c r="E741" s="103">
        <v>46048</v>
      </c>
      <c r="F741">
        <v>1</v>
      </c>
      <c r="G741" s="1210">
        <v>45932</v>
      </c>
      <c r="I741" t="s">
        <v>598</v>
      </c>
      <c r="J741" t="s">
        <v>2082</v>
      </c>
      <c r="K741">
        <v>4500011594</v>
      </c>
      <c r="L741" t="s">
        <v>4129</v>
      </c>
      <c r="N741" t="s">
        <v>4127</v>
      </c>
      <c r="O741" t="s">
        <v>2094</v>
      </c>
      <c r="Q741" t="s">
        <v>2231</v>
      </c>
      <c r="S741" t="s">
        <v>4038</v>
      </c>
      <c r="T741" t="s">
        <v>4130</v>
      </c>
      <c r="U741" t="s">
        <v>2744</v>
      </c>
      <c r="V741" t="s">
        <v>2815</v>
      </c>
      <c r="AD741">
        <v>3</v>
      </c>
    </row>
    <row r="742" spans="1:30" hidden="1">
      <c r="A742">
        <v>286436</v>
      </c>
      <c r="B742">
        <v>144</v>
      </c>
      <c r="C742" t="s">
        <v>3017</v>
      </c>
      <c r="D742" t="s">
        <v>20</v>
      </c>
      <c r="E742" s="103">
        <v>46048</v>
      </c>
      <c r="F742">
        <v>1</v>
      </c>
      <c r="G742" s="1210">
        <v>45954</v>
      </c>
      <c r="I742" t="s">
        <v>688</v>
      </c>
      <c r="J742" t="s">
        <v>2082</v>
      </c>
      <c r="K742">
        <v>4500011726</v>
      </c>
      <c r="L742" t="s">
        <v>3624</v>
      </c>
      <c r="M742" t="s">
        <v>4121</v>
      </c>
      <c r="N742" t="s">
        <v>4069</v>
      </c>
      <c r="O742" t="s">
        <v>2026</v>
      </c>
      <c r="P742" s="103">
        <v>46041</v>
      </c>
      <c r="Q742" t="s">
        <v>2231</v>
      </c>
      <c r="R742" s="103">
        <v>46045</v>
      </c>
      <c r="S742" t="s">
        <v>2281</v>
      </c>
      <c r="U742" t="s">
        <v>2744</v>
      </c>
      <c r="V742" t="s">
        <v>4048</v>
      </c>
      <c r="AD742">
        <v>146</v>
      </c>
    </row>
    <row r="743" spans="1:30" hidden="1">
      <c r="A743">
        <v>284149</v>
      </c>
      <c r="B743">
        <v>2</v>
      </c>
      <c r="C743" t="s">
        <v>3989</v>
      </c>
      <c r="E743" s="103">
        <v>46049</v>
      </c>
      <c r="F743">
        <v>1</v>
      </c>
      <c r="G743" s="1210">
        <v>45932</v>
      </c>
      <c r="I743" t="s">
        <v>598</v>
      </c>
      <c r="J743" t="s">
        <v>2082</v>
      </c>
      <c r="K743">
        <v>4500011594</v>
      </c>
      <c r="L743" t="s">
        <v>4129</v>
      </c>
      <c r="N743" t="s">
        <v>4127</v>
      </c>
      <c r="O743" t="s">
        <v>2094</v>
      </c>
      <c r="Q743" t="s">
        <v>2231</v>
      </c>
      <c r="S743" t="s">
        <v>4041</v>
      </c>
      <c r="T743" t="s">
        <v>4131</v>
      </c>
      <c r="U743" t="s">
        <v>2744</v>
      </c>
      <c r="V743" t="s">
        <v>2815</v>
      </c>
      <c r="AD743">
        <v>5</v>
      </c>
    </row>
    <row r="744" spans="1:30" hidden="1">
      <c r="A744">
        <v>284151</v>
      </c>
      <c r="B744">
        <v>450</v>
      </c>
      <c r="C744" t="s">
        <v>2278</v>
      </c>
      <c r="E744" s="103">
        <v>46051</v>
      </c>
      <c r="F744">
        <v>1</v>
      </c>
      <c r="G744" s="1210">
        <v>45932</v>
      </c>
      <c r="I744" t="s">
        <v>683</v>
      </c>
      <c r="J744" t="s">
        <v>2082</v>
      </c>
      <c r="K744">
        <v>4500011599</v>
      </c>
      <c r="L744" t="s">
        <v>4132</v>
      </c>
      <c r="M744" t="s">
        <v>4069</v>
      </c>
      <c r="N744" t="s">
        <v>4124</v>
      </c>
      <c r="O744" t="s">
        <v>2026</v>
      </c>
      <c r="P744" s="103">
        <v>46042</v>
      </c>
      <c r="Q744" t="s">
        <v>2231</v>
      </c>
      <c r="R744" s="103">
        <v>46045</v>
      </c>
      <c r="S744" t="s">
        <v>2281</v>
      </c>
      <c r="U744" t="s">
        <v>2744</v>
      </c>
      <c r="V744" t="s">
        <v>4119</v>
      </c>
      <c r="AD744">
        <v>455</v>
      </c>
    </row>
    <row r="745" spans="1:30" hidden="1">
      <c r="A745">
        <v>222644</v>
      </c>
      <c r="B745">
        <v>504</v>
      </c>
      <c r="C745" t="s">
        <v>3755</v>
      </c>
      <c r="E745" s="103">
        <v>46051</v>
      </c>
      <c r="F745">
        <v>1</v>
      </c>
      <c r="G745" s="1210">
        <v>45982</v>
      </c>
      <c r="I745" t="s">
        <v>841</v>
      </c>
      <c r="J745" t="s">
        <v>2082</v>
      </c>
      <c r="K745">
        <v>4500011925</v>
      </c>
      <c r="L745" t="s">
        <v>4133</v>
      </c>
      <c r="M745" t="s">
        <v>4134</v>
      </c>
      <c r="N745" t="s">
        <v>4124</v>
      </c>
      <c r="O745" t="s">
        <v>2026</v>
      </c>
      <c r="P745" s="103">
        <v>46042</v>
      </c>
      <c r="Q745" t="s">
        <v>2231</v>
      </c>
      <c r="R745" s="103">
        <v>46046</v>
      </c>
      <c r="S745" t="s">
        <v>2281</v>
      </c>
      <c r="U745" t="s">
        <v>2744</v>
      </c>
      <c r="AD745">
        <v>1707</v>
      </c>
    </row>
    <row r="746" spans="1:30" hidden="1">
      <c r="A746">
        <v>286431</v>
      </c>
      <c r="B746">
        <v>800</v>
      </c>
      <c r="C746" t="s">
        <v>3769</v>
      </c>
      <c r="E746" s="103">
        <v>46051</v>
      </c>
      <c r="F746">
        <v>1</v>
      </c>
      <c r="G746" s="1210">
        <v>45982</v>
      </c>
      <c r="I746" t="s">
        <v>758</v>
      </c>
      <c r="J746" t="s">
        <v>2082</v>
      </c>
      <c r="K746">
        <v>4500011927</v>
      </c>
      <c r="L746" t="s">
        <v>3839</v>
      </c>
      <c r="M746" t="s">
        <v>4111</v>
      </c>
      <c r="N746" t="s">
        <v>4124</v>
      </c>
      <c r="O746" t="s">
        <v>2026</v>
      </c>
      <c r="P746" s="103">
        <v>46044</v>
      </c>
      <c r="Q746" t="s">
        <v>2231</v>
      </c>
      <c r="R746" s="103">
        <v>46048</v>
      </c>
      <c r="S746" t="s">
        <v>2281</v>
      </c>
      <c r="U746" t="s">
        <v>2744</v>
      </c>
      <c r="AD746">
        <v>2300</v>
      </c>
    </row>
    <row r="747" spans="1:30" hidden="1">
      <c r="A747">
        <v>304067</v>
      </c>
      <c r="B747">
        <v>800</v>
      </c>
      <c r="C747" t="s">
        <v>4076</v>
      </c>
      <c r="E747" s="103">
        <v>46059</v>
      </c>
      <c r="F747">
        <v>1</v>
      </c>
      <c r="G747" s="1210">
        <v>45932</v>
      </c>
      <c r="I747" t="s">
        <v>358</v>
      </c>
      <c r="J747" t="s">
        <v>2082</v>
      </c>
      <c r="K747">
        <v>4500011562</v>
      </c>
      <c r="L747" t="s">
        <v>4135</v>
      </c>
      <c r="M747" t="s">
        <v>4102</v>
      </c>
      <c r="N747" t="s">
        <v>4136</v>
      </c>
      <c r="O747" t="s">
        <v>2026</v>
      </c>
      <c r="P747" s="103">
        <v>46043</v>
      </c>
      <c r="Q747" t="s">
        <v>2231</v>
      </c>
      <c r="R747" s="103">
        <v>46049</v>
      </c>
      <c r="S747" t="s">
        <v>2281</v>
      </c>
      <c r="U747" t="s">
        <v>2744</v>
      </c>
      <c r="V747" t="s">
        <v>4081</v>
      </c>
      <c r="Z747" t="s">
        <v>4137</v>
      </c>
      <c r="AB747" t="s">
        <v>4138</v>
      </c>
      <c r="AC747" t="s">
        <v>4139</v>
      </c>
      <c r="AD747">
        <v>2250</v>
      </c>
    </row>
    <row r="748" spans="1:30" hidden="1">
      <c r="A748">
        <v>216524</v>
      </c>
      <c r="B748">
        <v>216</v>
      </c>
      <c r="C748" t="s">
        <v>3876</v>
      </c>
      <c r="E748" s="103">
        <v>46059</v>
      </c>
      <c r="F748">
        <v>1</v>
      </c>
      <c r="G748" s="1210">
        <v>45954</v>
      </c>
      <c r="I748" t="s">
        <v>451</v>
      </c>
      <c r="J748" t="s">
        <v>2082</v>
      </c>
      <c r="K748">
        <v>4500011725</v>
      </c>
      <c r="L748" t="s">
        <v>3877</v>
      </c>
      <c r="M748" t="s">
        <v>4140</v>
      </c>
      <c r="N748" t="s">
        <v>4124</v>
      </c>
      <c r="O748" t="s">
        <v>2026</v>
      </c>
      <c r="P748" s="103">
        <v>46052</v>
      </c>
      <c r="Q748" t="s">
        <v>2231</v>
      </c>
      <c r="R748" s="103">
        <v>46056</v>
      </c>
      <c r="S748" t="s">
        <v>2281</v>
      </c>
      <c r="U748" t="s">
        <v>2744</v>
      </c>
      <c r="AD748">
        <v>1396</v>
      </c>
    </row>
    <row r="749" spans="1:30" hidden="1">
      <c r="A749">
        <v>216515</v>
      </c>
      <c r="B749">
        <v>400</v>
      </c>
      <c r="C749" t="s">
        <v>3717</v>
      </c>
      <c r="E749" s="103">
        <v>46059</v>
      </c>
      <c r="F749">
        <v>1</v>
      </c>
      <c r="G749" s="1210">
        <v>45967</v>
      </c>
      <c r="I749" t="s">
        <v>311</v>
      </c>
      <c r="J749" t="s">
        <v>2082</v>
      </c>
      <c r="K749">
        <v>4500011835</v>
      </c>
      <c r="L749" t="s">
        <v>4141</v>
      </c>
      <c r="M749" t="s">
        <v>4142</v>
      </c>
      <c r="N749" t="s">
        <v>4124</v>
      </c>
      <c r="O749" t="s">
        <v>2026</v>
      </c>
      <c r="P749" s="103">
        <v>46052</v>
      </c>
      <c r="Q749" t="s">
        <v>2231</v>
      </c>
      <c r="R749" s="103">
        <v>46056</v>
      </c>
      <c r="S749" t="s">
        <v>2281</v>
      </c>
      <c r="U749" t="s">
        <v>2744</v>
      </c>
      <c r="AD749">
        <v>3296</v>
      </c>
    </row>
    <row r="750" spans="1:30" hidden="1">
      <c r="A750">
        <v>284149</v>
      </c>
      <c r="B750">
        <v>700</v>
      </c>
      <c r="C750" t="s">
        <v>3989</v>
      </c>
      <c r="E750" s="103">
        <v>46063</v>
      </c>
      <c r="F750">
        <v>1</v>
      </c>
      <c r="G750" s="1210">
        <v>45932</v>
      </c>
      <c r="I750" t="s">
        <v>598</v>
      </c>
      <c r="J750" t="s">
        <v>2082</v>
      </c>
      <c r="K750">
        <v>4500011597</v>
      </c>
      <c r="L750" t="s">
        <v>4143</v>
      </c>
      <c r="M750" t="s">
        <v>4140</v>
      </c>
      <c r="N750" t="s">
        <v>4144</v>
      </c>
      <c r="O750" t="s">
        <v>2026</v>
      </c>
      <c r="P750" s="103">
        <v>46050</v>
      </c>
      <c r="Q750" t="s">
        <v>2231</v>
      </c>
      <c r="R750" s="103">
        <v>46058</v>
      </c>
      <c r="S750" t="s">
        <v>2281</v>
      </c>
      <c r="U750" t="s">
        <v>2744</v>
      </c>
      <c r="V750" t="s">
        <v>4119</v>
      </c>
      <c r="AB750" t="s">
        <v>4145</v>
      </c>
      <c r="AC750" t="s">
        <v>4146</v>
      </c>
      <c r="AD750">
        <v>705</v>
      </c>
    </row>
    <row r="751" spans="1:30" hidden="1">
      <c r="A751">
        <v>199022</v>
      </c>
      <c r="B751">
        <v>300</v>
      </c>
      <c r="C751" t="s">
        <v>3836</v>
      </c>
      <c r="E751" s="103">
        <v>46065</v>
      </c>
      <c r="F751">
        <v>1</v>
      </c>
      <c r="G751" s="1210">
        <v>45947</v>
      </c>
      <c r="I751" t="s">
        <v>460</v>
      </c>
      <c r="J751" t="s">
        <v>2012</v>
      </c>
      <c r="K751">
        <v>4500011641</v>
      </c>
      <c r="L751" t="s">
        <v>4147</v>
      </c>
      <c r="M751" t="s">
        <v>4102</v>
      </c>
      <c r="N751" t="s">
        <v>4124</v>
      </c>
      <c r="O751" t="s">
        <v>2026</v>
      </c>
      <c r="P751" s="103">
        <v>46042</v>
      </c>
      <c r="Q751" t="s">
        <v>2231</v>
      </c>
      <c r="R751" s="103">
        <v>46043</v>
      </c>
      <c r="S751" t="s">
        <v>2281</v>
      </c>
      <c r="T751" t="s">
        <v>4148</v>
      </c>
      <c r="U751" t="s">
        <v>2744</v>
      </c>
      <c r="AB751" t="s">
        <v>4149</v>
      </c>
      <c r="AC751" t="s">
        <v>4150</v>
      </c>
      <c r="AD751">
        <v>2970</v>
      </c>
    </row>
    <row r="752" spans="1:30" hidden="1">
      <c r="A752">
        <v>201900</v>
      </c>
      <c r="B752">
        <v>1200</v>
      </c>
      <c r="C752" t="s">
        <v>3720</v>
      </c>
      <c r="E752" s="103">
        <v>46065</v>
      </c>
      <c r="F752">
        <v>1</v>
      </c>
      <c r="G752" s="1210">
        <v>45961</v>
      </c>
      <c r="I752" t="s">
        <v>327</v>
      </c>
      <c r="J752" t="s">
        <v>2012</v>
      </c>
      <c r="K752">
        <v>4500011791</v>
      </c>
      <c r="L752" t="s">
        <v>4151</v>
      </c>
      <c r="M752" t="s">
        <v>4142</v>
      </c>
      <c r="N752" t="s">
        <v>4124</v>
      </c>
      <c r="O752" t="s">
        <v>2026</v>
      </c>
      <c r="P752" s="103">
        <v>46042</v>
      </c>
      <c r="Q752" t="s">
        <v>2231</v>
      </c>
      <c r="R752" s="103">
        <v>46043</v>
      </c>
      <c r="S752" t="s">
        <v>2281</v>
      </c>
      <c r="T752" t="s">
        <v>4148</v>
      </c>
      <c r="U752" t="s">
        <v>2744</v>
      </c>
      <c r="AB752" t="s">
        <v>4149</v>
      </c>
      <c r="AC752" t="s">
        <v>4150</v>
      </c>
      <c r="AD752">
        <v>10968</v>
      </c>
    </row>
    <row r="753" spans="1:30" hidden="1">
      <c r="A753">
        <v>201900</v>
      </c>
      <c r="B753">
        <v>610</v>
      </c>
      <c r="C753" t="s">
        <v>3720</v>
      </c>
      <c r="E753" s="103">
        <v>46065</v>
      </c>
      <c r="F753">
        <v>1</v>
      </c>
      <c r="G753" s="1210">
        <v>45961</v>
      </c>
      <c r="I753" t="s">
        <v>327</v>
      </c>
      <c r="J753" t="s">
        <v>2012</v>
      </c>
      <c r="K753">
        <v>4500011791</v>
      </c>
      <c r="L753" t="s">
        <v>4152</v>
      </c>
      <c r="M753" t="s">
        <v>4142</v>
      </c>
      <c r="N753" t="s">
        <v>4124</v>
      </c>
      <c r="O753" t="s">
        <v>2026</v>
      </c>
      <c r="P753" s="103">
        <v>46042</v>
      </c>
      <c r="Q753" t="s">
        <v>2231</v>
      </c>
      <c r="R753" s="103">
        <v>46043</v>
      </c>
      <c r="S753" t="s">
        <v>2281</v>
      </c>
      <c r="T753" t="s">
        <v>4148</v>
      </c>
      <c r="U753" t="s">
        <v>2744</v>
      </c>
      <c r="AB753" t="s">
        <v>4149</v>
      </c>
      <c r="AC753" t="s">
        <v>4150</v>
      </c>
      <c r="AD753">
        <v>11578</v>
      </c>
    </row>
    <row r="754" spans="1:30" hidden="1">
      <c r="A754">
        <v>199022</v>
      </c>
      <c r="B754">
        <v>250</v>
      </c>
      <c r="C754" t="s">
        <v>3836</v>
      </c>
      <c r="E754" s="103">
        <v>46065</v>
      </c>
      <c r="F754">
        <v>1</v>
      </c>
      <c r="G754" s="1210">
        <v>45961</v>
      </c>
      <c r="I754" t="s">
        <v>460</v>
      </c>
      <c r="J754" t="s">
        <v>2012</v>
      </c>
      <c r="K754">
        <v>4500011792</v>
      </c>
      <c r="L754" t="s">
        <v>4153</v>
      </c>
      <c r="M754" t="s">
        <v>4102</v>
      </c>
      <c r="N754" t="s">
        <v>4124</v>
      </c>
      <c r="O754" t="s">
        <v>2026</v>
      </c>
      <c r="P754" s="103">
        <v>46042</v>
      </c>
      <c r="Q754" t="s">
        <v>2231</v>
      </c>
      <c r="R754" s="103">
        <v>46043</v>
      </c>
      <c r="S754" t="s">
        <v>2281</v>
      </c>
      <c r="T754" t="s">
        <v>4148</v>
      </c>
      <c r="U754" t="s">
        <v>2744</v>
      </c>
      <c r="AB754" t="s">
        <v>4149</v>
      </c>
      <c r="AC754" t="s">
        <v>4150</v>
      </c>
      <c r="AD754">
        <v>3220</v>
      </c>
    </row>
    <row r="755" spans="1:30" hidden="1">
      <c r="A755">
        <v>281821</v>
      </c>
      <c r="B755">
        <v>500</v>
      </c>
      <c r="C755" t="s">
        <v>2775</v>
      </c>
      <c r="E755" s="103">
        <v>46065</v>
      </c>
      <c r="F755">
        <v>1</v>
      </c>
      <c r="G755" s="1210">
        <v>45961</v>
      </c>
      <c r="I755" t="s">
        <v>588</v>
      </c>
      <c r="J755" t="s">
        <v>2012</v>
      </c>
      <c r="K755">
        <v>4500011793</v>
      </c>
      <c r="L755" t="s">
        <v>4154</v>
      </c>
      <c r="M755" t="s">
        <v>4102</v>
      </c>
      <c r="N755" t="s">
        <v>4124</v>
      </c>
      <c r="O755" t="s">
        <v>2026</v>
      </c>
      <c r="P755" s="103">
        <v>46042</v>
      </c>
      <c r="Q755" t="s">
        <v>2231</v>
      </c>
      <c r="R755" s="103">
        <v>46043</v>
      </c>
      <c r="S755" t="s">
        <v>2281</v>
      </c>
      <c r="T755" t="s">
        <v>4148</v>
      </c>
      <c r="U755" t="s">
        <v>2744</v>
      </c>
      <c r="AB755" t="s">
        <v>4149</v>
      </c>
      <c r="AC755" t="s">
        <v>4150</v>
      </c>
      <c r="AD755">
        <v>1205</v>
      </c>
    </row>
    <row r="756" spans="1:30">
      <c r="A756">
        <v>212476</v>
      </c>
      <c r="B756">
        <v>120</v>
      </c>
      <c r="C756" t="s">
        <v>4155</v>
      </c>
      <c r="E756" s="103">
        <v>46065</v>
      </c>
      <c r="F756">
        <v>1</v>
      </c>
      <c r="G756" s="1210">
        <v>45967</v>
      </c>
      <c r="I756" t="s">
        <v>198</v>
      </c>
      <c r="J756" t="s">
        <v>2012</v>
      </c>
      <c r="K756">
        <v>4500011836</v>
      </c>
      <c r="L756" t="s">
        <v>4156</v>
      </c>
      <c r="M756" t="s">
        <v>4102</v>
      </c>
      <c r="N756" t="s">
        <v>4124</v>
      </c>
      <c r="O756" t="s">
        <v>2026</v>
      </c>
      <c r="P756" s="103">
        <v>46042</v>
      </c>
      <c r="Q756" t="s">
        <v>2231</v>
      </c>
      <c r="R756" s="103">
        <v>46043</v>
      </c>
      <c r="S756" t="s">
        <v>2281</v>
      </c>
      <c r="T756" t="s">
        <v>4148</v>
      </c>
      <c r="U756" t="s">
        <v>2744</v>
      </c>
      <c r="AB756" t="s">
        <v>4149</v>
      </c>
      <c r="AC756" t="s">
        <v>4150</v>
      </c>
      <c r="AD756">
        <v>1306</v>
      </c>
    </row>
    <row r="757" spans="1:30" hidden="1">
      <c r="A757">
        <v>220803</v>
      </c>
      <c r="B757">
        <v>200</v>
      </c>
      <c r="C757" t="s">
        <v>4157</v>
      </c>
      <c r="E757" s="103">
        <v>46065</v>
      </c>
      <c r="F757">
        <v>1</v>
      </c>
      <c r="G757" s="1210">
        <v>45967</v>
      </c>
      <c r="I757" t="s">
        <v>217</v>
      </c>
      <c r="J757" t="s">
        <v>2012</v>
      </c>
      <c r="K757">
        <v>4500011837</v>
      </c>
      <c r="L757" t="s">
        <v>4158</v>
      </c>
      <c r="M757" t="s">
        <v>4102</v>
      </c>
      <c r="N757" t="s">
        <v>4124</v>
      </c>
      <c r="O757" t="s">
        <v>2026</v>
      </c>
      <c r="P757" s="103">
        <v>46042</v>
      </c>
      <c r="Q757" t="s">
        <v>2231</v>
      </c>
      <c r="R757" s="103">
        <v>46043</v>
      </c>
      <c r="S757" t="s">
        <v>2281</v>
      </c>
      <c r="T757" t="s">
        <v>4148</v>
      </c>
      <c r="U757" t="s">
        <v>2744</v>
      </c>
      <c r="AB757" t="s">
        <v>4149</v>
      </c>
      <c r="AC757" t="s">
        <v>4150</v>
      </c>
      <c r="AD757">
        <v>806</v>
      </c>
    </row>
    <row r="758" spans="1:30" hidden="1">
      <c r="A758">
        <v>220827</v>
      </c>
      <c r="B758">
        <v>520</v>
      </c>
      <c r="C758" t="s">
        <v>3668</v>
      </c>
      <c r="E758" s="103">
        <v>46069</v>
      </c>
      <c r="F758">
        <v>1</v>
      </c>
      <c r="G758" s="1210">
        <v>45814</v>
      </c>
      <c r="I758" t="s">
        <v>423</v>
      </c>
      <c r="J758" t="s">
        <v>1833</v>
      </c>
      <c r="K758">
        <v>4500010751</v>
      </c>
      <c r="L758" t="s">
        <v>4159</v>
      </c>
      <c r="M758" t="s">
        <v>4140</v>
      </c>
      <c r="N758" t="s">
        <v>4160</v>
      </c>
      <c r="O758" t="s">
        <v>2026</v>
      </c>
      <c r="P758" s="103">
        <v>46053</v>
      </c>
      <c r="Q758" t="s">
        <v>2231</v>
      </c>
      <c r="R758" s="103">
        <v>46056</v>
      </c>
      <c r="S758" t="s">
        <v>2281</v>
      </c>
      <c r="U758" t="s">
        <v>2744</v>
      </c>
      <c r="AB758" t="s">
        <v>4138</v>
      </c>
      <c r="AC758" t="s">
        <v>4139</v>
      </c>
      <c r="AD758">
        <v>1000</v>
      </c>
    </row>
    <row r="759" spans="1:30" hidden="1">
      <c r="A759">
        <v>326938</v>
      </c>
      <c r="B759">
        <v>1</v>
      </c>
      <c r="C759" t="s">
        <v>4161</v>
      </c>
      <c r="E759" s="103">
        <v>46069</v>
      </c>
      <c r="F759">
        <v>1</v>
      </c>
      <c r="G759" s="1210">
        <v>46065</v>
      </c>
      <c r="I759" t="s">
        <v>4162</v>
      </c>
      <c r="J759" t="s">
        <v>2012</v>
      </c>
      <c r="K759">
        <v>4500012739</v>
      </c>
      <c r="L759" t="s">
        <v>4161</v>
      </c>
      <c r="N759" t="s">
        <v>4163</v>
      </c>
      <c r="O759" t="s">
        <v>2094</v>
      </c>
      <c r="Q759" t="s">
        <v>2231</v>
      </c>
      <c r="S759" t="s">
        <v>2806</v>
      </c>
      <c r="T759" t="s">
        <v>4164</v>
      </c>
      <c r="U759" t="s">
        <v>2744</v>
      </c>
      <c r="AD759">
        <v>1</v>
      </c>
    </row>
    <row r="760" spans="1:30" hidden="1">
      <c r="A760">
        <v>295632</v>
      </c>
      <c r="B760">
        <v>100</v>
      </c>
      <c r="C760" t="s">
        <v>2775</v>
      </c>
      <c r="E760" s="103">
        <v>46077</v>
      </c>
      <c r="F760">
        <v>1</v>
      </c>
      <c r="G760" s="1210">
        <v>45989</v>
      </c>
      <c r="I760" t="s">
        <v>437</v>
      </c>
      <c r="J760" t="s">
        <v>2082</v>
      </c>
      <c r="K760">
        <v>4500011971</v>
      </c>
      <c r="L760" t="s">
        <v>4165</v>
      </c>
      <c r="M760" t="s">
        <v>4160</v>
      </c>
      <c r="N760" t="s">
        <v>4166</v>
      </c>
      <c r="O760" t="s">
        <v>2026</v>
      </c>
      <c r="P760" s="103">
        <v>46066</v>
      </c>
      <c r="Q760" t="s">
        <v>2231</v>
      </c>
      <c r="R760" s="103">
        <v>46070</v>
      </c>
      <c r="S760" t="s">
        <v>2281</v>
      </c>
      <c r="T760" t="s">
        <v>2623</v>
      </c>
      <c r="U760" t="s">
        <v>2744</v>
      </c>
      <c r="AD760">
        <v>250</v>
      </c>
    </row>
    <row r="761" spans="1:30" hidden="1">
      <c r="A761">
        <v>295634</v>
      </c>
      <c r="B761">
        <v>100</v>
      </c>
      <c r="C761" t="s">
        <v>4021</v>
      </c>
      <c r="E761" s="103">
        <v>46077</v>
      </c>
      <c r="F761">
        <v>1</v>
      </c>
      <c r="G761" s="1210">
        <v>45989</v>
      </c>
      <c r="I761" t="s">
        <v>429</v>
      </c>
      <c r="J761" t="s">
        <v>2082</v>
      </c>
      <c r="K761">
        <v>4500011975</v>
      </c>
      <c r="L761" t="s">
        <v>4167</v>
      </c>
      <c r="M761" t="s">
        <v>4168</v>
      </c>
      <c r="N761" t="s">
        <v>4166</v>
      </c>
      <c r="O761" t="s">
        <v>2026</v>
      </c>
      <c r="P761" s="103">
        <v>46066</v>
      </c>
      <c r="Q761" t="s">
        <v>2231</v>
      </c>
      <c r="R761" s="103">
        <v>46070</v>
      </c>
      <c r="S761" t="s">
        <v>2281</v>
      </c>
      <c r="T761" t="s">
        <v>2623</v>
      </c>
      <c r="U761" t="s">
        <v>2744</v>
      </c>
      <c r="AD761">
        <v>200</v>
      </c>
    </row>
    <row r="762" spans="1:30" hidden="1">
      <c r="A762">
        <v>220801</v>
      </c>
      <c r="B762">
        <v>150</v>
      </c>
      <c r="C762" t="s">
        <v>3962</v>
      </c>
      <c r="E762" s="103">
        <v>46077</v>
      </c>
      <c r="F762">
        <v>1</v>
      </c>
      <c r="G762" s="1210">
        <v>45996</v>
      </c>
      <c r="I762" t="s">
        <v>211</v>
      </c>
      <c r="J762" t="s">
        <v>2012</v>
      </c>
      <c r="K762">
        <v>4500012087</v>
      </c>
      <c r="L762" t="s">
        <v>3963</v>
      </c>
      <c r="M762" t="s">
        <v>4169</v>
      </c>
      <c r="N762" t="s">
        <v>4166</v>
      </c>
      <c r="O762" t="s">
        <v>2026</v>
      </c>
      <c r="P762" s="103">
        <v>46066</v>
      </c>
      <c r="Q762" t="s">
        <v>2231</v>
      </c>
      <c r="R762" s="103">
        <v>46070</v>
      </c>
      <c r="S762" t="s">
        <v>2236</v>
      </c>
      <c r="T762" t="s">
        <v>2623</v>
      </c>
      <c r="U762" t="s">
        <v>2744</v>
      </c>
      <c r="AD762">
        <v>846</v>
      </c>
    </row>
    <row r="763" spans="1:30" hidden="1">
      <c r="A763">
        <v>216524</v>
      </c>
      <c r="B763">
        <v>144</v>
      </c>
      <c r="C763" t="s">
        <v>3876</v>
      </c>
      <c r="E763" s="103">
        <v>46083</v>
      </c>
      <c r="F763">
        <v>1</v>
      </c>
      <c r="G763" s="1210">
        <v>45975</v>
      </c>
      <c r="I763" t="s">
        <v>451</v>
      </c>
      <c r="J763" t="s">
        <v>2082</v>
      </c>
      <c r="K763">
        <v>4500011894</v>
      </c>
      <c r="L763" t="s">
        <v>4009</v>
      </c>
      <c r="M763" t="s">
        <v>4140</v>
      </c>
      <c r="N763" t="s">
        <v>4170</v>
      </c>
      <c r="O763" t="s">
        <v>2026</v>
      </c>
      <c r="P763" s="103">
        <v>46057</v>
      </c>
      <c r="Q763" t="s">
        <v>2231</v>
      </c>
      <c r="R763" s="103">
        <v>46059</v>
      </c>
      <c r="S763" t="s">
        <v>2281</v>
      </c>
      <c r="T763" t="s">
        <v>4171</v>
      </c>
      <c r="U763" t="s">
        <v>2744</v>
      </c>
      <c r="AB763" t="s">
        <v>4172</v>
      </c>
      <c r="AC763" t="s">
        <v>4173</v>
      </c>
      <c r="AD763">
        <v>1540</v>
      </c>
    </row>
    <row r="764" spans="1:30" hidden="1">
      <c r="A764">
        <v>216787</v>
      </c>
      <c r="B764">
        <v>216</v>
      </c>
      <c r="C764" t="s">
        <v>3740</v>
      </c>
      <c r="E764" s="103">
        <v>46083</v>
      </c>
      <c r="F764">
        <v>1</v>
      </c>
      <c r="G764" s="1210">
        <v>45975</v>
      </c>
      <c r="I764" t="s">
        <v>488</v>
      </c>
      <c r="J764" t="s">
        <v>2082</v>
      </c>
      <c r="K764">
        <v>4500011895</v>
      </c>
      <c r="L764" t="s">
        <v>3878</v>
      </c>
      <c r="M764" t="s">
        <v>4124</v>
      </c>
      <c r="N764" t="s">
        <v>4170</v>
      </c>
      <c r="O764" t="s">
        <v>2026</v>
      </c>
      <c r="P764" s="103">
        <v>46057</v>
      </c>
      <c r="Q764" t="s">
        <v>2231</v>
      </c>
      <c r="R764" s="103">
        <v>46059</v>
      </c>
      <c r="S764" t="s">
        <v>2281</v>
      </c>
      <c r="T764" t="s">
        <v>4171</v>
      </c>
      <c r="U764" t="s">
        <v>2744</v>
      </c>
      <c r="AB764" t="s">
        <v>4172</v>
      </c>
      <c r="AC764" t="s">
        <v>4173</v>
      </c>
      <c r="AD764">
        <v>2440</v>
      </c>
    </row>
    <row r="765" spans="1:30" hidden="1">
      <c r="A765">
        <v>216515</v>
      </c>
      <c r="B765">
        <v>300</v>
      </c>
      <c r="C765" t="s">
        <v>3717</v>
      </c>
      <c r="E765" s="103">
        <v>46083</v>
      </c>
      <c r="F765">
        <v>1</v>
      </c>
      <c r="G765" s="1210">
        <v>45982</v>
      </c>
      <c r="I765" t="s">
        <v>311</v>
      </c>
      <c r="J765" t="s">
        <v>2082</v>
      </c>
      <c r="K765">
        <v>4500011924</v>
      </c>
      <c r="L765" t="s">
        <v>4174</v>
      </c>
      <c r="M765" t="s">
        <v>4142</v>
      </c>
      <c r="N765" t="s">
        <v>4170</v>
      </c>
      <c r="O765" t="s">
        <v>2026</v>
      </c>
      <c r="P765" s="103">
        <v>46057</v>
      </c>
      <c r="Q765" t="s">
        <v>2231</v>
      </c>
      <c r="R765" s="103">
        <v>46059</v>
      </c>
      <c r="S765" t="s">
        <v>2281</v>
      </c>
      <c r="T765" t="s">
        <v>4171</v>
      </c>
      <c r="U765" t="s">
        <v>2744</v>
      </c>
      <c r="AB765" t="s">
        <v>4172</v>
      </c>
      <c r="AC765" t="s">
        <v>4173</v>
      </c>
      <c r="AD765">
        <v>3596</v>
      </c>
    </row>
    <row r="766" spans="1:30" hidden="1">
      <c r="A766">
        <v>295636</v>
      </c>
      <c r="B766">
        <v>60</v>
      </c>
      <c r="C766" t="s">
        <v>4101</v>
      </c>
      <c r="D766" t="s">
        <v>4175</v>
      </c>
      <c r="E766" s="103">
        <v>46084</v>
      </c>
      <c r="F766">
        <v>1</v>
      </c>
      <c r="G766" s="1210">
        <v>45989</v>
      </c>
      <c r="I766" t="s">
        <v>561</v>
      </c>
      <c r="J766" t="s">
        <v>2082</v>
      </c>
      <c r="K766">
        <v>4500011979</v>
      </c>
      <c r="L766" t="s">
        <v>4176</v>
      </c>
      <c r="M766" t="s">
        <v>4177</v>
      </c>
      <c r="N766" t="s">
        <v>4178</v>
      </c>
      <c r="O766" t="s">
        <v>4179</v>
      </c>
      <c r="Q766" t="s">
        <v>2231</v>
      </c>
      <c r="S766" t="s">
        <v>4113</v>
      </c>
      <c r="T766" t="s">
        <v>4180</v>
      </c>
      <c r="U766" t="s">
        <v>2744</v>
      </c>
      <c r="V766" t="s">
        <v>4073</v>
      </c>
      <c r="AD766">
        <v>70</v>
      </c>
    </row>
    <row r="767" spans="1:30" hidden="1">
      <c r="A767">
        <v>295638</v>
      </c>
      <c r="B767">
        <v>2</v>
      </c>
      <c r="C767" t="s">
        <v>4033</v>
      </c>
      <c r="D767" t="s">
        <v>4181</v>
      </c>
      <c r="E767" s="103">
        <v>46084</v>
      </c>
      <c r="F767">
        <v>1</v>
      </c>
      <c r="G767" s="1210">
        <v>45989</v>
      </c>
      <c r="I767" t="s">
        <v>721</v>
      </c>
      <c r="J767" t="s">
        <v>2082</v>
      </c>
      <c r="K767">
        <v>4500011985</v>
      </c>
      <c r="L767" t="s">
        <v>4035</v>
      </c>
      <c r="M767" t="s">
        <v>4182</v>
      </c>
      <c r="N767" t="s">
        <v>4178</v>
      </c>
      <c r="O767" t="s">
        <v>4179</v>
      </c>
      <c r="Q767" t="s">
        <v>2231</v>
      </c>
      <c r="S767" t="s">
        <v>2236</v>
      </c>
      <c r="T767" t="s">
        <v>4180</v>
      </c>
      <c r="U767" t="s">
        <v>2744</v>
      </c>
      <c r="V767" t="s">
        <v>2815</v>
      </c>
      <c r="AD767">
        <v>7</v>
      </c>
    </row>
    <row r="768" spans="1:30" hidden="1">
      <c r="A768">
        <v>295638</v>
      </c>
      <c r="B768">
        <v>93</v>
      </c>
      <c r="C768" t="s">
        <v>4033</v>
      </c>
      <c r="D768" t="s">
        <v>4175</v>
      </c>
      <c r="E768" s="103">
        <v>46084</v>
      </c>
      <c r="F768">
        <v>1</v>
      </c>
      <c r="G768" s="1210">
        <v>45989</v>
      </c>
      <c r="I768" t="s">
        <v>721</v>
      </c>
      <c r="J768" t="s">
        <v>2082</v>
      </c>
      <c r="K768">
        <v>4500011987</v>
      </c>
      <c r="L768" t="s">
        <v>4183</v>
      </c>
      <c r="M768" t="s">
        <v>4182</v>
      </c>
      <c r="N768" t="s">
        <v>4178</v>
      </c>
      <c r="O768" t="s">
        <v>4179</v>
      </c>
      <c r="Q768" t="s">
        <v>2231</v>
      </c>
      <c r="S768" t="s">
        <v>4113</v>
      </c>
      <c r="T768" t="s">
        <v>4180</v>
      </c>
      <c r="U768" t="s">
        <v>2744</v>
      </c>
      <c r="V768" t="s">
        <v>4073</v>
      </c>
      <c r="AD768">
        <v>100</v>
      </c>
    </row>
    <row r="769" spans="1:30" hidden="1">
      <c r="A769">
        <v>295638</v>
      </c>
      <c r="B769">
        <v>27</v>
      </c>
      <c r="C769" t="s">
        <v>4033</v>
      </c>
      <c r="D769" t="s">
        <v>4175</v>
      </c>
      <c r="E769" s="103">
        <v>46084</v>
      </c>
      <c r="F769">
        <v>1</v>
      </c>
      <c r="G769" s="1210">
        <v>45989</v>
      </c>
      <c r="I769" t="s">
        <v>721</v>
      </c>
      <c r="J769" t="s">
        <v>2082</v>
      </c>
      <c r="K769">
        <v>4500011989</v>
      </c>
      <c r="L769" t="s">
        <v>4184</v>
      </c>
      <c r="M769" t="s">
        <v>4182</v>
      </c>
      <c r="N769" t="s">
        <v>4178</v>
      </c>
      <c r="O769" t="s">
        <v>4179</v>
      </c>
      <c r="Q769" t="s">
        <v>2231</v>
      </c>
      <c r="S769" t="s">
        <v>4113</v>
      </c>
      <c r="T769" t="s">
        <v>4180</v>
      </c>
      <c r="U769" t="s">
        <v>2744</v>
      </c>
      <c r="AD769">
        <v>127</v>
      </c>
    </row>
    <row r="770" spans="1:30" hidden="1">
      <c r="A770">
        <v>295640</v>
      </c>
      <c r="B770">
        <v>20</v>
      </c>
      <c r="C770" t="s">
        <v>2993</v>
      </c>
      <c r="D770" t="s">
        <v>4185</v>
      </c>
      <c r="E770" s="103">
        <v>46084</v>
      </c>
      <c r="F770">
        <v>1</v>
      </c>
      <c r="G770" s="1210">
        <v>45989</v>
      </c>
      <c r="I770" t="s">
        <v>773</v>
      </c>
      <c r="J770" t="s">
        <v>2082</v>
      </c>
      <c r="K770">
        <v>4500011993</v>
      </c>
      <c r="L770" t="s">
        <v>4186</v>
      </c>
      <c r="M770" t="s">
        <v>4037</v>
      </c>
      <c r="N770" t="s">
        <v>4178</v>
      </c>
      <c r="O770" t="s">
        <v>4179</v>
      </c>
      <c r="Q770" t="s">
        <v>2231</v>
      </c>
      <c r="S770" t="s">
        <v>4113</v>
      </c>
      <c r="T770" t="s">
        <v>4180</v>
      </c>
      <c r="U770" t="s">
        <v>2744</v>
      </c>
      <c r="V770" t="s">
        <v>4073</v>
      </c>
      <c r="AD770">
        <v>55</v>
      </c>
    </row>
    <row r="771" spans="1:30" hidden="1">
      <c r="A771">
        <v>199024</v>
      </c>
      <c r="B771">
        <v>1000</v>
      </c>
      <c r="C771" t="s">
        <v>4187</v>
      </c>
      <c r="E771" s="103">
        <v>46090</v>
      </c>
      <c r="F771">
        <v>1</v>
      </c>
      <c r="G771" s="1210">
        <v>45989</v>
      </c>
      <c r="I771" t="s">
        <v>338</v>
      </c>
      <c r="J771" t="s">
        <v>2012</v>
      </c>
      <c r="K771">
        <v>4500011959</v>
      </c>
      <c r="L771" t="s">
        <v>4188</v>
      </c>
      <c r="M771" t="s">
        <v>4189</v>
      </c>
      <c r="N771" t="s">
        <v>4163</v>
      </c>
      <c r="O771" t="s">
        <v>2026</v>
      </c>
      <c r="P771" s="103">
        <v>46072</v>
      </c>
      <c r="Q771" t="s">
        <v>2231</v>
      </c>
      <c r="R771" s="103">
        <v>46073</v>
      </c>
      <c r="S771" t="s">
        <v>2281</v>
      </c>
      <c r="T771" t="s">
        <v>4190</v>
      </c>
      <c r="U771" t="s">
        <v>2744</v>
      </c>
      <c r="V771" t="s">
        <v>4191</v>
      </c>
      <c r="AB771" t="s">
        <v>4192</v>
      </c>
      <c r="AC771" t="s">
        <v>4193</v>
      </c>
      <c r="AD771">
        <v>20320</v>
      </c>
    </row>
    <row r="772" spans="1:30" hidden="1">
      <c r="A772">
        <v>199022</v>
      </c>
      <c r="B772">
        <v>250</v>
      </c>
      <c r="C772" t="s">
        <v>2767</v>
      </c>
      <c r="E772" s="103">
        <v>46090</v>
      </c>
      <c r="F772">
        <v>1</v>
      </c>
      <c r="G772" s="1210">
        <v>45989</v>
      </c>
      <c r="I772" t="s">
        <v>460</v>
      </c>
      <c r="J772" t="s">
        <v>2012</v>
      </c>
      <c r="K772">
        <v>4500011961</v>
      </c>
      <c r="L772" t="s">
        <v>4194</v>
      </c>
      <c r="M772" t="s">
        <v>4195</v>
      </c>
      <c r="N772" t="s">
        <v>4163</v>
      </c>
      <c r="O772" t="s">
        <v>2026</v>
      </c>
      <c r="P772" s="103">
        <v>46072</v>
      </c>
      <c r="Q772" t="s">
        <v>2231</v>
      </c>
      <c r="R772" s="103">
        <v>46073</v>
      </c>
      <c r="S772" t="s">
        <v>2281</v>
      </c>
      <c r="T772" t="s">
        <v>4190</v>
      </c>
      <c r="U772" t="s">
        <v>2744</v>
      </c>
      <c r="V772" t="s">
        <v>4191</v>
      </c>
      <c r="AB772" t="s">
        <v>4192</v>
      </c>
      <c r="AC772" t="s">
        <v>4193</v>
      </c>
      <c r="AD772">
        <v>3470</v>
      </c>
    </row>
    <row r="773" spans="1:30" hidden="1">
      <c r="A773">
        <v>295640</v>
      </c>
      <c r="B773">
        <v>32</v>
      </c>
      <c r="C773" t="s">
        <v>2993</v>
      </c>
      <c r="D773" t="s">
        <v>4196</v>
      </c>
      <c r="E773" s="103">
        <v>46090</v>
      </c>
      <c r="F773">
        <v>1</v>
      </c>
      <c r="G773" s="1210">
        <v>45989</v>
      </c>
      <c r="I773" t="s">
        <v>773</v>
      </c>
      <c r="J773" t="s">
        <v>2082</v>
      </c>
      <c r="K773">
        <v>4500011993</v>
      </c>
      <c r="L773" t="s">
        <v>4197</v>
      </c>
      <c r="M773" t="s">
        <v>4198</v>
      </c>
      <c r="N773" t="s">
        <v>4199</v>
      </c>
      <c r="O773" t="s">
        <v>4200</v>
      </c>
      <c r="Q773" t="s">
        <v>2231</v>
      </c>
      <c r="S773" t="s">
        <v>2236</v>
      </c>
      <c r="T773" t="s">
        <v>4201</v>
      </c>
      <c r="U773" t="s">
        <v>2744</v>
      </c>
      <c r="V773" t="s">
        <v>4073</v>
      </c>
      <c r="AD773">
        <v>87</v>
      </c>
    </row>
    <row r="774" spans="1:30" hidden="1">
      <c r="A774">
        <v>220801</v>
      </c>
      <c r="B774">
        <v>150</v>
      </c>
      <c r="C774" t="s">
        <v>4202</v>
      </c>
      <c r="E774" s="103">
        <v>46090</v>
      </c>
      <c r="F774">
        <v>1</v>
      </c>
      <c r="G774" s="1210">
        <v>46010</v>
      </c>
      <c r="I774" t="s">
        <v>211</v>
      </c>
      <c r="J774" t="s">
        <v>2012</v>
      </c>
      <c r="K774">
        <v>4500012267</v>
      </c>
      <c r="L774" t="s">
        <v>4203</v>
      </c>
      <c r="M774" t="s">
        <v>4168</v>
      </c>
      <c r="N774" t="s">
        <v>4163</v>
      </c>
      <c r="O774" t="s">
        <v>2026</v>
      </c>
      <c r="P774" s="103">
        <v>46072</v>
      </c>
      <c r="Q774" t="s">
        <v>2231</v>
      </c>
      <c r="R774" s="103">
        <v>46073</v>
      </c>
      <c r="S774" t="s">
        <v>2281</v>
      </c>
      <c r="T774" t="s">
        <v>4190</v>
      </c>
      <c r="U774" t="s">
        <v>2744</v>
      </c>
      <c r="V774" t="s">
        <v>4204</v>
      </c>
      <c r="AB774" t="s">
        <v>4192</v>
      </c>
      <c r="AC774" t="s">
        <v>4193</v>
      </c>
      <c r="AD774">
        <v>996</v>
      </c>
    </row>
    <row r="775" spans="1:30" hidden="1">
      <c r="A775">
        <v>326939</v>
      </c>
      <c r="B775">
        <v>1</v>
      </c>
      <c r="C775" t="s">
        <v>4161</v>
      </c>
      <c r="E775" s="103">
        <v>46094</v>
      </c>
      <c r="F775">
        <v>3</v>
      </c>
      <c r="G775" s="1210">
        <v>46086</v>
      </c>
      <c r="I775" t="s">
        <v>4205</v>
      </c>
      <c r="J775" t="s">
        <v>2012</v>
      </c>
      <c r="K775">
        <v>4500012798</v>
      </c>
      <c r="L775" t="s">
        <v>4161</v>
      </c>
      <c r="N775" t="s">
        <v>4206</v>
      </c>
      <c r="O775" t="s">
        <v>2094</v>
      </c>
      <c r="Q775" t="s">
        <v>2231</v>
      </c>
      <c r="S775" t="s">
        <v>4207</v>
      </c>
      <c r="T775" t="s">
        <v>4208</v>
      </c>
      <c r="U775" t="s">
        <v>2744</v>
      </c>
      <c r="AD775">
        <v>0</v>
      </c>
    </row>
    <row r="776" spans="1:30" hidden="1">
      <c r="A776">
        <v>318440</v>
      </c>
      <c r="B776">
        <v>1</v>
      </c>
      <c r="C776" t="s">
        <v>3129</v>
      </c>
      <c r="E776" s="103">
        <v>46097</v>
      </c>
      <c r="F776">
        <v>1</v>
      </c>
      <c r="G776" s="1210">
        <v>46065</v>
      </c>
      <c r="I776" t="s">
        <v>186</v>
      </c>
      <c r="J776" t="s">
        <v>2082</v>
      </c>
      <c r="K776">
        <v>4500011963</v>
      </c>
      <c r="L776" t="s">
        <v>3129</v>
      </c>
      <c r="M776" t="s">
        <v>4209</v>
      </c>
      <c r="N776" t="s">
        <v>4210</v>
      </c>
      <c r="O776" t="s">
        <v>2094</v>
      </c>
      <c r="Q776" t="s">
        <v>2231</v>
      </c>
      <c r="S776" t="s">
        <v>4211</v>
      </c>
      <c r="T776" t="s">
        <v>4212</v>
      </c>
      <c r="U776" t="s">
        <v>2744</v>
      </c>
      <c r="V776" t="s">
        <v>4213</v>
      </c>
      <c r="AD776">
        <v>1</v>
      </c>
    </row>
    <row r="777" spans="1:30" hidden="1">
      <c r="A777">
        <v>318440</v>
      </c>
      <c r="B777">
        <v>2</v>
      </c>
      <c r="C777" t="s">
        <v>3129</v>
      </c>
      <c r="E777" s="103">
        <v>46097</v>
      </c>
      <c r="F777">
        <v>1</v>
      </c>
      <c r="G777" s="1210">
        <v>46065</v>
      </c>
      <c r="I777" t="s">
        <v>186</v>
      </c>
      <c r="J777" t="s">
        <v>2082</v>
      </c>
      <c r="K777">
        <v>4500011963</v>
      </c>
      <c r="L777" t="s">
        <v>4214</v>
      </c>
      <c r="M777" t="s">
        <v>4209</v>
      </c>
      <c r="N777" t="s">
        <v>4210</v>
      </c>
      <c r="O777" t="s">
        <v>2094</v>
      </c>
      <c r="Q777" t="s">
        <v>2231</v>
      </c>
      <c r="S777" t="s">
        <v>2251</v>
      </c>
      <c r="T777" t="s">
        <v>4215</v>
      </c>
      <c r="U777" t="s">
        <v>2744</v>
      </c>
      <c r="V777" t="s">
        <v>4213</v>
      </c>
      <c r="AD777">
        <v>3</v>
      </c>
    </row>
    <row r="778" spans="1:30" hidden="1">
      <c r="A778">
        <v>318440</v>
      </c>
      <c r="B778">
        <v>2</v>
      </c>
      <c r="C778" t="s">
        <v>3129</v>
      </c>
      <c r="E778" s="103">
        <v>46098</v>
      </c>
      <c r="F778">
        <v>1</v>
      </c>
      <c r="G778" s="1210">
        <v>46065</v>
      </c>
      <c r="I778" t="s">
        <v>186</v>
      </c>
      <c r="J778" t="s">
        <v>2082</v>
      </c>
      <c r="K778">
        <v>4500011963</v>
      </c>
      <c r="L778" t="s">
        <v>4214</v>
      </c>
      <c r="M778" t="s">
        <v>4209</v>
      </c>
      <c r="N778" t="s">
        <v>4210</v>
      </c>
      <c r="O778" t="s">
        <v>2094</v>
      </c>
      <c r="Q778" t="s">
        <v>2231</v>
      </c>
      <c r="S778" t="s">
        <v>4216</v>
      </c>
      <c r="T778" t="s">
        <v>4217</v>
      </c>
      <c r="U778" t="s">
        <v>2744</v>
      </c>
      <c r="V778" t="s">
        <v>4213</v>
      </c>
      <c r="AD778">
        <v>5</v>
      </c>
    </row>
    <row r="779" spans="1:30" hidden="1">
      <c r="A779">
        <v>317450</v>
      </c>
      <c r="B779">
        <v>200</v>
      </c>
      <c r="C779" t="s">
        <v>3765</v>
      </c>
      <c r="E779" s="103">
        <v>46100</v>
      </c>
      <c r="F779">
        <v>1</v>
      </c>
      <c r="G779" s="1210">
        <v>45989</v>
      </c>
      <c r="I779" t="s">
        <v>702</v>
      </c>
      <c r="J779" t="s">
        <v>2082</v>
      </c>
      <c r="K779">
        <v>4500011965</v>
      </c>
      <c r="L779" t="s">
        <v>4068</v>
      </c>
      <c r="M779" t="s">
        <v>4218</v>
      </c>
      <c r="N779" t="s">
        <v>4218</v>
      </c>
      <c r="O779" t="s">
        <v>2026</v>
      </c>
      <c r="P779" s="103">
        <v>46084</v>
      </c>
      <c r="Q779" t="s">
        <v>2231</v>
      </c>
      <c r="R779" s="103">
        <v>46086</v>
      </c>
      <c r="S779" t="s">
        <v>2236</v>
      </c>
      <c r="T779" t="s">
        <v>4219</v>
      </c>
      <c r="U779" t="s">
        <v>2744</v>
      </c>
      <c r="V779" t="s">
        <v>4220</v>
      </c>
      <c r="AB779" t="s">
        <v>4221</v>
      </c>
      <c r="AC779" t="s">
        <v>4222</v>
      </c>
      <c r="AD779">
        <v>402</v>
      </c>
    </row>
    <row r="780" spans="1:30" hidden="1">
      <c r="A780">
        <v>295636</v>
      </c>
      <c r="B780">
        <v>6</v>
      </c>
      <c r="C780" t="s">
        <v>4101</v>
      </c>
      <c r="E780" s="103">
        <v>46100</v>
      </c>
      <c r="F780">
        <v>1</v>
      </c>
      <c r="G780" s="1210">
        <v>45989</v>
      </c>
      <c r="I780" t="s">
        <v>561</v>
      </c>
      <c r="J780" t="s">
        <v>2082</v>
      </c>
      <c r="K780">
        <v>4500011979</v>
      </c>
      <c r="L780" t="s">
        <v>4223</v>
      </c>
      <c r="M780" t="s">
        <v>4177</v>
      </c>
      <c r="N780" t="s">
        <v>4218</v>
      </c>
      <c r="O780" t="s">
        <v>2026</v>
      </c>
      <c r="P780" s="103">
        <v>46084</v>
      </c>
      <c r="Q780" t="s">
        <v>2231</v>
      </c>
      <c r="R780" s="103">
        <v>46086</v>
      </c>
      <c r="S780" t="s">
        <v>2236</v>
      </c>
      <c r="U780" t="s">
        <v>2744</v>
      </c>
      <c r="V780" t="s">
        <v>4073</v>
      </c>
      <c r="AB780" t="s">
        <v>4221</v>
      </c>
      <c r="AC780" t="s">
        <v>4222</v>
      </c>
      <c r="AD780">
        <v>76</v>
      </c>
    </row>
    <row r="781" spans="1:30" hidden="1">
      <c r="A781">
        <v>284149</v>
      </c>
      <c r="B781">
        <v>400</v>
      </c>
      <c r="C781" t="s">
        <v>3989</v>
      </c>
      <c r="E781" s="103">
        <v>46100</v>
      </c>
      <c r="F781">
        <v>1</v>
      </c>
      <c r="G781" s="1210">
        <v>46003</v>
      </c>
      <c r="I781" t="s">
        <v>598</v>
      </c>
      <c r="J781" t="s">
        <v>2082</v>
      </c>
      <c r="K781">
        <v>4500012146</v>
      </c>
      <c r="L781" t="s">
        <v>4224</v>
      </c>
      <c r="M781" t="s">
        <v>4218</v>
      </c>
      <c r="N781" t="s">
        <v>4218</v>
      </c>
      <c r="O781" t="s">
        <v>2026</v>
      </c>
      <c r="P781" s="103">
        <v>46084</v>
      </c>
      <c r="Q781" t="s">
        <v>2231</v>
      </c>
      <c r="R781" s="103">
        <v>46086</v>
      </c>
      <c r="S781" t="s">
        <v>2236</v>
      </c>
      <c r="U781" t="s">
        <v>2744</v>
      </c>
      <c r="V781" t="s">
        <v>4225</v>
      </c>
      <c r="AB781" t="s">
        <v>4221</v>
      </c>
      <c r="AC781" t="s">
        <v>4222</v>
      </c>
      <c r="AD781">
        <v>1105</v>
      </c>
    </row>
    <row r="782" spans="1:30" hidden="1">
      <c r="A782">
        <v>223058</v>
      </c>
      <c r="B782">
        <v>100</v>
      </c>
      <c r="C782" t="s">
        <v>2259</v>
      </c>
      <c r="D782" t="s">
        <v>4226</v>
      </c>
      <c r="E782" s="103">
        <v>46100</v>
      </c>
      <c r="F782">
        <v>1</v>
      </c>
      <c r="G782" s="1210">
        <v>46010</v>
      </c>
      <c r="I782" t="s">
        <v>726</v>
      </c>
      <c r="J782" t="s">
        <v>2082</v>
      </c>
      <c r="K782">
        <v>4500012238</v>
      </c>
      <c r="L782" t="s">
        <v>4227</v>
      </c>
      <c r="M782" t="s">
        <v>4210</v>
      </c>
      <c r="N782" t="s">
        <v>4228</v>
      </c>
      <c r="O782" t="s">
        <v>4179</v>
      </c>
      <c r="Q782" t="s">
        <v>2231</v>
      </c>
      <c r="S782" t="s">
        <v>2236</v>
      </c>
      <c r="T782" t="s">
        <v>4229</v>
      </c>
      <c r="U782" t="s">
        <v>2744</v>
      </c>
      <c r="V782" t="s">
        <v>2263</v>
      </c>
      <c r="W782" t="s">
        <v>2237</v>
      </c>
      <c r="X782" t="s">
        <v>4230</v>
      </c>
      <c r="AD782">
        <v>2205</v>
      </c>
    </row>
    <row r="783" spans="1:30" hidden="1">
      <c r="A783">
        <v>295632</v>
      </c>
      <c r="B783">
        <v>100</v>
      </c>
      <c r="C783" t="s">
        <v>2775</v>
      </c>
      <c r="E783" s="103">
        <v>46100</v>
      </c>
      <c r="F783">
        <v>1</v>
      </c>
      <c r="G783" s="1210">
        <v>46010</v>
      </c>
      <c r="I783" t="s">
        <v>437</v>
      </c>
      <c r="J783" t="s">
        <v>2082</v>
      </c>
      <c r="K783">
        <v>4500012260</v>
      </c>
      <c r="L783" t="s">
        <v>4165</v>
      </c>
      <c r="M783" t="s">
        <v>4218</v>
      </c>
      <c r="N783" t="s">
        <v>4218</v>
      </c>
      <c r="O783" t="s">
        <v>2026</v>
      </c>
      <c r="P783" s="103">
        <v>46084</v>
      </c>
      <c r="Q783" t="s">
        <v>2231</v>
      </c>
      <c r="R783" s="103">
        <v>46086</v>
      </c>
      <c r="S783" t="s">
        <v>2236</v>
      </c>
      <c r="U783" t="s">
        <v>2744</v>
      </c>
      <c r="AB783" t="s">
        <v>4221</v>
      </c>
      <c r="AC783" t="s">
        <v>4222</v>
      </c>
      <c r="AD783">
        <v>350</v>
      </c>
    </row>
    <row r="784" spans="1:30" hidden="1">
      <c r="A784">
        <v>318440</v>
      </c>
      <c r="B784">
        <v>5</v>
      </c>
      <c r="C784" t="s">
        <v>3129</v>
      </c>
      <c r="E784" s="103">
        <v>46100</v>
      </c>
      <c r="F784">
        <v>1</v>
      </c>
      <c r="G784" s="1210">
        <v>46065</v>
      </c>
      <c r="I784" t="s">
        <v>186</v>
      </c>
      <c r="J784" t="s">
        <v>2082</v>
      </c>
      <c r="K784">
        <v>4500011963</v>
      </c>
      <c r="L784" t="s">
        <v>4231</v>
      </c>
      <c r="M784" t="s">
        <v>4210</v>
      </c>
      <c r="N784" t="s">
        <v>4228</v>
      </c>
      <c r="O784" t="s">
        <v>4179</v>
      </c>
      <c r="Q784" t="s">
        <v>2231</v>
      </c>
      <c r="S784" t="s">
        <v>2236</v>
      </c>
      <c r="T784" t="s">
        <v>4229</v>
      </c>
      <c r="U784" t="s">
        <v>2744</v>
      </c>
      <c r="AD784">
        <v>10</v>
      </c>
    </row>
    <row r="785" spans="1:30" hidden="1">
      <c r="A785">
        <v>286436</v>
      </c>
      <c r="B785">
        <v>144</v>
      </c>
      <c r="C785" t="s">
        <v>3017</v>
      </c>
      <c r="E785" s="103">
        <v>46108</v>
      </c>
      <c r="F785">
        <v>1</v>
      </c>
      <c r="G785" s="1210">
        <v>45954</v>
      </c>
      <c r="I785" t="s">
        <v>688</v>
      </c>
      <c r="J785" t="s">
        <v>2082</v>
      </c>
      <c r="K785">
        <v>4500011728</v>
      </c>
      <c r="L785" t="s">
        <v>3624</v>
      </c>
      <c r="M785" t="s">
        <v>4232</v>
      </c>
      <c r="N785" t="s">
        <v>4178</v>
      </c>
      <c r="O785" t="s">
        <v>2026</v>
      </c>
      <c r="P785" s="103">
        <v>46086</v>
      </c>
      <c r="Q785" t="s">
        <v>2231</v>
      </c>
      <c r="R785" s="103">
        <v>46093</v>
      </c>
      <c r="S785" t="s">
        <v>2281</v>
      </c>
      <c r="U785" t="s">
        <v>2744</v>
      </c>
      <c r="AB785" t="s">
        <v>4233</v>
      </c>
      <c r="AC785" t="s">
        <v>4234</v>
      </c>
      <c r="AD785">
        <v>290</v>
      </c>
    </row>
    <row r="786" spans="1:30" hidden="1">
      <c r="A786">
        <v>220803</v>
      </c>
      <c r="B786">
        <v>120</v>
      </c>
      <c r="C786" t="s">
        <v>4157</v>
      </c>
      <c r="E786" s="103">
        <v>46108</v>
      </c>
      <c r="F786">
        <v>1</v>
      </c>
      <c r="G786" s="1210">
        <v>45989</v>
      </c>
      <c r="I786" t="s">
        <v>217</v>
      </c>
      <c r="J786" t="s">
        <v>2012</v>
      </c>
      <c r="K786">
        <v>4500011958</v>
      </c>
      <c r="L786" t="s">
        <v>4235</v>
      </c>
      <c r="M786" t="s">
        <v>4236</v>
      </c>
      <c r="N786" t="s">
        <v>4237</v>
      </c>
      <c r="O786" t="s">
        <v>2026</v>
      </c>
      <c r="P786" s="103">
        <v>46097</v>
      </c>
      <c r="Q786" t="s">
        <v>2231</v>
      </c>
      <c r="R786" s="103">
        <v>46101</v>
      </c>
      <c r="S786" t="s">
        <v>2281</v>
      </c>
      <c r="U786" t="s">
        <v>2744</v>
      </c>
      <c r="AD786">
        <v>926</v>
      </c>
    </row>
    <row r="787" spans="1:30" hidden="1">
      <c r="A787">
        <v>216521</v>
      </c>
      <c r="B787">
        <v>360</v>
      </c>
      <c r="C787" t="s">
        <v>3849</v>
      </c>
      <c r="E787" s="103">
        <v>46108</v>
      </c>
      <c r="F787">
        <v>1</v>
      </c>
      <c r="G787" s="1210">
        <v>45989</v>
      </c>
      <c r="I787" t="s">
        <v>446</v>
      </c>
      <c r="J787" t="s">
        <v>2082</v>
      </c>
      <c r="K787">
        <v>4500011964</v>
      </c>
      <c r="L787" t="s">
        <v>3940</v>
      </c>
      <c r="M787" t="s">
        <v>4232</v>
      </c>
      <c r="N787" t="s">
        <v>4178</v>
      </c>
      <c r="O787" t="s">
        <v>2026</v>
      </c>
      <c r="P787" s="103">
        <v>46086</v>
      </c>
      <c r="Q787" t="s">
        <v>2231</v>
      </c>
      <c r="R787" s="103">
        <v>46093</v>
      </c>
      <c r="S787" t="s">
        <v>2281</v>
      </c>
      <c r="U787" t="s">
        <v>2744</v>
      </c>
      <c r="AB787" t="s">
        <v>4233</v>
      </c>
      <c r="AC787" t="s">
        <v>4234</v>
      </c>
      <c r="AD787">
        <v>2552</v>
      </c>
    </row>
    <row r="788" spans="1:30" hidden="1">
      <c r="A788">
        <v>317459</v>
      </c>
      <c r="B788">
        <v>504</v>
      </c>
      <c r="C788" t="s">
        <v>3755</v>
      </c>
      <c r="E788" s="103">
        <v>46108</v>
      </c>
      <c r="F788">
        <v>1</v>
      </c>
      <c r="G788" s="1210">
        <v>46010</v>
      </c>
      <c r="I788" t="s">
        <v>841</v>
      </c>
      <c r="J788" t="s">
        <v>2082</v>
      </c>
      <c r="K788">
        <v>4500012259</v>
      </c>
      <c r="L788" t="s">
        <v>4133</v>
      </c>
      <c r="M788" t="s">
        <v>4037</v>
      </c>
      <c r="N788" t="s">
        <v>4178</v>
      </c>
      <c r="O788" t="s">
        <v>2026</v>
      </c>
      <c r="P788" s="103">
        <v>46086</v>
      </c>
      <c r="Q788" t="s">
        <v>2231</v>
      </c>
      <c r="R788" s="103">
        <v>46093</v>
      </c>
      <c r="S788" t="s">
        <v>2236</v>
      </c>
      <c r="U788" t="s">
        <v>2744</v>
      </c>
      <c r="V788" t="s">
        <v>4238</v>
      </c>
      <c r="AB788" t="s">
        <v>4233</v>
      </c>
      <c r="AC788" t="s">
        <v>4234</v>
      </c>
      <c r="AD788">
        <v>2211</v>
      </c>
    </row>
    <row r="789" spans="1:30" hidden="1">
      <c r="A789">
        <v>220801</v>
      </c>
      <c r="B789">
        <v>120</v>
      </c>
      <c r="C789" t="s">
        <v>4202</v>
      </c>
      <c r="E789" s="103">
        <v>46108</v>
      </c>
      <c r="F789">
        <v>1</v>
      </c>
      <c r="G789" s="1210">
        <v>46031</v>
      </c>
      <c r="I789" t="s">
        <v>211</v>
      </c>
      <c r="J789" t="s">
        <v>2012</v>
      </c>
      <c r="K789">
        <v>4500012538</v>
      </c>
      <c r="L789" t="s">
        <v>4239</v>
      </c>
      <c r="M789" t="s">
        <v>4236</v>
      </c>
      <c r="N789" t="s">
        <v>4237</v>
      </c>
      <c r="O789" t="s">
        <v>2026</v>
      </c>
      <c r="P789" s="103">
        <v>46097</v>
      </c>
      <c r="Q789" t="s">
        <v>2231</v>
      </c>
      <c r="R789" s="103">
        <v>46101</v>
      </c>
      <c r="S789" t="s">
        <v>2281</v>
      </c>
      <c r="U789" t="s">
        <v>2744</v>
      </c>
      <c r="AD789">
        <v>1116</v>
      </c>
    </row>
    <row r="790" spans="1:30" hidden="1">
      <c r="A790">
        <v>317459</v>
      </c>
      <c r="B790">
        <v>288</v>
      </c>
      <c r="C790" t="s">
        <v>3755</v>
      </c>
      <c r="E790" s="103">
        <v>46108</v>
      </c>
      <c r="F790">
        <v>1</v>
      </c>
      <c r="G790" s="1210">
        <v>46031</v>
      </c>
      <c r="I790" t="s">
        <v>841</v>
      </c>
      <c r="J790" t="s">
        <v>2082</v>
      </c>
      <c r="K790">
        <v>4500012544</v>
      </c>
      <c r="L790" t="s">
        <v>4240</v>
      </c>
      <c r="M790" t="s">
        <v>4037</v>
      </c>
      <c r="N790" t="s">
        <v>4178</v>
      </c>
      <c r="O790" t="s">
        <v>2026</v>
      </c>
      <c r="P790" s="103">
        <v>46086</v>
      </c>
      <c r="Q790" t="s">
        <v>2231</v>
      </c>
      <c r="R790" s="103">
        <v>46093</v>
      </c>
      <c r="S790" t="s">
        <v>2236</v>
      </c>
      <c r="U790" t="s">
        <v>2744</v>
      </c>
      <c r="V790" t="s">
        <v>4241</v>
      </c>
      <c r="AB790" t="s">
        <v>4233</v>
      </c>
      <c r="AC790" t="s">
        <v>4234</v>
      </c>
      <c r="AD790">
        <v>2499</v>
      </c>
    </row>
    <row r="791" spans="1:30" hidden="1">
      <c r="A791">
        <v>212347</v>
      </c>
      <c r="B791">
        <v>40</v>
      </c>
      <c r="C791" t="s">
        <v>3998</v>
      </c>
      <c r="D791" t="s">
        <v>4242</v>
      </c>
      <c r="E791" s="103">
        <v>46111</v>
      </c>
      <c r="F791">
        <v>4</v>
      </c>
      <c r="G791" s="1210">
        <v>45989</v>
      </c>
      <c r="I791" t="s">
        <v>152</v>
      </c>
      <c r="J791" t="s">
        <v>2082</v>
      </c>
      <c r="K791">
        <v>4500011963</v>
      </c>
      <c r="L791" t="s">
        <v>4243</v>
      </c>
      <c r="M791" t="s">
        <v>4244</v>
      </c>
      <c r="N791" t="s">
        <v>4245</v>
      </c>
      <c r="O791" t="s">
        <v>2026</v>
      </c>
      <c r="P791" s="103">
        <v>46104</v>
      </c>
      <c r="Q791" t="s">
        <v>2231</v>
      </c>
      <c r="R791" s="103">
        <v>46108</v>
      </c>
      <c r="S791" t="s">
        <v>2281</v>
      </c>
      <c r="U791" t="s">
        <v>2282</v>
      </c>
      <c r="V791" t="s">
        <v>4246</v>
      </c>
      <c r="AD791">
        <v>436</v>
      </c>
    </row>
    <row r="792" spans="1:30" hidden="1">
      <c r="A792">
        <v>326941</v>
      </c>
      <c r="B792">
        <v>1</v>
      </c>
      <c r="C792" t="s">
        <v>2242</v>
      </c>
      <c r="E792" s="103">
        <v>46112</v>
      </c>
      <c r="F792">
        <v>1</v>
      </c>
      <c r="G792" s="1210">
        <v>46091</v>
      </c>
      <c r="I792" t="s">
        <v>193</v>
      </c>
      <c r="J792" t="s">
        <v>2012</v>
      </c>
      <c r="K792">
        <v>4500012824</v>
      </c>
      <c r="L792" t="s">
        <v>2242</v>
      </c>
      <c r="N792" t="s">
        <v>4247</v>
      </c>
      <c r="O792" t="s">
        <v>2094</v>
      </c>
      <c r="P792" s="103">
        <v>46108</v>
      </c>
      <c r="Q792" t="s">
        <v>2231</v>
      </c>
      <c r="R792" s="103">
        <v>46112</v>
      </c>
      <c r="S792" t="s">
        <v>4248</v>
      </c>
      <c r="U792" t="s">
        <v>2744</v>
      </c>
      <c r="W792" t="s">
        <v>4249</v>
      </c>
      <c r="AD792">
        <v>1</v>
      </c>
    </row>
    <row r="793" spans="1:30" hidden="1">
      <c r="A793">
        <v>326941</v>
      </c>
      <c r="B793">
        <v>2</v>
      </c>
      <c r="C793" t="s">
        <v>2242</v>
      </c>
      <c r="E793" s="103">
        <v>46112</v>
      </c>
      <c r="F793">
        <v>1</v>
      </c>
      <c r="G793" s="1210">
        <v>46091</v>
      </c>
      <c r="I793" t="s">
        <v>193</v>
      </c>
      <c r="J793" t="s">
        <v>2012</v>
      </c>
      <c r="K793">
        <v>4500012824</v>
      </c>
      <c r="L793" t="s">
        <v>4250</v>
      </c>
      <c r="N793" t="s">
        <v>4247</v>
      </c>
      <c r="O793" t="s">
        <v>2094</v>
      </c>
      <c r="P793" s="103">
        <v>46108</v>
      </c>
      <c r="Q793" t="s">
        <v>2231</v>
      </c>
      <c r="R793" s="103">
        <v>46112</v>
      </c>
      <c r="S793" t="s">
        <v>4251</v>
      </c>
      <c r="U793" t="s">
        <v>2744</v>
      </c>
      <c r="W793" t="s">
        <v>4252</v>
      </c>
      <c r="AD793">
        <v>3</v>
      </c>
    </row>
    <row r="794" spans="1:30" hidden="1">
      <c r="A794">
        <v>326941</v>
      </c>
      <c r="B794">
        <v>2</v>
      </c>
      <c r="C794" t="s">
        <v>2242</v>
      </c>
      <c r="E794" s="103">
        <v>46112</v>
      </c>
      <c r="F794">
        <v>1</v>
      </c>
      <c r="G794" s="1210">
        <v>46091</v>
      </c>
      <c r="I794" t="s">
        <v>193</v>
      </c>
      <c r="J794" t="s">
        <v>2012</v>
      </c>
      <c r="K794">
        <v>4500012824</v>
      </c>
      <c r="L794" t="s">
        <v>4250</v>
      </c>
      <c r="N794" t="s">
        <v>4247</v>
      </c>
      <c r="O794" t="s">
        <v>2094</v>
      </c>
      <c r="P794" s="103">
        <v>46108</v>
      </c>
      <c r="Q794" t="s">
        <v>2231</v>
      </c>
      <c r="R794" s="103">
        <v>46112</v>
      </c>
      <c r="S794" t="s">
        <v>2251</v>
      </c>
      <c r="U794" t="s">
        <v>2744</v>
      </c>
      <c r="W794" t="s">
        <v>4253</v>
      </c>
      <c r="AD794">
        <v>5</v>
      </c>
    </row>
    <row r="795" spans="1:30" hidden="1">
      <c r="A795">
        <v>216521</v>
      </c>
      <c r="B795">
        <v>288</v>
      </c>
      <c r="C795" t="s">
        <v>3849</v>
      </c>
      <c r="E795" s="103">
        <v>46115</v>
      </c>
      <c r="F795">
        <v>4</v>
      </c>
      <c r="G795" s="1210">
        <v>46010</v>
      </c>
      <c r="I795" t="s">
        <v>446</v>
      </c>
      <c r="J795" t="s">
        <v>2082</v>
      </c>
      <c r="K795">
        <v>4500012258</v>
      </c>
      <c r="L795" t="s">
        <v>4065</v>
      </c>
      <c r="N795" t="s">
        <v>4254</v>
      </c>
      <c r="O795" t="s">
        <v>2026</v>
      </c>
      <c r="P795" s="103">
        <v>46108</v>
      </c>
      <c r="Q795" t="s">
        <v>2231</v>
      </c>
      <c r="R795" s="103">
        <v>46112</v>
      </c>
      <c r="S795" t="s">
        <v>2281</v>
      </c>
      <c r="U795" t="s">
        <v>2282</v>
      </c>
      <c r="V795" t="s">
        <v>4255</v>
      </c>
      <c r="AD795">
        <v>2552</v>
      </c>
    </row>
    <row r="796" spans="1:30" hidden="1">
      <c r="A796">
        <v>284149</v>
      </c>
      <c r="B796">
        <v>300</v>
      </c>
      <c r="C796" t="s">
        <v>4256</v>
      </c>
      <c r="E796" s="103">
        <v>46118</v>
      </c>
      <c r="F796">
        <v>4</v>
      </c>
      <c r="G796" s="1210">
        <v>46031</v>
      </c>
      <c r="I796" t="s">
        <v>598</v>
      </c>
      <c r="J796" t="s">
        <v>2082</v>
      </c>
      <c r="K796">
        <v>4500012541</v>
      </c>
      <c r="L796" t="s">
        <v>4257</v>
      </c>
      <c r="N796" t="s">
        <v>4258</v>
      </c>
      <c r="O796" t="s">
        <v>2026</v>
      </c>
      <c r="P796" s="103">
        <v>46111</v>
      </c>
      <c r="Q796" t="s">
        <v>2231</v>
      </c>
      <c r="R796" s="103">
        <v>46115</v>
      </c>
      <c r="S796" t="s">
        <v>2281</v>
      </c>
      <c r="U796" t="s">
        <v>2282</v>
      </c>
      <c r="V796" t="s">
        <v>4259</v>
      </c>
      <c r="AD796">
        <v>1105</v>
      </c>
    </row>
    <row r="797" spans="1:30" hidden="1">
      <c r="A797">
        <v>284151</v>
      </c>
      <c r="B797">
        <v>200</v>
      </c>
      <c r="C797" t="s">
        <v>4260</v>
      </c>
      <c r="E797" s="103">
        <v>46118</v>
      </c>
      <c r="F797">
        <v>4</v>
      </c>
      <c r="G797" s="1210">
        <v>46031</v>
      </c>
      <c r="I797" t="s">
        <v>683</v>
      </c>
      <c r="J797" t="s">
        <v>2082</v>
      </c>
      <c r="K797">
        <v>4500012543</v>
      </c>
      <c r="L797" t="s">
        <v>4261</v>
      </c>
      <c r="N797" t="s">
        <v>4258</v>
      </c>
      <c r="O797" t="s">
        <v>2026</v>
      </c>
      <c r="P797" s="103">
        <v>46111</v>
      </c>
      <c r="Q797" t="s">
        <v>2231</v>
      </c>
      <c r="R797" s="103">
        <v>46115</v>
      </c>
      <c r="S797" t="s">
        <v>2281</v>
      </c>
      <c r="U797" t="s">
        <v>2282</v>
      </c>
      <c r="V797" t="s">
        <v>4259</v>
      </c>
      <c r="AD797">
        <v>455</v>
      </c>
    </row>
    <row r="798" spans="1:30" hidden="1">
      <c r="A798">
        <v>295636</v>
      </c>
      <c r="B798">
        <v>22</v>
      </c>
      <c r="C798" t="s">
        <v>4101</v>
      </c>
      <c r="E798" s="103">
        <v>46120</v>
      </c>
      <c r="F798">
        <v>1</v>
      </c>
      <c r="G798" s="1210">
        <v>45989</v>
      </c>
      <c r="I798" t="s">
        <v>561</v>
      </c>
      <c r="J798" t="s">
        <v>2082</v>
      </c>
      <c r="K798">
        <v>4500011979</v>
      </c>
      <c r="L798" t="s">
        <v>4262</v>
      </c>
      <c r="M798" t="s">
        <v>4206</v>
      </c>
      <c r="N798" t="s">
        <v>4263</v>
      </c>
      <c r="O798" t="s">
        <v>2026</v>
      </c>
      <c r="P798" s="103">
        <v>46100</v>
      </c>
      <c r="Q798" t="s">
        <v>2231</v>
      </c>
      <c r="R798" s="103">
        <v>46104</v>
      </c>
      <c r="S798" t="s">
        <v>2281</v>
      </c>
      <c r="U798" t="s">
        <v>2744</v>
      </c>
      <c r="V798" t="s">
        <v>4073</v>
      </c>
      <c r="AB798" t="s">
        <v>4264</v>
      </c>
      <c r="AC798" t="s">
        <v>4265</v>
      </c>
      <c r="AD798">
        <v>98</v>
      </c>
    </row>
    <row r="799" spans="1:30" hidden="1">
      <c r="A799">
        <v>295636</v>
      </c>
      <c r="B799">
        <v>100</v>
      </c>
      <c r="C799" t="s">
        <v>4101</v>
      </c>
      <c r="E799" s="103">
        <v>46120</v>
      </c>
      <c r="F799">
        <v>1</v>
      </c>
      <c r="G799" s="1210">
        <v>45989</v>
      </c>
      <c r="I799" t="s">
        <v>561</v>
      </c>
      <c r="J799" t="s">
        <v>2082</v>
      </c>
      <c r="K799">
        <v>4500011982</v>
      </c>
      <c r="L799" t="s">
        <v>4266</v>
      </c>
      <c r="M799" t="s">
        <v>4206</v>
      </c>
      <c r="N799" t="s">
        <v>4263</v>
      </c>
      <c r="O799" t="s">
        <v>2026</v>
      </c>
      <c r="P799" s="103">
        <v>46100</v>
      </c>
      <c r="Q799" t="s">
        <v>2231</v>
      </c>
      <c r="R799" s="103">
        <v>46104</v>
      </c>
      <c r="S799" t="s">
        <v>2281</v>
      </c>
      <c r="U799" t="s">
        <v>2744</v>
      </c>
      <c r="AB799" t="s">
        <v>4264</v>
      </c>
      <c r="AC799" t="s">
        <v>4265</v>
      </c>
      <c r="AD799">
        <v>198</v>
      </c>
    </row>
    <row r="800" spans="1:30" hidden="1">
      <c r="A800">
        <v>295638</v>
      </c>
      <c r="B800">
        <v>23</v>
      </c>
      <c r="C800" t="s">
        <v>4033</v>
      </c>
      <c r="E800" s="103">
        <v>46120</v>
      </c>
      <c r="F800">
        <v>1</v>
      </c>
      <c r="G800" s="1210">
        <v>45989</v>
      </c>
      <c r="I800" t="s">
        <v>721</v>
      </c>
      <c r="J800" t="s">
        <v>2082</v>
      </c>
      <c r="K800">
        <v>4500011989</v>
      </c>
      <c r="L800" t="s">
        <v>4267</v>
      </c>
      <c r="M800" t="s">
        <v>4206</v>
      </c>
      <c r="N800" t="s">
        <v>4263</v>
      </c>
      <c r="O800" t="s">
        <v>2026</v>
      </c>
      <c r="P800" s="103">
        <v>46100</v>
      </c>
      <c r="Q800" t="s">
        <v>2231</v>
      </c>
      <c r="R800" s="103">
        <v>46104</v>
      </c>
      <c r="S800" t="s">
        <v>2281</v>
      </c>
      <c r="U800" t="s">
        <v>2744</v>
      </c>
      <c r="AB800" t="s">
        <v>4264</v>
      </c>
      <c r="AC800" t="s">
        <v>4265</v>
      </c>
      <c r="AD800">
        <v>150</v>
      </c>
    </row>
    <row r="801" spans="1:30" hidden="1">
      <c r="A801">
        <v>295640</v>
      </c>
      <c r="B801">
        <v>120</v>
      </c>
      <c r="C801" t="s">
        <v>2993</v>
      </c>
      <c r="E801" s="103">
        <v>46120</v>
      </c>
      <c r="F801">
        <v>1</v>
      </c>
      <c r="G801" s="1210">
        <v>45989</v>
      </c>
      <c r="I801" t="s">
        <v>773</v>
      </c>
      <c r="J801" t="s">
        <v>2082</v>
      </c>
      <c r="K801">
        <v>4500011995</v>
      </c>
      <c r="L801" t="s">
        <v>4268</v>
      </c>
      <c r="M801" t="s">
        <v>4269</v>
      </c>
      <c r="N801" t="s">
        <v>4263</v>
      </c>
      <c r="O801" t="s">
        <v>2026</v>
      </c>
      <c r="P801" s="103">
        <v>46100</v>
      </c>
      <c r="Q801" t="s">
        <v>2231</v>
      </c>
      <c r="R801" s="103">
        <v>46104</v>
      </c>
      <c r="S801" t="s">
        <v>2281</v>
      </c>
      <c r="U801" t="s">
        <v>2744</v>
      </c>
      <c r="AB801" t="s">
        <v>4264</v>
      </c>
      <c r="AC801" t="s">
        <v>4265</v>
      </c>
      <c r="AD801">
        <v>207</v>
      </c>
    </row>
    <row r="802" spans="1:30" hidden="1">
      <c r="A802">
        <v>317459</v>
      </c>
      <c r="B802">
        <v>207</v>
      </c>
      <c r="C802" t="s">
        <v>3755</v>
      </c>
      <c r="E802" s="103">
        <v>46120</v>
      </c>
      <c r="F802">
        <v>1</v>
      </c>
      <c r="G802" s="1210">
        <v>46031</v>
      </c>
      <c r="I802" t="s">
        <v>841</v>
      </c>
      <c r="J802" t="s">
        <v>2082</v>
      </c>
      <c r="K802">
        <v>4500012545</v>
      </c>
      <c r="L802" t="s">
        <v>4270</v>
      </c>
      <c r="M802" t="s">
        <v>4271</v>
      </c>
      <c r="N802" t="s">
        <v>4263</v>
      </c>
      <c r="O802" t="s">
        <v>2026</v>
      </c>
      <c r="P802" s="103">
        <v>46100</v>
      </c>
      <c r="Q802" t="s">
        <v>2231</v>
      </c>
      <c r="R802" s="103">
        <v>46104</v>
      </c>
      <c r="S802" t="s">
        <v>2236</v>
      </c>
      <c r="U802" t="s">
        <v>2744</v>
      </c>
      <c r="V802" t="s">
        <v>4241</v>
      </c>
      <c r="W802" t="s">
        <v>4272</v>
      </c>
      <c r="AB802" t="s">
        <v>4264</v>
      </c>
      <c r="AC802" t="s">
        <v>4265</v>
      </c>
      <c r="AD802">
        <v>2706</v>
      </c>
    </row>
    <row r="803" spans="1:30" hidden="1">
      <c r="A803">
        <v>317459</v>
      </c>
      <c r="B803">
        <v>1</v>
      </c>
      <c r="C803" t="s">
        <v>3755</v>
      </c>
      <c r="E803" s="103">
        <v>46120</v>
      </c>
      <c r="F803">
        <v>1</v>
      </c>
      <c r="G803" s="1210">
        <v>46031</v>
      </c>
      <c r="I803" t="s">
        <v>841</v>
      </c>
      <c r="J803" t="s">
        <v>2082</v>
      </c>
      <c r="K803">
        <v>4500012565</v>
      </c>
      <c r="L803" t="s">
        <v>3755</v>
      </c>
      <c r="M803" t="s">
        <v>4271</v>
      </c>
      <c r="N803" t="s">
        <v>4263</v>
      </c>
      <c r="O803" t="s">
        <v>2026</v>
      </c>
      <c r="P803" s="103">
        <v>46100</v>
      </c>
      <c r="Q803" t="s">
        <v>2231</v>
      </c>
      <c r="R803" s="103">
        <v>46104</v>
      </c>
      <c r="S803" t="s">
        <v>2236</v>
      </c>
      <c r="U803" t="s">
        <v>2744</v>
      </c>
      <c r="V803" t="s">
        <v>4241</v>
      </c>
      <c r="W803" t="s">
        <v>4272</v>
      </c>
      <c r="AB803" t="s">
        <v>4264</v>
      </c>
      <c r="AC803" t="s">
        <v>4265</v>
      </c>
      <c r="AD803">
        <v>2707</v>
      </c>
    </row>
    <row r="804" spans="1:30" hidden="1">
      <c r="A804">
        <v>223058</v>
      </c>
      <c r="B804">
        <v>2</v>
      </c>
      <c r="C804" t="s">
        <v>2259</v>
      </c>
      <c r="E804" s="103">
        <v>46122</v>
      </c>
      <c r="F804">
        <v>1</v>
      </c>
      <c r="G804" s="1210">
        <v>46010</v>
      </c>
      <c r="I804" t="s">
        <v>726</v>
      </c>
      <c r="J804" t="s">
        <v>2082</v>
      </c>
      <c r="K804">
        <v>4500012237</v>
      </c>
      <c r="L804" t="s">
        <v>4273</v>
      </c>
      <c r="M804" t="s">
        <v>4228</v>
      </c>
      <c r="N804" t="s">
        <v>4258</v>
      </c>
      <c r="O804" t="s">
        <v>2026</v>
      </c>
      <c r="P804" s="103">
        <v>46111</v>
      </c>
      <c r="Q804" t="s">
        <v>2231</v>
      </c>
      <c r="R804" s="103">
        <v>46115</v>
      </c>
      <c r="S804" t="s">
        <v>2236</v>
      </c>
      <c r="U804" t="s">
        <v>2744</v>
      </c>
      <c r="V804" t="s">
        <v>4274</v>
      </c>
      <c r="W804" t="s">
        <v>2237</v>
      </c>
      <c r="X804" t="s">
        <v>4230</v>
      </c>
      <c r="AD804">
        <v>2207</v>
      </c>
    </row>
    <row r="805" spans="1:30" hidden="1">
      <c r="A805">
        <v>223058</v>
      </c>
      <c r="B805">
        <v>198</v>
      </c>
      <c r="C805" t="s">
        <v>2259</v>
      </c>
      <c r="E805" s="103">
        <v>46122</v>
      </c>
      <c r="F805">
        <v>1</v>
      </c>
      <c r="G805" s="1210">
        <v>46010</v>
      </c>
      <c r="I805" t="s">
        <v>726</v>
      </c>
      <c r="J805" t="s">
        <v>2082</v>
      </c>
      <c r="K805">
        <v>4500012238</v>
      </c>
      <c r="L805" t="s">
        <v>4275</v>
      </c>
      <c r="M805" t="s">
        <v>4210</v>
      </c>
      <c r="N805" t="s">
        <v>4258</v>
      </c>
      <c r="O805" t="s">
        <v>2026</v>
      </c>
      <c r="P805" s="103">
        <v>46111</v>
      </c>
      <c r="Q805" t="s">
        <v>2231</v>
      </c>
      <c r="R805" s="103">
        <v>46115</v>
      </c>
      <c r="S805" t="s">
        <v>2236</v>
      </c>
      <c r="U805" t="s">
        <v>2744</v>
      </c>
      <c r="V805" t="s">
        <v>2263</v>
      </c>
      <c r="W805" t="s">
        <v>2237</v>
      </c>
      <c r="X805" t="s">
        <v>4230</v>
      </c>
      <c r="AD805">
        <v>2405</v>
      </c>
    </row>
    <row r="806" spans="1:30" hidden="1">
      <c r="A806">
        <v>223057</v>
      </c>
      <c r="B806">
        <v>2</v>
      </c>
      <c r="C806" t="s">
        <v>4276</v>
      </c>
      <c r="E806" s="103">
        <v>46122</v>
      </c>
      <c r="F806">
        <v>1</v>
      </c>
      <c r="G806" s="1210">
        <v>46010</v>
      </c>
      <c r="I806" t="s">
        <v>783</v>
      </c>
      <c r="J806" t="s">
        <v>2082</v>
      </c>
      <c r="K806">
        <v>4500012237</v>
      </c>
      <c r="L806" t="s">
        <v>4277</v>
      </c>
      <c r="M806" t="s">
        <v>4228</v>
      </c>
      <c r="N806" t="s">
        <v>4258</v>
      </c>
      <c r="O806" t="s">
        <v>2026</v>
      </c>
      <c r="P806" s="103">
        <v>46111</v>
      </c>
      <c r="Q806" t="s">
        <v>2231</v>
      </c>
      <c r="R806" s="103">
        <v>46115</v>
      </c>
      <c r="S806" t="s">
        <v>2236</v>
      </c>
      <c r="U806" t="s">
        <v>2744</v>
      </c>
      <c r="V806" t="s">
        <v>4278</v>
      </c>
      <c r="W806" t="s">
        <v>2237</v>
      </c>
      <c r="AD806">
        <v>2102</v>
      </c>
    </row>
    <row r="807" spans="1:30" hidden="1">
      <c r="A807">
        <v>223057</v>
      </c>
      <c r="B807">
        <v>448</v>
      </c>
      <c r="C807" t="s">
        <v>4276</v>
      </c>
      <c r="E807" s="103">
        <v>46122</v>
      </c>
      <c r="F807">
        <v>1</v>
      </c>
      <c r="G807" s="1210">
        <v>46010</v>
      </c>
      <c r="I807" t="s">
        <v>783</v>
      </c>
      <c r="J807" t="s">
        <v>2082</v>
      </c>
      <c r="K807">
        <v>4500012244</v>
      </c>
      <c r="L807" t="s">
        <v>4279</v>
      </c>
      <c r="M807" t="s">
        <v>4228</v>
      </c>
      <c r="N807" t="s">
        <v>4258</v>
      </c>
      <c r="O807" t="s">
        <v>2026</v>
      </c>
      <c r="P807" s="103">
        <v>46111</v>
      </c>
      <c r="Q807" t="s">
        <v>2231</v>
      </c>
      <c r="R807" s="103">
        <v>46115</v>
      </c>
      <c r="S807" t="s">
        <v>2236</v>
      </c>
      <c r="U807" t="s">
        <v>2744</v>
      </c>
      <c r="V807" t="s">
        <v>4280</v>
      </c>
      <c r="W807" t="s">
        <v>2237</v>
      </c>
      <c r="X807" t="s">
        <v>4230</v>
      </c>
      <c r="AD807">
        <v>2550</v>
      </c>
    </row>
    <row r="808" spans="1:30" hidden="1">
      <c r="A808">
        <v>317450</v>
      </c>
      <c r="B808">
        <v>288</v>
      </c>
      <c r="C808" t="s">
        <v>3765</v>
      </c>
      <c r="E808" s="103">
        <v>46122</v>
      </c>
      <c r="F808">
        <v>1</v>
      </c>
      <c r="G808" s="1210">
        <v>46031</v>
      </c>
      <c r="I808" t="s">
        <v>702</v>
      </c>
      <c r="J808" t="s">
        <v>2082</v>
      </c>
      <c r="K808">
        <v>4500012546</v>
      </c>
      <c r="L808" t="s">
        <v>4281</v>
      </c>
      <c r="M808" t="s">
        <v>4263</v>
      </c>
      <c r="N808" t="s">
        <v>4258</v>
      </c>
      <c r="O808" t="s">
        <v>2026</v>
      </c>
      <c r="P808" s="103">
        <v>46111</v>
      </c>
      <c r="Q808" t="s">
        <v>2231</v>
      </c>
      <c r="R808" s="103">
        <v>46115</v>
      </c>
      <c r="S808" t="s">
        <v>2236</v>
      </c>
      <c r="U808" t="s">
        <v>2744</v>
      </c>
      <c r="V808" t="s">
        <v>4282</v>
      </c>
      <c r="AD808">
        <v>690</v>
      </c>
    </row>
    <row r="809" spans="1:30" hidden="1">
      <c r="A809">
        <v>318440</v>
      </c>
      <c r="B809">
        <v>30</v>
      </c>
      <c r="C809" t="s">
        <v>3129</v>
      </c>
      <c r="E809" s="103">
        <v>46122</v>
      </c>
      <c r="F809">
        <v>1</v>
      </c>
      <c r="G809" s="1210">
        <v>46065</v>
      </c>
      <c r="I809" t="s">
        <v>186</v>
      </c>
      <c r="J809" t="s">
        <v>2082</v>
      </c>
      <c r="K809">
        <v>4500011963</v>
      </c>
      <c r="L809" t="s">
        <v>4283</v>
      </c>
      <c r="M809" t="s">
        <v>4210</v>
      </c>
      <c r="N809" t="s">
        <v>4258</v>
      </c>
      <c r="O809" t="s">
        <v>2026</v>
      </c>
      <c r="P809" s="103">
        <v>46111</v>
      </c>
      <c r="Q809" t="s">
        <v>2231</v>
      </c>
      <c r="R809" s="103">
        <v>46115</v>
      </c>
      <c r="S809" t="s">
        <v>2236</v>
      </c>
      <c r="U809" t="s">
        <v>2744</v>
      </c>
      <c r="AD809">
        <v>40</v>
      </c>
    </row>
    <row r="810" spans="1:30" hidden="1">
      <c r="A810">
        <v>295636</v>
      </c>
      <c r="B810">
        <v>2</v>
      </c>
      <c r="C810" t="s">
        <v>4101</v>
      </c>
      <c r="E810" s="103">
        <v>46128</v>
      </c>
      <c r="F810">
        <v>1</v>
      </c>
      <c r="G810" s="1210">
        <v>45989</v>
      </c>
      <c r="I810" t="s">
        <v>561</v>
      </c>
      <c r="J810" t="s">
        <v>2082</v>
      </c>
      <c r="K810">
        <v>4500011979</v>
      </c>
      <c r="L810" t="s">
        <v>4103</v>
      </c>
      <c r="M810" t="s">
        <v>4284</v>
      </c>
      <c r="N810" t="s">
        <v>4285</v>
      </c>
      <c r="O810" t="s">
        <v>2026</v>
      </c>
      <c r="P810" s="103">
        <v>46117</v>
      </c>
      <c r="Q810" t="s">
        <v>2231</v>
      </c>
      <c r="R810" s="103">
        <v>46119</v>
      </c>
      <c r="S810" t="s">
        <v>2281</v>
      </c>
      <c r="U810" t="s">
        <v>2744</v>
      </c>
      <c r="V810" t="s">
        <v>4073</v>
      </c>
      <c r="W810" t="s">
        <v>4286</v>
      </c>
      <c r="AD810">
        <v>200</v>
      </c>
    </row>
    <row r="811" spans="1:30" hidden="1">
      <c r="A811">
        <v>295638</v>
      </c>
      <c r="B811">
        <v>17</v>
      </c>
      <c r="C811" t="s">
        <v>4033</v>
      </c>
      <c r="E811" s="103">
        <v>46128</v>
      </c>
      <c r="F811">
        <v>1</v>
      </c>
      <c r="G811" s="1210">
        <v>45989</v>
      </c>
      <c r="I811" t="s">
        <v>721</v>
      </c>
      <c r="J811" t="s">
        <v>2082</v>
      </c>
      <c r="K811">
        <v>4500011989</v>
      </c>
      <c r="L811" t="s">
        <v>4287</v>
      </c>
      <c r="M811" t="s">
        <v>4254</v>
      </c>
      <c r="N811" t="s">
        <v>4285</v>
      </c>
      <c r="O811" t="s">
        <v>2026</v>
      </c>
      <c r="P811" s="103">
        <v>46117</v>
      </c>
      <c r="Q811" t="s">
        <v>2231</v>
      </c>
      <c r="R811" s="103">
        <v>46119</v>
      </c>
      <c r="S811" t="s">
        <v>2281</v>
      </c>
      <c r="U811" t="s">
        <v>2744</v>
      </c>
      <c r="W811" t="s">
        <v>4288</v>
      </c>
      <c r="AD811">
        <v>167</v>
      </c>
    </row>
    <row r="812" spans="1:30" hidden="1">
      <c r="A812">
        <v>295638</v>
      </c>
      <c r="B812">
        <v>33</v>
      </c>
      <c r="C812" t="s">
        <v>4033</v>
      </c>
      <c r="E812" s="103">
        <v>46128</v>
      </c>
      <c r="F812">
        <v>1</v>
      </c>
      <c r="G812" s="1210">
        <v>45989</v>
      </c>
      <c r="I812" t="s">
        <v>721</v>
      </c>
      <c r="J812" t="s">
        <v>2082</v>
      </c>
      <c r="K812">
        <v>4500011989</v>
      </c>
      <c r="L812" t="s">
        <v>4289</v>
      </c>
      <c r="M812" t="s">
        <v>4254</v>
      </c>
      <c r="N812" t="s">
        <v>4285</v>
      </c>
      <c r="O812" t="s">
        <v>2026</v>
      </c>
      <c r="P812" s="103">
        <v>46117</v>
      </c>
      <c r="Q812" t="s">
        <v>2231</v>
      </c>
      <c r="R812" s="103">
        <v>46119</v>
      </c>
      <c r="S812" t="s">
        <v>2281</v>
      </c>
      <c r="U812" t="s">
        <v>2744</v>
      </c>
      <c r="W812" t="s">
        <v>4286</v>
      </c>
      <c r="AD812">
        <v>200</v>
      </c>
    </row>
    <row r="813" spans="1:30" hidden="1">
      <c r="A813">
        <v>295638</v>
      </c>
      <c r="B813">
        <v>100</v>
      </c>
      <c r="C813" t="s">
        <v>4033</v>
      </c>
      <c r="E813" s="103">
        <v>46128</v>
      </c>
      <c r="F813">
        <v>1</v>
      </c>
      <c r="G813" s="1210">
        <v>46010</v>
      </c>
      <c r="I813" t="s">
        <v>721</v>
      </c>
      <c r="J813" t="s">
        <v>2082</v>
      </c>
      <c r="K813">
        <v>4500012262</v>
      </c>
      <c r="L813" t="s">
        <v>4290</v>
      </c>
      <c r="M813" t="s">
        <v>4254</v>
      </c>
      <c r="N813" t="s">
        <v>4285</v>
      </c>
      <c r="O813" t="s">
        <v>2026</v>
      </c>
      <c r="P813" s="103">
        <v>46117</v>
      </c>
      <c r="Q813" t="s">
        <v>2231</v>
      </c>
      <c r="R813" s="103">
        <v>46119</v>
      </c>
      <c r="S813" t="s">
        <v>2281</v>
      </c>
      <c r="U813" t="s">
        <v>2744</v>
      </c>
      <c r="W813" t="s">
        <v>4286</v>
      </c>
      <c r="AD813">
        <v>300</v>
      </c>
    </row>
    <row r="814" spans="1:30" hidden="1">
      <c r="A814">
        <v>326941</v>
      </c>
      <c r="B814">
        <v>95</v>
      </c>
      <c r="C814" t="s">
        <v>2242</v>
      </c>
      <c r="E814" s="103">
        <v>46128</v>
      </c>
      <c r="F814">
        <v>1</v>
      </c>
      <c r="G814" s="1210">
        <v>46091</v>
      </c>
      <c r="I814" t="s">
        <v>193</v>
      </c>
      <c r="J814" t="s">
        <v>2012</v>
      </c>
      <c r="K814">
        <v>4500012825</v>
      </c>
      <c r="L814" t="s">
        <v>4291</v>
      </c>
      <c r="M814" t="s">
        <v>4258</v>
      </c>
      <c r="N814" t="s">
        <v>4292</v>
      </c>
      <c r="O814" t="s">
        <v>2026</v>
      </c>
      <c r="P814" s="103">
        <v>46117</v>
      </c>
      <c r="Q814" t="s">
        <v>2231</v>
      </c>
      <c r="R814" s="103">
        <v>46119</v>
      </c>
      <c r="S814" t="s">
        <v>2236</v>
      </c>
      <c r="T814" t="s">
        <v>2623</v>
      </c>
      <c r="U814" t="s">
        <v>2744</v>
      </c>
      <c r="AD814">
        <v>100</v>
      </c>
    </row>
    <row r="815" spans="1:30" hidden="1">
      <c r="A815">
        <v>295640</v>
      </c>
      <c r="B815">
        <v>33</v>
      </c>
      <c r="C815" t="s">
        <v>2993</v>
      </c>
      <c r="E815" s="103">
        <v>46129</v>
      </c>
      <c r="F815">
        <v>1</v>
      </c>
      <c r="G815" s="1210">
        <v>45989</v>
      </c>
      <c r="I815" t="s">
        <v>773</v>
      </c>
      <c r="J815" t="s">
        <v>2082</v>
      </c>
      <c r="K815">
        <v>4500011993</v>
      </c>
      <c r="L815" t="s">
        <v>4293</v>
      </c>
      <c r="M815" t="s">
        <v>4294</v>
      </c>
      <c r="N815" t="s">
        <v>4247</v>
      </c>
      <c r="O815" t="s">
        <v>2026</v>
      </c>
      <c r="P815" s="103">
        <v>46112</v>
      </c>
      <c r="Q815" t="s">
        <v>2231</v>
      </c>
      <c r="R815" s="103">
        <v>46114</v>
      </c>
      <c r="S815" t="s">
        <v>2281</v>
      </c>
      <c r="U815" t="s">
        <v>2744</v>
      </c>
      <c r="AD815">
        <v>240</v>
      </c>
    </row>
    <row r="816" spans="1:30" hidden="1">
      <c r="A816">
        <v>319735</v>
      </c>
      <c r="B816">
        <v>500</v>
      </c>
      <c r="C816" t="s">
        <v>3944</v>
      </c>
      <c r="E816" s="103">
        <v>46129</v>
      </c>
      <c r="F816">
        <v>1</v>
      </c>
      <c r="G816" s="1210">
        <v>46003</v>
      </c>
      <c r="I816" t="s">
        <v>655</v>
      </c>
      <c r="J816" t="s">
        <v>2082</v>
      </c>
      <c r="K816">
        <v>4500012147</v>
      </c>
      <c r="L816" t="s">
        <v>4295</v>
      </c>
      <c r="M816" t="s">
        <v>4269</v>
      </c>
      <c r="N816" t="s">
        <v>4247</v>
      </c>
      <c r="O816" t="s">
        <v>2026</v>
      </c>
      <c r="P816" s="103">
        <v>46112</v>
      </c>
      <c r="Q816" t="s">
        <v>2231</v>
      </c>
      <c r="R816" s="103">
        <v>46114</v>
      </c>
      <c r="S816" t="s">
        <v>2281</v>
      </c>
      <c r="U816" t="s">
        <v>2744</v>
      </c>
      <c r="V816" t="s">
        <v>4296</v>
      </c>
      <c r="AD816">
        <v>500</v>
      </c>
    </row>
    <row r="817" spans="1:30" hidden="1">
      <c r="A817">
        <v>295634</v>
      </c>
      <c r="B817">
        <v>100</v>
      </c>
      <c r="C817" t="s">
        <v>4021</v>
      </c>
      <c r="E817" s="103">
        <v>46129</v>
      </c>
      <c r="F817">
        <v>1</v>
      </c>
      <c r="G817" s="1210">
        <v>46010</v>
      </c>
      <c r="I817" t="s">
        <v>429</v>
      </c>
      <c r="J817" t="s">
        <v>2082</v>
      </c>
      <c r="K817">
        <v>4500012261</v>
      </c>
      <c r="L817" t="s">
        <v>4167</v>
      </c>
      <c r="M817" t="s">
        <v>4271</v>
      </c>
      <c r="N817" t="s">
        <v>4247</v>
      </c>
      <c r="O817" t="s">
        <v>2026</v>
      </c>
      <c r="P817" s="103">
        <v>46112</v>
      </c>
      <c r="Q817" t="s">
        <v>2231</v>
      </c>
      <c r="R817" s="103">
        <v>46114</v>
      </c>
      <c r="S817" t="s">
        <v>2281</v>
      </c>
      <c r="U817" t="s">
        <v>2744</v>
      </c>
      <c r="AD817">
        <v>300</v>
      </c>
    </row>
    <row r="818" spans="1:30" hidden="1">
      <c r="A818">
        <v>295640</v>
      </c>
      <c r="B818">
        <v>120</v>
      </c>
      <c r="C818" t="s">
        <v>2993</v>
      </c>
      <c r="E818" s="103">
        <v>46129</v>
      </c>
      <c r="F818">
        <v>1</v>
      </c>
      <c r="G818" s="1210">
        <v>46010</v>
      </c>
      <c r="I818" t="s">
        <v>773</v>
      </c>
      <c r="J818" t="s">
        <v>2082</v>
      </c>
      <c r="K818">
        <v>4500012263</v>
      </c>
      <c r="L818" t="s">
        <v>4268</v>
      </c>
      <c r="M818" t="s">
        <v>4294</v>
      </c>
      <c r="N818" t="s">
        <v>4247</v>
      </c>
      <c r="O818" t="s">
        <v>2026</v>
      </c>
      <c r="P818" s="103">
        <v>46112</v>
      </c>
      <c r="Q818" t="s">
        <v>2231</v>
      </c>
      <c r="R818" s="103">
        <v>46114</v>
      </c>
      <c r="S818" t="s">
        <v>2281</v>
      </c>
      <c r="U818" t="s">
        <v>2744</v>
      </c>
      <c r="AD818">
        <v>360</v>
      </c>
    </row>
    <row r="819" spans="1:30" hidden="1">
      <c r="A819">
        <v>295632</v>
      </c>
      <c r="B819">
        <v>100</v>
      </c>
      <c r="C819" t="s">
        <v>2775</v>
      </c>
      <c r="E819" s="103">
        <v>46129</v>
      </c>
      <c r="F819">
        <v>1</v>
      </c>
      <c r="G819" s="1210">
        <v>46031</v>
      </c>
      <c r="I819" t="s">
        <v>437</v>
      </c>
      <c r="J819" t="s">
        <v>2082</v>
      </c>
      <c r="K819">
        <v>4500012539</v>
      </c>
      <c r="L819" t="s">
        <v>4165</v>
      </c>
      <c r="M819" t="s">
        <v>4263</v>
      </c>
      <c r="N819" t="s">
        <v>4247</v>
      </c>
      <c r="O819" t="s">
        <v>2026</v>
      </c>
      <c r="P819" s="103">
        <v>46112</v>
      </c>
      <c r="Q819" t="s">
        <v>2231</v>
      </c>
      <c r="R819" s="103">
        <v>46114</v>
      </c>
      <c r="S819" t="s">
        <v>2281</v>
      </c>
      <c r="U819" t="s">
        <v>2744</v>
      </c>
      <c r="AD819">
        <v>450</v>
      </c>
    </row>
    <row r="820" spans="1:30" hidden="1">
      <c r="A820">
        <v>319735</v>
      </c>
      <c r="B820">
        <v>400</v>
      </c>
      <c r="C820" t="s">
        <v>4297</v>
      </c>
      <c r="E820" s="103">
        <v>46129</v>
      </c>
      <c r="F820">
        <v>1</v>
      </c>
      <c r="G820" s="1210">
        <v>46031</v>
      </c>
      <c r="I820" t="s">
        <v>655</v>
      </c>
      <c r="J820" t="s">
        <v>2082</v>
      </c>
      <c r="K820">
        <v>4500012542</v>
      </c>
      <c r="L820" t="s">
        <v>4298</v>
      </c>
      <c r="M820" t="s">
        <v>4263</v>
      </c>
      <c r="N820" t="s">
        <v>4247</v>
      </c>
      <c r="O820" t="s">
        <v>2026</v>
      </c>
      <c r="P820" s="103">
        <v>46112</v>
      </c>
      <c r="Q820" t="s">
        <v>2231</v>
      </c>
      <c r="R820" s="103">
        <v>46114</v>
      </c>
      <c r="S820" t="s">
        <v>2281</v>
      </c>
      <c r="U820" t="s">
        <v>2744</v>
      </c>
      <c r="V820" t="s">
        <v>4299</v>
      </c>
      <c r="AD820">
        <v>900</v>
      </c>
    </row>
    <row r="821" spans="1:30" hidden="1">
      <c r="A821">
        <v>317455</v>
      </c>
      <c r="B821">
        <v>360</v>
      </c>
      <c r="C821" t="s">
        <v>4300</v>
      </c>
      <c r="E821" s="103">
        <v>46132</v>
      </c>
      <c r="F821">
        <v>4</v>
      </c>
      <c r="G821" s="1210">
        <v>46038</v>
      </c>
      <c r="I821" t="s">
        <v>741</v>
      </c>
      <c r="J821" t="s">
        <v>2082</v>
      </c>
      <c r="K821">
        <v>4500012617</v>
      </c>
      <c r="L821" t="s">
        <v>4301</v>
      </c>
      <c r="N821" t="s">
        <v>4302</v>
      </c>
      <c r="O821" t="s">
        <v>2026</v>
      </c>
      <c r="P821" s="103">
        <v>46125</v>
      </c>
      <c r="Q821" t="s">
        <v>2231</v>
      </c>
      <c r="R821" s="103">
        <v>46129</v>
      </c>
      <c r="S821" t="s">
        <v>2281</v>
      </c>
      <c r="T821" t="s">
        <v>4303</v>
      </c>
      <c r="U821" t="s">
        <v>2282</v>
      </c>
      <c r="V821" t="s">
        <v>4304</v>
      </c>
      <c r="W821" t="s">
        <v>4305</v>
      </c>
      <c r="AD821">
        <v>1100</v>
      </c>
    </row>
    <row r="822" spans="1:30" hidden="1">
      <c r="A822">
        <v>346705</v>
      </c>
      <c r="B822">
        <v>1</v>
      </c>
      <c r="C822" t="s">
        <v>2258</v>
      </c>
      <c r="D822" t="s">
        <v>4306</v>
      </c>
      <c r="E822" s="103">
        <v>46132</v>
      </c>
      <c r="F822">
        <v>3</v>
      </c>
      <c r="G822" s="1210">
        <v>46114</v>
      </c>
      <c r="I822" t="s">
        <v>4307</v>
      </c>
      <c r="J822" t="s">
        <v>2082</v>
      </c>
      <c r="K822">
        <v>4500012929</v>
      </c>
      <c r="L822" t="s">
        <v>2258</v>
      </c>
      <c r="N822" t="s">
        <v>4308</v>
      </c>
      <c r="O822" t="s">
        <v>2094</v>
      </c>
      <c r="Q822" t="s">
        <v>2231</v>
      </c>
      <c r="S822" t="s">
        <v>4309</v>
      </c>
      <c r="T822" t="s">
        <v>4310</v>
      </c>
      <c r="U822" t="s">
        <v>2744</v>
      </c>
      <c r="AD822">
        <v>0</v>
      </c>
    </row>
    <row r="823" spans="1:30" hidden="1">
      <c r="A823">
        <v>346706</v>
      </c>
      <c r="B823">
        <v>1</v>
      </c>
      <c r="C823" t="s">
        <v>2244</v>
      </c>
      <c r="D823" t="s">
        <v>4306</v>
      </c>
      <c r="E823" s="103">
        <v>46132</v>
      </c>
      <c r="F823">
        <v>3</v>
      </c>
      <c r="G823" s="1210">
        <v>46114</v>
      </c>
      <c r="I823" t="s">
        <v>4311</v>
      </c>
      <c r="J823" t="s">
        <v>2082</v>
      </c>
      <c r="K823">
        <v>4500012929</v>
      </c>
      <c r="L823" t="s">
        <v>2244</v>
      </c>
      <c r="N823" t="s">
        <v>4308</v>
      </c>
      <c r="O823" t="s">
        <v>2094</v>
      </c>
      <c r="Q823" t="s">
        <v>2231</v>
      </c>
      <c r="S823" t="s">
        <v>4309</v>
      </c>
      <c r="T823" t="s">
        <v>4310</v>
      </c>
      <c r="U823" t="s">
        <v>2744</v>
      </c>
      <c r="AD823">
        <v>0</v>
      </c>
    </row>
    <row r="824" spans="1:30" hidden="1">
      <c r="A824">
        <v>346707</v>
      </c>
      <c r="B824">
        <v>1</v>
      </c>
      <c r="C824" t="s">
        <v>2249</v>
      </c>
      <c r="D824" t="s">
        <v>4306</v>
      </c>
      <c r="E824" s="103">
        <v>46132</v>
      </c>
      <c r="F824">
        <v>3</v>
      </c>
      <c r="G824" s="1210">
        <v>46114</v>
      </c>
      <c r="I824" t="s">
        <v>4312</v>
      </c>
      <c r="J824" t="s">
        <v>2082</v>
      </c>
      <c r="K824">
        <v>4500012929</v>
      </c>
      <c r="L824" t="s">
        <v>2249</v>
      </c>
      <c r="N824" t="s">
        <v>4308</v>
      </c>
      <c r="O824" t="s">
        <v>2094</v>
      </c>
      <c r="Q824" t="s">
        <v>2231</v>
      </c>
      <c r="S824" t="s">
        <v>4309</v>
      </c>
      <c r="T824" t="s">
        <v>4310</v>
      </c>
      <c r="U824" t="s">
        <v>2744</v>
      </c>
      <c r="AD824">
        <v>0</v>
      </c>
    </row>
    <row r="825" spans="1:30" hidden="1">
      <c r="A825">
        <v>317565</v>
      </c>
      <c r="B825">
        <v>144</v>
      </c>
      <c r="C825" t="s">
        <v>4256</v>
      </c>
      <c r="E825" s="103">
        <v>46139</v>
      </c>
      <c r="F825">
        <v>4</v>
      </c>
      <c r="G825" s="1210">
        <v>46038</v>
      </c>
      <c r="I825" t="s">
        <v>693</v>
      </c>
      <c r="J825" t="s">
        <v>2082</v>
      </c>
      <c r="K825">
        <v>4500012616</v>
      </c>
      <c r="L825" t="s">
        <v>4313</v>
      </c>
      <c r="N825" t="s">
        <v>4308</v>
      </c>
      <c r="O825" t="s">
        <v>2026</v>
      </c>
      <c r="P825" s="103">
        <v>46132</v>
      </c>
      <c r="Q825" t="s">
        <v>2231</v>
      </c>
      <c r="R825" s="103">
        <v>46136</v>
      </c>
      <c r="S825" t="s">
        <v>2281</v>
      </c>
      <c r="T825" t="s">
        <v>4303</v>
      </c>
      <c r="U825" t="s">
        <v>2282</v>
      </c>
      <c r="V825" t="s">
        <v>4304</v>
      </c>
      <c r="W825" t="s">
        <v>4305</v>
      </c>
      <c r="AD825">
        <v>1632</v>
      </c>
    </row>
    <row r="826" spans="1:30" hidden="1">
      <c r="A826">
        <v>327331</v>
      </c>
      <c r="B826">
        <v>2</v>
      </c>
      <c r="C826" t="s">
        <v>2258</v>
      </c>
      <c r="E826" s="103">
        <v>46140</v>
      </c>
      <c r="F826">
        <v>3</v>
      </c>
      <c r="G826" s="1210">
        <v>46073</v>
      </c>
      <c r="I826" t="s">
        <v>4314</v>
      </c>
      <c r="J826" t="s">
        <v>2082</v>
      </c>
      <c r="K826">
        <v>4500012768</v>
      </c>
      <c r="L826" t="s">
        <v>2617</v>
      </c>
      <c r="M826" t="s">
        <v>490</v>
      </c>
      <c r="N826" t="s">
        <v>4315</v>
      </c>
      <c r="O826" t="s">
        <v>2094</v>
      </c>
      <c r="Q826" t="s">
        <v>2231</v>
      </c>
      <c r="S826" t="s">
        <v>4316</v>
      </c>
      <c r="T826" t="s">
        <v>4317</v>
      </c>
      <c r="U826" t="s">
        <v>2744</v>
      </c>
      <c r="AD826">
        <v>0</v>
      </c>
    </row>
    <row r="827" spans="1:30" hidden="1">
      <c r="A827">
        <v>327332</v>
      </c>
      <c r="B827">
        <v>2</v>
      </c>
      <c r="C827" t="s">
        <v>2244</v>
      </c>
      <c r="E827" s="103">
        <v>46140</v>
      </c>
      <c r="F827">
        <v>3</v>
      </c>
      <c r="G827" s="1210">
        <v>46073</v>
      </c>
      <c r="I827" t="s">
        <v>4318</v>
      </c>
      <c r="J827" t="s">
        <v>2082</v>
      </c>
      <c r="K827">
        <v>4500012768</v>
      </c>
      <c r="L827" t="s">
        <v>2254</v>
      </c>
      <c r="M827" t="s">
        <v>490</v>
      </c>
      <c r="N827" t="s">
        <v>4315</v>
      </c>
      <c r="O827" t="s">
        <v>2094</v>
      </c>
      <c r="Q827" t="s">
        <v>2231</v>
      </c>
      <c r="S827" t="s">
        <v>4316</v>
      </c>
      <c r="T827" t="s">
        <v>4317</v>
      </c>
      <c r="U827" t="s">
        <v>2744</v>
      </c>
      <c r="AD827">
        <v>0</v>
      </c>
    </row>
    <row r="828" spans="1:30" hidden="1">
      <c r="A828">
        <v>327333</v>
      </c>
      <c r="B828">
        <v>2</v>
      </c>
      <c r="C828" t="s">
        <v>2249</v>
      </c>
      <c r="E828" s="103">
        <v>46140</v>
      </c>
      <c r="F828">
        <v>3</v>
      </c>
      <c r="G828" s="1210">
        <v>46073</v>
      </c>
      <c r="I828" t="s">
        <v>4319</v>
      </c>
      <c r="J828" t="s">
        <v>2082</v>
      </c>
      <c r="K828">
        <v>4500012768</v>
      </c>
      <c r="L828" t="s">
        <v>2250</v>
      </c>
      <c r="M828" t="s">
        <v>490</v>
      </c>
      <c r="N828" t="s">
        <v>4315</v>
      </c>
      <c r="O828" t="s">
        <v>2094</v>
      </c>
      <c r="Q828" t="s">
        <v>2231</v>
      </c>
      <c r="S828" t="s">
        <v>4316</v>
      </c>
      <c r="T828" t="s">
        <v>4317</v>
      </c>
      <c r="U828" t="s">
        <v>2744</v>
      </c>
      <c r="AD828">
        <v>0</v>
      </c>
    </row>
    <row r="829" spans="1:30" hidden="1">
      <c r="A829">
        <v>327333</v>
      </c>
      <c r="B829">
        <v>3</v>
      </c>
      <c r="C829" t="s">
        <v>2249</v>
      </c>
      <c r="E829" s="103">
        <v>46140</v>
      </c>
      <c r="F829">
        <v>3</v>
      </c>
      <c r="G829" s="1210">
        <v>46073</v>
      </c>
      <c r="I829" t="s">
        <v>4319</v>
      </c>
      <c r="J829" t="s">
        <v>2082</v>
      </c>
      <c r="K829">
        <v>4500012768</v>
      </c>
      <c r="L829" t="s">
        <v>2615</v>
      </c>
      <c r="M829" t="s">
        <v>490</v>
      </c>
      <c r="N829" t="s">
        <v>4315</v>
      </c>
      <c r="O829" t="s">
        <v>2094</v>
      </c>
      <c r="Q829" t="s">
        <v>2231</v>
      </c>
      <c r="S829" t="s">
        <v>4320</v>
      </c>
      <c r="T829" t="s">
        <v>4317</v>
      </c>
      <c r="U829" t="s">
        <v>2744</v>
      </c>
      <c r="AD829">
        <v>0</v>
      </c>
    </row>
    <row r="830" spans="1:30" hidden="1">
      <c r="A830">
        <v>327392</v>
      </c>
      <c r="B830">
        <v>3</v>
      </c>
      <c r="C830" t="s">
        <v>2249</v>
      </c>
      <c r="E830" s="103">
        <v>46140</v>
      </c>
      <c r="F830">
        <v>3</v>
      </c>
      <c r="G830" s="1210">
        <v>46073</v>
      </c>
      <c r="I830" t="s">
        <v>4321</v>
      </c>
      <c r="J830" t="s">
        <v>2082</v>
      </c>
      <c r="K830">
        <v>4500012768</v>
      </c>
      <c r="L830" t="s">
        <v>2615</v>
      </c>
      <c r="M830" t="s">
        <v>490</v>
      </c>
      <c r="N830" t="s">
        <v>4315</v>
      </c>
      <c r="O830" t="s">
        <v>2094</v>
      </c>
      <c r="Q830" t="s">
        <v>2231</v>
      </c>
      <c r="S830" t="s">
        <v>4320</v>
      </c>
      <c r="T830" t="s">
        <v>4317</v>
      </c>
      <c r="U830" t="s">
        <v>2744</v>
      </c>
      <c r="AD830">
        <v>0</v>
      </c>
    </row>
    <row r="831" spans="1:30" hidden="1">
      <c r="A831">
        <v>327393</v>
      </c>
      <c r="B831">
        <v>3</v>
      </c>
      <c r="C831" t="s">
        <v>2249</v>
      </c>
      <c r="E831" s="103">
        <v>46140</v>
      </c>
      <c r="F831">
        <v>3</v>
      </c>
      <c r="G831" s="1210">
        <v>46073</v>
      </c>
      <c r="I831" t="s">
        <v>4322</v>
      </c>
      <c r="J831" t="s">
        <v>2082</v>
      </c>
      <c r="K831">
        <v>4500012768</v>
      </c>
      <c r="L831" t="s">
        <v>2615</v>
      </c>
      <c r="M831" t="s">
        <v>490</v>
      </c>
      <c r="N831" t="s">
        <v>4315</v>
      </c>
      <c r="O831" t="s">
        <v>2094</v>
      </c>
      <c r="Q831" t="s">
        <v>2231</v>
      </c>
      <c r="S831" t="s">
        <v>4320</v>
      </c>
      <c r="T831" t="s">
        <v>4317</v>
      </c>
      <c r="U831" t="s">
        <v>2744</v>
      </c>
      <c r="AD831">
        <v>0</v>
      </c>
    </row>
    <row r="832" spans="1:30" hidden="1">
      <c r="A832">
        <v>199024</v>
      </c>
      <c r="B832">
        <v>550</v>
      </c>
      <c r="C832" t="s">
        <v>4187</v>
      </c>
      <c r="E832" s="103">
        <v>46149</v>
      </c>
      <c r="F832">
        <v>1</v>
      </c>
      <c r="G832" s="1210">
        <v>45989</v>
      </c>
      <c r="I832" t="s">
        <v>658</v>
      </c>
      <c r="J832" t="s">
        <v>2012</v>
      </c>
      <c r="K832">
        <v>4500011960</v>
      </c>
      <c r="L832" t="s">
        <v>4323</v>
      </c>
      <c r="M832" t="s">
        <v>4247</v>
      </c>
      <c r="N832" t="s">
        <v>4324</v>
      </c>
      <c r="O832" t="s">
        <v>2026</v>
      </c>
      <c r="P832" s="103">
        <v>46128</v>
      </c>
      <c r="Q832" t="s">
        <v>2231</v>
      </c>
      <c r="R832" s="103">
        <v>46132</v>
      </c>
      <c r="S832" t="s">
        <v>2281</v>
      </c>
      <c r="U832" t="s">
        <v>2744</v>
      </c>
      <c r="V832" t="s">
        <v>4191</v>
      </c>
      <c r="Z832" t="s">
        <v>4325</v>
      </c>
      <c r="AB832" t="s">
        <v>4326</v>
      </c>
      <c r="AC832" t="s">
        <v>4327</v>
      </c>
      <c r="AD832">
        <v>1855</v>
      </c>
    </row>
    <row r="833" spans="1:30" hidden="1">
      <c r="A833">
        <v>199022</v>
      </c>
      <c r="B833">
        <v>200</v>
      </c>
      <c r="C833" t="s">
        <v>2767</v>
      </c>
      <c r="E833" s="103">
        <v>46149</v>
      </c>
      <c r="F833">
        <v>1</v>
      </c>
      <c r="G833" s="1210">
        <v>45989</v>
      </c>
      <c r="I833" t="s">
        <v>460</v>
      </c>
      <c r="J833" t="s">
        <v>2012</v>
      </c>
      <c r="K833">
        <v>4500011962</v>
      </c>
      <c r="L833" t="s">
        <v>2832</v>
      </c>
      <c r="M833" t="s">
        <v>4285</v>
      </c>
      <c r="N833" t="s">
        <v>4324</v>
      </c>
      <c r="O833" t="s">
        <v>2026</v>
      </c>
      <c r="P833" s="103">
        <v>46128</v>
      </c>
      <c r="Q833" t="s">
        <v>2231</v>
      </c>
      <c r="R833" s="103">
        <v>46132</v>
      </c>
      <c r="S833" t="s">
        <v>2281</v>
      </c>
      <c r="U833" t="s">
        <v>2744</v>
      </c>
      <c r="V833" t="s">
        <v>4191</v>
      </c>
      <c r="Z833" t="s">
        <v>4325</v>
      </c>
      <c r="AB833" t="s">
        <v>4326</v>
      </c>
      <c r="AC833" t="s">
        <v>4327</v>
      </c>
      <c r="AD833">
        <v>3670</v>
      </c>
    </row>
    <row r="834" spans="1:30" hidden="1">
      <c r="A834">
        <v>281821</v>
      </c>
      <c r="B834">
        <v>16</v>
      </c>
      <c r="C834" t="s">
        <v>4328</v>
      </c>
      <c r="E834" s="103">
        <v>46149</v>
      </c>
      <c r="F834">
        <v>1</v>
      </c>
      <c r="G834" s="1210">
        <v>46003</v>
      </c>
      <c r="I834" t="s">
        <v>588</v>
      </c>
      <c r="J834" t="s">
        <v>2012</v>
      </c>
      <c r="K834">
        <v>4500012145</v>
      </c>
      <c r="L834" t="s">
        <v>4329</v>
      </c>
      <c r="M834" t="s">
        <v>4258</v>
      </c>
      <c r="N834" t="s">
        <v>4324</v>
      </c>
      <c r="O834" t="s">
        <v>2026</v>
      </c>
      <c r="P834" s="103">
        <v>46128</v>
      </c>
      <c r="Q834" t="s">
        <v>2231</v>
      </c>
      <c r="R834" s="103">
        <v>46132</v>
      </c>
      <c r="S834" t="s">
        <v>2281</v>
      </c>
      <c r="U834" t="s">
        <v>2744</v>
      </c>
      <c r="V834" t="s">
        <v>4330</v>
      </c>
      <c r="Z834" t="s">
        <v>4331</v>
      </c>
      <c r="AB834" t="s">
        <v>4326</v>
      </c>
      <c r="AC834" t="s">
        <v>4327</v>
      </c>
      <c r="AD834">
        <v>1221</v>
      </c>
    </row>
    <row r="835" spans="1:30" hidden="1">
      <c r="A835">
        <v>281821</v>
      </c>
      <c r="B835">
        <v>384</v>
      </c>
      <c r="C835" t="s">
        <v>4328</v>
      </c>
      <c r="E835" s="103">
        <v>46149</v>
      </c>
      <c r="F835">
        <v>1</v>
      </c>
      <c r="G835" s="1210">
        <v>46003</v>
      </c>
      <c r="I835" t="s">
        <v>588</v>
      </c>
      <c r="J835" t="s">
        <v>2012</v>
      </c>
      <c r="K835">
        <v>4500012145</v>
      </c>
      <c r="L835" t="s">
        <v>4332</v>
      </c>
      <c r="M835" t="s">
        <v>4258</v>
      </c>
      <c r="N835" t="s">
        <v>4324</v>
      </c>
      <c r="O835" t="s">
        <v>2026</v>
      </c>
      <c r="P835" s="103">
        <v>46128</v>
      </c>
      <c r="Q835" t="s">
        <v>2231</v>
      </c>
      <c r="R835" s="103">
        <v>46132</v>
      </c>
      <c r="S835" t="s">
        <v>2281</v>
      </c>
      <c r="U835" t="s">
        <v>2744</v>
      </c>
      <c r="V835" t="s">
        <v>4330</v>
      </c>
      <c r="Z835" t="s">
        <v>4331</v>
      </c>
      <c r="AB835" t="s">
        <v>4326</v>
      </c>
      <c r="AC835" t="s">
        <v>4327</v>
      </c>
      <c r="AD835">
        <v>1605</v>
      </c>
    </row>
    <row r="836" spans="1:30" hidden="1">
      <c r="A836">
        <v>223058</v>
      </c>
      <c r="B836">
        <v>200</v>
      </c>
      <c r="C836" t="s">
        <v>2259</v>
      </c>
      <c r="E836" s="103">
        <v>46149</v>
      </c>
      <c r="F836">
        <v>1</v>
      </c>
      <c r="G836" s="1210">
        <v>46010</v>
      </c>
      <c r="I836" t="s">
        <v>726</v>
      </c>
      <c r="J836" t="s">
        <v>2082</v>
      </c>
      <c r="K836">
        <v>4500012241</v>
      </c>
      <c r="L836" t="s">
        <v>3415</v>
      </c>
      <c r="M836" t="s">
        <v>4333</v>
      </c>
      <c r="N836" t="s">
        <v>4334</v>
      </c>
      <c r="O836" t="s">
        <v>2026</v>
      </c>
      <c r="P836" s="103">
        <v>46128</v>
      </c>
      <c r="Q836" t="s">
        <v>2231</v>
      </c>
      <c r="R836" s="103">
        <v>46132</v>
      </c>
      <c r="S836" t="s">
        <v>2236</v>
      </c>
      <c r="U836" t="s">
        <v>2744</v>
      </c>
      <c r="V836" t="s">
        <v>2263</v>
      </c>
      <c r="W836" t="s">
        <v>2237</v>
      </c>
      <c r="AB836" t="s">
        <v>4326</v>
      </c>
      <c r="AC836" t="s">
        <v>4335</v>
      </c>
      <c r="AD836">
        <v>2605</v>
      </c>
    </row>
    <row r="837" spans="1:30" hidden="1">
      <c r="A837">
        <v>223057</v>
      </c>
      <c r="B837">
        <v>200</v>
      </c>
      <c r="C837" t="s">
        <v>4276</v>
      </c>
      <c r="E837" s="103">
        <v>46149</v>
      </c>
      <c r="F837">
        <v>1</v>
      </c>
      <c r="G837" s="1210">
        <v>46010</v>
      </c>
      <c r="I837" t="s">
        <v>783</v>
      </c>
      <c r="J837" t="s">
        <v>2082</v>
      </c>
      <c r="K837">
        <v>4500012245</v>
      </c>
      <c r="L837" t="s">
        <v>4336</v>
      </c>
      <c r="M837" t="s">
        <v>4324</v>
      </c>
      <c r="N837" t="s">
        <v>4334</v>
      </c>
      <c r="O837" t="s">
        <v>2026</v>
      </c>
      <c r="P837" s="103">
        <v>46128</v>
      </c>
      <c r="Q837" t="s">
        <v>2231</v>
      </c>
      <c r="R837" s="103">
        <v>46132</v>
      </c>
      <c r="S837" t="s">
        <v>2236</v>
      </c>
      <c r="U837" t="s">
        <v>2744</v>
      </c>
      <c r="V837" t="s">
        <v>4280</v>
      </c>
      <c r="W837" t="s">
        <v>2237</v>
      </c>
      <c r="AB837" t="s">
        <v>4326</v>
      </c>
      <c r="AC837" t="s">
        <v>4335</v>
      </c>
      <c r="AD837">
        <v>2750</v>
      </c>
    </row>
    <row r="838" spans="1:30" hidden="1">
      <c r="A838">
        <v>220801</v>
      </c>
      <c r="B838">
        <v>80</v>
      </c>
      <c r="C838" t="s">
        <v>4337</v>
      </c>
      <c r="E838" s="103">
        <v>46154</v>
      </c>
      <c r="F838">
        <v>1</v>
      </c>
      <c r="G838" s="1210">
        <v>46066</v>
      </c>
      <c r="I838" t="s">
        <v>211</v>
      </c>
      <c r="J838" t="s">
        <v>2012</v>
      </c>
      <c r="K838">
        <v>4500012749</v>
      </c>
      <c r="L838" t="s">
        <v>4338</v>
      </c>
      <c r="M838" t="s">
        <v>4334</v>
      </c>
      <c r="N838" t="s">
        <v>4339</v>
      </c>
      <c r="O838" t="s">
        <v>2026</v>
      </c>
      <c r="P838" s="103">
        <v>46139</v>
      </c>
      <c r="Q838" t="s">
        <v>2231</v>
      </c>
      <c r="R838" s="103">
        <v>46143</v>
      </c>
      <c r="S838" t="s">
        <v>2236</v>
      </c>
      <c r="T838" t="s">
        <v>2623</v>
      </c>
      <c r="U838" t="s">
        <v>2744</v>
      </c>
      <c r="V838" t="s">
        <v>4340</v>
      </c>
      <c r="AB838" t="s">
        <v>4341</v>
      </c>
      <c r="AC838" t="s">
        <v>4342</v>
      </c>
      <c r="AD838">
        <v>1196</v>
      </c>
    </row>
    <row r="839" spans="1:30" hidden="1">
      <c r="A839">
        <v>317460</v>
      </c>
      <c r="B839">
        <v>400</v>
      </c>
      <c r="C839" t="s">
        <v>3673</v>
      </c>
      <c r="E839" s="103">
        <v>46157</v>
      </c>
      <c r="F839">
        <v>1</v>
      </c>
      <c r="G839" s="1210">
        <v>46045</v>
      </c>
      <c r="I839" t="s">
        <v>301</v>
      </c>
      <c r="J839" t="s">
        <v>2082</v>
      </c>
      <c r="K839">
        <v>4500012646</v>
      </c>
      <c r="L839" t="s">
        <v>4343</v>
      </c>
      <c r="M839" t="s">
        <v>4344</v>
      </c>
      <c r="N839" t="s">
        <v>4345</v>
      </c>
      <c r="O839" t="s">
        <v>2026</v>
      </c>
      <c r="P839" s="103">
        <v>46149</v>
      </c>
      <c r="Q839" t="s">
        <v>2231</v>
      </c>
      <c r="R839" s="103">
        <v>46150</v>
      </c>
      <c r="S839" t="s">
        <v>2236</v>
      </c>
      <c r="U839" t="s">
        <v>2744</v>
      </c>
      <c r="V839" t="s">
        <v>4346</v>
      </c>
      <c r="W839" t="s">
        <v>4347</v>
      </c>
      <c r="Z839" t="s">
        <v>4348</v>
      </c>
      <c r="AB839" t="s">
        <v>4349</v>
      </c>
      <c r="AC839" t="s">
        <v>4350</v>
      </c>
      <c r="AD839">
        <v>3126</v>
      </c>
    </row>
    <row r="840" spans="1:30" hidden="1">
      <c r="A840">
        <v>295638</v>
      </c>
      <c r="B840">
        <v>20</v>
      </c>
      <c r="C840" t="s">
        <v>4033</v>
      </c>
      <c r="E840" s="103">
        <v>46157</v>
      </c>
      <c r="F840">
        <v>1</v>
      </c>
      <c r="G840" s="1210">
        <v>46066</v>
      </c>
      <c r="I840" t="s">
        <v>721</v>
      </c>
      <c r="J840" t="s">
        <v>2082</v>
      </c>
      <c r="K840">
        <v>4500012758</v>
      </c>
      <c r="L840" t="s">
        <v>4351</v>
      </c>
      <c r="M840" t="s">
        <v>4302</v>
      </c>
      <c r="N840" t="s">
        <v>4345</v>
      </c>
      <c r="O840" t="s">
        <v>2026</v>
      </c>
      <c r="P840" s="103">
        <v>46149</v>
      </c>
      <c r="Q840" t="s">
        <v>2231</v>
      </c>
      <c r="R840" s="103">
        <v>46150</v>
      </c>
      <c r="S840" t="s">
        <v>2281</v>
      </c>
      <c r="U840" t="s">
        <v>2744</v>
      </c>
      <c r="V840" t="s">
        <v>4352</v>
      </c>
      <c r="Z840" t="s">
        <v>4348</v>
      </c>
      <c r="AB840" t="s">
        <v>4349</v>
      </c>
      <c r="AC840" t="s">
        <v>4350</v>
      </c>
      <c r="AD840">
        <v>320</v>
      </c>
    </row>
    <row r="841" spans="1:30" hidden="1">
      <c r="A841">
        <v>295638</v>
      </c>
      <c r="B841">
        <v>70</v>
      </c>
      <c r="C841" t="s">
        <v>4353</v>
      </c>
      <c r="E841" s="103">
        <v>46157</v>
      </c>
      <c r="F841">
        <v>1</v>
      </c>
      <c r="G841" s="1210">
        <v>46066</v>
      </c>
      <c r="I841" t="s">
        <v>721</v>
      </c>
      <c r="J841" t="s">
        <v>2082</v>
      </c>
      <c r="K841">
        <v>4500012759</v>
      </c>
      <c r="L841" t="s">
        <v>4354</v>
      </c>
      <c r="M841" t="s">
        <v>4302</v>
      </c>
      <c r="N841" t="s">
        <v>4345</v>
      </c>
      <c r="O841" t="s">
        <v>2026</v>
      </c>
      <c r="P841" s="103">
        <v>46149</v>
      </c>
      <c r="Q841" t="s">
        <v>2231</v>
      </c>
      <c r="R841" s="103">
        <v>46150</v>
      </c>
      <c r="S841" t="s">
        <v>2281</v>
      </c>
      <c r="U841" t="s">
        <v>2744</v>
      </c>
      <c r="V841" t="s">
        <v>4352</v>
      </c>
      <c r="Z841" t="s">
        <v>4348</v>
      </c>
      <c r="AB841" t="s">
        <v>4349</v>
      </c>
      <c r="AC841" t="s">
        <v>4350</v>
      </c>
      <c r="AD841">
        <v>390</v>
      </c>
    </row>
    <row r="842" spans="1:30" hidden="1">
      <c r="A842">
        <v>318440</v>
      </c>
      <c r="B842">
        <v>60</v>
      </c>
      <c r="C842" t="s">
        <v>2238</v>
      </c>
      <c r="E842" s="103">
        <v>46157</v>
      </c>
      <c r="F842">
        <v>1</v>
      </c>
      <c r="G842" s="1210">
        <v>46091</v>
      </c>
      <c r="I842" t="s">
        <v>186</v>
      </c>
      <c r="J842" t="s">
        <v>2082</v>
      </c>
      <c r="K842">
        <v>4500012823</v>
      </c>
      <c r="L842" t="s">
        <v>4355</v>
      </c>
      <c r="M842" t="s">
        <v>4344</v>
      </c>
      <c r="N842" t="s">
        <v>4345</v>
      </c>
      <c r="O842" t="s">
        <v>2026</v>
      </c>
      <c r="P842" s="103">
        <v>46149</v>
      </c>
      <c r="Q842" t="s">
        <v>2231</v>
      </c>
      <c r="R842" s="103">
        <v>46150</v>
      </c>
      <c r="S842" t="s">
        <v>2236</v>
      </c>
      <c r="U842" t="s">
        <v>2744</v>
      </c>
      <c r="Z842" t="s">
        <v>4348</v>
      </c>
      <c r="AB842" t="s">
        <v>4349</v>
      </c>
      <c r="AC842" t="s">
        <v>4350</v>
      </c>
      <c r="AD842">
        <v>100</v>
      </c>
    </row>
    <row r="843" spans="1:30" hidden="1">
      <c r="A843">
        <v>353330</v>
      </c>
      <c r="B843">
        <v>1</v>
      </c>
      <c r="C843" t="s">
        <v>2304</v>
      </c>
      <c r="E843" s="103">
        <v>46157</v>
      </c>
      <c r="F843">
        <v>3</v>
      </c>
      <c r="G843" s="1210">
        <v>46136</v>
      </c>
      <c r="I843" t="s">
        <v>4356</v>
      </c>
      <c r="J843" t="s">
        <v>2012</v>
      </c>
      <c r="K843">
        <v>4500013013</v>
      </c>
      <c r="L843" t="s">
        <v>2304</v>
      </c>
      <c r="N843" t="s">
        <v>4357</v>
      </c>
      <c r="O843" t="s">
        <v>2094</v>
      </c>
      <c r="Q843" t="s">
        <v>2231</v>
      </c>
      <c r="S843" t="s">
        <v>4358</v>
      </c>
      <c r="U843" t="s">
        <v>2744</v>
      </c>
      <c r="V843" t="s">
        <v>4359</v>
      </c>
      <c r="AD843">
        <v>0</v>
      </c>
    </row>
    <row r="844" spans="1:30" hidden="1">
      <c r="A844">
        <v>353330</v>
      </c>
      <c r="B844">
        <v>1</v>
      </c>
      <c r="C844" t="s">
        <v>2304</v>
      </c>
      <c r="E844" s="103">
        <v>46157</v>
      </c>
      <c r="F844">
        <v>3</v>
      </c>
      <c r="G844" s="1210">
        <v>46136</v>
      </c>
      <c r="I844" t="s">
        <v>4356</v>
      </c>
      <c r="J844" t="s">
        <v>2012</v>
      </c>
      <c r="K844">
        <v>4500013013</v>
      </c>
      <c r="L844" t="s">
        <v>2304</v>
      </c>
      <c r="N844" t="s">
        <v>4357</v>
      </c>
      <c r="O844" t="s">
        <v>2094</v>
      </c>
      <c r="Q844" t="s">
        <v>2231</v>
      </c>
      <c r="S844" t="s">
        <v>4360</v>
      </c>
      <c r="U844" t="s">
        <v>2744</v>
      </c>
      <c r="V844" t="s">
        <v>4359</v>
      </c>
      <c r="AD844">
        <v>0</v>
      </c>
    </row>
    <row r="845" spans="1:30" hidden="1">
      <c r="A845">
        <v>295634</v>
      </c>
      <c r="B845">
        <v>100</v>
      </c>
      <c r="C845" t="s">
        <v>4021</v>
      </c>
      <c r="E845" s="103">
        <v>46164</v>
      </c>
      <c r="F845">
        <v>1</v>
      </c>
      <c r="G845" s="1210">
        <v>46031</v>
      </c>
      <c r="I845" t="s">
        <v>429</v>
      </c>
      <c r="J845" t="s">
        <v>2082</v>
      </c>
      <c r="K845">
        <v>4500012540</v>
      </c>
      <c r="L845" t="s">
        <v>4167</v>
      </c>
      <c r="M845" t="s">
        <v>4302</v>
      </c>
      <c r="N845" t="s">
        <v>4345</v>
      </c>
      <c r="O845" t="s">
        <v>2026</v>
      </c>
      <c r="P845" s="103">
        <v>46149</v>
      </c>
      <c r="Q845" t="s">
        <v>2231</v>
      </c>
      <c r="R845" s="103">
        <v>46150</v>
      </c>
      <c r="S845" t="s">
        <v>2281</v>
      </c>
      <c r="U845" t="s">
        <v>2744</v>
      </c>
      <c r="Z845" t="s">
        <v>4348</v>
      </c>
      <c r="AB845" t="s">
        <v>4349</v>
      </c>
      <c r="AC845" t="s">
        <v>4350</v>
      </c>
      <c r="AD845">
        <v>400</v>
      </c>
    </row>
    <row r="846" spans="1:30" hidden="1">
      <c r="A846">
        <v>318394</v>
      </c>
      <c r="B846">
        <v>144</v>
      </c>
      <c r="C846" t="s">
        <v>4256</v>
      </c>
      <c r="E846" s="103">
        <v>46164</v>
      </c>
      <c r="F846">
        <v>1</v>
      </c>
      <c r="G846" s="1210">
        <v>46045</v>
      </c>
      <c r="I846" t="s">
        <v>595</v>
      </c>
      <c r="J846" t="s">
        <v>2082</v>
      </c>
      <c r="K846">
        <v>4500012647</v>
      </c>
      <c r="L846" t="s">
        <v>4313</v>
      </c>
      <c r="M846" t="s">
        <v>4334</v>
      </c>
      <c r="N846" t="s">
        <v>4345</v>
      </c>
      <c r="O846" t="s">
        <v>2026</v>
      </c>
      <c r="P846" s="103">
        <v>46149</v>
      </c>
      <c r="Q846" t="s">
        <v>2231</v>
      </c>
      <c r="R846" s="103">
        <v>46150</v>
      </c>
      <c r="S846" t="s">
        <v>2236</v>
      </c>
      <c r="U846" t="s">
        <v>2744</v>
      </c>
      <c r="V846" t="s">
        <v>4361</v>
      </c>
      <c r="Z846" t="s">
        <v>4348</v>
      </c>
      <c r="AB846" t="s">
        <v>4349</v>
      </c>
      <c r="AC846" t="s">
        <v>4350</v>
      </c>
      <c r="AD846">
        <v>144</v>
      </c>
    </row>
    <row r="847" spans="1:30" hidden="1">
      <c r="A847">
        <v>318395</v>
      </c>
      <c r="B847">
        <v>720</v>
      </c>
      <c r="C847" t="s">
        <v>4297</v>
      </c>
      <c r="E847" s="103">
        <v>46164</v>
      </c>
      <c r="F847">
        <v>1</v>
      </c>
      <c r="G847" s="1210">
        <v>46045</v>
      </c>
      <c r="I847" t="s">
        <v>651</v>
      </c>
      <c r="J847" t="s">
        <v>2082</v>
      </c>
      <c r="K847">
        <v>4500012648</v>
      </c>
      <c r="L847" t="s">
        <v>4362</v>
      </c>
      <c r="M847" t="s">
        <v>4334</v>
      </c>
      <c r="N847" t="s">
        <v>4345</v>
      </c>
      <c r="O847" t="s">
        <v>2026</v>
      </c>
      <c r="P847" s="103">
        <v>46149</v>
      </c>
      <c r="Q847" t="s">
        <v>2231</v>
      </c>
      <c r="R847" s="103">
        <v>46150</v>
      </c>
      <c r="S847" t="s">
        <v>2236</v>
      </c>
      <c r="U847" t="s">
        <v>2744</v>
      </c>
      <c r="V847" t="s">
        <v>4363</v>
      </c>
      <c r="W847" t="s">
        <v>4364</v>
      </c>
      <c r="Z847" t="s">
        <v>4348</v>
      </c>
      <c r="AB847" t="s">
        <v>4349</v>
      </c>
      <c r="AC847" t="s">
        <v>4350</v>
      </c>
      <c r="AD847">
        <v>720</v>
      </c>
    </row>
    <row r="848" spans="1:30" hidden="1">
      <c r="A848">
        <v>302880</v>
      </c>
      <c r="B848">
        <v>1</v>
      </c>
      <c r="C848" t="s">
        <v>2294</v>
      </c>
      <c r="E848" s="103">
        <v>46167</v>
      </c>
      <c r="F848">
        <v>3</v>
      </c>
      <c r="G848" s="1210">
        <v>46016</v>
      </c>
      <c r="I848" t="s">
        <v>4365</v>
      </c>
      <c r="J848" t="s">
        <v>2070</v>
      </c>
      <c r="K848">
        <v>4500012431</v>
      </c>
      <c r="L848" t="s">
        <v>2294</v>
      </c>
      <c r="N848" t="s">
        <v>4366</v>
      </c>
      <c r="O848" t="s">
        <v>2094</v>
      </c>
      <c r="Q848" t="s">
        <v>2289</v>
      </c>
      <c r="S848" t="s">
        <v>4367</v>
      </c>
      <c r="T848" t="s">
        <v>4368</v>
      </c>
      <c r="U848" t="s">
        <v>2744</v>
      </c>
      <c r="AD848">
        <v>0</v>
      </c>
    </row>
    <row r="849" spans="1:30" hidden="1">
      <c r="A849">
        <v>302880</v>
      </c>
      <c r="B849">
        <v>1</v>
      </c>
      <c r="C849" t="s">
        <v>2294</v>
      </c>
      <c r="E849" s="103">
        <v>46167</v>
      </c>
      <c r="F849">
        <v>3</v>
      </c>
      <c r="G849" s="1210">
        <v>46016</v>
      </c>
      <c r="I849" t="s">
        <v>4365</v>
      </c>
      <c r="J849" t="s">
        <v>2070</v>
      </c>
      <c r="K849">
        <v>4500012431</v>
      </c>
      <c r="L849" t="s">
        <v>2294</v>
      </c>
      <c r="N849" t="s">
        <v>4366</v>
      </c>
      <c r="O849" t="s">
        <v>2094</v>
      </c>
      <c r="Q849" t="s">
        <v>2289</v>
      </c>
      <c r="S849" t="s">
        <v>4043</v>
      </c>
      <c r="T849" t="s">
        <v>4369</v>
      </c>
      <c r="U849" t="s">
        <v>2744</v>
      </c>
      <c r="AD849">
        <v>0</v>
      </c>
    </row>
    <row r="850" spans="1:30" hidden="1">
      <c r="A850">
        <v>302890</v>
      </c>
      <c r="B850">
        <v>1</v>
      </c>
      <c r="C850" t="s">
        <v>2285</v>
      </c>
      <c r="E850" s="103">
        <v>46167</v>
      </c>
      <c r="F850">
        <v>3</v>
      </c>
      <c r="G850" s="1210">
        <v>46016</v>
      </c>
      <c r="I850" t="s">
        <v>4370</v>
      </c>
      <c r="J850" t="s">
        <v>2070</v>
      </c>
      <c r="K850">
        <v>4500012431</v>
      </c>
      <c r="L850" t="s">
        <v>2285</v>
      </c>
      <c r="N850" t="s">
        <v>4366</v>
      </c>
      <c r="O850" t="s">
        <v>2094</v>
      </c>
      <c r="Q850" t="s">
        <v>2289</v>
      </c>
      <c r="S850" t="s">
        <v>4367</v>
      </c>
      <c r="T850" t="s">
        <v>4368</v>
      </c>
      <c r="U850" t="s">
        <v>2744</v>
      </c>
      <c r="AD850">
        <v>0</v>
      </c>
    </row>
    <row r="851" spans="1:30" hidden="1">
      <c r="A851">
        <v>302890</v>
      </c>
      <c r="B851">
        <v>1</v>
      </c>
      <c r="C851" t="s">
        <v>2285</v>
      </c>
      <c r="E851" s="103">
        <v>46167</v>
      </c>
      <c r="F851">
        <v>3</v>
      </c>
      <c r="G851" s="1210">
        <v>46016</v>
      </c>
      <c r="I851" t="s">
        <v>4370</v>
      </c>
      <c r="J851" t="s">
        <v>2070</v>
      </c>
      <c r="K851">
        <v>4500012431</v>
      </c>
      <c r="L851" t="s">
        <v>2285</v>
      </c>
      <c r="N851" t="s">
        <v>4366</v>
      </c>
      <c r="O851" t="s">
        <v>2094</v>
      </c>
      <c r="Q851" t="s">
        <v>2289</v>
      </c>
      <c r="S851" t="s">
        <v>4367</v>
      </c>
      <c r="T851" t="s">
        <v>4369</v>
      </c>
      <c r="U851" t="s">
        <v>2744</v>
      </c>
      <c r="AD851">
        <v>0</v>
      </c>
    </row>
    <row r="852" spans="1:30" hidden="1">
      <c r="A852">
        <v>302890</v>
      </c>
      <c r="B852">
        <v>1</v>
      </c>
      <c r="C852" t="s">
        <v>2285</v>
      </c>
      <c r="E852" s="103">
        <v>46167</v>
      </c>
      <c r="F852">
        <v>3</v>
      </c>
      <c r="G852" s="1210">
        <v>46132</v>
      </c>
      <c r="I852" t="s">
        <v>4370</v>
      </c>
      <c r="J852" t="s">
        <v>2070</v>
      </c>
      <c r="K852">
        <v>4500012972</v>
      </c>
      <c r="L852" t="s">
        <v>2285</v>
      </c>
      <c r="N852" t="s">
        <v>4366</v>
      </c>
      <c r="O852" t="s">
        <v>2094</v>
      </c>
      <c r="Q852" t="s">
        <v>2289</v>
      </c>
      <c r="S852" t="s">
        <v>4371</v>
      </c>
      <c r="T852" t="s">
        <v>4369</v>
      </c>
      <c r="U852" t="s">
        <v>2744</v>
      </c>
      <c r="AD852">
        <v>0</v>
      </c>
    </row>
    <row r="853" spans="1:30" hidden="1">
      <c r="A853">
        <v>353116</v>
      </c>
      <c r="B853">
        <v>1</v>
      </c>
      <c r="C853" t="s">
        <v>2230</v>
      </c>
      <c r="E853" s="103">
        <v>46171</v>
      </c>
      <c r="F853">
        <v>3</v>
      </c>
      <c r="G853" s="1210">
        <v>46136</v>
      </c>
      <c r="I853" t="s">
        <v>4372</v>
      </c>
      <c r="J853" t="s">
        <v>2082</v>
      </c>
      <c r="K853">
        <v>4500013002</v>
      </c>
      <c r="L853" t="s">
        <v>2230</v>
      </c>
      <c r="N853" t="s">
        <v>4373</v>
      </c>
      <c r="O853" t="s">
        <v>2094</v>
      </c>
      <c r="Q853" t="s">
        <v>2231</v>
      </c>
      <c r="S853" t="s">
        <v>4360</v>
      </c>
      <c r="T853" t="s">
        <v>4374</v>
      </c>
      <c r="U853" t="s">
        <v>2744</v>
      </c>
      <c r="AD853">
        <v>0</v>
      </c>
    </row>
    <row r="854" spans="1:30" hidden="1">
      <c r="A854">
        <v>353116</v>
      </c>
      <c r="B854">
        <v>1</v>
      </c>
      <c r="C854" t="s">
        <v>2230</v>
      </c>
      <c r="E854" s="103">
        <v>46174</v>
      </c>
      <c r="F854">
        <v>3</v>
      </c>
      <c r="G854" s="1210">
        <v>46136</v>
      </c>
      <c r="I854" t="s">
        <v>4372</v>
      </c>
      <c r="J854" t="s">
        <v>2082</v>
      </c>
      <c r="K854">
        <v>4500013002</v>
      </c>
      <c r="L854" t="s">
        <v>2230</v>
      </c>
      <c r="N854" t="s">
        <v>4373</v>
      </c>
      <c r="O854" t="s">
        <v>2094</v>
      </c>
      <c r="Q854" t="s">
        <v>2231</v>
      </c>
      <c r="S854" t="s">
        <v>4358</v>
      </c>
      <c r="T854" t="s">
        <v>4375</v>
      </c>
      <c r="U854" t="s">
        <v>2744</v>
      </c>
      <c r="AD854">
        <v>0</v>
      </c>
    </row>
    <row r="855" spans="1:30" hidden="1">
      <c r="A855">
        <v>353116</v>
      </c>
      <c r="B855">
        <v>1</v>
      </c>
      <c r="C855" t="s">
        <v>2230</v>
      </c>
      <c r="E855" s="103">
        <v>46174</v>
      </c>
      <c r="F855">
        <v>3</v>
      </c>
      <c r="G855" s="1210">
        <v>46136</v>
      </c>
      <c r="I855" t="s">
        <v>4372</v>
      </c>
      <c r="J855" t="s">
        <v>2082</v>
      </c>
      <c r="K855">
        <v>4500013002</v>
      </c>
      <c r="L855" t="s">
        <v>2230</v>
      </c>
      <c r="N855" t="s">
        <v>4373</v>
      </c>
      <c r="O855" t="s">
        <v>2094</v>
      </c>
      <c r="Q855" t="s">
        <v>2231</v>
      </c>
      <c r="S855" t="s">
        <v>4376</v>
      </c>
      <c r="T855" t="s">
        <v>4375</v>
      </c>
      <c r="U855" t="s">
        <v>2744</v>
      </c>
      <c r="AD855">
        <v>0</v>
      </c>
    </row>
    <row r="856" spans="1:30" hidden="1">
      <c r="A856">
        <v>353331</v>
      </c>
      <c r="B856">
        <v>1</v>
      </c>
      <c r="C856" t="s">
        <v>2252</v>
      </c>
      <c r="E856" s="103">
        <v>46182</v>
      </c>
      <c r="F856">
        <v>3</v>
      </c>
      <c r="G856" s="1210">
        <v>46136</v>
      </c>
      <c r="I856" t="s">
        <v>4377</v>
      </c>
      <c r="J856" t="s">
        <v>2012</v>
      </c>
      <c r="K856">
        <v>4500013000</v>
      </c>
      <c r="L856" t="s">
        <v>2252</v>
      </c>
      <c r="N856" t="s">
        <v>4378</v>
      </c>
      <c r="O856" t="s">
        <v>2094</v>
      </c>
      <c r="Q856" t="s">
        <v>2231</v>
      </c>
      <c r="S856" t="s">
        <v>4376</v>
      </c>
      <c r="T856" t="s">
        <v>4379</v>
      </c>
      <c r="U856" t="s">
        <v>2744</v>
      </c>
      <c r="W856" t="s">
        <v>4380</v>
      </c>
      <c r="AD856">
        <v>0</v>
      </c>
    </row>
    <row r="857" spans="1:30" hidden="1">
      <c r="A857">
        <v>353331</v>
      </c>
      <c r="B857">
        <v>1</v>
      </c>
      <c r="C857" t="s">
        <v>2252</v>
      </c>
      <c r="E857" s="103">
        <v>46182</v>
      </c>
      <c r="F857">
        <v>3</v>
      </c>
      <c r="G857" s="1210">
        <v>46136</v>
      </c>
      <c r="I857" t="s">
        <v>4377</v>
      </c>
      <c r="J857" t="s">
        <v>2012</v>
      </c>
      <c r="K857">
        <v>4500013000</v>
      </c>
      <c r="L857" t="s">
        <v>2252</v>
      </c>
      <c r="N857" t="s">
        <v>4378</v>
      </c>
      <c r="O857" t="s">
        <v>2094</v>
      </c>
      <c r="Q857" t="s">
        <v>2231</v>
      </c>
      <c r="S857" t="s">
        <v>4360</v>
      </c>
      <c r="T857" t="s">
        <v>4381</v>
      </c>
      <c r="U857" t="s">
        <v>2744</v>
      </c>
      <c r="W857" t="s">
        <v>4382</v>
      </c>
      <c r="AD857">
        <v>0</v>
      </c>
    </row>
    <row r="858" spans="1:30" hidden="1">
      <c r="A858">
        <v>353331</v>
      </c>
      <c r="B858">
        <v>1</v>
      </c>
      <c r="C858" t="s">
        <v>2252</v>
      </c>
      <c r="E858" s="103">
        <v>46188</v>
      </c>
      <c r="F858">
        <v>3</v>
      </c>
      <c r="G858" s="1210">
        <v>46136</v>
      </c>
      <c r="I858" t="s">
        <v>4377</v>
      </c>
      <c r="J858" t="s">
        <v>2012</v>
      </c>
      <c r="K858">
        <v>4500013000</v>
      </c>
      <c r="L858" t="s">
        <v>2252</v>
      </c>
      <c r="N858" t="s">
        <v>4383</v>
      </c>
      <c r="O858" t="s">
        <v>2094</v>
      </c>
      <c r="Q858" t="s">
        <v>2231</v>
      </c>
      <c r="S858" t="s">
        <v>4358</v>
      </c>
      <c r="T858" t="s">
        <v>4384</v>
      </c>
      <c r="U858" t="s">
        <v>2744</v>
      </c>
      <c r="AD858">
        <v>0</v>
      </c>
    </row>
    <row r="859" spans="1:30" hidden="1">
      <c r="A859">
        <v>367145</v>
      </c>
      <c r="B859">
        <v>1</v>
      </c>
      <c r="C859" t="s">
        <v>4385</v>
      </c>
      <c r="D859" t="s">
        <v>4386</v>
      </c>
      <c r="E859" s="103">
        <v>46188</v>
      </c>
      <c r="F859">
        <v>3</v>
      </c>
      <c r="G859" s="1210">
        <v>46174</v>
      </c>
      <c r="I859" t="s">
        <v>4387</v>
      </c>
      <c r="J859" t="s">
        <v>4388</v>
      </c>
      <c r="K859">
        <v>4500013097</v>
      </c>
      <c r="L859" t="s">
        <v>4385</v>
      </c>
      <c r="N859" t="s">
        <v>2262</v>
      </c>
      <c r="O859" t="s">
        <v>2094</v>
      </c>
      <c r="P859" s="103">
        <v>46181</v>
      </c>
      <c r="Q859" t="s">
        <v>4389</v>
      </c>
      <c r="R859" s="103">
        <v>46185</v>
      </c>
      <c r="S859" t="s">
        <v>4390</v>
      </c>
      <c r="T859" t="s">
        <v>4391</v>
      </c>
      <c r="U859" t="s">
        <v>2744</v>
      </c>
      <c r="V859" t="s">
        <v>4392</v>
      </c>
      <c r="AD859">
        <v>0</v>
      </c>
    </row>
    <row r="860" spans="1:30" hidden="1">
      <c r="A860">
        <v>353117</v>
      </c>
      <c r="B860">
        <v>1</v>
      </c>
      <c r="C860" t="s">
        <v>2230</v>
      </c>
      <c r="E860" s="103">
        <v>46191</v>
      </c>
      <c r="F860">
        <v>1</v>
      </c>
      <c r="G860" s="1210">
        <v>46136</v>
      </c>
      <c r="I860" t="s">
        <v>795</v>
      </c>
      <c r="J860" t="s">
        <v>2082</v>
      </c>
      <c r="K860">
        <v>4500013001</v>
      </c>
      <c r="L860" t="s">
        <v>2230</v>
      </c>
      <c r="M860" t="s">
        <v>4393</v>
      </c>
      <c r="N860" t="s">
        <v>4394</v>
      </c>
      <c r="O860" t="s">
        <v>2094</v>
      </c>
      <c r="Q860" t="s">
        <v>2231</v>
      </c>
      <c r="S860" t="s">
        <v>2234</v>
      </c>
      <c r="T860" t="s">
        <v>4395</v>
      </c>
      <c r="U860" t="s">
        <v>2744</v>
      </c>
      <c r="V860" t="s">
        <v>2233</v>
      </c>
      <c r="AD860">
        <v>1</v>
      </c>
    </row>
    <row r="861" spans="1:30" hidden="1">
      <c r="A861">
        <v>353117</v>
      </c>
      <c r="B861">
        <v>2</v>
      </c>
      <c r="C861" t="s">
        <v>2230</v>
      </c>
      <c r="E861" s="103">
        <v>46191</v>
      </c>
      <c r="F861">
        <v>1</v>
      </c>
      <c r="G861" s="1210">
        <v>46136</v>
      </c>
      <c r="I861" t="s">
        <v>795</v>
      </c>
      <c r="J861" t="s">
        <v>2082</v>
      </c>
      <c r="K861">
        <v>4500013001</v>
      </c>
      <c r="L861" t="s">
        <v>3226</v>
      </c>
      <c r="M861" t="s">
        <v>4393</v>
      </c>
      <c r="N861" t="s">
        <v>4394</v>
      </c>
      <c r="O861" t="s">
        <v>2094</v>
      </c>
      <c r="Q861" t="s">
        <v>2231</v>
      </c>
      <c r="S861" t="s">
        <v>2232</v>
      </c>
      <c r="T861" t="s">
        <v>4396</v>
      </c>
      <c r="U861" t="s">
        <v>2744</v>
      </c>
      <c r="V861" t="s">
        <v>2233</v>
      </c>
      <c r="AD861">
        <v>3</v>
      </c>
    </row>
    <row r="862" spans="1:30" hidden="1">
      <c r="A862">
        <v>353117</v>
      </c>
      <c r="B862">
        <v>2</v>
      </c>
      <c r="C862" t="s">
        <v>2230</v>
      </c>
      <c r="E862" s="103">
        <v>46191</v>
      </c>
      <c r="F862">
        <v>1</v>
      </c>
      <c r="G862" s="1210">
        <v>46136</v>
      </c>
      <c r="I862" t="s">
        <v>795</v>
      </c>
      <c r="J862" t="s">
        <v>2082</v>
      </c>
      <c r="K862">
        <v>4500013001</v>
      </c>
      <c r="L862" t="s">
        <v>3226</v>
      </c>
      <c r="M862" t="s">
        <v>4393</v>
      </c>
      <c r="N862" t="s">
        <v>4394</v>
      </c>
      <c r="O862" t="s">
        <v>2094</v>
      </c>
      <c r="Q862" t="s">
        <v>2231</v>
      </c>
      <c r="S862" t="s">
        <v>2235</v>
      </c>
      <c r="T862" t="s">
        <v>4397</v>
      </c>
      <c r="U862" t="s">
        <v>2744</v>
      </c>
      <c r="V862" t="s">
        <v>2233</v>
      </c>
      <c r="AD862">
        <v>5</v>
      </c>
    </row>
    <row r="863" spans="1:30" hidden="1">
      <c r="A863">
        <v>353117</v>
      </c>
      <c r="B863">
        <v>1</v>
      </c>
      <c r="C863" t="s">
        <v>2230</v>
      </c>
      <c r="E863" s="103">
        <v>46191</v>
      </c>
      <c r="F863">
        <v>1</v>
      </c>
      <c r="G863" s="1210">
        <v>46136</v>
      </c>
      <c r="I863" t="s">
        <v>795</v>
      </c>
      <c r="J863" t="s">
        <v>2082</v>
      </c>
      <c r="K863">
        <v>4500013003</v>
      </c>
      <c r="L863" t="s">
        <v>2230</v>
      </c>
      <c r="M863" t="s">
        <v>4393</v>
      </c>
      <c r="N863" t="s">
        <v>4398</v>
      </c>
      <c r="O863" t="s">
        <v>2094</v>
      </c>
      <c r="Q863" t="s">
        <v>2231</v>
      </c>
      <c r="S863" t="s">
        <v>4399</v>
      </c>
      <c r="T863" t="s">
        <v>4395</v>
      </c>
      <c r="U863" t="s">
        <v>2744</v>
      </c>
      <c r="V863" t="s">
        <v>4400</v>
      </c>
      <c r="AD863">
        <v>6</v>
      </c>
    </row>
    <row r="864" spans="1:30" hidden="1">
      <c r="A864">
        <v>223057</v>
      </c>
      <c r="B864">
        <v>150</v>
      </c>
      <c r="C864" t="s">
        <v>4276</v>
      </c>
      <c r="E864" s="103">
        <v>46192</v>
      </c>
      <c r="F864">
        <v>1</v>
      </c>
      <c r="G864" s="1210">
        <v>46010</v>
      </c>
      <c r="I864" t="s">
        <v>783</v>
      </c>
      <c r="J864" t="s">
        <v>2082</v>
      </c>
      <c r="K864">
        <v>4500012246</v>
      </c>
      <c r="L864" t="s">
        <v>4401</v>
      </c>
      <c r="M864" t="s">
        <v>4402</v>
      </c>
      <c r="N864" t="s">
        <v>4403</v>
      </c>
      <c r="O864" t="s">
        <v>2026</v>
      </c>
      <c r="P864" s="103">
        <v>46175</v>
      </c>
      <c r="Q864" t="s">
        <v>2231</v>
      </c>
      <c r="R864" s="103">
        <v>46178</v>
      </c>
      <c r="S864" t="s">
        <v>2236</v>
      </c>
      <c r="U864" t="s">
        <v>2744</v>
      </c>
      <c r="V864" t="s">
        <v>4280</v>
      </c>
      <c r="W864" t="s">
        <v>2237</v>
      </c>
      <c r="AB864" t="s">
        <v>4404</v>
      </c>
      <c r="AC864" t="s">
        <v>4405</v>
      </c>
      <c r="AD864">
        <v>2900</v>
      </c>
    </row>
    <row r="865" spans="1:30" hidden="1">
      <c r="A865">
        <v>295636</v>
      </c>
      <c r="B865">
        <v>40</v>
      </c>
      <c r="C865" t="s">
        <v>4406</v>
      </c>
      <c r="E865" s="103">
        <v>46192</v>
      </c>
      <c r="F865">
        <v>1</v>
      </c>
      <c r="G865" s="1210">
        <v>46066</v>
      </c>
      <c r="I865" t="s">
        <v>561</v>
      </c>
      <c r="J865" t="s">
        <v>2082</v>
      </c>
      <c r="K865">
        <v>4500012757</v>
      </c>
      <c r="L865" t="s">
        <v>4407</v>
      </c>
      <c r="M865" t="s">
        <v>4408</v>
      </c>
      <c r="N865" t="s">
        <v>4403</v>
      </c>
      <c r="O865" t="s">
        <v>2026</v>
      </c>
      <c r="P865" s="103">
        <v>46175</v>
      </c>
      <c r="Q865" t="s">
        <v>2231</v>
      </c>
      <c r="R865" s="103">
        <v>46178</v>
      </c>
      <c r="S865" t="s">
        <v>2236</v>
      </c>
      <c r="U865" t="s">
        <v>2744</v>
      </c>
      <c r="V865" t="s">
        <v>4409</v>
      </c>
      <c r="AB865" t="s">
        <v>4404</v>
      </c>
      <c r="AC865" t="s">
        <v>4405</v>
      </c>
      <c r="AD865">
        <v>240</v>
      </c>
    </row>
    <row r="866" spans="1:30" hidden="1">
      <c r="A866">
        <v>295638</v>
      </c>
      <c r="B866">
        <v>70</v>
      </c>
      <c r="C866" t="s">
        <v>4353</v>
      </c>
      <c r="E866" s="103">
        <v>46192</v>
      </c>
      <c r="F866">
        <v>1</v>
      </c>
      <c r="G866" s="1210">
        <v>46066</v>
      </c>
      <c r="I866" t="s">
        <v>721</v>
      </c>
      <c r="J866" t="s">
        <v>2082</v>
      </c>
      <c r="K866">
        <v>4500012760</v>
      </c>
      <c r="L866" t="s">
        <v>4354</v>
      </c>
      <c r="M866" t="s">
        <v>4408</v>
      </c>
      <c r="N866" t="s">
        <v>4403</v>
      </c>
      <c r="O866" t="s">
        <v>2026</v>
      </c>
      <c r="P866" s="103">
        <v>46175</v>
      </c>
      <c r="Q866" t="s">
        <v>2231</v>
      </c>
      <c r="R866" s="103">
        <v>46178</v>
      </c>
      <c r="S866" t="s">
        <v>2236</v>
      </c>
      <c r="U866" t="s">
        <v>2744</v>
      </c>
      <c r="V866" t="s">
        <v>4409</v>
      </c>
      <c r="AB866" t="s">
        <v>4404</v>
      </c>
      <c r="AC866" t="s">
        <v>4405</v>
      </c>
      <c r="AD866">
        <v>460</v>
      </c>
    </row>
    <row r="867" spans="1:30" hidden="1">
      <c r="A867">
        <v>295640</v>
      </c>
      <c r="B867">
        <v>80</v>
      </c>
      <c r="C867" t="s">
        <v>2240</v>
      </c>
      <c r="E867" s="103">
        <v>46192</v>
      </c>
      <c r="F867">
        <v>1</v>
      </c>
      <c r="G867" s="1210">
        <v>46066</v>
      </c>
      <c r="I867" t="s">
        <v>773</v>
      </c>
      <c r="J867" t="s">
        <v>2082</v>
      </c>
      <c r="K867">
        <v>4500012761</v>
      </c>
      <c r="L867" t="s">
        <v>4410</v>
      </c>
      <c r="M867" t="s">
        <v>4411</v>
      </c>
      <c r="N867" t="s">
        <v>4403</v>
      </c>
      <c r="O867" t="s">
        <v>2026</v>
      </c>
      <c r="P867" s="103">
        <v>46175</v>
      </c>
      <c r="Q867" t="s">
        <v>2231</v>
      </c>
      <c r="R867" s="103">
        <v>46178</v>
      </c>
      <c r="S867" t="s">
        <v>2236</v>
      </c>
      <c r="U867" t="s">
        <v>2744</v>
      </c>
      <c r="V867" t="s">
        <v>4409</v>
      </c>
      <c r="AB867" t="s">
        <v>4404</v>
      </c>
      <c r="AC867" t="s">
        <v>4405</v>
      </c>
      <c r="AD867">
        <v>440</v>
      </c>
    </row>
    <row r="868" spans="1:30" hidden="1">
      <c r="A868">
        <v>318440</v>
      </c>
      <c r="B868">
        <v>30</v>
      </c>
      <c r="C868" t="s">
        <v>2238</v>
      </c>
      <c r="E868" s="103">
        <v>46192</v>
      </c>
      <c r="F868">
        <v>1</v>
      </c>
      <c r="G868" s="1210">
        <v>46093</v>
      </c>
      <c r="I868" t="s">
        <v>186</v>
      </c>
      <c r="J868" t="s">
        <v>2082</v>
      </c>
      <c r="K868">
        <v>4500012847</v>
      </c>
      <c r="L868" t="s">
        <v>2239</v>
      </c>
      <c r="M868" t="s">
        <v>4402</v>
      </c>
      <c r="N868" t="s">
        <v>4403</v>
      </c>
      <c r="O868" t="s">
        <v>2026</v>
      </c>
      <c r="P868" s="103">
        <v>46175</v>
      </c>
      <c r="Q868" t="s">
        <v>2231</v>
      </c>
      <c r="R868" s="103">
        <v>46178</v>
      </c>
      <c r="S868" t="s">
        <v>2236</v>
      </c>
      <c r="U868" t="s">
        <v>2744</v>
      </c>
      <c r="AB868" t="s">
        <v>4404</v>
      </c>
      <c r="AC868" t="s">
        <v>4405</v>
      </c>
      <c r="AD868">
        <v>130</v>
      </c>
    </row>
    <row r="869" spans="1:30" hidden="1">
      <c r="A869">
        <v>318395</v>
      </c>
      <c r="B869">
        <v>720</v>
      </c>
      <c r="C869" t="s">
        <v>4297</v>
      </c>
      <c r="E869" s="103">
        <v>46195</v>
      </c>
      <c r="F869">
        <v>1</v>
      </c>
      <c r="G869" s="1210">
        <v>46045</v>
      </c>
      <c r="I869" t="s">
        <v>651</v>
      </c>
      <c r="J869" t="s">
        <v>2082</v>
      </c>
      <c r="K869">
        <v>4500012649</v>
      </c>
      <c r="L869" t="s">
        <v>4362</v>
      </c>
      <c r="M869" t="s">
        <v>4402</v>
      </c>
      <c r="N869" t="s">
        <v>4403</v>
      </c>
      <c r="O869" t="s">
        <v>2026</v>
      </c>
      <c r="P869" s="103">
        <v>46175</v>
      </c>
      <c r="Q869" t="s">
        <v>2231</v>
      </c>
      <c r="R869" s="103">
        <v>46179</v>
      </c>
      <c r="S869" t="s">
        <v>2236</v>
      </c>
      <c r="T869" t="s">
        <v>4412</v>
      </c>
      <c r="U869" t="s">
        <v>2744</v>
      </c>
      <c r="V869" t="s">
        <v>4413</v>
      </c>
      <c r="AD869">
        <v>1440</v>
      </c>
    </row>
    <row r="870" spans="1:30" hidden="1">
      <c r="A870">
        <v>326941</v>
      </c>
      <c r="B870">
        <v>180</v>
      </c>
      <c r="C870" t="s">
        <v>2242</v>
      </c>
      <c r="E870" s="103">
        <v>46195</v>
      </c>
      <c r="F870">
        <v>1</v>
      </c>
      <c r="G870" s="1210">
        <v>46091</v>
      </c>
      <c r="I870" t="s">
        <v>193</v>
      </c>
      <c r="J870" t="s">
        <v>2012</v>
      </c>
      <c r="K870">
        <v>4500012828</v>
      </c>
      <c r="L870" t="s">
        <v>4414</v>
      </c>
      <c r="M870" t="s">
        <v>4366</v>
      </c>
      <c r="N870" t="s">
        <v>4403</v>
      </c>
      <c r="O870" t="s">
        <v>2026</v>
      </c>
      <c r="P870" s="103">
        <v>46175</v>
      </c>
      <c r="Q870" t="s">
        <v>2231</v>
      </c>
      <c r="R870" s="103">
        <v>46178</v>
      </c>
      <c r="S870" t="s">
        <v>2236</v>
      </c>
      <c r="U870" t="s">
        <v>2744</v>
      </c>
      <c r="V870" t="s">
        <v>2243</v>
      </c>
      <c r="AB870" t="s">
        <v>4415</v>
      </c>
      <c r="AC870" t="s">
        <v>4405</v>
      </c>
      <c r="AD870">
        <v>280</v>
      </c>
    </row>
    <row r="871" spans="1:30" hidden="1">
      <c r="A871">
        <v>326941</v>
      </c>
      <c r="B871">
        <v>70</v>
      </c>
      <c r="C871" t="s">
        <v>2242</v>
      </c>
      <c r="E871" s="103">
        <v>46195</v>
      </c>
      <c r="F871">
        <v>1</v>
      </c>
      <c r="G871" s="1210">
        <v>46091</v>
      </c>
      <c r="I871" t="s">
        <v>193</v>
      </c>
      <c r="J871" t="s">
        <v>2012</v>
      </c>
      <c r="K871">
        <v>4500012829</v>
      </c>
      <c r="L871" t="s">
        <v>4416</v>
      </c>
      <c r="M871" t="s">
        <v>4366</v>
      </c>
      <c r="N871" t="s">
        <v>4403</v>
      </c>
      <c r="O871" t="s">
        <v>2026</v>
      </c>
      <c r="P871" s="103">
        <v>46175</v>
      </c>
      <c r="Q871" t="s">
        <v>2231</v>
      </c>
      <c r="R871" s="103">
        <v>46178</v>
      </c>
      <c r="S871" t="s">
        <v>2236</v>
      </c>
      <c r="U871" t="s">
        <v>2744</v>
      </c>
      <c r="V871" t="s">
        <v>2243</v>
      </c>
      <c r="AB871" t="s">
        <v>4415</v>
      </c>
      <c r="AC871" t="s">
        <v>4405</v>
      </c>
      <c r="AD871">
        <v>350</v>
      </c>
    </row>
    <row r="872" spans="1:30" hidden="1">
      <c r="A872">
        <v>349140</v>
      </c>
      <c r="B872">
        <v>120</v>
      </c>
      <c r="C872" t="s">
        <v>4337</v>
      </c>
      <c r="E872" s="103">
        <v>46195</v>
      </c>
      <c r="F872">
        <v>1</v>
      </c>
      <c r="G872" s="1210">
        <v>46122</v>
      </c>
      <c r="I872" t="s">
        <v>211</v>
      </c>
      <c r="J872" t="s">
        <v>2012</v>
      </c>
      <c r="K872">
        <v>4500012954</v>
      </c>
      <c r="L872" t="s">
        <v>4417</v>
      </c>
      <c r="M872" t="s">
        <v>4418</v>
      </c>
      <c r="N872" t="s">
        <v>4403</v>
      </c>
      <c r="O872" t="s">
        <v>2026</v>
      </c>
      <c r="P872" s="103">
        <v>46175</v>
      </c>
      <c r="Q872" t="s">
        <v>2231</v>
      </c>
      <c r="R872" s="103">
        <v>46178</v>
      </c>
      <c r="S872" t="s">
        <v>2236</v>
      </c>
      <c r="U872" t="s">
        <v>2744</v>
      </c>
      <c r="V872" t="s">
        <v>4419</v>
      </c>
      <c r="AB872" t="s">
        <v>4415</v>
      </c>
      <c r="AC872" t="s">
        <v>4405</v>
      </c>
      <c r="AD872">
        <v>1316</v>
      </c>
    </row>
    <row r="873" spans="1:30" hidden="1">
      <c r="A873">
        <v>223058</v>
      </c>
      <c r="B873">
        <v>300</v>
      </c>
      <c r="C873" t="s">
        <v>2259</v>
      </c>
      <c r="D873" t="s">
        <v>2237</v>
      </c>
      <c r="E873" s="103">
        <v>46205</v>
      </c>
      <c r="F873">
        <v>4</v>
      </c>
      <c r="G873" s="1210">
        <v>46010</v>
      </c>
      <c r="I873" t="s">
        <v>726</v>
      </c>
      <c r="J873" t="s">
        <v>2082</v>
      </c>
      <c r="K873">
        <v>4500012242</v>
      </c>
      <c r="L873" t="s">
        <v>2260</v>
      </c>
      <c r="M873" t="s">
        <v>2261</v>
      </c>
      <c r="N873" t="s">
        <v>2262</v>
      </c>
      <c r="O873" t="s">
        <v>2026</v>
      </c>
      <c r="P873" s="103">
        <v>46198</v>
      </c>
      <c r="Q873" t="s">
        <v>2231</v>
      </c>
      <c r="R873" s="103">
        <v>46202</v>
      </c>
      <c r="S873" t="s">
        <v>2236</v>
      </c>
      <c r="U873" t="s">
        <v>2282</v>
      </c>
      <c r="V873" t="s">
        <v>2263</v>
      </c>
      <c r="W873" t="s">
        <v>2643</v>
      </c>
      <c r="AD873">
        <v>2605</v>
      </c>
    </row>
    <row r="874" spans="1:30" hidden="1">
      <c r="A874">
        <v>295640</v>
      </c>
      <c r="B874">
        <v>400</v>
      </c>
      <c r="C874" t="s">
        <v>2240</v>
      </c>
      <c r="D874" t="s">
        <v>2266</v>
      </c>
      <c r="E874" s="103">
        <v>46216</v>
      </c>
      <c r="F874">
        <v>1</v>
      </c>
      <c r="G874" s="1210">
        <v>46136</v>
      </c>
      <c r="I874" t="s">
        <v>773</v>
      </c>
      <c r="J874" t="s">
        <v>2082</v>
      </c>
      <c r="K874">
        <v>4500012981</v>
      </c>
      <c r="L874" t="s">
        <v>2267</v>
      </c>
      <c r="M874" t="s">
        <v>2624</v>
      </c>
      <c r="N874" t="s">
        <v>2645</v>
      </c>
      <c r="O874" t="s">
        <v>2026</v>
      </c>
      <c r="P874" s="103">
        <v>46207</v>
      </c>
      <c r="Q874" t="s">
        <v>2231</v>
      </c>
      <c r="R874" s="103">
        <v>46210</v>
      </c>
      <c r="S874" t="s">
        <v>2236</v>
      </c>
      <c r="T874" t="s">
        <v>2699</v>
      </c>
      <c r="U874" t="s">
        <v>2700</v>
      </c>
      <c r="AA874" t="s">
        <v>2088</v>
      </c>
      <c r="AB874" t="s">
        <v>2646</v>
      </c>
      <c r="AD874">
        <v>840</v>
      </c>
    </row>
    <row r="875" spans="1:30" hidden="1">
      <c r="A875">
        <v>353117</v>
      </c>
      <c r="B875">
        <v>599</v>
      </c>
      <c r="C875" t="s">
        <v>2230</v>
      </c>
      <c r="D875" t="s">
        <v>2268</v>
      </c>
      <c r="E875" s="103">
        <v>46216</v>
      </c>
      <c r="F875">
        <v>1</v>
      </c>
      <c r="G875" s="1210">
        <v>46136</v>
      </c>
      <c r="I875" t="s">
        <v>795</v>
      </c>
      <c r="J875" t="s">
        <v>2082</v>
      </c>
      <c r="K875">
        <v>4500013003</v>
      </c>
      <c r="L875" t="s">
        <v>2269</v>
      </c>
      <c r="M875" t="s">
        <v>2644</v>
      </c>
      <c r="N875" t="s">
        <v>2645</v>
      </c>
      <c r="O875" t="s">
        <v>2026</v>
      </c>
      <c r="P875" s="103">
        <v>46207</v>
      </c>
      <c r="Q875" t="s">
        <v>2231</v>
      </c>
      <c r="R875" s="103">
        <v>46210</v>
      </c>
      <c r="S875" t="s">
        <v>2236</v>
      </c>
      <c r="T875" t="s">
        <v>2699</v>
      </c>
      <c r="U875" t="s">
        <v>2700</v>
      </c>
      <c r="V875" t="s">
        <v>2088</v>
      </c>
      <c r="AA875" t="s">
        <v>2088</v>
      </c>
      <c r="AB875" t="s">
        <v>2646</v>
      </c>
      <c r="AD875">
        <v>605</v>
      </c>
    </row>
    <row r="876" spans="1:30" hidden="1">
      <c r="A876">
        <v>327322</v>
      </c>
      <c r="B876">
        <v>1</v>
      </c>
      <c r="C876" t="s">
        <v>2258</v>
      </c>
      <c r="E876" s="103">
        <v>46220</v>
      </c>
      <c r="F876">
        <v>1</v>
      </c>
      <c r="G876" s="1210">
        <v>46073</v>
      </c>
      <c r="I876" t="s">
        <v>811</v>
      </c>
      <c r="J876" t="s">
        <v>2082</v>
      </c>
      <c r="K876">
        <v>4500012769</v>
      </c>
      <c r="L876" t="s">
        <v>2258</v>
      </c>
      <c r="M876" t="s">
        <v>2702</v>
      </c>
      <c r="N876" t="s">
        <v>2701</v>
      </c>
      <c r="O876" t="s">
        <v>2094</v>
      </c>
      <c r="Q876" t="s">
        <v>2231</v>
      </c>
      <c r="S876" t="s">
        <v>2253</v>
      </c>
      <c r="U876" t="s">
        <v>2241</v>
      </c>
      <c r="V876" t="s">
        <v>2233</v>
      </c>
      <c r="AD876">
        <v>1</v>
      </c>
    </row>
    <row r="877" spans="1:30" hidden="1">
      <c r="A877">
        <v>327322</v>
      </c>
      <c r="B877">
        <v>5</v>
      </c>
      <c r="C877" t="s">
        <v>2258</v>
      </c>
      <c r="E877" s="103">
        <v>46220</v>
      </c>
      <c r="F877">
        <v>1</v>
      </c>
      <c r="G877" s="1210">
        <v>46073</v>
      </c>
      <c r="I877" t="s">
        <v>811</v>
      </c>
      <c r="J877" t="s">
        <v>2082</v>
      </c>
      <c r="K877">
        <v>4500012769</v>
      </c>
      <c r="L877" t="s">
        <v>2620</v>
      </c>
      <c r="M877" t="s">
        <v>2245</v>
      </c>
      <c r="N877" t="s">
        <v>2701</v>
      </c>
      <c r="O877" t="s">
        <v>2094</v>
      </c>
      <c r="Q877" t="s">
        <v>2231</v>
      </c>
      <c r="S877" t="s">
        <v>2621</v>
      </c>
      <c r="U877" t="s">
        <v>2241</v>
      </c>
      <c r="V877" t="s">
        <v>2233</v>
      </c>
      <c r="AD877">
        <v>6</v>
      </c>
    </row>
    <row r="878" spans="1:30" hidden="1">
      <c r="A878">
        <v>327323</v>
      </c>
      <c r="B878">
        <v>3</v>
      </c>
      <c r="C878" t="s">
        <v>2258</v>
      </c>
      <c r="E878" s="103">
        <v>46220</v>
      </c>
      <c r="F878">
        <v>1</v>
      </c>
      <c r="G878" s="1210">
        <v>46073</v>
      </c>
      <c r="I878" t="s">
        <v>807</v>
      </c>
      <c r="J878" t="s">
        <v>2082</v>
      </c>
      <c r="K878">
        <v>4500012769</v>
      </c>
      <c r="L878" t="s">
        <v>2619</v>
      </c>
      <c r="M878" t="s">
        <v>2245</v>
      </c>
      <c r="N878" t="s">
        <v>2701</v>
      </c>
      <c r="O878" t="s">
        <v>2094</v>
      </c>
      <c r="Q878" t="s">
        <v>2231</v>
      </c>
      <c r="S878" t="s">
        <v>2616</v>
      </c>
      <c r="U878" t="s">
        <v>2241</v>
      </c>
      <c r="V878" t="s">
        <v>2233</v>
      </c>
      <c r="AD878">
        <v>3</v>
      </c>
    </row>
    <row r="879" spans="1:30" hidden="1">
      <c r="A879">
        <v>327323</v>
      </c>
      <c r="B879">
        <v>2</v>
      </c>
      <c r="C879" t="s">
        <v>2258</v>
      </c>
      <c r="E879" s="103">
        <v>46220</v>
      </c>
      <c r="F879">
        <v>1</v>
      </c>
      <c r="G879" s="1210">
        <v>46073</v>
      </c>
      <c r="I879" t="s">
        <v>807</v>
      </c>
      <c r="J879" t="s">
        <v>2082</v>
      </c>
      <c r="K879">
        <v>4500012769</v>
      </c>
      <c r="L879" t="s">
        <v>2617</v>
      </c>
      <c r="M879" t="s">
        <v>2245</v>
      </c>
      <c r="N879" t="s">
        <v>2701</v>
      </c>
      <c r="O879" t="s">
        <v>2094</v>
      </c>
      <c r="Q879" t="s">
        <v>2231</v>
      </c>
      <c r="S879" t="s">
        <v>2614</v>
      </c>
      <c r="U879" t="s">
        <v>2241</v>
      </c>
      <c r="V879" t="s">
        <v>2233</v>
      </c>
      <c r="AD879">
        <v>5</v>
      </c>
    </row>
    <row r="880" spans="1:30" hidden="1">
      <c r="A880">
        <v>327323</v>
      </c>
      <c r="B880">
        <v>1</v>
      </c>
      <c r="C880" t="s">
        <v>2258</v>
      </c>
      <c r="E880" s="103">
        <v>46220</v>
      </c>
      <c r="F880">
        <v>1</v>
      </c>
      <c r="G880" s="1210">
        <v>46073</v>
      </c>
      <c r="I880" t="s">
        <v>807</v>
      </c>
      <c r="J880" t="s">
        <v>2082</v>
      </c>
      <c r="K880">
        <v>4500012769</v>
      </c>
      <c r="L880" t="s">
        <v>2258</v>
      </c>
      <c r="M880" t="s">
        <v>2245</v>
      </c>
      <c r="N880" t="s">
        <v>2701</v>
      </c>
      <c r="O880" t="s">
        <v>2094</v>
      </c>
      <c r="Q880" t="s">
        <v>2231</v>
      </c>
      <c r="S880" t="s">
        <v>2618</v>
      </c>
      <c r="U880" t="s">
        <v>2241</v>
      </c>
      <c r="V880" t="s">
        <v>2233</v>
      </c>
      <c r="AD880">
        <v>6</v>
      </c>
    </row>
    <row r="881" spans="1:30" hidden="1">
      <c r="A881">
        <v>327324</v>
      </c>
      <c r="B881">
        <v>2</v>
      </c>
      <c r="C881" t="s">
        <v>2258</v>
      </c>
      <c r="E881" s="103">
        <v>46220</v>
      </c>
      <c r="F881">
        <v>1</v>
      </c>
      <c r="G881" s="1210">
        <v>46073</v>
      </c>
      <c r="I881" t="s">
        <v>803</v>
      </c>
      <c r="J881" t="s">
        <v>2082</v>
      </c>
      <c r="K881">
        <v>4500012769</v>
      </c>
      <c r="L881" t="s">
        <v>2617</v>
      </c>
      <c r="M881" t="s">
        <v>2245</v>
      </c>
      <c r="N881" t="s">
        <v>2701</v>
      </c>
      <c r="O881" t="s">
        <v>2094</v>
      </c>
      <c r="Q881" t="s">
        <v>2231</v>
      </c>
      <c r="S881" t="s">
        <v>2251</v>
      </c>
      <c r="U881" t="s">
        <v>2241</v>
      </c>
      <c r="V881" t="s">
        <v>2233</v>
      </c>
      <c r="AD881">
        <v>2</v>
      </c>
    </row>
    <row r="882" spans="1:30" hidden="1">
      <c r="A882">
        <v>327324</v>
      </c>
      <c r="B882">
        <v>2</v>
      </c>
      <c r="C882" t="s">
        <v>2258</v>
      </c>
      <c r="E882" s="103">
        <v>46220</v>
      </c>
      <c r="F882">
        <v>1</v>
      </c>
      <c r="G882" s="1210">
        <v>46073</v>
      </c>
      <c r="I882" t="s">
        <v>803</v>
      </c>
      <c r="J882" t="s">
        <v>2082</v>
      </c>
      <c r="K882">
        <v>4500012769</v>
      </c>
      <c r="L882" t="s">
        <v>2617</v>
      </c>
      <c r="M882" t="s">
        <v>2245</v>
      </c>
      <c r="N882" t="s">
        <v>2701</v>
      </c>
      <c r="O882" t="s">
        <v>2094</v>
      </c>
      <c r="Q882" t="s">
        <v>2231</v>
      </c>
      <c r="S882" t="s">
        <v>2614</v>
      </c>
      <c r="U882" t="s">
        <v>2241</v>
      </c>
      <c r="V882" t="s">
        <v>2233</v>
      </c>
      <c r="AD882">
        <v>4</v>
      </c>
    </row>
    <row r="883" spans="1:30" hidden="1">
      <c r="A883">
        <v>327325</v>
      </c>
      <c r="B883">
        <v>1</v>
      </c>
      <c r="C883" t="s">
        <v>2244</v>
      </c>
      <c r="E883" s="103">
        <v>46220</v>
      </c>
      <c r="F883">
        <v>1</v>
      </c>
      <c r="G883" s="1210">
        <v>46073</v>
      </c>
      <c r="I883" t="s">
        <v>824</v>
      </c>
      <c r="J883" t="s">
        <v>2082</v>
      </c>
      <c r="K883">
        <v>4500012769</v>
      </c>
      <c r="L883" t="s">
        <v>2244</v>
      </c>
      <c r="M883" t="s">
        <v>2245</v>
      </c>
      <c r="N883" t="s">
        <v>2701</v>
      </c>
      <c r="O883" t="s">
        <v>2094</v>
      </c>
      <c r="Q883" t="s">
        <v>2231</v>
      </c>
      <c r="S883" t="s">
        <v>2253</v>
      </c>
      <c r="U883" t="s">
        <v>2241</v>
      </c>
      <c r="V883" t="s">
        <v>2233</v>
      </c>
      <c r="AD883">
        <v>1</v>
      </c>
    </row>
    <row r="884" spans="1:30" hidden="1">
      <c r="A884">
        <v>327325</v>
      </c>
      <c r="B884">
        <v>2</v>
      </c>
      <c r="C884" t="s">
        <v>2244</v>
      </c>
      <c r="E884" s="103">
        <v>46220</v>
      </c>
      <c r="F884">
        <v>1</v>
      </c>
      <c r="G884" s="1210">
        <v>46073</v>
      </c>
      <c r="I884" t="s">
        <v>824</v>
      </c>
      <c r="J884" t="s">
        <v>2082</v>
      </c>
      <c r="K884">
        <v>4500012769</v>
      </c>
      <c r="L884" t="s">
        <v>2254</v>
      </c>
      <c r="M884" t="s">
        <v>2245</v>
      </c>
      <c r="N884" t="s">
        <v>2701</v>
      </c>
      <c r="O884" t="s">
        <v>2094</v>
      </c>
      <c r="Q884" t="s">
        <v>2231</v>
      </c>
      <c r="S884" t="s">
        <v>2614</v>
      </c>
      <c r="U884" t="s">
        <v>2241</v>
      </c>
      <c r="V884" t="s">
        <v>2233</v>
      </c>
      <c r="AD884">
        <v>3</v>
      </c>
    </row>
    <row r="885" spans="1:30" hidden="1">
      <c r="A885">
        <v>327326</v>
      </c>
      <c r="B885">
        <v>1</v>
      </c>
      <c r="C885" t="s">
        <v>2244</v>
      </c>
      <c r="E885" s="103">
        <v>46220</v>
      </c>
      <c r="F885">
        <v>1</v>
      </c>
      <c r="G885" s="1210">
        <v>46073</v>
      </c>
      <c r="I885" t="s">
        <v>820</v>
      </c>
      <c r="J885" t="s">
        <v>2082</v>
      </c>
      <c r="K885">
        <v>4500012769</v>
      </c>
      <c r="L885" t="s">
        <v>2244</v>
      </c>
      <c r="M885" t="s">
        <v>2245</v>
      </c>
      <c r="N885" t="s">
        <v>2701</v>
      </c>
      <c r="O885" t="s">
        <v>2094</v>
      </c>
      <c r="Q885" t="s">
        <v>2231</v>
      </c>
      <c r="S885" t="s">
        <v>2253</v>
      </c>
      <c r="U885" t="s">
        <v>2241</v>
      </c>
      <c r="V885" t="s">
        <v>2233</v>
      </c>
      <c r="AD885">
        <v>1</v>
      </c>
    </row>
    <row r="886" spans="1:30" hidden="1">
      <c r="A886">
        <v>327326</v>
      </c>
      <c r="B886">
        <v>1</v>
      </c>
      <c r="C886" t="s">
        <v>2244</v>
      </c>
      <c r="E886" s="103">
        <v>46220</v>
      </c>
      <c r="F886">
        <v>1</v>
      </c>
      <c r="G886" s="1210">
        <v>46073</v>
      </c>
      <c r="I886" t="s">
        <v>820</v>
      </c>
      <c r="J886" t="s">
        <v>2082</v>
      </c>
      <c r="K886">
        <v>4500012769</v>
      </c>
      <c r="L886" t="s">
        <v>2244</v>
      </c>
      <c r="M886" t="s">
        <v>2245</v>
      </c>
      <c r="N886" t="s">
        <v>2701</v>
      </c>
      <c r="O886" t="s">
        <v>2094</v>
      </c>
      <c r="Q886" t="s">
        <v>2231</v>
      </c>
      <c r="S886" t="s">
        <v>2613</v>
      </c>
      <c r="U886" t="s">
        <v>2241</v>
      </c>
      <c r="V886" t="s">
        <v>2233</v>
      </c>
      <c r="AD886">
        <v>2</v>
      </c>
    </row>
    <row r="887" spans="1:30" hidden="1">
      <c r="A887">
        <v>327327</v>
      </c>
      <c r="B887">
        <v>2</v>
      </c>
      <c r="C887" t="s">
        <v>2244</v>
      </c>
      <c r="E887" s="103">
        <v>46220</v>
      </c>
      <c r="F887">
        <v>1</v>
      </c>
      <c r="G887" s="1210">
        <v>46073</v>
      </c>
      <c r="I887" t="s">
        <v>815</v>
      </c>
      <c r="J887" t="s">
        <v>2082</v>
      </c>
      <c r="K887">
        <v>4500012769</v>
      </c>
      <c r="L887" t="s">
        <v>2254</v>
      </c>
      <c r="M887" t="s">
        <v>2245</v>
      </c>
      <c r="N887" t="s">
        <v>2701</v>
      </c>
      <c r="O887" t="s">
        <v>2094</v>
      </c>
      <c r="Q887" t="s">
        <v>2231</v>
      </c>
      <c r="S887" t="s">
        <v>2251</v>
      </c>
      <c r="U887" t="s">
        <v>2241</v>
      </c>
      <c r="V887" t="s">
        <v>2233</v>
      </c>
      <c r="AD887">
        <v>2</v>
      </c>
    </row>
    <row r="888" spans="1:30" hidden="1">
      <c r="A888">
        <v>327327</v>
      </c>
      <c r="B888">
        <v>2</v>
      </c>
      <c r="C888" t="s">
        <v>2244</v>
      </c>
      <c r="E888" s="103">
        <v>46220</v>
      </c>
      <c r="F888">
        <v>1</v>
      </c>
      <c r="G888" s="1210">
        <v>46073</v>
      </c>
      <c r="I888" t="s">
        <v>815</v>
      </c>
      <c r="J888" t="s">
        <v>2082</v>
      </c>
      <c r="K888">
        <v>4500012769</v>
      </c>
      <c r="L888" t="s">
        <v>2254</v>
      </c>
      <c r="M888" t="s">
        <v>2245</v>
      </c>
      <c r="N888" t="s">
        <v>2701</v>
      </c>
      <c r="O888" t="s">
        <v>2094</v>
      </c>
      <c r="Q888" t="s">
        <v>2231</v>
      </c>
      <c r="S888" t="s">
        <v>2255</v>
      </c>
      <c r="U888" t="s">
        <v>2241</v>
      </c>
      <c r="V888" t="s">
        <v>2233</v>
      </c>
      <c r="AD888">
        <v>4</v>
      </c>
    </row>
    <row r="889" spans="1:30" hidden="1">
      <c r="A889">
        <v>327327</v>
      </c>
      <c r="B889">
        <v>1</v>
      </c>
      <c r="C889" t="s">
        <v>2244</v>
      </c>
      <c r="E889" s="103">
        <v>46220</v>
      </c>
      <c r="F889">
        <v>1</v>
      </c>
      <c r="G889" s="1210">
        <v>46073</v>
      </c>
      <c r="I889" t="s">
        <v>815</v>
      </c>
      <c r="J889" t="s">
        <v>2082</v>
      </c>
      <c r="K889">
        <v>4500012769</v>
      </c>
      <c r="L889" t="s">
        <v>2244</v>
      </c>
      <c r="M889" t="s">
        <v>2245</v>
      </c>
      <c r="N889" t="s">
        <v>2701</v>
      </c>
      <c r="O889" t="s">
        <v>2094</v>
      </c>
      <c r="Q889" t="s">
        <v>2231</v>
      </c>
      <c r="S889" t="s">
        <v>2257</v>
      </c>
      <c r="U889" t="s">
        <v>2241</v>
      </c>
      <c r="V889" t="s">
        <v>2233</v>
      </c>
      <c r="AD889">
        <v>5</v>
      </c>
    </row>
    <row r="890" spans="1:30" hidden="1">
      <c r="A890">
        <v>327327</v>
      </c>
      <c r="B890">
        <v>1</v>
      </c>
      <c r="C890" t="s">
        <v>2244</v>
      </c>
      <c r="E890" s="103">
        <v>46220</v>
      </c>
      <c r="F890">
        <v>1</v>
      </c>
      <c r="G890" s="1210">
        <v>46073</v>
      </c>
      <c r="I890" t="s">
        <v>815</v>
      </c>
      <c r="J890" t="s">
        <v>2082</v>
      </c>
      <c r="K890">
        <v>4500012769</v>
      </c>
      <c r="L890" t="s">
        <v>2244</v>
      </c>
      <c r="M890" t="s">
        <v>2245</v>
      </c>
      <c r="N890" t="s">
        <v>2701</v>
      </c>
      <c r="O890" t="s">
        <v>2094</v>
      </c>
      <c r="Q890" t="s">
        <v>2231</v>
      </c>
      <c r="S890" t="s">
        <v>2246</v>
      </c>
      <c r="U890" t="s">
        <v>2241</v>
      </c>
      <c r="V890" t="s">
        <v>2233</v>
      </c>
      <c r="AD890">
        <v>6</v>
      </c>
    </row>
    <row r="891" spans="1:30" hidden="1">
      <c r="A891">
        <v>327327</v>
      </c>
      <c r="B891">
        <v>1</v>
      </c>
      <c r="C891" t="s">
        <v>2244</v>
      </c>
      <c r="E891" s="103">
        <v>46220</v>
      </c>
      <c r="F891">
        <v>1</v>
      </c>
      <c r="G891" s="1210">
        <v>46073</v>
      </c>
      <c r="I891" t="s">
        <v>815</v>
      </c>
      <c r="J891" t="s">
        <v>2082</v>
      </c>
      <c r="K891">
        <v>4500012769</v>
      </c>
      <c r="L891" t="s">
        <v>2244</v>
      </c>
      <c r="M891" t="s">
        <v>2245</v>
      </c>
      <c r="N891" t="s">
        <v>2701</v>
      </c>
      <c r="O891" t="s">
        <v>2094</v>
      </c>
      <c r="Q891" t="s">
        <v>2231</v>
      </c>
      <c r="S891" t="s">
        <v>2248</v>
      </c>
      <c r="U891" t="s">
        <v>2241</v>
      </c>
      <c r="V891" t="s">
        <v>2233</v>
      </c>
      <c r="AD891">
        <v>7</v>
      </c>
    </row>
    <row r="892" spans="1:30" hidden="1">
      <c r="A892">
        <v>327328</v>
      </c>
      <c r="B892">
        <v>3</v>
      </c>
      <c r="C892" t="s">
        <v>2249</v>
      </c>
      <c r="E892" s="103">
        <v>46220</v>
      </c>
      <c r="F892">
        <v>1</v>
      </c>
      <c r="G892" s="1210">
        <v>46073</v>
      </c>
      <c r="I892" t="s">
        <v>837</v>
      </c>
      <c r="J892" t="s">
        <v>2082</v>
      </c>
      <c r="K892">
        <v>4500012769</v>
      </c>
      <c r="L892" t="s">
        <v>2615</v>
      </c>
      <c r="M892" t="s">
        <v>2245</v>
      </c>
      <c r="N892" t="s">
        <v>2701</v>
      </c>
      <c r="O892" t="s">
        <v>2094</v>
      </c>
      <c r="Q892" t="s">
        <v>2231</v>
      </c>
      <c r="S892" t="s">
        <v>2616</v>
      </c>
      <c r="U892" t="s">
        <v>2241</v>
      </c>
      <c r="V892" t="s">
        <v>2233</v>
      </c>
      <c r="AD892">
        <v>3</v>
      </c>
    </row>
    <row r="893" spans="1:30" hidden="1">
      <c r="A893">
        <v>327328</v>
      </c>
      <c r="B893">
        <v>1</v>
      </c>
      <c r="C893" t="s">
        <v>2249</v>
      </c>
      <c r="E893" s="103">
        <v>46220</v>
      </c>
      <c r="F893">
        <v>1</v>
      </c>
      <c r="G893" s="1210">
        <v>46073</v>
      </c>
      <c r="I893" t="s">
        <v>837</v>
      </c>
      <c r="J893" t="s">
        <v>2082</v>
      </c>
      <c r="K893">
        <v>4500012769</v>
      </c>
      <c r="L893" t="s">
        <v>2249</v>
      </c>
      <c r="M893" t="s">
        <v>2245</v>
      </c>
      <c r="N893" t="s">
        <v>2701</v>
      </c>
      <c r="O893" t="s">
        <v>2094</v>
      </c>
      <c r="Q893" t="s">
        <v>2231</v>
      </c>
      <c r="S893" t="s">
        <v>2613</v>
      </c>
      <c r="U893" t="s">
        <v>2241</v>
      </c>
      <c r="V893" t="s">
        <v>2233</v>
      </c>
      <c r="AD893">
        <v>4</v>
      </c>
    </row>
    <row r="894" spans="1:30" hidden="1">
      <c r="A894">
        <v>327328</v>
      </c>
      <c r="B894">
        <v>1</v>
      </c>
      <c r="C894" t="s">
        <v>2249</v>
      </c>
      <c r="E894" s="103">
        <v>46220</v>
      </c>
      <c r="F894">
        <v>1</v>
      </c>
      <c r="G894" s="1210">
        <v>46073</v>
      </c>
      <c r="I894" t="s">
        <v>837</v>
      </c>
      <c r="J894" t="s">
        <v>2082</v>
      </c>
      <c r="K894">
        <v>4500012769</v>
      </c>
      <c r="L894" t="s">
        <v>2249</v>
      </c>
      <c r="M894" t="s">
        <v>2245</v>
      </c>
      <c r="N894" t="s">
        <v>2701</v>
      </c>
      <c r="O894" t="s">
        <v>2094</v>
      </c>
      <c r="Q894" t="s">
        <v>2231</v>
      </c>
      <c r="S894" t="s">
        <v>2618</v>
      </c>
      <c r="U894" t="s">
        <v>2241</v>
      </c>
      <c r="V894" t="s">
        <v>2233</v>
      </c>
      <c r="AD894">
        <v>5</v>
      </c>
    </row>
    <row r="895" spans="1:30" hidden="1">
      <c r="A895">
        <v>327329</v>
      </c>
      <c r="B895">
        <v>1</v>
      </c>
      <c r="C895" t="s">
        <v>2249</v>
      </c>
      <c r="E895" s="103">
        <v>46220</v>
      </c>
      <c r="F895">
        <v>1</v>
      </c>
      <c r="G895" s="1210">
        <v>46073</v>
      </c>
      <c r="I895" t="s">
        <v>833</v>
      </c>
      <c r="J895" t="s">
        <v>2082</v>
      </c>
      <c r="K895">
        <v>4500012769</v>
      </c>
      <c r="L895" t="s">
        <v>2249</v>
      </c>
      <c r="M895" t="s">
        <v>2245</v>
      </c>
      <c r="N895" t="s">
        <v>2701</v>
      </c>
      <c r="O895" t="s">
        <v>2094</v>
      </c>
      <c r="Q895" t="s">
        <v>2231</v>
      </c>
      <c r="S895" t="s">
        <v>2253</v>
      </c>
      <c r="U895" t="s">
        <v>2241</v>
      </c>
      <c r="V895" t="s">
        <v>2233</v>
      </c>
      <c r="AD895">
        <v>1</v>
      </c>
    </row>
    <row r="896" spans="1:30" hidden="1">
      <c r="A896">
        <v>327329</v>
      </c>
      <c r="B896">
        <v>1</v>
      </c>
      <c r="C896" t="s">
        <v>2249</v>
      </c>
      <c r="E896" s="103">
        <v>46220</v>
      </c>
      <c r="F896">
        <v>1</v>
      </c>
      <c r="G896" s="1210">
        <v>46073</v>
      </c>
      <c r="I896" t="s">
        <v>833</v>
      </c>
      <c r="J896" t="s">
        <v>2082</v>
      </c>
      <c r="K896">
        <v>4500012769</v>
      </c>
      <c r="L896" t="s">
        <v>2249</v>
      </c>
      <c r="M896" t="s">
        <v>2245</v>
      </c>
      <c r="N896" t="s">
        <v>2701</v>
      </c>
      <c r="O896" t="s">
        <v>2094</v>
      </c>
      <c r="Q896" t="s">
        <v>2231</v>
      </c>
      <c r="S896" t="s">
        <v>2246</v>
      </c>
      <c r="U896" t="s">
        <v>2241</v>
      </c>
      <c r="V896" t="s">
        <v>2233</v>
      </c>
      <c r="AD896">
        <v>2</v>
      </c>
    </row>
    <row r="897" spans="1:30" hidden="1">
      <c r="A897">
        <v>327329</v>
      </c>
      <c r="B897">
        <v>1</v>
      </c>
      <c r="C897" t="s">
        <v>2249</v>
      </c>
      <c r="E897" s="103">
        <v>46220</v>
      </c>
      <c r="F897">
        <v>1</v>
      </c>
      <c r="G897" s="1210">
        <v>46073</v>
      </c>
      <c r="I897" t="s">
        <v>833</v>
      </c>
      <c r="J897" t="s">
        <v>2082</v>
      </c>
      <c r="K897">
        <v>4500012769</v>
      </c>
      <c r="L897" t="s">
        <v>2249</v>
      </c>
      <c r="M897" t="s">
        <v>2245</v>
      </c>
      <c r="N897" t="s">
        <v>2701</v>
      </c>
      <c r="O897" t="s">
        <v>2094</v>
      </c>
      <c r="Q897" t="s">
        <v>2231</v>
      </c>
      <c r="S897" t="s">
        <v>2248</v>
      </c>
      <c r="U897" t="s">
        <v>2241</v>
      </c>
      <c r="V897" t="s">
        <v>2233</v>
      </c>
      <c r="AD897">
        <v>3</v>
      </c>
    </row>
    <row r="898" spans="1:30" hidden="1">
      <c r="A898">
        <v>327330</v>
      </c>
      <c r="B898">
        <v>2</v>
      </c>
      <c r="C898" t="s">
        <v>2249</v>
      </c>
      <c r="E898" s="103">
        <v>46220</v>
      </c>
      <c r="F898">
        <v>1</v>
      </c>
      <c r="G898" s="1210">
        <v>46073</v>
      </c>
      <c r="I898" t="s">
        <v>828</v>
      </c>
      <c r="J898" t="s">
        <v>2082</v>
      </c>
      <c r="K898">
        <v>4500012769</v>
      </c>
      <c r="L898" t="s">
        <v>2250</v>
      </c>
      <c r="M898" t="s">
        <v>2245</v>
      </c>
      <c r="N898" t="s">
        <v>2701</v>
      </c>
      <c r="O898" t="s">
        <v>2094</v>
      </c>
      <c r="Q898" t="s">
        <v>2231</v>
      </c>
      <c r="S898" t="s">
        <v>2251</v>
      </c>
      <c r="U898" t="s">
        <v>2241</v>
      </c>
      <c r="V898" t="s">
        <v>2233</v>
      </c>
      <c r="AD898">
        <v>2</v>
      </c>
    </row>
    <row r="899" spans="1:30" hidden="1">
      <c r="A899">
        <v>353328</v>
      </c>
      <c r="B899">
        <v>1</v>
      </c>
      <c r="C899" t="s">
        <v>2252</v>
      </c>
      <c r="E899" s="103">
        <v>46222</v>
      </c>
      <c r="F899">
        <v>1</v>
      </c>
      <c r="G899" s="1210">
        <v>46136</v>
      </c>
      <c r="I899" t="s">
        <v>397</v>
      </c>
      <c r="J899" t="s">
        <v>2012</v>
      </c>
      <c r="K899">
        <v>4500013008</v>
      </c>
      <c r="L899" t="s">
        <v>2252</v>
      </c>
      <c r="M899" t="s">
        <v>2647</v>
      </c>
      <c r="N899" t="s">
        <v>2648</v>
      </c>
      <c r="O899" t="s">
        <v>2094</v>
      </c>
      <c r="Q899" t="s">
        <v>2231</v>
      </c>
      <c r="S899" t="s">
        <v>2234</v>
      </c>
      <c r="U899" t="s">
        <v>2241</v>
      </c>
      <c r="V899" t="s">
        <v>2233</v>
      </c>
      <c r="AD899">
        <v>1</v>
      </c>
    </row>
    <row r="900" spans="1:30" hidden="1">
      <c r="A900">
        <v>353328</v>
      </c>
      <c r="B900">
        <v>2</v>
      </c>
      <c r="C900" t="s">
        <v>2252</v>
      </c>
      <c r="E900" s="103">
        <v>46222</v>
      </c>
      <c r="F900">
        <v>1</v>
      </c>
      <c r="G900" s="1210">
        <v>46136</v>
      </c>
      <c r="I900" t="s">
        <v>397</v>
      </c>
      <c r="J900" t="s">
        <v>2012</v>
      </c>
      <c r="K900">
        <v>4500013008</v>
      </c>
      <c r="L900" t="s">
        <v>2256</v>
      </c>
      <c r="M900" t="s">
        <v>2647</v>
      </c>
      <c r="N900" t="s">
        <v>2648</v>
      </c>
      <c r="O900" t="s">
        <v>2094</v>
      </c>
      <c r="Q900" t="s">
        <v>2231</v>
      </c>
      <c r="S900" t="s">
        <v>2232</v>
      </c>
      <c r="U900" t="s">
        <v>2241</v>
      </c>
      <c r="V900" t="s">
        <v>2233</v>
      </c>
      <c r="AD900">
        <v>3</v>
      </c>
    </row>
    <row r="901" spans="1:30" hidden="1">
      <c r="A901">
        <v>353328</v>
      </c>
      <c r="B901">
        <v>2</v>
      </c>
      <c r="C901" t="s">
        <v>2252</v>
      </c>
      <c r="E901" s="103">
        <v>46222</v>
      </c>
      <c r="F901">
        <v>1</v>
      </c>
      <c r="G901" s="1210">
        <v>46136</v>
      </c>
      <c r="I901" t="s">
        <v>397</v>
      </c>
      <c r="J901" t="s">
        <v>2012</v>
      </c>
      <c r="K901">
        <v>4500013008</v>
      </c>
      <c r="L901" t="s">
        <v>2256</v>
      </c>
      <c r="M901" t="s">
        <v>2647</v>
      </c>
      <c r="N901" t="s">
        <v>2648</v>
      </c>
      <c r="O901" t="s">
        <v>2094</v>
      </c>
      <c r="Q901" t="s">
        <v>2231</v>
      </c>
      <c r="S901" t="s">
        <v>2235</v>
      </c>
      <c r="U901" t="s">
        <v>2241</v>
      </c>
      <c r="V901" t="s">
        <v>2233</v>
      </c>
      <c r="AD901">
        <v>5</v>
      </c>
    </row>
    <row r="902" spans="1:30" hidden="1">
      <c r="A902">
        <v>223058</v>
      </c>
      <c r="B902">
        <v>400</v>
      </c>
      <c r="C902" t="s">
        <v>2259</v>
      </c>
      <c r="D902" t="s">
        <v>2237</v>
      </c>
      <c r="E902" s="103">
        <v>46223</v>
      </c>
      <c r="F902">
        <v>4</v>
      </c>
      <c r="G902" s="1210">
        <v>46010</v>
      </c>
      <c r="I902" t="s">
        <v>726</v>
      </c>
      <c r="J902" t="s">
        <v>2082</v>
      </c>
      <c r="K902">
        <v>4500012243</v>
      </c>
      <c r="L902" t="s">
        <v>2274</v>
      </c>
      <c r="M902" t="s">
        <v>2261</v>
      </c>
      <c r="N902" t="s">
        <v>2272</v>
      </c>
      <c r="O902" t="s">
        <v>2026</v>
      </c>
      <c r="P902" s="103">
        <v>46216</v>
      </c>
      <c r="Q902" t="s">
        <v>2231</v>
      </c>
      <c r="R902" s="103">
        <v>46220</v>
      </c>
      <c r="S902" t="s">
        <v>2236</v>
      </c>
      <c r="U902" t="s">
        <v>2282</v>
      </c>
      <c r="V902" t="s">
        <v>2263</v>
      </c>
      <c r="W902" t="s">
        <v>2643</v>
      </c>
      <c r="AD902">
        <v>2605</v>
      </c>
    </row>
    <row r="903" spans="1:30" hidden="1">
      <c r="A903">
        <v>295640</v>
      </c>
      <c r="B903">
        <v>200</v>
      </c>
      <c r="C903" t="s">
        <v>2240</v>
      </c>
      <c r="D903" t="s">
        <v>2703</v>
      </c>
      <c r="E903" s="103">
        <v>46227</v>
      </c>
      <c r="F903">
        <v>1</v>
      </c>
      <c r="G903" s="1210">
        <v>46136</v>
      </c>
      <c r="I903" t="s">
        <v>773</v>
      </c>
      <c r="J903" t="s">
        <v>2082</v>
      </c>
      <c r="K903">
        <v>4500012982</v>
      </c>
      <c r="L903" t="s">
        <v>2276</v>
      </c>
      <c r="M903" t="s">
        <v>2704</v>
      </c>
      <c r="N903" t="s">
        <v>2627</v>
      </c>
      <c r="O903" t="s">
        <v>2026</v>
      </c>
      <c r="P903" s="103">
        <v>46217</v>
      </c>
      <c r="Q903" t="s">
        <v>2231</v>
      </c>
      <c r="R903" s="103">
        <v>46221</v>
      </c>
      <c r="S903" t="s">
        <v>2236</v>
      </c>
      <c r="U903" t="s">
        <v>2628</v>
      </c>
      <c r="AD903">
        <v>1040</v>
      </c>
    </row>
    <row r="904" spans="1:30" hidden="1">
      <c r="A904">
        <v>295638</v>
      </c>
      <c r="B904">
        <v>300</v>
      </c>
      <c r="C904" t="s">
        <v>2270</v>
      </c>
      <c r="D904" t="s">
        <v>2625</v>
      </c>
      <c r="E904" s="103">
        <v>46227</v>
      </c>
      <c r="F904">
        <v>1</v>
      </c>
      <c r="G904" s="1210">
        <v>46191</v>
      </c>
      <c r="I904" t="s">
        <v>721</v>
      </c>
      <c r="J904" t="s">
        <v>2082</v>
      </c>
      <c r="K904">
        <v>4500013145</v>
      </c>
      <c r="L904" t="s">
        <v>2271</v>
      </c>
      <c r="M904" t="s">
        <v>2626</v>
      </c>
      <c r="N904" t="s">
        <v>2627</v>
      </c>
      <c r="O904" t="s">
        <v>2026</v>
      </c>
      <c r="P904" s="103">
        <v>46217</v>
      </c>
      <c r="Q904" t="s">
        <v>2231</v>
      </c>
      <c r="R904" s="103">
        <v>46221</v>
      </c>
      <c r="S904" t="s">
        <v>2236</v>
      </c>
      <c r="U904" t="s">
        <v>2628</v>
      </c>
      <c r="V904" t="s">
        <v>2273</v>
      </c>
      <c r="AD904">
        <v>760</v>
      </c>
    </row>
    <row r="905" spans="1:30" hidden="1">
      <c r="A905">
        <v>353328</v>
      </c>
      <c r="B905">
        <v>100</v>
      </c>
      <c r="C905" t="s">
        <v>2252</v>
      </c>
      <c r="D905" t="s">
        <v>2622</v>
      </c>
      <c r="E905" s="103">
        <v>46234</v>
      </c>
      <c r="F905">
        <v>1</v>
      </c>
      <c r="G905" s="1210">
        <v>46136</v>
      </c>
      <c r="I905" t="s">
        <v>397</v>
      </c>
      <c r="J905" t="s">
        <v>2012</v>
      </c>
      <c r="K905">
        <v>4500013009</v>
      </c>
      <c r="L905" t="s">
        <v>2264</v>
      </c>
      <c r="M905" t="s">
        <v>2649</v>
      </c>
      <c r="N905" t="s">
        <v>2630</v>
      </c>
      <c r="O905" t="s">
        <v>2026</v>
      </c>
      <c r="P905" s="103">
        <v>46227</v>
      </c>
      <c r="Q905" t="s">
        <v>2231</v>
      </c>
      <c r="R905" s="103">
        <v>46231</v>
      </c>
      <c r="S905" t="s">
        <v>2236</v>
      </c>
      <c r="T905" t="s">
        <v>2623</v>
      </c>
      <c r="U905" t="s">
        <v>2241</v>
      </c>
      <c r="V905" t="s">
        <v>2088</v>
      </c>
      <c r="AD905">
        <v>105</v>
      </c>
    </row>
    <row r="906" spans="1:30" hidden="1">
      <c r="A906">
        <v>284151</v>
      </c>
      <c r="B906">
        <v>100</v>
      </c>
      <c r="C906" t="s">
        <v>2278</v>
      </c>
      <c r="E906" s="103">
        <v>46237</v>
      </c>
      <c r="F906">
        <v>4</v>
      </c>
      <c r="G906" s="1210">
        <v>46003</v>
      </c>
      <c r="I906" t="s">
        <v>683</v>
      </c>
      <c r="J906" t="s">
        <v>2082</v>
      </c>
      <c r="K906">
        <v>4500012148</v>
      </c>
      <c r="L906" t="s">
        <v>2279</v>
      </c>
      <c r="M906" t="s">
        <v>2280</v>
      </c>
      <c r="N906" t="s">
        <v>2277</v>
      </c>
      <c r="O906" t="s">
        <v>2026</v>
      </c>
      <c r="P906" s="103">
        <v>46230</v>
      </c>
      <c r="Q906" t="s">
        <v>2231</v>
      </c>
      <c r="R906" s="103">
        <v>46234</v>
      </c>
      <c r="S906" t="s">
        <v>2281</v>
      </c>
      <c r="U906" t="s">
        <v>2282</v>
      </c>
      <c r="V906" t="s">
        <v>2283</v>
      </c>
      <c r="W906" t="s">
        <v>2284</v>
      </c>
      <c r="AD906">
        <v>455</v>
      </c>
    </row>
    <row r="907" spans="1:30" hidden="1">
      <c r="A907">
        <v>303437</v>
      </c>
      <c r="B907">
        <v>5</v>
      </c>
      <c r="C907" t="s">
        <v>2294</v>
      </c>
      <c r="D907" t="s">
        <v>2286</v>
      </c>
      <c r="E907" s="103">
        <v>46237</v>
      </c>
      <c r="F907">
        <v>1</v>
      </c>
      <c r="G907" s="1210">
        <v>46016</v>
      </c>
      <c r="I907" t="s">
        <v>475</v>
      </c>
      <c r="J907" t="s">
        <v>2070</v>
      </c>
      <c r="K907">
        <v>4500012432</v>
      </c>
      <c r="L907" t="s">
        <v>2295</v>
      </c>
      <c r="N907" t="s">
        <v>2288</v>
      </c>
      <c r="O907" t="s">
        <v>2094</v>
      </c>
      <c r="P907" s="103">
        <v>46233</v>
      </c>
      <c r="Q907" t="s">
        <v>2289</v>
      </c>
      <c r="R907" s="103">
        <v>46237</v>
      </c>
      <c r="S907" t="s">
        <v>2290</v>
      </c>
      <c r="U907" t="s">
        <v>2241</v>
      </c>
      <c r="V907" t="s">
        <v>2233</v>
      </c>
      <c r="AD907">
        <v>5</v>
      </c>
    </row>
    <row r="908" spans="1:30" hidden="1">
      <c r="A908">
        <v>303438</v>
      </c>
      <c r="B908">
        <v>5</v>
      </c>
      <c r="C908" t="s">
        <v>2285</v>
      </c>
      <c r="D908" t="s">
        <v>2286</v>
      </c>
      <c r="E908" s="103">
        <v>46237</v>
      </c>
      <c r="F908">
        <v>1</v>
      </c>
      <c r="G908" s="1210">
        <v>46016</v>
      </c>
      <c r="I908" t="s">
        <v>478</v>
      </c>
      <c r="J908" t="s">
        <v>2070</v>
      </c>
      <c r="K908">
        <v>4500012432</v>
      </c>
      <c r="L908" t="s">
        <v>2287</v>
      </c>
      <c r="N908" t="s">
        <v>2288</v>
      </c>
      <c r="O908" t="s">
        <v>2094</v>
      </c>
      <c r="P908" s="103">
        <v>46233</v>
      </c>
      <c r="Q908" t="s">
        <v>2289</v>
      </c>
      <c r="R908" s="103">
        <v>46237</v>
      </c>
      <c r="S908" t="s">
        <v>2290</v>
      </c>
      <c r="U908" t="s">
        <v>2241</v>
      </c>
      <c r="V908" t="s">
        <v>2233</v>
      </c>
      <c r="AD908">
        <v>5</v>
      </c>
    </row>
    <row r="909" spans="1:30" hidden="1">
      <c r="A909">
        <v>189730</v>
      </c>
      <c r="B909">
        <v>10</v>
      </c>
      <c r="C909" t="s">
        <v>2905</v>
      </c>
      <c r="D909" t="s">
        <v>4428</v>
      </c>
      <c r="E909" s="103">
        <v>46237</v>
      </c>
      <c r="F909">
        <v>1</v>
      </c>
      <c r="G909" s="1210"/>
      <c r="I909" t="s">
        <v>2906</v>
      </c>
      <c r="J909" t="s">
        <v>2082</v>
      </c>
      <c r="K909">
        <v>4500013203</v>
      </c>
      <c r="L909" t="s">
        <v>2907</v>
      </c>
      <c r="N909" t="s">
        <v>2708</v>
      </c>
      <c r="O909" t="s">
        <v>2026</v>
      </c>
      <c r="P909" s="103">
        <v>46230</v>
      </c>
      <c r="Q909" t="s">
        <v>2231</v>
      </c>
      <c r="R909" s="103">
        <v>46234</v>
      </c>
      <c r="S909" t="s">
        <v>4429</v>
      </c>
      <c r="U909" t="s">
        <v>4430</v>
      </c>
      <c r="V909" t="s">
        <v>4431</v>
      </c>
      <c r="AD909">
        <v>10</v>
      </c>
    </row>
    <row r="910" spans="1:30" hidden="1">
      <c r="A910">
        <v>349140</v>
      </c>
      <c r="B910">
        <v>120</v>
      </c>
      <c r="C910" t="s">
        <v>2291</v>
      </c>
      <c r="D910" t="s">
        <v>2623</v>
      </c>
      <c r="E910" s="103">
        <v>46239</v>
      </c>
      <c r="F910">
        <v>1</v>
      </c>
      <c r="G910" s="1210">
        <v>46156</v>
      </c>
      <c r="I910" t="s">
        <v>211</v>
      </c>
      <c r="J910" t="s">
        <v>2012</v>
      </c>
      <c r="K910">
        <v>4500013056</v>
      </c>
      <c r="L910" t="s">
        <v>2292</v>
      </c>
      <c r="M910" t="s">
        <v>2629</v>
      </c>
      <c r="N910" t="s">
        <v>2630</v>
      </c>
      <c r="O910" t="s">
        <v>2026</v>
      </c>
      <c r="P910" s="103">
        <v>46224</v>
      </c>
      <c r="Q910" t="s">
        <v>2231</v>
      </c>
      <c r="R910" s="103">
        <v>46228</v>
      </c>
      <c r="S910" t="s">
        <v>2236</v>
      </c>
      <c r="T910" t="s">
        <v>2705</v>
      </c>
      <c r="U910" t="s">
        <v>2241</v>
      </c>
      <c r="V910" t="s">
        <v>2293</v>
      </c>
      <c r="AD910">
        <v>1436</v>
      </c>
    </row>
    <row r="911" spans="1:30" hidden="1">
      <c r="A911">
        <v>326941</v>
      </c>
      <c r="B911">
        <v>72</v>
      </c>
      <c r="C911" t="s">
        <v>2242</v>
      </c>
      <c r="D911" t="s">
        <v>2635</v>
      </c>
      <c r="E911" s="103">
        <v>46241</v>
      </c>
      <c r="F911">
        <v>1</v>
      </c>
      <c r="G911" s="1210">
        <v>46087</v>
      </c>
      <c r="I911" t="s">
        <v>193</v>
      </c>
      <c r="J911" t="s">
        <v>2012</v>
      </c>
      <c r="K911">
        <v>4500012933</v>
      </c>
      <c r="L911" t="s">
        <v>2298</v>
      </c>
      <c r="M911" t="s">
        <v>2299</v>
      </c>
      <c r="N911" t="s">
        <v>2634</v>
      </c>
      <c r="O911" t="s">
        <v>2026</v>
      </c>
      <c r="P911" s="103">
        <v>46231</v>
      </c>
      <c r="Q911" t="s">
        <v>2231</v>
      </c>
      <c r="R911" s="103">
        <v>46235</v>
      </c>
      <c r="S911" t="s">
        <v>2236</v>
      </c>
      <c r="U911" t="s">
        <v>2241</v>
      </c>
      <c r="V911" t="s">
        <v>2300</v>
      </c>
      <c r="AD911">
        <v>422</v>
      </c>
    </row>
    <row r="912" spans="1:30" hidden="1">
      <c r="A912">
        <v>353328</v>
      </c>
      <c r="B912">
        <v>650</v>
      </c>
      <c r="C912" t="s">
        <v>2252</v>
      </c>
      <c r="D912" t="s">
        <v>2633</v>
      </c>
      <c r="E912" s="103">
        <v>46241</v>
      </c>
      <c r="F912">
        <v>1</v>
      </c>
      <c r="G912" s="1210">
        <v>46136</v>
      </c>
      <c r="I912" t="s">
        <v>397</v>
      </c>
      <c r="J912" t="s">
        <v>2012</v>
      </c>
      <c r="K912">
        <v>4500013010</v>
      </c>
      <c r="L912" t="s">
        <v>2297</v>
      </c>
      <c r="N912" t="s">
        <v>2634</v>
      </c>
      <c r="O912" t="s">
        <v>2026</v>
      </c>
      <c r="P912" s="103">
        <v>46231</v>
      </c>
      <c r="Q912" t="s">
        <v>2231</v>
      </c>
      <c r="R912" s="103">
        <v>46235</v>
      </c>
      <c r="S912" t="s">
        <v>2236</v>
      </c>
      <c r="U912" t="s">
        <v>2241</v>
      </c>
      <c r="V912" t="s">
        <v>2243</v>
      </c>
      <c r="AD912">
        <v>755</v>
      </c>
    </row>
    <row r="913" spans="1:30" hidden="1">
      <c r="A913">
        <v>375111</v>
      </c>
      <c r="B913">
        <v>100</v>
      </c>
      <c r="C913" t="s">
        <v>2715</v>
      </c>
      <c r="D913" t="s">
        <v>2636</v>
      </c>
      <c r="E913" s="103">
        <v>46244</v>
      </c>
      <c r="F913">
        <v>1</v>
      </c>
      <c r="G913" s="1210">
        <v>46202</v>
      </c>
      <c r="I913" t="s">
        <v>2716</v>
      </c>
      <c r="J913" t="s">
        <v>2082</v>
      </c>
      <c r="K913">
        <v>1522704</v>
      </c>
      <c r="L913" t="s">
        <v>2717</v>
      </c>
      <c r="N913" t="s">
        <v>2708</v>
      </c>
      <c r="O913" t="s">
        <v>2026</v>
      </c>
      <c r="P913" s="103">
        <v>46237</v>
      </c>
      <c r="Q913" t="s">
        <v>2231</v>
      </c>
      <c r="R913" s="103">
        <v>46241</v>
      </c>
      <c r="S913" t="s">
        <v>2236</v>
      </c>
      <c r="U913" t="s">
        <v>2241</v>
      </c>
      <c r="AD913">
        <v>100</v>
      </c>
    </row>
    <row r="914" spans="1:30" hidden="1">
      <c r="A914">
        <v>327322</v>
      </c>
      <c r="B914">
        <v>140</v>
      </c>
      <c r="C914" t="s">
        <v>2307</v>
      </c>
      <c r="D914" t="s">
        <v>2636</v>
      </c>
      <c r="E914" s="103">
        <v>46244</v>
      </c>
      <c r="F914">
        <v>1</v>
      </c>
      <c r="G914" s="1210">
        <v>46100</v>
      </c>
      <c r="I914" t="s">
        <v>811</v>
      </c>
      <c r="J914" t="s">
        <v>2082</v>
      </c>
      <c r="K914">
        <v>4500012869</v>
      </c>
      <c r="L914" t="s">
        <v>2309</v>
      </c>
      <c r="M914" t="s">
        <v>2707</v>
      </c>
      <c r="N914" t="s">
        <v>2708</v>
      </c>
      <c r="O914" t="s">
        <v>2026</v>
      </c>
      <c r="P914" s="103">
        <v>46237</v>
      </c>
      <c r="Q914" t="s">
        <v>2231</v>
      </c>
      <c r="R914" s="103">
        <v>46241</v>
      </c>
      <c r="S914" t="s">
        <v>2236</v>
      </c>
      <c r="U914" t="s">
        <v>2241</v>
      </c>
      <c r="V914" t="s">
        <v>2088</v>
      </c>
      <c r="W914" t="s">
        <v>2308</v>
      </c>
      <c r="AD914">
        <v>146</v>
      </c>
    </row>
    <row r="915" spans="1:30" hidden="1">
      <c r="A915">
        <v>327323</v>
      </c>
      <c r="B915">
        <v>56</v>
      </c>
      <c r="C915" t="s">
        <v>2307</v>
      </c>
      <c r="D915" t="s">
        <v>2636</v>
      </c>
      <c r="E915" s="103">
        <v>46244</v>
      </c>
      <c r="F915">
        <v>1</v>
      </c>
      <c r="G915" s="1210">
        <v>46100</v>
      </c>
      <c r="I915" t="s">
        <v>807</v>
      </c>
      <c r="J915" t="s">
        <v>2082</v>
      </c>
      <c r="K915">
        <v>4500012869</v>
      </c>
      <c r="L915" t="s">
        <v>2310</v>
      </c>
      <c r="M915" t="s">
        <v>2707</v>
      </c>
      <c r="N915" t="s">
        <v>2708</v>
      </c>
      <c r="O915" t="s">
        <v>2026</v>
      </c>
      <c r="P915" s="103">
        <v>46237</v>
      </c>
      <c r="Q915" t="s">
        <v>2231</v>
      </c>
      <c r="R915" s="103">
        <v>46241</v>
      </c>
      <c r="S915" t="s">
        <v>2236</v>
      </c>
      <c r="U915" t="s">
        <v>2241</v>
      </c>
      <c r="V915" t="s">
        <v>2088</v>
      </c>
      <c r="W915" t="s">
        <v>2308</v>
      </c>
      <c r="AD915">
        <v>62</v>
      </c>
    </row>
    <row r="916" spans="1:30" hidden="1">
      <c r="A916">
        <v>327324</v>
      </c>
      <c r="B916">
        <v>60</v>
      </c>
      <c r="C916" t="s">
        <v>2307</v>
      </c>
      <c r="D916" t="s">
        <v>2636</v>
      </c>
      <c r="E916" s="103">
        <v>46244</v>
      </c>
      <c r="F916">
        <v>1</v>
      </c>
      <c r="G916" s="1210">
        <v>46100</v>
      </c>
      <c r="I916" t="s">
        <v>803</v>
      </c>
      <c r="J916" t="s">
        <v>2082</v>
      </c>
      <c r="K916">
        <v>4500012869</v>
      </c>
      <c r="L916" t="s">
        <v>2311</v>
      </c>
      <c r="M916" t="s">
        <v>2707</v>
      </c>
      <c r="N916" t="s">
        <v>2708</v>
      </c>
      <c r="O916" t="s">
        <v>2026</v>
      </c>
      <c r="P916" s="103">
        <v>46237</v>
      </c>
      <c r="Q916" t="s">
        <v>2231</v>
      </c>
      <c r="R916" s="103">
        <v>46241</v>
      </c>
      <c r="S916" t="s">
        <v>2236</v>
      </c>
      <c r="U916" t="s">
        <v>2241</v>
      </c>
      <c r="V916" t="s">
        <v>2088</v>
      </c>
      <c r="W916" t="s">
        <v>2308</v>
      </c>
      <c r="AD916">
        <v>64</v>
      </c>
    </row>
    <row r="917" spans="1:30" hidden="1">
      <c r="A917">
        <v>327325</v>
      </c>
      <c r="B917">
        <v>160</v>
      </c>
      <c r="C917" t="s">
        <v>2312</v>
      </c>
      <c r="D917" t="s">
        <v>2636</v>
      </c>
      <c r="E917" s="103">
        <v>46244</v>
      </c>
      <c r="F917">
        <v>1</v>
      </c>
      <c r="G917" s="1210">
        <v>46100</v>
      </c>
      <c r="I917" t="s">
        <v>824</v>
      </c>
      <c r="J917" t="s">
        <v>2082</v>
      </c>
      <c r="K917">
        <v>4500012869</v>
      </c>
      <c r="L917" t="s">
        <v>2316</v>
      </c>
      <c r="M917" t="s">
        <v>2707</v>
      </c>
      <c r="N917" t="s">
        <v>2708</v>
      </c>
      <c r="O917" t="s">
        <v>2026</v>
      </c>
      <c r="P917" s="103">
        <v>46237</v>
      </c>
      <c r="Q917" t="s">
        <v>2231</v>
      </c>
      <c r="R917" s="103">
        <v>46241</v>
      </c>
      <c r="S917" t="s">
        <v>2236</v>
      </c>
      <c r="U917" t="s">
        <v>2241</v>
      </c>
      <c r="V917" t="s">
        <v>2088</v>
      </c>
      <c r="W917" t="s">
        <v>2308</v>
      </c>
      <c r="AD917">
        <v>163</v>
      </c>
    </row>
    <row r="918" spans="1:30" hidden="1">
      <c r="A918">
        <v>327326</v>
      </c>
      <c r="B918">
        <v>76</v>
      </c>
      <c r="C918" t="s">
        <v>2312</v>
      </c>
      <c r="D918" t="s">
        <v>2636</v>
      </c>
      <c r="E918" s="103">
        <v>46244</v>
      </c>
      <c r="F918">
        <v>1</v>
      </c>
      <c r="G918" s="1210">
        <v>46100</v>
      </c>
      <c r="I918" t="s">
        <v>820</v>
      </c>
      <c r="J918" t="s">
        <v>2082</v>
      </c>
      <c r="K918">
        <v>4500012869</v>
      </c>
      <c r="L918" t="s">
        <v>2313</v>
      </c>
      <c r="M918" t="s">
        <v>2707</v>
      </c>
      <c r="N918" t="s">
        <v>2708</v>
      </c>
      <c r="O918" t="s">
        <v>2026</v>
      </c>
      <c r="P918" s="103">
        <v>46237</v>
      </c>
      <c r="Q918" t="s">
        <v>2231</v>
      </c>
      <c r="R918" s="103">
        <v>46241</v>
      </c>
      <c r="S918" t="s">
        <v>2236</v>
      </c>
      <c r="U918" t="s">
        <v>2241</v>
      </c>
      <c r="V918" t="s">
        <v>2088</v>
      </c>
      <c r="W918" t="s">
        <v>2308</v>
      </c>
      <c r="AD918">
        <v>78</v>
      </c>
    </row>
    <row r="919" spans="1:30" hidden="1">
      <c r="A919">
        <v>327327</v>
      </c>
      <c r="B919">
        <v>76</v>
      </c>
      <c r="C919" t="s">
        <v>2312</v>
      </c>
      <c r="D919" t="s">
        <v>2636</v>
      </c>
      <c r="E919" s="103">
        <v>46244</v>
      </c>
      <c r="F919">
        <v>1</v>
      </c>
      <c r="G919" s="1210">
        <v>46100</v>
      </c>
      <c r="I919" t="s">
        <v>815</v>
      </c>
      <c r="J919" t="s">
        <v>2082</v>
      </c>
      <c r="K919">
        <v>4500012869</v>
      </c>
      <c r="L919" t="s">
        <v>2313</v>
      </c>
      <c r="M919" t="s">
        <v>2707</v>
      </c>
      <c r="N919" t="s">
        <v>2708</v>
      </c>
      <c r="O919" t="s">
        <v>2026</v>
      </c>
      <c r="P919" s="103">
        <v>46237</v>
      </c>
      <c r="Q919" t="s">
        <v>2231</v>
      </c>
      <c r="R919" s="103">
        <v>46241</v>
      </c>
      <c r="S919" t="s">
        <v>2236</v>
      </c>
      <c r="U919" t="s">
        <v>2241</v>
      </c>
      <c r="V919" t="s">
        <v>2088</v>
      </c>
      <c r="W919" t="s">
        <v>2308</v>
      </c>
      <c r="AD919">
        <v>83</v>
      </c>
    </row>
    <row r="920" spans="1:30" hidden="1">
      <c r="A920">
        <v>327328</v>
      </c>
      <c r="B920">
        <v>152</v>
      </c>
      <c r="C920" t="s">
        <v>2314</v>
      </c>
      <c r="D920" t="s">
        <v>2636</v>
      </c>
      <c r="E920" s="103">
        <v>46244</v>
      </c>
      <c r="F920">
        <v>1</v>
      </c>
      <c r="G920" s="1210">
        <v>46100</v>
      </c>
      <c r="I920" t="s">
        <v>837</v>
      </c>
      <c r="J920" t="s">
        <v>2082</v>
      </c>
      <c r="K920">
        <v>4500012869</v>
      </c>
      <c r="L920" t="s">
        <v>2315</v>
      </c>
      <c r="M920" t="s">
        <v>2707</v>
      </c>
      <c r="N920" t="s">
        <v>2708</v>
      </c>
      <c r="O920" t="s">
        <v>2026</v>
      </c>
      <c r="P920" s="103">
        <v>46237</v>
      </c>
      <c r="Q920" t="s">
        <v>2231</v>
      </c>
      <c r="R920" s="103">
        <v>46241</v>
      </c>
      <c r="S920" t="s">
        <v>2236</v>
      </c>
      <c r="U920" t="s">
        <v>2241</v>
      </c>
      <c r="V920" t="s">
        <v>2088</v>
      </c>
      <c r="W920" t="s">
        <v>2308</v>
      </c>
      <c r="AD920">
        <v>157</v>
      </c>
    </row>
    <row r="921" spans="1:30" hidden="1">
      <c r="A921">
        <v>327329</v>
      </c>
      <c r="B921">
        <v>96</v>
      </c>
      <c r="C921" t="s">
        <v>2314</v>
      </c>
      <c r="D921" t="s">
        <v>2636</v>
      </c>
      <c r="E921" s="103">
        <v>46244</v>
      </c>
      <c r="F921">
        <v>1</v>
      </c>
      <c r="G921" s="1210">
        <v>46100</v>
      </c>
      <c r="I921" t="s">
        <v>833</v>
      </c>
      <c r="J921" t="s">
        <v>2082</v>
      </c>
      <c r="K921">
        <v>4500012869</v>
      </c>
      <c r="L921" t="s">
        <v>2318</v>
      </c>
      <c r="M921" t="s">
        <v>2707</v>
      </c>
      <c r="N921" t="s">
        <v>2708</v>
      </c>
      <c r="O921" t="s">
        <v>2026</v>
      </c>
      <c r="P921" s="103">
        <v>46237</v>
      </c>
      <c r="Q921" t="s">
        <v>2231</v>
      </c>
      <c r="R921" s="103">
        <v>46241</v>
      </c>
      <c r="S921" t="s">
        <v>2236</v>
      </c>
      <c r="U921" t="s">
        <v>2241</v>
      </c>
      <c r="V921" t="s">
        <v>2088</v>
      </c>
      <c r="W921" t="s">
        <v>2308</v>
      </c>
      <c r="AD921">
        <v>99</v>
      </c>
    </row>
    <row r="922" spans="1:30" hidden="1">
      <c r="A922">
        <v>327330</v>
      </c>
      <c r="B922">
        <v>92</v>
      </c>
      <c r="C922" t="s">
        <v>2314</v>
      </c>
      <c r="D922" t="s">
        <v>2636</v>
      </c>
      <c r="E922" s="103">
        <v>46244</v>
      </c>
      <c r="F922">
        <v>1</v>
      </c>
      <c r="G922" s="1210">
        <v>46100</v>
      </c>
      <c r="I922" t="s">
        <v>828</v>
      </c>
      <c r="J922" t="s">
        <v>2082</v>
      </c>
      <c r="K922">
        <v>4500012869</v>
      </c>
      <c r="L922" t="s">
        <v>2317</v>
      </c>
      <c r="M922" t="s">
        <v>2707</v>
      </c>
      <c r="N922" t="s">
        <v>2708</v>
      </c>
      <c r="O922" t="s">
        <v>2026</v>
      </c>
      <c r="P922" s="103">
        <v>46237</v>
      </c>
      <c r="Q922" t="s">
        <v>2231</v>
      </c>
      <c r="R922" s="103">
        <v>46241</v>
      </c>
      <c r="S922" t="s">
        <v>2236</v>
      </c>
      <c r="U922" t="s">
        <v>2241</v>
      </c>
      <c r="V922" t="s">
        <v>2088</v>
      </c>
      <c r="W922" t="s">
        <v>2308</v>
      </c>
      <c r="AD922">
        <v>94</v>
      </c>
    </row>
    <row r="923" spans="1:30" hidden="1">
      <c r="A923">
        <v>353117</v>
      </c>
      <c r="B923">
        <v>300</v>
      </c>
      <c r="C923" t="s">
        <v>2230</v>
      </c>
      <c r="D923" t="s">
        <v>2706</v>
      </c>
      <c r="E923" s="103">
        <v>46244</v>
      </c>
      <c r="F923">
        <v>1</v>
      </c>
      <c r="G923" s="1210">
        <v>46136</v>
      </c>
      <c r="I923" t="s">
        <v>795</v>
      </c>
      <c r="J923" t="s">
        <v>2082</v>
      </c>
      <c r="K923">
        <v>4500013004</v>
      </c>
      <c r="L923" t="s">
        <v>2296</v>
      </c>
      <c r="M923" t="s">
        <v>2707</v>
      </c>
      <c r="N923" t="s">
        <v>2708</v>
      </c>
      <c r="O923" t="s">
        <v>2026</v>
      </c>
      <c r="P923" s="103">
        <v>46234</v>
      </c>
      <c r="Q923" t="s">
        <v>2231</v>
      </c>
      <c r="R923" s="103">
        <v>46238</v>
      </c>
      <c r="S923" t="s">
        <v>2236</v>
      </c>
      <c r="U923" t="s">
        <v>2241</v>
      </c>
      <c r="V923" t="s">
        <v>2243</v>
      </c>
      <c r="AD923">
        <v>905</v>
      </c>
    </row>
    <row r="924" spans="1:30" hidden="1">
      <c r="A924">
        <v>362644</v>
      </c>
      <c r="B924">
        <v>20</v>
      </c>
      <c r="C924" t="s">
        <v>2301</v>
      </c>
      <c r="D924" t="s">
        <v>2709</v>
      </c>
      <c r="E924" s="103">
        <v>46244</v>
      </c>
      <c r="F924">
        <v>1</v>
      </c>
      <c r="G924" s="1210">
        <v>46156</v>
      </c>
      <c r="I924" t="s">
        <v>411</v>
      </c>
      <c r="J924" t="s">
        <v>2082</v>
      </c>
      <c r="K924">
        <v>4500013073</v>
      </c>
      <c r="L924" t="s">
        <v>2710</v>
      </c>
      <c r="M924" t="s">
        <v>2711</v>
      </c>
      <c r="N924" t="s">
        <v>2712</v>
      </c>
      <c r="O924" t="s">
        <v>2094</v>
      </c>
      <c r="Q924" t="s">
        <v>2231</v>
      </c>
      <c r="S924" t="s">
        <v>2236</v>
      </c>
      <c r="U924" t="s">
        <v>2628</v>
      </c>
      <c r="V924" t="s">
        <v>2302</v>
      </c>
      <c r="AD924">
        <v>946</v>
      </c>
    </row>
    <row r="925" spans="1:30" hidden="1">
      <c r="A925">
        <v>366294</v>
      </c>
      <c r="B925">
        <v>30</v>
      </c>
      <c r="C925" t="s">
        <v>2238</v>
      </c>
      <c r="D925" t="s">
        <v>2713</v>
      </c>
      <c r="E925" s="103">
        <v>46244</v>
      </c>
      <c r="F925">
        <v>1</v>
      </c>
      <c r="G925" s="1210">
        <v>46171</v>
      </c>
      <c r="I925" t="s">
        <v>186</v>
      </c>
      <c r="J925" t="s">
        <v>2082</v>
      </c>
      <c r="K925">
        <v>4500013094</v>
      </c>
      <c r="L925" t="s">
        <v>2239</v>
      </c>
      <c r="M925" t="s">
        <v>2707</v>
      </c>
      <c r="N925" t="s">
        <v>2708</v>
      </c>
      <c r="O925" t="s">
        <v>2026</v>
      </c>
      <c r="P925" s="103">
        <v>46234</v>
      </c>
      <c r="Q925" t="s">
        <v>2231</v>
      </c>
      <c r="R925" s="103">
        <v>46238</v>
      </c>
      <c r="S925" t="s">
        <v>2236</v>
      </c>
      <c r="T925" t="s">
        <v>2714</v>
      </c>
      <c r="U925" t="s">
        <v>2241</v>
      </c>
      <c r="V925" t="s">
        <v>2324</v>
      </c>
      <c r="AD925">
        <v>160</v>
      </c>
    </row>
    <row r="926" spans="1:30" hidden="1">
      <c r="A926">
        <v>295638</v>
      </c>
      <c r="B926">
        <v>400</v>
      </c>
      <c r="C926" t="s">
        <v>2270</v>
      </c>
      <c r="E926" s="103">
        <v>46244</v>
      </c>
      <c r="F926">
        <v>1</v>
      </c>
      <c r="G926" s="1210">
        <v>46191</v>
      </c>
      <c r="I926" t="s">
        <v>721</v>
      </c>
      <c r="J926" t="s">
        <v>2082</v>
      </c>
      <c r="K926">
        <v>4500013146</v>
      </c>
      <c r="L926" t="s">
        <v>2303</v>
      </c>
      <c r="N926" t="s">
        <v>2288</v>
      </c>
      <c r="O926" t="s">
        <v>2026</v>
      </c>
      <c r="P926" s="103">
        <v>46237</v>
      </c>
      <c r="Q926" t="s">
        <v>2231</v>
      </c>
      <c r="R926" s="103">
        <v>46241</v>
      </c>
      <c r="S926" t="s">
        <v>2236</v>
      </c>
      <c r="U926" t="s">
        <v>2247</v>
      </c>
      <c r="V926" t="s">
        <v>2273</v>
      </c>
      <c r="AD926">
        <v>1160</v>
      </c>
    </row>
    <row r="927" spans="1:30" hidden="1">
      <c r="A927">
        <v>353329</v>
      </c>
      <c r="B927">
        <v>1</v>
      </c>
      <c r="C927" t="s">
        <v>2304</v>
      </c>
      <c r="E927" s="103">
        <v>46246</v>
      </c>
      <c r="F927">
        <v>1</v>
      </c>
      <c r="G927" s="1210">
        <v>46136</v>
      </c>
      <c r="I927" t="s">
        <v>399</v>
      </c>
      <c r="J927" t="s">
        <v>2012</v>
      </c>
      <c r="K927">
        <v>4500013014</v>
      </c>
      <c r="L927" t="s">
        <v>2304</v>
      </c>
      <c r="N927" t="s">
        <v>2305</v>
      </c>
      <c r="O927" t="s">
        <v>2094</v>
      </c>
      <c r="Q927" t="s">
        <v>2231</v>
      </c>
      <c r="S927" t="s">
        <v>2234</v>
      </c>
      <c r="U927" t="s">
        <v>2241</v>
      </c>
      <c r="V927" t="s">
        <v>2233</v>
      </c>
      <c r="AD927">
        <v>1</v>
      </c>
    </row>
    <row r="928" spans="1:30" hidden="1">
      <c r="A928">
        <v>353329</v>
      </c>
      <c r="B928">
        <v>2</v>
      </c>
      <c r="C928" t="s">
        <v>2304</v>
      </c>
      <c r="E928" s="103">
        <v>46246</v>
      </c>
      <c r="F928">
        <v>1</v>
      </c>
      <c r="G928" s="1210">
        <v>46136</v>
      </c>
      <c r="I928" t="s">
        <v>399</v>
      </c>
      <c r="J928" t="s">
        <v>2012</v>
      </c>
      <c r="K928">
        <v>4500013014</v>
      </c>
      <c r="L928" t="s">
        <v>2306</v>
      </c>
      <c r="N928" t="s">
        <v>2305</v>
      </c>
      <c r="O928" t="s">
        <v>2094</v>
      </c>
      <c r="Q928" t="s">
        <v>2231</v>
      </c>
      <c r="S928" t="s">
        <v>2232</v>
      </c>
      <c r="U928" t="s">
        <v>2241</v>
      </c>
      <c r="V928" t="s">
        <v>2233</v>
      </c>
      <c r="AD928">
        <v>3</v>
      </c>
    </row>
    <row r="929" spans="1:30" hidden="1">
      <c r="A929">
        <v>353329</v>
      </c>
      <c r="B929">
        <v>2</v>
      </c>
      <c r="C929" t="s">
        <v>2304</v>
      </c>
      <c r="E929" s="103">
        <v>46246</v>
      </c>
      <c r="F929">
        <v>1</v>
      </c>
      <c r="G929" s="1210">
        <v>46136</v>
      </c>
      <c r="I929" t="s">
        <v>399</v>
      </c>
      <c r="J929" t="s">
        <v>2012</v>
      </c>
      <c r="K929">
        <v>4500013014</v>
      </c>
      <c r="L929" t="s">
        <v>2306</v>
      </c>
      <c r="N929" t="s">
        <v>2305</v>
      </c>
      <c r="O929" t="s">
        <v>2094</v>
      </c>
      <c r="Q929" t="s">
        <v>2231</v>
      </c>
      <c r="S929" t="s">
        <v>2235</v>
      </c>
      <c r="U929" t="s">
        <v>2241</v>
      </c>
      <c r="V929" t="s">
        <v>2233</v>
      </c>
      <c r="AD929">
        <v>5</v>
      </c>
    </row>
    <row r="930" spans="1:30" hidden="1">
      <c r="A930">
        <v>362644</v>
      </c>
      <c r="B930">
        <v>40</v>
      </c>
      <c r="C930" t="s">
        <v>2301</v>
      </c>
      <c r="D930" t="s">
        <v>2719</v>
      </c>
      <c r="E930" s="103">
        <v>46253</v>
      </c>
      <c r="F930">
        <v>1</v>
      </c>
      <c r="G930" s="1210">
        <v>46156</v>
      </c>
      <c r="I930" t="s">
        <v>411</v>
      </c>
      <c r="J930" t="s">
        <v>2082</v>
      </c>
      <c r="K930">
        <v>4500013073</v>
      </c>
      <c r="L930" t="s">
        <v>2720</v>
      </c>
      <c r="M930" t="s">
        <v>2711</v>
      </c>
      <c r="N930" t="s">
        <v>2712</v>
      </c>
      <c r="O930" t="s">
        <v>2026</v>
      </c>
      <c r="P930" s="103">
        <v>46207</v>
      </c>
      <c r="Q930" t="s">
        <v>2231</v>
      </c>
      <c r="R930" s="103">
        <v>46210</v>
      </c>
      <c r="S930" t="s">
        <v>2236</v>
      </c>
      <c r="U930" t="s">
        <v>2628</v>
      </c>
      <c r="V930" t="s">
        <v>2302</v>
      </c>
      <c r="AD930">
        <v>986</v>
      </c>
    </row>
    <row r="931" spans="1:30" hidden="1">
      <c r="A931">
        <v>366295</v>
      </c>
      <c r="B931">
        <v>60</v>
      </c>
      <c r="C931" t="s">
        <v>2322</v>
      </c>
      <c r="D931" t="s">
        <v>2623</v>
      </c>
      <c r="E931" s="103">
        <v>46253</v>
      </c>
      <c r="F931">
        <v>1</v>
      </c>
      <c r="G931" s="1210">
        <v>46171</v>
      </c>
      <c r="I931" t="s">
        <v>217</v>
      </c>
      <c r="J931" t="s">
        <v>2012</v>
      </c>
      <c r="K931">
        <v>4500013095</v>
      </c>
      <c r="L931" t="s">
        <v>2323</v>
      </c>
      <c r="M931" t="s">
        <v>2632</v>
      </c>
      <c r="N931" t="s">
        <v>2639</v>
      </c>
      <c r="O931" t="s">
        <v>2026</v>
      </c>
      <c r="P931" s="103">
        <v>46238</v>
      </c>
      <c r="Q931" t="s">
        <v>2231</v>
      </c>
      <c r="R931" s="103">
        <v>46242</v>
      </c>
      <c r="S931" t="s">
        <v>2236</v>
      </c>
      <c r="T931" t="s">
        <v>2718</v>
      </c>
      <c r="U931" t="s">
        <v>2241</v>
      </c>
      <c r="V931" t="s">
        <v>2324</v>
      </c>
      <c r="AD931">
        <v>986</v>
      </c>
    </row>
    <row r="932" spans="1:30" hidden="1">
      <c r="A932">
        <v>349140</v>
      </c>
      <c r="B932">
        <v>190</v>
      </c>
      <c r="C932" t="s">
        <v>2291</v>
      </c>
      <c r="D932" t="s">
        <v>2623</v>
      </c>
      <c r="E932" s="103">
        <v>46253</v>
      </c>
      <c r="F932">
        <v>1</v>
      </c>
      <c r="G932" s="1210">
        <v>46185</v>
      </c>
      <c r="I932" t="s">
        <v>211</v>
      </c>
      <c r="J932" t="s">
        <v>2012</v>
      </c>
      <c r="K932">
        <v>4500013127</v>
      </c>
      <c r="L932" t="s">
        <v>2721</v>
      </c>
      <c r="M932" t="s">
        <v>2640</v>
      </c>
      <c r="N932" t="s">
        <v>2639</v>
      </c>
      <c r="O932" t="s">
        <v>2026</v>
      </c>
      <c r="P932" s="103">
        <v>46238</v>
      </c>
      <c r="Q932" t="s">
        <v>2231</v>
      </c>
      <c r="R932" s="103">
        <v>46242</v>
      </c>
      <c r="S932" t="s">
        <v>2236</v>
      </c>
      <c r="T932" t="s">
        <v>2722</v>
      </c>
      <c r="U932" t="s">
        <v>2241</v>
      </c>
      <c r="AD932">
        <v>1626</v>
      </c>
    </row>
    <row r="933" spans="1:30" hidden="1">
      <c r="A933">
        <v>295640</v>
      </c>
      <c r="B933">
        <v>200</v>
      </c>
      <c r="C933" t="s">
        <v>2240</v>
      </c>
      <c r="D933" t="s">
        <v>2117</v>
      </c>
      <c r="E933" s="103">
        <v>46255</v>
      </c>
      <c r="F933">
        <v>1</v>
      </c>
      <c r="G933" s="1210">
        <v>46136</v>
      </c>
      <c r="I933" t="s">
        <v>773</v>
      </c>
      <c r="J933" t="s">
        <v>2082</v>
      </c>
      <c r="K933">
        <v>4500012983</v>
      </c>
      <c r="L933" t="s">
        <v>2276</v>
      </c>
      <c r="M933" t="s">
        <v>2629</v>
      </c>
      <c r="N933" t="s">
        <v>2305</v>
      </c>
      <c r="O933" t="s">
        <v>2026</v>
      </c>
      <c r="P933" s="103">
        <v>46248</v>
      </c>
      <c r="Q933" t="s">
        <v>2231</v>
      </c>
      <c r="R933" s="103">
        <v>46252</v>
      </c>
      <c r="S933" t="s">
        <v>2236</v>
      </c>
      <c r="U933" t="s">
        <v>2723</v>
      </c>
      <c r="V933" t="s">
        <v>2275</v>
      </c>
      <c r="AD933">
        <v>1240</v>
      </c>
    </row>
    <row r="934" spans="1:30" hidden="1">
      <c r="A934">
        <v>295640</v>
      </c>
      <c r="B934">
        <v>200</v>
      </c>
      <c r="C934" t="s">
        <v>2240</v>
      </c>
      <c r="D934" t="s">
        <v>2117</v>
      </c>
      <c r="E934" s="103">
        <v>46255</v>
      </c>
      <c r="F934">
        <v>1</v>
      </c>
      <c r="G934" s="1210">
        <v>46136</v>
      </c>
      <c r="I934" t="s">
        <v>773</v>
      </c>
      <c r="J934" t="s">
        <v>2082</v>
      </c>
      <c r="K934">
        <v>4500012984</v>
      </c>
      <c r="L934" t="s">
        <v>2276</v>
      </c>
      <c r="M934" t="s">
        <v>2629</v>
      </c>
      <c r="N934" t="s">
        <v>2305</v>
      </c>
      <c r="O934" t="s">
        <v>2026</v>
      </c>
      <c r="P934" s="103">
        <v>46248</v>
      </c>
      <c r="Q934" t="s">
        <v>2231</v>
      </c>
      <c r="R934" s="103">
        <v>46252</v>
      </c>
      <c r="S934" t="s">
        <v>2236</v>
      </c>
      <c r="U934" t="s">
        <v>2723</v>
      </c>
      <c r="V934" t="s">
        <v>2275</v>
      </c>
      <c r="AD934">
        <v>1440</v>
      </c>
    </row>
    <row r="935" spans="1:30" hidden="1">
      <c r="A935">
        <v>353329</v>
      </c>
      <c r="B935">
        <v>600</v>
      </c>
      <c r="C935" t="s">
        <v>2304</v>
      </c>
      <c r="D935" t="s">
        <v>2637</v>
      </c>
      <c r="E935" s="103">
        <v>46255</v>
      </c>
      <c r="F935">
        <v>1</v>
      </c>
      <c r="G935" s="1210">
        <v>46136</v>
      </c>
      <c r="I935" t="s">
        <v>399</v>
      </c>
      <c r="J935" t="s">
        <v>2012</v>
      </c>
      <c r="K935">
        <v>4500013015</v>
      </c>
      <c r="L935" t="s">
        <v>2319</v>
      </c>
      <c r="M935" t="s">
        <v>2265</v>
      </c>
      <c r="N935" t="s">
        <v>2305</v>
      </c>
      <c r="O935" t="s">
        <v>2026</v>
      </c>
      <c r="P935" s="103">
        <v>46248</v>
      </c>
      <c r="Q935" t="s">
        <v>2231</v>
      </c>
      <c r="R935" s="103">
        <v>46252</v>
      </c>
      <c r="S935" t="s">
        <v>2236</v>
      </c>
      <c r="U935" t="s">
        <v>2241</v>
      </c>
      <c r="V935" t="s">
        <v>2088</v>
      </c>
      <c r="AD935">
        <v>605</v>
      </c>
    </row>
    <row r="936" spans="1:30" hidden="1">
      <c r="A936">
        <v>303437</v>
      </c>
      <c r="B936">
        <v>495</v>
      </c>
      <c r="C936" t="s">
        <v>2294</v>
      </c>
      <c r="D936" t="s">
        <v>2286</v>
      </c>
      <c r="E936" s="103">
        <v>46258</v>
      </c>
      <c r="F936">
        <v>1</v>
      </c>
      <c r="G936" s="1210">
        <v>46016</v>
      </c>
      <c r="I936" t="s">
        <v>475</v>
      </c>
      <c r="J936" t="s">
        <v>2070</v>
      </c>
      <c r="K936">
        <v>4500012438</v>
      </c>
      <c r="L936" t="s">
        <v>2320</v>
      </c>
      <c r="N936" t="s">
        <v>2321</v>
      </c>
      <c r="O936" t="s">
        <v>2026</v>
      </c>
      <c r="P936" s="103">
        <v>46251</v>
      </c>
      <c r="Q936" t="s">
        <v>2231</v>
      </c>
      <c r="R936" s="103">
        <v>46255</v>
      </c>
      <c r="S936" t="s">
        <v>2281</v>
      </c>
      <c r="U936" t="s">
        <v>2241</v>
      </c>
      <c r="V936" t="s">
        <v>2088</v>
      </c>
      <c r="AD936">
        <v>500</v>
      </c>
    </row>
    <row r="937" spans="1:30" hidden="1">
      <c r="A937">
        <v>303438</v>
      </c>
      <c r="B937">
        <v>325</v>
      </c>
      <c r="C937" t="s">
        <v>2285</v>
      </c>
      <c r="D937" t="s">
        <v>2286</v>
      </c>
      <c r="E937" s="103">
        <v>46258</v>
      </c>
      <c r="F937">
        <v>1</v>
      </c>
      <c r="G937" s="1210">
        <v>46016</v>
      </c>
      <c r="I937" t="s">
        <v>478</v>
      </c>
      <c r="J937" t="s">
        <v>2070</v>
      </c>
      <c r="K937">
        <v>4500012441</v>
      </c>
      <c r="L937" t="s">
        <v>2325</v>
      </c>
      <c r="N937" t="s">
        <v>2321</v>
      </c>
      <c r="O937" t="s">
        <v>2026</v>
      </c>
      <c r="P937" s="103">
        <v>46251</v>
      </c>
      <c r="Q937" t="s">
        <v>2231</v>
      </c>
      <c r="R937" s="103">
        <v>46255</v>
      </c>
      <c r="S937" t="s">
        <v>2281</v>
      </c>
      <c r="U937" t="s">
        <v>2241</v>
      </c>
      <c r="V937" t="s">
        <v>2088</v>
      </c>
      <c r="AD937">
        <v>330</v>
      </c>
    </row>
    <row r="938" spans="1:30" hidden="1">
      <c r="A938">
        <v>353117</v>
      </c>
      <c r="B938">
        <v>600</v>
      </c>
      <c r="C938" t="s">
        <v>2230</v>
      </c>
      <c r="E938" s="103">
        <v>46265</v>
      </c>
      <c r="F938">
        <v>1</v>
      </c>
      <c r="G938" s="1210">
        <v>46136</v>
      </c>
      <c r="I938" t="s">
        <v>795</v>
      </c>
      <c r="J938" t="s">
        <v>2082</v>
      </c>
      <c r="K938">
        <v>4500013005</v>
      </c>
      <c r="L938" t="s">
        <v>2329</v>
      </c>
      <c r="N938" t="s">
        <v>2327</v>
      </c>
      <c r="O938" t="s">
        <v>2026</v>
      </c>
      <c r="P938" s="103">
        <v>46258</v>
      </c>
      <c r="Q938" t="s">
        <v>2231</v>
      </c>
      <c r="R938" s="103">
        <v>46262</v>
      </c>
      <c r="S938" t="s">
        <v>2236</v>
      </c>
      <c r="U938" t="s">
        <v>2247</v>
      </c>
      <c r="AD938">
        <v>1505</v>
      </c>
    </row>
    <row r="939" spans="1:30" hidden="1">
      <c r="A939">
        <v>362644</v>
      </c>
      <c r="B939">
        <v>30</v>
      </c>
      <c r="C939" t="s">
        <v>2301</v>
      </c>
      <c r="E939" s="103">
        <v>46265</v>
      </c>
      <c r="F939">
        <v>1</v>
      </c>
      <c r="G939" s="1210">
        <v>46185</v>
      </c>
      <c r="I939" t="s">
        <v>411</v>
      </c>
      <c r="J939" t="s">
        <v>2082</v>
      </c>
      <c r="K939">
        <v>4500013128</v>
      </c>
      <c r="L939" t="s">
        <v>2326</v>
      </c>
      <c r="N939" t="s">
        <v>2327</v>
      </c>
      <c r="O939" t="s">
        <v>2026</v>
      </c>
      <c r="P939" s="103">
        <v>46258</v>
      </c>
      <c r="Q939" t="s">
        <v>2231</v>
      </c>
      <c r="R939" s="103">
        <v>46262</v>
      </c>
      <c r="S939" t="s">
        <v>2236</v>
      </c>
      <c r="U939" t="s">
        <v>2247</v>
      </c>
      <c r="AD939">
        <v>1016</v>
      </c>
    </row>
    <row r="940" spans="1:30" hidden="1">
      <c r="A940">
        <v>302059</v>
      </c>
      <c r="B940">
        <v>5</v>
      </c>
      <c r="C940" t="s">
        <v>2331</v>
      </c>
      <c r="E940" s="103">
        <v>46273</v>
      </c>
      <c r="F940">
        <v>1</v>
      </c>
      <c r="G940" s="1210">
        <v>46188</v>
      </c>
      <c r="I940" t="s">
        <v>485</v>
      </c>
      <c r="J940" t="s">
        <v>2074</v>
      </c>
      <c r="K940">
        <v>4500013132</v>
      </c>
      <c r="L940" t="s">
        <v>2332</v>
      </c>
      <c r="N940" t="s">
        <v>2333</v>
      </c>
      <c r="O940" t="s">
        <v>2094</v>
      </c>
      <c r="P940" s="103">
        <v>46273</v>
      </c>
      <c r="Q940" t="s">
        <v>2334</v>
      </c>
      <c r="R940" s="103">
        <v>46273</v>
      </c>
      <c r="S940" t="s">
        <v>2335</v>
      </c>
      <c r="U940" t="s">
        <v>2247</v>
      </c>
      <c r="V940" t="s">
        <v>2233</v>
      </c>
      <c r="AD940">
        <v>5</v>
      </c>
    </row>
    <row r="941" spans="1:30" hidden="1">
      <c r="A941">
        <v>302060</v>
      </c>
      <c r="B941">
        <v>5</v>
      </c>
      <c r="C941" t="s">
        <v>2336</v>
      </c>
      <c r="E941" s="103">
        <v>46273</v>
      </c>
      <c r="F941">
        <v>1</v>
      </c>
      <c r="G941" s="1210">
        <v>46188</v>
      </c>
      <c r="I941" t="s">
        <v>482</v>
      </c>
      <c r="J941" t="s">
        <v>2074</v>
      </c>
      <c r="K941">
        <v>4500013132</v>
      </c>
      <c r="L941" t="s">
        <v>2337</v>
      </c>
      <c r="N941" t="s">
        <v>2333</v>
      </c>
      <c r="O941" t="s">
        <v>2094</v>
      </c>
      <c r="P941" s="103">
        <v>46273</v>
      </c>
      <c r="Q941" t="s">
        <v>2334</v>
      </c>
      <c r="R941" s="103">
        <v>46273</v>
      </c>
      <c r="S941" t="s">
        <v>2335</v>
      </c>
      <c r="U941" t="s">
        <v>2247</v>
      </c>
      <c r="V941" t="s">
        <v>2233</v>
      </c>
      <c r="AD941">
        <v>5</v>
      </c>
    </row>
    <row r="942" spans="1:30" hidden="1">
      <c r="A942">
        <v>353329</v>
      </c>
      <c r="B942">
        <v>600</v>
      </c>
      <c r="C942" t="s">
        <v>2304</v>
      </c>
      <c r="D942" t="s">
        <v>2724</v>
      </c>
      <c r="E942" s="103">
        <v>46276</v>
      </c>
      <c r="F942">
        <v>1</v>
      </c>
      <c r="G942" s="1210">
        <v>46136</v>
      </c>
      <c r="I942" t="s">
        <v>399</v>
      </c>
      <c r="J942" t="s">
        <v>2012</v>
      </c>
      <c r="K942">
        <v>4500013016</v>
      </c>
      <c r="L942" t="s">
        <v>2319</v>
      </c>
      <c r="M942" t="s">
        <v>2340</v>
      </c>
      <c r="N942" t="s">
        <v>2339</v>
      </c>
      <c r="O942" t="s">
        <v>2026</v>
      </c>
      <c r="P942" s="103">
        <v>46269</v>
      </c>
      <c r="Q942" t="s">
        <v>2231</v>
      </c>
      <c r="R942" s="103">
        <v>46273</v>
      </c>
      <c r="S942" t="s">
        <v>2236</v>
      </c>
      <c r="T942" t="s">
        <v>2611</v>
      </c>
      <c r="U942" t="s">
        <v>2241</v>
      </c>
      <c r="V942" t="s">
        <v>2243</v>
      </c>
      <c r="AD942">
        <v>1205</v>
      </c>
    </row>
    <row r="943" spans="1:30" hidden="1">
      <c r="A943">
        <v>353329</v>
      </c>
      <c r="B943">
        <v>600</v>
      </c>
      <c r="C943" t="s">
        <v>2304</v>
      </c>
      <c r="D943" t="s">
        <v>2724</v>
      </c>
      <c r="E943" s="103">
        <v>46276</v>
      </c>
      <c r="F943">
        <v>1</v>
      </c>
      <c r="G943" s="1210">
        <v>46136</v>
      </c>
      <c r="I943" t="s">
        <v>399</v>
      </c>
      <c r="J943" t="s">
        <v>2012</v>
      </c>
      <c r="K943">
        <v>4500013017</v>
      </c>
      <c r="L943" t="s">
        <v>2319</v>
      </c>
      <c r="M943" t="s">
        <v>2338</v>
      </c>
      <c r="N943" t="s">
        <v>2339</v>
      </c>
      <c r="O943" t="s">
        <v>2026</v>
      </c>
      <c r="P943" s="103">
        <v>46269</v>
      </c>
      <c r="Q943" t="s">
        <v>2231</v>
      </c>
      <c r="R943" s="103">
        <v>46273</v>
      </c>
      <c r="S943" t="s">
        <v>2236</v>
      </c>
      <c r="T943" t="s">
        <v>2611</v>
      </c>
      <c r="U943" t="s">
        <v>2241</v>
      </c>
      <c r="AD943">
        <v>1805</v>
      </c>
    </row>
    <row r="944" spans="1:30" hidden="1">
      <c r="A944">
        <v>303437</v>
      </c>
      <c r="B944">
        <v>300</v>
      </c>
      <c r="C944" t="s">
        <v>2294</v>
      </c>
      <c r="D944" t="s">
        <v>2286</v>
      </c>
      <c r="E944" s="103">
        <v>46279</v>
      </c>
      <c r="F944">
        <v>1</v>
      </c>
      <c r="G944" s="1210">
        <v>46016</v>
      </c>
      <c r="I944" t="s">
        <v>475</v>
      </c>
      <c r="J944" t="s">
        <v>2070</v>
      </c>
      <c r="K944">
        <v>4500012439</v>
      </c>
      <c r="L944" t="s">
        <v>2341</v>
      </c>
      <c r="N944" t="s">
        <v>2342</v>
      </c>
      <c r="O944" t="s">
        <v>2026</v>
      </c>
      <c r="P944" s="103">
        <v>46272</v>
      </c>
      <c r="Q944" t="s">
        <v>2231</v>
      </c>
      <c r="R944" s="103">
        <v>46276</v>
      </c>
      <c r="S944" t="s">
        <v>2281</v>
      </c>
      <c r="U944" t="s">
        <v>2241</v>
      </c>
      <c r="AD944">
        <v>800</v>
      </c>
    </row>
    <row r="945" spans="1:30" hidden="1">
      <c r="A945">
        <v>303438</v>
      </c>
      <c r="B945">
        <v>200</v>
      </c>
      <c r="C945" t="s">
        <v>2285</v>
      </c>
      <c r="D945" t="s">
        <v>2286</v>
      </c>
      <c r="E945" s="103">
        <v>46279</v>
      </c>
      <c r="F945">
        <v>1</v>
      </c>
      <c r="G945" s="1210">
        <v>46016</v>
      </c>
      <c r="I945" t="s">
        <v>478</v>
      </c>
      <c r="J945" t="s">
        <v>2070</v>
      </c>
      <c r="K945">
        <v>4500012442</v>
      </c>
      <c r="L945" t="s">
        <v>2343</v>
      </c>
      <c r="N945" t="s">
        <v>2342</v>
      </c>
      <c r="O945" t="s">
        <v>2026</v>
      </c>
      <c r="P945" s="103">
        <v>46272</v>
      </c>
      <c r="Q945" t="s">
        <v>2231</v>
      </c>
      <c r="R945" s="103">
        <v>46276</v>
      </c>
      <c r="S945" t="s">
        <v>2281</v>
      </c>
      <c r="U945" t="s">
        <v>2241</v>
      </c>
      <c r="AD945">
        <v>530</v>
      </c>
    </row>
    <row r="946" spans="1:30" hidden="1">
      <c r="A946">
        <v>375062</v>
      </c>
      <c r="B946">
        <v>300</v>
      </c>
      <c r="C946" t="s">
        <v>2725</v>
      </c>
      <c r="E946" s="103">
        <v>46279</v>
      </c>
      <c r="F946">
        <v>1</v>
      </c>
      <c r="G946" s="1210">
        <v>46199</v>
      </c>
      <c r="I946" t="s">
        <v>625</v>
      </c>
      <c r="J946" t="s">
        <v>2082</v>
      </c>
      <c r="K946">
        <v>4500013182</v>
      </c>
      <c r="L946" t="s">
        <v>2726</v>
      </c>
      <c r="M946" t="s">
        <v>2727</v>
      </c>
      <c r="N946" t="s">
        <v>2342</v>
      </c>
      <c r="O946" t="s">
        <v>2026</v>
      </c>
      <c r="P946" s="103">
        <v>46272</v>
      </c>
      <c r="Q946" t="s">
        <v>2231</v>
      </c>
      <c r="R946" s="103">
        <v>46276</v>
      </c>
      <c r="S946" t="s">
        <v>2236</v>
      </c>
      <c r="U946" t="s">
        <v>2247</v>
      </c>
      <c r="V946" t="s">
        <v>2728</v>
      </c>
      <c r="AD946">
        <v>606</v>
      </c>
    </row>
    <row r="947" spans="1:30" hidden="1">
      <c r="A947">
        <v>327322</v>
      </c>
      <c r="B947">
        <v>264</v>
      </c>
      <c r="C947" t="s">
        <v>2307</v>
      </c>
      <c r="D947" t="s">
        <v>2101</v>
      </c>
      <c r="E947" s="103">
        <v>46283</v>
      </c>
      <c r="F947">
        <v>1</v>
      </c>
      <c r="G947" s="1210">
        <v>46100</v>
      </c>
      <c r="I947" t="s">
        <v>811</v>
      </c>
      <c r="J947" t="s">
        <v>2082</v>
      </c>
      <c r="K947">
        <v>4500012870</v>
      </c>
      <c r="L947" t="s">
        <v>2346</v>
      </c>
      <c r="M947" t="s">
        <v>2641</v>
      </c>
      <c r="N947" t="s">
        <v>2333</v>
      </c>
      <c r="O947" t="s">
        <v>2026</v>
      </c>
      <c r="P947" s="103">
        <v>46276</v>
      </c>
      <c r="Q947" t="s">
        <v>2231</v>
      </c>
      <c r="R947" s="103">
        <v>46280</v>
      </c>
      <c r="S947" t="s">
        <v>2236</v>
      </c>
      <c r="U947" t="s">
        <v>2247</v>
      </c>
      <c r="V947" t="s">
        <v>2243</v>
      </c>
      <c r="W947" t="s">
        <v>2308</v>
      </c>
      <c r="AD947">
        <v>410</v>
      </c>
    </row>
    <row r="948" spans="1:30" hidden="1">
      <c r="A948">
        <v>327323</v>
      </c>
      <c r="B948">
        <v>104</v>
      </c>
      <c r="C948" t="s">
        <v>2307</v>
      </c>
      <c r="D948" t="s">
        <v>2101</v>
      </c>
      <c r="E948" s="103">
        <v>46283</v>
      </c>
      <c r="F948">
        <v>1</v>
      </c>
      <c r="G948" s="1210">
        <v>46100</v>
      </c>
      <c r="I948" t="s">
        <v>807</v>
      </c>
      <c r="J948" t="s">
        <v>2082</v>
      </c>
      <c r="K948">
        <v>4500012870</v>
      </c>
      <c r="L948" t="s">
        <v>2347</v>
      </c>
      <c r="M948" t="s">
        <v>2641</v>
      </c>
      <c r="N948" t="s">
        <v>2333</v>
      </c>
      <c r="O948" t="s">
        <v>2026</v>
      </c>
      <c r="P948" s="103">
        <v>46276</v>
      </c>
      <c r="Q948" t="s">
        <v>2231</v>
      </c>
      <c r="R948" s="103">
        <v>46280</v>
      </c>
      <c r="S948" t="s">
        <v>2236</v>
      </c>
      <c r="U948" t="s">
        <v>2247</v>
      </c>
      <c r="V948" t="s">
        <v>2243</v>
      </c>
      <c r="W948" t="s">
        <v>2308</v>
      </c>
      <c r="AD948">
        <v>166</v>
      </c>
    </row>
    <row r="949" spans="1:30" hidden="1">
      <c r="A949">
        <v>327324</v>
      </c>
      <c r="B949">
        <v>108</v>
      </c>
      <c r="C949" t="s">
        <v>2307</v>
      </c>
      <c r="D949" t="s">
        <v>2101</v>
      </c>
      <c r="E949" s="103">
        <v>46283</v>
      </c>
      <c r="F949">
        <v>1</v>
      </c>
      <c r="G949" s="1210">
        <v>46100</v>
      </c>
      <c r="I949" t="s">
        <v>803</v>
      </c>
      <c r="J949" t="s">
        <v>2082</v>
      </c>
      <c r="K949">
        <v>4500012870</v>
      </c>
      <c r="L949" t="s">
        <v>2351</v>
      </c>
      <c r="M949" t="s">
        <v>2641</v>
      </c>
      <c r="N949" t="s">
        <v>2333</v>
      </c>
      <c r="O949" t="s">
        <v>2026</v>
      </c>
      <c r="P949" s="103">
        <v>46276</v>
      </c>
      <c r="Q949" t="s">
        <v>2231</v>
      </c>
      <c r="R949" s="103">
        <v>46280</v>
      </c>
      <c r="S949" t="s">
        <v>2236</v>
      </c>
      <c r="U949" t="s">
        <v>2247</v>
      </c>
      <c r="V949" t="s">
        <v>2243</v>
      </c>
      <c r="W949" t="s">
        <v>2308</v>
      </c>
      <c r="AD949">
        <v>172</v>
      </c>
    </row>
    <row r="950" spans="1:30" hidden="1">
      <c r="A950">
        <v>327325</v>
      </c>
      <c r="B950">
        <v>300</v>
      </c>
      <c r="C950" t="s">
        <v>2312</v>
      </c>
      <c r="D950" t="s">
        <v>2101</v>
      </c>
      <c r="E950" s="103">
        <v>46283</v>
      </c>
      <c r="F950">
        <v>1</v>
      </c>
      <c r="G950" s="1210">
        <v>46100</v>
      </c>
      <c r="I950" t="s">
        <v>824</v>
      </c>
      <c r="J950" t="s">
        <v>2082</v>
      </c>
      <c r="K950">
        <v>4500012870</v>
      </c>
      <c r="L950" t="s">
        <v>2348</v>
      </c>
      <c r="M950" t="s">
        <v>2641</v>
      </c>
      <c r="N950" t="s">
        <v>2333</v>
      </c>
      <c r="O950" t="s">
        <v>2026</v>
      </c>
      <c r="P950" s="103">
        <v>46276</v>
      </c>
      <c r="Q950" t="s">
        <v>2231</v>
      </c>
      <c r="R950" s="103">
        <v>46280</v>
      </c>
      <c r="S950" t="s">
        <v>2236</v>
      </c>
      <c r="U950" t="s">
        <v>2247</v>
      </c>
      <c r="V950" t="s">
        <v>2243</v>
      </c>
      <c r="W950" t="s">
        <v>2308</v>
      </c>
      <c r="AD950">
        <v>463</v>
      </c>
    </row>
    <row r="951" spans="1:30" hidden="1">
      <c r="A951">
        <v>327326</v>
      </c>
      <c r="B951">
        <v>144</v>
      </c>
      <c r="C951" t="s">
        <v>2312</v>
      </c>
      <c r="D951" t="s">
        <v>2101</v>
      </c>
      <c r="E951" s="103">
        <v>46283</v>
      </c>
      <c r="F951">
        <v>1</v>
      </c>
      <c r="G951" s="1210">
        <v>46100</v>
      </c>
      <c r="I951" t="s">
        <v>820</v>
      </c>
      <c r="J951" t="s">
        <v>2082</v>
      </c>
      <c r="K951">
        <v>4500012870</v>
      </c>
      <c r="L951" t="s">
        <v>2345</v>
      </c>
      <c r="M951" t="s">
        <v>2641</v>
      </c>
      <c r="N951" t="s">
        <v>2333</v>
      </c>
      <c r="O951" t="s">
        <v>2026</v>
      </c>
      <c r="P951" s="103">
        <v>46276</v>
      </c>
      <c r="Q951" t="s">
        <v>2231</v>
      </c>
      <c r="R951" s="103">
        <v>46280</v>
      </c>
      <c r="S951" t="s">
        <v>2236</v>
      </c>
      <c r="U951" t="s">
        <v>2247</v>
      </c>
      <c r="V951" t="s">
        <v>2243</v>
      </c>
      <c r="W951" t="s">
        <v>2308</v>
      </c>
      <c r="AD951">
        <v>222</v>
      </c>
    </row>
    <row r="952" spans="1:30" hidden="1">
      <c r="A952">
        <v>327327</v>
      </c>
      <c r="B952">
        <v>144</v>
      </c>
      <c r="C952" t="s">
        <v>2312</v>
      </c>
      <c r="D952" t="s">
        <v>2101</v>
      </c>
      <c r="E952" s="103">
        <v>46283</v>
      </c>
      <c r="F952">
        <v>1</v>
      </c>
      <c r="G952" s="1210">
        <v>46100</v>
      </c>
      <c r="I952" t="s">
        <v>815</v>
      </c>
      <c r="J952" t="s">
        <v>2082</v>
      </c>
      <c r="K952">
        <v>4500012870</v>
      </c>
      <c r="L952" t="s">
        <v>2345</v>
      </c>
      <c r="M952" t="s">
        <v>2641</v>
      </c>
      <c r="N952" t="s">
        <v>2333</v>
      </c>
      <c r="O952" t="s">
        <v>2026</v>
      </c>
      <c r="P952" s="103">
        <v>46276</v>
      </c>
      <c r="Q952" t="s">
        <v>2231</v>
      </c>
      <c r="R952" s="103">
        <v>46280</v>
      </c>
      <c r="S952" t="s">
        <v>2236</v>
      </c>
      <c r="U952" t="s">
        <v>2247</v>
      </c>
      <c r="V952" t="s">
        <v>2243</v>
      </c>
      <c r="W952" t="s">
        <v>2308</v>
      </c>
      <c r="AD952">
        <v>227</v>
      </c>
    </row>
    <row r="953" spans="1:30" hidden="1">
      <c r="A953">
        <v>327328</v>
      </c>
      <c r="B953">
        <v>280</v>
      </c>
      <c r="C953" t="s">
        <v>2314</v>
      </c>
      <c r="D953" t="s">
        <v>2101</v>
      </c>
      <c r="E953" s="103">
        <v>46283</v>
      </c>
      <c r="F953">
        <v>1</v>
      </c>
      <c r="G953" s="1210">
        <v>46100</v>
      </c>
      <c r="I953" t="s">
        <v>837</v>
      </c>
      <c r="J953" t="s">
        <v>2082</v>
      </c>
      <c r="K953">
        <v>4500012870</v>
      </c>
      <c r="L953" t="s">
        <v>2344</v>
      </c>
      <c r="M953" t="s">
        <v>2641</v>
      </c>
      <c r="N953" t="s">
        <v>2333</v>
      </c>
      <c r="O953" t="s">
        <v>2026</v>
      </c>
      <c r="P953" s="103">
        <v>46276</v>
      </c>
      <c r="Q953" t="s">
        <v>2231</v>
      </c>
      <c r="R953" s="103">
        <v>46280</v>
      </c>
      <c r="S953" t="s">
        <v>2236</v>
      </c>
      <c r="U953" t="s">
        <v>2247</v>
      </c>
      <c r="V953" t="s">
        <v>2243</v>
      </c>
      <c r="W953" t="s">
        <v>2308</v>
      </c>
      <c r="AD953">
        <v>437</v>
      </c>
    </row>
    <row r="954" spans="1:30" hidden="1">
      <c r="A954">
        <v>327329</v>
      </c>
      <c r="B954">
        <v>176</v>
      </c>
      <c r="C954" t="s">
        <v>2314</v>
      </c>
      <c r="D954" t="s">
        <v>2101</v>
      </c>
      <c r="E954" s="103">
        <v>46283</v>
      </c>
      <c r="F954">
        <v>1</v>
      </c>
      <c r="G954" s="1210">
        <v>46100</v>
      </c>
      <c r="I954" t="s">
        <v>833</v>
      </c>
      <c r="J954" t="s">
        <v>2082</v>
      </c>
      <c r="K954">
        <v>4500012870</v>
      </c>
      <c r="L954" t="s">
        <v>2350</v>
      </c>
      <c r="M954" t="s">
        <v>2641</v>
      </c>
      <c r="N954" t="s">
        <v>2333</v>
      </c>
      <c r="O954" t="s">
        <v>2026</v>
      </c>
      <c r="P954" s="103">
        <v>46276</v>
      </c>
      <c r="Q954" t="s">
        <v>2231</v>
      </c>
      <c r="R954" s="103">
        <v>46280</v>
      </c>
      <c r="S954" t="s">
        <v>2236</v>
      </c>
      <c r="U954" t="s">
        <v>2247</v>
      </c>
      <c r="V954" t="s">
        <v>2243</v>
      </c>
      <c r="W954" t="s">
        <v>2308</v>
      </c>
      <c r="AD954">
        <v>275</v>
      </c>
    </row>
    <row r="955" spans="1:30" hidden="1">
      <c r="A955">
        <v>327330</v>
      </c>
      <c r="B955">
        <v>172</v>
      </c>
      <c r="C955" t="s">
        <v>2314</v>
      </c>
      <c r="D955" t="s">
        <v>2101</v>
      </c>
      <c r="E955" s="103">
        <v>46283</v>
      </c>
      <c r="F955">
        <v>1</v>
      </c>
      <c r="G955" s="1210">
        <v>46100</v>
      </c>
      <c r="I955" t="s">
        <v>828</v>
      </c>
      <c r="J955" t="s">
        <v>2082</v>
      </c>
      <c r="K955">
        <v>4500012870</v>
      </c>
      <c r="L955" t="s">
        <v>2349</v>
      </c>
      <c r="M955" t="s">
        <v>2641</v>
      </c>
      <c r="N955" t="s">
        <v>2333</v>
      </c>
      <c r="O955" t="s">
        <v>2026</v>
      </c>
      <c r="P955" s="103">
        <v>46276</v>
      </c>
      <c r="Q955" t="s">
        <v>2231</v>
      </c>
      <c r="R955" s="103">
        <v>46280</v>
      </c>
      <c r="S955" t="s">
        <v>2236</v>
      </c>
      <c r="U955" t="s">
        <v>2247</v>
      </c>
      <c r="V955" t="s">
        <v>2243</v>
      </c>
      <c r="W955" t="s">
        <v>2308</v>
      </c>
      <c r="AD955">
        <v>266</v>
      </c>
    </row>
    <row r="956" spans="1:30" hidden="1">
      <c r="A956">
        <v>353328</v>
      </c>
      <c r="B956">
        <v>300</v>
      </c>
      <c r="C956" t="s">
        <v>2252</v>
      </c>
      <c r="D956" t="s">
        <v>2729</v>
      </c>
      <c r="E956" s="103">
        <v>46283</v>
      </c>
      <c r="F956">
        <v>1</v>
      </c>
      <c r="G956" s="1210">
        <v>46136</v>
      </c>
      <c r="I956" t="s">
        <v>397</v>
      </c>
      <c r="J956" t="s">
        <v>2012</v>
      </c>
      <c r="K956">
        <v>4500013011</v>
      </c>
      <c r="L956" t="s">
        <v>2330</v>
      </c>
      <c r="N956" t="s">
        <v>2730</v>
      </c>
      <c r="O956" t="s">
        <v>2026</v>
      </c>
      <c r="P956" s="103">
        <v>46276</v>
      </c>
      <c r="Q956" t="s">
        <v>2231</v>
      </c>
      <c r="R956" s="103">
        <v>46280</v>
      </c>
      <c r="S956" t="s">
        <v>2236</v>
      </c>
      <c r="T956" t="s">
        <v>2731</v>
      </c>
      <c r="U956" t="s">
        <v>2241</v>
      </c>
      <c r="AD956">
        <v>1055</v>
      </c>
    </row>
    <row r="957" spans="1:30" hidden="1">
      <c r="A957">
        <v>349140</v>
      </c>
      <c r="B957">
        <v>50</v>
      </c>
      <c r="C957" t="s">
        <v>2291</v>
      </c>
      <c r="D957" t="s">
        <v>2623</v>
      </c>
      <c r="E957" s="103">
        <v>46283</v>
      </c>
      <c r="F957">
        <v>1</v>
      </c>
      <c r="G957" s="1210">
        <v>46185</v>
      </c>
      <c r="I957" t="s">
        <v>211</v>
      </c>
      <c r="J957" t="s">
        <v>2012</v>
      </c>
      <c r="K957">
        <v>4500013127</v>
      </c>
      <c r="L957" t="s">
        <v>2734</v>
      </c>
      <c r="M957" t="s">
        <v>2640</v>
      </c>
      <c r="N957" t="s">
        <v>2730</v>
      </c>
      <c r="O957" t="s">
        <v>2026</v>
      </c>
      <c r="P957" s="103">
        <v>46259</v>
      </c>
      <c r="Q957" t="s">
        <v>2231</v>
      </c>
      <c r="R957" s="103">
        <v>46263</v>
      </c>
      <c r="S957" t="s">
        <v>2236</v>
      </c>
      <c r="T957" t="s">
        <v>2733</v>
      </c>
      <c r="U957" t="s">
        <v>2631</v>
      </c>
      <c r="V957" t="s">
        <v>2328</v>
      </c>
      <c r="AD957">
        <v>1676</v>
      </c>
    </row>
    <row r="958" spans="1:30" hidden="1">
      <c r="A958">
        <v>302059</v>
      </c>
      <c r="B958">
        <v>550</v>
      </c>
      <c r="C958" t="s">
        <v>2331</v>
      </c>
      <c r="E958" s="103">
        <v>46283</v>
      </c>
      <c r="F958">
        <v>1</v>
      </c>
      <c r="G958" s="1210">
        <v>46188</v>
      </c>
      <c r="I958" t="s">
        <v>485</v>
      </c>
      <c r="J958" t="s">
        <v>2074</v>
      </c>
      <c r="K958">
        <v>4500013133</v>
      </c>
      <c r="L958" t="s">
        <v>2352</v>
      </c>
      <c r="N958" t="s">
        <v>2333</v>
      </c>
      <c r="O958" t="s">
        <v>2026</v>
      </c>
      <c r="P958" s="103">
        <v>46276</v>
      </c>
      <c r="Q958" t="s">
        <v>2353</v>
      </c>
      <c r="R958" s="103">
        <v>46280</v>
      </c>
      <c r="S958" t="s">
        <v>2236</v>
      </c>
      <c r="U958" t="s">
        <v>2247</v>
      </c>
      <c r="V958" t="s">
        <v>2088</v>
      </c>
      <c r="AD958">
        <v>555</v>
      </c>
    </row>
    <row r="959" spans="1:30" hidden="1">
      <c r="A959">
        <v>302060</v>
      </c>
      <c r="B959">
        <v>500</v>
      </c>
      <c r="C959" t="s">
        <v>2336</v>
      </c>
      <c r="E959" s="103">
        <v>46283</v>
      </c>
      <c r="F959">
        <v>1</v>
      </c>
      <c r="G959" s="1210">
        <v>46188</v>
      </c>
      <c r="I959" t="s">
        <v>482</v>
      </c>
      <c r="J959" t="s">
        <v>2074</v>
      </c>
      <c r="K959">
        <v>4500013134</v>
      </c>
      <c r="L959" t="s">
        <v>2354</v>
      </c>
      <c r="N959" t="s">
        <v>2333</v>
      </c>
      <c r="O959" t="s">
        <v>2026</v>
      </c>
      <c r="P959" s="103">
        <v>46276</v>
      </c>
      <c r="Q959" t="s">
        <v>2353</v>
      </c>
      <c r="R959" s="103">
        <v>46280</v>
      </c>
      <c r="S959" t="s">
        <v>2236</v>
      </c>
      <c r="U959" t="s">
        <v>2247</v>
      </c>
      <c r="V959" t="s">
        <v>2088</v>
      </c>
      <c r="AD959">
        <v>505</v>
      </c>
    </row>
    <row r="960" spans="1:30" hidden="1">
      <c r="A960">
        <v>366295</v>
      </c>
      <c r="B960">
        <v>80</v>
      </c>
      <c r="C960" t="s">
        <v>2322</v>
      </c>
      <c r="D960" t="s">
        <v>2732</v>
      </c>
      <c r="E960" s="103">
        <v>46283</v>
      </c>
      <c r="F960">
        <v>1</v>
      </c>
      <c r="G960" s="1210">
        <v>46191</v>
      </c>
      <c r="I960" t="s">
        <v>217</v>
      </c>
      <c r="J960" t="s">
        <v>2012</v>
      </c>
      <c r="K960">
        <v>4500013148</v>
      </c>
      <c r="L960" t="s">
        <v>2609</v>
      </c>
      <c r="M960" t="s">
        <v>2638</v>
      </c>
      <c r="N960" t="s">
        <v>2730</v>
      </c>
      <c r="O960" t="s">
        <v>2026</v>
      </c>
      <c r="P960" s="103">
        <v>46258</v>
      </c>
      <c r="Q960" t="s">
        <v>2231</v>
      </c>
      <c r="R960" s="103">
        <v>46262</v>
      </c>
      <c r="S960" t="s">
        <v>2236</v>
      </c>
      <c r="T960" t="s">
        <v>2733</v>
      </c>
      <c r="U960" t="s">
        <v>2631</v>
      </c>
      <c r="AD960">
        <v>1066</v>
      </c>
    </row>
    <row r="961" spans="1:30" hidden="1">
      <c r="A961">
        <v>353117</v>
      </c>
      <c r="B961">
        <v>300</v>
      </c>
      <c r="C961" t="s">
        <v>2230</v>
      </c>
      <c r="E961" s="103">
        <v>46296</v>
      </c>
      <c r="F961">
        <v>1</v>
      </c>
      <c r="G961" s="1210">
        <v>46136</v>
      </c>
      <c r="I961" t="s">
        <v>795</v>
      </c>
      <c r="J961" t="s">
        <v>2082</v>
      </c>
      <c r="K961">
        <v>4500013006</v>
      </c>
      <c r="L961" t="s">
        <v>2296</v>
      </c>
      <c r="N961" t="s">
        <v>2355</v>
      </c>
      <c r="O961" t="s">
        <v>2026</v>
      </c>
      <c r="P961" s="103">
        <v>46289</v>
      </c>
      <c r="Q961" t="s">
        <v>2231</v>
      </c>
      <c r="R961" s="103">
        <v>46293</v>
      </c>
      <c r="S961" t="s">
        <v>2236</v>
      </c>
      <c r="U961" t="s">
        <v>2247</v>
      </c>
      <c r="AD961">
        <v>1805</v>
      </c>
    </row>
    <row r="962" spans="1:30" hidden="1">
      <c r="A962">
        <v>353328</v>
      </c>
      <c r="B962">
        <v>300</v>
      </c>
      <c r="C962" t="s">
        <v>2252</v>
      </c>
      <c r="E962" s="103">
        <v>46300</v>
      </c>
      <c r="F962">
        <v>1</v>
      </c>
      <c r="G962" s="1210">
        <v>46136</v>
      </c>
      <c r="I962" t="s">
        <v>397</v>
      </c>
      <c r="J962" t="s">
        <v>2012</v>
      </c>
      <c r="K962">
        <v>4500013012</v>
      </c>
      <c r="L962" t="s">
        <v>2330</v>
      </c>
      <c r="N962" t="s">
        <v>2356</v>
      </c>
      <c r="O962" t="s">
        <v>2026</v>
      </c>
      <c r="P962" s="103">
        <v>46293</v>
      </c>
      <c r="Q962" t="s">
        <v>2231</v>
      </c>
      <c r="R962" s="103">
        <v>46297</v>
      </c>
      <c r="S962" t="s">
        <v>2236</v>
      </c>
      <c r="U962" t="s">
        <v>2247</v>
      </c>
      <c r="AD962">
        <v>1355</v>
      </c>
    </row>
    <row r="963" spans="1:30" hidden="1">
      <c r="A963">
        <v>303437</v>
      </c>
      <c r="B963">
        <v>300</v>
      </c>
      <c r="C963" t="s">
        <v>2294</v>
      </c>
      <c r="D963" t="s">
        <v>2286</v>
      </c>
      <c r="E963" s="103">
        <v>46307</v>
      </c>
      <c r="F963">
        <v>1</v>
      </c>
      <c r="G963" s="1210">
        <v>46016</v>
      </c>
      <c r="I963" t="s">
        <v>475</v>
      </c>
      <c r="J963" t="s">
        <v>2070</v>
      </c>
      <c r="K963">
        <v>4500012440</v>
      </c>
      <c r="L963" t="s">
        <v>2341</v>
      </c>
      <c r="N963" t="s">
        <v>2357</v>
      </c>
      <c r="O963" t="s">
        <v>2026</v>
      </c>
      <c r="P963" s="103">
        <v>46300</v>
      </c>
      <c r="Q963" t="s">
        <v>2231</v>
      </c>
      <c r="R963" s="103">
        <v>46304</v>
      </c>
      <c r="S963" t="s">
        <v>2281</v>
      </c>
      <c r="U963" t="s">
        <v>2241</v>
      </c>
      <c r="AD963">
        <v>1100</v>
      </c>
    </row>
    <row r="964" spans="1:30" hidden="1">
      <c r="A964">
        <v>303438</v>
      </c>
      <c r="B964">
        <v>200</v>
      </c>
      <c r="C964" t="s">
        <v>2285</v>
      </c>
      <c r="D964" t="s">
        <v>2286</v>
      </c>
      <c r="E964" s="103">
        <v>46307</v>
      </c>
      <c r="F964">
        <v>1</v>
      </c>
      <c r="G964" s="1210">
        <v>46016</v>
      </c>
      <c r="I964" t="s">
        <v>478</v>
      </c>
      <c r="J964" t="s">
        <v>2070</v>
      </c>
      <c r="K964">
        <v>4500012443</v>
      </c>
      <c r="L964" t="s">
        <v>2343</v>
      </c>
      <c r="N964" t="s">
        <v>2357</v>
      </c>
      <c r="O964" t="s">
        <v>2026</v>
      </c>
      <c r="P964" s="103">
        <v>46300</v>
      </c>
      <c r="Q964" t="s">
        <v>2231</v>
      </c>
      <c r="R964" s="103">
        <v>46304</v>
      </c>
      <c r="S964" t="s">
        <v>2281</v>
      </c>
      <c r="U964" t="s">
        <v>2241</v>
      </c>
      <c r="AD964">
        <v>730</v>
      </c>
    </row>
    <row r="965" spans="1:30" hidden="1">
      <c r="A965">
        <v>353117</v>
      </c>
      <c r="B965">
        <v>400</v>
      </c>
      <c r="C965" t="s">
        <v>2230</v>
      </c>
      <c r="E965" s="103">
        <v>46327</v>
      </c>
      <c r="F965">
        <v>1</v>
      </c>
      <c r="G965" s="1210">
        <v>46136</v>
      </c>
      <c r="I965" t="s">
        <v>795</v>
      </c>
      <c r="J965" t="s">
        <v>2082</v>
      </c>
      <c r="K965">
        <v>4500013007</v>
      </c>
      <c r="L965" t="s">
        <v>2358</v>
      </c>
      <c r="N965" t="s">
        <v>2359</v>
      </c>
      <c r="O965" t="s">
        <v>2026</v>
      </c>
      <c r="P965" s="103">
        <v>46320</v>
      </c>
      <c r="Q965" t="s">
        <v>2231</v>
      </c>
      <c r="R965" s="103">
        <v>46324</v>
      </c>
      <c r="S965" t="s">
        <v>2236</v>
      </c>
      <c r="U965" t="s">
        <v>2247</v>
      </c>
      <c r="AD965">
        <v>2205</v>
      </c>
    </row>
  </sheetData>
  <phoneticPr fontId="4"/>
  <pageMargins left="0.7" right="0.7" top="0.75" bottom="0.75" header="0.3" footer="0.3"/>
  <pageSetup paperSize="9" orientation="portrait"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3E1E6-3263-4A81-ADE5-B941C3BE9C3A}">
  <sheetPr codeName="Sheet28"/>
  <dimension ref="B2:F57"/>
  <sheetViews>
    <sheetView workbookViewId="0"/>
  </sheetViews>
  <sheetFormatPr defaultColWidth="8.75" defaultRowHeight="18.75"/>
  <cols>
    <col min="2" max="2" width="33.25" customWidth="1"/>
    <col min="3" max="3" width="62.75" customWidth="1"/>
    <col min="4" max="4" width="52.75" bestFit="1" customWidth="1"/>
    <col min="5" max="5" width="19.25" bestFit="1" customWidth="1"/>
    <col min="6" max="6" width="25.25" customWidth="1"/>
    <col min="7" max="7" width="26.75" customWidth="1"/>
  </cols>
  <sheetData>
    <row r="2" spans="2:4">
      <c r="B2" t="s">
        <v>2360</v>
      </c>
    </row>
    <row r="3" spans="2:4">
      <c r="B3" t="s">
        <v>2361</v>
      </c>
    </row>
    <row r="4" spans="2:4">
      <c r="D4" t="s">
        <v>2362</v>
      </c>
    </row>
    <row r="5" spans="2:4">
      <c r="B5" t="s">
        <v>2363</v>
      </c>
      <c r="C5" s="385"/>
      <c r="D5" t="s">
        <v>2364</v>
      </c>
    </row>
    <row r="6" spans="2:4">
      <c r="C6" s="144"/>
    </row>
    <row r="7" spans="2:4">
      <c r="C7" s="144"/>
      <c r="D7" t="s">
        <v>2365</v>
      </c>
    </row>
    <row r="8" spans="2:4">
      <c r="C8" s="144"/>
    </row>
    <row r="9" spans="2:4">
      <c r="C9" s="144"/>
      <c r="D9" t="s">
        <v>2366</v>
      </c>
    </row>
    <row r="10" spans="2:4">
      <c r="C10" s="144"/>
    </row>
    <row r="11" spans="2:4">
      <c r="C11" s="144"/>
    </row>
    <row r="12" spans="2:4">
      <c r="C12" s="144"/>
    </row>
    <row r="13" spans="2:4">
      <c r="C13" s="144"/>
      <c r="D13" t="s">
        <v>2367</v>
      </c>
    </row>
    <row r="14" spans="2:4">
      <c r="C14" s="144"/>
    </row>
    <row r="15" spans="2:4">
      <c r="C15" s="144"/>
    </row>
    <row r="16" spans="2:4">
      <c r="C16" s="144"/>
      <c r="D16" t="s">
        <v>2368</v>
      </c>
    </row>
    <row r="17" spans="2:6">
      <c r="C17" s="144"/>
    </row>
    <row r="18" spans="2:6">
      <c r="C18" s="142"/>
      <c r="D18" t="s">
        <v>2369</v>
      </c>
    </row>
    <row r="20" spans="2:6">
      <c r="C20" s="386" t="s">
        <v>2370</v>
      </c>
      <c r="D20" t="s">
        <v>2371</v>
      </c>
      <c r="E20" t="s">
        <v>2372</v>
      </c>
      <c r="F20" t="s">
        <v>2373</v>
      </c>
    </row>
    <row r="21" spans="2:6">
      <c r="C21" s="145"/>
      <c r="D21" t="s">
        <v>2374</v>
      </c>
    </row>
    <row r="22" spans="2:6">
      <c r="C22" s="145"/>
    </row>
    <row r="23" spans="2:6">
      <c r="C23" s="145"/>
    </row>
    <row r="24" spans="2:6">
      <c r="C24" s="145"/>
    </row>
    <row r="25" spans="2:6">
      <c r="C25" s="145"/>
    </row>
    <row r="26" spans="2:6">
      <c r="C26" s="145"/>
    </row>
    <row r="27" spans="2:6">
      <c r="C27" s="145"/>
    </row>
    <row r="28" spans="2:6">
      <c r="C28" s="145"/>
    </row>
    <row r="29" spans="2:6">
      <c r="C29" s="146"/>
    </row>
    <row r="30" spans="2:6">
      <c r="C30" s="147"/>
    </row>
    <row r="31" spans="2:6">
      <c r="B31" t="s">
        <v>2375</v>
      </c>
      <c r="C31" s="385"/>
      <c r="D31" t="s">
        <v>2376</v>
      </c>
    </row>
    <row r="32" spans="2:6">
      <c r="C32" s="142"/>
      <c r="D32" t="s">
        <v>2377</v>
      </c>
    </row>
    <row r="33" spans="2:6">
      <c r="C33" t="s">
        <v>2378</v>
      </c>
    </row>
    <row r="36" spans="2:6">
      <c r="B36" t="s">
        <v>2379</v>
      </c>
      <c r="C36" s="385"/>
      <c r="D36" t="s">
        <v>2380</v>
      </c>
    </row>
    <row r="37" spans="2:6">
      <c r="C37" s="144"/>
      <c r="D37" t="s">
        <v>2381</v>
      </c>
      <c r="E37" t="s">
        <v>2382</v>
      </c>
      <c r="F37" t="s">
        <v>2383</v>
      </c>
    </row>
    <row r="38" spans="2:6">
      <c r="C38" s="144"/>
    </row>
    <row r="39" spans="2:6">
      <c r="C39" s="144"/>
      <c r="D39" t="s">
        <v>2384</v>
      </c>
      <c r="E39" t="s">
        <v>2385</v>
      </c>
      <c r="F39" t="s">
        <v>2386</v>
      </c>
    </row>
    <row r="40" spans="2:6">
      <c r="C40" s="142"/>
      <c r="D40" t="s">
        <v>2387</v>
      </c>
      <c r="E40" t="s">
        <v>2385</v>
      </c>
      <c r="F40" t="s">
        <v>2388</v>
      </c>
    </row>
    <row r="43" spans="2:6">
      <c r="B43" t="s">
        <v>2389</v>
      </c>
      <c r="C43" s="385"/>
      <c r="D43" t="s">
        <v>2390</v>
      </c>
    </row>
    <row r="44" spans="2:6">
      <c r="C44" s="144"/>
      <c r="D44" t="s">
        <v>2391</v>
      </c>
    </row>
    <row r="45" spans="2:6">
      <c r="C45" s="144"/>
      <c r="D45" t="s">
        <v>2392</v>
      </c>
    </row>
    <row r="46" spans="2:6">
      <c r="C46" s="144"/>
    </row>
    <row r="47" spans="2:6">
      <c r="C47" s="142"/>
      <c r="D47" t="s">
        <v>2393</v>
      </c>
    </row>
    <row r="49" spans="2:4">
      <c r="B49" t="s">
        <v>2394</v>
      </c>
      <c r="D49" t="s">
        <v>2395</v>
      </c>
    </row>
    <row r="50" spans="2:4">
      <c r="D50" t="s">
        <v>2396</v>
      </c>
    </row>
    <row r="56" spans="2:4">
      <c r="B56" t="s">
        <v>2397</v>
      </c>
    </row>
    <row r="57" spans="2:4">
      <c r="B57" t="s">
        <v>2398</v>
      </c>
    </row>
  </sheetData>
  <phoneticPr fontId="4"/>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569E-7E20-4AEA-8303-B382DCCD9827}">
  <sheetPr codeName="Sheet29"/>
  <dimension ref="B2:F57"/>
  <sheetViews>
    <sheetView workbookViewId="0">
      <selection activeCell="C9" sqref="C9"/>
    </sheetView>
  </sheetViews>
  <sheetFormatPr defaultColWidth="8.75" defaultRowHeight="18.75"/>
  <cols>
    <col min="2" max="2" width="33.25" customWidth="1"/>
    <col min="3" max="3" width="62.75" customWidth="1"/>
    <col min="4" max="4" width="52.75" bestFit="1" customWidth="1"/>
    <col min="5" max="5" width="19.25" bestFit="1" customWidth="1"/>
    <col min="6" max="6" width="25.25" customWidth="1"/>
    <col min="7" max="7" width="26.75" customWidth="1"/>
  </cols>
  <sheetData>
    <row r="2" spans="2:4">
      <c r="B2" t="s">
        <v>2360</v>
      </c>
    </row>
    <row r="3" spans="2:4">
      <c r="B3" t="s">
        <v>2361</v>
      </c>
    </row>
    <row r="4" spans="2:4">
      <c r="D4" t="s">
        <v>2362</v>
      </c>
    </row>
    <row r="5" spans="2:4">
      <c r="B5" t="s">
        <v>2363</v>
      </c>
      <c r="C5" s="385" t="s">
        <v>2399</v>
      </c>
      <c r="D5" t="s">
        <v>2364</v>
      </c>
    </row>
    <row r="6" spans="2:4">
      <c r="C6" s="144" t="s">
        <v>2400</v>
      </c>
    </row>
    <row r="7" spans="2:4">
      <c r="C7" s="144" t="s">
        <v>2401</v>
      </c>
      <c r="D7" t="s">
        <v>2365</v>
      </c>
    </row>
    <row r="8" spans="2:4">
      <c r="C8" s="144" t="s">
        <v>2402</v>
      </c>
    </row>
    <row r="9" spans="2:4">
      <c r="C9" s="144" t="s">
        <v>2403</v>
      </c>
      <c r="D9" t="s">
        <v>2366</v>
      </c>
    </row>
    <row r="10" spans="2:4">
      <c r="C10" s="144" t="s">
        <v>2404</v>
      </c>
    </row>
    <row r="11" spans="2:4">
      <c r="C11" s="144"/>
    </row>
    <row r="12" spans="2:4">
      <c r="C12" s="144"/>
    </row>
    <row r="13" spans="2:4">
      <c r="C13" s="144" t="s">
        <v>2405</v>
      </c>
      <c r="D13" t="s">
        <v>2367</v>
      </c>
    </row>
    <row r="14" spans="2:4">
      <c r="C14" s="144" t="s">
        <v>2406</v>
      </c>
    </row>
    <row r="15" spans="2:4">
      <c r="C15" s="144" t="s">
        <v>2407</v>
      </c>
    </row>
    <row r="16" spans="2:4">
      <c r="C16" s="144"/>
      <c r="D16" t="s">
        <v>2368</v>
      </c>
    </row>
    <row r="17" spans="2:6">
      <c r="C17" s="144"/>
    </row>
    <row r="18" spans="2:6">
      <c r="C18" s="142"/>
      <c r="D18" t="s">
        <v>2369</v>
      </c>
    </row>
    <row r="20" spans="2:6">
      <c r="C20" s="386" t="s">
        <v>2370</v>
      </c>
      <c r="D20" t="s">
        <v>2371</v>
      </c>
      <c r="E20" t="s">
        <v>2372</v>
      </c>
      <c r="F20" t="s">
        <v>2373</v>
      </c>
    </row>
    <row r="21" spans="2:6">
      <c r="C21" s="145" t="s">
        <v>2408</v>
      </c>
    </row>
    <row r="22" spans="2:6">
      <c r="C22" s="145" t="s">
        <v>2409</v>
      </c>
    </row>
    <row r="23" spans="2:6">
      <c r="C23" s="145" t="s">
        <v>2410</v>
      </c>
    </row>
    <row r="24" spans="2:6">
      <c r="C24" s="145" t="s">
        <v>2411</v>
      </c>
    </row>
    <row r="25" spans="2:6">
      <c r="C25" s="145" t="s">
        <v>2412</v>
      </c>
    </row>
    <row r="26" spans="2:6">
      <c r="C26" s="145" t="s">
        <v>2413</v>
      </c>
    </row>
    <row r="27" spans="2:6">
      <c r="C27" s="145" t="s">
        <v>2414</v>
      </c>
    </row>
    <row r="28" spans="2:6">
      <c r="C28" s="145" t="s">
        <v>2415</v>
      </c>
    </row>
    <row r="29" spans="2:6">
      <c r="C29" s="146" t="s">
        <v>2416</v>
      </c>
    </row>
    <row r="30" spans="2:6">
      <c r="C30" s="147"/>
    </row>
    <row r="31" spans="2:6">
      <c r="B31" t="s">
        <v>2375</v>
      </c>
      <c r="C31" s="385" t="s">
        <v>2417</v>
      </c>
      <c r="D31" t="s">
        <v>2376</v>
      </c>
    </row>
    <row r="32" spans="2:6">
      <c r="C32" s="142"/>
      <c r="D32" t="s">
        <v>2377</v>
      </c>
    </row>
    <row r="33" spans="2:6">
      <c r="C33" t="s">
        <v>2378</v>
      </c>
    </row>
    <row r="36" spans="2:6">
      <c r="B36" t="s">
        <v>2379</v>
      </c>
      <c r="C36" s="385" t="s">
        <v>2418</v>
      </c>
      <c r="D36" t="s">
        <v>2380</v>
      </c>
    </row>
    <row r="37" spans="2:6">
      <c r="C37" s="144" t="s">
        <v>2419</v>
      </c>
      <c r="D37" t="s">
        <v>2381</v>
      </c>
      <c r="E37" t="s">
        <v>2382</v>
      </c>
      <c r="F37" t="s">
        <v>2383</v>
      </c>
    </row>
    <row r="38" spans="2:6">
      <c r="C38" s="144" t="s">
        <v>2420</v>
      </c>
    </row>
    <row r="39" spans="2:6">
      <c r="C39" s="144" t="s">
        <v>2421</v>
      </c>
      <c r="D39" t="s">
        <v>2384</v>
      </c>
      <c r="E39" t="s">
        <v>2385</v>
      </c>
      <c r="F39" t="s">
        <v>2386</v>
      </c>
    </row>
    <row r="40" spans="2:6">
      <c r="C40" s="142" t="s">
        <v>2422</v>
      </c>
      <c r="D40" t="s">
        <v>2387</v>
      </c>
      <c r="E40" t="s">
        <v>2423</v>
      </c>
      <c r="F40" t="s">
        <v>2388</v>
      </c>
    </row>
    <row r="43" spans="2:6">
      <c r="B43" t="s">
        <v>2389</v>
      </c>
      <c r="C43" s="385" t="s">
        <v>2424</v>
      </c>
      <c r="D43" t="s">
        <v>2390</v>
      </c>
    </row>
    <row r="44" spans="2:6">
      <c r="C44" s="144" t="s">
        <v>2425</v>
      </c>
      <c r="D44" t="s">
        <v>2391</v>
      </c>
    </row>
    <row r="45" spans="2:6">
      <c r="C45" s="148" t="s">
        <v>2426</v>
      </c>
      <c r="D45" t="s">
        <v>2392</v>
      </c>
    </row>
    <row r="46" spans="2:6">
      <c r="C46" s="144" t="s">
        <v>2427</v>
      </c>
    </row>
    <row r="47" spans="2:6">
      <c r="C47" s="142"/>
      <c r="D47" t="s">
        <v>2393</v>
      </c>
    </row>
    <row r="49" spans="2:4">
      <c r="B49" t="s">
        <v>2394</v>
      </c>
      <c r="C49" t="s">
        <v>2428</v>
      </c>
      <c r="D49" t="s">
        <v>2395</v>
      </c>
    </row>
    <row r="50" spans="2:4">
      <c r="C50" t="s">
        <v>2429</v>
      </c>
      <c r="D50" t="s">
        <v>2396</v>
      </c>
    </row>
    <row r="56" spans="2:4">
      <c r="B56" t="s">
        <v>2397</v>
      </c>
    </row>
    <row r="57" spans="2:4">
      <c r="B57" t="s">
        <v>2398</v>
      </c>
    </row>
  </sheetData>
  <phoneticPr fontId="4"/>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EDA92-52ED-4B6F-B368-890C3CA57EE8}">
  <sheetPr codeName="Sheet6">
    <tabColor rgb="FF1F4E78"/>
  </sheetPr>
  <dimension ref="A1:H14"/>
  <sheetViews>
    <sheetView workbookViewId="0">
      <selection activeCell="D8" sqref="D8"/>
    </sheetView>
  </sheetViews>
  <sheetFormatPr defaultRowHeight="18.75"/>
  <cols>
    <col min="1" max="1" width="8.25" customWidth="1"/>
    <col min="2" max="2" width="7" customWidth="1"/>
    <col min="3" max="3" width="39.75" bestFit="1" customWidth="1"/>
    <col min="4" max="4" width="53.875" bestFit="1" customWidth="1"/>
    <col min="5" max="5" width="63.375" bestFit="1" customWidth="1"/>
    <col min="6" max="6" width="36.125" bestFit="1" customWidth="1"/>
    <col min="7" max="7" width="15.375" bestFit="1" customWidth="1"/>
    <col min="8" max="8" width="5.75" bestFit="1" customWidth="1"/>
  </cols>
  <sheetData>
    <row r="1" spans="1:8" ht="19.5" thickBot="1">
      <c r="A1" s="1244" t="s">
        <v>2430</v>
      </c>
      <c r="B1" s="1243"/>
      <c r="C1" s="1243"/>
      <c r="D1" s="1243"/>
      <c r="E1" s="1243"/>
      <c r="F1" s="1243"/>
      <c r="G1" s="1243"/>
      <c r="H1" s="1245"/>
    </row>
    <row r="2" spans="1:8">
      <c r="A2" t="s">
        <v>2431</v>
      </c>
      <c r="B2" t="s">
        <v>1528</v>
      </c>
    </row>
    <row r="3" spans="1:8">
      <c r="A3" t="s">
        <v>2432</v>
      </c>
      <c r="B3" t="s">
        <v>2433</v>
      </c>
    </row>
    <row r="4" spans="1:8">
      <c r="A4" t="s">
        <v>2434</v>
      </c>
      <c r="B4" t="s">
        <v>2435</v>
      </c>
    </row>
    <row r="6" spans="1:8">
      <c r="A6" s="1248" t="s">
        <v>2436</v>
      </c>
      <c r="B6" s="1246" t="s">
        <v>2437</v>
      </c>
      <c r="C6" s="1246" t="s">
        <v>2438</v>
      </c>
      <c r="D6" s="1246" t="s">
        <v>2439</v>
      </c>
      <c r="E6" s="1246" t="s">
        <v>2440</v>
      </c>
      <c r="F6" s="1246" t="s">
        <v>2441</v>
      </c>
      <c r="G6" s="1246" t="s">
        <v>2442</v>
      </c>
      <c r="H6" s="1249" t="s">
        <v>2443</v>
      </c>
    </row>
    <row r="7" spans="1:8">
      <c r="A7" s="1252" t="s">
        <v>2444</v>
      </c>
      <c r="B7" s="1250" t="s">
        <v>2445</v>
      </c>
      <c r="C7" s="1250" t="s">
        <v>2446</v>
      </c>
      <c r="D7" s="1250" t="s">
        <v>2447</v>
      </c>
      <c r="E7" s="1250" t="s">
        <v>2448</v>
      </c>
      <c r="F7" s="1250" t="s">
        <v>2449</v>
      </c>
      <c r="G7" s="1250" t="s">
        <v>2450</v>
      </c>
      <c r="H7" s="1255" t="s">
        <v>2451</v>
      </c>
    </row>
    <row r="8" spans="1:8">
      <c r="A8" s="1253" t="s">
        <v>2444</v>
      </c>
      <c r="B8" s="1247" t="s">
        <v>2452</v>
      </c>
      <c r="C8" s="1247" t="s">
        <v>2453</v>
      </c>
      <c r="D8" s="1247" t="s">
        <v>2454</v>
      </c>
      <c r="E8" s="1247" t="s">
        <v>2455</v>
      </c>
      <c r="F8" s="1247" t="s">
        <v>2456</v>
      </c>
      <c r="G8" s="1247" t="s">
        <v>2457</v>
      </c>
      <c r="H8" s="1256" t="s">
        <v>2451</v>
      </c>
    </row>
    <row r="9" spans="1:8">
      <c r="A9" s="1253" t="s">
        <v>2444</v>
      </c>
      <c r="B9" s="1247" t="s">
        <v>2458</v>
      </c>
      <c r="C9" s="1247" t="s">
        <v>2459</v>
      </c>
      <c r="D9" s="1247" t="s">
        <v>2460</v>
      </c>
      <c r="E9" s="1247" t="s">
        <v>2461</v>
      </c>
      <c r="F9" s="1247" t="s">
        <v>2462</v>
      </c>
      <c r="G9" s="1247" t="s">
        <v>2463</v>
      </c>
      <c r="H9" s="1256" t="s">
        <v>2451</v>
      </c>
    </row>
    <row r="10" spans="1:8">
      <c r="A10" s="1253" t="s">
        <v>2464</v>
      </c>
      <c r="B10" s="1247" t="s">
        <v>2465</v>
      </c>
      <c r="C10" s="1247" t="s">
        <v>2466</v>
      </c>
      <c r="D10" s="1247" t="s">
        <v>2467</v>
      </c>
      <c r="E10" s="1247" t="s">
        <v>2468</v>
      </c>
      <c r="F10" s="1247" t="s">
        <v>2469</v>
      </c>
      <c r="G10" s="1247" t="s">
        <v>2470</v>
      </c>
      <c r="H10" s="1256" t="s">
        <v>2451</v>
      </c>
    </row>
    <row r="11" spans="1:8">
      <c r="A11" s="1253" t="s">
        <v>2464</v>
      </c>
      <c r="B11" s="1247" t="s">
        <v>2471</v>
      </c>
      <c r="C11" s="1247" t="s">
        <v>2472</v>
      </c>
      <c r="D11" s="1247" t="s">
        <v>2473</v>
      </c>
      <c r="E11" s="1247" t="s">
        <v>2474</v>
      </c>
      <c r="F11" s="1247" t="s">
        <v>2475</v>
      </c>
      <c r="G11" s="1247" t="s">
        <v>2476</v>
      </c>
      <c r="H11" s="1256" t="s">
        <v>2451</v>
      </c>
    </row>
    <row r="12" spans="1:8">
      <c r="A12" s="1253" t="s">
        <v>2464</v>
      </c>
      <c r="B12" s="1247" t="s">
        <v>2477</v>
      </c>
      <c r="C12" s="1247" t="s">
        <v>2478</v>
      </c>
      <c r="D12" s="1247" t="s">
        <v>2479</v>
      </c>
      <c r="E12" s="1247" t="s">
        <v>2480</v>
      </c>
      <c r="F12" s="1247" t="s">
        <v>2481</v>
      </c>
      <c r="G12" s="1247" t="s">
        <v>2477</v>
      </c>
      <c r="H12" s="1256" t="s">
        <v>2451</v>
      </c>
    </row>
    <row r="13" spans="1:8">
      <c r="A13" s="1253" t="s">
        <v>2464</v>
      </c>
      <c r="B13" s="1247" t="s">
        <v>2482</v>
      </c>
      <c r="C13" s="1247" t="s">
        <v>2483</v>
      </c>
      <c r="D13" s="1247" t="s">
        <v>2484</v>
      </c>
      <c r="E13" s="1247" t="s">
        <v>2485</v>
      </c>
      <c r="F13" s="1247" t="s">
        <v>2486</v>
      </c>
      <c r="G13" s="1247" t="s">
        <v>2482</v>
      </c>
      <c r="H13" s="1256" t="s">
        <v>2451</v>
      </c>
    </row>
    <row r="14" spans="1:8">
      <c r="A14" s="1254" t="s">
        <v>2487</v>
      </c>
      <c r="B14" s="1251" t="s">
        <v>2488</v>
      </c>
      <c r="C14" s="1251" t="s">
        <v>2489</v>
      </c>
      <c r="D14" s="1251" t="s">
        <v>2490</v>
      </c>
      <c r="E14" s="1251" t="s">
        <v>2491</v>
      </c>
      <c r="F14" s="1251" t="s">
        <v>2492</v>
      </c>
      <c r="G14" s="1251" t="s">
        <v>2493</v>
      </c>
      <c r="H14" s="1257" t="s">
        <v>2494</v>
      </c>
    </row>
  </sheetData>
  <phoneticPr fontId="4"/>
  <pageMargins left="0.7" right="0.7" top="0.75" bottom="0.75" header="0.3" footer="0.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0F451-957D-481D-AC9E-C5F056B73E06}">
  <sheetPr codeName="Sheet310"/>
  <dimension ref="A1:P229"/>
  <sheetViews>
    <sheetView workbookViewId="0">
      <selection activeCell="A3" sqref="A3"/>
    </sheetView>
  </sheetViews>
  <sheetFormatPr defaultRowHeight="18.75" outlineLevelRow="1"/>
  <cols>
    <col min="1" max="1" width="11" bestFit="1" customWidth="1"/>
    <col min="2" max="2" width="21.625" bestFit="1" customWidth="1"/>
    <col min="3" max="3" width="10.125" customWidth="1"/>
    <col min="7" max="7" width="54.75" bestFit="1" customWidth="1"/>
    <col min="9" max="9" width="13" bestFit="1" customWidth="1"/>
    <col min="10" max="10" width="11" bestFit="1" customWidth="1"/>
    <col min="11" max="11" width="11.25" style="103" bestFit="1" customWidth="1"/>
    <col min="12" max="12" width="19.25" bestFit="1" customWidth="1"/>
    <col min="13" max="13" width="11.25" customWidth="1"/>
    <col min="14" max="14" width="11" bestFit="1" customWidth="1"/>
  </cols>
  <sheetData>
    <row r="1" spans="1:15">
      <c r="H1" s="50">
        <f>SUM(H3:H219)-SUM(SAP貼り付け!B5:B225)</f>
        <v>-9075</v>
      </c>
      <c r="I1" t="s">
        <v>2495</v>
      </c>
      <c r="M1" s="509">
        <f>SUMIFS(Onenote貼り付け!B:B,Onenote貼り付け!F:F,1)-SUM(M3:M230)</f>
        <v>28944</v>
      </c>
      <c r="N1" t="s">
        <v>2496</v>
      </c>
    </row>
    <row r="2" spans="1:15">
      <c r="A2" t="s">
        <v>77</v>
      </c>
      <c r="B2" t="s">
        <v>2497</v>
      </c>
      <c r="C2" t="s">
        <v>1327</v>
      </c>
      <c r="D2" t="s">
        <v>1760</v>
      </c>
      <c r="E2" t="s">
        <v>2498</v>
      </c>
      <c r="F2" t="s">
        <v>1891</v>
      </c>
      <c r="G2" t="s">
        <v>1903</v>
      </c>
      <c r="H2" t="s">
        <v>2032</v>
      </c>
      <c r="I2" t="s">
        <v>2499</v>
      </c>
      <c r="J2" t="s">
        <v>2500</v>
      </c>
      <c r="K2" s="103" t="s">
        <v>2501</v>
      </c>
      <c r="L2" t="s">
        <v>2502</v>
      </c>
      <c r="M2" t="s">
        <v>2503</v>
      </c>
      <c r="N2" t="s">
        <v>2504</v>
      </c>
      <c r="O2" t="s">
        <v>2505</v>
      </c>
    </row>
    <row r="3" spans="1:15">
      <c r="A3" t="s">
        <v>9</v>
      </c>
      <c r="B3" t="s">
        <v>1345</v>
      </c>
      <c r="C3">
        <f t="shared" ref="C3" si="0">D3+M3</f>
        <v>502</v>
      </c>
      <c r="D3">
        <f t="shared" ref="D3" si="1">H3</f>
        <v>66</v>
      </c>
      <c r="F3">
        <v>212347</v>
      </c>
      <c r="G3" t="s">
        <v>150</v>
      </c>
      <c r="H3">
        <f>SUMIFS(SAP[在庫数量],SAP[品目],在庫確認!$F:$F)</f>
        <v>66</v>
      </c>
      <c r="I3">
        <f>SUMIFS(SAP[在庫合計金額],SAP[品目],在庫確認!$F:$F)</f>
        <v>25214310</v>
      </c>
      <c r="J3">
        <f t="shared" ref="J3" si="2">IFERROR(I3/H3,"")</f>
        <v>382035</v>
      </c>
      <c r="L3" t="str">
        <f ca="1">IFERROR(TODAY()+(H3/#REF!)*7,"")</f>
        <v/>
      </c>
      <c r="M3">
        <f>SUMIFS(購買計画one_note_貼り付け[数量],購買計画one_note_貼り付け[コード],在庫確認!$F:$F,購買計画one_note_貼り付け[IO],1)</f>
        <v>436</v>
      </c>
      <c r="N3">
        <f>SUMIFS(SAP貼り付け!AC:AC,SAP貼り付け!A:A,在庫確認!F:F)</f>
        <v>0</v>
      </c>
      <c r="O3">
        <f t="shared" ref="O3" si="3">H3+M3</f>
        <v>502</v>
      </c>
    </row>
    <row r="4" spans="1:15">
      <c r="A4" t="s">
        <v>9</v>
      </c>
      <c r="B4" t="s">
        <v>1350</v>
      </c>
      <c r="C4">
        <f>D4+M4</f>
        <v>1317</v>
      </c>
      <c r="D4">
        <f>H4</f>
        <v>11</v>
      </c>
      <c r="F4">
        <v>212476</v>
      </c>
      <c r="G4" t="s">
        <v>2506</v>
      </c>
      <c r="H4">
        <f>SUMIFS(SAP[在庫数量],SAP[品目],在庫確認!F:F)</f>
        <v>11</v>
      </c>
      <c r="I4">
        <f>SUMIFS(SAP貼り付け!AC:AC,SAP貼り付け!A:A,在庫確認!F:F)</f>
        <v>0</v>
      </c>
      <c r="J4">
        <f>IFERROR(I4/H4,"")</f>
        <v>0</v>
      </c>
      <c r="M4">
        <f>SUMIFS(購買計画one_note_貼り付け[数量],購買計画one_note_貼り付け[コード],在庫確認!$F:$F,購買計画one_note_貼り付け[IO],1)</f>
        <v>1306</v>
      </c>
      <c r="N4">
        <f>SUMIFS(SAP貼り付け!AC:AC,SAP貼り付け!A:A,在庫確認!F:F)</f>
        <v>0</v>
      </c>
      <c r="O4">
        <f t="shared" ref="O4:O68" si="4">H4+M4</f>
        <v>1317</v>
      </c>
    </row>
    <row r="5" spans="1:15">
      <c r="A5" t="s">
        <v>9</v>
      </c>
      <c r="B5" t="s">
        <v>1355</v>
      </c>
      <c r="C5">
        <f t="shared" ref="C5:C6" si="5">D5+M5</f>
        <v>1270</v>
      </c>
      <c r="D5">
        <f t="shared" ref="D5:D6" si="6">H5</f>
        <v>74</v>
      </c>
      <c r="F5">
        <v>220801</v>
      </c>
      <c r="G5" t="s">
        <v>2507</v>
      </c>
      <c r="H5">
        <f>SUMIFS(SAP[在庫数量],SAP[品目],在庫確認!F:F)</f>
        <v>74</v>
      </c>
      <c r="I5">
        <f>SUMIFS(SAP貼り付け!AC:AC,SAP貼り付け!A:A,在庫確認!F:F)</f>
        <v>0</v>
      </c>
      <c r="J5">
        <f t="shared" ref="J5:J6" si="7">IFERROR(I5/H5,"")</f>
        <v>0</v>
      </c>
      <c r="M5">
        <f>SUMIFS(購買計画one_note_貼り付け[数量],購買計画one_note_貼り付け[コード],在庫確認!$F:$F,購買計画one_note_貼り付け[IO],1)</f>
        <v>1196</v>
      </c>
      <c r="N5">
        <f>SUMIFS(SAP貼り付け!AC:AC,SAP貼り付け!A:A,在庫確認!F:F)</f>
        <v>0</v>
      </c>
      <c r="O5">
        <f t="shared" si="4"/>
        <v>1270</v>
      </c>
    </row>
    <row r="6" spans="1:15">
      <c r="A6" t="s">
        <v>9</v>
      </c>
      <c r="B6" t="s">
        <v>1357</v>
      </c>
      <c r="C6">
        <f t="shared" si="5"/>
        <v>1054</v>
      </c>
      <c r="D6">
        <f t="shared" si="6"/>
        <v>128</v>
      </c>
      <c r="F6">
        <v>220803</v>
      </c>
      <c r="G6" t="s">
        <v>2508</v>
      </c>
      <c r="H6">
        <f>SUMIFS(SAP[在庫数量],SAP[品目],在庫確認!F:F)</f>
        <v>128</v>
      </c>
      <c r="I6">
        <f>SUMIFS(SAP貼り付け!AC:AC,SAP貼り付け!A:A,在庫確認!F:F)</f>
        <v>0</v>
      </c>
      <c r="J6">
        <f t="shared" si="7"/>
        <v>0</v>
      </c>
      <c r="M6">
        <f>SUMIFS(購買計画one_note_貼り付け[数量],購買計画one_note_貼り付け[コード],在庫確認!$F:$F,購買計画one_note_貼り付け[IO],1)</f>
        <v>926</v>
      </c>
      <c r="N6">
        <f>SUMIFS(SAP貼り付け!AC:AC,SAP貼り付け!A:A,在庫確認!F:F)</f>
        <v>0</v>
      </c>
      <c r="O6">
        <f t="shared" si="4"/>
        <v>1054</v>
      </c>
    </row>
    <row r="7" spans="1:15">
      <c r="A7" t="s">
        <v>9</v>
      </c>
      <c r="B7" t="s">
        <v>1360</v>
      </c>
      <c r="C7">
        <f t="shared" ref="C7" si="8">D7+M7</f>
        <v>791</v>
      </c>
      <c r="D7">
        <f t="shared" ref="D7" si="9">H7</f>
        <v>5</v>
      </c>
      <c r="F7">
        <v>214073</v>
      </c>
      <c r="G7" t="s">
        <v>2509</v>
      </c>
      <c r="H7">
        <f>SUMIFS(SAP[在庫数量],SAP[品目],在庫確認!F:F)</f>
        <v>5</v>
      </c>
      <c r="I7">
        <f>SUMIFS(SAP貼り付け!AC:AC,SAP貼り付け!A:A,在庫確認!F:F)</f>
        <v>0</v>
      </c>
      <c r="J7">
        <f t="shared" ref="J7" si="10">IFERROR(I7/H7,"")</f>
        <v>0</v>
      </c>
      <c r="M7">
        <f>SUMIFS(購買計画one_note_貼り付け[数量],購買計画one_note_貼り付け[コード],在庫確認!$F:$F,購買計画one_note_貼り付け[IO],1)</f>
        <v>786</v>
      </c>
      <c r="N7">
        <f>SUMIFS(SAP貼り付け!AC:AC,SAP貼り付け!A:A,在庫確認!F:F)</f>
        <v>0</v>
      </c>
      <c r="O7">
        <f t="shared" si="4"/>
        <v>791</v>
      </c>
    </row>
    <row r="8" spans="1:15">
      <c r="A8" t="s">
        <v>9</v>
      </c>
      <c r="B8" t="s">
        <v>1359</v>
      </c>
      <c r="C8">
        <f>D8+M8</f>
        <v>506</v>
      </c>
      <c r="D8">
        <f>H8</f>
        <v>0</v>
      </c>
      <c r="F8">
        <v>212469</v>
      </c>
      <c r="G8" t="s">
        <v>2510</v>
      </c>
      <c r="H8">
        <f>SUMIFS(SAP[在庫数量],SAP[品目],在庫確認!F:F)</f>
        <v>0</v>
      </c>
      <c r="I8">
        <f>SUMIFS(SAP貼り付け!AC:AC,SAP貼り付け!A:A,在庫確認!F:F)</f>
        <v>0</v>
      </c>
      <c r="J8" t="str">
        <f t="shared" ref="J8:J11" si="11">IFERROR(I8/H8,"")</f>
        <v/>
      </c>
      <c r="M8">
        <f>SUMIFS(購買計画one_note_貼り付け[数量],購買計画one_note_貼り付け[コード],在庫確認!$F:$F,購買計画one_note_貼り付け[IO],1)</f>
        <v>506</v>
      </c>
      <c r="N8">
        <f>SUMIFS(SAP貼り付け!AC:AC,SAP貼り付け!A:A,在庫確認!F:F)</f>
        <v>0</v>
      </c>
      <c r="O8">
        <f t="shared" si="4"/>
        <v>506</v>
      </c>
    </row>
    <row r="9" spans="1:15">
      <c r="A9" t="s">
        <v>9</v>
      </c>
      <c r="B9" t="s">
        <v>1359</v>
      </c>
      <c r="C9">
        <f>D9+M9</f>
        <v>384</v>
      </c>
      <c r="D9">
        <f>H9</f>
        <v>0</v>
      </c>
      <c r="F9">
        <v>251110</v>
      </c>
      <c r="G9" t="s">
        <v>254</v>
      </c>
      <c r="H9">
        <f>SUMIFS(SAP[在庫数量],SAP[品目],在庫確認!F:F)</f>
        <v>0</v>
      </c>
      <c r="I9">
        <f>SUMIFS(SAP貼り付け!AC:AC,SAP貼り付け!A:A,在庫確認!F:F)</f>
        <v>0</v>
      </c>
      <c r="J9" t="str">
        <f t="shared" si="11"/>
        <v/>
      </c>
      <c r="M9">
        <f>SUMIFS(購買計画one_note_貼り付け[数量],購買計画one_note_貼り付け[コード],在庫確認!$F:$F,購買計画one_note_貼り付け[IO],1)</f>
        <v>384</v>
      </c>
      <c r="N9">
        <f>SUMIFS(SAP貼り付け!AC:AC,SAP貼り付け!A:A,在庫確認!F:F)</f>
        <v>0</v>
      </c>
      <c r="O9">
        <f t="shared" si="4"/>
        <v>384</v>
      </c>
    </row>
    <row r="10" spans="1:15">
      <c r="A10" t="s">
        <v>9</v>
      </c>
      <c r="B10" t="s">
        <v>1363</v>
      </c>
      <c r="C10">
        <f>D10+M10</f>
        <v>2779</v>
      </c>
      <c r="D10">
        <f>H10</f>
        <v>53</v>
      </c>
      <c r="F10">
        <v>222818</v>
      </c>
      <c r="G10" t="s">
        <v>299</v>
      </c>
      <c r="H10">
        <f>SUMIFS(SAP[在庫数量],SAP[品目],在庫確認!F:F)</f>
        <v>53</v>
      </c>
      <c r="I10">
        <f>SUMIFS(SAP貼り付け!AC:AC,SAP貼り付け!A:A,在庫確認!F:F)</f>
        <v>0</v>
      </c>
      <c r="J10">
        <f t="shared" si="11"/>
        <v>0</v>
      </c>
      <c r="M10">
        <f>SUMIFS(購買計画one_note_貼り付け[数量],購買計画one_note_貼り付け[コード],在庫確認!$F:$F,購買計画one_note_貼り付け[IO],1)</f>
        <v>2726</v>
      </c>
      <c r="N10">
        <f>SUMIFS(SAP貼り付け!AC:AC,SAP貼り付け!A:A,在庫確認!F:F)</f>
        <v>0</v>
      </c>
      <c r="O10">
        <f t="shared" si="4"/>
        <v>2779</v>
      </c>
    </row>
    <row r="11" spans="1:15">
      <c r="A11" t="s">
        <v>9</v>
      </c>
      <c r="B11" t="s">
        <v>1364</v>
      </c>
      <c r="C11">
        <f>D11+M11</f>
        <v>4298</v>
      </c>
      <c r="D11">
        <f>H11</f>
        <v>702</v>
      </c>
      <c r="F11">
        <v>216515</v>
      </c>
      <c r="G11" t="s">
        <v>2511</v>
      </c>
      <c r="H11">
        <f>SUMIFS(SAP[在庫数量],SAP[品目],在庫確認!F:F)</f>
        <v>702</v>
      </c>
      <c r="I11">
        <f>SUMIFS(SAP貼り付け!AC:AC,SAP貼り付け!A:A,在庫確認!F:F)</f>
        <v>0</v>
      </c>
      <c r="J11">
        <f t="shared" si="11"/>
        <v>0</v>
      </c>
      <c r="M11">
        <f>SUMIFS(購買計画one_note_貼り付け[数量],購買計画one_note_貼り付け[コード],在庫確認!$F:$F,購買計画one_note_貼り付け[IO],1)</f>
        <v>3596</v>
      </c>
      <c r="N11">
        <f>SUMIFS(SAP貼り付け!AC:AC,SAP貼り付け!A:A,在庫確認!F:F)</f>
        <v>0</v>
      </c>
      <c r="O11">
        <f t="shared" si="4"/>
        <v>4298</v>
      </c>
    </row>
    <row r="12" spans="1:15">
      <c r="A12" t="s">
        <v>9</v>
      </c>
      <c r="B12" t="s">
        <v>1215</v>
      </c>
      <c r="C12">
        <f t="shared" ref="C12" si="12">D12+M12</f>
        <v>12992</v>
      </c>
      <c r="D12">
        <f t="shared" ref="D12" si="13">H12</f>
        <v>1414</v>
      </c>
      <c r="F12">
        <v>201900</v>
      </c>
      <c r="G12" t="s">
        <v>2512</v>
      </c>
      <c r="H12">
        <f>SUMIFS(SAP[在庫数量],SAP[品目],在庫確認!F:F)</f>
        <v>1414</v>
      </c>
      <c r="I12">
        <f>SUMIFS(SAP貼り付け!AC:AC,SAP貼り付け!A:A,在庫確認!F:F)</f>
        <v>0</v>
      </c>
      <c r="J12">
        <f t="shared" ref="J12" si="14">IFERROR(I12/H12,"")</f>
        <v>0</v>
      </c>
      <c r="M12">
        <f>SUMIFS(購買計画one_note_貼り付け[数量],購買計画one_note_貼り付け[コード],在庫確認!$F:$F,購買計画one_note_貼り付け[IO],1)</f>
        <v>11578</v>
      </c>
      <c r="N12">
        <f>SUMIFS(SAP貼り付け!AC:AC,SAP貼り付け!A:A,在庫確認!F:F)</f>
        <v>0</v>
      </c>
      <c r="O12">
        <f t="shared" si="4"/>
        <v>12992</v>
      </c>
    </row>
    <row r="13" spans="1:15">
      <c r="A13" t="s">
        <v>9</v>
      </c>
      <c r="B13" t="s">
        <v>1366</v>
      </c>
      <c r="C13">
        <f>D13+M13</f>
        <v>21119</v>
      </c>
      <c r="D13">
        <f>H13</f>
        <v>2039</v>
      </c>
      <c r="F13">
        <v>199024</v>
      </c>
      <c r="G13" t="s">
        <v>337</v>
      </c>
      <c r="H13">
        <f>SUMIFS(SAP[在庫数量],SAP[品目],在庫確認!F:F)</f>
        <v>2039</v>
      </c>
      <c r="I13">
        <f>SUMIFS(SAP貼り付け!AC:AC,SAP貼り付け!A:A,在庫確認!F:F)</f>
        <v>0</v>
      </c>
      <c r="J13">
        <f>IFERROR(I13/H13,"")</f>
        <v>0</v>
      </c>
      <c r="M13">
        <f>SUMIFS(購買計画one_note_貼り付け[数量],購買計画one_note_貼り付け[コード],在庫確認!$F:$F,購買計画one_note_貼り付け[IO],1)</f>
        <v>19080</v>
      </c>
      <c r="N13">
        <f>SUMIFS(SAP貼り付け!AC:AC,SAP貼り付け!A:A,在庫確認!F:F)</f>
        <v>0</v>
      </c>
      <c r="O13">
        <f t="shared" si="4"/>
        <v>21119</v>
      </c>
    </row>
    <row r="14" spans="1:15">
      <c r="A14" t="s">
        <v>1322</v>
      </c>
      <c r="B14" t="s">
        <v>1368</v>
      </c>
      <c r="C14">
        <f t="shared" ref="C14" si="15">D14+M14</f>
        <v>511</v>
      </c>
      <c r="D14">
        <f t="shared" ref="D14" si="16">H14</f>
        <v>5</v>
      </c>
      <c r="E14" t="str">
        <f>IFERROR(D14/(#REF!/7*30),"")</f>
        <v/>
      </c>
      <c r="F14">
        <v>218711</v>
      </c>
      <c r="G14" t="s">
        <v>2513</v>
      </c>
      <c r="H14">
        <f>SUMIFS(SAP[在庫数量],SAP[品目],在庫確認!F:F)</f>
        <v>5</v>
      </c>
      <c r="I14">
        <f>SUMIFS(SAP貼り付け!AC:AC,SAP貼り付け!A:A,在庫確認!F:F)</f>
        <v>0</v>
      </c>
      <c r="J14">
        <f t="shared" ref="J14" si="17">IFERROR(I14/H14,"")</f>
        <v>0</v>
      </c>
      <c r="M14">
        <f>SUMIFS(購買計画one_note_貼り付け[数量],購買計画one_note_貼り付け[コード],在庫確認!$F:$F,購買計画one_note_貼り付け[IO],1)</f>
        <v>506</v>
      </c>
      <c r="N14">
        <f>SUMIFS(SAP貼り付け!AC:AC,SAP貼り付け!A:A,在庫確認!F:F)</f>
        <v>0</v>
      </c>
      <c r="O14">
        <f t="shared" si="4"/>
        <v>511</v>
      </c>
    </row>
    <row r="15" spans="1:15">
      <c r="A15" t="s">
        <v>9</v>
      </c>
      <c r="B15" t="s">
        <v>1374</v>
      </c>
      <c r="C15">
        <f>D15+M15</f>
        <v>750</v>
      </c>
      <c r="D15">
        <f>H15</f>
        <v>0</v>
      </c>
      <c r="F15">
        <v>199319</v>
      </c>
      <c r="G15" t="s">
        <v>2514</v>
      </c>
      <c r="H15">
        <f>SUMIFS(SAP[在庫数量],SAP[品目],在庫確認!F:F)</f>
        <v>0</v>
      </c>
      <c r="I15">
        <f>SUMIFS(SAP貼り付け!AC:AC,SAP貼り付け!A:A,在庫確認!F:F)</f>
        <v>0</v>
      </c>
      <c r="J15" t="str">
        <f>IFERROR(I15/H15,"")</f>
        <v/>
      </c>
      <c r="M15">
        <f>SUMIFS(購買計画one_note_貼り付け[数量],購買計画one_note_貼り付け[コード],在庫確認!$F:$F,購買計画one_note_貼り付け[IO],1)</f>
        <v>750</v>
      </c>
      <c r="N15">
        <f>SUMIFS(SAP貼り付け!AC:AC,SAP貼り付け!A:A,在庫確認!F:F)</f>
        <v>0</v>
      </c>
      <c r="O15">
        <f t="shared" si="4"/>
        <v>750</v>
      </c>
    </row>
    <row r="16" spans="1:15">
      <c r="A16" t="s">
        <v>9</v>
      </c>
      <c r="B16" t="s">
        <v>1775</v>
      </c>
      <c r="C16">
        <f t="shared" ref="C16:C19" si="18">D16+M16</f>
        <v>964</v>
      </c>
      <c r="D16">
        <f t="shared" ref="D16:D19" si="19">H16</f>
        <v>38</v>
      </c>
      <c r="F16">
        <v>216518</v>
      </c>
      <c r="G16" t="s">
        <v>2515</v>
      </c>
      <c r="H16">
        <f>SUMIFS(SAP[在庫数量],SAP[品目],在庫確認!F:F)</f>
        <v>38</v>
      </c>
      <c r="I16">
        <f>SUMIFS(SAP貼り付け!AC:AC,SAP貼り付け!A:A,在庫確認!F:F)</f>
        <v>0</v>
      </c>
      <c r="J16">
        <f t="shared" ref="J16:J19" si="20">IFERROR(I16/H16,"")</f>
        <v>0</v>
      </c>
      <c r="M16">
        <f>SUMIFS(購買計画one_note_貼り付け[数量],購買計画one_note_貼り付け[コード],在庫確認!$F:$F,購買計画one_note_貼り付け[IO],1)</f>
        <v>926</v>
      </c>
      <c r="N16">
        <f>SUMIFS(SAP貼り付け!AC:AC,SAP貼り付け!A:A,在庫確認!F:F)</f>
        <v>0</v>
      </c>
      <c r="O16">
        <f t="shared" si="4"/>
        <v>964</v>
      </c>
    </row>
    <row r="17" spans="1:16">
      <c r="A17" t="s">
        <v>9</v>
      </c>
      <c r="B17" t="s">
        <v>1780</v>
      </c>
      <c r="C17">
        <f>D17+M17</f>
        <v>1020</v>
      </c>
      <c r="D17">
        <f>H17</f>
        <v>20</v>
      </c>
      <c r="F17">
        <v>220827</v>
      </c>
      <c r="G17" t="s">
        <v>2516</v>
      </c>
      <c r="H17">
        <f>SUMIFS(SAP[在庫数量],SAP[品目],在庫確認!F:F)</f>
        <v>20</v>
      </c>
      <c r="I17">
        <f>SUMIFS(SAP貼り付け!AC:AC,SAP貼り付け!A:A,在庫確認!F:F)</f>
        <v>0</v>
      </c>
      <c r="J17">
        <f>IFERROR(I17/H17,"")</f>
        <v>0</v>
      </c>
      <c r="M17">
        <f>SUMIFS(購買計画one_note_貼り付け[数量],購買計画one_note_貼り付け[コード],在庫確認!$F:$F,購買計画one_note_貼り付け[IO],1)</f>
        <v>1000</v>
      </c>
      <c r="N17">
        <f>SUMIFS(SAP貼り付け!AC:AC,SAP貼り付け!A:A,在庫確認!F:F)</f>
        <v>0</v>
      </c>
      <c r="O17">
        <f t="shared" si="4"/>
        <v>1020</v>
      </c>
    </row>
    <row r="18" spans="1:16">
      <c r="A18" t="s">
        <v>9</v>
      </c>
      <c r="B18" t="s">
        <v>1786</v>
      </c>
      <c r="C18">
        <f t="shared" si="18"/>
        <v>3088</v>
      </c>
      <c r="D18">
        <f t="shared" si="19"/>
        <v>536</v>
      </c>
      <c r="F18">
        <v>216521</v>
      </c>
      <c r="G18" t="s">
        <v>2517</v>
      </c>
      <c r="H18">
        <f>SUMIFS(SAP[在庫数量],SAP[品目],在庫確認!F:F)</f>
        <v>536</v>
      </c>
      <c r="I18">
        <f>SUMIFS(SAP貼り付け!AC:AC,SAP貼り付け!A:A,在庫確認!F:F)</f>
        <v>0</v>
      </c>
      <c r="J18">
        <f t="shared" si="20"/>
        <v>0</v>
      </c>
      <c r="M18">
        <f>SUMIFS(購買計画one_note_貼り付け[数量],購買計画one_note_貼り付け[コード],在庫確認!$F:$F,購買計画one_note_貼り付け[IO],1)</f>
        <v>2552</v>
      </c>
      <c r="N18">
        <f>SUMIFS(SAP貼り付け!AC:AC,SAP貼り付け!A:A,在庫確認!F:F)</f>
        <v>0</v>
      </c>
      <c r="O18">
        <f t="shared" si="4"/>
        <v>3088</v>
      </c>
    </row>
    <row r="19" spans="1:16">
      <c r="A19" t="s">
        <v>9</v>
      </c>
      <c r="B19" t="s">
        <v>1388</v>
      </c>
      <c r="C19">
        <f t="shared" si="18"/>
        <v>1582</v>
      </c>
      <c r="D19">
        <f t="shared" si="19"/>
        <v>42</v>
      </c>
      <c r="F19">
        <v>216524</v>
      </c>
      <c r="G19" t="s">
        <v>2518</v>
      </c>
      <c r="H19">
        <f>SUMIFS(SAP[在庫数量],SAP[品目],在庫確認!F:F)</f>
        <v>42</v>
      </c>
      <c r="I19">
        <f>SUMIFS(SAP貼り付け!AC:AC,SAP貼り付け!A:A,在庫確認!F:F)</f>
        <v>0</v>
      </c>
      <c r="J19">
        <f t="shared" si="20"/>
        <v>0</v>
      </c>
      <c r="M19">
        <f>SUMIFS(購買計画one_note_貼り付け[数量],購買計画one_note_貼り付け[コード],在庫確認!$F:$F,購買計画one_note_貼り付け[IO],1)</f>
        <v>1540</v>
      </c>
      <c r="N19">
        <f>SUMIFS(SAP貼り付け!AC:AC,SAP貼り付け!A:A,在庫確認!F:F)</f>
        <v>0</v>
      </c>
      <c r="O19">
        <f t="shared" si="4"/>
        <v>1582</v>
      </c>
    </row>
    <row r="20" spans="1:16">
      <c r="A20" t="s">
        <v>9</v>
      </c>
      <c r="B20" t="s">
        <v>1788</v>
      </c>
      <c r="C20">
        <f t="shared" ref="C20" si="21">D20+M20</f>
        <v>3945</v>
      </c>
      <c r="D20">
        <f t="shared" ref="D20:D21" si="22">H20</f>
        <v>555</v>
      </c>
      <c r="F20">
        <v>199022</v>
      </c>
      <c r="G20" t="s">
        <v>460</v>
      </c>
      <c r="H20">
        <f>SUMIFS(SAP[在庫数量],SAP[品目],在庫確認!F:F)</f>
        <v>555</v>
      </c>
      <c r="I20">
        <f>SUMIFS(SAP貼り付け!AC:AC,SAP貼り付け!A:A,在庫確認!F:F)</f>
        <v>0</v>
      </c>
      <c r="J20">
        <f t="shared" ref="J20:J21" si="23">IFERROR(I20/H20,"")</f>
        <v>0</v>
      </c>
      <c r="M20">
        <f>SUMIFS(購買計画one_note_貼り付け[数量],購買計画one_note_貼り付け[コード],在庫確認!$F:$F,購買計画one_note_貼り付け[IO],1)</f>
        <v>3390</v>
      </c>
      <c r="N20">
        <f>SUMIFS(SAP貼り付け!AC:AC,SAP貼り付け!A:A,在庫確認!F:F)</f>
        <v>0</v>
      </c>
      <c r="O20">
        <f t="shared" si="4"/>
        <v>3945</v>
      </c>
    </row>
    <row r="21" spans="1:16">
      <c r="A21" t="s">
        <v>9</v>
      </c>
      <c r="B21" t="s">
        <v>1789</v>
      </c>
      <c r="C21">
        <f>D21+M21</f>
        <v>4891</v>
      </c>
      <c r="D21">
        <f t="shared" si="22"/>
        <v>11</v>
      </c>
      <c r="F21">
        <v>199023</v>
      </c>
      <c r="G21" t="s">
        <v>465</v>
      </c>
      <c r="H21">
        <f>SUMIFS(SAP[在庫数量],SAP[品目],在庫確認!F:F)</f>
        <v>11</v>
      </c>
      <c r="I21">
        <f>SUMIFS(SAP貼り付け!AC:AC,SAP貼り付け!A:A,在庫確認!F:F)</f>
        <v>0</v>
      </c>
      <c r="J21">
        <f t="shared" si="23"/>
        <v>0</v>
      </c>
      <c r="M21">
        <f>SUMIFS(購買計画one_note_貼り付け[数量],購買計画one_note_貼り付け[コード],在庫確認!$F:$F,購買計画one_note_貼り付け[IO],1)</f>
        <v>4880</v>
      </c>
      <c r="N21">
        <f>SUMIFS(SAP貼り付け!AC:AC,SAP貼り付け!A:A,在庫確認!F:F)</f>
        <v>0</v>
      </c>
      <c r="O21">
        <f t="shared" si="4"/>
        <v>4891</v>
      </c>
    </row>
    <row r="22" spans="1:16">
      <c r="A22" t="s">
        <v>9</v>
      </c>
      <c r="B22" t="s">
        <v>1784</v>
      </c>
      <c r="C22">
        <f t="shared" ref="C22" si="24">D22+M22</f>
        <v>1966</v>
      </c>
      <c r="D22">
        <f t="shared" ref="D22" si="25">H22</f>
        <v>26</v>
      </c>
      <c r="F22">
        <v>216787</v>
      </c>
      <c r="G22" t="s">
        <v>2519</v>
      </c>
      <c r="H22">
        <f>SUMIFS(SAP[在庫数量],SAP[品目],在庫確認!F:F)</f>
        <v>26</v>
      </c>
      <c r="I22">
        <f>SUMIFS(SAP貼り付け!AC:AC,SAP貼り付け!A:A,在庫確認!F:F)</f>
        <v>0</v>
      </c>
      <c r="J22">
        <f t="shared" ref="J22" si="26">IFERROR(I22/H22,"")</f>
        <v>0</v>
      </c>
      <c r="M22">
        <f>SUMIFS(購買計画one_note_貼り付け[数量],購買計画one_note_貼り付け[コード],在庫確認!$F:$F,購買計画one_note_貼り付け[IO],1)</f>
        <v>1940</v>
      </c>
      <c r="N22">
        <f>SUMIFS(SAP貼り付け!AC:AC,SAP貼り付け!A:A,在庫確認!F:F)</f>
        <v>0</v>
      </c>
      <c r="O22">
        <f t="shared" si="4"/>
        <v>1966</v>
      </c>
    </row>
    <row r="23" spans="1:16">
      <c r="A23" t="s">
        <v>9</v>
      </c>
      <c r="B23" t="s">
        <v>2520</v>
      </c>
      <c r="C23">
        <f t="shared" ref="C23:C44" si="27">D23+M23</f>
        <v>920</v>
      </c>
      <c r="D23">
        <f t="shared" ref="D23:D44" si="28">H23</f>
        <v>0</v>
      </c>
      <c r="F23">
        <v>193198</v>
      </c>
      <c r="G23" t="s">
        <v>498</v>
      </c>
      <c r="H23">
        <f>SUMIFS(SAP[在庫数量],SAP[品目],在庫確認!F:F)</f>
        <v>0</v>
      </c>
      <c r="I23">
        <f>SUMIFS(SAP貼り付け!AC:AC,SAP貼り付け!A:A,在庫確認!F:F)</f>
        <v>0</v>
      </c>
      <c r="J23" t="str">
        <f t="shared" ref="J23:J44" si="29">IFERROR(I23/H23,"")</f>
        <v/>
      </c>
      <c r="M23">
        <f>SUMIFS(購買計画one_note_貼り付け[数量],購買計画one_note_貼り付け[コード],在庫確認!$F:$F,購買計画one_note_貼り付け[IO],1)</f>
        <v>920</v>
      </c>
      <c r="N23">
        <f>SUMIFS(SAP貼り付け!AC:AC,SAP貼り付け!A:A,在庫確認!F:F)</f>
        <v>0</v>
      </c>
      <c r="O23">
        <f t="shared" si="4"/>
        <v>920</v>
      </c>
    </row>
    <row r="24" spans="1:16">
      <c r="A24" t="s">
        <v>9</v>
      </c>
      <c r="B24" t="s">
        <v>427</v>
      </c>
      <c r="C24">
        <f t="shared" ref="C24" si="30">D24+M24</f>
        <v>748</v>
      </c>
      <c r="D24">
        <f t="shared" ref="D24" si="31">H24</f>
        <v>348</v>
      </c>
      <c r="F24">
        <v>295634</v>
      </c>
      <c r="G24" t="s">
        <v>2521</v>
      </c>
      <c r="H24">
        <f>SUMIFS(SAP[在庫数量],SAP[品目],在庫確認!F:F)</f>
        <v>348</v>
      </c>
      <c r="I24">
        <f>SUMIFS(SAP貼り付け!AC:AC,SAP貼り付け!A:A,在庫確認!F:F)</f>
        <v>0</v>
      </c>
      <c r="J24">
        <f t="shared" ref="J24" si="32">IFERROR(I24/H24,"")</f>
        <v>0</v>
      </c>
      <c r="M24">
        <f>SUMIFS(購買計画one_note_貼り付け[数量],購買計画one_note_貼り付け[コード],在庫確認!$F:$F,購買計画one_note_貼り付け[IO],1)</f>
        <v>400</v>
      </c>
      <c r="N24">
        <f>SUMIFS(SAP貼り付け!AC:AC,SAP貼り付け!A:A,在庫確認!F:F)</f>
        <v>0</v>
      </c>
      <c r="O24">
        <f t="shared" ref="O24" si="33">H24+M24</f>
        <v>748</v>
      </c>
      <c r="P24" t="s">
        <v>2522</v>
      </c>
    </row>
    <row r="25" spans="1:16">
      <c r="A25" t="s">
        <v>2523</v>
      </c>
      <c r="B25" t="s">
        <v>1794</v>
      </c>
      <c r="C25">
        <f>D25+M25</f>
        <v>1835</v>
      </c>
      <c r="D25">
        <f>H25</f>
        <v>230</v>
      </c>
      <c r="F25">
        <v>281821</v>
      </c>
      <c r="G25" t="s">
        <v>2524</v>
      </c>
      <c r="H25">
        <f>SUMIFS(SAP[在庫数量],SAP[品目],在庫確認!F:F)</f>
        <v>230</v>
      </c>
      <c r="I25">
        <f>SUMIFS(SAP貼り付け!AC:AC,SAP貼り付け!A:A,在庫確認!F:F)</f>
        <v>0</v>
      </c>
      <c r="J25">
        <f>IFERROR(I25/H25,"")</f>
        <v>0</v>
      </c>
      <c r="M25">
        <f>SUMIFS(購買計画one_note_貼り付け[数量],購買計画one_note_貼り付け[コード],在庫確認!$F:$F,購買計画one_note_貼り付け[IO],1)</f>
        <v>1605</v>
      </c>
      <c r="N25">
        <f>SUMIFS(SAP貼り付け!AC:AC,SAP貼り付け!A:A,在庫確認!F:F)</f>
        <v>0</v>
      </c>
      <c r="O25">
        <f t="shared" si="4"/>
        <v>1835</v>
      </c>
    </row>
    <row r="26" spans="1:16">
      <c r="A26" t="s">
        <v>2523</v>
      </c>
      <c r="B26" t="s">
        <v>623</v>
      </c>
      <c r="C26">
        <f t="shared" ref="C26" si="34">D26+M26</f>
        <v>442</v>
      </c>
      <c r="D26">
        <f t="shared" ref="D26" si="35">H26</f>
        <v>136</v>
      </c>
      <c r="F26">
        <v>222645</v>
      </c>
      <c r="G26" t="s">
        <v>2525</v>
      </c>
      <c r="H26">
        <f>SUMIFS(SAP[在庫数量],SAP[品目],在庫確認!F:F)</f>
        <v>136</v>
      </c>
      <c r="I26">
        <f>SUMIFS(SAP貼り付け!AC:AC,SAP貼り付け!A:A,在庫確認!F:F)</f>
        <v>0</v>
      </c>
      <c r="J26">
        <f t="shared" ref="J26" si="36">IFERROR(I26/H26,"")</f>
        <v>0</v>
      </c>
      <c r="M26">
        <f>SUMIFS(購買計画one_note_貼り付け[数量],購買計画one_note_貼り付け[コード],在庫確認!$F:$F,購買計画one_note_貼り付け[IO],1)</f>
        <v>306</v>
      </c>
      <c r="N26">
        <f>SUMIFS(SAP貼り付け!AC:AC,SAP貼り付け!A:A,在庫確認!F:F)</f>
        <v>0</v>
      </c>
      <c r="O26">
        <f t="shared" si="4"/>
        <v>442</v>
      </c>
    </row>
    <row r="27" spans="1:16">
      <c r="A27" t="s">
        <v>2523</v>
      </c>
      <c r="B27" t="s">
        <v>1414</v>
      </c>
      <c r="C27">
        <f t="shared" si="27"/>
        <v>150</v>
      </c>
      <c r="D27">
        <f t="shared" si="28"/>
        <v>0</v>
      </c>
      <c r="F27">
        <v>199321</v>
      </c>
      <c r="G27" t="s">
        <v>2526</v>
      </c>
      <c r="H27">
        <f>SUMIFS(SAP[在庫数量],SAP[品目],在庫確認!F:F)</f>
        <v>0</v>
      </c>
      <c r="I27">
        <f>SUMIFS(SAP貼り付け!AC:AC,SAP貼り付け!A:A,在庫確認!F:F)</f>
        <v>0</v>
      </c>
      <c r="J27" t="str">
        <f t="shared" si="29"/>
        <v/>
      </c>
      <c r="M27">
        <f>SUMIFS(購買計画one_note_貼り付け[数量],購買計画one_note_貼り付け[コード],在庫確認!$F:$F,購買計画one_note_貼り付け[IO],1)</f>
        <v>150</v>
      </c>
      <c r="N27">
        <f>SUMIFS(SAP貼り付け!AC:AC,SAP貼り付け!A:A,在庫確認!F:F)</f>
        <v>0</v>
      </c>
      <c r="O27">
        <f t="shared" si="4"/>
        <v>150</v>
      </c>
    </row>
    <row r="28" spans="1:16">
      <c r="A28" t="s">
        <v>2523</v>
      </c>
      <c r="B28" t="s">
        <v>1414</v>
      </c>
      <c r="C28">
        <f t="shared" ref="C28" si="37">D28+M28</f>
        <v>350</v>
      </c>
      <c r="D28">
        <f t="shared" ref="D28" si="38">H28</f>
        <v>0</v>
      </c>
      <c r="F28">
        <v>202294</v>
      </c>
      <c r="G28" t="s">
        <v>2527</v>
      </c>
      <c r="H28">
        <f>SUMIFS(SAP[在庫数量],SAP[品目],在庫確認!F:F)</f>
        <v>0</v>
      </c>
      <c r="I28">
        <f>SUMIFS(SAP貼り付け!AC:AC,SAP貼り付け!A:A,在庫確認!F:F)</f>
        <v>0</v>
      </c>
      <c r="J28" t="str">
        <f t="shared" ref="J28" si="39">IFERROR(I28/H28,"")</f>
        <v/>
      </c>
      <c r="M28">
        <f>SUMIFS(購買計画one_note_貼り付け[数量],購買計画one_note_貼り付け[コード],在庫確認!$F:$F,購買計画one_note_貼り付け[IO],1)</f>
        <v>350</v>
      </c>
      <c r="N28">
        <f>SUMIFS(SAP貼り付け!AC:AC,SAP貼り付け!A:A,在庫確認!F:F)</f>
        <v>0</v>
      </c>
      <c r="O28">
        <f t="shared" si="4"/>
        <v>350</v>
      </c>
    </row>
    <row r="29" spans="1:16">
      <c r="A29" t="s">
        <v>2523</v>
      </c>
      <c r="B29" t="s">
        <v>1408</v>
      </c>
      <c r="C29">
        <f t="shared" ref="C29:C31" si="40">D29+M29</f>
        <v>395</v>
      </c>
      <c r="D29">
        <f t="shared" ref="D29:D31" si="41">H29</f>
        <v>0</v>
      </c>
      <c r="F29">
        <v>203728</v>
      </c>
      <c r="G29" t="s">
        <v>553</v>
      </c>
      <c r="H29">
        <f>SUMIFS(SAP[在庫数量],SAP[品目],在庫確認!F:F)</f>
        <v>0</v>
      </c>
      <c r="I29">
        <f>SUMIFS(SAP貼り付け!AC:AC,SAP貼り付け!A:A,在庫確認!F:F)</f>
        <v>0</v>
      </c>
      <c r="J29" t="str">
        <f t="shared" si="29"/>
        <v/>
      </c>
      <c r="M29">
        <f>SUMIFS(購買計画one_note_貼り付け[数量],購買計画one_note_貼り付け[コード],在庫確認!$F:$F,購買計画one_note_貼り付け[IO],1)</f>
        <v>395</v>
      </c>
      <c r="N29">
        <f>SUMIFS(SAP貼り付け!AC:AC,SAP貼り付け!A:A,在庫確認!F:F)</f>
        <v>0</v>
      </c>
      <c r="O29">
        <f t="shared" si="4"/>
        <v>395</v>
      </c>
    </row>
    <row r="30" spans="1:16">
      <c r="A30" t="s">
        <v>2523</v>
      </c>
      <c r="B30" t="s">
        <v>1408</v>
      </c>
      <c r="C30">
        <f t="shared" ref="C30" si="42">D30+M30</f>
        <v>150</v>
      </c>
      <c r="D30">
        <f t="shared" ref="D30" si="43">H30</f>
        <v>0</v>
      </c>
      <c r="F30">
        <v>215699</v>
      </c>
      <c r="G30" t="s">
        <v>2528</v>
      </c>
      <c r="H30">
        <f>SUMIFS(SAP[在庫数量],SAP[品目],在庫確認!F:F)</f>
        <v>0</v>
      </c>
      <c r="I30">
        <f>SUMIFS(SAP貼り付け!AC:AC,SAP貼り付け!A:A,在庫確認!F:F)</f>
        <v>0</v>
      </c>
      <c r="J30" t="str">
        <f t="shared" ref="J30" si="44">IFERROR(I30/H30,"")</f>
        <v/>
      </c>
      <c r="M30">
        <f>SUMIFS(購買計画one_note_貼り付け[数量],購買計画one_note_貼り付け[コード],在庫確認!$F:$F,購買計画one_note_貼り付け[IO],1)</f>
        <v>150</v>
      </c>
      <c r="N30">
        <f>SUMIFS(SAP貼り付け!AC:AC,SAP貼り付け!A:A,在庫確認!F:F)</f>
        <v>0</v>
      </c>
      <c r="O30">
        <f t="shared" si="4"/>
        <v>150</v>
      </c>
    </row>
    <row r="31" spans="1:16">
      <c r="A31" t="s">
        <v>2523</v>
      </c>
      <c r="B31" t="s">
        <v>1411</v>
      </c>
      <c r="C31">
        <f t="shared" si="40"/>
        <v>298</v>
      </c>
      <c r="D31">
        <f t="shared" si="41"/>
        <v>0</v>
      </c>
      <c r="F31">
        <v>205917</v>
      </c>
      <c r="G31" t="s">
        <v>630</v>
      </c>
      <c r="H31">
        <f>SUMIFS(SAP[在庫数量],SAP[品目],在庫確認!F:F)</f>
        <v>0</v>
      </c>
      <c r="I31">
        <f>SUMIFS(SAP貼り付け!AC:AC,SAP貼り付け!A:A,在庫確認!F:F)</f>
        <v>0</v>
      </c>
      <c r="J31" t="str">
        <f t="shared" si="29"/>
        <v/>
      </c>
      <c r="M31">
        <f>SUMIFS(購買計画one_note_貼り付け[数量],購買計画one_note_貼り付け[コード],在庫確認!$F:$F,購買計画one_note_貼り付け[IO],1)</f>
        <v>298</v>
      </c>
      <c r="N31">
        <f>SUMIFS(SAP貼り付け!AC:AC,SAP貼り付け!A:A,在庫確認!F:F)</f>
        <v>0</v>
      </c>
      <c r="O31">
        <f t="shared" si="4"/>
        <v>298</v>
      </c>
    </row>
    <row r="32" spans="1:16">
      <c r="A32" t="s">
        <v>2523</v>
      </c>
      <c r="B32" t="s">
        <v>1706</v>
      </c>
      <c r="C32">
        <f t="shared" si="27"/>
        <v>299</v>
      </c>
      <c r="D32">
        <f t="shared" si="28"/>
        <v>0</v>
      </c>
      <c r="F32">
        <v>196070</v>
      </c>
      <c r="G32" t="s">
        <v>2529</v>
      </c>
      <c r="H32">
        <f>SUMIFS(SAP[在庫数量],SAP[品目],在庫確認!F:F)</f>
        <v>0</v>
      </c>
      <c r="I32">
        <f>SUMIFS(SAP貼り付け!AC:AC,SAP貼り付け!A:A,在庫確認!F:F)</f>
        <v>0</v>
      </c>
      <c r="J32" t="str">
        <f t="shared" si="29"/>
        <v/>
      </c>
      <c r="M32">
        <f>SUMIFS(購買計画one_note_貼り付け[数量],購買計画one_note_貼り付け[コード],在庫確認!$F:$F,購買計画one_note_貼り付け[IO],1)</f>
        <v>299</v>
      </c>
      <c r="N32">
        <f>SUMIFS(SAP貼り付け!AC:AC,SAP貼り付け!A:A,在庫確認!F:F)</f>
        <v>0</v>
      </c>
      <c r="O32">
        <f t="shared" si="4"/>
        <v>299</v>
      </c>
    </row>
    <row r="33" spans="1:15">
      <c r="A33" t="s">
        <v>2523</v>
      </c>
      <c r="B33" t="s">
        <v>580</v>
      </c>
      <c r="C33">
        <f t="shared" si="27"/>
        <v>2610</v>
      </c>
      <c r="D33">
        <f t="shared" si="28"/>
        <v>0</v>
      </c>
      <c r="E33" t="str">
        <f>IFERROR(D33/(#REF!/7*30),"")</f>
        <v/>
      </c>
      <c r="F33">
        <v>180234</v>
      </c>
      <c r="G33" t="s">
        <v>605</v>
      </c>
      <c r="H33">
        <f>SUMIFS(SAP[在庫数量],SAP[品目],在庫確認!F:F)</f>
        <v>0</v>
      </c>
      <c r="I33">
        <f>SUMIFS(SAP貼り付け!AC:AC,SAP貼り付け!A:A,在庫確認!F:F)</f>
        <v>0</v>
      </c>
      <c r="J33" t="str">
        <f t="shared" si="29"/>
        <v/>
      </c>
      <c r="M33">
        <f>SUMIFS(購買計画one_note_貼り付け[数量],購買計画one_note_貼り付け[コード],在庫確認!$F:$F,購買計画one_note_貼り付け[IO],1)</f>
        <v>2610</v>
      </c>
      <c r="N33">
        <f>SUMIFS(SAP貼り付け!AC:AC,SAP貼り付け!A:A,在庫確認!F:F)</f>
        <v>0</v>
      </c>
      <c r="O33">
        <f t="shared" si="4"/>
        <v>2610</v>
      </c>
    </row>
    <row r="34" spans="1:15" collapsed="1">
      <c r="A34" t="s">
        <v>2523</v>
      </c>
      <c r="B34" t="s">
        <v>580</v>
      </c>
      <c r="C34">
        <f>D34+M34</f>
        <v>1504</v>
      </c>
      <c r="D34">
        <f>H34</f>
        <v>104</v>
      </c>
      <c r="F34">
        <v>210491</v>
      </c>
      <c r="G34" t="s">
        <v>2530</v>
      </c>
      <c r="H34">
        <f>SUMIFS(SAP[在庫数量],SAP[品目],在庫確認!F:F)</f>
        <v>104</v>
      </c>
      <c r="I34">
        <f>SUMIFS(SAP貼り付け!AC:AC,SAP貼り付け!A:A,在庫確認!F:F)</f>
        <v>0</v>
      </c>
      <c r="J34">
        <f>IFERROR(I34/H34,"")</f>
        <v>0</v>
      </c>
      <c r="M34">
        <f>SUMIFS(購買計画one_note_貼り付け[数量],購買計画one_note_貼り付け[コード],在庫確認!$F:$F,購買計画one_note_貼り付け[IO],1)</f>
        <v>1400</v>
      </c>
      <c r="N34">
        <f>SUMIFS(SAP貼り付け!AC:AC,SAP貼り付け!A:A,在庫確認!F:F)</f>
        <v>0</v>
      </c>
      <c r="O34">
        <f t="shared" si="4"/>
        <v>1504</v>
      </c>
    </row>
    <row r="35" spans="1:15" collapsed="1">
      <c r="A35" t="s">
        <v>2523</v>
      </c>
      <c r="B35" t="s">
        <v>1797</v>
      </c>
      <c r="C35">
        <f>D35+M35</f>
        <v>1141</v>
      </c>
      <c r="D35">
        <f>H35</f>
        <v>1</v>
      </c>
      <c r="F35">
        <v>207871</v>
      </c>
      <c r="G35" t="s">
        <v>2531</v>
      </c>
      <c r="H35">
        <f>SUMIFS(SAP[在庫数量],SAP[品目],在庫確認!F:F)</f>
        <v>1</v>
      </c>
      <c r="I35">
        <f>SUMIFS(SAP貼り付け!AC:AC,SAP貼り付け!A:A,在庫確認!F:F)</f>
        <v>0</v>
      </c>
      <c r="J35">
        <f>IFERROR(I35/H35,"")</f>
        <v>0</v>
      </c>
      <c r="M35">
        <f>SUMIFS(購買計画one_note_貼り付け[数量],購買計画one_note_貼り付け[コード],在庫確認!$F:$F,購買計画one_note_貼り付け[IO],1)</f>
        <v>1140</v>
      </c>
      <c r="N35">
        <f>SUMIFS(SAP貼り付け!AC:AC,SAP貼り付け!A:A,在庫確認!F:F)</f>
        <v>0</v>
      </c>
      <c r="O35">
        <f t="shared" si="4"/>
        <v>1141</v>
      </c>
    </row>
    <row r="36" spans="1:15">
      <c r="A36" t="s">
        <v>2523</v>
      </c>
      <c r="B36" t="s">
        <v>1797</v>
      </c>
      <c r="C36">
        <f>D36+M36</f>
        <v>1022</v>
      </c>
      <c r="D36">
        <f>H36</f>
        <v>22</v>
      </c>
      <c r="F36">
        <v>223067</v>
      </c>
      <c r="G36" t="s">
        <v>1933</v>
      </c>
      <c r="H36">
        <f>SUMIFS(SAP[在庫数量],SAP[品目],在庫確認!F:F)</f>
        <v>22</v>
      </c>
      <c r="I36">
        <f>SUMIFS(SAP貼り付け!AC:AC,SAP貼り付け!A:A,在庫確認!F:F)</f>
        <v>0</v>
      </c>
      <c r="J36">
        <f>IFERROR(I36/H36,"")</f>
        <v>0</v>
      </c>
      <c r="M36">
        <f>SUMIFS(購買計画one_note_貼り付け[数量],購買計画one_note_貼り付け[コード],在庫確認!$F:$F,購買計画one_note_貼り付け[IO],1)</f>
        <v>1000</v>
      </c>
      <c r="N36">
        <f>SUMIFS(SAP貼り付け!AC:AC,SAP貼り付け!A:A,在庫確認!F:F)</f>
        <v>0</v>
      </c>
      <c r="O36">
        <f t="shared" si="4"/>
        <v>1022</v>
      </c>
    </row>
    <row r="37" spans="1:15">
      <c r="A37" t="s">
        <v>2523</v>
      </c>
      <c r="B37" t="s">
        <v>1797</v>
      </c>
      <c r="C37">
        <f>D37+M37</f>
        <v>1046</v>
      </c>
      <c r="D37">
        <f>H37</f>
        <v>46</v>
      </c>
      <c r="F37">
        <v>223074</v>
      </c>
      <c r="G37" t="s">
        <v>2532</v>
      </c>
      <c r="H37">
        <f>SUMIFS(SAP[在庫数量],SAP[品目],在庫確認!F:F)</f>
        <v>46</v>
      </c>
      <c r="I37">
        <f>SUMIFS(SAP貼り付け!AC:AC,SAP貼り付け!A:A,在庫確認!F:F)</f>
        <v>0</v>
      </c>
      <c r="J37">
        <f>IFERROR(I37/H37,"")</f>
        <v>0</v>
      </c>
      <c r="M37">
        <f>SUMIFS(購買計画one_note_貼り付け[数量],購買計画one_note_貼り付け[コード],在庫確認!$F:$F,購買計画one_note_貼り付け[IO],1)</f>
        <v>1000</v>
      </c>
      <c r="N37">
        <f>SUMIFS(SAP貼り付け!AC:AC,SAP貼り付け!A:A,在庫確認!F:F)</f>
        <v>0</v>
      </c>
      <c r="O37">
        <f t="shared" si="4"/>
        <v>1046</v>
      </c>
    </row>
    <row r="38" spans="1:15">
      <c r="A38" t="s">
        <v>2523</v>
      </c>
      <c r="B38" t="s">
        <v>644</v>
      </c>
      <c r="C38">
        <f t="shared" si="27"/>
        <v>4219</v>
      </c>
      <c r="D38">
        <f t="shared" si="28"/>
        <v>0</v>
      </c>
      <c r="E38" t="str">
        <f>IFERROR(D38/(#REF!/7*30),"")</f>
        <v/>
      </c>
      <c r="F38">
        <v>180235</v>
      </c>
      <c r="G38" t="s">
        <v>645</v>
      </c>
      <c r="H38">
        <f>SUMIFS(SAP[在庫数量],SAP[品目],在庫確認!F:F)</f>
        <v>0</v>
      </c>
      <c r="I38">
        <f>SUMIFS(SAP貼り付け!AC:AC,SAP貼り付け!A:A,在庫確認!F:F)</f>
        <v>0</v>
      </c>
      <c r="J38" t="str">
        <f t="shared" si="29"/>
        <v/>
      </c>
      <c r="M38">
        <f>SUMIFS(購買計画one_note_貼り付け[数量],購買計画one_note_貼り付け[コード],在庫確認!$F:$F,購買計画one_note_貼り付け[IO],1)</f>
        <v>4219</v>
      </c>
      <c r="N38">
        <f>SUMIFS(SAP貼り付け!AC:AC,SAP貼り付け!A:A,在庫確認!F:F)</f>
        <v>0</v>
      </c>
      <c r="O38">
        <f t="shared" si="4"/>
        <v>4219</v>
      </c>
    </row>
    <row r="39" spans="1:15">
      <c r="A39" t="s">
        <v>2523</v>
      </c>
      <c r="B39" t="s">
        <v>644</v>
      </c>
      <c r="C39">
        <f>D39+M39</f>
        <v>2043</v>
      </c>
      <c r="D39">
        <f>H39</f>
        <v>302</v>
      </c>
      <c r="F39">
        <v>210492</v>
      </c>
      <c r="G39" t="s">
        <v>2533</v>
      </c>
      <c r="H39">
        <f>SUMIFS(SAP[在庫数量],SAP[品目],在庫確認!F:F)</f>
        <v>302</v>
      </c>
      <c r="I39">
        <f>SUMIFS(SAP貼り付け!AC:AC,SAP貼り付け!A:A,在庫確認!F:F)</f>
        <v>0</v>
      </c>
      <c r="J39">
        <f>IFERROR(I39/H39,"")</f>
        <v>0</v>
      </c>
      <c r="M39">
        <f>SUMIFS(購買計画one_note_貼り付け[数量],購買計画one_note_貼り付け[コード],在庫確認!$F:$F,購買計画one_note_貼り付け[IO],1)</f>
        <v>1741</v>
      </c>
      <c r="N39">
        <f>SUMIFS(SAP貼り付け!AC:AC,SAP貼り付け!A:A,在庫確認!F:F)</f>
        <v>0</v>
      </c>
      <c r="O39">
        <f t="shared" si="4"/>
        <v>2043</v>
      </c>
    </row>
    <row r="40" spans="1:15" collapsed="1">
      <c r="A40" t="s">
        <v>2523</v>
      </c>
      <c r="B40" t="s">
        <v>2534</v>
      </c>
      <c r="C40">
        <f>D40+M40</f>
        <v>1861</v>
      </c>
      <c r="D40">
        <f>H40</f>
        <v>1</v>
      </c>
      <c r="F40">
        <v>207872</v>
      </c>
      <c r="G40" t="s">
        <v>2535</v>
      </c>
      <c r="H40">
        <f>SUMIFS(SAP[在庫数量],SAP[品目],在庫確認!F:F)</f>
        <v>1</v>
      </c>
      <c r="I40">
        <f>SUMIFS(SAP貼り付け!AC:AC,SAP貼り付け!A:A,在庫確認!F:F)</f>
        <v>0</v>
      </c>
      <c r="J40">
        <f>IFERROR(I40/H40,"")</f>
        <v>0</v>
      </c>
      <c r="M40">
        <f>SUMIFS(購買計画one_note_貼り付け[数量],購買計画one_note_貼り付け[コード],在庫確認!$F:$F,購買計画one_note_貼り付け[IO],1)</f>
        <v>1860</v>
      </c>
      <c r="N40">
        <f>SUMIFS(SAP貼り付け!AC:AC,SAP貼り付け!A:A,在庫確認!F:F)</f>
        <v>0</v>
      </c>
      <c r="O40">
        <f t="shared" si="4"/>
        <v>1861</v>
      </c>
    </row>
    <row r="41" spans="1:15">
      <c r="A41" t="s">
        <v>2523</v>
      </c>
      <c r="B41" t="s">
        <v>2534</v>
      </c>
      <c r="C41">
        <f>D41+M41</f>
        <v>0</v>
      </c>
      <c r="D41">
        <f>H41</f>
        <v>0</v>
      </c>
      <c r="F41">
        <v>223066</v>
      </c>
      <c r="G41" t="s">
        <v>2536</v>
      </c>
      <c r="H41">
        <f>SUMIFS(SAP[在庫数量],SAP[品目],在庫確認!F:F)</f>
        <v>0</v>
      </c>
      <c r="I41">
        <f>SUMIFS(SAP貼り付け!AC:AC,SAP貼り付け!A:A,在庫確認!F:F)</f>
        <v>0</v>
      </c>
      <c r="J41" t="str">
        <f>IFERROR(I41/H41,"")</f>
        <v/>
      </c>
      <c r="M41">
        <f>SUMIFS(購買計画one_note_貼り付け[数量],購買計画one_note_貼り付け[コード],在庫確認!$F:$F,購買計画one_note_貼り付け[IO],1)</f>
        <v>0</v>
      </c>
      <c r="N41">
        <f>SUMIFS(SAP貼り付け!AC:AC,SAP貼り付け!A:A,在庫確認!F:F)</f>
        <v>0</v>
      </c>
      <c r="O41">
        <f t="shared" si="4"/>
        <v>0</v>
      </c>
    </row>
    <row r="42" spans="1:15">
      <c r="A42" t="s">
        <v>2523</v>
      </c>
      <c r="B42" t="s">
        <v>1433</v>
      </c>
      <c r="C42">
        <f t="shared" ref="C42" si="45">D42+M42</f>
        <v>4450</v>
      </c>
      <c r="D42">
        <f t="shared" ref="D42" si="46">H42</f>
        <v>244</v>
      </c>
      <c r="F42">
        <v>222146</v>
      </c>
      <c r="G42" t="s">
        <v>2537</v>
      </c>
      <c r="H42">
        <f>SUMIFS(SAP[在庫数量],SAP[品目],在庫確認!F:F)</f>
        <v>244</v>
      </c>
      <c r="I42">
        <f>SUMIFS(SAP貼り付け!AC:AC,SAP貼り付け!A:A,在庫確認!F:F)</f>
        <v>0</v>
      </c>
      <c r="J42">
        <f t="shared" ref="J42" si="47">IFERROR(I42/H42,"")</f>
        <v>0</v>
      </c>
      <c r="M42">
        <f>SUMIFS(購買計画one_note_貼り付け[数量],購買計画one_note_貼り付け[コード],在庫確認!$F:$F,購買計画one_note_貼り付け[IO],1)</f>
        <v>4206</v>
      </c>
      <c r="N42">
        <f>SUMIFS(SAP貼り付け!AC:AC,SAP貼り付け!A:A,在庫確認!F:F)</f>
        <v>0</v>
      </c>
      <c r="O42">
        <f t="shared" si="4"/>
        <v>4450</v>
      </c>
    </row>
    <row r="43" spans="1:15">
      <c r="A43" t="s">
        <v>2523</v>
      </c>
      <c r="B43" t="s">
        <v>2538</v>
      </c>
      <c r="C43">
        <f t="shared" si="27"/>
        <v>0</v>
      </c>
      <c r="D43">
        <f t="shared" si="28"/>
        <v>0</v>
      </c>
      <c r="E43" t="str">
        <f>IFERROR(D43/(#REF!/7*30),"")</f>
        <v/>
      </c>
      <c r="F43">
        <v>186290</v>
      </c>
      <c r="G43" t="s">
        <v>2539</v>
      </c>
      <c r="H43">
        <f>SUMIFS(SAP[在庫数量],SAP[品目],在庫確認!F:F)</f>
        <v>0</v>
      </c>
      <c r="I43">
        <f>SUMIFS(SAP貼り付け!AC:AC,SAP貼り付け!A:A,在庫確認!F:F)</f>
        <v>0</v>
      </c>
      <c r="J43" t="str">
        <f t="shared" si="29"/>
        <v/>
      </c>
      <c r="M43">
        <f>SUMIFS(購買計画one_note_貼り付け[数量],購買計画one_note_貼り付け[コード],在庫確認!$F:$F,購買計画one_note_貼り付け[IO],1)</f>
        <v>0</v>
      </c>
      <c r="N43">
        <f>SUMIFS(SAP貼り付け!AC:AC,SAP貼り付け!A:A,在庫確認!F:F)</f>
        <v>0</v>
      </c>
      <c r="O43">
        <f t="shared" si="4"/>
        <v>0</v>
      </c>
    </row>
    <row r="44" spans="1:15">
      <c r="A44" t="s">
        <v>2523</v>
      </c>
      <c r="B44" t="s">
        <v>2538</v>
      </c>
      <c r="C44">
        <f t="shared" si="27"/>
        <v>0</v>
      </c>
      <c r="D44">
        <f t="shared" si="28"/>
        <v>0</v>
      </c>
      <c r="F44" s="127">
        <v>195890</v>
      </c>
      <c r="G44" s="127" t="s">
        <v>2540</v>
      </c>
      <c r="H44">
        <f>SUMIFS(SAP[在庫数量],SAP[品目],在庫確認!F:F)</f>
        <v>0</v>
      </c>
      <c r="I44">
        <f>SUMIFS(SAP貼り付け!AC:AC,SAP貼り付け!A:A,在庫確認!F:F)</f>
        <v>0</v>
      </c>
      <c r="J44" t="str">
        <f t="shared" si="29"/>
        <v/>
      </c>
      <c r="M44">
        <f>SUMIFS(購買計画one_note_貼り付け[数量],購買計画one_note_貼り付け[コード],在庫確認!$F:$F,購買計画one_note_貼り付け[IO],1)</f>
        <v>0</v>
      </c>
      <c r="N44">
        <f>SUMIFS(SAP貼り付け!AC:AC,SAP貼り付け!A:A,在庫確認!F:F)</f>
        <v>0</v>
      </c>
      <c r="O44">
        <f t="shared" si="4"/>
        <v>0</v>
      </c>
    </row>
    <row r="45" spans="1:15">
      <c r="A45" t="s">
        <v>2523</v>
      </c>
      <c r="B45" t="s">
        <v>2538</v>
      </c>
      <c r="C45">
        <f t="shared" ref="C45" si="48">D45+M45</f>
        <v>1009</v>
      </c>
      <c r="D45">
        <f t="shared" ref="D45" si="49">H45</f>
        <v>9</v>
      </c>
      <c r="F45">
        <v>199872</v>
      </c>
      <c r="G45" t="s">
        <v>670</v>
      </c>
      <c r="H45">
        <f>SUMIFS(SAP[在庫数量],SAP[品目],在庫確認!F:F)</f>
        <v>9</v>
      </c>
      <c r="I45">
        <f>SUMIFS(SAP貼り付け!AC:AC,SAP貼り付け!A:A,在庫確認!F:F)</f>
        <v>0</v>
      </c>
      <c r="J45">
        <f t="shared" ref="J45" si="50">IFERROR(I45/H45,"")</f>
        <v>0</v>
      </c>
      <c r="M45">
        <f>SUMIFS(購買計画one_note_貼り付け[数量],購買計画one_note_貼り付け[コード],在庫確認!$F:$F,購買計画one_note_貼り付け[IO],1)</f>
        <v>1000</v>
      </c>
      <c r="N45">
        <f>SUMIFS(SAP貼り付け!AC:AC,SAP貼り付け!A:A,在庫確認!F:F)</f>
        <v>0</v>
      </c>
      <c r="O45">
        <f t="shared" si="4"/>
        <v>1009</v>
      </c>
    </row>
    <row r="46" spans="1:15">
      <c r="A46" t="s">
        <v>2523</v>
      </c>
      <c r="B46" t="s">
        <v>2538</v>
      </c>
      <c r="C46">
        <f t="shared" ref="C46" si="51">D46+M46</f>
        <v>1036</v>
      </c>
      <c r="D46">
        <f t="shared" ref="D46" si="52">H46</f>
        <v>36</v>
      </c>
      <c r="F46">
        <v>223065</v>
      </c>
      <c r="G46" t="s">
        <v>675</v>
      </c>
      <c r="H46">
        <f>SUMIFS(SAP[在庫数量],SAP[品目],在庫確認!F:F)</f>
        <v>36</v>
      </c>
      <c r="I46">
        <f>SUMIFS(SAP貼り付け!AC:AC,SAP貼り付け!A:A,在庫確認!F:F)</f>
        <v>0</v>
      </c>
      <c r="J46">
        <f t="shared" ref="J46" si="53">IFERROR(I46/H46,"")</f>
        <v>0</v>
      </c>
      <c r="M46">
        <f>SUMIFS(購買計画one_note_貼り付け[数量],購買計画one_note_貼り付け[コード],在庫確認!$F:$F,購買計画one_note_貼り付け[IO],1)</f>
        <v>1000</v>
      </c>
      <c r="N46">
        <f>SUMIFS(SAP貼り付け!AC:AC,SAP貼り付け!A:A,在庫確認!F:F)</f>
        <v>0</v>
      </c>
      <c r="O46">
        <f t="shared" si="4"/>
        <v>1036</v>
      </c>
    </row>
    <row r="47" spans="1:15">
      <c r="A47" t="s">
        <v>2523</v>
      </c>
      <c r="B47" t="s">
        <v>872</v>
      </c>
      <c r="C47">
        <f>D47+M47</f>
        <v>0</v>
      </c>
      <c r="D47">
        <f>H47+H137</f>
        <v>0</v>
      </c>
      <c r="E47" t="str">
        <f>IFERROR(D47/(#REF!/7*30),"")</f>
        <v/>
      </c>
      <c r="F47">
        <v>168239</v>
      </c>
      <c r="G47" t="s">
        <v>873</v>
      </c>
      <c r="H47">
        <f>SUMIFS(SAP[在庫数量],SAP[品目],在庫確認!F:F)</f>
        <v>0</v>
      </c>
      <c r="I47">
        <f>SUMIFS(SAP貼り付け!AC:AC,SAP貼り付け!A:A,在庫確認!F:F)</f>
        <v>0</v>
      </c>
      <c r="J47" t="str">
        <f>IFERROR(I47/H47,"")</f>
        <v/>
      </c>
      <c r="M47">
        <f>SUMIFS(購買計画one_note_貼り付け[数量],購買計画one_note_貼り付け[コード],在庫確認!$F:$F,購買計画one_note_貼り付け[IO],1)</f>
        <v>0</v>
      </c>
      <c r="N47">
        <f>SUMIFS(SAP貼り付け!AC:AC,SAP貼り付け!A:A,在庫確認!F:F)</f>
        <v>0</v>
      </c>
      <c r="O47">
        <f t="shared" si="4"/>
        <v>0</v>
      </c>
    </row>
    <row r="48" spans="1:15">
      <c r="A48" t="s">
        <v>2523</v>
      </c>
      <c r="B48" t="s">
        <v>1710</v>
      </c>
      <c r="C48">
        <f>D48+M48</f>
        <v>0</v>
      </c>
      <c r="D48">
        <f>H48</f>
        <v>0</v>
      </c>
      <c r="E48" t="str">
        <f>IFERROR(D48/(#REF!/7*30),"")</f>
        <v/>
      </c>
      <c r="F48">
        <v>173424</v>
      </c>
      <c r="G48" t="s">
        <v>869</v>
      </c>
      <c r="H48">
        <f>SUMIFS(SAP[在庫数量],SAP[品目],在庫確認!F:F)</f>
        <v>0</v>
      </c>
      <c r="I48">
        <f>SUMIFS(SAP貼り付け!AC:AC,SAP貼り付け!A:A,在庫確認!F:F)</f>
        <v>0</v>
      </c>
      <c r="J48" t="str">
        <f>IFERROR(I48/H48,"")</f>
        <v/>
      </c>
      <c r="M48">
        <f>SUMIFS(購買計画one_note_貼り付け[数量],購買計画one_note_貼り付け[コード],在庫確認!$F:$F,購買計画one_note_貼り付け[IO],1)</f>
        <v>0</v>
      </c>
      <c r="N48">
        <f>SUMIFS(SAP貼り付け!AC:AC,SAP貼り付け!A:A,在庫確認!F:F)</f>
        <v>0</v>
      </c>
      <c r="O48">
        <f t="shared" si="4"/>
        <v>0</v>
      </c>
    </row>
    <row r="49" spans="1:15">
      <c r="A49" t="s">
        <v>2523</v>
      </c>
      <c r="B49" t="s">
        <v>1443</v>
      </c>
      <c r="C49">
        <f t="shared" ref="C49:C53" si="54">D49+M49</f>
        <v>1355</v>
      </c>
      <c r="D49">
        <f t="shared" ref="D49:D53" si="55">H49</f>
        <v>0</v>
      </c>
      <c r="F49">
        <v>203746</v>
      </c>
      <c r="G49" t="s">
        <v>726</v>
      </c>
      <c r="H49">
        <f>SUMIFS(SAP[在庫数量],SAP[品目],在庫確認!F:F)</f>
        <v>0</v>
      </c>
      <c r="I49">
        <f>SUMIFS(SAP貼り付け!AC:AC,SAP貼り付け!A:A,在庫確認!F:F)</f>
        <v>0</v>
      </c>
      <c r="J49" t="str">
        <f t="shared" ref="J49:J53" si="56">IFERROR(I49/H49,"")</f>
        <v/>
      </c>
      <c r="M49">
        <f>SUMIFS(購買計画one_note_貼り付け[数量],購買計画one_note_貼り付け[コード],在庫確認!$F:$F,購買計画one_note_貼り付け[IO],1)</f>
        <v>1355</v>
      </c>
      <c r="N49">
        <f>SUMIFS(SAP貼り付け!AC:AC,SAP貼り付け!A:A,在庫確認!F:F)</f>
        <v>0</v>
      </c>
      <c r="O49">
        <f t="shared" si="4"/>
        <v>1355</v>
      </c>
    </row>
    <row r="50" spans="1:15" ht="13.9" customHeight="1">
      <c r="A50" t="s">
        <v>2523</v>
      </c>
      <c r="B50" t="s">
        <v>1443</v>
      </c>
      <c r="C50">
        <f t="shared" ref="C50" si="57">D50+M50</f>
        <v>1312</v>
      </c>
      <c r="D50">
        <f t="shared" ref="D50" si="58">H50</f>
        <v>62</v>
      </c>
      <c r="F50">
        <v>223058</v>
      </c>
      <c r="G50" t="s">
        <v>728</v>
      </c>
      <c r="H50">
        <f>SUMIFS(SAP[在庫数量],SAP[品目],在庫確認!F:F)</f>
        <v>62</v>
      </c>
      <c r="I50">
        <f>SUMIFS(SAP貼り付け!AC:AC,SAP貼り付け!A:A,在庫確認!F:F)</f>
        <v>0</v>
      </c>
      <c r="J50">
        <f t="shared" ref="J50" si="59">IFERROR(I50/H50,"")</f>
        <v>0</v>
      </c>
      <c r="M50">
        <f>SUMIFS(購買計画one_note_貼り付け[数量],購買計画one_note_貼り付け[コード],在庫確認!$F:$F,購買計画one_note_貼り付け[IO],1)</f>
        <v>1250</v>
      </c>
      <c r="N50">
        <f>SUMIFS(SAP貼り付け!AC:AC,SAP貼り付け!A:A,在庫確認!F:F)</f>
        <v>0</v>
      </c>
      <c r="O50">
        <f t="shared" si="4"/>
        <v>1312</v>
      </c>
    </row>
    <row r="51" spans="1:15">
      <c r="A51" t="s">
        <v>2523</v>
      </c>
      <c r="B51" t="s">
        <v>1445</v>
      </c>
      <c r="C51">
        <f t="shared" si="54"/>
        <v>1400</v>
      </c>
      <c r="D51">
        <f t="shared" si="55"/>
        <v>0</v>
      </c>
      <c r="F51">
        <v>203750</v>
      </c>
      <c r="G51" t="s">
        <v>783</v>
      </c>
      <c r="H51">
        <f>SUMIFS(SAP[在庫数量],SAP[品目],在庫確認!F:F)</f>
        <v>0</v>
      </c>
      <c r="I51">
        <f>SUMIFS(SAP貼り付け!AC:AC,SAP貼り付け!A:A,在庫確認!F:F)</f>
        <v>0</v>
      </c>
      <c r="J51" t="str">
        <f t="shared" ref="J51:J52" si="60">IFERROR(I51/H51,"")</f>
        <v/>
      </c>
      <c r="M51">
        <f>SUMIFS(購買計画one_note_貼り付け[数量],購買計画one_note_貼り付け[コード],在庫確認!$F:$F,購買計画one_note_貼り付け[IO],1)</f>
        <v>1400</v>
      </c>
      <c r="N51">
        <f>SUMIFS(SAP貼り付け!AC:AC,SAP貼り付け!A:A,在庫確認!F:F)</f>
        <v>0</v>
      </c>
      <c r="O51">
        <f t="shared" si="4"/>
        <v>1400</v>
      </c>
    </row>
    <row r="52" spans="1:15">
      <c r="A52" t="s">
        <v>2523</v>
      </c>
      <c r="B52" t="s">
        <v>1445</v>
      </c>
      <c r="C52">
        <f t="shared" ref="C52" si="61">D52+M52</f>
        <v>2125</v>
      </c>
      <c r="D52">
        <f t="shared" ref="D52" si="62">H52</f>
        <v>625</v>
      </c>
      <c r="F52">
        <v>223057</v>
      </c>
      <c r="G52" t="s">
        <v>785</v>
      </c>
      <c r="H52">
        <f>SUMIFS(SAP[在庫数量],SAP[品目],在庫確認!F:F)</f>
        <v>625</v>
      </c>
      <c r="I52">
        <f>SUMIFS(SAP貼り付け!AC:AC,SAP貼り付け!A:A,在庫確認!F:F)</f>
        <v>0</v>
      </c>
      <c r="J52">
        <f t="shared" si="60"/>
        <v>0</v>
      </c>
      <c r="M52">
        <f>SUMIFS(購買計画one_note_貼り付け[数量],購買計画one_note_貼り付け[コード],在庫確認!$F:$F,購買計画one_note_貼り付け[IO],1)</f>
        <v>1500</v>
      </c>
      <c r="N52">
        <f>SUMIFS(SAP貼り付け!AC:AC,SAP貼り付け!A:A,在庫確認!F:F)</f>
        <v>0</v>
      </c>
      <c r="O52">
        <f t="shared" si="4"/>
        <v>2125</v>
      </c>
    </row>
    <row r="53" spans="1:15">
      <c r="A53" t="s">
        <v>2523</v>
      </c>
      <c r="B53" t="s">
        <v>1444</v>
      </c>
      <c r="C53">
        <f t="shared" si="54"/>
        <v>698</v>
      </c>
      <c r="D53">
        <f t="shared" si="55"/>
        <v>0</v>
      </c>
      <c r="F53">
        <v>205919</v>
      </c>
      <c r="G53" t="s">
        <v>779</v>
      </c>
      <c r="H53">
        <f>SUMIFS(SAP[在庫数量],SAP[品目],在庫確認!F:F)</f>
        <v>0</v>
      </c>
      <c r="I53">
        <f>SUMIFS(SAP貼り付け!AC:AC,SAP貼り付け!A:A,在庫確認!F:F)</f>
        <v>0</v>
      </c>
      <c r="J53" t="str">
        <f t="shared" si="56"/>
        <v/>
      </c>
      <c r="M53">
        <f>SUMIFS(購買計画one_note_貼り付け[数量],購買計画one_note_貼り付け[コード],在庫確認!$F:$F,購買計画one_note_貼り付け[IO],1)</f>
        <v>698</v>
      </c>
      <c r="N53">
        <f>SUMIFS(SAP貼り付け!AC:AC,SAP貼り付け!A:A,在庫確認!F:F)</f>
        <v>0</v>
      </c>
      <c r="O53">
        <f t="shared" si="4"/>
        <v>698</v>
      </c>
    </row>
    <row r="54" spans="1:15">
      <c r="A54" t="s">
        <v>2523</v>
      </c>
      <c r="B54" t="s">
        <v>1456</v>
      </c>
      <c r="C54">
        <f>D54+M54</f>
        <v>800</v>
      </c>
      <c r="D54">
        <f>H54</f>
        <v>0</v>
      </c>
      <c r="F54">
        <v>193203</v>
      </c>
      <c r="G54" t="s">
        <v>862</v>
      </c>
      <c r="H54">
        <f>SUMIFS(SAP[在庫数量],SAP[品目],在庫確認!F:F)</f>
        <v>0</v>
      </c>
      <c r="I54">
        <f>SUMIFS(SAP貼り付け!AC:AC,SAP貼り付け!A:A,在庫確認!F:F)</f>
        <v>0</v>
      </c>
      <c r="J54" t="str">
        <f>IFERROR(I54/H54,"")</f>
        <v/>
      </c>
      <c r="M54">
        <f>SUMIFS(購買計画one_note_貼り付け[数量],購買計画one_note_貼り付け[コード],在庫確認!$F:$F,購買計画one_note_貼り付け[IO],1)</f>
        <v>800</v>
      </c>
      <c r="N54">
        <f>SUMIFS(SAP貼り付け!AC:AC,SAP貼り付け!A:A,在庫確認!F:F)</f>
        <v>0</v>
      </c>
      <c r="O54">
        <f t="shared" si="4"/>
        <v>800</v>
      </c>
    </row>
    <row r="55" spans="1:15">
      <c r="A55" t="s">
        <v>2523</v>
      </c>
      <c r="B55" t="s">
        <v>901</v>
      </c>
      <c r="C55">
        <f t="shared" ref="C55:C63" si="63">D55+M55</f>
        <v>0</v>
      </c>
      <c r="D55">
        <f t="shared" ref="D55:D63" si="64">H55</f>
        <v>0</v>
      </c>
      <c r="E55" t="str">
        <f>IFERROR(D55/(#REF!/7*30),"")</f>
        <v/>
      </c>
      <c r="F55">
        <v>184061</v>
      </c>
      <c r="G55" t="s">
        <v>2541</v>
      </c>
      <c r="H55">
        <f>SUMIFS(SAP[在庫数量],SAP[品目],在庫確認!F:F)</f>
        <v>0</v>
      </c>
      <c r="I55">
        <f>SUMIFS(SAP貼り付け!AC:AC,SAP貼り付け!A:A,在庫確認!F:F)</f>
        <v>0</v>
      </c>
      <c r="J55" t="str">
        <f t="shared" ref="J55:J63" si="65">IFERROR(I55/H55,"")</f>
        <v/>
      </c>
      <c r="M55">
        <f>SUMIFS(購買計画one_note_貼り付け[数量],購買計画one_note_貼り付け[コード],在庫確認!$F:$F,購買計画one_note_貼り付け[IO],1)</f>
        <v>0</v>
      </c>
      <c r="N55">
        <f>SUMIFS(SAP貼り付け!AC:AC,SAP貼り付け!A:A,在庫確認!F:F)</f>
        <v>0</v>
      </c>
      <c r="O55">
        <f t="shared" si="4"/>
        <v>0</v>
      </c>
    </row>
    <row r="56" spans="1:15">
      <c r="A56" t="s">
        <v>2523</v>
      </c>
      <c r="B56" t="s">
        <v>712</v>
      </c>
      <c r="C56">
        <f t="shared" si="63"/>
        <v>0</v>
      </c>
      <c r="D56">
        <f t="shared" si="64"/>
        <v>0</v>
      </c>
      <c r="E56" t="str">
        <f>IFERROR(D56/(#REF!/7*30),"")</f>
        <v/>
      </c>
      <c r="F56">
        <v>184059</v>
      </c>
      <c r="G56" t="s">
        <v>2542</v>
      </c>
      <c r="H56">
        <f>SUMIFS(SAP[在庫数量],SAP[品目],在庫確認!F:F)</f>
        <v>0</v>
      </c>
      <c r="I56">
        <f>SUMIFS(SAP貼り付け!AC:AC,SAP貼り付け!A:A,在庫確認!F:F)</f>
        <v>0</v>
      </c>
      <c r="J56" t="str">
        <f t="shared" si="65"/>
        <v/>
      </c>
      <c r="M56">
        <f>SUMIFS(購買計画one_note_貼り付け[数量],購買計画one_note_貼り付け[コード],在庫確認!$F:$F,購買計画one_note_貼り付け[IO],1)</f>
        <v>0</v>
      </c>
      <c r="N56">
        <f>SUMIFS(SAP貼り付け!AC:AC,SAP貼り付け!A:A,在庫確認!F:F)</f>
        <v>0</v>
      </c>
      <c r="O56">
        <f t="shared" si="4"/>
        <v>0</v>
      </c>
    </row>
    <row r="57" spans="1:15">
      <c r="A57" t="s">
        <v>2523</v>
      </c>
      <c r="B57" t="s">
        <v>712</v>
      </c>
      <c r="C57">
        <f t="shared" si="63"/>
        <v>1120</v>
      </c>
      <c r="D57">
        <f t="shared" si="64"/>
        <v>0</v>
      </c>
      <c r="F57">
        <v>199324</v>
      </c>
      <c r="G57" t="s">
        <v>2543</v>
      </c>
      <c r="H57">
        <f>SUMIFS(SAP[在庫数量],SAP[品目],在庫確認!F:F)</f>
        <v>0</v>
      </c>
      <c r="I57">
        <f>SUMIFS(SAP貼り付け!AC:AC,SAP貼り付け!A:A,在庫確認!F:F)</f>
        <v>0</v>
      </c>
      <c r="J57" t="str">
        <f t="shared" si="65"/>
        <v/>
      </c>
      <c r="M57">
        <f>SUMIFS(購買計画one_note_貼り付け[数量],購買計画one_note_貼り付け[コード],在庫確認!$F:$F,購買計画one_note_貼り付け[IO],1)</f>
        <v>1120</v>
      </c>
      <c r="N57">
        <f>SUMIFS(SAP貼り付け!AC:AC,SAP貼り付け!A:A,在庫確認!F:F)</f>
        <v>0</v>
      </c>
      <c r="O57">
        <f t="shared" si="4"/>
        <v>1120</v>
      </c>
    </row>
    <row r="58" spans="1:15">
      <c r="A58" t="s">
        <v>2523</v>
      </c>
      <c r="B58" t="s">
        <v>1464</v>
      </c>
      <c r="C58">
        <f t="shared" si="63"/>
        <v>600</v>
      </c>
      <c r="D58">
        <f t="shared" si="64"/>
        <v>0</v>
      </c>
      <c r="F58">
        <v>206310</v>
      </c>
      <c r="G58" t="s">
        <v>714</v>
      </c>
      <c r="H58">
        <f>SUMIFS(SAP[在庫数量],SAP[品目],在庫確認!F:F)</f>
        <v>0</v>
      </c>
      <c r="I58">
        <f>SUMIFS(SAP貼り付け!AC:AC,SAP貼り付け!A:A,在庫確認!F:F)</f>
        <v>0</v>
      </c>
      <c r="J58" t="str">
        <f t="shared" si="65"/>
        <v/>
      </c>
      <c r="M58">
        <f>SUMIFS(購買計画one_note_貼り付け[数量],購買計画one_note_貼り付け[コード],在庫確認!$F:$F,購買計画one_note_貼り付け[IO],1)</f>
        <v>600</v>
      </c>
      <c r="N58">
        <f>SUMIFS(SAP貼り付け!AC:AC,SAP貼り付け!A:A,在庫確認!F:F)</f>
        <v>0</v>
      </c>
      <c r="O58">
        <f t="shared" si="4"/>
        <v>600</v>
      </c>
    </row>
    <row r="59" spans="1:15">
      <c r="A59" t="s">
        <v>2523</v>
      </c>
      <c r="B59" t="s">
        <v>1464</v>
      </c>
      <c r="C59">
        <f>D59+M59</f>
        <v>600</v>
      </c>
      <c r="D59">
        <f>H59</f>
        <v>0</v>
      </c>
      <c r="F59">
        <v>212292</v>
      </c>
      <c r="G59" t="s">
        <v>2544</v>
      </c>
      <c r="H59">
        <f>SUMIFS(SAP[在庫数量],SAP[品目],在庫確認!F:F)</f>
        <v>0</v>
      </c>
      <c r="I59">
        <f>SUMIFS(SAP貼り付け!AC:AC,SAP貼り付け!A:A,在庫確認!F:F)</f>
        <v>0</v>
      </c>
      <c r="J59" t="str">
        <f>IFERROR(I59/H59,"")</f>
        <v/>
      </c>
      <c r="M59">
        <f>SUMIFS(購買計画one_note_貼り付け[数量],購買計画one_note_貼り付け[コード],在庫確認!$F:$F,購買計画one_note_貼り付け[IO],1)</f>
        <v>600</v>
      </c>
      <c r="N59">
        <f>SUMIFS(SAP貼り付け!AC:AC,SAP貼り付け!A:A,在庫確認!F:F)</f>
        <v>0</v>
      </c>
      <c r="O59">
        <f t="shared" si="4"/>
        <v>600</v>
      </c>
    </row>
    <row r="60" spans="1:15">
      <c r="A60" t="s">
        <v>2523</v>
      </c>
      <c r="B60" t="s">
        <v>1464</v>
      </c>
      <c r="C60">
        <f>D60+M60</f>
        <v>433</v>
      </c>
      <c r="D60">
        <f>H60</f>
        <v>1</v>
      </c>
      <c r="F60">
        <v>223063</v>
      </c>
      <c r="G60" t="s">
        <v>698</v>
      </c>
      <c r="H60">
        <f>SUMIFS(SAP[在庫数量],SAP[品目],在庫確認!F:F)</f>
        <v>1</v>
      </c>
      <c r="I60">
        <f>SUMIFS(SAP貼り付け!AC:AC,SAP貼り付け!A:A,在庫確認!F:F)</f>
        <v>0</v>
      </c>
      <c r="J60">
        <f>IFERROR(I60/H60,"")</f>
        <v>0</v>
      </c>
      <c r="M60">
        <f>SUMIFS(購買計画one_note_貼り付け[数量],購買計画one_note_貼り付け[コード],在庫確認!$F:$F,購買計画one_note_貼り付け[IO],1)</f>
        <v>432</v>
      </c>
      <c r="N60">
        <f>SUMIFS(SAP貼り付け!AC:AC,SAP貼り付け!A:A,在庫確認!F:F)</f>
        <v>0</v>
      </c>
      <c r="O60">
        <f t="shared" si="4"/>
        <v>433</v>
      </c>
    </row>
    <row r="61" spans="1:15">
      <c r="A61" t="s">
        <v>2523</v>
      </c>
      <c r="B61" t="s">
        <v>767</v>
      </c>
      <c r="C61">
        <f t="shared" si="63"/>
        <v>0</v>
      </c>
      <c r="D61">
        <f t="shared" si="64"/>
        <v>0</v>
      </c>
      <c r="E61" t="str">
        <f>IFERROR(D61/(#REF!/7*30),"")</f>
        <v/>
      </c>
      <c r="F61">
        <v>184060</v>
      </c>
      <c r="G61" t="s">
        <v>2545</v>
      </c>
      <c r="H61">
        <f>SUMIFS(SAP[在庫数量],SAP[品目],在庫確認!F:F)</f>
        <v>0</v>
      </c>
      <c r="I61">
        <f>SUMIFS(SAP貼り付け!AC:AC,SAP貼り付け!A:A,在庫確認!F:F)</f>
        <v>0</v>
      </c>
      <c r="J61" t="str">
        <f t="shared" si="65"/>
        <v/>
      </c>
      <c r="M61">
        <f>SUMIFS(購買計画one_note_貼り付け[数量],購買計画one_note_貼り付け[コード],在庫確認!$F:$F,購買計画one_note_貼り付け[IO],1)</f>
        <v>0</v>
      </c>
      <c r="N61">
        <f>SUMIFS(SAP貼り付け!AC:AC,SAP貼り付け!A:A,在庫確認!F:F)</f>
        <v>0</v>
      </c>
      <c r="O61">
        <f t="shared" si="4"/>
        <v>0</v>
      </c>
    </row>
    <row r="62" spans="1:15" ht="13.15" customHeight="1">
      <c r="A62" t="s">
        <v>2523</v>
      </c>
      <c r="B62" t="s">
        <v>767</v>
      </c>
      <c r="C62">
        <f t="shared" si="63"/>
        <v>1280</v>
      </c>
      <c r="D62">
        <f t="shared" si="64"/>
        <v>0</v>
      </c>
      <c r="F62">
        <v>199326</v>
      </c>
      <c r="G62" t="s">
        <v>2546</v>
      </c>
      <c r="H62">
        <f>SUMIFS(SAP[在庫数量],SAP[品目],在庫確認!F:F)</f>
        <v>0</v>
      </c>
      <c r="I62">
        <f>SUMIFS(SAP貼り付け!AC:AC,SAP貼り付け!A:A,在庫確認!F:F)</f>
        <v>0</v>
      </c>
      <c r="J62" t="str">
        <f t="shared" si="65"/>
        <v/>
      </c>
      <c r="M62">
        <f>SUMIFS(購買計画one_note_貼り付け[数量],購買計画one_note_貼り付け[コード],在庫確認!$F:$F,購買計画one_note_貼り付け[IO],1)</f>
        <v>1280</v>
      </c>
      <c r="N62">
        <f>SUMIFS(SAP貼り付け!AC:AC,SAP貼り付け!A:A,在庫確認!F:F)</f>
        <v>0</v>
      </c>
      <c r="O62">
        <f t="shared" si="4"/>
        <v>1280</v>
      </c>
    </row>
    <row r="63" spans="1:15" ht="13.15" customHeight="1">
      <c r="A63" t="s">
        <v>2523</v>
      </c>
      <c r="B63" t="s">
        <v>1468</v>
      </c>
      <c r="C63">
        <f t="shared" si="63"/>
        <v>1779</v>
      </c>
      <c r="D63">
        <f t="shared" si="64"/>
        <v>0</v>
      </c>
      <c r="F63">
        <v>205923</v>
      </c>
      <c r="G63" t="s">
        <v>748</v>
      </c>
      <c r="H63">
        <f>SUMIFS(SAP[在庫数量],SAP[品目],在庫確認!F:F)</f>
        <v>0</v>
      </c>
      <c r="I63">
        <f>SUMIFS(SAP貼り付け!AC:AC,SAP貼り付け!A:A,在庫確認!F:F)</f>
        <v>0</v>
      </c>
      <c r="J63" t="str">
        <f t="shared" si="65"/>
        <v/>
      </c>
      <c r="M63">
        <f>SUMIFS(購買計画one_note_貼り付け[数量],購買計画one_note_貼り付け[コード],在庫確認!$F:$F,購買計画one_note_貼り付け[IO],1)</f>
        <v>1779</v>
      </c>
      <c r="N63">
        <f>SUMIFS(SAP貼り付け!AC:AC,SAP貼り付け!A:A,在庫確認!F:F)</f>
        <v>0</v>
      </c>
      <c r="O63">
        <f t="shared" si="4"/>
        <v>1779</v>
      </c>
    </row>
    <row r="64" spans="1:15" ht="13.35" customHeight="1">
      <c r="A64" t="s">
        <v>2523</v>
      </c>
      <c r="B64" t="s">
        <v>1468</v>
      </c>
      <c r="C64">
        <f t="shared" ref="C64" si="66">D64+M64</f>
        <v>4920</v>
      </c>
      <c r="D64">
        <f t="shared" ref="D64" si="67">H64</f>
        <v>0</v>
      </c>
      <c r="F64">
        <v>210646</v>
      </c>
      <c r="G64" t="s">
        <v>2547</v>
      </c>
      <c r="H64">
        <f>SUMIFS(SAP[在庫数量],SAP[品目],在庫確認!F:F)</f>
        <v>0</v>
      </c>
      <c r="I64">
        <f>SUMIFS(SAP貼り付け!AC:AC,SAP貼り付け!A:A,在庫確認!F:F)</f>
        <v>0</v>
      </c>
      <c r="J64" t="str">
        <f t="shared" ref="J64" si="68">IFERROR(I64/H64,"")</f>
        <v/>
      </c>
      <c r="M64">
        <f>SUMIFS(購買計画one_note_貼り付け[数量],購買計画one_note_貼り付け[コード],在庫確認!$F:$F,購買計画one_note_貼り付け[IO],1)</f>
        <v>4920</v>
      </c>
      <c r="N64">
        <f>SUMIFS(SAP貼り付け!AC:AC,SAP貼り付け!A:A,在庫確認!F:F)</f>
        <v>0</v>
      </c>
      <c r="O64">
        <f t="shared" si="4"/>
        <v>4920</v>
      </c>
    </row>
    <row r="65" spans="1:15" ht="13.35" customHeight="1">
      <c r="A65" t="s">
        <v>2523</v>
      </c>
      <c r="B65" t="s">
        <v>1468</v>
      </c>
      <c r="C65">
        <f t="shared" ref="C65" si="69">D65+M65</f>
        <v>735</v>
      </c>
      <c r="D65">
        <f t="shared" ref="D65" si="70">H65</f>
        <v>15</v>
      </c>
      <c r="F65">
        <v>223062</v>
      </c>
      <c r="G65" t="s">
        <v>753</v>
      </c>
      <c r="H65">
        <f>SUMIFS(SAP[在庫数量],SAP[品目],在庫確認!F:F)</f>
        <v>15</v>
      </c>
      <c r="I65">
        <f>SUMIFS(SAP貼り付け!AC:AC,SAP貼り付け!A:A,在庫確認!F:F)</f>
        <v>0</v>
      </c>
      <c r="J65">
        <f t="shared" ref="J65" si="71">IFERROR(I65/H65,"")</f>
        <v>0</v>
      </c>
      <c r="M65">
        <f>SUMIFS(購買計画one_note_貼り付け[数量],購買計画one_note_貼り付け[コード],在庫確認!$F:$F,購買計画one_note_貼り付け[IO],1)</f>
        <v>720</v>
      </c>
      <c r="N65">
        <f>SUMIFS(SAP貼り付け!AC:AC,SAP貼り付け!A:A,在庫確認!F:F)</f>
        <v>0</v>
      </c>
      <c r="O65">
        <f t="shared" si="4"/>
        <v>735</v>
      </c>
    </row>
    <row r="66" spans="1:15">
      <c r="A66" t="s">
        <v>2523</v>
      </c>
      <c r="B66" t="s">
        <v>1470</v>
      </c>
      <c r="C66">
        <f t="shared" ref="C66" si="72">D66+M66</f>
        <v>1102</v>
      </c>
      <c r="D66">
        <f t="shared" ref="D66" si="73">H66</f>
        <v>2</v>
      </c>
      <c r="F66">
        <v>217464</v>
      </c>
      <c r="G66" t="s">
        <v>2548</v>
      </c>
      <c r="H66">
        <f>SUMIFS(SAP[在庫数量],SAP[品目],在庫確認!F:F)</f>
        <v>2</v>
      </c>
      <c r="I66">
        <f>SUMIFS(SAP貼り付け!AC:AC,SAP貼り付け!A:A,在庫確認!F:F)</f>
        <v>0</v>
      </c>
      <c r="J66">
        <f t="shared" ref="J66" si="74">IFERROR(I66/H66,"")</f>
        <v>0</v>
      </c>
      <c r="M66">
        <f>SUMIFS(購買計画one_note_貼り付け[数量],購買計画one_note_貼り付け[コード],在庫確認!$F:$F,購買計画one_note_貼り付け[IO],1)</f>
        <v>1100</v>
      </c>
      <c r="N66">
        <f>SUMIFS(SAP貼り付け!AC:AC,SAP貼り付け!A:A,在庫確認!F:F)</f>
        <v>0</v>
      </c>
      <c r="O66">
        <f t="shared" si="4"/>
        <v>1102</v>
      </c>
    </row>
    <row r="67" spans="1:15">
      <c r="A67" t="s">
        <v>2523</v>
      </c>
      <c r="B67" t="s">
        <v>1458</v>
      </c>
      <c r="C67">
        <f t="shared" ref="C67:C68" si="75">D67+M67</f>
        <v>369</v>
      </c>
      <c r="D67">
        <f t="shared" ref="D67:D68" si="76">H67</f>
        <v>63</v>
      </c>
      <c r="F67">
        <v>222649</v>
      </c>
      <c r="G67" t="s">
        <v>708</v>
      </c>
      <c r="H67">
        <f>SUMIFS(SAP[在庫数量],SAP[品目],在庫確認!F:F)</f>
        <v>63</v>
      </c>
      <c r="I67">
        <f>SUMIFS(SAP貼り付け!AC:AC,SAP貼り付け!A:A,在庫確認!F:F)</f>
        <v>0</v>
      </c>
      <c r="J67">
        <f t="shared" ref="J67:J68" si="77">IFERROR(I67/H67,"")</f>
        <v>0</v>
      </c>
      <c r="M67">
        <f>SUMIFS(購買計画one_note_貼り付け[数量],購買計画one_note_貼り付け[コード],在庫確認!$F:$F,購買計画one_note_貼り付け[IO],1)</f>
        <v>306</v>
      </c>
      <c r="N67">
        <f>SUMIFS(SAP貼り付け!AC:AC,SAP貼り付け!A:A,在庫確認!F:F)</f>
        <v>0</v>
      </c>
      <c r="O67">
        <f t="shared" si="4"/>
        <v>369</v>
      </c>
    </row>
    <row r="68" spans="1:15">
      <c r="A68" t="s">
        <v>2523</v>
      </c>
      <c r="B68" t="s">
        <v>2549</v>
      </c>
      <c r="C68">
        <f t="shared" si="75"/>
        <v>1068</v>
      </c>
      <c r="D68">
        <f t="shared" si="76"/>
        <v>362</v>
      </c>
      <c r="F68">
        <v>222650</v>
      </c>
      <c r="G68" t="s">
        <v>764</v>
      </c>
      <c r="H68">
        <f>SUMIFS(SAP[在庫数量],SAP[品目],在庫確認!F:F)</f>
        <v>362</v>
      </c>
      <c r="I68">
        <f>SUMIFS(SAP貼り付け!AC:AC,SAP貼り付け!A:A,在庫確認!F:F)</f>
        <v>0</v>
      </c>
      <c r="J68">
        <f t="shared" si="77"/>
        <v>0</v>
      </c>
      <c r="M68">
        <f>SUMIFS(購買計画one_note_貼り付け[数量],購買計画one_note_貼り付け[コード],在庫確認!$F:$F,購買計画one_note_貼り付け[IO],1)</f>
        <v>706</v>
      </c>
      <c r="N68">
        <f>SUMIFS(SAP貼り付け!AC:AC,SAP貼り付け!A:A,在庫確認!F:F)</f>
        <v>0</v>
      </c>
      <c r="O68">
        <f t="shared" si="4"/>
        <v>1068</v>
      </c>
    </row>
    <row r="69" spans="1:15">
      <c r="A69" t="s">
        <v>2523</v>
      </c>
      <c r="B69" t="s">
        <v>1801</v>
      </c>
      <c r="C69">
        <f t="shared" ref="C69" si="78">D69+M69</f>
        <v>1721</v>
      </c>
      <c r="D69">
        <f t="shared" ref="D69" si="79">H69</f>
        <v>14</v>
      </c>
      <c r="F69">
        <v>222644</v>
      </c>
      <c r="G69" t="s">
        <v>2550</v>
      </c>
      <c r="H69">
        <f>SUMIFS(SAP[在庫数量],SAP[品目],在庫確認!F:F)</f>
        <v>14</v>
      </c>
      <c r="I69">
        <f>SUMIFS(SAP貼り付け!AC:AC,SAP貼り付け!A:A,在庫確認!F:F)</f>
        <v>0</v>
      </c>
      <c r="J69">
        <f t="shared" ref="J69" si="80">IFERROR(I69/H69,"")</f>
        <v>0</v>
      </c>
      <c r="M69">
        <f>SUMIFS(購買計画one_note_貼り付け[数量],購買計画one_note_貼り付け[コード],在庫確認!$F:$F,購買計画one_note_貼り付け[IO],1)</f>
        <v>1707</v>
      </c>
      <c r="N69">
        <f>SUMIFS(SAP貼り付け!AC:AC,SAP貼り付け!A:A,在庫確認!F:F)</f>
        <v>0</v>
      </c>
      <c r="O69">
        <f t="shared" ref="O69:O132" si="81">H69+M69</f>
        <v>1721</v>
      </c>
    </row>
    <row r="70" spans="1:15">
      <c r="A70" t="s">
        <v>982</v>
      </c>
      <c r="B70" t="s">
        <v>1509</v>
      </c>
      <c r="C70">
        <f t="shared" ref="C70:C71" si="82">D70+M70</f>
        <v>20</v>
      </c>
      <c r="D70">
        <f t="shared" ref="D70:D71" si="83">H70</f>
        <v>0</v>
      </c>
      <c r="F70">
        <v>203724</v>
      </c>
      <c r="G70" t="s">
        <v>985</v>
      </c>
      <c r="H70">
        <f>SUMIFS(SAP[在庫数量],SAP[品目],在庫確認!F:F)</f>
        <v>0</v>
      </c>
      <c r="I70">
        <f>SUMIFS(SAP貼り付け!AC:AC,SAP貼り付け!A:A,在庫確認!F:F)</f>
        <v>0</v>
      </c>
      <c r="J70" t="str">
        <f t="shared" ref="J70:J71" si="84">IFERROR(I70/H70,"")</f>
        <v/>
      </c>
      <c r="M70">
        <f>SUMIFS(購買計画one_note_貼り付け[数量],購買計画one_note_貼り付け[コード],在庫確認!$F:$F,購買計画one_note_貼り付け[IO],1)</f>
        <v>20</v>
      </c>
      <c r="N70">
        <f>SUMIFS(SAP貼り付け!AC:AC,SAP貼り付け!A:A,在庫確認!F:F)</f>
        <v>0</v>
      </c>
      <c r="O70">
        <f t="shared" si="81"/>
        <v>20</v>
      </c>
    </row>
    <row r="71" spans="1:15">
      <c r="A71" t="s">
        <v>982</v>
      </c>
      <c r="B71" t="s">
        <v>2551</v>
      </c>
      <c r="C71">
        <f t="shared" si="82"/>
        <v>171</v>
      </c>
      <c r="D71">
        <f t="shared" si="83"/>
        <v>16</v>
      </c>
      <c r="F71">
        <v>203726</v>
      </c>
      <c r="G71" t="s">
        <v>988</v>
      </c>
      <c r="H71">
        <f>SUMIFS(SAP[在庫数量],SAP[品目],在庫確認!F:F)</f>
        <v>16</v>
      </c>
      <c r="I71">
        <f>SUMIFS(SAP貼り付け!AC:AC,SAP貼り付け!A:A,在庫確認!F:F)</f>
        <v>0</v>
      </c>
      <c r="J71">
        <f t="shared" si="84"/>
        <v>0</v>
      </c>
      <c r="M71">
        <f>SUMIFS(購買計画one_note_貼り付け[数量],購買計画one_note_貼り付け[コード],在庫確認!$F:$F,購買計画one_note_貼り付け[IO],1)</f>
        <v>155</v>
      </c>
      <c r="N71">
        <f>SUMIFS(SAP貼り付け!AC:AC,SAP貼り付け!A:A,在庫確認!F:F)</f>
        <v>0</v>
      </c>
      <c r="O71">
        <f t="shared" si="81"/>
        <v>171</v>
      </c>
    </row>
    <row r="72" spans="1:15">
      <c r="A72" t="s">
        <v>982</v>
      </c>
      <c r="B72" t="s">
        <v>1398</v>
      </c>
      <c r="C72">
        <f t="shared" ref="C72:C73" si="85">D72+M72</f>
        <v>377</v>
      </c>
      <c r="D72">
        <f t="shared" ref="D72:D73" si="86">H72</f>
        <v>177</v>
      </c>
      <c r="F72">
        <v>218585</v>
      </c>
      <c r="G72" t="s">
        <v>2552</v>
      </c>
      <c r="H72">
        <f>SUMIFS(SAP[在庫数量],SAP[品目],在庫確認!F:F)</f>
        <v>177</v>
      </c>
      <c r="I72">
        <f>SUMIFS(SAP貼り付け!AC:AC,SAP貼り付け!A:A,在庫確認!F:F)</f>
        <v>0</v>
      </c>
      <c r="J72">
        <f t="shared" ref="J72:J73" si="87">IFERROR(I72/H72,"")</f>
        <v>0</v>
      </c>
      <c r="M72">
        <f>SUMIFS(購買計画one_note_貼り付け[数量],購買計画one_note_貼り付け[コード],在庫確認!$F:$F,購買計画one_note_貼り付け[IO],1)</f>
        <v>200</v>
      </c>
      <c r="N72">
        <f>SUMIFS(SAP貼り付け!AC:AC,SAP貼り付け!A:A,在庫確認!F:F)</f>
        <v>0</v>
      </c>
      <c r="O72">
        <f t="shared" si="81"/>
        <v>377</v>
      </c>
    </row>
    <row r="73" spans="1:15">
      <c r="A73" t="s">
        <v>982</v>
      </c>
      <c r="B73" t="s">
        <v>1400</v>
      </c>
      <c r="C73">
        <f t="shared" si="85"/>
        <v>136</v>
      </c>
      <c r="D73">
        <f t="shared" si="86"/>
        <v>36</v>
      </c>
      <c r="F73">
        <v>218586</v>
      </c>
      <c r="G73" t="s">
        <v>2553</v>
      </c>
      <c r="H73">
        <f>SUMIFS(SAP[在庫数量],SAP[品目],在庫確認!F:F)</f>
        <v>36</v>
      </c>
      <c r="I73">
        <f>SUMIFS(SAP貼り付け!AC:AC,SAP貼り付け!A:A,在庫確認!F:F)</f>
        <v>0</v>
      </c>
      <c r="J73">
        <f t="shared" si="87"/>
        <v>0</v>
      </c>
      <c r="M73">
        <f>SUMIFS(購買計画one_note_貼り付け[数量],購買計画one_note_貼り付け[コード],在庫確認!$F:$F,購買計画one_note_貼り付け[IO],1)</f>
        <v>100</v>
      </c>
      <c r="N73">
        <f>SUMIFS(SAP貼り付け!AC:AC,SAP貼り付け!A:A,在庫確認!F:F)</f>
        <v>0</v>
      </c>
      <c r="O73">
        <f t="shared" si="81"/>
        <v>136</v>
      </c>
    </row>
    <row r="74" spans="1:15">
      <c r="A74" t="s">
        <v>982</v>
      </c>
      <c r="B74" t="s">
        <v>1005</v>
      </c>
      <c r="C74">
        <f t="shared" ref="C74:C79" si="88">D74+M74</f>
        <v>0</v>
      </c>
      <c r="D74">
        <f t="shared" ref="D74:D79" si="89">H74</f>
        <v>0</v>
      </c>
      <c r="E74" t="str">
        <f>IFERROR(D74/(#REF!/7*30),"")</f>
        <v/>
      </c>
      <c r="F74">
        <v>184058</v>
      </c>
      <c r="G74" t="s">
        <v>1006</v>
      </c>
      <c r="H74">
        <f>SUMIFS(SAP[在庫数量],SAP[品目],在庫確認!F:F)</f>
        <v>0</v>
      </c>
      <c r="I74">
        <f>SUMIFS(SAP貼り付け!AC:AC,SAP貼り付け!A:A,在庫確認!F:F)</f>
        <v>0</v>
      </c>
      <c r="J74" t="str">
        <f t="shared" ref="J74:J79" si="90">IFERROR(I74/H74,"")</f>
        <v/>
      </c>
      <c r="M74">
        <f>SUMIFS(購買計画one_note_貼り付け[数量],購買計画one_note_貼り付け[コード],在庫確認!$F:$F,購買計画one_note_貼り付け[IO],1)</f>
        <v>0</v>
      </c>
      <c r="N74">
        <f>SUMIFS(SAP貼り付け!AC:AC,SAP貼り付け!A:A,在庫確認!F:F)</f>
        <v>0</v>
      </c>
      <c r="O74">
        <f t="shared" si="81"/>
        <v>0</v>
      </c>
    </row>
    <row r="75" spans="1:15">
      <c r="A75" t="s">
        <v>982</v>
      </c>
      <c r="B75" t="s">
        <v>1512</v>
      </c>
      <c r="C75">
        <f t="shared" si="88"/>
        <v>440</v>
      </c>
      <c r="D75">
        <f t="shared" si="89"/>
        <v>0</v>
      </c>
      <c r="E75" t="str">
        <f>IFERROR(D75/(#REF!/7*30),"")</f>
        <v/>
      </c>
      <c r="F75">
        <v>193709</v>
      </c>
      <c r="G75" t="s">
        <v>2554</v>
      </c>
      <c r="H75">
        <f>SUMIFS(SAP[在庫数量],SAP[品目],在庫確認!F:F)</f>
        <v>0</v>
      </c>
      <c r="I75">
        <f>SUMIFS(SAP貼り付け!AC:AC,SAP貼り付け!A:A,在庫確認!F:F)</f>
        <v>0</v>
      </c>
      <c r="J75" t="str">
        <f t="shared" si="90"/>
        <v/>
      </c>
      <c r="M75">
        <f>SUMIFS(購買計画one_note_貼り付け[数量],購買計画one_note_貼り付け[コード],在庫確認!$F:$F,購買計画one_note_貼り付け[IO],1)</f>
        <v>440</v>
      </c>
      <c r="N75">
        <f>SUMIFS(SAP貼り付け!AC:AC,SAP貼り付け!A:A,在庫確認!F:F)</f>
        <v>0</v>
      </c>
      <c r="O75">
        <f t="shared" si="81"/>
        <v>440</v>
      </c>
    </row>
    <row r="76" spans="1:15">
      <c r="A76" t="s">
        <v>982</v>
      </c>
      <c r="B76" t="s">
        <v>1512</v>
      </c>
      <c r="C76">
        <f t="shared" ref="C76:C78" si="91">D76+M76</f>
        <v>0</v>
      </c>
      <c r="D76">
        <f t="shared" ref="D76:D78" si="92">H76</f>
        <v>0</v>
      </c>
      <c r="F76">
        <v>199328</v>
      </c>
      <c r="G76" t="s">
        <v>1854</v>
      </c>
      <c r="H76">
        <f>SUMIFS(SAP[在庫数量],SAP[品目],在庫確認!F:F)</f>
        <v>0</v>
      </c>
      <c r="I76">
        <f>SUMIFS(SAP貼り付け!AC:AC,SAP貼り付け!A:A,在庫確認!F:F)</f>
        <v>0</v>
      </c>
      <c r="J76" t="str">
        <f t="shared" ref="J76" si="93">IFERROR(I76/H76,"")</f>
        <v/>
      </c>
      <c r="M76">
        <f>SUMIFS(購買計画one_note_貼り付け[数量],購買計画one_note_貼り付け[コード],在庫確認!$F:$F,購買計画one_note_貼り付け[IO],1)</f>
        <v>0</v>
      </c>
      <c r="N76">
        <f>SUMIFS(SAP貼り付け!AC:AC,SAP貼り付け!A:A,在庫確認!F:F)</f>
        <v>0</v>
      </c>
      <c r="O76">
        <f t="shared" si="81"/>
        <v>0</v>
      </c>
    </row>
    <row r="77" spans="1:15" collapsed="1">
      <c r="A77" t="s">
        <v>1503</v>
      </c>
      <c r="B77" t="s">
        <v>1512</v>
      </c>
      <c r="C77">
        <f>D77+M77</f>
        <v>300</v>
      </c>
      <c r="D77">
        <f>H77</f>
        <v>0</v>
      </c>
      <c r="F77">
        <v>209064</v>
      </c>
      <c r="G77" t="s">
        <v>1854</v>
      </c>
      <c r="H77">
        <f>SUMIFS(SAP[在庫数量],SAP[品目],在庫確認!F:F)</f>
        <v>0</v>
      </c>
      <c r="I77">
        <f>SUMIFS(SAP貼り付け!AC:AC,SAP貼り付け!A:A,在庫確認!F:F)</f>
        <v>0</v>
      </c>
      <c r="J77" t="str">
        <f>IFERROR(I77/H77,"")</f>
        <v/>
      </c>
      <c r="M77">
        <f>SUMIFS(購買計画one_note_貼り付け[数量],購買計画one_note_貼り付け[コード],在庫確認!$F:$F,購買計画one_note_貼り付け[IO],1)</f>
        <v>300</v>
      </c>
      <c r="N77">
        <f>SUMIFS(SAP貼り付け!AC:AC,SAP貼り付け!A:A,在庫確認!F:F)</f>
        <v>0</v>
      </c>
      <c r="O77">
        <f t="shared" si="81"/>
        <v>300</v>
      </c>
    </row>
    <row r="78" spans="1:15">
      <c r="A78" t="s">
        <v>982</v>
      </c>
      <c r="B78" t="s">
        <v>1515</v>
      </c>
      <c r="C78">
        <f t="shared" si="91"/>
        <v>1350</v>
      </c>
      <c r="D78">
        <f t="shared" si="92"/>
        <v>0</v>
      </c>
      <c r="E78" t="str">
        <f>IFERROR(D78/(#REF!/7*30),"")</f>
        <v/>
      </c>
      <c r="F78">
        <v>199026</v>
      </c>
      <c r="G78" t="s">
        <v>1037</v>
      </c>
      <c r="H78">
        <f>SUMIFS(SAP[在庫数量],SAP[品目],在庫確認!F:F)</f>
        <v>0</v>
      </c>
      <c r="I78">
        <f>SUMIFS(SAP貼り付け!AC:AC,SAP貼り付け!A:A,在庫確認!F:F)</f>
        <v>0</v>
      </c>
      <c r="J78" t="str">
        <f t="shared" ref="J78" si="94">IFERROR(I78/H78,"")</f>
        <v/>
      </c>
      <c r="M78">
        <f>SUMIFS(購買計画one_note_貼り付け[数量],購買計画one_note_貼り付け[コード],在庫確認!$F:$F,購買計画one_note_貼り付け[IO],1)</f>
        <v>1350</v>
      </c>
      <c r="N78">
        <f>SUMIFS(SAP貼り付け!AC:AC,SAP貼り付け!A:A,在庫確認!F:F)</f>
        <v>0</v>
      </c>
      <c r="O78">
        <f t="shared" si="81"/>
        <v>1350</v>
      </c>
    </row>
    <row r="79" spans="1:15">
      <c r="A79" t="s">
        <v>982</v>
      </c>
      <c r="B79" t="s">
        <v>1014</v>
      </c>
      <c r="C79">
        <f t="shared" si="88"/>
        <v>0</v>
      </c>
      <c r="D79">
        <f t="shared" si="89"/>
        <v>0</v>
      </c>
      <c r="E79" t="str">
        <f>IFERROR(D79/(#REF!/7*30),"")</f>
        <v/>
      </c>
      <c r="F79">
        <v>181641</v>
      </c>
      <c r="G79" t="s">
        <v>2555</v>
      </c>
      <c r="H79">
        <f>SUMIFS(SAP[在庫数量],SAP[品目],在庫確認!F:F)</f>
        <v>0</v>
      </c>
      <c r="I79">
        <f>SUMIFS(SAP貼り付け!AC:AC,SAP貼り付け!A:A,在庫確認!F:F)</f>
        <v>0</v>
      </c>
      <c r="J79" t="str">
        <f t="shared" si="90"/>
        <v/>
      </c>
      <c r="M79">
        <f>SUMIFS(購買計画one_note_貼り付け[数量],購買計画one_note_貼り付け[コード],在庫確認!$F:$F,購買計画one_note_貼り付け[IO],1)</f>
        <v>0</v>
      </c>
      <c r="N79">
        <f>SUMIFS(SAP貼り付け!AC:AC,SAP貼り付け!A:A,在庫確認!F:F)</f>
        <v>0</v>
      </c>
      <c r="O79">
        <f t="shared" si="81"/>
        <v>0</v>
      </c>
    </row>
    <row r="80" spans="1:15">
      <c r="A80" t="s">
        <v>982</v>
      </c>
      <c r="B80" t="s">
        <v>532</v>
      </c>
      <c r="C80">
        <f t="shared" ref="C80:C82" si="95">D80+M80</f>
        <v>0</v>
      </c>
      <c r="D80">
        <f t="shared" ref="D80:D82" si="96">H80</f>
        <v>0</v>
      </c>
      <c r="E80" t="str">
        <f>IFERROR(D80/(#REF!/7*30),"")</f>
        <v/>
      </c>
      <c r="F80">
        <v>179162</v>
      </c>
      <c r="G80" t="s">
        <v>1048</v>
      </c>
      <c r="H80">
        <f>SUMIFS(SAP[在庫数量],SAP[品目],在庫確認!F:F)</f>
        <v>0</v>
      </c>
      <c r="I80">
        <f>SUMIFS(SAP貼り付け!AC:AC,SAP貼り付け!A:A,在庫確認!F:F)</f>
        <v>0</v>
      </c>
      <c r="J80" t="str">
        <f t="shared" ref="J80:J82" si="97">IFERROR(I80/H80,"")</f>
        <v/>
      </c>
      <c r="M80">
        <f>SUMIFS(購買計画one_note_貼り付け[数量],購買計画one_note_貼り付け[コード],在庫確認!$F:$F,購買計画one_note_貼り付け[IO],1)</f>
        <v>0</v>
      </c>
      <c r="N80">
        <f>SUMIFS(SAP貼り付け!AC:AC,SAP貼り付け!A:A,在庫確認!F:F)</f>
        <v>0</v>
      </c>
      <c r="O80">
        <f t="shared" si="81"/>
        <v>0</v>
      </c>
    </row>
    <row r="81" spans="1:15">
      <c r="A81" t="s">
        <v>982</v>
      </c>
      <c r="B81" t="s">
        <v>1518</v>
      </c>
      <c r="C81">
        <f t="shared" si="95"/>
        <v>1540</v>
      </c>
      <c r="D81">
        <f t="shared" si="96"/>
        <v>0</v>
      </c>
      <c r="F81">
        <v>199027</v>
      </c>
      <c r="G81" t="s">
        <v>1046</v>
      </c>
      <c r="H81">
        <f>SUMIFS(SAP[在庫数量],SAP[品目],在庫確認!F:F)</f>
        <v>0</v>
      </c>
      <c r="I81">
        <f>SUMIFS(SAP貼り付け!AC:AC,SAP貼り付け!A:A,在庫確認!F:F)</f>
        <v>0</v>
      </c>
      <c r="J81" t="str">
        <f t="shared" si="97"/>
        <v/>
      </c>
      <c r="M81">
        <f>SUMIFS(購買計画one_note_貼り付け[数量],購買計画one_note_貼り付け[コード],在庫確認!$F:$F,購買計画one_note_貼り付け[IO],1)</f>
        <v>1540</v>
      </c>
      <c r="N81">
        <f>SUMIFS(SAP貼り付け!AC:AC,SAP貼り付け!A:A,在庫確認!F:F)</f>
        <v>0</v>
      </c>
      <c r="O81">
        <f t="shared" si="81"/>
        <v>1540</v>
      </c>
    </row>
    <row r="82" spans="1:15">
      <c r="A82" t="s">
        <v>982</v>
      </c>
      <c r="B82" t="s">
        <v>887</v>
      </c>
      <c r="C82">
        <f t="shared" si="95"/>
        <v>0</v>
      </c>
      <c r="D82">
        <f t="shared" si="96"/>
        <v>0</v>
      </c>
      <c r="E82" t="str">
        <f>IFERROR(D82/(#REF!/7*30),"")</f>
        <v/>
      </c>
      <c r="F82">
        <v>172770</v>
      </c>
      <c r="G82" t="s">
        <v>888</v>
      </c>
      <c r="H82">
        <f>SUMIFS(SAP[在庫数量],SAP[品目],在庫確認!F:F)</f>
        <v>0</v>
      </c>
      <c r="I82">
        <f>SUMIFS(SAP貼り付け!AC:AC,SAP貼り付け!A:A,在庫確認!F:F)</f>
        <v>0</v>
      </c>
      <c r="J82" t="str">
        <f t="shared" si="97"/>
        <v/>
      </c>
      <c r="M82">
        <f>SUMIFS(購買計画one_note_貼り付け[数量],購買計画one_note_貼り付け[コード],在庫確認!$F:$F,購買計画one_note_貼り付け[IO],1)</f>
        <v>0</v>
      </c>
      <c r="N82">
        <f>SUMIFS(SAP貼り付け!AC:AC,SAP貼り付け!A:A,在庫確認!F:F)</f>
        <v>0</v>
      </c>
      <c r="O82">
        <f t="shared" si="81"/>
        <v>0</v>
      </c>
    </row>
    <row r="83" spans="1:15">
      <c r="A83" t="s">
        <v>982</v>
      </c>
      <c r="B83" t="s">
        <v>1520</v>
      </c>
      <c r="C83">
        <f t="shared" ref="C83:C94" si="98">D83+M83</f>
        <v>500</v>
      </c>
      <c r="D83">
        <f t="shared" ref="D83:D94" si="99">H83</f>
        <v>0</v>
      </c>
      <c r="F83">
        <v>209065</v>
      </c>
      <c r="G83" t="s">
        <v>2556</v>
      </c>
      <c r="H83">
        <f>SUMIFS(SAP[在庫数量],SAP[品目],在庫確認!F:F)</f>
        <v>0</v>
      </c>
      <c r="I83">
        <f>SUMIFS(SAP貼り付け!AC:AC,SAP貼り付け!A:A,在庫確認!F:F)</f>
        <v>0</v>
      </c>
      <c r="J83" t="str">
        <f t="shared" ref="J83" si="100">IFERROR(I83/H83,"")</f>
        <v/>
      </c>
      <c r="M83">
        <f>SUMIFS(購買計画one_note_貼り付け[数量],購買計画one_note_貼り付け[コード],在庫確認!$F:$F,購買計画one_note_貼り付け[IO],1)</f>
        <v>500</v>
      </c>
      <c r="N83">
        <f>SUMIFS(SAP貼り付け!AC:AC,SAP貼り付け!A:A,在庫確認!F:F)</f>
        <v>0</v>
      </c>
      <c r="O83">
        <f t="shared" si="81"/>
        <v>500</v>
      </c>
    </row>
    <row r="84" spans="1:15">
      <c r="A84" t="s">
        <v>9</v>
      </c>
      <c r="B84" t="s">
        <v>1683</v>
      </c>
      <c r="C84">
        <f t="shared" si="98"/>
        <v>1500</v>
      </c>
      <c r="D84">
        <f t="shared" si="99"/>
        <v>0</v>
      </c>
      <c r="F84">
        <v>199409</v>
      </c>
      <c r="G84" t="s">
        <v>283</v>
      </c>
      <c r="H84">
        <f>SUMIFS(SAP[在庫数量],SAP[品目],在庫確認!F:F)</f>
        <v>0</v>
      </c>
      <c r="I84">
        <f>SUMIFS(SAP貼り付け!AC:AC,SAP貼り付け!A:A,在庫確認!F:F)</f>
        <v>0</v>
      </c>
      <c r="J84" t="str">
        <f>IFERROR(I84/H84,"")</f>
        <v/>
      </c>
      <c r="M84">
        <f>SUMIFS(購買計画one_note_貼り付け[数量],購買計画one_note_貼り付け[コード],在庫確認!$F:$F,購買計画one_note_貼り付け[IO],1)</f>
        <v>1500</v>
      </c>
      <c r="N84">
        <f>SUMIFS(SAP貼り付け!AC:AC,SAP貼り付け!A:A,在庫確認!F:F)</f>
        <v>0</v>
      </c>
      <c r="O84">
        <f t="shared" si="81"/>
        <v>1500</v>
      </c>
    </row>
    <row r="85" spans="1:15">
      <c r="A85" t="s">
        <v>1322</v>
      </c>
      <c r="B85" t="s">
        <v>1370</v>
      </c>
      <c r="C85">
        <f t="shared" si="98"/>
        <v>160</v>
      </c>
      <c r="D85">
        <f t="shared" si="99"/>
        <v>0</v>
      </c>
      <c r="E85" t="str">
        <f>IFERROR(D85/(#REF!/7*30),"")</f>
        <v/>
      </c>
      <c r="F85">
        <v>187577</v>
      </c>
      <c r="G85" t="s">
        <v>385</v>
      </c>
      <c r="H85">
        <f>SUMIFS(SAP[在庫数量],SAP[品目],在庫確認!F:F)</f>
        <v>0</v>
      </c>
      <c r="I85">
        <f>SUMIFS(SAP貼り付け!AC:AC,SAP貼り付け!A:A,在庫確認!F:F)</f>
        <v>0</v>
      </c>
      <c r="J85" t="str">
        <f t="shared" ref="J85:J86" si="101">IFERROR(I85/H85,"")</f>
        <v/>
      </c>
      <c r="M85">
        <f>SUMIFS(購買計画one_note_貼り付け[数量],購買計画one_note_貼り付け[コード],在庫確認!$F:$F,購買計画one_note_貼り付け[IO],1)</f>
        <v>160</v>
      </c>
      <c r="N85">
        <f>SUMIFS(SAP貼り付け!AC:AC,SAP貼り付け!A:A,在庫確認!F:F)</f>
        <v>0</v>
      </c>
      <c r="O85">
        <f t="shared" si="81"/>
        <v>160</v>
      </c>
    </row>
    <row r="86" spans="1:15">
      <c r="A86" t="s">
        <v>1322</v>
      </c>
      <c r="B86" t="s">
        <v>1370</v>
      </c>
      <c r="C86">
        <f t="shared" si="98"/>
        <v>520</v>
      </c>
      <c r="D86">
        <f t="shared" si="99"/>
        <v>0</v>
      </c>
      <c r="E86" t="str">
        <f>IFERROR(D86/(#REF!/7*30),"")</f>
        <v/>
      </c>
      <c r="F86">
        <v>199025</v>
      </c>
      <c r="G86" t="s">
        <v>2557</v>
      </c>
      <c r="H86">
        <f>SUMIFS(SAP[在庫数量],SAP[品目],在庫確認!F:F)</f>
        <v>0</v>
      </c>
      <c r="I86">
        <f>SUMIFS(SAP貼り付け!AC:AC,SAP貼り付け!A:A,在庫確認!F:F)</f>
        <v>0</v>
      </c>
      <c r="J86" t="str">
        <f t="shared" si="101"/>
        <v/>
      </c>
      <c r="M86">
        <f>SUMIFS(購買計画one_note_貼り付け[数量],購買計画one_note_貼り付け[コード],在庫確認!$F:$F,購買計画one_note_貼り付け[IO],1)</f>
        <v>520</v>
      </c>
      <c r="N86">
        <f>SUMIFS(SAP貼り付け!AC:AC,SAP貼り付け!A:A,在庫確認!F:F)</f>
        <v>0</v>
      </c>
      <c r="O86">
        <f t="shared" si="81"/>
        <v>520</v>
      </c>
    </row>
    <row r="87" spans="1:15">
      <c r="A87" t="s">
        <v>9</v>
      </c>
      <c r="B87" t="s">
        <v>2558</v>
      </c>
      <c r="C87">
        <f t="shared" si="98"/>
        <v>3370</v>
      </c>
      <c r="D87">
        <f t="shared" si="99"/>
        <v>0</v>
      </c>
      <c r="F87">
        <v>199021</v>
      </c>
      <c r="G87" t="s">
        <v>456</v>
      </c>
      <c r="H87">
        <f>SUMIFS(SAP[在庫数量],SAP[品目],在庫確認!F:F)</f>
        <v>0</v>
      </c>
      <c r="I87">
        <f>SUMIFS(SAP貼り付け!AC:AC,SAP貼り付け!A:A,在庫確認!F:F)</f>
        <v>0</v>
      </c>
      <c r="J87" t="str">
        <f t="shared" ref="J87:J94" si="102">IFERROR(I87/H87,"")</f>
        <v/>
      </c>
      <c r="M87">
        <f>SUMIFS(購買計画one_note_貼り付け[数量],購買計画one_note_貼り付け[コード],在庫確認!$F:$F,購買計画one_note_貼り付け[IO],1)</f>
        <v>3370</v>
      </c>
      <c r="N87">
        <f>SUMIFS(SAP貼り付け!AC:AC,SAP貼り付け!A:A,在庫確認!F:F)</f>
        <v>0</v>
      </c>
      <c r="O87">
        <f t="shared" si="81"/>
        <v>3370</v>
      </c>
    </row>
    <row r="88" spans="1:15">
      <c r="A88" t="s">
        <v>2523</v>
      </c>
      <c r="B88" t="s">
        <v>579</v>
      </c>
      <c r="C88">
        <f t="shared" si="98"/>
        <v>0</v>
      </c>
      <c r="D88">
        <f t="shared" si="99"/>
        <v>0</v>
      </c>
      <c r="H88">
        <f>SUMIFS(SAP[在庫数量],SAP[品目],在庫確認!F:F)</f>
        <v>0</v>
      </c>
      <c r="I88">
        <f>SUMIFS(SAP貼り付け!AC:AC,SAP貼り付け!A:A,在庫確認!F:F)</f>
        <v>0</v>
      </c>
      <c r="J88" t="str">
        <f t="shared" si="102"/>
        <v/>
      </c>
      <c r="M88">
        <f>SUMIFS(購買計画one_note_貼り付け[数量],購買計画one_note_貼り付け[コード],在庫確認!$F:$F,購買計画one_note_貼り付け[IO],1)</f>
        <v>0</v>
      </c>
      <c r="N88">
        <f>SUMIFS(SAP貼り付け!AC:AC,SAP貼り付け!A:A,在庫確認!F:F)</f>
        <v>0</v>
      </c>
      <c r="O88">
        <f t="shared" si="81"/>
        <v>0</v>
      </c>
    </row>
    <row r="89" spans="1:15">
      <c r="A89" t="s">
        <v>2523</v>
      </c>
      <c r="B89" t="s">
        <v>718</v>
      </c>
      <c r="C89">
        <f t="shared" si="98"/>
        <v>0</v>
      </c>
      <c r="D89">
        <f t="shared" si="99"/>
        <v>0</v>
      </c>
      <c r="H89">
        <f>SUMIFS(SAP[在庫数量],SAP[品目],在庫確認!F:F)</f>
        <v>0</v>
      </c>
      <c r="I89">
        <f>SUMIFS(SAP貼り付け!AC:AC,SAP貼り付け!A:A,在庫確認!F:F)</f>
        <v>0</v>
      </c>
      <c r="J89" t="str">
        <f t="shared" si="102"/>
        <v/>
      </c>
      <c r="M89">
        <f>SUMIFS(購買計画one_note_貼り付け[数量],購買計画one_note_貼り付け[コード],在庫確認!$F:$F,購買計画one_note_貼り付け[IO],1)</f>
        <v>0</v>
      </c>
      <c r="N89">
        <f>SUMIFS(SAP貼り付け!AC:AC,SAP貼り付け!A:A,在庫確認!F:F)</f>
        <v>0</v>
      </c>
      <c r="O89">
        <f t="shared" si="81"/>
        <v>0</v>
      </c>
    </row>
    <row r="90" spans="1:15">
      <c r="A90" t="s">
        <v>2523</v>
      </c>
      <c r="B90" t="s">
        <v>771</v>
      </c>
      <c r="C90">
        <f t="shared" si="98"/>
        <v>0</v>
      </c>
      <c r="D90">
        <f t="shared" si="99"/>
        <v>0</v>
      </c>
      <c r="H90">
        <f>SUMIFS(SAP[在庫数量],SAP[品目],在庫確認!F:F)</f>
        <v>0</v>
      </c>
      <c r="I90">
        <f>SUMIFS(SAP貼り付け!AC:AC,SAP貼り付け!A:A,在庫確認!F:F)</f>
        <v>0</v>
      </c>
      <c r="J90" t="str">
        <f t="shared" si="102"/>
        <v/>
      </c>
      <c r="M90">
        <f>SUMIFS(購買計画one_note_貼り付け[数量],購買計画one_note_貼り付け[コード],在庫確認!$F:$F,購買計画one_note_貼り付け[IO],1)</f>
        <v>0</v>
      </c>
      <c r="N90">
        <f>SUMIFS(SAP貼り付け!AC:AC,SAP貼り付け!A:A,在庫確認!F:F)</f>
        <v>0</v>
      </c>
      <c r="O90">
        <f t="shared" si="81"/>
        <v>0</v>
      </c>
    </row>
    <row r="91" spans="1:15">
      <c r="A91" t="s">
        <v>2523</v>
      </c>
      <c r="B91" t="s">
        <v>700</v>
      </c>
      <c r="C91">
        <f t="shared" si="98"/>
        <v>0</v>
      </c>
      <c r="D91">
        <f t="shared" si="99"/>
        <v>0</v>
      </c>
      <c r="H91">
        <f>SUMIFS(SAP[在庫数量],SAP[品目],在庫確認!F:F)</f>
        <v>0</v>
      </c>
      <c r="I91">
        <f>SUMIFS(SAP貼り付け!AC:AC,SAP貼り付け!A:A,在庫確認!F:F)</f>
        <v>0</v>
      </c>
      <c r="J91" t="str">
        <f t="shared" si="102"/>
        <v/>
      </c>
      <c r="M91">
        <f>SUMIFS(購買計画one_note_貼り付け[数量],購買計画one_note_貼り付け[コード],在庫確認!$F:$F,購買計画one_note_貼り付け[IO],1)</f>
        <v>0</v>
      </c>
      <c r="N91">
        <f>SUMIFS(SAP貼り付け!AC:AC,SAP貼り付け!A:A,在庫確認!F:F)</f>
        <v>0</v>
      </c>
      <c r="O91">
        <f t="shared" si="81"/>
        <v>0</v>
      </c>
    </row>
    <row r="92" spans="1:15">
      <c r="A92" t="s">
        <v>2523</v>
      </c>
      <c r="B92" t="s">
        <v>756</v>
      </c>
      <c r="C92">
        <f t="shared" si="98"/>
        <v>0</v>
      </c>
      <c r="D92">
        <f t="shared" si="99"/>
        <v>0</v>
      </c>
      <c r="H92">
        <f>SUMIFS(SAP[在庫数量],SAP[品目],在庫確認!F:F)</f>
        <v>0</v>
      </c>
      <c r="I92">
        <f>SUMIFS(SAP貼り付け!AC:AC,SAP貼り付け!A:A,在庫確認!F:F)</f>
        <v>0</v>
      </c>
      <c r="J92" t="str">
        <f t="shared" si="102"/>
        <v/>
      </c>
      <c r="M92">
        <f>SUMIFS(購買計画one_note_貼り付け[数量],購買計画one_note_貼り付け[コード],在庫確認!$F:$F,購買計画one_note_貼り付け[IO],1)</f>
        <v>0</v>
      </c>
      <c r="N92">
        <f>SUMIFS(SAP貼り付け!AC:AC,SAP貼り付け!A:A,在庫確認!F:F)</f>
        <v>0</v>
      </c>
      <c r="O92">
        <f t="shared" si="81"/>
        <v>0</v>
      </c>
    </row>
    <row r="93" spans="1:15">
      <c r="A93" t="s">
        <v>2523</v>
      </c>
      <c r="B93" t="s">
        <v>685</v>
      </c>
      <c r="C93">
        <f t="shared" si="98"/>
        <v>0</v>
      </c>
      <c r="D93">
        <f t="shared" si="99"/>
        <v>0</v>
      </c>
      <c r="H93">
        <f>SUMIFS(SAP[在庫数量],SAP[品目],在庫確認!F:F)</f>
        <v>0</v>
      </c>
      <c r="I93">
        <f>SUMIFS(SAP貼り付け!AC:AC,SAP貼り付け!A:A,在庫確認!F:F)</f>
        <v>0</v>
      </c>
      <c r="J93" t="str">
        <f t="shared" si="102"/>
        <v/>
      </c>
      <c r="M93">
        <f>SUMIFS(購買計画one_note_貼り付け[数量],購買計画one_note_貼り付け[コード],在庫確認!$F:$F,購買計画one_note_貼り付け[IO],1)</f>
        <v>0</v>
      </c>
      <c r="N93">
        <f>SUMIFS(SAP貼り付け!AC:AC,SAP貼り付け!A:A,在庫確認!F:F)</f>
        <v>0</v>
      </c>
      <c r="O93">
        <f t="shared" si="81"/>
        <v>0</v>
      </c>
    </row>
    <row r="94" spans="1:15">
      <c r="A94" t="s">
        <v>2523</v>
      </c>
      <c r="B94" t="s">
        <v>733</v>
      </c>
      <c r="C94">
        <f t="shared" si="98"/>
        <v>0</v>
      </c>
      <c r="D94">
        <f t="shared" si="99"/>
        <v>0</v>
      </c>
      <c r="H94">
        <f>SUMIFS(SAP[在庫数量],SAP[品目],在庫確認!F:F)</f>
        <v>0</v>
      </c>
      <c r="I94">
        <f>SUMIFS(SAP貼り付け!AC:AC,SAP貼り付け!A:A,在庫確認!F:F)</f>
        <v>0</v>
      </c>
      <c r="J94" t="str">
        <f t="shared" si="102"/>
        <v/>
      </c>
      <c r="M94">
        <f>SUMIFS(購買計画one_note_貼り付け[数量],購買計画one_note_貼り付け[コード],在庫確認!$F:$F,購買計画one_note_貼り付け[IO],1)</f>
        <v>0</v>
      </c>
      <c r="N94">
        <f>SUMIFS(SAP貼り付け!AC:AC,SAP貼り付け!A:A,在庫確認!F:F)</f>
        <v>0</v>
      </c>
      <c r="O94">
        <f t="shared" si="81"/>
        <v>0</v>
      </c>
    </row>
    <row r="95" spans="1:15">
      <c r="M95">
        <f>SUMIFS(購買計画one_note_貼り付け[数量],購買計画one_note_貼り付け[コード],在庫確認!$F:$F,購買計画one_note_貼り付け[IO],1)</f>
        <v>0</v>
      </c>
      <c r="N95">
        <f>SUMIFS(SAP貼り付け!AC:AC,SAP貼り付け!A:A,在庫確認!F:F)</f>
        <v>0</v>
      </c>
      <c r="O95">
        <f t="shared" si="81"/>
        <v>0</v>
      </c>
    </row>
    <row r="96" spans="1:15" outlineLevel="1">
      <c r="A96" t="s">
        <v>9</v>
      </c>
      <c r="B96" t="s">
        <v>1672</v>
      </c>
      <c r="C96">
        <f t="shared" ref="C96:C159" si="103">D96+M96</f>
        <v>0</v>
      </c>
      <c r="D96">
        <f t="shared" ref="D96:D159" si="104">H96</f>
        <v>0</v>
      </c>
      <c r="F96">
        <v>199020</v>
      </c>
      <c r="G96" t="s">
        <v>233</v>
      </c>
      <c r="H96">
        <f>SUMIFS(SAP[在庫数量],SAP[品目],在庫確認!F:F)</f>
        <v>0</v>
      </c>
      <c r="I96">
        <f>SUMIFS(SAP貼り付け!AC:AC,SAP貼り付け!A:A,在庫確認!F:F)</f>
        <v>0</v>
      </c>
      <c r="J96" t="str">
        <f t="shared" ref="J96:J159" si="105">IFERROR(I96/H96,"")</f>
        <v/>
      </c>
      <c r="M96">
        <f>SUMIFS(購買計画one_note_貼り付け[数量],購買計画one_note_貼り付け[コード],在庫確認!$F:$F,購買計画one_note_貼り付け[IO],1)</f>
        <v>0</v>
      </c>
      <c r="N96">
        <f>SUMIFS(SAP貼り付け!AC:AC,SAP貼り付け!A:A,在庫確認!F:F)</f>
        <v>0</v>
      </c>
      <c r="O96">
        <f t="shared" si="81"/>
        <v>0</v>
      </c>
    </row>
    <row r="97" spans="1:15" outlineLevel="1">
      <c r="A97" t="s">
        <v>9</v>
      </c>
      <c r="B97" t="s">
        <v>2559</v>
      </c>
      <c r="C97">
        <f t="shared" si="103"/>
        <v>0</v>
      </c>
      <c r="D97">
        <f t="shared" si="104"/>
        <v>0</v>
      </c>
      <c r="E97" t="str">
        <f>IFERROR(D97/(#REF!/7*30),"")</f>
        <v/>
      </c>
      <c r="F97">
        <v>181639</v>
      </c>
      <c r="G97" t="s">
        <v>2560</v>
      </c>
      <c r="H97">
        <f>SUMIFS(SAP[在庫数量],SAP[品目],在庫確認!F:F)</f>
        <v>0</v>
      </c>
      <c r="I97">
        <f>SUMIFS(SAP貼り付け!AC:AC,SAP貼り付け!A:A,在庫確認!F:F)</f>
        <v>0</v>
      </c>
      <c r="J97" t="str">
        <f t="shared" si="105"/>
        <v/>
      </c>
      <c r="M97">
        <f>SUMIFS(購買計画one_note_貼り付け[数量],購買計画one_note_貼り付け[コード],在庫確認!$F:$F,購買計画one_note_貼り付け[IO],1)</f>
        <v>0</v>
      </c>
      <c r="N97">
        <f>SUMIFS(SAP貼り付け!AC:AC,SAP貼り付け!A:A,在庫確認!F:F)</f>
        <v>0</v>
      </c>
      <c r="O97">
        <f t="shared" si="81"/>
        <v>0</v>
      </c>
    </row>
    <row r="98" spans="1:15" outlineLevel="1">
      <c r="A98" t="s">
        <v>9</v>
      </c>
      <c r="B98" t="s">
        <v>2561</v>
      </c>
      <c r="C98">
        <f t="shared" si="103"/>
        <v>0</v>
      </c>
      <c r="D98">
        <f t="shared" si="104"/>
        <v>0</v>
      </c>
      <c r="E98" t="str">
        <f>IFERROR(D98/(#REF!/7*30),"")</f>
        <v/>
      </c>
      <c r="F98">
        <v>186237</v>
      </c>
      <c r="G98" t="s">
        <v>2562</v>
      </c>
      <c r="H98">
        <f>SUMIFS(SAP[在庫数量],SAP[品目],在庫確認!F:F)</f>
        <v>0</v>
      </c>
      <c r="I98">
        <f>SUMIFS(SAP貼り付け!AC:AC,SAP貼り付け!A:A,在庫確認!F:F)</f>
        <v>0</v>
      </c>
      <c r="J98" t="str">
        <f t="shared" si="105"/>
        <v/>
      </c>
      <c r="M98">
        <f>SUMIFS(購買計画one_note_貼り付け[数量],購買計画one_note_貼り付け[コード],在庫確認!$F:$F,購買計画one_note_貼り付け[IO],1)</f>
        <v>0</v>
      </c>
      <c r="N98">
        <f>SUMIFS(SAP貼り付け!AC:AC,SAP貼り付け!A:A,在庫確認!F:F)</f>
        <v>0</v>
      </c>
      <c r="O98">
        <f t="shared" si="81"/>
        <v>0</v>
      </c>
    </row>
    <row r="99" spans="1:15" outlineLevel="1">
      <c r="A99" t="s">
        <v>9</v>
      </c>
      <c r="B99" t="s">
        <v>2563</v>
      </c>
      <c r="C99">
        <f t="shared" si="103"/>
        <v>0</v>
      </c>
      <c r="D99">
        <f t="shared" si="104"/>
        <v>0</v>
      </c>
      <c r="E99" t="str">
        <f>IFERROR(D99/(#REF!/7*30),"")</f>
        <v/>
      </c>
      <c r="F99">
        <v>179159</v>
      </c>
      <c r="G99" t="s">
        <v>943</v>
      </c>
      <c r="H99">
        <f>SUMIFS(SAP[在庫数量],SAP[品目],在庫確認!F:F)</f>
        <v>0</v>
      </c>
      <c r="I99">
        <f>SUMIFS(SAP貼り付け!AC:AC,SAP貼り付け!A:A,在庫確認!F:F)</f>
        <v>0</v>
      </c>
      <c r="J99" t="str">
        <f t="shared" si="105"/>
        <v/>
      </c>
      <c r="M99">
        <f>SUMIFS(購買計画one_note_貼り付け[数量],購買計画one_note_貼り付け[コード],在庫確認!$F:$F,購買計画one_note_貼り付け[IO],1)</f>
        <v>0</v>
      </c>
      <c r="N99">
        <f>SUMIFS(SAP貼り付け!AC:AC,SAP貼り付け!A:A,在庫確認!F:F)</f>
        <v>0</v>
      </c>
      <c r="O99">
        <f t="shared" si="81"/>
        <v>0</v>
      </c>
    </row>
    <row r="100" spans="1:15" outlineLevel="1">
      <c r="A100" t="s">
        <v>9</v>
      </c>
      <c r="B100" t="s">
        <v>2564</v>
      </c>
      <c r="C100">
        <f t="shared" si="103"/>
        <v>0</v>
      </c>
      <c r="D100">
        <f t="shared" si="104"/>
        <v>0</v>
      </c>
      <c r="E100" t="str">
        <f>IFERROR(D100/(#REF!/7*30),"")</f>
        <v/>
      </c>
      <c r="F100">
        <v>179160</v>
      </c>
      <c r="G100" t="s">
        <v>287</v>
      </c>
      <c r="H100">
        <f>SUMIFS(SAP[在庫数量],SAP[品目],在庫確認!F:F)</f>
        <v>0</v>
      </c>
      <c r="I100">
        <f>SUMIFS(SAP貼り付け!AC:AC,SAP貼り付け!A:A,在庫確認!F:F)</f>
        <v>0</v>
      </c>
      <c r="J100" t="str">
        <f t="shared" si="105"/>
        <v/>
      </c>
      <c r="M100">
        <f>SUMIFS(購買計画one_note_貼り付け[数量],購買計画one_note_貼り付け[コード],在庫確認!$F:$F,購買計画one_note_貼り付け[IO],1)</f>
        <v>0</v>
      </c>
      <c r="N100">
        <f>SUMIFS(SAP貼り付け!AC:AC,SAP貼り付け!A:A,在庫確認!F:F)</f>
        <v>0</v>
      </c>
      <c r="O100">
        <f t="shared" si="81"/>
        <v>0</v>
      </c>
    </row>
    <row r="101" spans="1:15" outlineLevel="1">
      <c r="A101" t="s">
        <v>9</v>
      </c>
      <c r="B101" t="s">
        <v>1694</v>
      </c>
      <c r="C101">
        <f t="shared" si="103"/>
        <v>0</v>
      </c>
      <c r="D101">
        <f t="shared" si="104"/>
        <v>0</v>
      </c>
      <c r="E101" t="str">
        <f>IFERROR(D101/(#REF!/7*30),"")</f>
        <v/>
      </c>
      <c r="F101">
        <v>187688</v>
      </c>
      <c r="G101" t="s">
        <v>369</v>
      </c>
      <c r="H101">
        <f>SUMIFS(SAP[在庫数量],SAP[品目],在庫確認!F:F)</f>
        <v>0</v>
      </c>
      <c r="I101">
        <f>SUMIFS(SAP貼り付け!AC:AC,SAP貼り付け!A:A,在庫確認!F:F)</f>
        <v>0</v>
      </c>
      <c r="J101" t="str">
        <f t="shared" si="105"/>
        <v/>
      </c>
      <c r="M101">
        <f>SUMIFS(購買計画one_note_貼り付け[数量],購買計画one_note_貼り付け[コード],在庫確認!$F:$F,購買計画one_note_貼り付け[IO],1)</f>
        <v>0</v>
      </c>
      <c r="N101">
        <f>SUMIFS(SAP貼り付け!AC:AC,SAP貼り付け!A:A,在庫確認!F:F)</f>
        <v>0</v>
      </c>
      <c r="O101">
        <f t="shared" si="81"/>
        <v>0</v>
      </c>
    </row>
    <row r="102" spans="1:15" outlineLevel="1">
      <c r="A102" t="s">
        <v>9</v>
      </c>
      <c r="B102" t="s">
        <v>934</v>
      </c>
      <c r="C102">
        <f t="shared" si="103"/>
        <v>0</v>
      </c>
      <c r="D102">
        <f t="shared" si="104"/>
        <v>0</v>
      </c>
      <c r="E102" t="str">
        <f>IFERROR(D102/(#REF!/7*30),"")</f>
        <v/>
      </c>
      <c r="F102">
        <v>172640</v>
      </c>
      <c r="G102" t="s">
        <v>935</v>
      </c>
      <c r="H102">
        <f>SUMIFS(SAP[在庫数量],SAP[品目],在庫確認!F:F)</f>
        <v>0</v>
      </c>
      <c r="I102">
        <f>SUMIFS(SAP貼り付け!AC:AC,SAP貼り付け!A:A,在庫確認!F:F)</f>
        <v>0</v>
      </c>
      <c r="J102" t="str">
        <f t="shared" si="105"/>
        <v/>
      </c>
      <c r="M102">
        <f>SUMIFS(購買計画one_note_貼り付け[数量],購買計画one_note_貼り付け[コード],在庫確認!$F:$F,購買計画one_note_貼り付け[IO],1)</f>
        <v>0</v>
      </c>
      <c r="N102">
        <f>SUMIFS(SAP貼り付け!AC:AC,SAP貼り付け!A:A,在庫確認!F:F)</f>
        <v>0</v>
      </c>
      <c r="O102">
        <f t="shared" si="81"/>
        <v>0</v>
      </c>
    </row>
    <row r="103" spans="1:15" outlineLevel="1">
      <c r="A103" t="s">
        <v>9</v>
      </c>
      <c r="B103" t="s">
        <v>927</v>
      </c>
      <c r="C103">
        <f t="shared" si="103"/>
        <v>0</v>
      </c>
      <c r="D103">
        <f t="shared" si="104"/>
        <v>0</v>
      </c>
      <c r="E103" t="str">
        <f>IFERROR(D103/(#REF!/7*30),"")</f>
        <v/>
      </c>
      <c r="F103">
        <v>185414</v>
      </c>
      <c r="G103" t="s">
        <v>2565</v>
      </c>
      <c r="H103">
        <f>SUMIFS(SAP[在庫数量],SAP[品目],在庫確認!F:F)</f>
        <v>0</v>
      </c>
      <c r="I103">
        <f>SUMIFS(SAP貼り付け!AC:AC,SAP貼り付け!A:A,在庫確認!F:F)</f>
        <v>0</v>
      </c>
      <c r="J103" t="str">
        <f t="shared" si="105"/>
        <v/>
      </c>
      <c r="M103">
        <f>SUMIFS(購買計画one_note_貼り付け[数量],購買計画one_note_貼り付け[コード],在庫確認!$F:$F,購買計画one_note_貼り付け[IO],1)</f>
        <v>0</v>
      </c>
      <c r="N103">
        <f>SUMIFS(SAP貼り付け!AC:AC,SAP貼り付け!A:A,在庫確認!F:F)</f>
        <v>0</v>
      </c>
      <c r="O103">
        <f t="shared" si="81"/>
        <v>0</v>
      </c>
    </row>
    <row r="104" spans="1:15" outlineLevel="1">
      <c r="A104" t="s">
        <v>9</v>
      </c>
      <c r="B104" t="s">
        <v>920</v>
      </c>
      <c r="C104">
        <f t="shared" si="103"/>
        <v>0</v>
      </c>
      <c r="D104">
        <f t="shared" si="104"/>
        <v>0</v>
      </c>
      <c r="E104" t="str">
        <f>IFERROR(D104/(#REF!/7*30),"")</f>
        <v/>
      </c>
      <c r="F104">
        <v>185415</v>
      </c>
      <c r="G104" t="s">
        <v>2566</v>
      </c>
      <c r="H104">
        <f>SUMIFS(SAP[在庫数量],SAP[品目],在庫確認!F:F)</f>
        <v>0</v>
      </c>
      <c r="I104">
        <f>SUMIFS(SAP貼り付け!AC:AC,SAP貼り付け!A:A,在庫確認!F:F)</f>
        <v>0</v>
      </c>
      <c r="J104" t="str">
        <f t="shared" si="105"/>
        <v/>
      </c>
      <c r="M104">
        <f>SUMIFS(購買計画one_note_貼り付け[数量],購買計画one_note_貼り付け[コード],在庫確認!$F:$F,購買計画one_note_貼り付け[IO],1)</f>
        <v>0</v>
      </c>
      <c r="N104">
        <f>SUMIFS(SAP貼り付け!AC:AC,SAP貼り付け!A:A,在庫確認!F:F)</f>
        <v>0</v>
      </c>
      <c r="O104">
        <f t="shared" si="81"/>
        <v>0</v>
      </c>
    </row>
    <row r="105" spans="1:15" outlineLevel="1">
      <c r="A105" t="s">
        <v>9</v>
      </c>
      <c r="B105" t="s">
        <v>2567</v>
      </c>
      <c r="C105">
        <f t="shared" si="103"/>
        <v>0</v>
      </c>
      <c r="D105">
        <f t="shared" si="104"/>
        <v>0</v>
      </c>
      <c r="E105" t="str">
        <f>IFERROR(D105/(#REF!/7*30),"")</f>
        <v/>
      </c>
      <c r="F105">
        <v>185107</v>
      </c>
      <c r="G105" t="s">
        <v>2568</v>
      </c>
      <c r="H105">
        <f>SUMIFS(SAP[在庫数量],SAP[品目],在庫確認!F:F)</f>
        <v>0</v>
      </c>
      <c r="I105">
        <f>SUMIFS(SAP貼り付け!AC:AC,SAP貼り付け!A:A,在庫確認!F:F)</f>
        <v>0</v>
      </c>
      <c r="J105" t="str">
        <f t="shared" si="105"/>
        <v/>
      </c>
      <c r="M105">
        <f>SUMIFS(購買計画one_note_貼り付け[数量],購買計画one_note_貼り付け[コード],在庫確認!$F:$F,購買計画one_note_貼り付け[IO],1)</f>
        <v>0</v>
      </c>
      <c r="N105">
        <f>SUMIFS(SAP貼り付け!AC:AC,SAP貼り付け!A:A,在庫確認!F:F)</f>
        <v>0</v>
      </c>
      <c r="O105">
        <f t="shared" si="81"/>
        <v>0</v>
      </c>
    </row>
    <row r="106" spans="1:15" outlineLevel="1">
      <c r="A106" t="s">
        <v>9</v>
      </c>
      <c r="B106" t="s">
        <v>978</v>
      </c>
      <c r="C106">
        <f t="shared" si="103"/>
        <v>0</v>
      </c>
      <c r="D106">
        <f t="shared" si="104"/>
        <v>0</v>
      </c>
      <c r="E106" t="str">
        <f>IFERROR(D106/(#REF!/7*30),"")</f>
        <v/>
      </c>
      <c r="F106">
        <v>172648</v>
      </c>
      <c r="G106" t="s">
        <v>979</v>
      </c>
      <c r="H106">
        <f>SUMIFS(SAP[在庫数量],SAP[品目],在庫確認!F:F)</f>
        <v>0</v>
      </c>
      <c r="I106">
        <f>SUMIFS(SAP貼り付け!AC:AC,SAP貼り付け!A:A,在庫確認!F:F)</f>
        <v>0</v>
      </c>
      <c r="J106" t="str">
        <f t="shared" si="105"/>
        <v/>
      </c>
      <c r="M106">
        <f>SUMIFS(購買計画one_note_貼り付け[数量],購買計画one_note_貼り付け[コード],在庫確認!$F:$F,購買計画one_note_貼り付け[IO],1)</f>
        <v>0</v>
      </c>
      <c r="N106">
        <f>SUMIFS(SAP貼り付け!AC:AC,SAP貼り付け!A:A,在庫確認!F:F)</f>
        <v>0</v>
      </c>
      <c r="O106">
        <f t="shared" si="81"/>
        <v>0</v>
      </c>
    </row>
    <row r="107" spans="1:15" outlineLevel="1">
      <c r="A107" t="s">
        <v>9</v>
      </c>
      <c r="B107" t="s">
        <v>1692</v>
      </c>
      <c r="C107">
        <f t="shared" si="103"/>
        <v>0</v>
      </c>
      <c r="D107">
        <f t="shared" si="104"/>
        <v>0</v>
      </c>
      <c r="F107">
        <v>189169</v>
      </c>
      <c r="G107" t="s">
        <v>533</v>
      </c>
      <c r="H107">
        <f>SUMIFS(SAP[在庫数量],SAP[品目],在庫確認!F:F)</f>
        <v>0</v>
      </c>
      <c r="I107">
        <f>SUMIFS(SAP貼り付け!AC:AC,SAP貼り付け!A:A,在庫確認!F:F)</f>
        <v>0</v>
      </c>
      <c r="J107" t="str">
        <f t="shared" si="105"/>
        <v/>
      </c>
      <c r="M107">
        <f>SUMIFS(購買計画one_note_貼り付け[数量],購買計画one_note_貼り付け[コード],在庫確認!$F:$F,購買計画one_note_貼り付け[IO],1)</f>
        <v>0</v>
      </c>
      <c r="N107">
        <f>SUMIFS(SAP貼り付け!AC:AC,SAP貼り付け!A:A,在庫確認!F:F)</f>
        <v>0</v>
      </c>
      <c r="O107">
        <f t="shared" si="81"/>
        <v>0</v>
      </c>
    </row>
    <row r="108" spans="1:15" outlineLevel="1">
      <c r="A108" t="s">
        <v>9</v>
      </c>
      <c r="B108" t="s">
        <v>932</v>
      </c>
      <c r="C108">
        <f t="shared" si="103"/>
        <v>0</v>
      </c>
      <c r="D108">
        <f t="shared" si="104"/>
        <v>0</v>
      </c>
      <c r="E108" t="str">
        <f>IFERROR(D108/(#REF!/7*30),"")</f>
        <v/>
      </c>
      <c r="F108">
        <v>172639</v>
      </c>
      <c r="G108" t="s">
        <v>933</v>
      </c>
      <c r="H108">
        <f>SUMIFS(SAP[在庫数量],SAP[品目],在庫確認!F:F)</f>
        <v>0</v>
      </c>
      <c r="I108">
        <f>SUMIFS(SAP貼り付け!AC:AC,SAP貼り付け!A:A,在庫確認!F:F)</f>
        <v>0</v>
      </c>
      <c r="J108" t="str">
        <f t="shared" si="105"/>
        <v/>
      </c>
      <c r="M108">
        <f>SUMIFS(購買計画one_note_貼り付け[数量],購買計画one_note_貼り付け[コード],在庫確認!$F:$F,購買計画one_note_貼り付け[IO],1)</f>
        <v>0</v>
      </c>
      <c r="N108">
        <f>SUMIFS(SAP貼り付け!AC:AC,SAP貼り付け!A:A,在庫確認!F:F)</f>
        <v>0</v>
      </c>
      <c r="O108">
        <f t="shared" si="81"/>
        <v>0</v>
      </c>
    </row>
    <row r="109" spans="1:15" outlineLevel="1">
      <c r="A109" t="s">
        <v>9</v>
      </c>
      <c r="B109" t="s">
        <v>945</v>
      </c>
      <c r="C109">
        <f t="shared" si="103"/>
        <v>0</v>
      </c>
      <c r="D109">
        <f t="shared" si="104"/>
        <v>0</v>
      </c>
      <c r="E109" t="str">
        <f>IFERROR(D109/(#REF!/7*30),"")</f>
        <v/>
      </c>
      <c r="F109">
        <v>172641</v>
      </c>
      <c r="G109" t="s">
        <v>946</v>
      </c>
      <c r="H109">
        <f>SUMIFS(SAP[在庫数量],SAP[品目],在庫確認!F:F)</f>
        <v>0</v>
      </c>
      <c r="I109">
        <f>SUMIFS(SAP貼り付け!AC:AC,SAP貼り付け!A:A,在庫確認!F:F)</f>
        <v>0</v>
      </c>
      <c r="J109" t="str">
        <f t="shared" si="105"/>
        <v/>
      </c>
      <c r="M109">
        <f>SUMIFS(購買計画one_note_貼り付け[数量],購買計画one_note_貼り付け[コード],在庫確認!$F:$F,購買計画one_note_貼り付け[IO],1)</f>
        <v>0</v>
      </c>
      <c r="N109">
        <f>SUMIFS(SAP貼り付け!AC:AC,SAP貼り付け!A:A,在庫確認!F:F)</f>
        <v>0</v>
      </c>
      <c r="O109">
        <f t="shared" si="81"/>
        <v>0</v>
      </c>
    </row>
    <row r="110" spans="1:15" outlineLevel="1">
      <c r="A110" t="s">
        <v>9</v>
      </c>
      <c r="B110" t="s">
        <v>960</v>
      </c>
      <c r="C110">
        <f t="shared" si="103"/>
        <v>0</v>
      </c>
      <c r="D110">
        <f t="shared" si="104"/>
        <v>0</v>
      </c>
      <c r="E110" t="str">
        <f>IFERROR(D110/(#REF!/7*30),"")</f>
        <v/>
      </c>
      <c r="F110">
        <v>172905</v>
      </c>
      <c r="G110" t="s">
        <v>961</v>
      </c>
      <c r="H110">
        <f>SUMIFS(SAP[在庫数量],SAP[品目],在庫確認!F:F)</f>
        <v>0</v>
      </c>
      <c r="I110">
        <f>SUMIFS(SAP貼り付け!AC:AC,SAP貼り付け!A:A,在庫確認!F:F)</f>
        <v>0</v>
      </c>
      <c r="J110" t="str">
        <f t="shared" si="105"/>
        <v/>
      </c>
      <c r="M110">
        <f>SUMIFS(購買計画one_note_貼り付け[数量],購買計画one_note_貼り付け[コード],在庫確認!$F:$F,購買計画one_note_貼り付け[IO],1)</f>
        <v>0</v>
      </c>
      <c r="N110">
        <f>SUMIFS(SAP貼り付け!AC:AC,SAP貼り付け!A:A,在庫確認!F:F)</f>
        <v>0</v>
      </c>
      <c r="O110">
        <f t="shared" si="81"/>
        <v>0</v>
      </c>
    </row>
    <row r="111" spans="1:15" outlineLevel="1">
      <c r="A111" t="s">
        <v>9</v>
      </c>
      <c r="B111" t="s">
        <v>930</v>
      </c>
      <c r="C111">
        <f t="shared" si="103"/>
        <v>0</v>
      </c>
      <c r="D111">
        <f t="shared" si="104"/>
        <v>0</v>
      </c>
      <c r="E111" t="str">
        <f>IFERROR(D111/(#REF!/7*30),"")</f>
        <v/>
      </c>
      <c r="F111">
        <v>175492</v>
      </c>
      <c r="G111" t="s">
        <v>931</v>
      </c>
      <c r="H111">
        <f>SUMIFS(SAP[在庫数量],SAP[品目],在庫確認!F:F)</f>
        <v>0</v>
      </c>
      <c r="I111">
        <f>SUMIFS(SAP貼り付け!AC:AC,SAP貼り付け!A:A,在庫確認!F:F)</f>
        <v>0</v>
      </c>
      <c r="J111" t="str">
        <f t="shared" si="105"/>
        <v/>
      </c>
      <c r="M111">
        <f>SUMIFS(購買計画one_note_貼り付け[数量],購買計画one_note_貼り付け[コード],在庫確認!$F:$F,購買計画one_note_貼り付け[IO],1)</f>
        <v>0</v>
      </c>
      <c r="N111">
        <f>SUMIFS(SAP貼り付け!AC:AC,SAP貼り付け!A:A,在庫確認!F:F)</f>
        <v>0</v>
      </c>
      <c r="O111">
        <f t="shared" si="81"/>
        <v>0</v>
      </c>
    </row>
    <row r="112" spans="1:15" outlineLevel="1">
      <c r="A112" t="s">
        <v>9</v>
      </c>
      <c r="B112" t="s">
        <v>925</v>
      </c>
      <c r="C112">
        <f t="shared" si="103"/>
        <v>0</v>
      </c>
      <c r="D112">
        <f t="shared" si="104"/>
        <v>0</v>
      </c>
      <c r="E112" t="str">
        <f>IFERROR(D112/(#REF!/7*30),"")</f>
        <v/>
      </c>
      <c r="F112">
        <v>175493</v>
      </c>
      <c r="G112" t="s">
        <v>926</v>
      </c>
      <c r="H112">
        <f>SUMIFS(SAP[在庫数量],SAP[品目],在庫確認!F:F)</f>
        <v>0</v>
      </c>
      <c r="I112">
        <f>SUMIFS(SAP貼り付け!AC:AC,SAP貼り付け!A:A,在庫確認!F:F)</f>
        <v>0</v>
      </c>
      <c r="J112" t="str">
        <f t="shared" si="105"/>
        <v/>
      </c>
      <c r="M112">
        <f>SUMIFS(購買計画one_note_貼り付け[数量],購買計画one_note_貼り付け[コード],在庫確認!$F:$F,購買計画one_note_貼り付け[IO],1)</f>
        <v>0</v>
      </c>
      <c r="N112">
        <f>SUMIFS(SAP貼り付け!AC:AC,SAP貼り付け!A:A,在庫確認!F:F)</f>
        <v>0</v>
      </c>
      <c r="O112">
        <f t="shared" si="81"/>
        <v>0</v>
      </c>
    </row>
    <row r="113" spans="1:15" outlineLevel="1">
      <c r="A113" t="s">
        <v>9</v>
      </c>
      <c r="B113" t="s">
        <v>911</v>
      </c>
      <c r="C113">
        <f t="shared" si="103"/>
        <v>0</v>
      </c>
      <c r="D113">
        <f t="shared" si="104"/>
        <v>0</v>
      </c>
      <c r="E113" t="str">
        <f>IFERROR(D113/(#REF!/7*30),"")</f>
        <v/>
      </c>
      <c r="F113">
        <v>168015</v>
      </c>
      <c r="G113" t="s">
        <v>912</v>
      </c>
      <c r="H113">
        <f>SUMIFS(SAP[在庫数量],SAP[品目],在庫確認!F:F)</f>
        <v>0</v>
      </c>
      <c r="I113">
        <f>SUMIFS(SAP貼り付け!AC:AC,SAP貼り付け!A:A,在庫確認!F:F)</f>
        <v>0</v>
      </c>
      <c r="J113" t="str">
        <f t="shared" si="105"/>
        <v/>
      </c>
      <c r="M113">
        <f>SUMIFS(購買計画one_note_貼り付け[数量],購買計画one_note_貼り付け[コード],在庫確認!$F:$F,購買計画one_note_貼り付け[IO],1)</f>
        <v>0</v>
      </c>
      <c r="N113">
        <f>SUMIFS(SAP貼り付け!AC:AC,SAP貼り付け!A:A,在庫確認!F:F)</f>
        <v>0</v>
      </c>
      <c r="O113">
        <f t="shared" si="81"/>
        <v>0</v>
      </c>
    </row>
    <row r="114" spans="1:15" outlineLevel="1">
      <c r="A114" t="s">
        <v>9</v>
      </c>
      <c r="B114" t="s">
        <v>911</v>
      </c>
      <c r="C114">
        <f t="shared" si="103"/>
        <v>0</v>
      </c>
      <c r="D114">
        <f t="shared" si="104"/>
        <v>0</v>
      </c>
      <c r="E114" t="str">
        <f>IFERROR(D114/(#REF!/7*30),"")</f>
        <v/>
      </c>
      <c r="F114">
        <v>173422</v>
      </c>
      <c r="G114" t="s">
        <v>915</v>
      </c>
      <c r="H114">
        <f>SUMIFS(SAP[在庫数量],SAP[品目],在庫確認!F:F)</f>
        <v>0</v>
      </c>
      <c r="I114">
        <f>SUMIFS(SAP貼り付け!AC:AC,SAP貼り付け!A:A,在庫確認!F:F)</f>
        <v>0</v>
      </c>
      <c r="J114" t="str">
        <f t="shared" si="105"/>
        <v/>
      </c>
      <c r="M114">
        <f>SUMIFS(購買計画one_note_貼り付け[数量],購買計画one_note_貼り付け[コード],在庫確認!$F:$F,購買計画one_note_貼り付け[IO],1)</f>
        <v>0</v>
      </c>
      <c r="N114">
        <f>SUMIFS(SAP貼り付け!AC:AC,SAP貼り付け!A:A,在庫確認!F:F)</f>
        <v>0</v>
      </c>
      <c r="O114">
        <f t="shared" si="81"/>
        <v>0</v>
      </c>
    </row>
    <row r="115" spans="1:15" outlineLevel="1">
      <c r="A115" t="s">
        <v>9</v>
      </c>
      <c r="B115" t="s">
        <v>916</v>
      </c>
      <c r="C115">
        <f t="shared" si="103"/>
        <v>0</v>
      </c>
      <c r="D115">
        <f t="shared" si="104"/>
        <v>0</v>
      </c>
      <c r="E115" t="str">
        <f>IFERROR(D115/(#REF!/7*30),"")</f>
        <v/>
      </c>
      <c r="F115">
        <v>168016</v>
      </c>
      <c r="G115" t="s">
        <v>917</v>
      </c>
      <c r="H115">
        <f>SUMIFS(SAP[在庫数量],SAP[品目],在庫確認!F:F)</f>
        <v>0</v>
      </c>
      <c r="I115">
        <f>SUMIFS(SAP貼り付け!AC:AC,SAP貼り付け!A:A,在庫確認!F:F)</f>
        <v>0</v>
      </c>
      <c r="J115" t="str">
        <f t="shared" si="105"/>
        <v/>
      </c>
      <c r="M115">
        <f>SUMIFS(購買計画one_note_貼り付け[数量],購買計画one_note_貼り付け[コード],在庫確認!$F:$F,購買計画one_note_貼り付け[IO],1)</f>
        <v>0</v>
      </c>
      <c r="N115">
        <f>SUMIFS(SAP貼り付け!AC:AC,SAP貼り付け!A:A,在庫確認!F:F)</f>
        <v>0</v>
      </c>
      <c r="O115">
        <f t="shared" si="81"/>
        <v>0</v>
      </c>
    </row>
    <row r="116" spans="1:15" outlineLevel="1">
      <c r="A116" t="s">
        <v>9</v>
      </c>
      <c r="B116" t="s">
        <v>916</v>
      </c>
      <c r="C116">
        <f t="shared" si="103"/>
        <v>0</v>
      </c>
      <c r="D116">
        <f t="shared" si="104"/>
        <v>0</v>
      </c>
      <c r="E116" t="str">
        <f>IFERROR(D116/(#REF!/7*30),"")</f>
        <v/>
      </c>
      <c r="F116">
        <v>173420</v>
      </c>
      <c r="G116" t="s">
        <v>918</v>
      </c>
      <c r="H116">
        <f>SUMIFS(SAP[在庫数量],SAP[品目],在庫確認!F:F)</f>
        <v>0</v>
      </c>
      <c r="I116">
        <f>SUMIFS(SAP貼り付け!AC:AC,SAP貼り付け!A:A,在庫確認!F:F)</f>
        <v>0</v>
      </c>
      <c r="J116" t="str">
        <f t="shared" si="105"/>
        <v/>
      </c>
      <c r="M116">
        <f>SUMIFS(購買計画one_note_貼り付け[数量],購買計画one_note_貼り付け[コード],在庫確認!$F:$F,購買計画one_note_貼り付け[IO],1)</f>
        <v>0</v>
      </c>
      <c r="N116">
        <f>SUMIFS(SAP貼り付け!AC:AC,SAP貼り付け!A:A,在庫確認!F:F)</f>
        <v>0</v>
      </c>
      <c r="O116">
        <f t="shared" si="81"/>
        <v>0</v>
      </c>
    </row>
    <row r="117" spans="1:15" outlineLevel="1">
      <c r="A117" t="s">
        <v>9</v>
      </c>
      <c r="B117" t="s">
        <v>948</v>
      </c>
      <c r="C117">
        <f t="shared" si="103"/>
        <v>0</v>
      </c>
      <c r="D117">
        <f t="shared" si="104"/>
        <v>0</v>
      </c>
      <c r="E117" t="str">
        <f>IFERROR(D117/(#REF!/7*30),"")</f>
        <v/>
      </c>
      <c r="F117">
        <v>169729</v>
      </c>
      <c r="G117" t="s">
        <v>949</v>
      </c>
      <c r="H117">
        <f>SUMIFS(SAP[在庫数量],SAP[品目],在庫確認!F:F)</f>
        <v>0</v>
      </c>
      <c r="I117">
        <f>SUMIFS(SAP貼り付け!AC:AC,SAP貼り付け!A:A,在庫確認!F:F)</f>
        <v>0</v>
      </c>
      <c r="J117" t="str">
        <f t="shared" si="105"/>
        <v/>
      </c>
      <c r="M117">
        <f>SUMIFS(購買計画one_note_貼り付け[数量],購買計画one_note_貼り付け[コード],在庫確認!$F:$F,購買計画one_note_貼り付け[IO],1)</f>
        <v>0</v>
      </c>
      <c r="N117">
        <f>SUMIFS(SAP貼り付け!AC:AC,SAP貼り付け!A:A,在庫確認!F:F)</f>
        <v>0</v>
      </c>
      <c r="O117">
        <f t="shared" si="81"/>
        <v>0</v>
      </c>
    </row>
    <row r="118" spans="1:15" outlineLevel="1">
      <c r="A118" t="s">
        <v>9</v>
      </c>
      <c r="B118" t="s">
        <v>966</v>
      </c>
      <c r="C118">
        <f t="shared" si="103"/>
        <v>0</v>
      </c>
      <c r="D118">
        <f t="shared" si="104"/>
        <v>0</v>
      </c>
      <c r="E118" t="str">
        <f>IFERROR(D118/(#REF!/7*30),"")</f>
        <v/>
      </c>
      <c r="F118">
        <v>168356</v>
      </c>
      <c r="G118" t="s">
        <v>967</v>
      </c>
      <c r="H118">
        <f>SUMIFS(SAP[在庫数量],SAP[品目],在庫確認!F:F)</f>
        <v>0</v>
      </c>
      <c r="I118">
        <f>SUMIFS(SAP貼り付け!AC:AC,SAP貼り付け!A:A,在庫確認!F:F)</f>
        <v>0</v>
      </c>
      <c r="J118" t="str">
        <f t="shared" si="105"/>
        <v/>
      </c>
      <c r="M118">
        <f>SUMIFS(購買計画one_note_貼り付け[数量],購買計画one_note_貼り付け[コード],在庫確認!$F:$F,購買計画one_note_貼り付け[IO],1)</f>
        <v>0</v>
      </c>
      <c r="N118">
        <f>SUMIFS(SAP貼り付け!AC:AC,SAP貼り付け!A:A,在庫確認!F:F)</f>
        <v>0</v>
      </c>
      <c r="O118">
        <f t="shared" si="81"/>
        <v>0</v>
      </c>
    </row>
    <row r="119" spans="1:15" outlineLevel="1">
      <c r="A119" t="s">
        <v>9</v>
      </c>
      <c r="B119" t="s">
        <v>966</v>
      </c>
      <c r="C119">
        <f t="shared" si="103"/>
        <v>0</v>
      </c>
      <c r="D119">
        <f t="shared" si="104"/>
        <v>0</v>
      </c>
      <c r="E119" t="str">
        <f>IFERROR(D119/(#REF!/7*30),"")</f>
        <v/>
      </c>
      <c r="F119">
        <v>169817</v>
      </c>
      <c r="G119" t="s">
        <v>970</v>
      </c>
      <c r="H119">
        <f>SUMIFS(SAP[在庫数量],SAP[品目],在庫確認!F:F)</f>
        <v>0</v>
      </c>
      <c r="I119">
        <f>SUMIFS(SAP貼り付け!AC:AC,SAP貼り付け!A:A,在庫確認!F:F)</f>
        <v>0</v>
      </c>
      <c r="J119" t="str">
        <f t="shared" si="105"/>
        <v/>
      </c>
      <c r="M119">
        <f>SUMIFS(購買計画one_note_貼り付け[数量],購買計画one_note_貼り付け[コード],在庫確認!$F:$F,購買計画one_note_貼り付け[IO],1)</f>
        <v>0</v>
      </c>
      <c r="N119">
        <f>SUMIFS(SAP貼り付け!AC:AC,SAP貼り付け!A:A,在庫確認!F:F)</f>
        <v>0</v>
      </c>
      <c r="O119">
        <f t="shared" si="81"/>
        <v>0</v>
      </c>
    </row>
    <row r="120" spans="1:15" outlineLevel="1">
      <c r="A120" t="s">
        <v>9</v>
      </c>
      <c r="B120" t="s">
        <v>971</v>
      </c>
      <c r="C120">
        <f t="shared" si="103"/>
        <v>0</v>
      </c>
      <c r="D120">
        <f t="shared" si="104"/>
        <v>0</v>
      </c>
      <c r="E120" t="str">
        <f>IFERROR(D120/(#REF!/7*30),"")</f>
        <v/>
      </c>
      <c r="F120">
        <v>168357</v>
      </c>
      <c r="G120" t="s">
        <v>972</v>
      </c>
      <c r="H120">
        <f>SUMIFS(SAP[在庫数量],SAP[品目],在庫確認!F:F)</f>
        <v>0</v>
      </c>
      <c r="I120">
        <f>SUMIFS(SAP貼り付け!AC:AC,SAP貼り付け!A:A,在庫確認!F:F)</f>
        <v>0</v>
      </c>
      <c r="J120" t="str">
        <f t="shared" si="105"/>
        <v/>
      </c>
      <c r="M120">
        <f>SUMIFS(購買計画one_note_貼り付け[数量],購買計画one_note_貼り付け[コード],在庫確認!$F:$F,購買計画one_note_貼り付け[IO],1)</f>
        <v>0</v>
      </c>
      <c r="N120">
        <f>SUMIFS(SAP貼り付け!AC:AC,SAP貼り付け!A:A,在庫確認!F:F)</f>
        <v>0</v>
      </c>
      <c r="O120">
        <f t="shared" si="81"/>
        <v>0</v>
      </c>
    </row>
    <row r="121" spans="1:15" outlineLevel="1">
      <c r="A121" t="s">
        <v>9</v>
      </c>
      <c r="B121" t="s">
        <v>971</v>
      </c>
      <c r="C121">
        <f t="shared" si="103"/>
        <v>0</v>
      </c>
      <c r="D121">
        <f t="shared" si="104"/>
        <v>0</v>
      </c>
      <c r="E121" t="str">
        <f>IFERROR(D121/(#REF!/7*30),"")</f>
        <v/>
      </c>
      <c r="F121">
        <v>169814</v>
      </c>
      <c r="G121" t="s">
        <v>974</v>
      </c>
      <c r="H121">
        <f>SUMIFS(SAP[在庫数量],SAP[品目],在庫確認!F:F)</f>
        <v>0</v>
      </c>
      <c r="I121">
        <f>SUMIFS(SAP貼り付け!AC:AC,SAP貼り付け!A:A,在庫確認!F:F)</f>
        <v>0</v>
      </c>
      <c r="J121" t="str">
        <f t="shared" si="105"/>
        <v/>
      </c>
      <c r="M121">
        <f>SUMIFS(購買計画one_note_貼り付け[数量],購買計画one_note_貼り付け[コード],在庫確認!$F:$F,購買計画one_note_貼り付け[IO],1)</f>
        <v>0</v>
      </c>
      <c r="N121">
        <f>SUMIFS(SAP貼り付け!AC:AC,SAP貼り付け!A:A,在庫確認!F:F)</f>
        <v>0</v>
      </c>
      <c r="O121">
        <f t="shared" si="81"/>
        <v>0</v>
      </c>
    </row>
    <row r="122" spans="1:15" outlineLevel="1">
      <c r="A122" t="s">
        <v>9</v>
      </c>
      <c r="B122" t="s">
        <v>975</v>
      </c>
      <c r="C122">
        <f t="shared" si="103"/>
        <v>0</v>
      </c>
      <c r="D122">
        <f t="shared" si="104"/>
        <v>0</v>
      </c>
      <c r="E122" t="str">
        <f>IFERROR(D122/(#REF!/7*30),"")</f>
        <v/>
      </c>
      <c r="F122">
        <v>168358</v>
      </c>
      <c r="G122" t="s">
        <v>976</v>
      </c>
      <c r="H122">
        <f>SUMIFS(SAP[在庫数量],SAP[品目],在庫確認!F:F)</f>
        <v>0</v>
      </c>
      <c r="I122">
        <f>SUMIFS(SAP貼り付け!AC:AC,SAP貼り付け!A:A,在庫確認!F:F)</f>
        <v>0</v>
      </c>
      <c r="J122" t="str">
        <f t="shared" si="105"/>
        <v/>
      </c>
      <c r="M122">
        <f>SUMIFS(購買計画one_note_貼り付け[数量],購買計画one_note_貼り付け[コード],在庫確認!$F:$F,購買計画one_note_貼り付け[IO],1)</f>
        <v>0</v>
      </c>
      <c r="N122">
        <f>SUMIFS(SAP貼り付け!AC:AC,SAP貼り付け!A:A,在庫確認!F:F)</f>
        <v>0</v>
      </c>
      <c r="O122">
        <f t="shared" si="81"/>
        <v>0</v>
      </c>
    </row>
    <row r="123" spans="1:15" outlineLevel="1">
      <c r="A123" t="s">
        <v>9</v>
      </c>
      <c r="B123" t="s">
        <v>975</v>
      </c>
      <c r="C123">
        <f t="shared" si="103"/>
        <v>0</v>
      </c>
      <c r="D123">
        <f t="shared" si="104"/>
        <v>0</v>
      </c>
      <c r="E123" t="str">
        <f>IFERROR(D123/(#REF!/7*30),"")</f>
        <v/>
      </c>
      <c r="F123">
        <v>169818</v>
      </c>
      <c r="G123" t="s">
        <v>977</v>
      </c>
      <c r="H123">
        <f>SUMIFS(SAP[在庫数量],SAP[品目],在庫確認!F:F)</f>
        <v>0</v>
      </c>
      <c r="I123">
        <f>SUMIFS(SAP貼り付け!AC:AC,SAP貼り付け!A:A,在庫確認!F:F)</f>
        <v>0</v>
      </c>
      <c r="J123" t="str">
        <f t="shared" si="105"/>
        <v/>
      </c>
      <c r="M123">
        <f>SUMIFS(購買計画one_note_貼り付け[数量],購買計画one_note_貼り付け[コード],在庫確認!$F:$F,購買計画one_note_貼り付け[IO],1)</f>
        <v>0</v>
      </c>
      <c r="N123">
        <f>SUMIFS(SAP貼り付け!AC:AC,SAP貼り付け!A:A,在庫確認!F:F)</f>
        <v>0</v>
      </c>
      <c r="O123">
        <f t="shared" si="81"/>
        <v>0</v>
      </c>
    </row>
    <row r="124" spans="1:15" outlineLevel="1">
      <c r="A124" t="s">
        <v>9</v>
      </c>
      <c r="B124" t="s">
        <v>936</v>
      </c>
      <c r="C124">
        <f t="shared" si="103"/>
        <v>0</v>
      </c>
      <c r="D124">
        <f t="shared" si="104"/>
        <v>0</v>
      </c>
      <c r="E124" t="str">
        <f>IFERROR(D124/(#REF!/7*30),"")</f>
        <v/>
      </c>
      <c r="F124">
        <v>166262</v>
      </c>
      <c r="G124" t="s">
        <v>937</v>
      </c>
      <c r="H124">
        <f>SUMIFS(SAP[在庫数量],SAP[品目],在庫確認!F:F)</f>
        <v>0</v>
      </c>
      <c r="I124">
        <f>SUMIFS(SAP貼り付け!AC:AC,SAP貼り付け!A:A,在庫確認!F:F)</f>
        <v>0</v>
      </c>
      <c r="J124" t="str">
        <f t="shared" si="105"/>
        <v/>
      </c>
      <c r="M124">
        <f>SUMIFS(購買計画one_note_貼り付け[数量],購買計画one_note_貼り付け[コード],在庫確認!$F:$F,購買計画one_note_貼り付け[IO],1)</f>
        <v>0</v>
      </c>
      <c r="N124">
        <f>SUMIFS(SAP貼り付け!AC:AC,SAP貼り付け!A:A,在庫確認!F:F)</f>
        <v>0</v>
      </c>
      <c r="O124">
        <f t="shared" si="81"/>
        <v>0</v>
      </c>
    </row>
    <row r="125" spans="1:15" outlineLevel="1">
      <c r="A125" t="s">
        <v>9</v>
      </c>
      <c r="B125" t="s">
        <v>939</v>
      </c>
      <c r="C125">
        <f t="shared" si="103"/>
        <v>0</v>
      </c>
      <c r="D125">
        <f t="shared" si="104"/>
        <v>0</v>
      </c>
      <c r="E125" t="str">
        <f>IFERROR(D125/(#REF!/7*30),"")</f>
        <v/>
      </c>
      <c r="F125">
        <v>169366</v>
      </c>
      <c r="G125" t="s">
        <v>940</v>
      </c>
      <c r="H125">
        <f>SUMIFS(SAP[在庫数量],SAP[品目],在庫確認!F:F)</f>
        <v>0</v>
      </c>
      <c r="I125">
        <f>SUMIFS(SAP貼り付け!AC:AC,SAP貼り付け!A:A,在庫確認!F:F)</f>
        <v>0</v>
      </c>
      <c r="J125" t="str">
        <f t="shared" si="105"/>
        <v/>
      </c>
      <c r="M125">
        <f>SUMIFS(購買計画one_note_貼り付け[数量],購買計画one_note_貼り付け[コード],在庫確認!$F:$F,購買計画one_note_貼り付け[IO],1)</f>
        <v>0</v>
      </c>
      <c r="N125">
        <f>SUMIFS(SAP貼り付け!AC:AC,SAP貼り付け!A:A,在庫確認!F:F)</f>
        <v>0</v>
      </c>
      <c r="O125">
        <f t="shared" si="81"/>
        <v>0</v>
      </c>
    </row>
    <row r="126" spans="1:15" outlineLevel="1">
      <c r="A126" t="s">
        <v>9</v>
      </c>
      <c r="B126" t="s">
        <v>957</v>
      </c>
      <c r="C126">
        <f t="shared" si="103"/>
        <v>0</v>
      </c>
      <c r="D126">
        <f t="shared" si="104"/>
        <v>0</v>
      </c>
      <c r="E126" t="str">
        <f>IFERROR(D126/(#REF!/7*30),"")</f>
        <v/>
      </c>
      <c r="F126">
        <v>170326</v>
      </c>
      <c r="G126" t="s">
        <v>958</v>
      </c>
      <c r="H126">
        <f>SUMIFS(SAP[在庫数量],SAP[品目],在庫確認!F:F)</f>
        <v>0</v>
      </c>
      <c r="I126">
        <f>SUMIFS(SAP貼り付け!AC:AC,SAP貼り付け!A:A,在庫確認!F:F)</f>
        <v>0</v>
      </c>
      <c r="J126" t="str">
        <f t="shared" si="105"/>
        <v/>
      </c>
      <c r="M126">
        <f>SUMIFS(購買計画one_note_貼り付け[数量],購買計画one_note_貼り付け[コード],在庫確認!$F:$F,購買計画one_note_貼り付け[IO],1)</f>
        <v>0</v>
      </c>
      <c r="N126">
        <f>SUMIFS(SAP貼り付け!AC:AC,SAP貼り付け!A:A,在庫確認!F:F)</f>
        <v>0</v>
      </c>
      <c r="O126">
        <f t="shared" si="81"/>
        <v>0</v>
      </c>
    </row>
    <row r="127" spans="1:15" outlineLevel="1">
      <c r="A127" t="s">
        <v>9</v>
      </c>
      <c r="C127">
        <f t="shared" si="103"/>
        <v>0</v>
      </c>
      <c r="D127">
        <f t="shared" si="104"/>
        <v>0</v>
      </c>
      <c r="F127">
        <v>163975</v>
      </c>
      <c r="G127" t="s">
        <v>2569</v>
      </c>
      <c r="H127">
        <f>SUMIFS(SAP[在庫数量],SAP[品目],在庫確認!F:F)</f>
        <v>0</v>
      </c>
      <c r="I127">
        <f>SUMIFS(SAP貼り付け!AC:AC,SAP貼り付け!A:A,在庫確認!F:F)</f>
        <v>0</v>
      </c>
      <c r="J127" t="str">
        <f t="shared" si="105"/>
        <v/>
      </c>
      <c r="M127">
        <f>SUMIFS(購買計画one_note_貼り付け[数量],購買計画one_note_貼り付け[コード],在庫確認!$F:$F,購買計画one_note_貼り付け[IO],1)</f>
        <v>0</v>
      </c>
      <c r="N127">
        <f>SUMIFS(SAP貼り付け!AC:AC,SAP貼り付け!A:A,在庫確認!F:F)</f>
        <v>0</v>
      </c>
      <c r="O127">
        <f t="shared" si="81"/>
        <v>0</v>
      </c>
    </row>
    <row r="128" spans="1:15" outlineLevel="1">
      <c r="A128" t="s">
        <v>9</v>
      </c>
      <c r="C128">
        <f t="shared" si="103"/>
        <v>0</v>
      </c>
      <c r="D128">
        <f t="shared" si="104"/>
        <v>0</v>
      </c>
      <c r="E128" t="str">
        <f>IFERROR(D128/(#REF!/7*30),"")</f>
        <v/>
      </c>
      <c r="F128">
        <v>168355</v>
      </c>
      <c r="G128" t="s">
        <v>981</v>
      </c>
      <c r="H128">
        <f>SUMIFS(SAP[在庫数量],SAP[品目],在庫確認!F:F)</f>
        <v>0</v>
      </c>
      <c r="I128">
        <f>SUMIFS(SAP貼り付け!AC:AC,SAP貼り付け!A:A,在庫確認!F:F)</f>
        <v>0</v>
      </c>
      <c r="J128" t="str">
        <f t="shared" si="105"/>
        <v/>
      </c>
      <c r="M128">
        <f>SUMIFS(購買計画one_note_貼り付け[数量],購買計画one_note_貼り付け[コード],在庫確認!$F:$F,購買計画one_note_貼り付け[IO],1)</f>
        <v>0</v>
      </c>
      <c r="N128">
        <f>SUMIFS(SAP貼り付け!AC:AC,SAP貼り付け!A:A,在庫確認!F:F)</f>
        <v>0</v>
      </c>
      <c r="O128">
        <f t="shared" si="81"/>
        <v>0</v>
      </c>
    </row>
    <row r="129" spans="1:15" outlineLevel="1">
      <c r="A129" t="s">
        <v>9</v>
      </c>
      <c r="C129">
        <f t="shared" si="103"/>
        <v>0</v>
      </c>
      <c r="D129">
        <f t="shared" si="104"/>
        <v>0</v>
      </c>
      <c r="E129" t="str">
        <f>IFERROR(D129/(#REF!/7*30),"")</f>
        <v/>
      </c>
      <c r="F129">
        <v>167583</v>
      </c>
      <c r="G129" t="s">
        <v>955</v>
      </c>
      <c r="H129">
        <f>SUMIFS(SAP[在庫数量],SAP[品目],在庫確認!F:F)</f>
        <v>0</v>
      </c>
      <c r="I129">
        <f>SUMIFS(SAP貼り付け!AC:AC,SAP貼り付け!A:A,在庫確認!F:F)</f>
        <v>0</v>
      </c>
      <c r="J129" t="str">
        <f t="shared" si="105"/>
        <v/>
      </c>
      <c r="M129">
        <f>SUMIFS(購買計画one_note_貼り付け[数量],購買計画one_note_貼り付け[コード],在庫確認!$F:$F,購買計画one_note_貼り付け[IO],1)</f>
        <v>0</v>
      </c>
      <c r="N129">
        <f>SUMIFS(SAP貼り付け!AC:AC,SAP貼り付け!A:A,在庫確認!F:F)</f>
        <v>0</v>
      </c>
      <c r="O129">
        <f t="shared" si="81"/>
        <v>0</v>
      </c>
    </row>
    <row r="130" spans="1:15" outlineLevel="1">
      <c r="A130" t="s">
        <v>9</v>
      </c>
      <c r="C130">
        <f t="shared" si="103"/>
        <v>0</v>
      </c>
      <c r="D130">
        <f t="shared" si="104"/>
        <v>0</v>
      </c>
      <c r="E130" t="str">
        <f>IFERROR(D130/(#REF!/7*30),"")</f>
        <v/>
      </c>
      <c r="F130">
        <v>166260</v>
      </c>
      <c r="G130" t="s">
        <v>951</v>
      </c>
      <c r="H130">
        <f>SUMIFS(SAP[在庫数量],SAP[品目],在庫確認!F:F)</f>
        <v>0</v>
      </c>
      <c r="I130">
        <f>SUMIFS(SAP貼り付け!AC:AC,SAP貼り付け!A:A,在庫確認!F:F)</f>
        <v>0</v>
      </c>
      <c r="J130" t="str">
        <f t="shared" si="105"/>
        <v/>
      </c>
      <c r="M130">
        <f>SUMIFS(購買計画one_note_貼り付け[数量],購買計画one_note_貼り付け[コード],在庫確認!$F:$F,購買計画one_note_貼り付け[IO],1)</f>
        <v>0</v>
      </c>
      <c r="N130">
        <f>SUMIFS(SAP貼り付け!AC:AC,SAP貼り付け!A:A,在庫確認!F:F)</f>
        <v>0</v>
      </c>
      <c r="O130">
        <f t="shared" si="81"/>
        <v>0</v>
      </c>
    </row>
    <row r="131" spans="1:15" outlineLevel="1">
      <c r="A131" t="s">
        <v>2523</v>
      </c>
      <c r="B131" t="s">
        <v>1414</v>
      </c>
      <c r="C131">
        <f t="shared" si="103"/>
        <v>0</v>
      </c>
      <c r="D131">
        <f t="shared" si="104"/>
        <v>0</v>
      </c>
      <c r="F131">
        <v>193201</v>
      </c>
      <c r="G131" t="s">
        <v>543</v>
      </c>
      <c r="H131">
        <f>SUMIFS(SAP[在庫数量],SAP[品目],在庫確認!F:F)</f>
        <v>0</v>
      </c>
      <c r="I131">
        <f>SUMIFS(SAP貼り付け!AC:AC,SAP貼り付け!A:A,在庫確認!F:F)</f>
        <v>0</v>
      </c>
      <c r="J131" t="str">
        <f t="shared" si="105"/>
        <v/>
      </c>
      <c r="M131">
        <f>SUMIFS(購買計画one_note_貼り付け[数量],購買計画one_note_貼り付け[コード],在庫確認!$F:$F,購買計画one_note_貼り付け[IO],1)</f>
        <v>0</v>
      </c>
      <c r="N131">
        <f>SUMIFS(SAP貼り付け!AC:AC,SAP貼り付け!A:A,在庫確認!F:F)</f>
        <v>0</v>
      </c>
      <c r="O131">
        <f t="shared" si="81"/>
        <v>0</v>
      </c>
    </row>
    <row r="132" spans="1:15" outlineLevel="1">
      <c r="A132" t="s">
        <v>2523</v>
      </c>
      <c r="B132" t="s">
        <v>613</v>
      </c>
      <c r="C132">
        <f t="shared" si="103"/>
        <v>0</v>
      </c>
      <c r="D132">
        <f t="shared" si="104"/>
        <v>0</v>
      </c>
      <c r="E132" t="str">
        <f>IFERROR(D132/(#REF!/7*30),"")</f>
        <v/>
      </c>
      <c r="F132">
        <v>174619</v>
      </c>
      <c r="G132" t="s">
        <v>614</v>
      </c>
      <c r="H132">
        <f>SUMIFS(SAP[在庫数量],SAP[品目],在庫確認!F:F)</f>
        <v>0</v>
      </c>
      <c r="I132">
        <f>SUMIFS(SAP貼り付け!AC:AC,SAP貼り付け!A:A,在庫確認!F:F)</f>
        <v>0</v>
      </c>
      <c r="J132" t="str">
        <f t="shared" si="105"/>
        <v/>
      </c>
      <c r="M132">
        <f>SUMIFS(購買計画one_note_貼り付け[数量],購買計画one_note_貼り付け[コード],在庫確認!$F:$F,購買計画one_note_貼り付け[IO],1)</f>
        <v>0</v>
      </c>
      <c r="N132">
        <f>SUMIFS(SAP貼り付け!AC:AC,SAP貼り付け!A:A,在庫確認!F:F)</f>
        <v>0</v>
      </c>
      <c r="O132">
        <f t="shared" si="81"/>
        <v>0</v>
      </c>
    </row>
    <row r="133" spans="1:15" outlineLevel="1">
      <c r="A133" t="s">
        <v>2523</v>
      </c>
      <c r="B133" t="s">
        <v>666</v>
      </c>
      <c r="C133">
        <f t="shared" si="103"/>
        <v>0</v>
      </c>
      <c r="D133">
        <f t="shared" si="104"/>
        <v>0</v>
      </c>
      <c r="E133" t="str">
        <f>IFERROR(D133/(#REF!/7*30),"")</f>
        <v/>
      </c>
      <c r="F133">
        <v>174620</v>
      </c>
      <c r="G133" t="s">
        <v>667</v>
      </c>
      <c r="H133">
        <f>SUMIFS(SAP[在庫数量],SAP[品目],在庫確認!F:F)</f>
        <v>0</v>
      </c>
      <c r="I133">
        <f>SUMIFS(SAP貼り付け!AC:AC,SAP貼り付け!A:A,在庫確認!F:F)</f>
        <v>0</v>
      </c>
      <c r="J133" t="str">
        <f t="shared" si="105"/>
        <v/>
      </c>
      <c r="M133">
        <f>SUMIFS(購買計画one_note_貼り付け[数量],購買計画one_note_貼り付け[コード],在庫確認!$F:$F,購買計画one_note_貼り付け[IO],1)</f>
        <v>0</v>
      </c>
      <c r="N133">
        <f>SUMIFS(SAP貼り付け!AC:AC,SAP貼り付け!A:A,在庫確認!F:F)</f>
        <v>0</v>
      </c>
      <c r="O133">
        <f t="shared" ref="O133:O196" si="106">H133+M133</f>
        <v>0</v>
      </c>
    </row>
    <row r="134" spans="1:15" outlineLevel="1">
      <c r="A134" t="s">
        <v>2523</v>
      </c>
      <c r="B134" t="s">
        <v>881</v>
      </c>
      <c r="C134">
        <f t="shared" si="103"/>
        <v>0</v>
      </c>
      <c r="D134">
        <f t="shared" si="104"/>
        <v>0</v>
      </c>
      <c r="E134" t="str">
        <f>IFERROR(D134/(#REF!/7*30),"")</f>
        <v/>
      </c>
      <c r="F134">
        <v>169043</v>
      </c>
      <c r="G134" t="s">
        <v>882</v>
      </c>
      <c r="H134">
        <f>SUMIFS(SAP[在庫数量],SAP[品目],在庫確認!F:F)</f>
        <v>0</v>
      </c>
      <c r="I134">
        <f>SUMIFS(SAP貼り付け!AC:AC,SAP貼り付け!A:A,在庫確認!F:F)</f>
        <v>0</v>
      </c>
      <c r="J134" t="str">
        <f t="shared" si="105"/>
        <v/>
      </c>
      <c r="M134">
        <f>SUMIFS(購買計画one_note_貼り付け[数量],購買計画one_note_貼り付け[コード],在庫確認!$F:$F,購買計画one_note_貼り付け[IO],1)</f>
        <v>0</v>
      </c>
      <c r="N134">
        <f>SUMIFS(SAP貼り付け!AC:AC,SAP貼り付け!A:A,在庫確認!F:F)</f>
        <v>0</v>
      </c>
      <c r="O134">
        <f t="shared" si="106"/>
        <v>0</v>
      </c>
    </row>
    <row r="135" spans="1:15" outlineLevel="1">
      <c r="A135" t="s">
        <v>2523</v>
      </c>
      <c r="B135" t="s">
        <v>883</v>
      </c>
      <c r="C135">
        <f t="shared" si="103"/>
        <v>0</v>
      </c>
      <c r="D135">
        <f t="shared" si="104"/>
        <v>0</v>
      </c>
      <c r="E135" t="str">
        <f>IFERROR(D135/(#REF!/7*30),"")</f>
        <v/>
      </c>
      <c r="F135">
        <v>169041</v>
      </c>
      <c r="G135" t="s">
        <v>884</v>
      </c>
      <c r="H135">
        <f>SUMIFS(SAP[在庫数量],SAP[品目],在庫確認!F:F)</f>
        <v>0</v>
      </c>
      <c r="I135">
        <f>SUMIFS(SAP貼り付け!AC:AC,SAP貼り付け!A:A,在庫確認!F:F)</f>
        <v>0</v>
      </c>
      <c r="J135" t="str">
        <f t="shared" si="105"/>
        <v/>
      </c>
      <c r="M135">
        <f>SUMIFS(購買計画one_note_貼り付け[数量],購買計画one_note_貼り付け[コード],在庫確認!$F:$F,購買計画one_note_貼り付け[IO],1)</f>
        <v>0</v>
      </c>
      <c r="N135">
        <f>SUMIFS(SAP貼り付け!AC:AC,SAP貼り付け!A:A,在庫確認!F:F)</f>
        <v>0</v>
      </c>
      <c r="O135">
        <f t="shared" si="106"/>
        <v>0</v>
      </c>
    </row>
    <row r="136" spans="1:15" outlineLevel="1">
      <c r="A136" t="s">
        <v>2523</v>
      </c>
      <c r="B136" t="s">
        <v>885</v>
      </c>
      <c r="C136">
        <f t="shared" si="103"/>
        <v>0</v>
      </c>
      <c r="D136">
        <f t="shared" si="104"/>
        <v>0</v>
      </c>
      <c r="E136" t="str">
        <f>IFERROR(D136/(#REF!/7*30),"")</f>
        <v/>
      </c>
      <c r="F136">
        <v>169040</v>
      </c>
      <c r="G136" t="s">
        <v>886</v>
      </c>
      <c r="H136">
        <f>SUMIFS(SAP[在庫数量],SAP[品目],在庫確認!F:F)</f>
        <v>0</v>
      </c>
      <c r="I136">
        <f>SUMIFS(SAP貼り付け!AC:AC,SAP貼り付け!A:A,在庫確認!F:F)</f>
        <v>0</v>
      </c>
      <c r="J136" t="str">
        <f t="shared" si="105"/>
        <v/>
      </c>
      <c r="M136">
        <f>SUMIFS(購買計画one_note_貼り付け[数量],購買計画one_note_貼り付け[コード],在庫確認!$F:$F,購買計画one_note_貼り付け[IO],1)</f>
        <v>0</v>
      </c>
      <c r="N136">
        <f>SUMIFS(SAP貼り付け!AC:AC,SAP貼り付け!A:A,在庫確認!F:F)</f>
        <v>0</v>
      </c>
      <c r="O136">
        <f t="shared" si="106"/>
        <v>0</v>
      </c>
    </row>
    <row r="137" spans="1:15" outlineLevel="1">
      <c r="A137" t="s">
        <v>2523</v>
      </c>
      <c r="B137" t="s">
        <v>872</v>
      </c>
      <c r="C137">
        <f t="shared" si="103"/>
        <v>0</v>
      </c>
      <c r="D137">
        <f t="shared" si="104"/>
        <v>0</v>
      </c>
      <c r="E137" t="str">
        <f>IFERROR(D137/(#REF!/7*30),"")</f>
        <v/>
      </c>
      <c r="F137">
        <v>173742</v>
      </c>
      <c r="G137" t="s">
        <v>875</v>
      </c>
      <c r="H137">
        <f>SUMIFS(SAP[在庫数量],SAP[品目],在庫確認!F:F)</f>
        <v>0</v>
      </c>
      <c r="I137">
        <f>SUMIFS(SAP貼り付け!AC:AC,SAP貼り付け!A:A,在庫確認!F:F)</f>
        <v>0</v>
      </c>
      <c r="J137" t="str">
        <f t="shared" si="105"/>
        <v/>
      </c>
      <c r="M137">
        <f>SUMIFS(購買計画one_note_貼り付け[数量],購買計画one_note_貼り付け[コード],在庫確認!$F:$F,購買計画one_note_貼り付け[IO],1)</f>
        <v>0</v>
      </c>
      <c r="N137">
        <f>SUMIFS(SAP貼り付け!AC:AC,SAP貼り付け!A:A,在庫確認!F:F)</f>
        <v>0</v>
      </c>
      <c r="O137">
        <f t="shared" si="106"/>
        <v>0</v>
      </c>
    </row>
    <row r="138" spans="1:15" outlineLevel="1">
      <c r="A138" t="s">
        <v>2523</v>
      </c>
      <c r="B138" t="s">
        <v>893</v>
      </c>
      <c r="C138">
        <f t="shared" si="103"/>
        <v>0</v>
      </c>
      <c r="D138">
        <f t="shared" si="104"/>
        <v>0</v>
      </c>
      <c r="E138" t="str">
        <f>IFERROR(D138/(#REF!/7*30),"")</f>
        <v/>
      </c>
      <c r="F138">
        <v>172089</v>
      </c>
      <c r="G138" t="s">
        <v>894</v>
      </c>
      <c r="H138">
        <f>SUMIFS(SAP[在庫数量],SAP[品目],在庫確認!F:F)</f>
        <v>0</v>
      </c>
      <c r="I138">
        <f>SUMIFS(SAP貼り付け!AC:AC,SAP貼り付け!A:A,在庫確認!F:F)</f>
        <v>0</v>
      </c>
      <c r="J138" t="str">
        <f t="shared" si="105"/>
        <v/>
      </c>
      <c r="M138">
        <f>SUMIFS(購買計画one_note_貼り付け[数量],購買計画one_note_貼り付け[コード],在庫確認!$F:$F,購買計画one_note_貼り付け[IO],1)</f>
        <v>0</v>
      </c>
      <c r="N138">
        <f>SUMIFS(SAP貼り付け!AC:AC,SAP貼り付け!A:A,在庫確認!F:F)</f>
        <v>0</v>
      </c>
      <c r="O138">
        <f t="shared" si="106"/>
        <v>0</v>
      </c>
    </row>
    <row r="139" spans="1:15" outlineLevel="1">
      <c r="A139" t="s">
        <v>2523</v>
      </c>
      <c r="C139">
        <f t="shared" si="103"/>
        <v>0</v>
      </c>
      <c r="D139">
        <f t="shared" si="104"/>
        <v>0</v>
      </c>
      <c r="E139" t="str">
        <f>IFERROR(D139/(#REF!/7*30),"")</f>
        <v/>
      </c>
      <c r="F139">
        <v>173743</v>
      </c>
      <c r="G139" t="s">
        <v>895</v>
      </c>
      <c r="H139">
        <f>SUMIFS(SAP[在庫数量],SAP[品目],在庫確認!F:F)</f>
        <v>0</v>
      </c>
      <c r="I139">
        <f>SUMIFS(SAP貼り付け!AC:AC,SAP貼り付け!A:A,在庫確認!F:F)</f>
        <v>0</v>
      </c>
      <c r="J139" t="str">
        <f t="shared" si="105"/>
        <v/>
      </c>
      <c r="M139">
        <f>SUMIFS(購買計画one_note_貼り付け[数量],購買計画one_note_貼り付け[コード],在庫確認!$F:$F,購買計画one_note_貼り付け[IO],1)</f>
        <v>0</v>
      </c>
      <c r="N139">
        <f>SUMIFS(SAP貼り付け!AC:AC,SAP貼り付け!A:A,在庫確認!F:F)</f>
        <v>0</v>
      </c>
      <c r="O139">
        <f t="shared" si="106"/>
        <v>0</v>
      </c>
    </row>
    <row r="140" spans="1:15" outlineLevel="1">
      <c r="A140" t="s">
        <v>2523</v>
      </c>
      <c r="B140" t="s">
        <v>731</v>
      </c>
      <c r="C140">
        <f t="shared" si="103"/>
        <v>0</v>
      </c>
      <c r="D140">
        <f t="shared" si="104"/>
        <v>0</v>
      </c>
      <c r="E140" t="str">
        <f>IFERROR(D140/(#REF!/7*30),"")</f>
        <v/>
      </c>
      <c r="F140">
        <v>173423</v>
      </c>
      <c r="G140" t="s">
        <v>732</v>
      </c>
      <c r="H140">
        <f>SUMIFS(SAP[在庫数量],SAP[品目],在庫確認!F:F)</f>
        <v>0</v>
      </c>
      <c r="I140">
        <f>SUMIFS(SAP貼り付け!AC:AC,SAP貼り付け!A:A,在庫確認!F:F)</f>
        <v>0</v>
      </c>
      <c r="J140" t="str">
        <f t="shared" si="105"/>
        <v/>
      </c>
      <c r="M140">
        <f>SUMIFS(購買計画one_note_貼り付け[数量],購買計画one_note_貼り付け[コード],在庫確認!$F:$F,購買計画one_note_貼り付け[IO],1)</f>
        <v>0</v>
      </c>
      <c r="N140">
        <f>SUMIFS(SAP貼り付け!AC:AC,SAP貼り付け!A:A,在庫確認!F:F)</f>
        <v>0</v>
      </c>
      <c r="O140">
        <f t="shared" si="106"/>
        <v>0</v>
      </c>
    </row>
    <row r="141" spans="1:15" outlineLevel="1">
      <c r="A141" t="s">
        <v>2523</v>
      </c>
      <c r="B141" t="s">
        <v>890</v>
      </c>
      <c r="C141">
        <f t="shared" si="103"/>
        <v>0</v>
      </c>
      <c r="D141">
        <f t="shared" si="104"/>
        <v>0</v>
      </c>
      <c r="E141" t="str">
        <f>IFERROR(D141/(#REF!/7*30),"")</f>
        <v/>
      </c>
      <c r="F141">
        <v>173747</v>
      </c>
      <c r="G141" t="s">
        <v>892</v>
      </c>
      <c r="H141">
        <f>SUMIFS(SAP[在庫数量],SAP[品目],在庫確認!F:F)</f>
        <v>0</v>
      </c>
      <c r="I141">
        <f>SUMIFS(SAP貼り付け!AC:AC,SAP貼り付け!A:A,在庫確認!F:F)</f>
        <v>0</v>
      </c>
      <c r="J141" t="str">
        <f t="shared" si="105"/>
        <v/>
      </c>
      <c r="M141">
        <f>SUMIFS(購買計画one_note_貼り付け[数量],購買計画one_note_貼り付け[コード],在庫確認!$F:$F,購買計画one_note_貼り付け[IO],1)</f>
        <v>0</v>
      </c>
      <c r="N141">
        <f>SUMIFS(SAP貼り付け!AC:AC,SAP貼り付け!A:A,在庫確認!F:F)</f>
        <v>0</v>
      </c>
      <c r="O141">
        <f t="shared" si="106"/>
        <v>0</v>
      </c>
    </row>
    <row r="142" spans="1:15" outlineLevel="1">
      <c r="A142" t="s">
        <v>2523</v>
      </c>
      <c r="B142" t="s">
        <v>890</v>
      </c>
      <c r="C142">
        <f t="shared" si="103"/>
        <v>0</v>
      </c>
      <c r="D142">
        <f t="shared" si="104"/>
        <v>0</v>
      </c>
      <c r="E142" t="str">
        <f>IFERROR(D142/(#REF!/7*30),"")</f>
        <v/>
      </c>
      <c r="F142">
        <v>172132</v>
      </c>
      <c r="G142" t="s">
        <v>891</v>
      </c>
      <c r="H142">
        <f>SUMIFS(SAP[在庫数量],SAP[品目],在庫確認!F:F)</f>
        <v>0</v>
      </c>
      <c r="I142">
        <f>SUMIFS(SAP貼り付け!AC:AC,SAP貼り付け!A:A,在庫確認!F:F)</f>
        <v>0</v>
      </c>
      <c r="J142" t="str">
        <f t="shared" si="105"/>
        <v/>
      </c>
      <c r="M142">
        <f>SUMIFS(購買計画one_note_貼り付け[数量],購買計画one_note_貼り付け[コード],在庫確認!$F:$F,購買計画one_note_貼り付け[IO],1)</f>
        <v>0</v>
      </c>
      <c r="N142">
        <f>SUMIFS(SAP貼り付け!AC:AC,SAP貼り付け!A:A,在庫確認!F:F)</f>
        <v>0</v>
      </c>
      <c r="O142">
        <f t="shared" si="106"/>
        <v>0</v>
      </c>
    </row>
    <row r="143" spans="1:15" outlineLevel="1">
      <c r="A143" t="s">
        <v>2523</v>
      </c>
      <c r="B143" t="s">
        <v>879</v>
      </c>
      <c r="C143">
        <f t="shared" si="103"/>
        <v>0</v>
      </c>
      <c r="D143">
        <f t="shared" si="104"/>
        <v>0</v>
      </c>
      <c r="E143" t="str">
        <f>IFERROR(D143/(#REF!/7*30),"")</f>
        <v/>
      </c>
      <c r="F143">
        <v>165090</v>
      </c>
      <c r="G143" t="s">
        <v>880</v>
      </c>
      <c r="H143">
        <f>SUMIFS(SAP[在庫数量],SAP[品目],在庫確認!F:F)</f>
        <v>0</v>
      </c>
      <c r="I143">
        <f>SUMIFS(SAP貼り付け!AC:AC,SAP貼り付け!A:A,在庫確認!F:F)</f>
        <v>0</v>
      </c>
      <c r="J143" t="str">
        <f t="shared" si="105"/>
        <v/>
      </c>
      <c r="M143">
        <f>SUMIFS(購買計画one_note_貼り付け[数量],購買計画one_note_貼り付け[コード],在庫確認!$F:$F,購買計画one_note_貼り付け[IO],1)</f>
        <v>0</v>
      </c>
      <c r="N143">
        <f>SUMIFS(SAP貼り付け!AC:AC,SAP貼り付け!A:A,在庫確認!F:F)</f>
        <v>0</v>
      </c>
      <c r="O143">
        <f t="shared" si="106"/>
        <v>0</v>
      </c>
    </row>
    <row r="144" spans="1:15" outlineLevel="1">
      <c r="A144" t="s">
        <v>2523</v>
      </c>
      <c r="B144" t="s">
        <v>877</v>
      </c>
      <c r="C144">
        <f t="shared" si="103"/>
        <v>0</v>
      </c>
      <c r="D144">
        <f t="shared" si="104"/>
        <v>0</v>
      </c>
      <c r="E144" t="str">
        <f>IFERROR(D144/(#REF!/7*30),"")</f>
        <v/>
      </c>
      <c r="F144">
        <v>166581</v>
      </c>
      <c r="G144" t="s">
        <v>878</v>
      </c>
      <c r="H144">
        <f>SUMIFS(SAP[在庫数量],SAP[品目],在庫確認!F:F)</f>
        <v>0</v>
      </c>
      <c r="I144">
        <f>SUMIFS(SAP貼り付け!AC:AC,SAP貼り付け!A:A,在庫確認!F:F)</f>
        <v>0</v>
      </c>
      <c r="J144" t="str">
        <f t="shared" si="105"/>
        <v/>
      </c>
      <c r="M144">
        <f>SUMIFS(購買計画one_note_貼り付け[数量],購買計画one_note_貼り付け[コード],在庫確認!$F:$F,購買計画one_note_貼り付け[IO],1)</f>
        <v>0</v>
      </c>
      <c r="N144">
        <f>SUMIFS(SAP貼り付け!AC:AC,SAP貼り付け!A:A,在庫確認!F:F)</f>
        <v>0</v>
      </c>
      <c r="O144">
        <f t="shared" si="106"/>
        <v>0</v>
      </c>
    </row>
    <row r="145" spans="1:15" outlineLevel="1">
      <c r="A145" t="s">
        <v>2523</v>
      </c>
      <c r="B145" t="s">
        <v>662</v>
      </c>
      <c r="C145">
        <f t="shared" si="103"/>
        <v>0</v>
      </c>
      <c r="D145">
        <f t="shared" si="104"/>
        <v>0</v>
      </c>
      <c r="E145" t="str">
        <f>IFERROR(D145/(#REF!/7*30),"")</f>
        <v/>
      </c>
      <c r="F145">
        <v>167254</v>
      </c>
      <c r="G145" t="s">
        <v>663</v>
      </c>
      <c r="H145">
        <f>SUMIFS(SAP[在庫数量],SAP[品目],在庫確認!F:F)</f>
        <v>0</v>
      </c>
      <c r="I145">
        <f>SUMIFS(SAP貼り付け!AC:AC,SAP貼り付け!A:A,在庫確認!F:F)</f>
        <v>0</v>
      </c>
      <c r="J145" t="str">
        <f t="shared" si="105"/>
        <v/>
      </c>
      <c r="M145">
        <f>SUMIFS(購買計画one_note_貼り付け[数量],購買計画one_note_貼り付け[コード],在庫確認!$F:$F,購買計画one_note_貼り付け[IO],1)</f>
        <v>0</v>
      </c>
      <c r="N145">
        <f>SUMIFS(SAP貼り付け!AC:AC,SAP貼り付け!A:A,在庫確認!F:F)</f>
        <v>0</v>
      </c>
      <c r="O145">
        <f t="shared" si="106"/>
        <v>0</v>
      </c>
    </row>
    <row r="146" spans="1:15" outlineLevel="1">
      <c r="A146" t="s">
        <v>2523</v>
      </c>
      <c r="B146" t="s">
        <v>662</v>
      </c>
      <c r="C146">
        <f t="shared" si="103"/>
        <v>0</v>
      </c>
      <c r="D146">
        <f t="shared" si="104"/>
        <v>0</v>
      </c>
      <c r="E146" t="str">
        <f>IFERROR(D146/(#REF!/7*30),"")</f>
        <v/>
      </c>
      <c r="F146">
        <v>173732</v>
      </c>
      <c r="G146" t="s">
        <v>664</v>
      </c>
      <c r="H146">
        <f>SUMIFS(SAP[在庫数量],SAP[品目],在庫確認!F:F)</f>
        <v>0</v>
      </c>
      <c r="I146">
        <f>SUMIFS(SAP貼り付け!AC:AC,SAP貼り付け!A:A,在庫確認!F:F)</f>
        <v>0</v>
      </c>
      <c r="J146" t="str">
        <f t="shared" si="105"/>
        <v/>
      </c>
      <c r="M146">
        <f>SUMIFS(購買計画one_note_貼り付け[数量],購買計画one_note_貼り付け[コード],在庫確認!$F:$F,購買計画one_note_貼り付け[IO],1)</f>
        <v>0</v>
      </c>
      <c r="N146">
        <f>SUMIFS(SAP貼り付け!AC:AC,SAP貼り付け!A:A,在庫確認!F:F)</f>
        <v>0</v>
      </c>
      <c r="O146">
        <f t="shared" si="106"/>
        <v>0</v>
      </c>
    </row>
    <row r="147" spans="1:15" outlineLevel="1">
      <c r="A147" t="s">
        <v>2523</v>
      </c>
      <c r="B147" t="s">
        <v>603</v>
      </c>
      <c r="C147">
        <f t="shared" si="103"/>
        <v>0</v>
      </c>
      <c r="D147">
        <f t="shared" si="104"/>
        <v>0</v>
      </c>
      <c r="E147" t="str">
        <f>IFERROR(D147/(#REF!/7*30),"")</f>
        <v/>
      </c>
      <c r="F147">
        <v>166236</v>
      </c>
      <c r="G147" t="s">
        <v>604</v>
      </c>
      <c r="H147">
        <f>SUMIFS(SAP[在庫数量],SAP[品目],在庫確認!F:F)</f>
        <v>0</v>
      </c>
      <c r="I147">
        <f>SUMIFS(SAP貼り付け!AC:AC,SAP貼り付け!A:A,在庫確認!F:F)</f>
        <v>0</v>
      </c>
      <c r="J147" t="str">
        <f t="shared" si="105"/>
        <v/>
      </c>
      <c r="M147">
        <f>SUMIFS(購買計画one_note_貼り付け[数量],購買計画one_note_貼り付け[コード],在庫確認!$F:$F,購買計画one_note_貼り付け[IO],1)</f>
        <v>0</v>
      </c>
      <c r="N147">
        <f>SUMIFS(SAP貼り付け!AC:AC,SAP貼り付け!A:A,在庫確認!F:F)</f>
        <v>0</v>
      </c>
      <c r="O147">
        <f t="shared" si="106"/>
        <v>0</v>
      </c>
    </row>
    <row r="148" spans="1:15" outlineLevel="1">
      <c r="A148" t="s">
        <v>2523</v>
      </c>
      <c r="B148" t="s">
        <v>2570</v>
      </c>
      <c r="C148">
        <f t="shared" si="103"/>
        <v>0</v>
      </c>
      <c r="D148">
        <f t="shared" si="104"/>
        <v>0</v>
      </c>
      <c r="E148" t="str">
        <f>IFERROR(D148/(#REF!/7*30),"")</f>
        <v/>
      </c>
      <c r="F148">
        <v>164200</v>
      </c>
      <c r="G148" t="s">
        <v>2571</v>
      </c>
      <c r="H148">
        <f>SUMIFS(SAP[在庫数量],SAP[品目],在庫確認!F:F)</f>
        <v>0</v>
      </c>
      <c r="I148">
        <f>SUMIFS(SAP貼り付け!AC:AC,SAP貼り付け!A:A,在庫確認!F:F)</f>
        <v>0</v>
      </c>
      <c r="J148" t="str">
        <f t="shared" si="105"/>
        <v/>
      </c>
      <c r="M148">
        <f>SUMIFS(購買計画one_note_貼り付け[数量],購買計画one_note_貼り付け[コード],在庫確認!$F:$F,購買計画one_note_貼り付け[IO],1)</f>
        <v>0</v>
      </c>
      <c r="N148">
        <f>SUMIFS(SAP貼り付け!AC:AC,SAP貼り付け!A:A,在庫確認!F:F)</f>
        <v>0</v>
      </c>
      <c r="O148">
        <f t="shared" si="106"/>
        <v>0</v>
      </c>
    </row>
    <row r="149" spans="1:15" outlineLevel="1">
      <c r="A149" t="s">
        <v>2523</v>
      </c>
      <c r="B149" t="s">
        <v>2572</v>
      </c>
      <c r="C149">
        <f t="shared" si="103"/>
        <v>0</v>
      </c>
      <c r="D149">
        <f t="shared" si="104"/>
        <v>0</v>
      </c>
      <c r="E149" t="str">
        <f>IFERROR(D149/(#REF!/7*30),"")</f>
        <v/>
      </c>
      <c r="F149">
        <v>164278</v>
      </c>
      <c r="G149" t="s">
        <v>908</v>
      </c>
      <c r="H149">
        <f>SUMIFS(SAP[在庫数量],SAP[品目],在庫確認!F:F)</f>
        <v>0</v>
      </c>
      <c r="I149">
        <f>SUMIFS(SAP貼り付け!AC:AC,SAP貼り付け!A:A,在庫確認!F:F)</f>
        <v>0</v>
      </c>
      <c r="J149" t="str">
        <f t="shared" si="105"/>
        <v/>
      </c>
      <c r="M149">
        <f>SUMIFS(購買計画one_note_貼り付け[数量],購買計画one_note_貼り付け[コード],在庫確認!$F:$F,購買計画one_note_貼り付け[IO],1)</f>
        <v>0</v>
      </c>
      <c r="N149">
        <f>SUMIFS(SAP貼り付け!AC:AC,SAP貼り付け!A:A,在庫確認!F:F)</f>
        <v>0</v>
      </c>
      <c r="O149">
        <f t="shared" si="106"/>
        <v>0</v>
      </c>
    </row>
    <row r="150" spans="1:15" outlineLevel="1">
      <c r="A150" t="s">
        <v>2523</v>
      </c>
      <c r="B150" t="s">
        <v>787</v>
      </c>
      <c r="C150">
        <f t="shared" si="103"/>
        <v>0</v>
      </c>
      <c r="D150">
        <f t="shared" si="104"/>
        <v>0</v>
      </c>
      <c r="E150" t="str">
        <f>IFERROR(D150/(#REF!/7*30),"")</f>
        <v/>
      </c>
      <c r="F150">
        <v>172548</v>
      </c>
      <c r="G150" t="s">
        <v>788</v>
      </c>
      <c r="H150">
        <f>SUMIFS(SAP[在庫数量],SAP[品目],在庫確認!F:F)</f>
        <v>0</v>
      </c>
      <c r="I150">
        <f>SUMIFS(SAP貼り付け!AC:AC,SAP貼り付け!A:A,在庫確認!F:F)</f>
        <v>0</v>
      </c>
      <c r="J150" t="str">
        <f t="shared" si="105"/>
        <v/>
      </c>
      <c r="M150">
        <f>SUMIFS(購買計画one_note_貼り付け[数量],購買計画one_note_貼り付け[コード],在庫確認!$F:$F,購買計画one_note_貼り付け[IO],1)</f>
        <v>0</v>
      </c>
      <c r="N150">
        <f>SUMIFS(SAP貼り付け!AC:AC,SAP貼り付け!A:A,在庫確認!F:F)</f>
        <v>0</v>
      </c>
      <c r="O150">
        <f t="shared" si="106"/>
        <v>0</v>
      </c>
    </row>
    <row r="151" spans="1:15" outlineLevel="1">
      <c r="A151" t="s">
        <v>2523</v>
      </c>
      <c r="C151">
        <f t="shared" si="103"/>
        <v>0</v>
      </c>
      <c r="D151">
        <f t="shared" si="104"/>
        <v>0</v>
      </c>
      <c r="E151" t="str">
        <f>IFERROR(D151/(#REF!/7*30),"")</f>
        <v/>
      </c>
      <c r="F151">
        <v>172131</v>
      </c>
      <c r="G151" t="s">
        <v>909</v>
      </c>
      <c r="H151">
        <f>SUMIFS(SAP[在庫数量],SAP[品目],在庫確認!F:F)</f>
        <v>0</v>
      </c>
      <c r="I151">
        <f>SUMIFS(SAP貼り付け!AC:AC,SAP貼り付け!A:A,在庫確認!F:F)</f>
        <v>0</v>
      </c>
      <c r="J151" t="str">
        <f t="shared" si="105"/>
        <v/>
      </c>
      <c r="M151">
        <f>SUMIFS(購買計画one_note_貼り付け[数量],購買計画one_note_貼り付け[コード],在庫確認!$F:$F,購買計画one_note_貼り付け[IO],1)</f>
        <v>0</v>
      </c>
      <c r="N151">
        <f>SUMIFS(SAP貼り付け!AC:AC,SAP貼り付け!A:A,在庫確認!F:F)</f>
        <v>0</v>
      </c>
      <c r="O151">
        <f t="shared" si="106"/>
        <v>0</v>
      </c>
    </row>
    <row r="152" spans="1:15" outlineLevel="1">
      <c r="A152" t="s">
        <v>2523</v>
      </c>
      <c r="C152">
        <f t="shared" si="103"/>
        <v>0</v>
      </c>
      <c r="D152">
        <f t="shared" si="104"/>
        <v>0</v>
      </c>
      <c r="E152" t="str">
        <f>IFERROR(D152/(#REF!/7*30),"")</f>
        <v/>
      </c>
      <c r="F152">
        <v>173746</v>
      </c>
      <c r="G152" t="s">
        <v>791</v>
      </c>
      <c r="H152">
        <f>SUMIFS(SAP[在庫数量],SAP[品目],在庫確認!F:F)</f>
        <v>0</v>
      </c>
      <c r="I152">
        <f>SUMIFS(SAP貼り付け!AC:AC,SAP貼り付け!A:A,在庫確認!F:F)</f>
        <v>0</v>
      </c>
      <c r="J152" t="str">
        <f t="shared" si="105"/>
        <v/>
      </c>
      <c r="M152">
        <f>SUMIFS(購買計画one_note_貼り付け[数量],購買計画one_note_貼り付け[コード],在庫確認!$F:$F,購買計画one_note_貼り付け[IO],1)</f>
        <v>0</v>
      </c>
      <c r="N152">
        <f>SUMIFS(SAP貼り付け!AC:AC,SAP貼り付け!A:A,在庫確認!F:F)</f>
        <v>0</v>
      </c>
      <c r="O152">
        <f t="shared" si="106"/>
        <v>0</v>
      </c>
    </row>
    <row r="153" spans="1:15" outlineLevel="1">
      <c r="A153" t="s">
        <v>2523</v>
      </c>
      <c r="B153" t="s">
        <v>906</v>
      </c>
      <c r="C153">
        <f t="shared" si="103"/>
        <v>0</v>
      </c>
      <c r="D153">
        <f t="shared" si="104"/>
        <v>0</v>
      </c>
      <c r="E153" t="str">
        <f>IFERROR(D153/(#REF!/7*30),"")</f>
        <v/>
      </c>
      <c r="F153">
        <v>166681</v>
      </c>
      <c r="G153" t="s">
        <v>907</v>
      </c>
      <c r="H153">
        <f>SUMIFS(SAP[在庫数量],SAP[品目],在庫確認!F:F)</f>
        <v>0</v>
      </c>
      <c r="I153">
        <f>SUMIFS(SAP貼り付け!AC:AC,SAP貼り付け!A:A,在庫確認!F:F)</f>
        <v>0</v>
      </c>
      <c r="J153" t="str">
        <f t="shared" si="105"/>
        <v/>
      </c>
      <c r="M153">
        <f>SUMIFS(購買計画one_note_貼り付け[数量],購買計画one_note_貼り付け[コード],在庫確認!$F:$F,購買計画one_note_貼り付け[IO],1)</f>
        <v>0</v>
      </c>
      <c r="N153">
        <f>SUMIFS(SAP貼り付け!AC:AC,SAP貼り付け!A:A,在庫確認!F:F)</f>
        <v>0</v>
      </c>
      <c r="O153">
        <f t="shared" si="106"/>
        <v>0</v>
      </c>
    </row>
    <row r="154" spans="1:15" outlineLevel="1">
      <c r="A154" t="s">
        <v>2523</v>
      </c>
      <c r="B154" t="s">
        <v>896</v>
      </c>
      <c r="C154">
        <f t="shared" si="103"/>
        <v>0</v>
      </c>
      <c r="D154">
        <f t="shared" si="104"/>
        <v>0</v>
      </c>
      <c r="E154" t="str">
        <f>IFERROR(D154/(#REF!/7*30),"")</f>
        <v/>
      </c>
      <c r="F154">
        <v>172130</v>
      </c>
      <c r="G154" t="s">
        <v>897</v>
      </c>
      <c r="H154">
        <f>SUMIFS(SAP[在庫数量],SAP[品目],在庫確認!F:F)</f>
        <v>0</v>
      </c>
      <c r="I154">
        <f>SUMIFS(SAP貼り付け!AC:AC,SAP貼り付け!A:A,在庫確認!F:F)</f>
        <v>0</v>
      </c>
      <c r="J154" t="str">
        <f t="shared" si="105"/>
        <v/>
      </c>
      <c r="M154">
        <f>SUMIFS(購買計画one_note_貼り付け[数量],購買計画one_note_貼り付け[コード],在庫確認!$F:$F,購買計画one_note_貼り付け[IO],1)</f>
        <v>0</v>
      </c>
      <c r="N154">
        <f>SUMIFS(SAP貼り付け!AC:AC,SAP貼り付け!A:A,在庫確認!F:F)</f>
        <v>0</v>
      </c>
      <c r="O154">
        <f t="shared" si="106"/>
        <v>0</v>
      </c>
    </row>
    <row r="155" spans="1:15" outlineLevel="1">
      <c r="A155" t="s">
        <v>2523</v>
      </c>
      <c r="B155" t="s">
        <v>896</v>
      </c>
      <c r="C155">
        <f t="shared" si="103"/>
        <v>0</v>
      </c>
      <c r="D155">
        <f t="shared" si="104"/>
        <v>0</v>
      </c>
      <c r="E155" t="str">
        <f>IFERROR(D155/(#REF!/7*30),"")</f>
        <v/>
      </c>
      <c r="F155">
        <v>172547</v>
      </c>
      <c r="G155" t="s">
        <v>899</v>
      </c>
      <c r="H155">
        <f>SUMIFS(SAP[在庫数量],SAP[品目],在庫確認!F:F)</f>
        <v>0</v>
      </c>
      <c r="I155">
        <f>SUMIFS(SAP貼り付け!AC:AC,SAP貼り付け!A:A,在庫確認!F:F)</f>
        <v>0</v>
      </c>
      <c r="J155" t="str">
        <f t="shared" si="105"/>
        <v/>
      </c>
      <c r="M155">
        <f>SUMIFS(購買計画one_note_貼り付け[数量],購買計画one_note_貼り付け[コード],在庫確認!$F:$F,購買計画one_note_貼り付け[IO],1)</f>
        <v>0</v>
      </c>
      <c r="N155">
        <f>SUMIFS(SAP貼り付け!AC:AC,SAP貼り付け!A:A,在庫確認!F:F)</f>
        <v>0</v>
      </c>
      <c r="O155">
        <f t="shared" si="106"/>
        <v>0</v>
      </c>
    </row>
    <row r="156" spans="1:15" outlineLevel="1">
      <c r="A156" t="s">
        <v>2523</v>
      </c>
      <c r="B156" t="s">
        <v>896</v>
      </c>
      <c r="C156">
        <f t="shared" si="103"/>
        <v>0</v>
      </c>
      <c r="D156">
        <f t="shared" si="104"/>
        <v>0</v>
      </c>
      <c r="E156" t="str">
        <f>IFERROR(D156/(#REF!/7*30),"")</f>
        <v/>
      </c>
      <c r="F156">
        <v>173745</v>
      </c>
      <c r="G156" t="s">
        <v>900</v>
      </c>
      <c r="H156">
        <f>SUMIFS(SAP[在庫数量],SAP[品目],在庫確認!F:F)</f>
        <v>0</v>
      </c>
      <c r="I156">
        <f>SUMIFS(SAP貼り付け!AC:AC,SAP貼り付け!A:A,在庫確認!F:F)</f>
        <v>0</v>
      </c>
      <c r="J156" t="str">
        <f t="shared" si="105"/>
        <v/>
      </c>
      <c r="M156">
        <f>SUMIFS(購買計画one_note_貼り付け[数量],購買計画one_note_貼り付け[コード],在庫確認!$F:$F,購買計画one_note_貼り付け[IO],1)</f>
        <v>0</v>
      </c>
      <c r="N156">
        <f>SUMIFS(SAP貼り付け!AC:AC,SAP貼り付け!A:A,在庫確認!F:F)</f>
        <v>0</v>
      </c>
      <c r="O156">
        <f t="shared" si="106"/>
        <v>0</v>
      </c>
    </row>
    <row r="157" spans="1:15" outlineLevel="1">
      <c r="A157" t="s">
        <v>1503</v>
      </c>
      <c r="B157" t="s">
        <v>1035</v>
      </c>
      <c r="C157">
        <f t="shared" si="103"/>
        <v>510</v>
      </c>
      <c r="D157">
        <f t="shared" si="104"/>
        <v>0</v>
      </c>
      <c r="F157">
        <v>193711</v>
      </c>
      <c r="G157" t="s">
        <v>1036</v>
      </c>
      <c r="H157">
        <f>SUMIFS(SAP[在庫数量],SAP[品目],在庫確認!F:F)</f>
        <v>0</v>
      </c>
      <c r="I157">
        <f>SUMIFS(SAP貼り付け!AC:AC,SAP貼り付け!A:A,在庫確認!F:F)</f>
        <v>0</v>
      </c>
      <c r="J157" t="str">
        <f t="shared" si="105"/>
        <v/>
      </c>
      <c r="M157">
        <f>SUMIFS(購買計画one_note_貼り付け[数量],購買計画one_note_貼り付け[コード],在庫確認!$F:$F,購買計画one_note_貼り付け[IO],1)</f>
        <v>510</v>
      </c>
      <c r="N157">
        <f>SUMIFS(SAP貼り付け!AC:AC,SAP貼り付け!A:A,在庫確認!F:F)</f>
        <v>0</v>
      </c>
      <c r="O157">
        <f t="shared" si="106"/>
        <v>510</v>
      </c>
    </row>
    <row r="158" spans="1:15" outlineLevel="1">
      <c r="A158" t="s">
        <v>1503</v>
      </c>
      <c r="B158" t="s">
        <v>1044</v>
      </c>
      <c r="C158">
        <f t="shared" si="103"/>
        <v>270</v>
      </c>
      <c r="D158">
        <f t="shared" si="104"/>
        <v>0</v>
      </c>
      <c r="F158">
        <v>193714</v>
      </c>
      <c r="G158" t="s">
        <v>1045</v>
      </c>
      <c r="H158">
        <f>SUMIFS(SAP[在庫数量],SAP[品目],在庫確認!F:F)</f>
        <v>0</v>
      </c>
      <c r="I158">
        <f>SUMIFS(SAP貼り付け!AC:AC,SAP貼り付け!A:A,在庫確認!F:F)</f>
        <v>0</v>
      </c>
      <c r="J158" t="str">
        <f t="shared" si="105"/>
        <v/>
      </c>
      <c r="M158">
        <f>SUMIFS(購買計画one_note_貼り付け[数量],購買計画one_note_貼り付け[コード],在庫確認!$F:$F,購買計画one_note_貼り付け[IO],1)</f>
        <v>270</v>
      </c>
      <c r="N158">
        <f>SUMIFS(SAP貼り付け!AC:AC,SAP貼り付け!A:A,在庫確認!F:F)</f>
        <v>0</v>
      </c>
      <c r="O158">
        <f t="shared" si="106"/>
        <v>270</v>
      </c>
    </row>
    <row r="159" spans="1:15" outlineLevel="1">
      <c r="A159" t="s">
        <v>982</v>
      </c>
      <c r="B159" t="s">
        <v>2573</v>
      </c>
      <c r="C159">
        <f t="shared" si="103"/>
        <v>0</v>
      </c>
      <c r="D159">
        <f t="shared" si="104"/>
        <v>0</v>
      </c>
      <c r="E159" t="str">
        <f>IFERROR(D159/(#REF!/7*30),"")</f>
        <v/>
      </c>
      <c r="F159">
        <v>173271</v>
      </c>
      <c r="G159" t="s">
        <v>2574</v>
      </c>
      <c r="H159">
        <f>SUMIFS(SAP[在庫数量],SAP[品目],在庫確認!F:F)</f>
        <v>0</v>
      </c>
      <c r="I159">
        <f>SUMIFS(SAP貼り付け!AC:AC,SAP貼り付け!A:A,在庫確認!F:F)</f>
        <v>0</v>
      </c>
      <c r="J159" t="str">
        <f t="shared" si="105"/>
        <v/>
      </c>
      <c r="M159">
        <f>SUMIFS(購買計画one_note_貼り付け[数量],購買計画one_note_貼り付け[コード],在庫確認!$F:$F,購買計画one_note_貼り付け[IO],1)</f>
        <v>0</v>
      </c>
      <c r="N159">
        <f>SUMIFS(SAP貼り付け!AC:AC,SAP貼り付け!A:A,在庫確認!F:F)</f>
        <v>0</v>
      </c>
      <c r="O159">
        <f t="shared" si="106"/>
        <v>0</v>
      </c>
    </row>
    <row r="160" spans="1:15" outlineLevel="1">
      <c r="A160" t="s">
        <v>982</v>
      </c>
      <c r="B160" t="s">
        <v>1010</v>
      </c>
      <c r="C160">
        <f t="shared" ref="C160:C185" si="107">D160+M160</f>
        <v>0</v>
      </c>
      <c r="D160">
        <f t="shared" ref="D160:D185" si="108">H160</f>
        <v>0</v>
      </c>
      <c r="E160" t="str">
        <f>IFERROR(D160/(#REF!/7*30),"")</f>
        <v/>
      </c>
      <c r="F160">
        <v>172442</v>
      </c>
      <c r="G160" t="s">
        <v>1011</v>
      </c>
      <c r="H160">
        <f>SUMIFS(SAP[在庫数量],SAP[品目],在庫確認!F:F)</f>
        <v>0</v>
      </c>
      <c r="I160">
        <f>SUMIFS(SAP貼り付け!AC:AC,SAP貼り付け!A:A,在庫確認!F:F)</f>
        <v>0</v>
      </c>
      <c r="J160" t="str">
        <f t="shared" ref="J160:J185" si="109">IFERROR(I160/H160,"")</f>
        <v/>
      </c>
      <c r="M160">
        <f>SUMIFS(購買計画one_note_貼り付け[数量],購買計画one_note_貼り付け[コード],在庫確認!$F:$F,購買計画one_note_貼り付け[IO],1)</f>
        <v>0</v>
      </c>
      <c r="N160">
        <f>SUMIFS(SAP貼り付け!AC:AC,SAP貼り付け!A:A,在庫確認!F:F)</f>
        <v>0</v>
      </c>
      <c r="O160">
        <f t="shared" si="106"/>
        <v>0</v>
      </c>
    </row>
    <row r="161" spans="1:15" outlineLevel="1">
      <c r="A161" t="s">
        <v>982</v>
      </c>
      <c r="B161" t="s">
        <v>1003</v>
      </c>
      <c r="C161">
        <f t="shared" si="107"/>
        <v>0</v>
      </c>
      <c r="D161">
        <f t="shared" si="108"/>
        <v>0</v>
      </c>
      <c r="E161" t="str">
        <f>IFERROR(D161/(#REF!/7*30),"")</f>
        <v/>
      </c>
      <c r="F161">
        <v>169363</v>
      </c>
      <c r="G161" t="s">
        <v>1004</v>
      </c>
      <c r="H161">
        <f>SUMIFS(SAP[在庫数量],SAP[品目],在庫確認!F:F)</f>
        <v>0</v>
      </c>
      <c r="I161">
        <f>SUMIFS(SAP貼り付け!AC:AC,SAP貼り付け!A:A,在庫確認!F:F)</f>
        <v>0</v>
      </c>
      <c r="J161" t="str">
        <f t="shared" si="109"/>
        <v/>
      </c>
      <c r="M161">
        <f>SUMIFS(購買計画one_note_貼り付け[数量],購買計画one_note_貼り付け[コード],在庫確認!$F:$F,購買計画one_note_貼り付け[IO],1)</f>
        <v>0</v>
      </c>
      <c r="N161">
        <f>SUMIFS(SAP貼り付け!AC:AC,SAP貼り付け!A:A,在庫確認!F:F)</f>
        <v>0</v>
      </c>
      <c r="O161">
        <f t="shared" si="106"/>
        <v>0</v>
      </c>
    </row>
    <row r="162" spans="1:15" outlineLevel="1">
      <c r="A162" t="s">
        <v>982</v>
      </c>
      <c r="B162" t="s">
        <v>1001</v>
      </c>
      <c r="C162">
        <f t="shared" si="107"/>
        <v>0</v>
      </c>
      <c r="D162">
        <f t="shared" si="108"/>
        <v>0</v>
      </c>
      <c r="E162" t="str">
        <f>IFERROR(D162/(#REF!/7*30),"")</f>
        <v/>
      </c>
      <c r="F162">
        <v>170826</v>
      </c>
      <c r="G162" t="s">
        <v>1002</v>
      </c>
      <c r="H162">
        <f>SUMIFS(SAP[在庫数量],SAP[品目],在庫確認!F:F)</f>
        <v>0</v>
      </c>
      <c r="I162">
        <f>SUMIFS(SAP貼り付け!AC:AC,SAP貼り付け!A:A,在庫確認!F:F)</f>
        <v>0</v>
      </c>
      <c r="J162" t="str">
        <f t="shared" si="109"/>
        <v/>
      </c>
      <c r="M162">
        <f>SUMIFS(購買計画one_note_貼り付け[数量],購買計画one_note_貼り付け[コード],在庫確認!$F:$F,購買計画one_note_貼り付け[IO],1)</f>
        <v>0</v>
      </c>
      <c r="N162">
        <f>SUMIFS(SAP貼り付け!AC:AC,SAP貼り付け!A:A,在庫確認!F:F)</f>
        <v>0</v>
      </c>
      <c r="O162">
        <f t="shared" si="106"/>
        <v>0</v>
      </c>
    </row>
    <row r="163" spans="1:15" outlineLevel="1">
      <c r="A163" t="s">
        <v>982</v>
      </c>
      <c r="B163" t="s">
        <v>1023</v>
      </c>
      <c r="C163">
        <f t="shared" si="107"/>
        <v>0</v>
      </c>
      <c r="D163">
        <f t="shared" si="108"/>
        <v>0</v>
      </c>
      <c r="E163" t="str">
        <f>IFERROR(D163/(#REF!/7*30),"")</f>
        <v/>
      </c>
      <c r="F163">
        <v>169742</v>
      </c>
      <c r="G163" t="s">
        <v>1024</v>
      </c>
      <c r="H163">
        <f>SUMIFS(SAP[在庫数量],SAP[品目],在庫確認!F:F)</f>
        <v>0</v>
      </c>
      <c r="I163">
        <f>SUMIFS(SAP貼り付け!AC:AC,SAP貼り付け!A:A,在庫確認!F:F)</f>
        <v>0</v>
      </c>
      <c r="J163" t="str">
        <f t="shared" si="109"/>
        <v/>
      </c>
      <c r="M163">
        <f>SUMIFS(購買計画one_note_貼り付け[数量],購買計画one_note_貼り付け[コード],在庫確認!$F:$F,購買計画one_note_貼り付け[IO],1)</f>
        <v>0</v>
      </c>
      <c r="N163">
        <f>SUMIFS(SAP貼り付け!AC:AC,SAP貼り付け!A:A,在庫確認!F:F)</f>
        <v>0</v>
      </c>
      <c r="O163">
        <f t="shared" si="106"/>
        <v>0</v>
      </c>
    </row>
    <row r="164" spans="1:15" outlineLevel="1">
      <c r="A164" t="s">
        <v>982</v>
      </c>
      <c r="B164" t="s">
        <v>1026</v>
      </c>
      <c r="C164">
        <f t="shared" si="107"/>
        <v>0</v>
      </c>
      <c r="D164">
        <f t="shared" si="108"/>
        <v>0</v>
      </c>
      <c r="E164" t="str">
        <f>IFERROR(D164/(#REF!/7*30),"")</f>
        <v/>
      </c>
      <c r="F164">
        <v>169743</v>
      </c>
      <c r="G164" t="s">
        <v>1027</v>
      </c>
      <c r="H164">
        <f>SUMIFS(SAP[在庫数量],SAP[品目],在庫確認!F:F)</f>
        <v>0</v>
      </c>
      <c r="I164">
        <f>SUMIFS(SAP貼り付け!AC:AC,SAP貼り付け!A:A,在庫確認!F:F)</f>
        <v>0</v>
      </c>
      <c r="J164" t="str">
        <f t="shared" si="109"/>
        <v/>
      </c>
      <c r="M164">
        <f>SUMIFS(購買計画one_note_貼り付け[数量],購買計画one_note_貼り付け[コード],在庫確認!$F:$F,購買計画one_note_貼り付け[IO],1)</f>
        <v>0</v>
      </c>
      <c r="N164">
        <f>SUMIFS(SAP貼り付け!AC:AC,SAP貼り付け!A:A,在庫確認!F:F)</f>
        <v>0</v>
      </c>
      <c r="O164">
        <f t="shared" si="106"/>
        <v>0</v>
      </c>
    </row>
    <row r="165" spans="1:15" outlineLevel="1">
      <c r="A165" t="s">
        <v>982</v>
      </c>
      <c r="B165" t="s">
        <v>2575</v>
      </c>
      <c r="C165">
        <f t="shared" si="107"/>
        <v>0</v>
      </c>
      <c r="D165">
        <f t="shared" si="108"/>
        <v>0</v>
      </c>
      <c r="E165" t="str">
        <f>IFERROR(D165/(#REF!/7*30),"")</f>
        <v/>
      </c>
      <c r="F165">
        <v>172769</v>
      </c>
      <c r="G165" t="s">
        <v>2576</v>
      </c>
      <c r="H165">
        <f>SUMIFS(SAP[在庫数量],SAP[品目],在庫確認!F:F)</f>
        <v>0</v>
      </c>
      <c r="I165">
        <f>SUMIFS(SAP貼り付け!AC:AC,SAP貼り付け!A:A,在庫確認!F:F)</f>
        <v>0</v>
      </c>
      <c r="J165" t="str">
        <f t="shared" si="109"/>
        <v/>
      </c>
      <c r="M165">
        <f>SUMIFS(購買計画one_note_貼り付け[数量],購買計画one_note_貼り付け[コード],在庫確認!$F:$F,購買計画one_note_貼り付け[IO],1)</f>
        <v>0</v>
      </c>
      <c r="N165">
        <f>SUMIFS(SAP貼り付け!AC:AC,SAP貼り付け!A:A,在庫確認!F:F)</f>
        <v>0</v>
      </c>
      <c r="O165">
        <f t="shared" si="106"/>
        <v>0</v>
      </c>
    </row>
    <row r="166" spans="1:15" outlineLevel="1">
      <c r="A166" t="s">
        <v>982</v>
      </c>
      <c r="B166" t="s">
        <v>1028</v>
      </c>
      <c r="C166">
        <f t="shared" si="107"/>
        <v>0</v>
      </c>
      <c r="D166">
        <f t="shared" si="108"/>
        <v>0</v>
      </c>
      <c r="E166" t="str">
        <f>IFERROR(D166/(#REF!/7*30),"")</f>
        <v/>
      </c>
      <c r="F166">
        <v>169815</v>
      </c>
      <c r="G166" t="s">
        <v>1030</v>
      </c>
      <c r="H166">
        <f>SUMIFS(SAP[在庫数量],SAP[品目],在庫確認!F:F)</f>
        <v>0</v>
      </c>
      <c r="I166">
        <f>SUMIFS(SAP貼り付け!AC:AC,SAP貼り付け!A:A,在庫確認!F:F)</f>
        <v>0</v>
      </c>
      <c r="J166" t="str">
        <f t="shared" si="109"/>
        <v/>
      </c>
      <c r="M166">
        <f>SUMIFS(購買計画one_note_貼り付け[数量],購買計画one_note_貼り付け[コード],在庫確認!$F:$F,購買計画one_note_貼り付け[IO],1)</f>
        <v>0</v>
      </c>
      <c r="N166">
        <f>SUMIFS(SAP貼り付け!AC:AC,SAP貼り付け!A:A,在庫確認!F:F)</f>
        <v>0</v>
      </c>
      <c r="O166">
        <f t="shared" si="106"/>
        <v>0</v>
      </c>
    </row>
    <row r="167" spans="1:15" outlineLevel="1">
      <c r="A167" t="s">
        <v>982</v>
      </c>
      <c r="B167" t="s">
        <v>1028</v>
      </c>
      <c r="C167">
        <f t="shared" si="107"/>
        <v>0</v>
      </c>
      <c r="D167">
        <f t="shared" si="108"/>
        <v>0</v>
      </c>
      <c r="E167" t="str">
        <f>IFERROR(D167/(#REF!/7*30),"")</f>
        <v/>
      </c>
      <c r="F167">
        <v>168388</v>
      </c>
      <c r="G167" t="s">
        <v>1029</v>
      </c>
      <c r="H167">
        <f>SUMIFS(SAP[在庫数量],SAP[品目],在庫確認!F:F)</f>
        <v>0</v>
      </c>
      <c r="I167">
        <f>SUMIFS(SAP貼り付け!AC:AC,SAP貼り付け!A:A,在庫確認!F:F)</f>
        <v>0</v>
      </c>
      <c r="J167" t="str">
        <f t="shared" si="109"/>
        <v/>
      </c>
      <c r="M167">
        <f>SUMIFS(購買計画one_note_貼り付け[数量],購買計画one_note_貼り付け[コード],在庫確認!$F:$F,購買計画one_note_貼り付け[IO],1)</f>
        <v>0</v>
      </c>
      <c r="N167">
        <f>SUMIFS(SAP貼り付け!AC:AC,SAP貼り付け!A:A,在庫確認!F:F)</f>
        <v>0</v>
      </c>
      <c r="O167">
        <f t="shared" si="106"/>
        <v>0</v>
      </c>
    </row>
    <row r="168" spans="1:15" outlineLevel="1">
      <c r="A168" t="s">
        <v>982</v>
      </c>
      <c r="B168" t="s">
        <v>1031</v>
      </c>
      <c r="C168">
        <f t="shared" si="107"/>
        <v>0</v>
      </c>
      <c r="D168">
        <f t="shared" si="108"/>
        <v>0</v>
      </c>
      <c r="E168" t="str">
        <f>IFERROR(D168/(#REF!/7*30),"")</f>
        <v/>
      </c>
      <c r="F168">
        <v>168389</v>
      </c>
      <c r="G168" t="s">
        <v>1032</v>
      </c>
      <c r="H168">
        <f>SUMIFS(SAP[在庫数量],SAP[品目],在庫確認!F:F)</f>
        <v>0</v>
      </c>
      <c r="I168">
        <f>SUMIFS(SAP貼り付け!AC:AC,SAP貼り付け!A:A,在庫確認!F:F)</f>
        <v>0</v>
      </c>
      <c r="J168" t="str">
        <f t="shared" si="109"/>
        <v/>
      </c>
      <c r="M168">
        <f>SUMIFS(購買計画one_note_貼り付け[数量],購買計画one_note_貼り付け[コード],在庫確認!$F:$F,購買計画one_note_貼り付け[IO],1)</f>
        <v>0</v>
      </c>
      <c r="N168">
        <f>SUMIFS(SAP貼り付け!AC:AC,SAP貼り付け!A:A,在庫確認!F:F)</f>
        <v>0</v>
      </c>
      <c r="O168">
        <f t="shared" si="106"/>
        <v>0</v>
      </c>
    </row>
    <row r="169" spans="1:15" outlineLevel="1">
      <c r="A169" t="s">
        <v>982</v>
      </c>
      <c r="B169" t="s">
        <v>1031</v>
      </c>
      <c r="C169">
        <f t="shared" si="107"/>
        <v>0</v>
      </c>
      <c r="D169">
        <f t="shared" si="108"/>
        <v>0</v>
      </c>
      <c r="E169" t="str">
        <f>IFERROR(D169/(#REF!/7*30),"")</f>
        <v/>
      </c>
      <c r="F169">
        <v>169816</v>
      </c>
      <c r="G169" t="s">
        <v>1034</v>
      </c>
      <c r="H169">
        <f>SUMIFS(SAP[在庫数量],SAP[品目],在庫確認!F:F)</f>
        <v>0</v>
      </c>
      <c r="I169">
        <f>SUMIFS(SAP貼り付け!AC:AC,SAP貼り付け!A:A,在庫確認!F:F)</f>
        <v>0</v>
      </c>
      <c r="J169" t="str">
        <f t="shared" si="109"/>
        <v/>
      </c>
      <c r="M169">
        <f>SUMIFS(購買計画one_note_貼り付け[数量],購買計画one_note_貼り付け[コード],在庫確認!$F:$F,購買計画one_note_貼り付け[IO],1)</f>
        <v>0</v>
      </c>
      <c r="N169">
        <f>SUMIFS(SAP貼り付け!AC:AC,SAP貼り付け!A:A,在庫確認!F:F)</f>
        <v>0</v>
      </c>
      <c r="O169">
        <f t="shared" si="106"/>
        <v>0</v>
      </c>
    </row>
    <row r="170" spans="1:15" outlineLevel="1">
      <c r="A170" t="s">
        <v>982</v>
      </c>
      <c r="B170" t="s">
        <v>1056</v>
      </c>
      <c r="C170">
        <f t="shared" si="107"/>
        <v>0</v>
      </c>
      <c r="D170">
        <f t="shared" si="108"/>
        <v>0</v>
      </c>
      <c r="E170" t="str">
        <f>IFERROR(D170/(#REF!/7*30),"")</f>
        <v/>
      </c>
      <c r="F170">
        <v>168391</v>
      </c>
      <c r="G170" t="s">
        <v>1057</v>
      </c>
      <c r="H170">
        <f>SUMIFS(SAP[在庫数量],SAP[品目],在庫確認!F:F)</f>
        <v>0</v>
      </c>
      <c r="I170">
        <f>SUMIFS(SAP貼り付け!AC:AC,SAP貼り付け!A:A,在庫確認!F:F)</f>
        <v>0</v>
      </c>
      <c r="J170" t="str">
        <f t="shared" si="109"/>
        <v/>
      </c>
      <c r="M170">
        <f>SUMIFS(購買計画one_note_貼り付け[数量],購買計画one_note_貼り付け[コード],在庫確認!$F:$F,購買計画one_note_貼り付け[IO],1)</f>
        <v>0</v>
      </c>
      <c r="N170">
        <f>SUMIFS(SAP貼り付け!AC:AC,SAP貼り付け!A:A,在庫確認!F:F)</f>
        <v>0</v>
      </c>
      <c r="O170">
        <f t="shared" si="106"/>
        <v>0</v>
      </c>
    </row>
    <row r="171" spans="1:15" outlineLevel="1">
      <c r="A171" t="s">
        <v>982</v>
      </c>
      <c r="B171" t="s">
        <v>1056</v>
      </c>
      <c r="C171">
        <f t="shared" si="107"/>
        <v>0</v>
      </c>
      <c r="D171">
        <f t="shared" si="108"/>
        <v>0</v>
      </c>
      <c r="E171" t="str">
        <f>IFERROR(D171/(#REF!/7*30),"")</f>
        <v/>
      </c>
      <c r="F171">
        <v>169819</v>
      </c>
      <c r="G171" t="s">
        <v>1058</v>
      </c>
      <c r="H171">
        <f>SUMIFS(SAP[在庫数量],SAP[品目],在庫確認!F:F)</f>
        <v>0</v>
      </c>
      <c r="I171">
        <f>SUMIFS(SAP貼り付け!AC:AC,SAP貼り付け!A:A,在庫確認!F:F)</f>
        <v>0</v>
      </c>
      <c r="J171" t="str">
        <f t="shared" si="109"/>
        <v/>
      </c>
      <c r="M171">
        <f>SUMIFS(購買計画one_note_貼り付け[数量],購買計画one_note_貼り付け[コード],在庫確認!$F:$F,購買計画one_note_貼り付け[IO],1)</f>
        <v>0</v>
      </c>
      <c r="N171">
        <f>SUMIFS(SAP貼り付け!AC:AC,SAP貼り付け!A:A,在庫確認!F:F)</f>
        <v>0</v>
      </c>
      <c r="O171">
        <f t="shared" si="106"/>
        <v>0</v>
      </c>
    </row>
    <row r="172" spans="1:15" outlineLevel="1">
      <c r="A172" t="s">
        <v>982</v>
      </c>
      <c r="B172" t="s">
        <v>1059</v>
      </c>
      <c r="C172">
        <f t="shared" si="107"/>
        <v>0</v>
      </c>
      <c r="D172">
        <f t="shared" si="108"/>
        <v>0</v>
      </c>
      <c r="E172" t="str">
        <f>IFERROR(D172/(#REF!/7*30),"")</f>
        <v/>
      </c>
      <c r="F172">
        <v>166229</v>
      </c>
      <c r="G172" t="s">
        <v>1060</v>
      </c>
      <c r="H172">
        <f>SUMIFS(SAP[在庫数量],SAP[品目],在庫確認!F:F)</f>
        <v>0</v>
      </c>
      <c r="I172">
        <f>SUMIFS(SAP貼り付け!AC:AC,SAP貼り付け!A:A,在庫確認!F:F)</f>
        <v>0</v>
      </c>
      <c r="J172" t="str">
        <f t="shared" si="109"/>
        <v/>
      </c>
      <c r="M172">
        <f>SUMIFS(購買計画one_note_貼り付け[数量],購買計画one_note_貼り付け[コード],在庫確認!$F:$F,購買計画one_note_貼り付け[IO],1)</f>
        <v>0</v>
      </c>
      <c r="N172">
        <f>SUMIFS(SAP貼り付け!AC:AC,SAP貼り付け!A:A,在庫確認!F:F)</f>
        <v>0</v>
      </c>
      <c r="O172">
        <f t="shared" si="106"/>
        <v>0</v>
      </c>
    </row>
    <row r="173" spans="1:15" outlineLevel="1">
      <c r="A173" t="s">
        <v>982</v>
      </c>
      <c r="C173">
        <f t="shared" si="107"/>
        <v>0</v>
      </c>
      <c r="D173">
        <f t="shared" si="108"/>
        <v>0</v>
      </c>
      <c r="E173" t="str">
        <f>IFERROR(D173/(#REF!/7*30),"")</f>
        <v/>
      </c>
      <c r="F173">
        <v>166233</v>
      </c>
      <c r="G173" t="s">
        <v>1054</v>
      </c>
      <c r="H173">
        <f>SUMIFS(SAP[在庫数量],SAP[品目],在庫確認!F:F)</f>
        <v>0</v>
      </c>
      <c r="I173">
        <f>SUMIFS(SAP貼り付け!AC:AC,SAP貼り付け!A:A,在庫確認!F:F)</f>
        <v>0</v>
      </c>
      <c r="J173" t="str">
        <f t="shared" si="109"/>
        <v/>
      </c>
      <c r="M173">
        <f>SUMIFS(購買計画one_note_貼り付け[数量],購買計画one_note_貼り付け[コード],在庫確認!$F:$F,購買計画one_note_貼り付け[IO],1)</f>
        <v>0</v>
      </c>
      <c r="N173">
        <f>SUMIFS(SAP貼り付け!AC:AC,SAP貼り付け!A:A,在庫確認!F:F)</f>
        <v>0</v>
      </c>
      <c r="O173">
        <f t="shared" si="106"/>
        <v>0</v>
      </c>
    </row>
    <row r="174" spans="1:15" outlineLevel="1">
      <c r="A174" t="s">
        <v>982</v>
      </c>
      <c r="B174" t="s">
        <v>997</v>
      </c>
      <c r="C174">
        <f t="shared" si="107"/>
        <v>0</v>
      </c>
      <c r="D174">
        <f t="shared" si="108"/>
        <v>0</v>
      </c>
      <c r="E174" t="str">
        <f>IFERROR(D174/(#REF!/7*30),"")</f>
        <v/>
      </c>
      <c r="F174">
        <v>172134</v>
      </c>
      <c r="G174" t="s">
        <v>999</v>
      </c>
      <c r="H174">
        <f>SUMIFS(SAP[在庫数量],SAP[品目],在庫確認!F:F)</f>
        <v>0</v>
      </c>
      <c r="I174">
        <f>SUMIFS(SAP貼り付け!AC:AC,SAP貼り付け!A:A,在庫確認!F:F)</f>
        <v>0</v>
      </c>
      <c r="J174" t="str">
        <f t="shared" si="109"/>
        <v/>
      </c>
      <c r="M174">
        <f>SUMIFS(購買計画one_note_貼り付け[数量],購買計画one_note_貼り付け[コード],在庫確認!$F:$F,購買計画one_note_貼り付け[IO],1)</f>
        <v>0</v>
      </c>
      <c r="N174">
        <f>SUMIFS(SAP貼り付け!AC:AC,SAP貼り付け!A:A,在庫確認!F:F)</f>
        <v>0</v>
      </c>
      <c r="O174">
        <f t="shared" si="106"/>
        <v>0</v>
      </c>
    </row>
    <row r="175" spans="1:15" outlineLevel="1">
      <c r="A175" t="s">
        <v>982</v>
      </c>
      <c r="B175" t="s">
        <v>997</v>
      </c>
      <c r="C175">
        <f t="shared" si="107"/>
        <v>0</v>
      </c>
      <c r="D175">
        <f t="shared" si="108"/>
        <v>0</v>
      </c>
      <c r="E175" t="str">
        <f>IFERROR(D175/(#REF!/7*30),"")</f>
        <v/>
      </c>
      <c r="F175">
        <v>173443</v>
      </c>
      <c r="G175" t="s">
        <v>1000</v>
      </c>
      <c r="H175">
        <f>SUMIFS(SAP[在庫数量],SAP[品目],在庫確認!F:F)</f>
        <v>0</v>
      </c>
      <c r="I175">
        <f>SUMIFS(SAP貼り付け!AC:AC,SAP貼り付け!A:A,在庫確認!F:F)</f>
        <v>0</v>
      </c>
      <c r="J175" t="str">
        <f t="shared" si="109"/>
        <v/>
      </c>
      <c r="M175">
        <f>SUMIFS(購買計画one_note_貼り付け[数量],購買計画one_note_貼り付け[コード],在庫確認!$F:$F,購買計画one_note_貼り付け[IO],1)</f>
        <v>0</v>
      </c>
      <c r="N175">
        <f>SUMIFS(SAP貼り付け!AC:AC,SAP貼り付け!A:A,在庫確認!F:F)</f>
        <v>0</v>
      </c>
      <c r="O175">
        <f t="shared" si="106"/>
        <v>0</v>
      </c>
    </row>
    <row r="176" spans="1:15" outlineLevel="1">
      <c r="A176" t="s">
        <v>982</v>
      </c>
      <c r="B176" t="s">
        <v>997</v>
      </c>
      <c r="C176">
        <f t="shared" si="107"/>
        <v>0</v>
      </c>
      <c r="D176">
        <f t="shared" si="108"/>
        <v>0</v>
      </c>
      <c r="E176" t="str">
        <f>IFERROR(D176/(#REF!/7*30),"")</f>
        <v/>
      </c>
      <c r="F176">
        <v>168693</v>
      </c>
      <c r="G176" t="s">
        <v>998</v>
      </c>
      <c r="H176">
        <f>SUMIFS(SAP[在庫数量],SAP[品目],在庫確認!F:F)</f>
        <v>0</v>
      </c>
      <c r="I176">
        <f>SUMIFS(SAP貼り付け!AC:AC,SAP貼り付け!A:A,在庫確認!F:F)</f>
        <v>0</v>
      </c>
      <c r="J176" t="str">
        <f t="shared" si="109"/>
        <v/>
      </c>
      <c r="M176">
        <f>SUMIFS(購買計画one_note_貼り付け[数量],購買計画one_note_貼り付け[コード],在庫確認!$F:$F,購買計画one_note_貼り付け[IO],1)</f>
        <v>0</v>
      </c>
      <c r="N176">
        <f>SUMIFS(SAP貼り付け!AC:AC,SAP貼り付け!A:A,在庫確認!F:F)</f>
        <v>0</v>
      </c>
      <c r="O176">
        <f t="shared" si="106"/>
        <v>0</v>
      </c>
    </row>
    <row r="177" spans="1:15" outlineLevel="1">
      <c r="A177" t="s">
        <v>982</v>
      </c>
      <c r="B177" t="s">
        <v>993</v>
      </c>
      <c r="C177">
        <f t="shared" si="107"/>
        <v>0</v>
      </c>
      <c r="D177">
        <f t="shared" si="108"/>
        <v>0</v>
      </c>
      <c r="E177" t="str">
        <f>IFERROR(D177/(#REF!/7*30),"")</f>
        <v/>
      </c>
      <c r="F177">
        <v>173442</v>
      </c>
      <c r="G177" t="s">
        <v>996</v>
      </c>
      <c r="H177">
        <f>SUMIFS(SAP[在庫数量],SAP[品目],在庫確認!F:F)</f>
        <v>0</v>
      </c>
      <c r="I177">
        <f>SUMIFS(SAP貼り付け!AC:AC,SAP貼り付け!A:A,在庫確認!F:F)</f>
        <v>0</v>
      </c>
      <c r="J177" t="str">
        <f t="shared" si="109"/>
        <v/>
      </c>
      <c r="M177">
        <f>SUMIFS(購買計画one_note_貼り付け[数量],購買計画one_note_貼り付け[コード],在庫確認!$F:$F,購買計画one_note_貼り付け[IO],1)</f>
        <v>0</v>
      </c>
      <c r="N177">
        <f>SUMIFS(SAP貼り付け!AC:AC,SAP貼り付け!A:A,在庫確認!F:F)</f>
        <v>0</v>
      </c>
      <c r="O177">
        <f t="shared" si="106"/>
        <v>0</v>
      </c>
    </row>
    <row r="178" spans="1:15" outlineLevel="1">
      <c r="A178" t="s">
        <v>982</v>
      </c>
      <c r="B178" t="s">
        <v>993</v>
      </c>
      <c r="C178">
        <f t="shared" si="107"/>
        <v>0</v>
      </c>
      <c r="D178">
        <f t="shared" si="108"/>
        <v>0</v>
      </c>
      <c r="E178" t="str">
        <f>IFERROR(D178/(#REF!/7*30),"")</f>
        <v/>
      </c>
      <c r="F178">
        <v>172133</v>
      </c>
      <c r="G178" t="s">
        <v>995</v>
      </c>
      <c r="H178">
        <f>SUMIFS(SAP[在庫数量],SAP[品目],在庫確認!F:F)</f>
        <v>0</v>
      </c>
      <c r="I178">
        <f>SUMIFS(SAP貼り付け!AC:AC,SAP貼り付け!A:A,在庫確認!F:F)</f>
        <v>0</v>
      </c>
      <c r="J178" t="str">
        <f t="shared" si="109"/>
        <v/>
      </c>
      <c r="M178">
        <f>SUMIFS(購買計画one_note_貼り付け[数量],購買計画one_note_貼り付け[コード],在庫確認!$F:$F,購買計画one_note_貼り付け[IO],1)</f>
        <v>0</v>
      </c>
      <c r="N178">
        <f>SUMIFS(SAP貼り付け!AC:AC,SAP貼り付け!A:A,在庫確認!F:F)</f>
        <v>0</v>
      </c>
      <c r="O178">
        <f t="shared" si="106"/>
        <v>0</v>
      </c>
    </row>
    <row r="179" spans="1:15" outlineLevel="1">
      <c r="A179" t="s">
        <v>982</v>
      </c>
      <c r="B179" t="s">
        <v>993</v>
      </c>
      <c r="C179">
        <f t="shared" si="107"/>
        <v>0</v>
      </c>
      <c r="D179">
        <f t="shared" si="108"/>
        <v>0</v>
      </c>
      <c r="E179" t="str">
        <f>IFERROR(D179/(#REF!/7*30),"")</f>
        <v/>
      </c>
      <c r="F179">
        <v>167479</v>
      </c>
      <c r="G179" t="s">
        <v>994</v>
      </c>
      <c r="H179">
        <f>SUMIFS(SAP[在庫数量],SAP[品目],在庫確認!F:F)</f>
        <v>0</v>
      </c>
      <c r="I179">
        <f>SUMIFS(SAP貼り付け!AC:AC,SAP貼り付け!A:A,在庫確認!F:F)</f>
        <v>0</v>
      </c>
      <c r="J179" t="str">
        <f t="shared" si="109"/>
        <v/>
      </c>
      <c r="M179">
        <f>SUMIFS(購買計画one_note_貼り付け[数量],購買計画one_note_貼り付け[コード],在庫確認!$F:$F,購買計画one_note_貼り付け[IO],1)</f>
        <v>0</v>
      </c>
      <c r="N179">
        <f>SUMIFS(SAP貼り付け!AC:AC,SAP貼り付け!A:A,在庫確認!F:F)</f>
        <v>0</v>
      </c>
      <c r="O179">
        <f t="shared" si="106"/>
        <v>0</v>
      </c>
    </row>
    <row r="180" spans="1:15" outlineLevel="1">
      <c r="A180" t="s">
        <v>982</v>
      </c>
      <c r="B180" t="s">
        <v>1066</v>
      </c>
      <c r="C180">
        <f t="shared" si="107"/>
        <v>0</v>
      </c>
      <c r="D180">
        <f t="shared" si="108"/>
        <v>0</v>
      </c>
      <c r="E180" t="str">
        <f>IFERROR(D180/(#REF!/7*30),"")</f>
        <v/>
      </c>
      <c r="F180">
        <v>172646</v>
      </c>
      <c r="G180" t="s">
        <v>1067</v>
      </c>
      <c r="H180">
        <f>SUMIFS(SAP[在庫数量],SAP[品目],在庫確認!F:F)</f>
        <v>0</v>
      </c>
      <c r="I180">
        <f>SUMIFS(SAP貼り付け!AC:AC,SAP貼り付け!A:A,在庫確認!F:F)</f>
        <v>0</v>
      </c>
      <c r="J180" t="str">
        <f t="shared" si="109"/>
        <v/>
      </c>
      <c r="M180">
        <f>SUMIFS(購買計画one_note_貼り付け[数量],購買計画one_note_貼り付け[コード],在庫確認!$F:$F,購買計画one_note_貼り付け[IO],1)</f>
        <v>0</v>
      </c>
      <c r="N180">
        <f>SUMIFS(SAP貼り付け!AC:AC,SAP貼り付け!A:A,在庫確認!F:F)</f>
        <v>0</v>
      </c>
      <c r="O180">
        <f t="shared" si="106"/>
        <v>0</v>
      </c>
    </row>
    <row r="181" spans="1:15" outlineLevel="1">
      <c r="A181" t="s">
        <v>982</v>
      </c>
      <c r="B181" t="s">
        <v>1066</v>
      </c>
      <c r="C181">
        <f t="shared" si="107"/>
        <v>0</v>
      </c>
      <c r="D181">
        <f t="shared" si="108"/>
        <v>0</v>
      </c>
      <c r="E181" t="str">
        <f>IFERROR(D181/(#REF!/7*30),"")</f>
        <v/>
      </c>
      <c r="F181">
        <v>175026</v>
      </c>
      <c r="G181" t="s">
        <v>1069</v>
      </c>
      <c r="H181">
        <f>SUMIFS(SAP[在庫数量],SAP[品目],在庫確認!F:F)</f>
        <v>0</v>
      </c>
      <c r="I181">
        <f>SUMIFS(SAP貼り付け!AC:AC,SAP貼り付け!A:A,在庫確認!F:F)</f>
        <v>0</v>
      </c>
      <c r="J181" t="str">
        <f t="shared" si="109"/>
        <v/>
      </c>
      <c r="M181">
        <f>SUMIFS(購買計画one_note_貼り付け[数量],購買計画one_note_貼り付け[コード],在庫確認!$F:$F,購買計画one_note_貼り付け[IO],1)</f>
        <v>0</v>
      </c>
      <c r="N181">
        <f>SUMIFS(SAP貼り付け!AC:AC,SAP貼り付け!A:A,在庫確認!F:F)</f>
        <v>0</v>
      </c>
      <c r="O181">
        <f t="shared" si="106"/>
        <v>0</v>
      </c>
    </row>
    <row r="182" spans="1:15" outlineLevel="1">
      <c r="A182" t="s">
        <v>982</v>
      </c>
      <c r="B182" t="s">
        <v>2577</v>
      </c>
      <c r="C182">
        <f t="shared" si="107"/>
        <v>0</v>
      </c>
      <c r="D182">
        <f t="shared" si="108"/>
        <v>0</v>
      </c>
      <c r="E182" t="str">
        <f>IFERROR(D182/(#REF!/7*30),"")</f>
        <v/>
      </c>
      <c r="F182">
        <v>172644</v>
      </c>
      <c r="G182" t="s">
        <v>2578</v>
      </c>
      <c r="H182">
        <f>SUMIFS(SAP[在庫数量],SAP[品目],在庫確認!F:F)</f>
        <v>0</v>
      </c>
      <c r="I182">
        <f>SUMIFS(SAP貼り付け!AC:AC,SAP貼り付け!A:A,在庫確認!F:F)</f>
        <v>0</v>
      </c>
      <c r="J182" t="str">
        <f t="shared" si="109"/>
        <v/>
      </c>
      <c r="M182">
        <f>SUMIFS(購買計画one_note_貼り付け[数量],購買計画one_note_貼り付け[コード],在庫確認!$F:$F,購買計画one_note_貼り付け[IO],1)</f>
        <v>0</v>
      </c>
      <c r="N182">
        <f>SUMIFS(SAP貼り付け!AC:AC,SAP貼り付け!A:A,在庫確認!F:F)</f>
        <v>0</v>
      </c>
      <c r="O182">
        <f t="shared" si="106"/>
        <v>0</v>
      </c>
    </row>
    <row r="183" spans="1:15" outlineLevel="1">
      <c r="A183" t="s">
        <v>982</v>
      </c>
      <c r="B183" t="s">
        <v>1040</v>
      </c>
      <c r="C183">
        <f t="shared" si="107"/>
        <v>0</v>
      </c>
      <c r="D183">
        <f t="shared" si="108"/>
        <v>0</v>
      </c>
      <c r="E183" t="str">
        <f>IFERROR(D183/(#REF!/7*30),"")</f>
        <v/>
      </c>
      <c r="F183">
        <v>179161</v>
      </c>
      <c r="G183" t="s">
        <v>1041</v>
      </c>
      <c r="H183">
        <f>SUMIFS(SAP[在庫数量],SAP[品目],在庫確認!F:F)</f>
        <v>0</v>
      </c>
      <c r="I183">
        <f>SUMIFS(SAP貼り付け!AC:AC,SAP貼り付け!A:A,在庫確認!F:F)</f>
        <v>0</v>
      </c>
      <c r="J183" t="str">
        <f t="shared" si="109"/>
        <v/>
      </c>
      <c r="M183">
        <f>SUMIFS(購買計画one_note_貼り付け[数量],購買計画one_note_貼り付け[コード],在庫確認!$F:$F,購買計画one_note_貼り付け[IO],1)</f>
        <v>0</v>
      </c>
      <c r="N183">
        <f>SUMIFS(SAP貼り付け!AC:AC,SAP貼り付け!A:A,在庫確認!F:F)</f>
        <v>0</v>
      </c>
      <c r="O183">
        <f t="shared" si="106"/>
        <v>0</v>
      </c>
    </row>
    <row r="184" spans="1:15" outlineLevel="1">
      <c r="A184" t="s">
        <v>982</v>
      </c>
      <c r="B184" t="s">
        <v>1051</v>
      </c>
      <c r="C184">
        <f t="shared" si="107"/>
        <v>0</v>
      </c>
      <c r="D184">
        <f t="shared" si="108"/>
        <v>0</v>
      </c>
      <c r="E184" t="str">
        <f>IFERROR(D184/(#REF!/7*30),"")</f>
        <v/>
      </c>
      <c r="F184">
        <v>187689</v>
      </c>
      <c r="G184" t="s">
        <v>2579</v>
      </c>
      <c r="H184">
        <f>SUMIFS(SAP[在庫数量],SAP[品目],在庫確認!F:F)</f>
        <v>0</v>
      </c>
      <c r="I184">
        <f>SUMIFS(SAP貼り付け!AC:AC,SAP貼り付け!A:A,在庫確認!F:F)</f>
        <v>0</v>
      </c>
      <c r="J184" t="str">
        <f t="shared" si="109"/>
        <v/>
      </c>
      <c r="M184">
        <f>SUMIFS(購買計画one_note_貼り付け[数量],購買計画one_note_貼り付け[コード],在庫確認!$F:$F,購買計画one_note_貼り付け[IO],1)</f>
        <v>0</v>
      </c>
      <c r="N184">
        <f>SUMIFS(SAP貼り付け!AC:AC,SAP貼り付け!A:A,在庫確認!F:F)</f>
        <v>0</v>
      </c>
      <c r="O184">
        <f t="shared" si="106"/>
        <v>0</v>
      </c>
    </row>
    <row r="185" spans="1:15" outlineLevel="1">
      <c r="A185" t="s">
        <v>982</v>
      </c>
      <c r="B185" t="s">
        <v>535</v>
      </c>
      <c r="C185">
        <f t="shared" si="107"/>
        <v>0</v>
      </c>
      <c r="D185">
        <f t="shared" si="108"/>
        <v>0</v>
      </c>
      <c r="E185" t="str">
        <f>IFERROR(D185/(#REF!/7*30),"")</f>
        <v/>
      </c>
      <c r="F185">
        <v>181642</v>
      </c>
      <c r="G185" t="s">
        <v>2580</v>
      </c>
      <c r="H185">
        <f>SUMIFS(SAP[在庫数量],SAP[品目],在庫確認!F:F)</f>
        <v>0</v>
      </c>
      <c r="I185">
        <f>SUMIFS(SAP貼り付け!AC:AC,SAP貼り付け!A:A,在庫確認!F:F)</f>
        <v>0</v>
      </c>
      <c r="J185" t="str">
        <f t="shared" si="109"/>
        <v/>
      </c>
      <c r="M185">
        <f>SUMIFS(購買計画one_note_貼り付け[数量],購買計画one_note_貼り付け[コード],在庫確認!$F:$F,購買計画one_note_貼り付け[IO],1)</f>
        <v>0</v>
      </c>
      <c r="N185">
        <f>SUMIFS(SAP貼り付け!AC:AC,SAP貼り付け!A:A,在庫確認!F:F)</f>
        <v>0</v>
      </c>
      <c r="O185">
        <f t="shared" si="106"/>
        <v>0</v>
      </c>
    </row>
    <row r="186" spans="1:15">
      <c r="A186" t="s">
        <v>9</v>
      </c>
      <c r="B186" t="s">
        <v>379</v>
      </c>
      <c r="C186">
        <f>D186+M186</f>
        <v>0</v>
      </c>
      <c r="D186">
        <f>H186</f>
        <v>0</v>
      </c>
      <c r="E186" t="str">
        <f>IFERROR(D186/(#REF!/7*30),"")</f>
        <v/>
      </c>
      <c r="F186">
        <v>179164</v>
      </c>
      <c r="G186" t="s">
        <v>380</v>
      </c>
      <c r="H186">
        <f>SUMIFS(SAP[在庫数量],SAP[品目],在庫確認!F:F)</f>
        <v>0</v>
      </c>
      <c r="I186">
        <f>SUMIFS(SAP貼り付け!AC:AC,SAP貼り付け!A:A,在庫確認!F:F)</f>
        <v>0</v>
      </c>
      <c r="J186" t="str">
        <f>IFERROR(I186/H186,"")</f>
        <v/>
      </c>
      <c r="K186" s="103">
        <v>45046</v>
      </c>
      <c r="M186">
        <f>SUMIFS(購買計画one_note_貼り付け[数量],購買計画one_note_貼り付け[コード],在庫確認!$F:$F,購買計画one_note_貼り付け[IO],1)</f>
        <v>0</v>
      </c>
      <c r="N186">
        <f>SUMIFS(SAP貼り付け!AC:AC,SAP貼り付け!A:A,在庫確認!F:F)</f>
        <v>0</v>
      </c>
      <c r="O186">
        <f t="shared" si="106"/>
        <v>0</v>
      </c>
    </row>
    <row r="187" spans="1:15">
      <c r="A187" t="s">
        <v>9</v>
      </c>
      <c r="B187" t="s">
        <v>1374</v>
      </c>
      <c r="C187">
        <f>D187+M187</f>
        <v>500</v>
      </c>
      <c r="D187">
        <f>H187</f>
        <v>0</v>
      </c>
      <c r="F187">
        <v>193186</v>
      </c>
      <c r="G187" t="s">
        <v>2581</v>
      </c>
      <c r="H187">
        <f>SUMIFS(SAP[在庫数量],SAP[品目],在庫確認!F:F)</f>
        <v>0</v>
      </c>
      <c r="I187">
        <f>SUMIFS(SAP貼り付け!AC:AC,SAP貼り付け!A:A,在庫確認!F:F)</f>
        <v>0</v>
      </c>
      <c r="J187" t="str">
        <f>IFERROR(I187/H187,"")</f>
        <v/>
      </c>
      <c r="M187">
        <f>SUMIFS(購買計画one_note_貼り付け[数量],購買計画one_note_貼り付け[コード],在庫確認!$F:$F,購買計画one_note_貼り付け[IO],1)</f>
        <v>500</v>
      </c>
      <c r="N187">
        <f>SUMIFS(SAP貼り付け!AC:AC,SAP貼り付け!A:A,在庫確認!F:F)</f>
        <v>0</v>
      </c>
      <c r="O187">
        <f t="shared" si="106"/>
        <v>500</v>
      </c>
    </row>
    <row r="188" spans="1:15">
      <c r="A188" t="s">
        <v>9</v>
      </c>
      <c r="B188" t="s">
        <v>1669</v>
      </c>
      <c r="C188">
        <f t="shared" ref="C188" si="110">D188+M188</f>
        <v>235</v>
      </c>
      <c r="D188">
        <f t="shared" ref="D188" si="111">H188</f>
        <v>0</v>
      </c>
      <c r="F188">
        <v>199017</v>
      </c>
      <c r="G188" t="s">
        <v>171</v>
      </c>
      <c r="H188">
        <f>SUMIFS(SAP[在庫数量],SAP[品目],在庫確認!F:F)</f>
        <v>0</v>
      </c>
      <c r="I188">
        <f>SUMIFS(SAP貼り付け!AC:AC,SAP貼り付け!A:A,在庫確認!F:F)</f>
        <v>0</v>
      </c>
      <c r="J188" t="str">
        <f t="shared" ref="J188" si="112">IFERROR(I188/H188,"")</f>
        <v/>
      </c>
      <c r="M188">
        <f>SUMIFS(購買計画one_note_貼り付け[数量],購買計画one_note_貼り付け[コード],在庫確認!$F:$F,購買計画one_note_貼り付け[IO],1)</f>
        <v>235</v>
      </c>
      <c r="N188">
        <f>SUMIFS(SAP貼り付け!AC:AC,SAP貼り付け!A:A,在庫確認!F:F)</f>
        <v>0</v>
      </c>
      <c r="O188">
        <f t="shared" si="106"/>
        <v>235</v>
      </c>
    </row>
    <row r="189" spans="1:15">
      <c r="A189" t="s">
        <v>9</v>
      </c>
      <c r="B189" t="s">
        <v>1744</v>
      </c>
      <c r="C189">
        <f t="shared" ref="C189:C202" si="113">D189+M189</f>
        <v>100</v>
      </c>
      <c r="D189">
        <f t="shared" ref="D189:D202" si="114">H189</f>
        <v>0</v>
      </c>
      <c r="E189" t="str">
        <f>IFERROR(D189/(#REF!/7*30),"")</f>
        <v/>
      </c>
      <c r="F189">
        <v>186232</v>
      </c>
      <c r="G189" t="s">
        <v>274</v>
      </c>
      <c r="H189">
        <f>SUMIFS(SAP[在庫数量],SAP[品目],在庫確認!F:F)</f>
        <v>0</v>
      </c>
      <c r="I189">
        <f>SUMIFS(SAP貼り付け!AC:AC,SAP貼り付け!A:A,在庫確認!F:F)</f>
        <v>0</v>
      </c>
      <c r="J189" t="str">
        <f t="shared" ref="J189:J202" si="115">IFERROR(I189/H189,"")</f>
        <v/>
      </c>
      <c r="M189">
        <f>SUMIFS(購買計画one_note_貼り付け[数量],購買計画one_note_貼り付け[コード],在庫確認!$F:$F,購買計画one_note_貼り付け[IO],1)</f>
        <v>100</v>
      </c>
      <c r="N189">
        <f>SUMIFS(SAP貼り付け!AC:AC,SAP貼り付け!A:A,在庫確認!F:F)</f>
        <v>0</v>
      </c>
      <c r="O189">
        <f t="shared" si="106"/>
        <v>100</v>
      </c>
    </row>
    <row r="190" spans="1:15">
      <c r="A190" t="s">
        <v>9</v>
      </c>
      <c r="B190" t="s">
        <v>1745</v>
      </c>
      <c r="C190">
        <f t="shared" si="113"/>
        <v>150</v>
      </c>
      <c r="D190">
        <f t="shared" si="114"/>
        <v>0</v>
      </c>
      <c r="E190" t="str">
        <f>IFERROR(D190/(#REF!/7*30),"")</f>
        <v/>
      </c>
      <c r="F190">
        <v>186233</v>
      </c>
      <c r="G190" t="s">
        <v>2582</v>
      </c>
      <c r="H190">
        <f>SUMIFS(SAP[在庫数量],SAP[品目],在庫確認!F:F)</f>
        <v>0</v>
      </c>
      <c r="I190">
        <f>SUMIFS(SAP貼り付け!AC:AC,SAP貼り付け!A:A,在庫確認!F:F)</f>
        <v>0</v>
      </c>
      <c r="J190" t="str">
        <f t="shared" si="115"/>
        <v/>
      </c>
      <c r="M190">
        <f>SUMIFS(購買計画one_note_貼り付け[数量],購買計画one_note_貼り付け[コード],在庫確認!$F:$F,購買計画one_note_貼り付け[IO],1)</f>
        <v>150</v>
      </c>
      <c r="N190">
        <f>SUMIFS(SAP貼り付け!AC:AC,SAP貼り付け!A:A,在庫確認!F:F)</f>
        <v>0</v>
      </c>
      <c r="O190">
        <f t="shared" si="106"/>
        <v>150</v>
      </c>
    </row>
    <row r="191" spans="1:15">
      <c r="A191" t="s">
        <v>9</v>
      </c>
      <c r="B191" t="s">
        <v>2583</v>
      </c>
      <c r="C191">
        <f t="shared" si="113"/>
        <v>0</v>
      </c>
      <c r="D191">
        <f t="shared" si="114"/>
        <v>0</v>
      </c>
      <c r="E191" t="str">
        <f>IFERROR(D191/(#REF!/7*30),"")</f>
        <v/>
      </c>
      <c r="F191">
        <v>179163</v>
      </c>
      <c r="G191" t="s">
        <v>963</v>
      </c>
      <c r="H191">
        <f>SUMIFS(SAP[在庫数量],SAP[品目],在庫確認!F:F)</f>
        <v>0</v>
      </c>
      <c r="I191">
        <f>SUMIFS(SAP貼り付け!AC:AC,SAP貼り付け!A:A,在庫確認!F:F)</f>
        <v>0</v>
      </c>
      <c r="J191" t="str">
        <f t="shared" si="115"/>
        <v/>
      </c>
      <c r="K191" s="103">
        <v>45046</v>
      </c>
      <c r="M191">
        <f>SUMIFS(購買計画one_note_貼り付け[数量],購買計画one_note_貼り付け[コード],在庫確認!$F:$F,購買計画one_note_貼り付け[IO],1)</f>
        <v>0</v>
      </c>
      <c r="N191">
        <f>SUMIFS(SAP貼り付け!AC:AC,SAP貼り付け!A:A,在庫確認!F:F)</f>
        <v>0</v>
      </c>
      <c r="O191">
        <f t="shared" si="106"/>
        <v>0</v>
      </c>
    </row>
    <row r="192" spans="1:15">
      <c r="A192" t="s">
        <v>9</v>
      </c>
      <c r="B192" t="s">
        <v>1366</v>
      </c>
      <c r="C192">
        <f t="shared" si="113"/>
        <v>1790</v>
      </c>
      <c r="D192">
        <f t="shared" si="114"/>
        <v>0</v>
      </c>
      <c r="F192">
        <v>193184</v>
      </c>
      <c r="G192" t="s">
        <v>338</v>
      </c>
      <c r="H192">
        <f>SUMIFS(SAP[在庫数量],SAP[品目],在庫確認!F:F)</f>
        <v>0</v>
      </c>
      <c r="I192">
        <f>SUMIFS(SAP貼り付け!AC:AC,SAP貼り付け!A:A,在庫確認!F:F)</f>
        <v>0</v>
      </c>
      <c r="J192" t="str">
        <f t="shared" si="115"/>
        <v/>
      </c>
      <c r="M192">
        <f>SUMIFS(購買計画one_note_貼り付け[数量],購買計画one_note_貼り付け[コード],在庫確認!$F:$F,購買計画one_note_貼り付け[IO],1)</f>
        <v>1790</v>
      </c>
      <c r="N192">
        <f>SUMIFS(SAP貼り付け!AC:AC,SAP貼り付け!A:A,在庫確認!F:F)</f>
        <v>0</v>
      </c>
      <c r="O192">
        <f t="shared" si="106"/>
        <v>1790</v>
      </c>
    </row>
    <row r="193" spans="1:15">
      <c r="A193" t="s">
        <v>9</v>
      </c>
      <c r="B193" t="s">
        <v>1681</v>
      </c>
      <c r="C193">
        <f>D193+M193</f>
        <v>2000</v>
      </c>
      <c r="D193">
        <f>H193</f>
        <v>0</v>
      </c>
      <c r="F193">
        <v>199408</v>
      </c>
      <c r="G193" t="s">
        <v>267</v>
      </c>
      <c r="H193">
        <f>SUMIFS(SAP[在庫数量],SAP[品目],在庫確認!F:F)</f>
        <v>0</v>
      </c>
      <c r="I193">
        <f>SUMIFS(SAP貼り付け!AC:AC,SAP貼り付け!A:A,在庫確認!F:F)</f>
        <v>0</v>
      </c>
      <c r="J193" t="str">
        <f>IFERROR(I193/H193,"")</f>
        <v/>
      </c>
      <c r="M193">
        <f>SUMIFS(購買計画one_note_貼り付け[数量],購買計画one_note_貼り付け[コード],在庫確認!$F:$F,購買計画one_note_貼り付け[IO],1)</f>
        <v>2000</v>
      </c>
      <c r="N193">
        <f>SUMIFS(SAP貼り付け!AC:AC,SAP貼り付け!A:A,在庫確認!F:F)</f>
        <v>0</v>
      </c>
      <c r="O193">
        <f t="shared" si="106"/>
        <v>2000</v>
      </c>
    </row>
    <row r="194" spans="1:15">
      <c r="A194" t="s">
        <v>9</v>
      </c>
      <c r="B194" t="s">
        <v>1667</v>
      </c>
      <c r="C194">
        <f>D194+M194</f>
        <v>6728</v>
      </c>
      <c r="D194">
        <f>H194</f>
        <v>0</v>
      </c>
      <c r="F194">
        <v>201898</v>
      </c>
      <c r="G194" t="s">
        <v>2584</v>
      </c>
      <c r="H194">
        <f>SUMIFS(SAP[在庫数量],SAP[品目],在庫確認!F:F)</f>
        <v>0</v>
      </c>
      <c r="I194">
        <f>SUMIFS(SAP貼り付け!AC:AC,SAP貼り付け!A:A,在庫確認!F:F)</f>
        <v>0</v>
      </c>
      <c r="J194" t="str">
        <f>IFERROR(I194/H194,"")</f>
        <v/>
      </c>
      <c r="M194">
        <f>SUMIFS(購買計画one_note_貼り付け[数量],購買計画one_note_貼り付け[コード],在庫確認!$F:$F,購買計画one_note_貼り付け[IO],1)</f>
        <v>6728</v>
      </c>
      <c r="N194">
        <f>SUMIFS(SAP貼り付け!AC:AC,SAP貼り付け!A:A,在庫確認!F:F)</f>
        <v>0</v>
      </c>
      <c r="O194">
        <f t="shared" si="106"/>
        <v>6728</v>
      </c>
    </row>
    <row r="195" spans="1:15">
      <c r="A195" t="s">
        <v>9</v>
      </c>
      <c r="B195" t="s">
        <v>2585</v>
      </c>
      <c r="C195">
        <f t="shared" si="113"/>
        <v>0</v>
      </c>
      <c r="D195">
        <f t="shared" si="114"/>
        <v>0</v>
      </c>
      <c r="E195" t="str">
        <f>IFERROR(D195/(#REF!/7*30),"")</f>
        <v/>
      </c>
      <c r="F195">
        <v>184056</v>
      </c>
      <c r="G195" t="s">
        <v>175</v>
      </c>
      <c r="H195">
        <f>SUMIFS(SAP[在庫数量],SAP[品目],在庫確認!F:F)</f>
        <v>0</v>
      </c>
      <c r="I195">
        <f>SUMIFS(SAP貼り付け!AC:AC,SAP貼り付け!A:A,在庫確認!F:F)</f>
        <v>0</v>
      </c>
      <c r="J195" t="str">
        <f t="shared" si="115"/>
        <v/>
      </c>
      <c r="K195" s="103">
        <v>45383</v>
      </c>
      <c r="M195">
        <f>SUMIFS(購買計画one_note_貼り付け[数量],購買計画one_note_貼り付け[コード],在庫確認!$F:$F,購買計画one_note_貼り付け[IO],1)</f>
        <v>0</v>
      </c>
      <c r="N195">
        <f>SUMIFS(SAP貼り付け!AC:AC,SAP貼り付け!A:A,在庫確認!F:F)</f>
        <v>0</v>
      </c>
      <c r="O195">
        <f t="shared" si="106"/>
        <v>0</v>
      </c>
    </row>
    <row r="196" spans="1:15">
      <c r="A196" t="s">
        <v>9</v>
      </c>
      <c r="B196" t="s">
        <v>1669</v>
      </c>
      <c r="C196">
        <f t="shared" si="113"/>
        <v>70</v>
      </c>
      <c r="D196">
        <f t="shared" si="114"/>
        <v>0</v>
      </c>
      <c r="F196">
        <v>193182</v>
      </c>
      <c r="G196" t="s">
        <v>2586</v>
      </c>
      <c r="H196">
        <f>SUMIFS(SAP[在庫数量],SAP[品目],在庫確認!F:F)</f>
        <v>0</v>
      </c>
      <c r="I196">
        <f>SUMIFS(SAP貼り付け!AC:AC,SAP貼り付け!A:A,在庫確認!F:F)</f>
        <v>0</v>
      </c>
      <c r="J196" t="str">
        <f t="shared" si="115"/>
        <v/>
      </c>
      <c r="M196">
        <f>SUMIFS(購買計画one_note_貼り付け[数量],購買計画one_note_貼り付け[コード],在庫確認!$F:$F,購買計画one_note_貼り付け[IO],1)</f>
        <v>70</v>
      </c>
      <c r="N196">
        <f>SUMIFS(SAP貼り付け!AC:AC,SAP貼り付け!A:A,在庫確認!F:F)</f>
        <v>0</v>
      </c>
      <c r="O196">
        <f t="shared" si="106"/>
        <v>70</v>
      </c>
    </row>
    <row r="197" spans="1:15">
      <c r="A197" t="s">
        <v>9</v>
      </c>
      <c r="B197" t="s">
        <v>235</v>
      </c>
      <c r="C197">
        <f t="shared" si="113"/>
        <v>0</v>
      </c>
      <c r="D197">
        <f t="shared" si="114"/>
        <v>0</v>
      </c>
      <c r="E197" t="str">
        <f>IFERROR(D197/(#REF!/7*30),"")</f>
        <v/>
      </c>
      <c r="F197">
        <v>184057</v>
      </c>
      <c r="G197" t="s">
        <v>236</v>
      </c>
      <c r="H197">
        <f>SUMIFS(SAP[在庫数量],SAP[品目],在庫確認!F:F)</f>
        <v>0</v>
      </c>
      <c r="I197">
        <f>SUMIFS(SAP貼り付け!AC:AC,SAP貼り付け!A:A,在庫確認!F:F)</f>
        <v>0</v>
      </c>
      <c r="J197" t="str">
        <f t="shared" si="115"/>
        <v/>
      </c>
      <c r="K197" s="103">
        <v>45504</v>
      </c>
      <c r="M197">
        <f>SUMIFS(購買計画one_note_貼り付け[数量],購買計画one_note_貼り付け[コード],在庫確認!$F:$F,購買計画one_note_貼り付け[IO],1)</f>
        <v>0</v>
      </c>
      <c r="N197">
        <f>SUMIFS(SAP貼り付け!AC:AC,SAP貼り付け!A:A,在庫確認!F:F)</f>
        <v>0</v>
      </c>
      <c r="O197">
        <f t="shared" ref="O197:O229" si="116">H197+M197</f>
        <v>0</v>
      </c>
    </row>
    <row r="198" spans="1:15">
      <c r="A198" t="s">
        <v>9</v>
      </c>
      <c r="B198" t="s">
        <v>1679</v>
      </c>
      <c r="C198">
        <f t="shared" si="113"/>
        <v>100</v>
      </c>
      <c r="D198">
        <f t="shared" si="114"/>
        <v>0</v>
      </c>
      <c r="F198">
        <v>196068</v>
      </c>
      <c r="G198" t="s">
        <v>2587</v>
      </c>
      <c r="H198">
        <f>SUMIFS(SAP[在庫数量],SAP[品目],在庫確認!F:F)</f>
        <v>0</v>
      </c>
      <c r="I198">
        <f>SUMIFS(SAP貼り付け!AC:AC,SAP貼り付け!A:A,在庫確認!F:F)</f>
        <v>0</v>
      </c>
      <c r="J198" t="str">
        <f t="shared" si="115"/>
        <v/>
      </c>
      <c r="M198">
        <f>SUMIFS(購買計画one_note_貼り付け[数量],購買計画one_note_貼り付け[コード],在庫確認!$F:$F,購買計画one_note_貼り付け[IO],1)</f>
        <v>100</v>
      </c>
      <c r="N198">
        <f>SUMIFS(SAP貼り付け!AC:AC,SAP貼り付け!A:A,在庫確認!F:F)</f>
        <v>0</v>
      </c>
      <c r="O198">
        <f t="shared" si="116"/>
        <v>100</v>
      </c>
    </row>
    <row r="199" spans="1:15">
      <c r="A199" t="s">
        <v>9</v>
      </c>
      <c r="B199" t="s">
        <v>1679</v>
      </c>
      <c r="C199">
        <f t="shared" si="113"/>
        <v>890</v>
      </c>
      <c r="D199">
        <f t="shared" si="114"/>
        <v>0</v>
      </c>
      <c r="F199">
        <v>199019</v>
      </c>
      <c r="G199" t="s">
        <v>225</v>
      </c>
      <c r="H199">
        <f>SUMIFS(SAP[在庫数量],SAP[品目],在庫確認!F:F)</f>
        <v>0</v>
      </c>
      <c r="I199">
        <f>SUMIFS(SAP貼り付け!AC:AC,SAP貼り付け!A:A,在庫確認!F:F)</f>
        <v>0</v>
      </c>
      <c r="J199" t="str">
        <f t="shared" si="115"/>
        <v/>
      </c>
      <c r="M199">
        <f>SUMIFS(購買計画one_note_貼り付け[数量],購買計画one_note_貼り付け[コード],在庫確認!$F:$F,購買計画one_note_貼り付け[IO],1)</f>
        <v>890</v>
      </c>
      <c r="N199">
        <f>SUMIFS(SAP貼り付け!AC:AC,SAP貼り付け!A:A,在庫確認!F:F)</f>
        <v>0</v>
      </c>
      <c r="O199">
        <f t="shared" si="116"/>
        <v>890</v>
      </c>
    </row>
    <row r="200" spans="1:15">
      <c r="A200" t="s">
        <v>9</v>
      </c>
      <c r="B200" t="s">
        <v>1672</v>
      </c>
      <c r="C200">
        <f t="shared" si="113"/>
        <v>180</v>
      </c>
      <c r="D200">
        <f t="shared" si="114"/>
        <v>0</v>
      </c>
      <c r="F200">
        <v>196066</v>
      </c>
      <c r="G200" t="s">
        <v>2588</v>
      </c>
      <c r="H200">
        <f>SUMIFS(SAP[在庫数量],SAP[品目],在庫確認!F:F)</f>
        <v>0</v>
      </c>
      <c r="I200">
        <f>SUMIFS(SAP貼り付け!AC:AC,SAP貼り付け!A:A,在庫確認!F:F)</f>
        <v>0</v>
      </c>
      <c r="J200" t="str">
        <f t="shared" si="115"/>
        <v/>
      </c>
      <c r="M200">
        <f>SUMIFS(購買計画one_note_貼り付け[数量],購買計画one_note_貼り付け[コード],在庫確認!$F:$F,購買計画one_note_貼り付け[IO],1)</f>
        <v>180</v>
      </c>
      <c r="N200">
        <f>SUMIFS(SAP貼り付け!AC:AC,SAP貼り付け!A:A,在庫確認!F:F)</f>
        <v>0</v>
      </c>
      <c r="O200">
        <f t="shared" si="116"/>
        <v>180</v>
      </c>
    </row>
    <row r="201" spans="1:15">
      <c r="A201" t="s">
        <v>9</v>
      </c>
      <c r="B201" t="s">
        <v>37</v>
      </c>
      <c r="C201">
        <f t="shared" si="113"/>
        <v>178</v>
      </c>
      <c r="D201">
        <f t="shared" si="114"/>
        <v>0</v>
      </c>
      <c r="E201" t="str">
        <f>IFERROR(D201/(#REF!/7*30),"")</f>
        <v/>
      </c>
      <c r="F201">
        <v>186236</v>
      </c>
      <c r="G201" t="s">
        <v>2589</v>
      </c>
      <c r="H201">
        <f>SUMIFS(SAP[在庫数量],SAP[品目],在庫確認!F:F)</f>
        <v>0</v>
      </c>
      <c r="I201">
        <f>SUMIFS(SAP貼り付け!AC:AC,SAP貼り付け!A:A,在庫確認!F:F)</f>
        <v>0</v>
      </c>
      <c r="J201" t="str">
        <f t="shared" si="115"/>
        <v/>
      </c>
      <c r="M201">
        <f>SUMIFS(購買計画one_note_貼り付け[数量],購買計画one_note_貼り付け[コード],在庫確認!$F:$F,購買計画one_note_貼り付け[IO],1)</f>
        <v>178</v>
      </c>
      <c r="N201">
        <f>SUMIFS(SAP貼り付け!AC:AC,SAP貼り付け!A:A,在庫確認!F:F)</f>
        <v>0</v>
      </c>
      <c r="O201">
        <f t="shared" si="116"/>
        <v>178</v>
      </c>
    </row>
    <row r="202" spans="1:15">
      <c r="A202" t="s">
        <v>9</v>
      </c>
      <c r="B202" t="s">
        <v>42</v>
      </c>
      <c r="C202">
        <f t="shared" si="113"/>
        <v>0</v>
      </c>
      <c r="D202">
        <f t="shared" si="114"/>
        <v>0</v>
      </c>
      <c r="E202" t="str">
        <f>IFERROR(D202/(#REF!/7*30),"")</f>
        <v/>
      </c>
      <c r="F202">
        <v>181640</v>
      </c>
      <c r="G202" t="s">
        <v>2590</v>
      </c>
      <c r="H202">
        <f>SUMIFS(SAP[在庫数量],SAP[品目],在庫確認!F:F)</f>
        <v>0</v>
      </c>
      <c r="I202">
        <f>SUMIFS(SAP貼り付け!AC:AC,SAP貼り付け!A:A,在庫確認!F:F)</f>
        <v>0</v>
      </c>
      <c r="J202" t="str">
        <f t="shared" si="115"/>
        <v/>
      </c>
      <c r="M202">
        <f>SUMIFS(購買計画one_note_貼り付け[数量],購買計画one_note_貼り付け[コード],在庫確認!$F:$F,購買計画one_note_貼り付け[IO],1)</f>
        <v>0</v>
      </c>
      <c r="N202">
        <f>SUMIFS(SAP貼り付け!AC:AC,SAP貼り付け!A:A,在庫確認!F:F)</f>
        <v>0</v>
      </c>
      <c r="O202">
        <f t="shared" si="116"/>
        <v>0</v>
      </c>
    </row>
    <row r="203" spans="1:15">
      <c r="A203" t="s">
        <v>9</v>
      </c>
      <c r="B203" t="s">
        <v>1703</v>
      </c>
      <c r="C203">
        <f>D203+M203</f>
        <v>70</v>
      </c>
      <c r="D203">
        <f>H203</f>
        <v>0</v>
      </c>
      <c r="F203">
        <v>193190</v>
      </c>
      <c r="G203" t="s">
        <v>2591</v>
      </c>
      <c r="H203">
        <f>SUMIFS(SAP[在庫数量],SAP[品目],在庫確認!F:F)</f>
        <v>0</v>
      </c>
      <c r="I203">
        <f>SUMIFS(SAP貼り付け!AC:AC,SAP貼り付け!A:A,在庫確認!F:F)</f>
        <v>0</v>
      </c>
      <c r="J203" t="str">
        <f>IFERROR(I203/H203,"")</f>
        <v/>
      </c>
      <c r="M203">
        <f>SUMIFS(購買計画one_note_貼り付け[数量],購買計画one_note_貼り付け[コード],在庫確認!$F:$F,購買計画one_note_貼り付け[IO],1)</f>
        <v>70</v>
      </c>
      <c r="N203">
        <f>SUMIFS(SAP貼り付け!AC:AC,SAP貼り付け!A:A,在庫確認!F:F)</f>
        <v>0</v>
      </c>
      <c r="O203">
        <f t="shared" si="116"/>
        <v>70</v>
      </c>
    </row>
    <row r="204" spans="1:15">
      <c r="A204" t="s">
        <v>9</v>
      </c>
      <c r="B204" t="s">
        <v>1703</v>
      </c>
      <c r="C204">
        <f t="shared" ref="C204" si="117">D204+M204</f>
        <v>95</v>
      </c>
      <c r="D204">
        <f t="shared" ref="D204" si="118">H204</f>
        <v>0</v>
      </c>
      <c r="F204">
        <v>199018</v>
      </c>
      <c r="G204" t="s">
        <v>2591</v>
      </c>
      <c r="H204">
        <f>SUMIFS(SAP[在庫数量],SAP[品目],在庫確認!F:F)</f>
        <v>0</v>
      </c>
      <c r="I204">
        <f>SUMIFS(SAP貼り付け!AC:AC,SAP貼り付け!A:A,在庫確認!F:F)</f>
        <v>0</v>
      </c>
      <c r="J204" t="str">
        <f>IFERROR(I204/H204,"")</f>
        <v/>
      </c>
      <c r="M204">
        <f>SUMIFS(購買計画one_note_貼り付け[数量],購買計画one_note_貼り付け[コード],在庫確認!$F:$F,購買計画one_note_貼り付け[IO],1)</f>
        <v>95</v>
      </c>
      <c r="N204">
        <f>SUMIFS(SAP貼り付け!AC:AC,SAP貼り付け!A:A,在庫確認!F:F)</f>
        <v>0</v>
      </c>
      <c r="O204">
        <f t="shared" si="116"/>
        <v>95</v>
      </c>
    </row>
    <row r="205" spans="1:15">
      <c r="A205" t="s">
        <v>9</v>
      </c>
      <c r="B205" t="s">
        <v>2592</v>
      </c>
      <c r="C205">
        <f>D205+M205</f>
        <v>80</v>
      </c>
      <c r="D205">
        <f>H205</f>
        <v>0</v>
      </c>
      <c r="F205">
        <v>193188</v>
      </c>
      <c r="G205" t="s">
        <v>2593</v>
      </c>
      <c r="H205">
        <f>SUMIFS(SAP[在庫数量],SAP[品目],在庫確認!F:F)</f>
        <v>0</v>
      </c>
      <c r="I205">
        <f>SUMIFS(SAP貼り付け!AC:AC,SAP貼り付け!A:A,在庫確認!F:F)</f>
        <v>0</v>
      </c>
      <c r="J205" t="str">
        <f>IFERROR(I205/H205,"")</f>
        <v/>
      </c>
      <c r="M205">
        <f>SUMIFS(購買計画one_note_貼り付け[数量],購買計画one_note_貼り付け[コード],在庫確認!$F:$F,購買計画one_note_貼り付け[IO],1)</f>
        <v>80</v>
      </c>
      <c r="N205">
        <f>SUMIFS(SAP貼り付け!AC:AC,SAP貼り付け!A:A,在庫確認!F:F)</f>
        <v>0</v>
      </c>
      <c r="O205">
        <f t="shared" si="116"/>
        <v>80</v>
      </c>
    </row>
    <row r="206" spans="1:15">
      <c r="A206" t="s">
        <v>9</v>
      </c>
      <c r="B206" t="s">
        <v>2558</v>
      </c>
      <c r="C206">
        <f>D206+M206</f>
        <v>520</v>
      </c>
      <c r="D206">
        <f>H206</f>
        <v>0</v>
      </c>
      <c r="F206">
        <v>193192</v>
      </c>
      <c r="G206" t="s">
        <v>456</v>
      </c>
      <c r="H206">
        <f>SUMIFS(SAP[在庫数量],SAP[品目],在庫確認!F:F)</f>
        <v>0</v>
      </c>
      <c r="I206">
        <f>SUMIFS(SAP貼り付け!AC:AC,SAP貼り付け!A:A,在庫確認!F:F)</f>
        <v>0</v>
      </c>
      <c r="J206" t="str">
        <f>IFERROR(I206/H206,"")</f>
        <v/>
      </c>
      <c r="M206">
        <f>SUMIFS(購買計画one_note_貼り付け[数量],購買計画one_note_貼り付け[コード],在庫確認!$F:$F,購買計画one_note_貼り付け[IO],1)</f>
        <v>520</v>
      </c>
      <c r="N206">
        <f>SUMIFS(SAP貼り付け!AC:AC,SAP貼り付け!A:A,在庫確認!F:F)</f>
        <v>0</v>
      </c>
      <c r="O206">
        <f t="shared" si="116"/>
        <v>520</v>
      </c>
    </row>
    <row r="207" spans="1:15">
      <c r="A207" t="s">
        <v>9</v>
      </c>
      <c r="B207" t="s">
        <v>2520</v>
      </c>
      <c r="C207">
        <f t="shared" ref="C207" si="119">D207+M207</f>
        <v>320</v>
      </c>
      <c r="D207">
        <f t="shared" ref="D207" si="120">H207</f>
        <v>0</v>
      </c>
      <c r="F207">
        <v>199322</v>
      </c>
      <c r="G207" t="s">
        <v>498</v>
      </c>
      <c r="H207">
        <f>SUMIFS(SAP[在庫数量],SAP[品目],在庫確認!F:F)</f>
        <v>0</v>
      </c>
      <c r="I207">
        <f>SUMIFS(SAP貼り付け!AC:AC,SAP貼り付け!A:A,在庫確認!F:F)</f>
        <v>0</v>
      </c>
      <c r="J207" t="str">
        <f t="shared" ref="J207" si="121">IFERROR(I207/H207,"")</f>
        <v/>
      </c>
      <c r="M207">
        <f>SUMIFS(購買計画one_note_貼り付け[数量],購買計画one_note_貼り付け[コード],在庫確認!$F:$F,購買計画one_note_貼り付け[IO],1)</f>
        <v>320</v>
      </c>
      <c r="N207">
        <f>SUMIFS(SAP貼り付け!AC:AC,SAP貼り付け!A:A,在庫確認!F:F)</f>
        <v>0</v>
      </c>
      <c r="O207">
        <f t="shared" si="116"/>
        <v>320</v>
      </c>
    </row>
    <row r="208" spans="1:15">
      <c r="A208" t="s">
        <v>9</v>
      </c>
      <c r="B208" t="s">
        <v>2520</v>
      </c>
      <c r="C208">
        <f t="shared" ref="C208" si="122">D208+M208</f>
        <v>80</v>
      </c>
      <c r="D208">
        <f t="shared" ref="D208" si="123">H208</f>
        <v>0</v>
      </c>
      <c r="F208">
        <v>208425</v>
      </c>
      <c r="G208" t="s">
        <v>2594</v>
      </c>
      <c r="H208">
        <f>SUMIFS(SAP[在庫数量],SAP[品目],在庫確認!F:F)</f>
        <v>0</v>
      </c>
      <c r="I208">
        <f>SUMIFS(SAP貼り付け!AC:AC,SAP貼り付け!A:A,在庫確認!F:F)</f>
        <v>0</v>
      </c>
      <c r="J208" t="str">
        <f t="shared" ref="J208" si="124">IFERROR(I208/H208,"")</f>
        <v/>
      </c>
      <c r="M208">
        <f>SUMIFS(購買計画one_note_貼り付け[数量],購買計画one_note_貼り付け[コード],在庫確認!$F:$F,購買計画one_note_貼り付け[IO],1)</f>
        <v>80</v>
      </c>
      <c r="N208">
        <f>SUMIFS(SAP貼り付け!AC:AC,SAP貼り付け!A:A,在庫確認!F:F)</f>
        <v>0</v>
      </c>
      <c r="O208">
        <f t="shared" si="116"/>
        <v>80</v>
      </c>
    </row>
    <row r="209" spans="1:15">
      <c r="A209" t="s">
        <v>9</v>
      </c>
      <c r="B209" t="s">
        <v>1698</v>
      </c>
      <c r="C209">
        <f t="shared" ref="C209:C216" si="125">D209+M209</f>
        <v>0</v>
      </c>
      <c r="D209">
        <f t="shared" ref="D209:D216" si="126">H209</f>
        <v>0</v>
      </c>
      <c r="F209">
        <v>189170</v>
      </c>
      <c r="G209" t="s">
        <v>536</v>
      </c>
      <c r="H209">
        <f>SUMIFS(SAP[在庫数量],SAP[品目],在庫確認!F:F)</f>
        <v>0</v>
      </c>
      <c r="I209">
        <f>SUMIFS(SAP貼り付け!AC:AC,SAP貼り付け!A:A,在庫確認!F:F)</f>
        <v>0</v>
      </c>
      <c r="J209" t="str">
        <f t="shared" ref="J209:J216" si="127">IFERROR(I209/H209,"")</f>
        <v/>
      </c>
      <c r="M209">
        <f>SUMIFS(購買計画one_note_貼り付け[数量],購買計画one_note_貼り付け[コード],在庫確認!$F:$F,購買計画one_note_貼り付け[IO],1)</f>
        <v>0</v>
      </c>
      <c r="N209">
        <f>SUMIFS(SAP貼り付け!AC:AC,SAP貼り付け!A:A,在庫確認!F:F)</f>
        <v>0</v>
      </c>
      <c r="O209">
        <f t="shared" si="116"/>
        <v>0</v>
      </c>
    </row>
    <row r="210" spans="1:15">
      <c r="A210" t="s">
        <v>9</v>
      </c>
      <c r="B210" t="s">
        <v>1788</v>
      </c>
      <c r="C210">
        <f t="shared" si="125"/>
        <v>280</v>
      </c>
      <c r="D210">
        <f t="shared" si="126"/>
        <v>0</v>
      </c>
      <c r="F210">
        <v>193194</v>
      </c>
      <c r="G210" t="s">
        <v>2595</v>
      </c>
      <c r="H210">
        <f>SUMIFS(SAP[在庫数量],SAP[品目],在庫確認!F:F)</f>
        <v>0</v>
      </c>
      <c r="I210">
        <f>SUMIFS(SAP貼り付け!AC:AC,SAP貼り付け!A:A,在庫確認!F:F)</f>
        <v>0</v>
      </c>
      <c r="J210" t="str">
        <f t="shared" si="127"/>
        <v/>
      </c>
      <c r="M210">
        <f>SUMIFS(購買計画one_note_貼り付け[数量],購買計画one_note_貼り付け[コード],在庫確認!$F:$F,購買計画one_note_貼り付け[IO],1)</f>
        <v>280</v>
      </c>
      <c r="N210">
        <f>SUMIFS(SAP貼り付け!AC:AC,SAP貼り付け!A:A,在庫確認!F:F)</f>
        <v>0</v>
      </c>
      <c r="O210">
        <f t="shared" si="116"/>
        <v>280</v>
      </c>
    </row>
    <row r="211" spans="1:15">
      <c r="A211" t="s">
        <v>9</v>
      </c>
      <c r="B211" t="s">
        <v>1789</v>
      </c>
      <c r="C211">
        <f t="shared" si="125"/>
        <v>350</v>
      </c>
      <c r="D211">
        <f t="shared" si="126"/>
        <v>0</v>
      </c>
      <c r="F211">
        <v>193196</v>
      </c>
      <c r="G211" t="s">
        <v>465</v>
      </c>
      <c r="H211">
        <f>SUMIFS(SAP[在庫数量],SAP[品目],在庫確認!F:F)</f>
        <v>0</v>
      </c>
      <c r="I211">
        <f>SUMIFS(SAP貼り付け!AC:AC,SAP貼り付け!A:A,在庫確認!F:F)</f>
        <v>0</v>
      </c>
      <c r="J211" t="str">
        <f t="shared" si="127"/>
        <v/>
      </c>
      <c r="M211">
        <f>SUMIFS(購買計画one_note_貼り付け[数量],購買計画one_note_貼り付け[コード],在庫確認!$F:$F,購買計画one_note_貼り付け[IO],1)</f>
        <v>350</v>
      </c>
      <c r="N211">
        <f>SUMIFS(SAP貼り付け!AC:AC,SAP貼り付け!A:A,在庫確認!F:F)</f>
        <v>0</v>
      </c>
      <c r="O211">
        <f t="shared" si="116"/>
        <v>350</v>
      </c>
    </row>
    <row r="212" spans="1:15">
      <c r="A212" t="s">
        <v>9</v>
      </c>
      <c r="B212" t="s">
        <v>1879</v>
      </c>
      <c r="C212">
        <f t="shared" si="125"/>
        <v>150</v>
      </c>
      <c r="D212">
        <f t="shared" si="126"/>
        <v>0</v>
      </c>
      <c r="F212">
        <v>189152</v>
      </c>
      <c r="G212" t="s">
        <v>2596</v>
      </c>
      <c r="H212">
        <f>SUMIFS(SAP[在庫数量],SAP[品目],在庫確認!F:F)</f>
        <v>0</v>
      </c>
      <c r="I212">
        <f>SUMIFS(SAP貼り付け!AC:AC,SAP貼り付け!A:A,在庫確認!F:F)</f>
        <v>0</v>
      </c>
      <c r="J212" t="str">
        <f t="shared" si="127"/>
        <v/>
      </c>
      <c r="M212">
        <f>SUMIFS(購買計画one_note_貼り付け[数量],購買計画one_note_貼り付け[コード],在庫確認!$F:$F,購買計画one_note_貼り付け[IO],1)</f>
        <v>150</v>
      </c>
      <c r="N212">
        <f>SUMIFS(SAP貼り付け!AC:AC,SAP貼り付け!A:A,在庫確認!F:F)</f>
        <v>0</v>
      </c>
      <c r="O212">
        <f t="shared" si="116"/>
        <v>150</v>
      </c>
    </row>
    <row r="213" spans="1:15">
      <c r="A213" t="s">
        <v>9</v>
      </c>
      <c r="B213" t="s">
        <v>2597</v>
      </c>
      <c r="C213">
        <f t="shared" si="125"/>
        <v>325</v>
      </c>
      <c r="D213">
        <f t="shared" si="126"/>
        <v>0</v>
      </c>
      <c r="F213">
        <v>193210</v>
      </c>
      <c r="G213" t="s">
        <v>2598</v>
      </c>
      <c r="H213">
        <f>SUMIFS(SAP[在庫数量],SAP[品目],在庫確認!F:F)</f>
        <v>0</v>
      </c>
      <c r="I213">
        <f>SUMIFS(SAP貼り付け!AC:AC,SAP貼り付け!A:A,在庫確認!F:F)</f>
        <v>0</v>
      </c>
      <c r="J213" t="str">
        <f t="shared" si="127"/>
        <v/>
      </c>
      <c r="M213">
        <f>SUMIFS(購買計画one_note_貼り付け[数量],購買計画one_note_貼り付け[コード],在庫確認!$F:$F,購買計画one_note_貼り付け[IO],1)</f>
        <v>325</v>
      </c>
      <c r="N213">
        <f>SUMIFS(SAP貼り付け!AC:AC,SAP貼り付け!A:A,在庫確認!F:F)</f>
        <v>0</v>
      </c>
      <c r="O213">
        <f t="shared" si="116"/>
        <v>325</v>
      </c>
    </row>
    <row r="214" spans="1:15">
      <c r="A214" t="s">
        <v>9</v>
      </c>
      <c r="B214" t="s">
        <v>1784</v>
      </c>
      <c r="C214">
        <f t="shared" si="125"/>
        <v>500</v>
      </c>
      <c r="D214">
        <f t="shared" si="126"/>
        <v>0</v>
      </c>
      <c r="F214">
        <v>208299</v>
      </c>
      <c r="G214" t="s">
        <v>2519</v>
      </c>
      <c r="H214">
        <f>SUMIFS(SAP[在庫数量],SAP[品目],在庫確認!F:F)</f>
        <v>0</v>
      </c>
      <c r="I214">
        <f>SUMIFS(SAP貼り付け!AC:AC,SAP貼り付け!A:A,在庫確認!F:F)</f>
        <v>0</v>
      </c>
      <c r="J214" t="str">
        <f t="shared" si="127"/>
        <v/>
      </c>
      <c r="M214">
        <f>SUMIFS(購買計画one_note_貼り付け[数量],購買計画one_note_貼り付け[コード],在庫確認!$F:$F,購買計画one_note_貼り付け[IO],1)</f>
        <v>500</v>
      </c>
      <c r="N214">
        <f>SUMIFS(SAP貼り付け!AC:AC,SAP貼り付け!A:A,在庫確認!F:F)</f>
        <v>0</v>
      </c>
      <c r="O214">
        <f t="shared" si="116"/>
        <v>500</v>
      </c>
    </row>
    <row r="215" spans="1:15">
      <c r="A215" t="s">
        <v>982</v>
      </c>
      <c r="B215" t="s">
        <v>1520</v>
      </c>
      <c r="C215">
        <f t="shared" si="125"/>
        <v>60</v>
      </c>
      <c r="D215">
        <f t="shared" si="126"/>
        <v>0</v>
      </c>
      <c r="F215">
        <v>199330</v>
      </c>
      <c r="G215" t="s">
        <v>992</v>
      </c>
      <c r="H215">
        <f>SUMIFS(SAP[在庫数量],SAP[品目],在庫確認!F:F)</f>
        <v>0</v>
      </c>
      <c r="I215">
        <f>SUMIFS(SAP貼り付け!AC:AC,SAP貼り付け!A:A,在庫確認!F:F)</f>
        <v>0</v>
      </c>
      <c r="J215" t="str">
        <f t="shared" si="127"/>
        <v/>
      </c>
      <c r="M215">
        <f>SUMIFS(購買計画one_note_貼り付け[数量],購買計画one_note_貼り付け[コード],在庫確認!$F:$F,購買計画one_note_貼り付け[IO],1)</f>
        <v>60</v>
      </c>
      <c r="N215">
        <f>SUMIFS(SAP貼り付け!AC:AC,SAP貼り付け!A:A,在庫確認!F:F)</f>
        <v>0</v>
      </c>
      <c r="O215">
        <f t="shared" si="116"/>
        <v>60</v>
      </c>
    </row>
    <row r="216" spans="1:15">
      <c r="A216" t="s">
        <v>982</v>
      </c>
      <c r="B216" t="s">
        <v>1520</v>
      </c>
      <c r="C216">
        <f t="shared" si="125"/>
        <v>180</v>
      </c>
      <c r="D216">
        <f t="shared" si="126"/>
        <v>0</v>
      </c>
      <c r="E216" t="str">
        <f>IFERROR(D216/(#REF!/7*30),"")</f>
        <v/>
      </c>
      <c r="F216">
        <v>193716</v>
      </c>
      <c r="G216" t="s">
        <v>2599</v>
      </c>
      <c r="H216">
        <f>SUMIFS(SAP[在庫数量],SAP[品目],在庫確認!F:F)</f>
        <v>0</v>
      </c>
      <c r="I216">
        <f>SUMIFS(SAP貼り付け!AC:AC,SAP貼り付け!A:A,在庫確認!F:F)</f>
        <v>0</v>
      </c>
      <c r="J216" t="str">
        <f t="shared" si="127"/>
        <v/>
      </c>
      <c r="M216">
        <f>SUMIFS(購買計画one_note_貼り付け[数量],購買計画one_note_貼り付け[コード],在庫確認!$F:$F,購買計画one_note_貼り付け[IO],1)</f>
        <v>180</v>
      </c>
      <c r="N216">
        <f>SUMIFS(SAP貼り付け!AC:AC,SAP貼り付け!A:A,在庫確認!F:F)</f>
        <v>0</v>
      </c>
      <c r="O216">
        <f t="shared" si="116"/>
        <v>180</v>
      </c>
    </row>
    <row r="217" spans="1:15">
      <c r="N217">
        <f>SUMIFS(SAP貼り付け!AC:AC,SAP貼り付け!A:A,在庫確認!F:F)</f>
        <v>0</v>
      </c>
      <c r="O217">
        <f t="shared" si="116"/>
        <v>0</v>
      </c>
    </row>
    <row r="218" spans="1:15">
      <c r="N218">
        <f>SUMIFS(SAP貼り付け!AC:AC,SAP貼り付け!A:A,在庫確認!F:F)</f>
        <v>0</v>
      </c>
      <c r="O218">
        <f t="shared" si="116"/>
        <v>0</v>
      </c>
    </row>
    <row r="219" spans="1:15">
      <c r="N219">
        <f>SUMIFS(SAP貼り付け!AC:AC,SAP貼り付け!A:A,在庫確認!F:F)</f>
        <v>0</v>
      </c>
      <c r="O219">
        <f t="shared" si="116"/>
        <v>0</v>
      </c>
    </row>
    <row r="220" spans="1:15">
      <c r="F220">
        <v>222646</v>
      </c>
      <c r="G220" t="s">
        <v>2600</v>
      </c>
      <c r="I220" t="s">
        <v>1317</v>
      </c>
      <c r="J220" t="s">
        <v>1317</v>
      </c>
      <c r="N220">
        <f>SUMIFS(SAP貼り付け!AC:AC,SAP貼り付け!A:A,在庫確認!F:F)</f>
        <v>0</v>
      </c>
      <c r="O220">
        <f t="shared" si="116"/>
        <v>0</v>
      </c>
    </row>
    <row r="221" spans="1:15">
      <c r="F221">
        <v>222647</v>
      </c>
      <c r="G221" t="s">
        <v>2601</v>
      </c>
      <c r="I221" t="s">
        <v>1317</v>
      </c>
      <c r="J221" t="s">
        <v>1317</v>
      </c>
      <c r="N221">
        <f>SUMIFS(SAP貼り付け!AC:AC,SAP貼り付け!A:A,在庫確認!F:F)</f>
        <v>0</v>
      </c>
      <c r="O221">
        <f t="shared" si="116"/>
        <v>0</v>
      </c>
    </row>
    <row r="222" spans="1:15">
      <c r="F222">
        <v>222648</v>
      </c>
      <c r="G222" t="s">
        <v>2602</v>
      </c>
      <c r="I222" t="s">
        <v>1317</v>
      </c>
      <c r="J222" t="s">
        <v>1317</v>
      </c>
      <c r="N222">
        <f>SUMIFS(SAP貼り付け!AC:AC,SAP貼り付け!A:A,在庫確認!F:F)</f>
        <v>0</v>
      </c>
      <c r="O222">
        <f t="shared" si="116"/>
        <v>0</v>
      </c>
    </row>
    <row r="223" spans="1:15">
      <c r="F223">
        <v>222819</v>
      </c>
      <c r="G223" t="s">
        <v>2603</v>
      </c>
      <c r="I223" t="s">
        <v>1317</v>
      </c>
      <c r="J223" t="s">
        <v>1317</v>
      </c>
      <c r="N223">
        <f>SUMIFS(SAP貼り付け!AC:AC,SAP貼り付け!A:A,在庫確認!F:F)</f>
        <v>0</v>
      </c>
      <c r="O223">
        <f t="shared" si="116"/>
        <v>0</v>
      </c>
    </row>
    <row r="224" spans="1:15">
      <c r="F224">
        <v>220828</v>
      </c>
      <c r="G224" t="s">
        <v>2604</v>
      </c>
      <c r="I224" t="s">
        <v>1317</v>
      </c>
      <c r="J224" t="s">
        <v>1317</v>
      </c>
      <c r="N224">
        <f>SUMIFS(SAP貼り付け!AC:AC,SAP貼り付け!A:A,在庫確認!F:F)</f>
        <v>0</v>
      </c>
      <c r="O224">
        <f t="shared" si="116"/>
        <v>0</v>
      </c>
    </row>
    <row r="225" spans="6:15">
      <c r="F225">
        <v>222652</v>
      </c>
      <c r="G225" t="s">
        <v>2605</v>
      </c>
      <c r="I225" t="s">
        <v>1317</v>
      </c>
      <c r="J225" t="s">
        <v>1317</v>
      </c>
      <c r="N225">
        <f>SUMIFS(SAP貼り付け!AC:AC,SAP貼り付け!A:A,在庫確認!F:F)</f>
        <v>0</v>
      </c>
      <c r="O225">
        <f t="shared" si="116"/>
        <v>0</v>
      </c>
    </row>
    <row r="226" spans="6:15">
      <c r="F226">
        <v>222651</v>
      </c>
      <c r="G226" t="s">
        <v>2606</v>
      </c>
      <c r="N226">
        <f>SUMIFS(SAP貼り付け!AC:AC,SAP貼り付け!A:A,在庫確認!F:F)</f>
        <v>0</v>
      </c>
      <c r="O226">
        <f t="shared" si="116"/>
        <v>0</v>
      </c>
    </row>
    <row r="227" spans="6:15">
      <c r="F227">
        <v>222579</v>
      </c>
      <c r="G227" t="s">
        <v>2607</v>
      </c>
      <c r="N227">
        <f>SUMIFS(SAP貼り付け!AC:AC,SAP貼り付け!A:A,在庫確認!F:F)</f>
        <v>0</v>
      </c>
      <c r="O227">
        <f t="shared" si="116"/>
        <v>0</v>
      </c>
    </row>
    <row r="228" spans="6:15">
      <c r="F228">
        <v>222646</v>
      </c>
      <c r="G228" t="s">
        <v>2600</v>
      </c>
      <c r="N228">
        <f>SUMIFS(SAP貼り付け!AC:AC,SAP貼り付け!A:A,在庫確認!F:F)</f>
        <v>0</v>
      </c>
      <c r="O228">
        <f t="shared" si="116"/>
        <v>0</v>
      </c>
    </row>
    <row r="229" spans="6:15">
      <c r="F229">
        <v>220828</v>
      </c>
      <c r="G229" t="s">
        <v>2604</v>
      </c>
      <c r="N229">
        <f>SUMIFS(SAP貼り付け!AC:AC,SAP貼り付け!A:A,在庫確認!F:F)</f>
        <v>0</v>
      </c>
      <c r="O229">
        <f t="shared" si="116"/>
        <v>0</v>
      </c>
    </row>
  </sheetData>
  <autoFilter ref="A2:O229" xr:uid="{A580F451-957D-481D-AC9E-C5F056B73E06}"/>
  <phoneticPr fontId="4"/>
  <pageMargins left="0.7" right="0.7" top="0.75" bottom="0.75" header="0.3" footer="0.3"/>
  <pageSetup paperSize="9" orientation="portrait" verticalDpi="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7223b86-cd0c-4aec-84c0-d04ac54a92b3">
      <Terms xmlns="http://schemas.microsoft.com/office/infopath/2007/PartnerControls"/>
    </lcf76f155ced4ddcb4097134ff3c332f>
    <TaxCatchAll xmlns="472e07d5-3b10-4778-b642-d36c5795a63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35CF1B0CCAF0C943A0E16AF811686336" ma:contentTypeVersion="19" ma:contentTypeDescription="新しいドキュメントを作成します。" ma:contentTypeScope="" ma:versionID="90f1f3cdbb7c9d301908c025c9da572a">
  <xsd:schema xmlns:xsd="http://www.w3.org/2001/XMLSchema" xmlns:xs="http://www.w3.org/2001/XMLSchema" xmlns:p="http://schemas.microsoft.com/office/2006/metadata/properties" xmlns:ns2="17223b86-cd0c-4aec-84c0-d04ac54a92b3" xmlns:ns3="472e07d5-3b10-4778-b642-d36c5795a63b" targetNamespace="http://schemas.microsoft.com/office/2006/metadata/properties" ma:root="true" ma:fieldsID="e588d3bfbdf3908ed997e2d6a0111e24" ns2:_="" ns3:_="">
    <xsd:import namespace="17223b86-cd0c-4aec-84c0-d04ac54a92b3"/>
    <xsd:import namespace="472e07d5-3b10-4778-b642-d36c5795a63b"/>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DateTaken"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7223b86-cd0c-4aec-84c0-d04ac54a92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DateTaken" ma:index="11" nillable="true" ma:displayName="MediaServiceDateTaken" ma:hidden="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cfcd125-7367-4ca6-9a5c-7ce1c2aaa07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72e07d5-3b10-4778-b642-d36c5795a63b"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09d7852c-a9c6-47cb-a422-f2135a272ba4}" ma:internalName="TaxCatchAll" ma:showField="CatchAllData" ma:web="472e07d5-3b10-4778-b642-d36c5795a6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85664FB-DD1B-404D-88C3-9F5257B0C333}">
  <ds:schemaRefs>
    <ds:schemaRef ds:uri="http://schemas.microsoft.com/DataMashup"/>
  </ds:schemaRefs>
</ds:datastoreItem>
</file>

<file path=customXml/itemProps2.xml><?xml version="1.0" encoding="utf-8"?>
<ds:datastoreItem xmlns:ds="http://schemas.openxmlformats.org/officeDocument/2006/customXml" ds:itemID="{063C2F1C-3B3E-4860-B40D-109158E8FF1E}">
  <ds:schemaRefs>
    <ds:schemaRef ds:uri="http://purl.org/dc/dcmitype/"/>
    <ds:schemaRef ds:uri="http://purl.org/dc/elements/1.1/"/>
    <ds:schemaRef ds:uri="http://schemas.microsoft.com/office/infopath/2007/PartnerControls"/>
    <ds:schemaRef ds:uri="http://schemas.microsoft.com/office/2006/documentManagement/types"/>
    <ds:schemaRef ds:uri="472e07d5-3b10-4778-b642-d36c5795a63b"/>
    <ds:schemaRef ds:uri="http://schemas.openxmlformats.org/package/2006/metadata/core-properties"/>
    <ds:schemaRef ds:uri="http://www.w3.org/XML/1998/namespace"/>
    <ds:schemaRef ds:uri="17223b86-cd0c-4aec-84c0-d04ac54a92b3"/>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9EA4C048-38AD-46FA-90C5-9E2A2B8C7F4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7223b86-cd0c-4aec-84c0-d04ac54a92b3"/>
    <ds:schemaRef ds:uri="472e07d5-3b10-4778-b642-d36c5795a6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4894DB07-CBCF-4560-ACC8-19FADDE6CCB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24</vt:i4>
      </vt:variant>
    </vt:vector>
  </HeadingPairs>
  <TitlesOfParts>
    <vt:vector size="24" baseType="lpstr">
      <vt:lpstr>表の見方と入力について</vt:lpstr>
      <vt:lpstr>マスタ</vt:lpstr>
      <vt:lpstr>基準データ</vt:lpstr>
      <vt:lpstr>このファイルについて</vt:lpstr>
      <vt:lpstr>在庫使用計画 (4ヶ月計)</vt:lpstr>
      <vt:lpstr>改善予定</vt:lpstr>
      <vt:lpstr>参考資料(係数 通販+店舗　台数実績)</vt:lpstr>
      <vt:lpstr>(全体実績+予測）の元データ</vt:lpstr>
      <vt:lpstr>在庫使用計画 (全体実績+予測）0701</vt:lpstr>
      <vt:lpstr>在庫使用計画 (計画　予測)</vt:lpstr>
      <vt:lpstr>在庫使用計画 (ノート全体試算)</vt:lpstr>
      <vt:lpstr>在庫使用計画 (一般)</vt:lpstr>
      <vt:lpstr>在庫使用計画 (法人)</vt:lpstr>
      <vt:lpstr>MOQ条件</vt:lpstr>
      <vt:lpstr>SAP貼り付け</vt:lpstr>
      <vt:lpstr>Onenote貼り付け(0106)BU</vt:lpstr>
      <vt:lpstr>Onenote貼り付け(1113確定)</vt:lpstr>
      <vt:lpstr>新規チェック</vt:lpstr>
      <vt:lpstr>43期bu</vt:lpstr>
      <vt:lpstr>Onenote貼り付け</vt:lpstr>
      <vt:lpstr>企画メモ（コンセプトシート）</vt:lpstr>
      <vt:lpstr>企画メモ（コンセプトシート） (記載例)</vt:lpstr>
      <vt:lpstr>数式見直し候補</vt:lpstr>
      <vt:lpstr>在庫確認</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小野 雄己</cp:lastModifiedBy>
  <cp:revision/>
  <dcterms:created xsi:type="dcterms:W3CDTF">2026-02-12T23:48:56Z</dcterms:created>
  <dcterms:modified xsi:type="dcterms:W3CDTF">2026-07-06T01:34:38Z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0x01010035CF1B0CCAF0C943A0E16AF811686336</vt:lpwstr>
  </property>
</Properties>
</file>